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theme/themeOverride2.xml" ContentType="application/vnd.openxmlformats-officedocument.themeOverride+xml"/>
  <Override PartName="/xl/charts/chart7.xml" ContentType="application/vnd.openxmlformats-officedocument.drawingml.chart+xml"/>
  <Override PartName="/xl/theme/themeOverride3.xml" ContentType="application/vnd.openxmlformats-officedocument.themeOverride+xml"/>
  <Override PartName="/xl/charts/chart8.xml" ContentType="application/vnd.openxmlformats-officedocument.drawingml.chart+xml"/>
  <Override PartName="/xl/theme/themeOverride4.xml" ContentType="application/vnd.openxmlformats-officedocument.themeOverride+xml"/>
  <Override PartName="/xl/charts/chart9.xml" ContentType="application/vnd.openxmlformats-officedocument.drawingml.chart+xml"/>
  <Override PartName="/xl/theme/themeOverride5.xml" ContentType="application/vnd.openxmlformats-officedocument.themeOverride+xml"/>
  <Override PartName="/xl/charts/chart10.xml" ContentType="application/vnd.openxmlformats-officedocument.drawingml.chart+xml"/>
  <Override PartName="/xl/theme/themeOverride6.xml" ContentType="application/vnd.openxmlformats-officedocument.themeOverride+xml"/>
  <Override PartName="/xl/charts/chart11.xml" ContentType="application/vnd.openxmlformats-officedocument.drawingml.chart+xml"/>
  <Override PartName="/xl/theme/themeOverride7.xml" ContentType="application/vnd.openxmlformats-officedocument.themeOverride+xml"/>
  <Override PartName="/xl/charts/chart12.xml" ContentType="application/vnd.openxmlformats-officedocument.drawingml.chart+xml"/>
  <Override PartName="/xl/theme/themeOverride8.xml" ContentType="application/vnd.openxmlformats-officedocument.themeOverride+xml"/>
  <Override PartName="/xl/charts/chart13.xml" ContentType="application/vnd.openxmlformats-officedocument.drawingml.chart+xml"/>
  <Override PartName="/xl/theme/themeOverride9.xml" ContentType="application/vnd.openxmlformats-officedocument.themeOverride+xml"/>
  <Override PartName="/xl/charts/chart14.xml" ContentType="application/vnd.openxmlformats-officedocument.drawingml.chart+xml"/>
  <Override PartName="/xl/charts/style3.xml" ContentType="application/vnd.ms-office.chartstyle+xml"/>
  <Override PartName="/xl/charts/colors3.xml" ContentType="application/vnd.ms-office.chartcolorstyle+xml"/>
  <Override PartName="/xl/charts/chart15.xml" ContentType="application/vnd.openxmlformats-officedocument.drawingml.chart+xml"/>
  <Override PartName="/xl/charts/style4.xml" ContentType="application/vnd.ms-office.chartstyle+xml"/>
  <Override PartName="/xl/charts/colors4.xml" ContentType="application/vnd.ms-office.chartcolorstyle+xml"/>
  <Override PartName="/xl/charts/chart16.xml" ContentType="application/vnd.openxmlformats-officedocument.drawingml.chart+xml"/>
  <Override PartName="/xl/charts/style5.xml" ContentType="application/vnd.ms-office.chartstyle+xml"/>
  <Override PartName="/xl/charts/colors5.xml" ContentType="application/vnd.ms-office.chartcolorstyle+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charts/chart18.xml" ContentType="application/vnd.openxmlformats-officedocument.drawingml.chart+xml"/>
  <Override PartName="/xl/theme/themeOverride10.xml" ContentType="application/vnd.openxmlformats-officedocument.themeOverride+xml"/>
  <Override PartName="/xl/charts/chart19.xml" ContentType="application/vnd.openxmlformats-officedocument.drawingml.chart+xml"/>
  <Override PartName="/xl/theme/themeOverride11.xml" ContentType="application/vnd.openxmlformats-officedocument.themeOverride+xml"/>
  <Override PartName="/xl/charts/chart20.xml" ContentType="application/vnd.openxmlformats-officedocument.drawingml.chart+xml"/>
  <Override PartName="/xl/theme/themeOverride12.xml" ContentType="application/vnd.openxmlformats-officedocument.themeOverride+xml"/>
  <Override PartName="/xl/charts/chart21.xml" ContentType="application/vnd.openxmlformats-officedocument.drawingml.chart+xml"/>
  <Override PartName="/xl/theme/themeOverride13.xml" ContentType="application/vnd.openxmlformats-officedocument.themeOverride+xml"/>
  <Override PartName="/xl/charts/chart22.xml" ContentType="application/vnd.openxmlformats-officedocument.drawingml.chart+xml"/>
  <Override PartName="/xl/theme/themeOverride14.xml" ContentType="application/vnd.openxmlformats-officedocument.themeOverride+xml"/>
  <Override PartName="/xl/charts/chart23.xml" ContentType="application/vnd.openxmlformats-officedocument.drawingml.chart+xml"/>
  <Override PartName="/xl/theme/themeOverride15.xml" ContentType="application/vnd.openxmlformats-officedocument.themeOverride+xml"/>
  <Override PartName="/xl/charts/chart24.xml" ContentType="application/vnd.openxmlformats-officedocument.drawingml.chart+xml"/>
  <Override PartName="/xl/theme/themeOverride16.xml" ContentType="application/vnd.openxmlformats-officedocument.themeOverride+xml"/>
  <Override PartName="/xl/charts/chart25.xml" ContentType="application/vnd.openxmlformats-officedocument.drawingml.chart+xml"/>
  <Override PartName="/xl/theme/themeOverride17.xml" ContentType="application/vnd.openxmlformats-officedocument.themeOverride+xml"/>
  <Override PartName="/xl/charts/chart26.xml" ContentType="application/vnd.openxmlformats-officedocument.drawingml.chart+xml"/>
  <Override PartName="/xl/theme/themeOverride18.xml" ContentType="application/vnd.openxmlformats-officedocument.themeOverride+xml"/>
  <Override PartName="/xl/charts/chart27.xml" ContentType="application/vnd.openxmlformats-officedocument.drawingml.chart+xml"/>
  <Override PartName="/xl/theme/themeOverride19.xml" ContentType="application/vnd.openxmlformats-officedocument.themeOverride+xml"/>
  <Override PartName="/xl/charts/chart28.xml" ContentType="application/vnd.openxmlformats-officedocument.drawingml.chart+xml"/>
  <Override PartName="/xl/theme/themeOverride20.xml" ContentType="application/vnd.openxmlformats-officedocument.themeOverride+xml"/>
  <Override PartName="/xl/charts/chart29.xml" ContentType="application/vnd.openxmlformats-officedocument.drawingml.chart+xml"/>
  <Override PartName="/xl/theme/themeOverride21.xml" ContentType="application/vnd.openxmlformats-officedocument.themeOverride+xml"/>
  <Override PartName="/xl/charts/chart30.xml" ContentType="application/vnd.openxmlformats-officedocument.drawingml.chart+xml"/>
  <Override PartName="/xl/theme/themeOverride22.xml" ContentType="application/vnd.openxmlformats-officedocument.themeOverride+xml"/>
  <Override PartName="/xl/charts/chart31.xml" ContentType="application/vnd.openxmlformats-officedocument.drawingml.chart+xml"/>
  <Override PartName="/xl/theme/themeOverride23.xml" ContentType="application/vnd.openxmlformats-officedocument.themeOverride+xml"/>
  <Override PartName="/xl/charts/chart32.xml" ContentType="application/vnd.openxmlformats-officedocument.drawingml.chart+xml"/>
  <Override PartName="/xl/theme/themeOverride24.xml" ContentType="application/vnd.openxmlformats-officedocument.themeOverride+xml"/>
  <Override PartName="/xl/charts/chart33.xml" ContentType="application/vnd.openxmlformats-officedocument.drawingml.chart+xml"/>
  <Override PartName="/xl/theme/themeOverride25.xml" ContentType="application/vnd.openxmlformats-officedocument.themeOverride+xml"/>
  <Override PartName="/xl/charts/chart34.xml" ContentType="application/vnd.openxmlformats-officedocument.drawingml.chart+xml"/>
  <Override PartName="/xl/theme/themeOverride26.xml" ContentType="application/vnd.openxmlformats-officedocument.themeOverride+xml"/>
  <Override PartName="/xl/charts/chart35.xml" ContentType="application/vnd.openxmlformats-officedocument.drawingml.chart+xml"/>
  <Override PartName="/xl/theme/themeOverride27.xml" ContentType="application/vnd.openxmlformats-officedocument.themeOverride+xml"/>
  <Override PartName="/xl/drawings/drawing6.xml" ContentType="application/vnd.openxmlformats-officedocument.drawing+xml"/>
  <Override PartName="/xl/drawings/drawing7.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Z:\Mesa de Inversiones\Bottom-Up\2 Proceso de Inversión Renta Fija\Corporates - Emisiones\Crédito - BU\3. ESG\9. ESG Manager - MSCI\2. Reportes\Medición Huella de Carbono\"/>
    </mc:Choice>
  </mc:AlternateContent>
  <xr:revisionPtr revIDLastSave="0" documentId="13_ncr:1_{A3F53FA3-9C4A-41CC-BF80-3F5BBCF68E59}" xr6:coauthVersionLast="47" xr6:coauthVersionMax="47" xr10:uidLastSave="{00000000-0000-0000-0000-000000000000}"/>
  <bookViews>
    <workbookView xWindow="-120" yWindow="-120" windowWidth="29040" windowHeight="15720" firstSheet="2" activeTab="5" xr2:uid="{DF6FB145-34F1-4B0B-87AB-E11696122B1A}"/>
  </bookViews>
  <sheets>
    <sheet name="Guia" sheetId="25" r:id="rId1"/>
    <sheet name="Emisión Total 2025" sheetId="32" r:id="rId2"/>
    <sheet name="Comando" sheetId="1" r:id="rId3"/>
    <sheet name="Final" sheetId="28" r:id="rId4"/>
    <sheet name="Cartera Local - SMV" sheetId="33" r:id="rId5"/>
    <sheet name="Valorización de Instrumentos" sheetId="4" r:id="rId6"/>
    <sheet name="Presentacion" sheetId="30" r:id="rId7"/>
    <sheet name="MSCI" sheetId="5" r:id="rId8"/>
    <sheet name="Proxies" sheetId="29" r:id="rId9"/>
    <sheet name="BD(MSCI)" sheetId="7" r:id="rId10"/>
    <sheet name="Perdieron Huella" sheetId="31" r:id="rId11"/>
    <sheet name="Parametria" sheetId="9" r:id="rId12"/>
    <sheet name="Cálculo Caja" sheetId="2" r:id="rId13"/>
    <sheet name="Tipo de Cambio" sheetId="3" r:id="rId14"/>
  </sheets>
  <externalReferences>
    <externalReference r:id="rId15"/>
  </externalReferences>
  <definedNames>
    <definedName name="_xlnm._FilterDatabase" localSheetId="9" hidden="1">'BD(MSCI)'!$A$1:$X$1146</definedName>
    <definedName name="_xlnm._FilterDatabase" localSheetId="12" hidden="1">'Cálculo Caja'!$A$1:$D$1</definedName>
    <definedName name="_xlnm._FilterDatabase" localSheetId="7" hidden="1">MSCI!$A$1:$V$1483</definedName>
    <definedName name="_xlnm._FilterDatabase" localSheetId="11" hidden="1">Parametria!$J$8:$J$3184</definedName>
    <definedName name="_xlnm._FilterDatabase" localSheetId="6" hidden="1">Presentacion!$EU$50:$FC$246</definedName>
    <definedName name="_xlnm._FilterDatabase" localSheetId="5" hidden="1">'Valorización de Instrumentos'!$A$1:$B$1</definedName>
    <definedName name="_xlcn.WorksheetConnection_ReportedelaHuellaRegión2024.xlsmTabla_Consulta_desde_Cálculo_Caja1" hidden="1">Tabla_Consulta_desde_Cálculo_Caja[]</definedName>
    <definedName name="_xlcn.WorksheetConnection_ReportedelaHuellaRegión2024.xlsmTabla_Consulta_desde_Reporte_de_Valorización_de_Instrumentos1" hidden="1">Tabla_Consulta_desde_Reporte_de_Valorización_de_Instrumentos[]</definedName>
    <definedName name="_xlcn.WorksheetConnection_ValorizacióndeInstrumentosA3AM6011" hidden="1">'Valorización de Instrumentos'!$A$3:$AM$640</definedName>
    <definedName name="_xleta.SMALL" hidden="1" xlm="1">#NAME?</definedName>
    <definedName name="_xleta.SUM" hidden="1" xlm="1">#NAME?</definedName>
    <definedName name="CIQWBGuid" hidden="1">"9df4d70c-25b3-4b39-a5b9-7e60d259543a"</definedName>
    <definedName name="CIQWBInfo" hidden="1">"{ ""CIQVersion"":""9.51.3510.3078"" }"</definedName>
    <definedName name="Consulta_desde_Cálculo_Caja" localSheetId="12" hidden="1">'Cálculo Caja'!$A$3:$G$7</definedName>
    <definedName name="Consulta_desde_Reporte_de_Valorización_de_Instrumentos" localSheetId="5" hidden="1">'Valorización de Instrumentos'!$B$3:$Z$644</definedName>
    <definedName name="Consulta_desde_Tipo_de_Cambio" localSheetId="13" hidden="1">'Tipo de Cambio'!$A$3:$F$38</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46210.6621180556</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_xlnm.Print_Area" localSheetId="0">Guia!$A$1:$R$160</definedName>
  </definedNames>
  <calcPr calcId="191029"/>
  <pivotCaches>
    <pivotCache cacheId="3" r:id="rId16"/>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Valorización de Instrumentos!$A$3:$AM$601"/>
          <x15:modelTable id="Tabla_Consulta_desde_Reporte_de_Valorización_de_Instrumentos" name="Tabla_Consulta_desde_Reporte_de_Valorización_de_Instrumentos" connection="WorksheetConnection_Reporte de la Huella(Región) 2024.xlsm!Tabla_Consulta_desde_Reporte_de_Valorización_de_Instrumentos"/>
          <x15:modelTable id="Tabla_Consulta_desde_Cálculo_Caja" name="Tabla_Consulta_desde_Cálculo_Caja" connection="WorksheetConnection_Reporte de la Huella(Región) 2024.xlsm!Tabla_Consulta_desde_Cálculo_Caj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3" l="1"/>
  <c r="D1" i="3"/>
  <c r="B1" i="2"/>
  <c r="D1" i="2"/>
  <c r="K4" i="2"/>
  <c r="L4" i="2" s="1"/>
  <c r="K8" i="2"/>
  <c r="G11" i="2" s="1"/>
  <c r="K5" i="2"/>
  <c r="L5" i="2" s="1"/>
  <c r="K6" i="2"/>
  <c r="L6" i="2" s="1"/>
  <c r="D9" i="2"/>
  <c r="D10" i="2"/>
  <c r="D11" i="2"/>
  <c r="D13" i="2" s="1"/>
  <c r="F11" i="2"/>
  <c r="F12" i="2"/>
  <c r="F13" i="2"/>
  <c r="D15" i="2"/>
  <c r="D18" i="2" s="1"/>
  <c r="D16" i="2"/>
  <c r="D17" i="2"/>
  <c r="D9" i="9"/>
  <c r="E9" i="9"/>
  <c r="G9" i="9" s="1"/>
  <c r="H9" i="9"/>
  <c r="D10" i="9"/>
  <c r="E10" i="9"/>
  <c r="J10" i="9" s="1"/>
  <c r="H10" i="9"/>
  <c r="D11" i="9"/>
  <c r="E11" i="9"/>
  <c r="G11" i="9" s="1"/>
  <c r="H11" i="9"/>
  <c r="D12" i="9"/>
  <c r="E12" i="9"/>
  <c r="G12" i="9" s="1"/>
  <c r="H12" i="9"/>
  <c r="J12" i="9"/>
  <c r="D13" i="9"/>
  <c r="E13" i="9"/>
  <c r="G13" i="9" s="1"/>
  <c r="H13" i="9"/>
  <c r="D14" i="9"/>
  <c r="E14" i="9"/>
  <c r="G14" i="9" s="1"/>
  <c r="H14" i="9"/>
  <c r="J14" i="9"/>
  <c r="D15" i="9"/>
  <c r="E15" i="9"/>
  <c r="J15" i="9" s="1"/>
  <c r="H15" i="9"/>
  <c r="D16" i="9"/>
  <c r="E16" i="9"/>
  <c r="G16" i="9" s="1"/>
  <c r="H16" i="9"/>
  <c r="D17" i="9"/>
  <c r="E17" i="9"/>
  <c r="J17" i="9" s="1"/>
  <c r="H17" i="9"/>
  <c r="D18" i="9"/>
  <c r="E18" i="9"/>
  <c r="G18" i="9" s="1"/>
  <c r="H18" i="9"/>
  <c r="J18" i="9"/>
  <c r="D19" i="9"/>
  <c r="E19" i="9"/>
  <c r="G19" i="9" s="1"/>
  <c r="H19" i="9"/>
  <c r="D20" i="9"/>
  <c r="E20" i="9"/>
  <c r="J20" i="9" s="1"/>
  <c r="H20" i="9"/>
  <c r="D21" i="9"/>
  <c r="E21" i="9"/>
  <c r="G21" i="9" s="1"/>
  <c r="H21" i="9"/>
  <c r="D22" i="9"/>
  <c r="E22" i="9"/>
  <c r="J22" i="9" s="1"/>
  <c r="G22" i="9"/>
  <c r="H22" i="9"/>
  <c r="D23" i="9"/>
  <c r="E23" i="9"/>
  <c r="J23" i="9" s="1"/>
  <c r="G23" i="9"/>
  <c r="H23" i="9"/>
  <c r="D24" i="9"/>
  <c r="E24" i="9"/>
  <c r="G24" i="9"/>
  <c r="H24" i="9"/>
  <c r="J24" i="9"/>
  <c r="D25" i="9"/>
  <c r="E25" i="9"/>
  <c r="J25" i="9" s="1"/>
  <c r="H25" i="9"/>
  <c r="D26" i="9"/>
  <c r="E26" i="9"/>
  <c r="G26" i="9" s="1"/>
  <c r="H26" i="9"/>
  <c r="J26" i="9"/>
  <c r="D27" i="9"/>
  <c r="E27" i="9"/>
  <c r="J27" i="9" s="1"/>
  <c r="H27" i="9"/>
  <c r="D28" i="9"/>
  <c r="E28" i="9"/>
  <c r="G28" i="9" s="1"/>
  <c r="H28" i="9"/>
  <c r="D29" i="9"/>
  <c r="E29" i="9"/>
  <c r="J29" i="9" s="1"/>
  <c r="G29" i="9"/>
  <c r="H29" i="9"/>
  <c r="D30" i="9"/>
  <c r="E30" i="9"/>
  <c r="G30" i="9" s="1"/>
  <c r="H30" i="9"/>
  <c r="D31" i="9"/>
  <c r="E31" i="9"/>
  <c r="G31" i="9" s="1"/>
  <c r="H31" i="9"/>
  <c r="D32" i="9"/>
  <c r="E32" i="9"/>
  <c r="J32" i="9" s="1"/>
  <c r="H32" i="9"/>
  <c r="D33" i="9"/>
  <c r="E33" i="9"/>
  <c r="G33" i="9" s="1"/>
  <c r="H33" i="9"/>
  <c r="D34" i="9"/>
  <c r="E34" i="9"/>
  <c r="J34" i="9" s="1"/>
  <c r="H34" i="9"/>
  <c r="D35" i="9"/>
  <c r="E35" i="9"/>
  <c r="J35" i="9" s="1"/>
  <c r="H35" i="9"/>
  <c r="D36" i="9"/>
  <c r="E36" i="9"/>
  <c r="G36" i="9" s="1"/>
  <c r="H36" i="9"/>
  <c r="J36" i="9"/>
  <c r="D37" i="9"/>
  <c r="E37" i="9"/>
  <c r="G37" i="9"/>
  <c r="H37" i="9"/>
  <c r="J37" i="9"/>
  <c r="D38" i="9"/>
  <c r="E38" i="9"/>
  <c r="J38" i="9" s="1"/>
  <c r="G38" i="9"/>
  <c r="H38" i="9"/>
  <c r="D39" i="9"/>
  <c r="E39" i="9"/>
  <c r="J39" i="9" s="1"/>
  <c r="H39" i="9"/>
  <c r="D40" i="9"/>
  <c r="E40" i="9"/>
  <c r="G40" i="9" s="1"/>
  <c r="H40" i="9"/>
  <c r="D41" i="9"/>
  <c r="E41" i="9"/>
  <c r="G41" i="9"/>
  <c r="H41" i="9"/>
  <c r="J41" i="9"/>
  <c r="D42" i="9"/>
  <c r="E42" i="9"/>
  <c r="G42" i="9" s="1"/>
  <c r="H42" i="9"/>
  <c r="D43" i="9"/>
  <c r="E43" i="9"/>
  <c r="G43" i="9" s="1"/>
  <c r="H43" i="9"/>
  <c r="D44" i="9"/>
  <c r="E44" i="9"/>
  <c r="J44" i="9" s="1"/>
  <c r="H44" i="9"/>
  <c r="D45" i="9"/>
  <c r="E45" i="9"/>
  <c r="G45" i="9" s="1"/>
  <c r="H45" i="9"/>
  <c r="D46" i="9"/>
  <c r="E46" i="9"/>
  <c r="J46" i="9" s="1"/>
  <c r="H46" i="9"/>
  <c r="D47" i="9"/>
  <c r="E47" i="9"/>
  <c r="J47" i="9" s="1"/>
  <c r="G47" i="9"/>
  <c r="H47" i="9"/>
  <c r="D48" i="9"/>
  <c r="E48" i="9"/>
  <c r="G48" i="9" s="1"/>
  <c r="H48" i="9"/>
  <c r="D49" i="9"/>
  <c r="E49" i="9"/>
  <c r="G49" i="9" s="1"/>
  <c r="H49" i="9"/>
  <c r="J49" i="9"/>
  <c r="D50" i="9"/>
  <c r="E50" i="9"/>
  <c r="G50" i="9" s="1"/>
  <c r="H50" i="9"/>
  <c r="D51" i="9"/>
  <c r="E51" i="9"/>
  <c r="J51" i="9" s="1"/>
  <c r="H51" i="9"/>
  <c r="D52" i="9"/>
  <c r="E52" i="9"/>
  <c r="G52" i="9" s="1"/>
  <c r="H52" i="9"/>
  <c r="D53" i="9"/>
  <c r="E53" i="9"/>
  <c r="J53" i="9" s="1"/>
  <c r="G53" i="9"/>
  <c r="H53" i="9"/>
  <c r="D54" i="9"/>
  <c r="E54" i="9"/>
  <c r="G54" i="9" s="1"/>
  <c r="H54" i="9"/>
  <c r="J54" i="9"/>
  <c r="D55" i="9"/>
  <c r="E55" i="9"/>
  <c r="G55" i="9" s="1"/>
  <c r="H55" i="9"/>
  <c r="D56" i="9"/>
  <c r="E56" i="9"/>
  <c r="J56" i="9" s="1"/>
  <c r="H56" i="9"/>
  <c r="D57" i="9"/>
  <c r="E57" i="9"/>
  <c r="G57" i="9" s="1"/>
  <c r="H57" i="9"/>
  <c r="D58" i="9"/>
  <c r="E58" i="9"/>
  <c r="J58" i="9" s="1"/>
  <c r="G58" i="9"/>
  <c r="H58" i="9"/>
  <c r="D59" i="9"/>
  <c r="E59" i="9"/>
  <c r="J59" i="9" s="1"/>
  <c r="G59" i="9"/>
  <c r="H59" i="9"/>
  <c r="D60" i="9"/>
  <c r="E60" i="9"/>
  <c r="G60" i="9" s="1"/>
  <c r="H60" i="9"/>
  <c r="J60" i="9"/>
  <c r="D61" i="9"/>
  <c r="E61" i="9"/>
  <c r="G61" i="9"/>
  <c r="H61" i="9"/>
  <c r="J61" i="9"/>
  <c r="D62" i="9"/>
  <c r="E62" i="9"/>
  <c r="J62" i="9" s="1"/>
  <c r="H62" i="9"/>
  <c r="D63" i="9"/>
  <c r="E63" i="9"/>
  <c r="J63" i="9" s="1"/>
  <c r="H63" i="9"/>
  <c r="D64" i="9"/>
  <c r="E64" i="9"/>
  <c r="G64" i="9" s="1"/>
  <c r="H64" i="9"/>
  <c r="D65" i="9"/>
  <c r="E65" i="9"/>
  <c r="G65" i="9"/>
  <c r="H65" i="9"/>
  <c r="J65" i="9"/>
  <c r="D66" i="9"/>
  <c r="E66" i="9"/>
  <c r="G66" i="9" s="1"/>
  <c r="H66" i="9"/>
  <c r="J66" i="9"/>
  <c r="D67" i="9"/>
  <c r="E67" i="9"/>
  <c r="G67" i="9" s="1"/>
  <c r="H67" i="9"/>
  <c r="D68" i="9"/>
  <c r="E68" i="9"/>
  <c r="J68" i="9" s="1"/>
  <c r="H68" i="9"/>
  <c r="D69" i="9"/>
  <c r="E69" i="9"/>
  <c r="G69" i="9" s="1"/>
  <c r="H69" i="9"/>
  <c r="D70" i="9"/>
  <c r="E70" i="9"/>
  <c r="J70" i="9" s="1"/>
  <c r="H70" i="9"/>
  <c r="D71" i="9"/>
  <c r="E71" i="9"/>
  <c r="J71" i="9" s="1"/>
  <c r="H71" i="9"/>
  <c r="D72" i="9"/>
  <c r="E72" i="9"/>
  <c r="G72" i="9" s="1"/>
  <c r="H72" i="9"/>
  <c r="D73" i="9"/>
  <c r="E73" i="9"/>
  <c r="G73" i="9" s="1"/>
  <c r="H73" i="9"/>
  <c r="J73" i="9"/>
  <c r="D74" i="9"/>
  <c r="E74" i="9"/>
  <c r="G74" i="9" s="1"/>
  <c r="H74" i="9"/>
  <c r="D75" i="9"/>
  <c r="E75" i="9"/>
  <c r="J75" i="9" s="1"/>
  <c r="H75" i="9"/>
  <c r="D76" i="9"/>
  <c r="E76" i="9"/>
  <c r="G76" i="9" s="1"/>
  <c r="H76" i="9"/>
  <c r="J76" i="9"/>
  <c r="D77" i="9"/>
  <c r="E77" i="9"/>
  <c r="G77" i="9" s="1"/>
  <c r="H77" i="9"/>
  <c r="D78" i="9"/>
  <c r="E78" i="9"/>
  <c r="G78" i="9" s="1"/>
  <c r="H78" i="9"/>
  <c r="J78" i="9"/>
  <c r="D79" i="9"/>
  <c r="E79" i="9"/>
  <c r="G79" i="9" s="1"/>
  <c r="H79" i="9"/>
  <c r="D80" i="9"/>
  <c r="E80" i="9"/>
  <c r="J80" i="9" s="1"/>
  <c r="H80" i="9"/>
  <c r="D81" i="9"/>
  <c r="E81" i="9"/>
  <c r="G81" i="9" s="1"/>
  <c r="H81" i="9"/>
  <c r="D82" i="9"/>
  <c r="E82" i="9"/>
  <c r="J82" i="9" s="1"/>
  <c r="G82" i="9"/>
  <c r="H82" i="9"/>
  <c r="D83" i="9"/>
  <c r="E83" i="9"/>
  <c r="J83" i="9" s="1"/>
  <c r="H83" i="9"/>
  <c r="D84" i="9"/>
  <c r="E84" i="9"/>
  <c r="G84" i="9" s="1"/>
  <c r="H84" i="9"/>
  <c r="J84" i="9"/>
  <c r="D85" i="9"/>
  <c r="E85" i="9"/>
  <c r="G85" i="9"/>
  <c r="H85" i="9"/>
  <c r="J85" i="9"/>
  <c r="D86" i="9"/>
  <c r="E86" i="9"/>
  <c r="J86" i="9" s="1"/>
  <c r="G86" i="9"/>
  <c r="H86" i="9"/>
  <c r="D87" i="9"/>
  <c r="E87" i="9"/>
  <c r="G87" i="9" s="1"/>
  <c r="H87" i="9"/>
  <c r="D88" i="9"/>
  <c r="E88" i="9"/>
  <c r="G88" i="9" s="1"/>
  <c r="H88" i="9"/>
  <c r="J88" i="9"/>
  <c r="D89" i="9"/>
  <c r="E89" i="9"/>
  <c r="G89" i="9" s="1"/>
  <c r="H89" i="9"/>
  <c r="D90" i="9"/>
  <c r="E90" i="9"/>
  <c r="G90" i="9" s="1"/>
  <c r="H90" i="9"/>
  <c r="D91" i="9"/>
  <c r="E91" i="9"/>
  <c r="G91" i="9" s="1"/>
  <c r="H91" i="9"/>
  <c r="D92" i="9"/>
  <c r="E92" i="9"/>
  <c r="J92" i="9" s="1"/>
  <c r="H92" i="9"/>
  <c r="D93" i="9"/>
  <c r="E93" i="9"/>
  <c r="G93" i="9" s="1"/>
  <c r="H93" i="9"/>
  <c r="D94" i="9"/>
  <c r="E94" i="9"/>
  <c r="J94" i="9" s="1"/>
  <c r="G94" i="9"/>
  <c r="H94" i="9"/>
  <c r="D95" i="9"/>
  <c r="E95" i="9"/>
  <c r="J95" i="9" s="1"/>
  <c r="H95" i="9"/>
  <c r="D96" i="9"/>
  <c r="E96" i="9"/>
  <c r="G96" i="9" s="1"/>
  <c r="H96" i="9"/>
  <c r="J96" i="9"/>
  <c r="D97" i="9"/>
  <c r="E97" i="9"/>
  <c r="G97" i="9" s="1"/>
  <c r="H97" i="9"/>
  <c r="J97" i="9"/>
  <c r="D98" i="9"/>
  <c r="E98" i="9"/>
  <c r="J98" i="9" s="1"/>
  <c r="G98" i="9"/>
  <c r="H98" i="9"/>
  <c r="D99" i="9"/>
  <c r="E99" i="9"/>
  <c r="G99" i="9" s="1"/>
  <c r="H99" i="9"/>
  <c r="D100" i="9"/>
  <c r="E100" i="9"/>
  <c r="G100" i="9" s="1"/>
  <c r="H100" i="9"/>
  <c r="J100" i="9"/>
  <c r="D101" i="9"/>
  <c r="E101" i="9"/>
  <c r="G101" i="9" s="1"/>
  <c r="H101" i="9"/>
  <c r="D102" i="9"/>
  <c r="E102" i="9"/>
  <c r="G102" i="9" s="1"/>
  <c r="H102" i="9"/>
  <c r="D103" i="9"/>
  <c r="E103" i="9"/>
  <c r="G103" i="9" s="1"/>
  <c r="H103" i="9"/>
  <c r="D104" i="9"/>
  <c r="E104" i="9"/>
  <c r="J104" i="9" s="1"/>
  <c r="H104" i="9"/>
  <c r="D105" i="9"/>
  <c r="E105" i="9"/>
  <c r="G105" i="9" s="1"/>
  <c r="H105" i="9"/>
  <c r="D106" i="9"/>
  <c r="E106" i="9"/>
  <c r="J106" i="9" s="1"/>
  <c r="H106" i="9"/>
  <c r="D107" i="9"/>
  <c r="E107" i="9"/>
  <c r="J107" i="9" s="1"/>
  <c r="G107" i="9"/>
  <c r="H107" i="9"/>
  <c r="D108" i="9"/>
  <c r="E108" i="9"/>
  <c r="G108" i="9"/>
  <c r="H108" i="9"/>
  <c r="J108" i="9"/>
  <c r="D109" i="9"/>
  <c r="E109" i="9"/>
  <c r="G109" i="9"/>
  <c r="H109" i="9"/>
  <c r="J109" i="9"/>
  <c r="D110" i="9"/>
  <c r="E110" i="9"/>
  <c r="J110" i="9" s="1"/>
  <c r="G110" i="9"/>
  <c r="H110" i="9"/>
  <c r="D111" i="9"/>
  <c r="E111" i="9"/>
  <c r="G111" i="9" s="1"/>
  <c r="H111" i="9"/>
  <c r="D112" i="9"/>
  <c r="E112" i="9"/>
  <c r="G112" i="9" s="1"/>
  <c r="H112" i="9"/>
  <c r="J112" i="9"/>
  <c r="D113" i="9"/>
  <c r="E113" i="9"/>
  <c r="G113" i="9" s="1"/>
  <c r="H113" i="9"/>
  <c r="D114" i="9"/>
  <c r="E114" i="9"/>
  <c r="G114" i="9" s="1"/>
  <c r="H114" i="9"/>
  <c r="J114" i="9"/>
  <c r="D115" i="9"/>
  <c r="E115" i="9"/>
  <c r="G115" i="9" s="1"/>
  <c r="H115" i="9"/>
  <c r="D116" i="9"/>
  <c r="E116" i="9"/>
  <c r="G116" i="9" s="1"/>
  <c r="H116" i="9"/>
  <c r="D117" i="9"/>
  <c r="E117" i="9"/>
  <c r="G117" i="9" s="1"/>
  <c r="H117" i="9"/>
  <c r="D118" i="9"/>
  <c r="E118" i="9"/>
  <c r="J118" i="9" s="1"/>
  <c r="H118" i="9"/>
  <c r="D119" i="9"/>
  <c r="E119" i="9"/>
  <c r="J119" i="9" s="1"/>
  <c r="G119" i="9"/>
  <c r="H119" i="9"/>
  <c r="D120" i="9"/>
  <c r="E120" i="9"/>
  <c r="J120" i="9" s="1"/>
  <c r="G120" i="9"/>
  <c r="H120" i="9"/>
  <c r="D121" i="9"/>
  <c r="E121" i="9"/>
  <c r="G121" i="9" s="1"/>
  <c r="H121" i="9"/>
  <c r="J121" i="9"/>
  <c r="D122" i="9"/>
  <c r="E122" i="9"/>
  <c r="G122" i="9" s="1"/>
  <c r="H122" i="9"/>
  <c r="D123" i="9"/>
  <c r="E123" i="9"/>
  <c r="G123" i="9" s="1"/>
  <c r="H123" i="9"/>
  <c r="D124" i="9"/>
  <c r="E124" i="9"/>
  <c r="G124" i="9" s="1"/>
  <c r="H124" i="9"/>
  <c r="J124" i="9"/>
  <c r="D125" i="9"/>
  <c r="E125" i="9"/>
  <c r="G125" i="9" s="1"/>
  <c r="H125" i="9"/>
  <c r="D126" i="9"/>
  <c r="E126" i="9"/>
  <c r="G126" i="9" s="1"/>
  <c r="H126" i="9"/>
  <c r="J126" i="9"/>
  <c r="D127" i="9"/>
  <c r="E127" i="9"/>
  <c r="G127" i="9" s="1"/>
  <c r="H127" i="9"/>
  <c r="D128" i="9"/>
  <c r="E128" i="9"/>
  <c r="G128" i="9" s="1"/>
  <c r="H128" i="9"/>
  <c r="J128" i="9"/>
  <c r="D129" i="9"/>
  <c r="E129" i="9"/>
  <c r="G129" i="9" s="1"/>
  <c r="H129" i="9"/>
  <c r="D130" i="9"/>
  <c r="E130" i="9"/>
  <c r="J130" i="9" s="1"/>
  <c r="H130" i="9"/>
  <c r="D131" i="9"/>
  <c r="E131" i="9"/>
  <c r="J131" i="9" s="1"/>
  <c r="H131" i="9"/>
  <c r="D132" i="9"/>
  <c r="E132" i="9"/>
  <c r="J132" i="9" s="1"/>
  <c r="H132" i="9"/>
  <c r="D133" i="9"/>
  <c r="E133" i="9"/>
  <c r="G133" i="9" s="1"/>
  <c r="H133" i="9"/>
  <c r="D134" i="9"/>
  <c r="E134" i="9"/>
  <c r="G134" i="9"/>
  <c r="H134" i="9"/>
  <c r="J134" i="9"/>
  <c r="D135" i="9"/>
  <c r="E135" i="9"/>
  <c r="G135" i="9" s="1"/>
  <c r="H135" i="9"/>
  <c r="J135" i="9"/>
  <c r="D136" i="9"/>
  <c r="E136" i="9"/>
  <c r="G136" i="9" s="1"/>
  <c r="H136" i="9"/>
  <c r="J136" i="9"/>
  <c r="D137" i="9"/>
  <c r="E137" i="9"/>
  <c r="G137" i="9" s="1"/>
  <c r="H137" i="9"/>
  <c r="D138" i="9"/>
  <c r="E138" i="9"/>
  <c r="G138" i="9" s="1"/>
  <c r="H138" i="9"/>
  <c r="D139" i="9"/>
  <c r="E139" i="9"/>
  <c r="G139" i="9" s="1"/>
  <c r="H139" i="9"/>
  <c r="D140" i="9"/>
  <c r="E140" i="9"/>
  <c r="G140" i="9" s="1"/>
  <c r="H140" i="9"/>
  <c r="J140" i="9"/>
  <c r="D141" i="9"/>
  <c r="E141" i="9"/>
  <c r="G141" i="9" s="1"/>
  <c r="H141" i="9"/>
  <c r="D142" i="9"/>
  <c r="E142" i="9"/>
  <c r="J142" i="9" s="1"/>
  <c r="G142" i="9"/>
  <c r="H142" i="9"/>
  <c r="D143" i="9"/>
  <c r="E143" i="9"/>
  <c r="J143" i="9" s="1"/>
  <c r="G143" i="9"/>
  <c r="H143" i="9"/>
  <c r="D144" i="9"/>
  <c r="E144" i="9"/>
  <c r="J144" i="9" s="1"/>
  <c r="G144" i="9"/>
  <c r="H144" i="9"/>
  <c r="D145" i="9"/>
  <c r="E145" i="9"/>
  <c r="J145" i="9" s="1"/>
  <c r="G145" i="9"/>
  <c r="H145" i="9"/>
  <c r="D146" i="9"/>
  <c r="E146" i="9"/>
  <c r="G146" i="9" s="1"/>
  <c r="H146" i="9"/>
  <c r="J146" i="9"/>
  <c r="D147" i="9"/>
  <c r="E147" i="9"/>
  <c r="G147" i="9" s="1"/>
  <c r="H147" i="9"/>
  <c r="J147" i="9"/>
  <c r="D148" i="9"/>
  <c r="E148" i="9"/>
  <c r="G148" i="9" s="1"/>
  <c r="H148" i="9"/>
  <c r="D149" i="9"/>
  <c r="E149" i="9"/>
  <c r="G149" i="9" s="1"/>
  <c r="H149" i="9"/>
  <c r="D150" i="9"/>
  <c r="E150" i="9"/>
  <c r="G150" i="9" s="1"/>
  <c r="H150" i="9"/>
  <c r="D151" i="9"/>
  <c r="E151" i="9"/>
  <c r="G151" i="9" s="1"/>
  <c r="H151" i="9"/>
  <c r="D152" i="9"/>
  <c r="E152" i="9"/>
  <c r="G152" i="9" s="1"/>
  <c r="H152" i="9"/>
  <c r="J152" i="9"/>
  <c r="D153" i="9"/>
  <c r="E153" i="9"/>
  <c r="G153" i="9" s="1"/>
  <c r="H153" i="9"/>
  <c r="D154" i="9"/>
  <c r="E154" i="9"/>
  <c r="J154" i="9" s="1"/>
  <c r="H154" i="9"/>
  <c r="D155" i="9"/>
  <c r="E155" i="9"/>
  <c r="J155" i="9" s="1"/>
  <c r="H155" i="9"/>
  <c r="D156" i="9"/>
  <c r="E156" i="9"/>
  <c r="J156" i="9" s="1"/>
  <c r="H156" i="9"/>
  <c r="D157" i="9"/>
  <c r="E157" i="9"/>
  <c r="J157" i="9" s="1"/>
  <c r="H157" i="9"/>
  <c r="D158" i="9"/>
  <c r="E158" i="9"/>
  <c r="G158" i="9"/>
  <c r="H158" i="9"/>
  <c r="J158" i="9"/>
  <c r="D159" i="9"/>
  <c r="E159" i="9"/>
  <c r="G159" i="9" s="1"/>
  <c r="H159" i="9"/>
  <c r="D160" i="9"/>
  <c r="E160" i="9"/>
  <c r="G160" i="9" s="1"/>
  <c r="H160" i="9"/>
  <c r="D161" i="9"/>
  <c r="E161" i="9"/>
  <c r="G161" i="9" s="1"/>
  <c r="H161" i="9"/>
  <c r="D162" i="9"/>
  <c r="E162" i="9"/>
  <c r="G162" i="9" s="1"/>
  <c r="H162" i="9"/>
  <c r="D163" i="9"/>
  <c r="E163" i="9"/>
  <c r="G163" i="9" s="1"/>
  <c r="H163" i="9"/>
  <c r="D164" i="9"/>
  <c r="E164" i="9"/>
  <c r="G164" i="9" s="1"/>
  <c r="H164" i="9"/>
  <c r="J164" i="9"/>
  <c r="D165" i="9"/>
  <c r="E165" i="9"/>
  <c r="G165" i="9" s="1"/>
  <c r="H165" i="9"/>
  <c r="D166" i="9"/>
  <c r="E166" i="9"/>
  <c r="J166" i="9" s="1"/>
  <c r="G166" i="9"/>
  <c r="H166" i="9"/>
  <c r="D167" i="9"/>
  <c r="E167" i="9"/>
  <c r="J167" i="9" s="1"/>
  <c r="H167" i="9"/>
  <c r="D168" i="9"/>
  <c r="E168" i="9"/>
  <c r="J168" i="9" s="1"/>
  <c r="G168" i="9"/>
  <c r="H168" i="9"/>
  <c r="D169" i="9"/>
  <c r="E169" i="9"/>
  <c r="G169" i="9"/>
  <c r="H169" i="9"/>
  <c r="J169" i="9"/>
  <c r="D170" i="9"/>
  <c r="E170" i="9"/>
  <c r="G170" i="9" s="1"/>
  <c r="H170" i="9"/>
  <c r="J170" i="9"/>
  <c r="D171" i="9"/>
  <c r="E171" i="9"/>
  <c r="G171" i="9" s="1"/>
  <c r="H171" i="9"/>
  <c r="D172" i="9"/>
  <c r="E172" i="9"/>
  <c r="G172" i="9" s="1"/>
  <c r="H172" i="9"/>
  <c r="D173" i="9"/>
  <c r="E173" i="9"/>
  <c r="G173" i="9" s="1"/>
  <c r="H173" i="9"/>
  <c r="D174" i="9"/>
  <c r="E174" i="9"/>
  <c r="G174" i="9" s="1"/>
  <c r="H174" i="9"/>
  <c r="D175" i="9"/>
  <c r="E175" i="9"/>
  <c r="G175" i="9" s="1"/>
  <c r="H175" i="9"/>
  <c r="D176" i="9"/>
  <c r="E176" i="9"/>
  <c r="G176" i="9" s="1"/>
  <c r="H176" i="9"/>
  <c r="D177" i="9"/>
  <c r="E177" i="9"/>
  <c r="G177" i="9" s="1"/>
  <c r="H177" i="9"/>
  <c r="D178" i="9"/>
  <c r="E178" i="9"/>
  <c r="J178" i="9" s="1"/>
  <c r="H178" i="9"/>
  <c r="D179" i="9"/>
  <c r="E179" i="9"/>
  <c r="J179" i="9" s="1"/>
  <c r="H179" i="9"/>
  <c r="D180" i="9"/>
  <c r="E180" i="9"/>
  <c r="J180" i="9" s="1"/>
  <c r="H180" i="9"/>
  <c r="D181" i="9"/>
  <c r="E181" i="9"/>
  <c r="G181" i="9" s="1"/>
  <c r="H181" i="9"/>
  <c r="D182" i="9"/>
  <c r="E182" i="9"/>
  <c r="G182" i="9"/>
  <c r="H182" i="9"/>
  <c r="J182" i="9"/>
  <c r="D183" i="9"/>
  <c r="E183" i="9"/>
  <c r="G183" i="9" s="1"/>
  <c r="H183" i="9"/>
  <c r="D184" i="9"/>
  <c r="E184" i="9"/>
  <c r="G184" i="9" s="1"/>
  <c r="H184" i="9"/>
  <c r="J184" i="9"/>
  <c r="D185" i="9"/>
  <c r="E185" i="9"/>
  <c r="G185" i="9" s="1"/>
  <c r="H185" i="9"/>
  <c r="D186" i="9"/>
  <c r="E186" i="9"/>
  <c r="G186" i="9" s="1"/>
  <c r="H186" i="9"/>
  <c r="J186" i="9"/>
  <c r="D187" i="9"/>
  <c r="E187" i="9"/>
  <c r="G187" i="9" s="1"/>
  <c r="H187" i="9"/>
  <c r="D188" i="9"/>
  <c r="E188" i="9"/>
  <c r="G188" i="9" s="1"/>
  <c r="H188" i="9"/>
  <c r="D189" i="9"/>
  <c r="E189" i="9"/>
  <c r="G189" i="9" s="1"/>
  <c r="H189" i="9"/>
  <c r="D190" i="9"/>
  <c r="E190" i="9"/>
  <c r="J190" i="9" s="1"/>
  <c r="G190" i="9"/>
  <c r="H190" i="9"/>
  <c r="D191" i="9"/>
  <c r="E191" i="9"/>
  <c r="J191" i="9" s="1"/>
  <c r="G191" i="9"/>
  <c r="H191" i="9"/>
  <c r="D192" i="9"/>
  <c r="E192" i="9"/>
  <c r="J192" i="9" s="1"/>
  <c r="G192" i="9"/>
  <c r="H192" i="9"/>
  <c r="D193" i="9"/>
  <c r="E193" i="9"/>
  <c r="J193" i="9" s="1"/>
  <c r="G193" i="9"/>
  <c r="H193" i="9"/>
  <c r="D194" i="9"/>
  <c r="E194" i="9"/>
  <c r="G194" i="9" s="1"/>
  <c r="H194" i="9"/>
  <c r="D195" i="9"/>
  <c r="E195" i="9"/>
  <c r="G195" i="9" s="1"/>
  <c r="H195" i="9"/>
  <c r="J195" i="9"/>
  <c r="D196" i="9"/>
  <c r="E196" i="9"/>
  <c r="G196" i="9" s="1"/>
  <c r="H196" i="9"/>
  <c r="J196" i="9"/>
  <c r="D197" i="9"/>
  <c r="E197" i="9"/>
  <c r="G197" i="9" s="1"/>
  <c r="H197" i="9"/>
  <c r="D198" i="9"/>
  <c r="E198" i="9"/>
  <c r="G198" i="9" s="1"/>
  <c r="H198" i="9"/>
  <c r="J198" i="9"/>
  <c r="D199" i="9"/>
  <c r="E199" i="9"/>
  <c r="J199" i="9" s="1"/>
  <c r="H199" i="9"/>
  <c r="D200" i="9"/>
  <c r="E200" i="9"/>
  <c r="G200" i="9" s="1"/>
  <c r="H200" i="9"/>
  <c r="D201" i="9"/>
  <c r="E201" i="9"/>
  <c r="G201" i="9" s="1"/>
  <c r="H201" i="9"/>
  <c r="J201" i="9"/>
  <c r="D202" i="9"/>
  <c r="E202" i="9"/>
  <c r="J202" i="9" s="1"/>
  <c r="H202" i="9"/>
  <c r="D203" i="9"/>
  <c r="E203" i="9"/>
  <c r="J203" i="9" s="1"/>
  <c r="G203" i="9"/>
  <c r="H203" i="9"/>
  <c r="D204" i="9"/>
  <c r="E204" i="9"/>
  <c r="G204" i="9" s="1"/>
  <c r="H204" i="9"/>
  <c r="D205" i="9"/>
  <c r="E205" i="9"/>
  <c r="J205" i="9" s="1"/>
  <c r="G205" i="9"/>
  <c r="H205" i="9"/>
  <c r="D206" i="9"/>
  <c r="E206" i="9"/>
  <c r="G206" i="9" s="1"/>
  <c r="H206" i="9"/>
  <c r="D207" i="9"/>
  <c r="E207" i="9"/>
  <c r="H207" i="9"/>
  <c r="D208" i="9"/>
  <c r="E208" i="9"/>
  <c r="J208" i="9" s="1"/>
  <c r="H208" i="9"/>
  <c r="D209" i="9"/>
  <c r="E209" i="9"/>
  <c r="G209" i="9" s="1"/>
  <c r="H209" i="9"/>
  <c r="D210" i="9"/>
  <c r="E210" i="9"/>
  <c r="H210" i="9"/>
  <c r="D211" i="9"/>
  <c r="E211" i="9"/>
  <c r="H211" i="9"/>
  <c r="D212" i="9"/>
  <c r="E212" i="9"/>
  <c r="G212" i="9"/>
  <c r="H212" i="9"/>
  <c r="J212" i="9"/>
  <c r="D213" i="9"/>
  <c r="E213" i="9"/>
  <c r="G213" i="9" s="1"/>
  <c r="H213" i="9"/>
  <c r="D214" i="9"/>
  <c r="E214" i="9"/>
  <c r="H214" i="9"/>
  <c r="D215" i="9"/>
  <c r="E215" i="9"/>
  <c r="G215" i="9"/>
  <c r="H215" i="9"/>
  <c r="J215" i="9"/>
  <c r="D216" i="9"/>
  <c r="E216" i="9"/>
  <c r="G216" i="9" s="1"/>
  <c r="H216" i="9"/>
  <c r="D217" i="9"/>
  <c r="E217" i="9"/>
  <c r="H217" i="9"/>
  <c r="D218" i="9"/>
  <c r="E218" i="9"/>
  <c r="H218" i="9"/>
  <c r="D219" i="9"/>
  <c r="E219" i="9"/>
  <c r="H219" i="9"/>
  <c r="D220" i="9"/>
  <c r="E220" i="9"/>
  <c r="J220" i="9" s="1"/>
  <c r="H220" i="9"/>
  <c r="D221" i="9"/>
  <c r="E221" i="9"/>
  <c r="G221" i="9" s="1"/>
  <c r="H221" i="9"/>
  <c r="D222" i="9"/>
  <c r="E222" i="9"/>
  <c r="G222" i="9" s="1"/>
  <c r="H222" i="9"/>
  <c r="D223" i="9"/>
  <c r="E223" i="9"/>
  <c r="J223" i="9" s="1"/>
  <c r="G223" i="9"/>
  <c r="H223" i="9"/>
  <c r="D224" i="9"/>
  <c r="E224" i="9"/>
  <c r="G224" i="9" s="1"/>
  <c r="H224" i="9"/>
  <c r="D225" i="9"/>
  <c r="E225" i="9"/>
  <c r="G225" i="9" s="1"/>
  <c r="H225" i="9"/>
  <c r="D226" i="9"/>
  <c r="E226" i="9"/>
  <c r="J226" i="9" s="1"/>
  <c r="G226" i="9"/>
  <c r="H226" i="9"/>
  <c r="D227" i="9"/>
  <c r="E227" i="9"/>
  <c r="G227" i="9" s="1"/>
  <c r="H227" i="9"/>
  <c r="J227" i="9"/>
  <c r="D228" i="9"/>
  <c r="E228" i="9"/>
  <c r="G228" i="9" s="1"/>
  <c r="H228" i="9"/>
  <c r="D229" i="9"/>
  <c r="E229" i="9"/>
  <c r="G229" i="9"/>
  <c r="H229" i="9"/>
  <c r="J229" i="9"/>
  <c r="D230" i="9"/>
  <c r="E230" i="9"/>
  <c r="H230" i="9"/>
  <c r="D231" i="9"/>
  <c r="E231" i="9"/>
  <c r="H231" i="9"/>
  <c r="D232" i="9"/>
  <c r="E232" i="9"/>
  <c r="J232" i="9" s="1"/>
  <c r="G232" i="9"/>
  <c r="H232" i="9"/>
  <c r="D233" i="9"/>
  <c r="E233" i="9"/>
  <c r="G233" i="9" s="1"/>
  <c r="H233" i="9"/>
  <c r="D234" i="9"/>
  <c r="E234" i="9"/>
  <c r="G234" i="9"/>
  <c r="H234" i="9"/>
  <c r="J234" i="9"/>
  <c r="D235" i="9"/>
  <c r="E235" i="9"/>
  <c r="J235" i="9" s="1"/>
  <c r="G235" i="9"/>
  <c r="H235" i="9"/>
  <c r="D236" i="9"/>
  <c r="E236" i="9"/>
  <c r="J236" i="9" s="1"/>
  <c r="G236" i="9"/>
  <c r="H236" i="9"/>
  <c r="D237" i="9"/>
  <c r="E237" i="9"/>
  <c r="G237" i="9" s="1"/>
  <c r="H237" i="9"/>
  <c r="D238" i="9"/>
  <c r="E238" i="9"/>
  <c r="J238" i="9" s="1"/>
  <c r="G238" i="9"/>
  <c r="H238" i="9"/>
  <c r="D239" i="9"/>
  <c r="E239" i="9"/>
  <c r="J239" i="9" s="1"/>
  <c r="G239" i="9"/>
  <c r="H239" i="9"/>
  <c r="D240" i="9"/>
  <c r="E240" i="9"/>
  <c r="G240" i="9" s="1"/>
  <c r="H240" i="9"/>
  <c r="D241" i="9"/>
  <c r="E241" i="9"/>
  <c r="G241" i="9"/>
  <c r="H241" i="9"/>
  <c r="J241" i="9"/>
  <c r="D242" i="9"/>
  <c r="E242" i="9"/>
  <c r="H242" i="9"/>
  <c r="D243" i="9"/>
  <c r="E243" i="9"/>
  <c r="H243" i="9"/>
  <c r="D244" i="9"/>
  <c r="E244" i="9"/>
  <c r="J244" i="9" s="1"/>
  <c r="H244" i="9"/>
  <c r="D245" i="9"/>
  <c r="E245" i="9"/>
  <c r="G245" i="9" s="1"/>
  <c r="H245" i="9"/>
  <c r="D246" i="9"/>
  <c r="E246" i="9"/>
  <c r="G246" i="9"/>
  <c r="H246" i="9"/>
  <c r="J246" i="9"/>
  <c r="D247" i="9"/>
  <c r="E247" i="9"/>
  <c r="J247" i="9" s="1"/>
  <c r="H247" i="9"/>
  <c r="D248" i="9"/>
  <c r="E248" i="9"/>
  <c r="J248" i="9" s="1"/>
  <c r="G248" i="9"/>
  <c r="H248" i="9"/>
  <c r="D249" i="9"/>
  <c r="E249" i="9"/>
  <c r="J249" i="9" s="1"/>
  <c r="H249" i="9"/>
  <c r="D250" i="9"/>
  <c r="E250" i="9"/>
  <c r="J250" i="9" s="1"/>
  <c r="H250" i="9"/>
  <c r="D251" i="9"/>
  <c r="E251" i="9"/>
  <c r="J251" i="9" s="1"/>
  <c r="G251" i="9"/>
  <c r="H251" i="9"/>
  <c r="D252" i="9"/>
  <c r="E252" i="9"/>
  <c r="H252" i="9"/>
  <c r="D253" i="9"/>
  <c r="E253" i="9"/>
  <c r="G253" i="9" s="1"/>
  <c r="H253" i="9"/>
  <c r="J253" i="9"/>
  <c r="D254" i="9"/>
  <c r="E254" i="9"/>
  <c r="H254" i="9"/>
  <c r="D255" i="9"/>
  <c r="E255" i="9"/>
  <c r="H255" i="9"/>
  <c r="D256" i="9"/>
  <c r="E256" i="9"/>
  <c r="H256" i="9"/>
  <c r="D257" i="9"/>
  <c r="E257" i="9"/>
  <c r="G257" i="9" s="1"/>
  <c r="H257" i="9"/>
  <c r="D258" i="9"/>
  <c r="E258" i="9"/>
  <c r="G258" i="9"/>
  <c r="H258" i="9"/>
  <c r="J258" i="9"/>
  <c r="D259" i="9"/>
  <c r="E259" i="9"/>
  <c r="H259" i="9"/>
  <c r="D260" i="9"/>
  <c r="E260" i="9"/>
  <c r="H260" i="9"/>
  <c r="D261" i="9"/>
  <c r="E261" i="9"/>
  <c r="H261" i="9"/>
  <c r="D262" i="9"/>
  <c r="E262" i="9"/>
  <c r="H262" i="9"/>
  <c r="D263" i="9"/>
  <c r="E263" i="9"/>
  <c r="H263" i="9"/>
  <c r="D264" i="9"/>
  <c r="E264" i="9"/>
  <c r="H264" i="9"/>
  <c r="D265" i="9"/>
  <c r="E265" i="9"/>
  <c r="G265" i="9" s="1"/>
  <c r="H265" i="9"/>
  <c r="J265" i="9"/>
  <c r="D266" i="9"/>
  <c r="E266" i="9"/>
  <c r="H266" i="9"/>
  <c r="D267" i="9"/>
  <c r="E267" i="9"/>
  <c r="H267" i="9"/>
  <c r="D268" i="9"/>
  <c r="E268" i="9"/>
  <c r="H268" i="9"/>
  <c r="D269" i="9"/>
  <c r="E269" i="9"/>
  <c r="G269" i="9" s="1"/>
  <c r="H269" i="9"/>
  <c r="D270" i="9"/>
  <c r="E270" i="9"/>
  <c r="G270" i="9"/>
  <c r="H270" i="9"/>
  <c r="J270" i="9"/>
  <c r="D271" i="9"/>
  <c r="E271" i="9"/>
  <c r="H271" i="9"/>
  <c r="D272" i="9"/>
  <c r="E272" i="9"/>
  <c r="H272" i="9"/>
  <c r="D273" i="9"/>
  <c r="E273" i="9"/>
  <c r="G273" i="9" s="1"/>
  <c r="H273" i="9"/>
  <c r="D274" i="9"/>
  <c r="E274" i="9"/>
  <c r="H274" i="9"/>
  <c r="D275" i="9"/>
  <c r="E275" i="9"/>
  <c r="H275" i="9"/>
  <c r="D276" i="9"/>
  <c r="E276" i="9"/>
  <c r="G276" i="9" s="1"/>
  <c r="H276" i="9"/>
  <c r="D277" i="9"/>
  <c r="E277" i="9"/>
  <c r="G277" i="9" s="1"/>
  <c r="H277" i="9"/>
  <c r="D278" i="9"/>
  <c r="E278" i="9"/>
  <c r="H278" i="9"/>
  <c r="D279" i="9"/>
  <c r="E279" i="9"/>
  <c r="H279" i="9"/>
  <c r="D280" i="9"/>
  <c r="E280" i="9"/>
  <c r="J280" i="9" s="1"/>
  <c r="H280" i="9"/>
  <c r="D281" i="9"/>
  <c r="E281" i="9"/>
  <c r="G281" i="9" s="1"/>
  <c r="H281" i="9"/>
  <c r="D282" i="9"/>
  <c r="E282" i="9"/>
  <c r="H282" i="9"/>
  <c r="D283" i="9"/>
  <c r="E283" i="9"/>
  <c r="J283" i="9" s="1"/>
  <c r="H283" i="9"/>
  <c r="D284" i="9"/>
  <c r="E284" i="9"/>
  <c r="G284" i="9" s="1"/>
  <c r="H284" i="9"/>
  <c r="D285" i="9"/>
  <c r="E285" i="9"/>
  <c r="G285" i="9" s="1"/>
  <c r="H285" i="9"/>
  <c r="D286" i="9"/>
  <c r="E286" i="9"/>
  <c r="J286" i="9" s="1"/>
  <c r="H286" i="9"/>
  <c r="D287" i="9"/>
  <c r="E287" i="9"/>
  <c r="G287" i="9" s="1"/>
  <c r="H287" i="9"/>
  <c r="D288" i="9"/>
  <c r="E288" i="9"/>
  <c r="G288" i="9" s="1"/>
  <c r="H288" i="9"/>
  <c r="D289" i="9"/>
  <c r="E289" i="9"/>
  <c r="J289" i="9" s="1"/>
  <c r="H289" i="9"/>
  <c r="D290" i="9"/>
  <c r="E290" i="9"/>
  <c r="H290" i="9"/>
  <c r="D291" i="9"/>
  <c r="E291" i="9"/>
  <c r="H291" i="9"/>
  <c r="D292" i="9"/>
  <c r="E292" i="9"/>
  <c r="J292" i="9" s="1"/>
  <c r="G292" i="9"/>
  <c r="H292" i="9"/>
  <c r="D293" i="9"/>
  <c r="E293" i="9"/>
  <c r="G293" i="9" s="1"/>
  <c r="H293" i="9"/>
  <c r="D294" i="9"/>
  <c r="E294" i="9"/>
  <c r="J294" i="9" s="1"/>
  <c r="G294" i="9"/>
  <c r="H294" i="9"/>
  <c r="D295" i="9"/>
  <c r="E295" i="9"/>
  <c r="J295" i="9" s="1"/>
  <c r="H295" i="9"/>
  <c r="D296" i="9"/>
  <c r="E296" i="9"/>
  <c r="G296" i="9"/>
  <c r="H296" i="9"/>
  <c r="J296" i="9"/>
  <c r="D297" i="9"/>
  <c r="E297" i="9"/>
  <c r="G297" i="9" s="1"/>
  <c r="H297" i="9"/>
  <c r="D298" i="9"/>
  <c r="E298" i="9"/>
  <c r="J298" i="9" s="1"/>
  <c r="H298" i="9"/>
  <c r="D299" i="9"/>
  <c r="E299" i="9"/>
  <c r="G299" i="9" s="1"/>
  <c r="H299" i="9"/>
  <c r="D300" i="9"/>
  <c r="E300" i="9"/>
  <c r="G300" i="9" s="1"/>
  <c r="H300" i="9"/>
  <c r="D301" i="9"/>
  <c r="E301" i="9"/>
  <c r="G301" i="9"/>
  <c r="H301" i="9"/>
  <c r="J301" i="9"/>
  <c r="D302" i="9"/>
  <c r="E302" i="9"/>
  <c r="J302" i="9" s="1"/>
  <c r="H302" i="9"/>
  <c r="D303" i="9"/>
  <c r="E303" i="9"/>
  <c r="J303" i="9" s="1"/>
  <c r="H303" i="9"/>
  <c r="D304" i="9"/>
  <c r="E304" i="9"/>
  <c r="G304" i="9" s="1"/>
  <c r="H304" i="9"/>
  <c r="J304" i="9"/>
  <c r="D305" i="9"/>
  <c r="E305" i="9"/>
  <c r="G305" i="9"/>
  <c r="H305" i="9"/>
  <c r="J305" i="9"/>
  <c r="D306" i="9"/>
  <c r="E306" i="9"/>
  <c r="G306" i="9" s="1"/>
  <c r="H306" i="9"/>
  <c r="D307" i="9"/>
  <c r="E307" i="9"/>
  <c r="G307" i="9" s="1"/>
  <c r="H307" i="9"/>
  <c r="D308" i="9"/>
  <c r="E308" i="9"/>
  <c r="G308" i="9"/>
  <c r="H308" i="9"/>
  <c r="J308" i="9"/>
  <c r="D309" i="9"/>
  <c r="E309" i="9"/>
  <c r="G309" i="9" s="1"/>
  <c r="H309" i="9"/>
  <c r="D310" i="9"/>
  <c r="E310" i="9"/>
  <c r="H310" i="9"/>
  <c r="D311" i="9"/>
  <c r="E311" i="9"/>
  <c r="G311" i="9" s="1"/>
  <c r="H311" i="9"/>
  <c r="D312" i="9"/>
  <c r="E312" i="9"/>
  <c r="G312" i="9" s="1"/>
  <c r="H312" i="9"/>
  <c r="D313" i="9"/>
  <c r="E313" i="9"/>
  <c r="J313" i="9" s="1"/>
  <c r="G313" i="9"/>
  <c r="H313" i="9"/>
  <c r="D314" i="9"/>
  <c r="E314" i="9"/>
  <c r="J314" i="9" s="1"/>
  <c r="H314" i="9"/>
  <c r="D315" i="9"/>
  <c r="E315" i="9"/>
  <c r="G315" i="9" s="1"/>
  <c r="H315" i="9"/>
  <c r="D316" i="9"/>
  <c r="E316" i="9"/>
  <c r="G316" i="9"/>
  <c r="H316" i="9"/>
  <c r="J316" i="9"/>
  <c r="D317" i="9"/>
  <c r="E317" i="9"/>
  <c r="G317" i="9"/>
  <c r="H317" i="9"/>
  <c r="J317" i="9"/>
  <c r="D318" i="9"/>
  <c r="E318" i="9"/>
  <c r="J318" i="9" s="1"/>
  <c r="G318" i="9"/>
  <c r="H318" i="9"/>
  <c r="D319" i="9"/>
  <c r="E319" i="9"/>
  <c r="G319" i="9" s="1"/>
  <c r="H319" i="9"/>
  <c r="D320" i="9"/>
  <c r="E320" i="9"/>
  <c r="J320" i="9" s="1"/>
  <c r="G320" i="9"/>
  <c r="H320" i="9"/>
  <c r="D321" i="9"/>
  <c r="E321" i="9"/>
  <c r="J321" i="9" s="1"/>
  <c r="H321" i="9"/>
  <c r="D322" i="9"/>
  <c r="E322" i="9"/>
  <c r="H322" i="9"/>
  <c r="D323" i="9"/>
  <c r="E323" i="9"/>
  <c r="H323" i="9"/>
  <c r="D324" i="9"/>
  <c r="E324" i="9"/>
  <c r="G324" i="9" s="1"/>
  <c r="H324" i="9"/>
  <c r="D325" i="9"/>
  <c r="E325" i="9"/>
  <c r="J325" i="9" s="1"/>
  <c r="H325" i="9"/>
  <c r="D326" i="9"/>
  <c r="E326" i="9"/>
  <c r="J326" i="9" s="1"/>
  <c r="G326" i="9"/>
  <c r="H326" i="9"/>
  <c r="D327" i="9"/>
  <c r="E327" i="9"/>
  <c r="G327" i="9" s="1"/>
  <c r="H327" i="9"/>
  <c r="D328" i="9"/>
  <c r="E328" i="9"/>
  <c r="J328" i="9" s="1"/>
  <c r="G328" i="9"/>
  <c r="H328" i="9"/>
  <c r="D329" i="9"/>
  <c r="E329" i="9"/>
  <c r="G329" i="9" s="1"/>
  <c r="H329" i="9"/>
  <c r="J329" i="9"/>
  <c r="D330" i="9"/>
  <c r="E330" i="9"/>
  <c r="J330" i="9" s="1"/>
  <c r="G330" i="9"/>
  <c r="H330" i="9"/>
  <c r="D331" i="9"/>
  <c r="E331" i="9"/>
  <c r="G331" i="9" s="1"/>
  <c r="H331" i="9"/>
  <c r="D332" i="9"/>
  <c r="E332" i="9"/>
  <c r="G332" i="9"/>
  <c r="H332" i="9"/>
  <c r="J332" i="9"/>
  <c r="D333" i="9"/>
  <c r="E333" i="9"/>
  <c r="H333" i="9"/>
  <c r="D334" i="9"/>
  <c r="E334" i="9"/>
  <c r="G334" i="9"/>
  <c r="H334" i="9"/>
  <c r="J334" i="9"/>
  <c r="D335" i="9"/>
  <c r="E335" i="9"/>
  <c r="J335" i="9" s="1"/>
  <c r="H335" i="9"/>
  <c r="D336" i="9"/>
  <c r="E336" i="9"/>
  <c r="G336" i="9" s="1"/>
  <c r="H336" i="9"/>
  <c r="D337" i="9"/>
  <c r="E337" i="9"/>
  <c r="G337" i="9" s="1"/>
  <c r="H337" i="9"/>
  <c r="D338" i="9"/>
  <c r="E338" i="9"/>
  <c r="H338" i="9"/>
  <c r="D339" i="9"/>
  <c r="E339" i="9"/>
  <c r="G339" i="9" s="1"/>
  <c r="H339" i="9"/>
  <c r="D340" i="9"/>
  <c r="E340" i="9"/>
  <c r="H340" i="9"/>
  <c r="D341" i="9"/>
  <c r="E341" i="9"/>
  <c r="G341" i="9" s="1"/>
  <c r="H341" i="9"/>
  <c r="J341" i="9"/>
  <c r="D342" i="9"/>
  <c r="E342" i="9"/>
  <c r="J342" i="9" s="1"/>
  <c r="G342" i="9"/>
  <c r="H342" i="9"/>
  <c r="D343" i="9"/>
  <c r="E343" i="9"/>
  <c r="H343" i="9"/>
  <c r="D344" i="9"/>
  <c r="E344" i="9"/>
  <c r="G344" i="9"/>
  <c r="H344" i="9"/>
  <c r="J344" i="9"/>
  <c r="D345" i="9"/>
  <c r="E345" i="9"/>
  <c r="J345" i="9" s="1"/>
  <c r="H345" i="9"/>
  <c r="D346" i="9"/>
  <c r="E346" i="9"/>
  <c r="G346" i="9" s="1"/>
  <c r="H346" i="9"/>
  <c r="D347" i="9"/>
  <c r="E347" i="9"/>
  <c r="J347" i="9" s="1"/>
  <c r="G347" i="9"/>
  <c r="H347" i="9"/>
  <c r="D348" i="9"/>
  <c r="E348" i="9"/>
  <c r="G348" i="9" s="1"/>
  <c r="H348" i="9"/>
  <c r="D349" i="9"/>
  <c r="E349" i="9"/>
  <c r="G349" i="9"/>
  <c r="H349" i="9"/>
  <c r="J349" i="9"/>
  <c r="D350" i="9"/>
  <c r="E350" i="9"/>
  <c r="J350" i="9" s="1"/>
  <c r="H350" i="9"/>
  <c r="D351" i="9"/>
  <c r="E351" i="9"/>
  <c r="G351" i="9" s="1"/>
  <c r="H351" i="9"/>
  <c r="D352" i="9"/>
  <c r="E352" i="9"/>
  <c r="G352" i="9" s="1"/>
  <c r="H352" i="9"/>
  <c r="J352" i="9"/>
  <c r="D353" i="9"/>
  <c r="E353" i="9"/>
  <c r="G353" i="9" s="1"/>
  <c r="H353" i="9"/>
  <c r="J353" i="9"/>
  <c r="D354" i="9"/>
  <c r="E354" i="9"/>
  <c r="J354" i="9" s="1"/>
  <c r="H354" i="9"/>
  <c r="D355" i="9"/>
  <c r="E355" i="9"/>
  <c r="J355" i="9" s="1"/>
  <c r="H355" i="9"/>
  <c r="D356" i="9"/>
  <c r="E356" i="9"/>
  <c r="G356" i="9" s="1"/>
  <c r="H356" i="9"/>
  <c r="J356" i="9"/>
  <c r="D357" i="9"/>
  <c r="E357" i="9"/>
  <c r="J357" i="9" s="1"/>
  <c r="H357" i="9"/>
  <c r="D358" i="9"/>
  <c r="E358" i="9"/>
  <c r="J358" i="9" s="1"/>
  <c r="H358" i="9"/>
  <c r="D359" i="9"/>
  <c r="E359" i="9"/>
  <c r="G359" i="9" s="1"/>
  <c r="H359" i="9"/>
  <c r="D360" i="9"/>
  <c r="E360" i="9"/>
  <c r="H360" i="9"/>
  <c r="D361" i="9"/>
  <c r="E361" i="9"/>
  <c r="J361" i="9" s="1"/>
  <c r="G361" i="9"/>
  <c r="H361" i="9"/>
  <c r="D362" i="9"/>
  <c r="E362" i="9"/>
  <c r="J362" i="9" s="1"/>
  <c r="G362" i="9"/>
  <c r="H362" i="9"/>
  <c r="D363" i="9"/>
  <c r="E363" i="9"/>
  <c r="H363" i="9"/>
  <c r="D364" i="9"/>
  <c r="E364" i="9"/>
  <c r="J364" i="9" s="1"/>
  <c r="G364" i="9"/>
  <c r="H364" i="9"/>
  <c r="D365" i="9"/>
  <c r="E365" i="9"/>
  <c r="G365" i="9"/>
  <c r="H365" i="9"/>
  <c r="J365" i="9"/>
  <c r="D366" i="9"/>
  <c r="E366" i="9"/>
  <c r="G366" i="9"/>
  <c r="H366" i="9"/>
  <c r="J366" i="9"/>
  <c r="D367" i="9"/>
  <c r="E367" i="9"/>
  <c r="J367" i="9" s="1"/>
  <c r="G367" i="9"/>
  <c r="H367" i="9"/>
  <c r="D368" i="9"/>
  <c r="E368" i="9"/>
  <c r="J368" i="9" s="1"/>
  <c r="H368" i="9"/>
  <c r="D369" i="9"/>
  <c r="E369" i="9"/>
  <c r="G369" i="9" s="1"/>
  <c r="H369" i="9"/>
  <c r="D370" i="9"/>
  <c r="E370" i="9"/>
  <c r="G370" i="9" s="1"/>
  <c r="H370" i="9"/>
  <c r="D371" i="9"/>
  <c r="E371" i="9"/>
  <c r="G371" i="9" s="1"/>
  <c r="H371" i="9"/>
  <c r="D372" i="9"/>
  <c r="E372" i="9"/>
  <c r="G372" i="9" s="1"/>
  <c r="H372" i="9"/>
  <c r="D373" i="9"/>
  <c r="E373" i="9"/>
  <c r="J373" i="9" s="1"/>
  <c r="G373" i="9"/>
  <c r="H373" i="9"/>
  <c r="D374" i="9"/>
  <c r="E374" i="9"/>
  <c r="J374" i="9" s="1"/>
  <c r="H374" i="9"/>
  <c r="D375" i="9"/>
  <c r="E375" i="9"/>
  <c r="J375" i="9" s="1"/>
  <c r="H375" i="9"/>
  <c r="D376" i="9"/>
  <c r="E376" i="9"/>
  <c r="J376" i="9" s="1"/>
  <c r="G376" i="9"/>
  <c r="H376" i="9"/>
  <c r="D377" i="9"/>
  <c r="E377" i="9"/>
  <c r="G377" i="9"/>
  <c r="H377" i="9"/>
  <c r="J377" i="9"/>
  <c r="D378" i="9"/>
  <c r="E378" i="9"/>
  <c r="G378" i="9"/>
  <c r="H378" i="9"/>
  <c r="J378" i="9"/>
  <c r="D379" i="9"/>
  <c r="E379" i="9"/>
  <c r="G379" i="9" s="1"/>
  <c r="H379" i="9"/>
  <c r="D380" i="9"/>
  <c r="E380" i="9"/>
  <c r="H380" i="9"/>
  <c r="D381" i="9"/>
  <c r="E381" i="9"/>
  <c r="G381" i="9" s="1"/>
  <c r="H381" i="9"/>
  <c r="D382" i="9"/>
  <c r="E382" i="9"/>
  <c r="G382" i="9" s="1"/>
  <c r="H382" i="9"/>
  <c r="D383" i="9"/>
  <c r="E383" i="9"/>
  <c r="J383" i="9" s="1"/>
  <c r="G383" i="9"/>
  <c r="H383" i="9"/>
  <c r="D384" i="9"/>
  <c r="E384" i="9"/>
  <c r="G384" i="9" s="1"/>
  <c r="H384" i="9"/>
  <c r="J384" i="9"/>
  <c r="D385" i="9"/>
  <c r="E385" i="9"/>
  <c r="J385" i="9" s="1"/>
  <c r="G385" i="9"/>
  <c r="H385" i="9"/>
  <c r="D386" i="9"/>
  <c r="E386" i="9"/>
  <c r="J386" i="9" s="1"/>
  <c r="H386" i="9"/>
  <c r="D387" i="9"/>
  <c r="E387" i="9"/>
  <c r="G387" i="9" s="1"/>
  <c r="H387" i="9"/>
  <c r="D388" i="9"/>
  <c r="E388" i="9"/>
  <c r="J388" i="9" s="1"/>
  <c r="H388" i="9"/>
  <c r="D389" i="9"/>
  <c r="E389" i="9"/>
  <c r="J389" i="9" s="1"/>
  <c r="G389" i="9"/>
  <c r="H389" i="9"/>
  <c r="D390" i="9"/>
  <c r="E390" i="9"/>
  <c r="G390" i="9" s="1"/>
  <c r="H390" i="9"/>
  <c r="J390" i="9"/>
  <c r="D391" i="9"/>
  <c r="E391" i="9"/>
  <c r="G391" i="9" s="1"/>
  <c r="H391" i="9"/>
  <c r="D392" i="9"/>
  <c r="E392" i="9"/>
  <c r="H392" i="9"/>
  <c r="D393" i="9"/>
  <c r="E393" i="9"/>
  <c r="J393" i="9" s="1"/>
  <c r="G393" i="9"/>
  <c r="H393" i="9"/>
  <c r="D394" i="9"/>
  <c r="E394" i="9"/>
  <c r="J394" i="9" s="1"/>
  <c r="H394" i="9"/>
  <c r="D395" i="9"/>
  <c r="E395" i="9"/>
  <c r="H395" i="9"/>
  <c r="D396" i="9"/>
  <c r="E396" i="9"/>
  <c r="G396" i="9" s="1"/>
  <c r="H396" i="9"/>
  <c r="J396" i="9"/>
  <c r="D397" i="9"/>
  <c r="E397" i="9"/>
  <c r="G397" i="9" s="1"/>
  <c r="H397" i="9"/>
  <c r="J397" i="9"/>
  <c r="D398" i="9"/>
  <c r="E398" i="9"/>
  <c r="J398" i="9" s="1"/>
  <c r="H398" i="9"/>
  <c r="D399" i="9"/>
  <c r="E399" i="9"/>
  <c r="G399" i="9" s="1"/>
  <c r="H399" i="9"/>
  <c r="D400" i="9"/>
  <c r="E400" i="9"/>
  <c r="G400" i="9"/>
  <c r="H400" i="9"/>
  <c r="J400" i="9"/>
  <c r="D401" i="9"/>
  <c r="E401" i="9"/>
  <c r="J401" i="9" s="1"/>
  <c r="H401" i="9"/>
  <c r="D402" i="9"/>
  <c r="E402" i="9"/>
  <c r="G402" i="9" s="1"/>
  <c r="H402" i="9"/>
  <c r="J402" i="9"/>
  <c r="D403" i="9"/>
  <c r="E403" i="9"/>
  <c r="J403" i="9" s="1"/>
  <c r="H403" i="9"/>
  <c r="D404" i="9"/>
  <c r="E404" i="9"/>
  <c r="G404" i="9" s="1"/>
  <c r="H404" i="9"/>
  <c r="J404" i="9"/>
  <c r="D405" i="9"/>
  <c r="E405" i="9"/>
  <c r="H405" i="9"/>
  <c r="D406" i="9"/>
  <c r="E406" i="9"/>
  <c r="G406" i="9"/>
  <c r="H406" i="9"/>
  <c r="J406" i="9"/>
  <c r="D407" i="9"/>
  <c r="E407" i="9"/>
  <c r="G407" i="9" s="1"/>
  <c r="H407" i="9"/>
  <c r="J407" i="9"/>
  <c r="D408" i="9"/>
  <c r="E408" i="9"/>
  <c r="G408" i="9" s="1"/>
  <c r="H408" i="9"/>
  <c r="D409" i="9"/>
  <c r="E409" i="9"/>
  <c r="G409" i="9" s="1"/>
  <c r="H409" i="9"/>
  <c r="J409" i="9"/>
  <c r="D410" i="9"/>
  <c r="E410" i="9"/>
  <c r="H410" i="9"/>
  <c r="D411" i="9"/>
  <c r="E411" i="9"/>
  <c r="G411" i="9" s="1"/>
  <c r="H411" i="9"/>
  <c r="D412" i="9"/>
  <c r="E412" i="9"/>
  <c r="G412" i="9" s="1"/>
  <c r="H412" i="9"/>
  <c r="D413" i="9"/>
  <c r="E413" i="9"/>
  <c r="J413" i="9" s="1"/>
  <c r="H413" i="9"/>
  <c r="D414" i="9"/>
  <c r="E414" i="9"/>
  <c r="H414" i="9"/>
  <c r="D415" i="9"/>
  <c r="E415" i="9"/>
  <c r="H415" i="9"/>
  <c r="D416" i="9"/>
  <c r="E416" i="9"/>
  <c r="G416" i="9" s="1"/>
  <c r="H416" i="9"/>
  <c r="D417" i="9"/>
  <c r="E417" i="9"/>
  <c r="H417" i="9"/>
  <c r="D418" i="9"/>
  <c r="E418" i="9"/>
  <c r="G418" i="9"/>
  <c r="H418" i="9"/>
  <c r="J418" i="9"/>
  <c r="D419" i="9"/>
  <c r="E419" i="9"/>
  <c r="J419" i="9" s="1"/>
  <c r="G419" i="9"/>
  <c r="H419" i="9"/>
  <c r="D420" i="9"/>
  <c r="E420" i="9"/>
  <c r="G420" i="9" s="1"/>
  <c r="H420" i="9"/>
  <c r="J420" i="9"/>
  <c r="D421" i="9"/>
  <c r="E421" i="9"/>
  <c r="J421" i="9" s="1"/>
  <c r="H421" i="9"/>
  <c r="D422" i="9"/>
  <c r="E422" i="9"/>
  <c r="J422" i="9" s="1"/>
  <c r="H422" i="9"/>
  <c r="D423" i="9"/>
  <c r="E423" i="9"/>
  <c r="G423" i="9" s="1"/>
  <c r="H423" i="9"/>
  <c r="D424" i="9"/>
  <c r="E424" i="9"/>
  <c r="G424" i="9" s="1"/>
  <c r="H424" i="9"/>
  <c r="D425" i="9"/>
  <c r="E425" i="9"/>
  <c r="G425" i="9"/>
  <c r="H425" i="9"/>
  <c r="J425" i="9"/>
  <c r="D426" i="9"/>
  <c r="E426" i="9"/>
  <c r="G426" i="9" s="1"/>
  <c r="H426" i="9"/>
  <c r="D427" i="9"/>
  <c r="E427" i="9"/>
  <c r="J427" i="9" s="1"/>
  <c r="H427" i="9"/>
  <c r="D428" i="9"/>
  <c r="E428" i="9"/>
  <c r="G428" i="9"/>
  <c r="H428" i="9"/>
  <c r="J428" i="9"/>
  <c r="D429" i="9"/>
  <c r="E429" i="9"/>
  <c r="J429" i="9" s="1"/>
  <c r="G429" i="9"/>
  <c r="H429" i="9"/>
  <c r="D430" i="9"/>
  <c r="E430" i="9"/>
  <c r="G430" i="9" s="1"/>
  <c r="H430" i="9"/>
  <c r="J430" i="9"/>
  <c r="D431" i="9"/>
  <c r="E431" i="9"/>
  <c r="G431" i="9" s="1"/>
  <c r="H431" i="9"/>
  <c r="D432" i="9"/>
  <c r="E432" i="9"/>
  <c r="G432" i="9" s="1"/>
  <c r="H432" i="9"/>
  <c r="D433" i="9"/>
  <c r="E433" i="9"/>
  <c r="G433" i="9" s="1"/>
  <c r="H433" i="9"/>
  <c r="D434" i="9"/>
  <c r="E434" i="9"/>
  <c r="J434" i="9" s="1"/>
  <c r="G434" i="9"/>
  <c r="H434" i="9"/>
  <c r="D435" i="9"/>
  <c r="E435" i="9"/>
  <c r="H435" i="9"/>
  <c r="D436" i="9"/>
  <c r="E436" i="9"/>
  <c r="G436" i="9" s="1"/>
  <c r="H436" i="9"/>
  <c r="D437" i="9"/>
  <c r="E437" i="9"/>
  <c r="G437" i="9" s="1"/>
  <c r="H437" i="9"/>
  <c r="D438" i="9"/>
  <c r="E438" i="9"/>
  <c r="J438" i="9" s="1"/>
  <c r="H438" i="9"/>
  <c r="D439" i="9"/>
  <c r="E439" i="9"/>
  <c r="J439" i="9" s="1"/>
  <c r="H439" i="9"/>
  <c r="D440" i="9"/>
  <c r="E440" i="9"/>
  <c r="G440" i="9"/>
  <c r="H440" i="9"/>
  <c r="J440" i="9"/>
  <c r="D441" i="9"/>
  <c r="E441" i="9"/>
  <c r="G441" i="9" s="1"/>
  <c r="H441" i="9"/>
  <c r="D442" i="9"/>
  <c r="E442" i="9"/>
  <c r="G442" i="9" s="1"/>
  <c r="H442" i="9"/>
  <c r="D443" i="9"/>
  <c r="E443" i="9"/>
  <c r="G443" i="9" s="1"/>
  <c r="H443" i="9"/>
  <c r="D444" i="9"/>
  <c r="E444" i="9"/>
  <c r="G444" i="9" s="1"/>
  <c r="H444" i="9"/>
  <c r="D445" i="9"/>
  <c r="E445" i="9"/>
  <c r="G445" i="9"/>
  <c r="H445" i="9"/>
  <c r="J445" i="9"/>
  <c r="D446" i="9"/>
  <c r="E446" i="9"/>
  <c r="J446" i="9" s="1"/>
  <c r="H446" i="9"/>
  <c r="D447" i="9"/>
  <c r="E447" i="9"/>
  <c r="J447" i="9" s="1"/>
  <c r="H447" i="9"/>
  <c r="D448" i="9"/>
  <c r="E448" i="9"/>
  <c r="G448" i="9"/>
  <c r="H448" i="9"/>
  <c r="J448" i="9"/>
  <c r="D449" i="9"/>
  <c r="E449" i="9"/>
  <c r="G449" i="9" s="1"/>
  <c r="H449" i="9"/>
  <c r="D450" i="9"/>
  <c r="E450" i="9"/>
  <c r="J450" i="9" s="1"/>
  <c r="H450" i="9"/>
  <c r="D451" i="9"/>
  <c r="E451" i="9"/>
  <c r="G451" i="9" s="1"/>
  <c r="H451" i="9"/>
  <c r="D452" i="9"/>
  <c r="E452" i="9"/>
  <c r="G452" i="9" s="1"/>
  <c r="H452" i="9"/>
  <c r="D453" i="9"/>
  <c r="E453" i="9"/>
  <c r="G453" i="9" s="1"/>
  <c r="H453" i="9"/>
  <c r="D454" i="9"/>
  <c r="E454" i="9"/>
  <c r="G454" i="9" s="1"/>
  <c r="H454" i="9"/>
  <c r="D455" i="9"/>
  <c r="E455" i="9"/>
  <c r="J455" i="9" s="1"/>
  <c r="H455" i="9"/>
  <c r="D456" i="9"/>
  <c r="E456" i="9"/>
  <c r="H456" i="9"/>
  <c r="D457" i="9"/>
  <c r="E457" i="9"/>
  <c r="G457" i="9" s="1"/>
  <c r="H457" i="9"/>
  <c r="D458" i="9"/>
  <c r="E458" i="9"/>
  <c r="J458" i="9" s="1"/>
  <c r="H458" i="9"/>
  <c r="D459" i="9"/>
  <c r="E459" i="9"/>
  <c r="J459" i="9" s="1"/>
  <c r="G459" i="9"/>
  <c r="H459" i="9"/>
  <c r="D460" i="9"/>
  <c r="E460" i="9"/>
  <c r="G460" i="9" s="1"/>
  <c r="H460" i="9"/>
  <c r="D461" i="9"/>
  <c r="E461" i="9"/>
  <c r="G461" i="9" s="1"/>
  <c r="H461" i="9"/>
  <c r="D462" i="9"/>
  <c r="E462" i="9"/>
  <c r="G462" i="9"/>
  <c r="H462" i="9"/>
  <c r="J462" i="9"/>
  <c r="D463" i="9"/>
  <c r="E463" i="9"/>
  <c r="G463" i="9" s="1"/>
  <c r="H463" i="9"/>
  <c r="D464" i="9"/>
  <c r="E464" i="9"/>
  <c r="G464" i="9" s="1"/>
  <c r="H464" i="9"/>
  <c r="J464" i="9"/>
  <c r="D465" i="9"/>
  <c r="E465" i="9"/>
  <c r="J465" i="9" s="1"/>
  <c r="G465" i="9"/>
  <c r="H465" i="9"/>
  <c r="D466" i="9"/>
  <c r="E466" i="9"/>
  <c r="G466" i="9" s="1"/>
  <c r="H466" i="9"/>
  <c r="D467" i="9"/>
  <c r="E467" i="9"/>
  <c r="H467" i="9"/>
  <c r="D468" i="9"/>
  <c r="E468" i="9"/>
  <c r="G468" i="9" s="1"/>
  <c r="H468" i="9"/>
  <c r="J468" i="9"/>
  <c r="D469" i="9"/>
  <c r="E469" i="9"/>
  <c r="G469" i="9" s="1"/>
  <c r="H469" i="9"/>
  <c r="D470" i="9"/>
  <c r="E470" i="9"/>
  <c r="J470" i="9" s="1"/>
  <c r="G470" i="9"/>
  <c r="H470" i="9"/>
  <c r="D471" i="9"/>
  <c r="E471" i="9"/>
  <c r="G471" i="9" s="1"/>
  <c r="H471" i="9"/>
  <c r="D472" i="9"/>
  <c r="E472" i="9"/>
  <c r="G472" i="9"/>
  <c r="H472" i="9"/>
  <c r="J472" i="9"/>
  <c r="D473" i="9"/>
  <c r="E473" i="9"/>
  <c r="G473" i="9"/>
  <c r="H473" i="9"/>
  <c r="J473" i="9"/>
  <c r="D474" i="9"/>
  <c r="E474" i="9"/>
  <c r="G474" i="9" s="1"/>
  <c r="H474" i="9"/>
  <c r="J474" i="9"/>
  <c r="D475" i="9"/>
  <c r="E475" i="9"/>
  <c r="J475" i="9" s="1"/>
  <c r="G475" i="9"/>
  <c r="H475" i="9"/>
  <c r="D476" i="9"/>
  <c r="E476" i="9"/>
  <c r="J476" i="9" s="1"/>
  <c r="G476" i="9"/>
  <c r="H476" i="9"/>
  <c r="D477" i="9"/>
  <c r="E477" i="9"/>
  <c r="H477" i="9"/>
  <c r="D478" i="9"/>
  <c r="E478" i="9"/>
  <c r="G478" i="9" s="1"/>
  <c r="H478" i="9"/>
  <c r="D479" i="9"/>
  <c r="E479" i="9"/>
  <c r="H479" i="9"/>
  <c r="D480" i="9"/>
  <c r="E480" i="9"/>
  <c r="G480" i="9" s="1"/>
  <c r="H480" i="9"/>
  <c r="D481" i="9"/>
  <c r="E481" i="9"/>
  <c r="G481" i="9"/>
  <c r="H481" i="9"/>
  <c r="J481" i="9"/>
  <c r="D482" i="9"/>
  <c r="E482" i="9"/>
  <c r="H482" i="9"/>
  <c r="D483" i="9"/>
  <c r="E483" i="9"/>
  <c r="G483" i="9" s="1"/>
  <c r="H483" i="9"/>
  <c r="D484" i="9"/>
  <c r="E484" i="9"/>
  <c r="G484" i="9" s="1"/>
  <c r="H484" i="9"/>
  <c r="J484" i="9"/>
  <c r="D485" i="9"/>
  <c r="E485" i="9"/>
  <c r="J485" i="9" s="1"/>
  <c r="G485" i="9"/>
  <c r="H485" i="9"/>
  <c r="D486" i="9"/>
  <c r="E486" i="9"/>
  <c r="J486" i="9" s="1"/>
  <c r="G486" i="9"/>
  <c r="H486" i="9"/>
  <c r="D487" i="9"/>
  <c r="E487" i="9"/>
  <c r="H487" i="9"/>
  <c r="D488" i="9"/>
  <c r="E488" i="9"/>
  <c r="J488" i="9" s="1"/>
  <c r="G488" i="9"/>
  <c r="H488" i="9"/>
  <c r="D489" i="9"/>
  <c r="E489" i="9"/>
  <c r="G489" i="9" s="1"/>
  <c r="H489" i="9"/>
  <c r="J489" i="9"/>
  <c r="D490" i="9"/>
  <c r="E490" i="9"/>
  <c r="G490" i="9"/>
  <c r="H490" i="9"/>
  <c r="J490" i="9"/>
  <c r="D491" i="9"/>
  <c r="E491" i="9"/>
  <c r="J491" i="9" s="1"/>
  <c r="H491" i="9"/>
  <c r="D492" i="9"/>
  <c r="E492" i="9"/>
  <c r="G492" i="9" s="1"/>
  <c r="H492" i="9"/>
  <c r="D493" i="9"/>
  <c r="E493" i="9"/>
  <c r="G493" i="9" s="1"/>
  <c r="H493" i="9"/>
  <c r="D494" i="9"/>
  <c r="E494" i="9"/>
  <c r="J494" i="9" s="1"/>
  <c r="H494" i="9"/>
  <c r="D495" i="9"/>
  <c r="E495" i="9"/>
  <c r="G495" i="9" s="1"/>
  <c r="H495" i="9"/>
  <c r="D496" i="9"/>
  <c r="E496" i="9"/>
  <c r="J496" i="9" s="1"/>
  <c r="G496" i="9"/>
  <c r="H496" i="9"/>
  <c r="D497" i="9"/>
  <c r="E497" i="9"/>
  <c r="J497" i="9" s="1"/>
  <c r="H497" i="9"/>
  <c r="D498" i="9"/>
  <c r="E498" i="9"/>
  <c r="H498" i="9"/>
  <c r="D499" i="9"/>
  <c r="E499" i="9"/>
  <c r="G499" i="9" s="1"/>
  <c r="H499" i="9"/>
  <c r="D500" i="9"/>
  <c r="E500" i="9"/>
  <c r="G500" i="9" s="1"/>
  <c r="H500" i="9"/>
  <c r="D501" i="9"/>
  <c r="E501" i="9"/>
  <c r="J501" i="9" s="1"/>
  <c r="H501" i="9"/>
  <c r="D502" i="9"/>
  <c r="E502" i="9"/>
  <c r="G502" i="9" s="1"/>
  <c r="H502" i="9"/>
  <c r="D503" i="9"/>
  <c r="E503" i="9"/>
  <c r="G503" i="9" s="1"/>
  <c r="H503" i="9"/>
  <c r="J503" i="9"/>
  <c r="D504" i="9"/>
  <c r="E504" i="9"/>
  <c r="G504" i="9" s="1"/>
  <c r="H504" i="9"/>
  <c r="J504" i="9"/>
  <c r="D505" i="9"/>
  <c r="E505" i="9"/>
  <c r="J505" i="9" s="1"/>
  <c r="G505" i="9"/>
  <c r="H505" i="9"/>
  <c r="D506" i="9"/>
  <c r="E506" i="9"/>
  <c r="J506" i="9" s="1"/>
  <c r="H506" i="9"/>
  <c r="D507" i="9"/>
  <c r="E507" i="9"/>
  <c r="H507" i="9"/>
  <c r="D508" i="9"/>
  <c r="E508" i="9"/>
  <c r="J508" i="9" s="1"/>
  <c r="H508" i="9"/>
  <c r="D509" i="9"/>
  <c r="E509" i="9"/>
  <c r="G509" i="9" s="1"/>
  <c r="H509" i="9"/>
  <c r="J509" i="9"/>
  <c r="D510" i="9"/>
  <c r="E510" i="9"/>
  <c r="G510" i="9"/>
  <c r="H510" i="9"/>
  <c r="J510" i="9"/>
  <c r="D511" i="9"/>
  <c r="E511" i="9"/>
  <c r="J511" i="9" s="1"/>
  <c r="H511" i="9"/>
  <c r="D512" i="9"/>
  <c r="E512" i="9"/>
  <c r="G512" i="9" s="1"/>
  <c r="H512" i="9"/>
  <c r="J512" i="9"/>
  <c r="D513" i="9"/>
  <c r="E513" i="9"/>
  <c r="G513" i="9" s="1"/>
  <c r="H513" i="9"/>
  <c r="J513" i="9"/>
  <c r="D514" i="9"/>
  <c r="E514" i="9"/>
  <c r="G514" i="9"/>
  <c r="H514" i="9"/>
  <c r="J514" i="9"/>
  <c r="D515" i="9"/>
  <c r="E515" i="9"/>
  <c r="G515" i="9" s="1"/>
  <c r="H515" i="9"/>
  <c r="D516" i="9"/>
  <c r="E516" i="9"/>
  <c r="G516" i="9" s="1"/>
  <c r="H516" i="9"/>
  <c r="D517" i="9"/>
  <c r="E517" i="9"/>
  <c r="G517" i="9" s="1"/>
  <c r="H517" i="9"/>
  <c r="J517" i="9"/>
  <c r="D518" i="9"/>
  <c r="E518" i="9"/>
  <c r="J518" i="9" s="1"/>
  <c r="H518" i="9"/>
  <c r="D519" i="9"/>
  <c r="E519" i="9"/>
  <c r="G519" i="9" s="1"/>
  <c r="H519" i="9"/>
  <c r="D520" i="9"/>
  <c r="E520" i="9"/>
  <c r="G520" i="9" s="1"/>
  <c r="H520" i="9"/>
  <c r="D521" i="9"/>
  <c r="E521" i="9"/>
  <c r="G521" i="9" s="1"/>
  <c r="H521" i="9"/>
  <c r="J521" i="9"/>
  <c r="D522" i="9"/>
  <c r="E522" i="9"/>
  <c r="J522" i="9" s="1"/>
  <c r="G522" i="9"/>
  <c r="H522" i="9"/>
  <c r="D523" i="9"/>
  <c r="E523" i="9"/>
  <c r="G523" i="9" s="1"/>
  <c r="H523" i="9"/>
  <c r="J523" i="9"/>
  <c r="D524" i="9"/>
  <c r="E524" i="9"/>
  <c r="G524" i="9"/>
  <c r="H524" i="9"/>
  <c r="J524" i="9"/>
  <c r="D525" i="9"/>
  <c r="E525" i="9"/>
  <c r="G525" i="9" s="1"/>
  <c r="H525" i="9"/>
  <c r="D526" i="9"/>
  <c r="E526" i="9"/>
  <c r="G526" i="9" s="1"/>
  <c r="H526" i="9"/>
  <c r="J526" i="9"/>
  <c r="D527" i="9"/>
  <c r="E527" i="9"/>
  <c r="J527" i="9" s="1"/>
  <c r="H527" i="9"/>
  <c r="D528" i="9"/>
  <c r="E528" i="9"/>
  <c r="H528" i="9"/>
  <c r="D529" i="9"/>
  <c r="E529" i="9"/>
  <c r="G529" i="9" s="1"/>
  <c r="H529" i="9"/>
  <c r="D530" i="9"/>
  <c r="E530" i="9"/>
  <c r="J530" i="9" s="1"/>
  <c r="H530" i="9"/>
  <c r="D531" i="9"/>
  <c r="E531" i="9"/>
  <c r="J531" i="9" s="1"/>
  <c r="H531" i="9"/>
  <c r="D532" i="9"/>
  <c r="E532" i="9"/>
  <c r="G532" i="9" s="1"/>
  <c r="H532" i="9"/>
  <c r="D533" i="9"/>
  <c r="E533" i="9"/>
  <c r="G533" i="9" s="1"/>
  <c r="H533" i="9"/>
  <c r="J533" i="9"/>
  <c r="D534" i="9"/>
  <c r="E534" i="9"/>
  <c r="G534" i="9" s="1"/>
  <c r="H534" i="9"/>
  <c r="J534" i="9"/>
  <c r="D535" i="9"/>
  <c r="E535" i="9"/>
  <c r="G535" i="9" s="1"/>
  <c r="H535" i="9"/>
  <c r="D536" i="9"/>
  <c r="E536" i="9"/>
  <c r="G536" i="9" s="1"/>
  <c r="H536" i="9"/>
  <c r="D537" i="9"/>
  <c r="E537" i="9"/>
  <c r="H537" i="9"/>
  <c r="D538" i="9"/>
  <c r="E538" i="9"/>
  <c r="J538" i="9" s="1"/>
  <c r="G538" i="9"/>
  <c r="H538" i="9"/>
  <c r="D539" i="9"/>
  <c r="E539" i="9"/>
  <c r="H539" i="9"/>
  <c r="D540" i="9"/>
  <c r="E540" i="9"/>
  <c r="H540" i="9"/>
  <c r="D541" i="9"/>
  <c r="E541" i="9"/>
  <c r="G541" i="9" s="1"/>
  <c r="H541" i="9"/>
  <c r="D542" i="9"/>
  <c r="E542" i="9"/>
  <c r="J542" i="9" s="1"/>
  <c r="H542" i="9"/>
  <c r="D543" i="9"/>
  <c r="E543" i="9"/>
  <c r="H543" i="9"/>
  <c r="D544" i="9"/>
  <c r="E544" i="9"/>
  <c r="J544" i="9" s="1"/>
  <c r="G544" i="9"/>
  <c r="H544" i="9"/>
  <c r="D545" i="9"/>
  <c r="E545" i="9"/>
  <c r="G545" i="9" s="1"/>
  <c r="H545" i="9"/>
  <c r="J545" i="9"/>
  <c r="D546" i="9"/>
  <c r="E546" i="9"/>
  <c r="G546" i="9" s="1"/>
  <c r="H546" i="9"/>
  <c r="J546" i="9"/>
  <c r="D547" i="9"/>
  <c r="E547" i="9"/>
  <c r="J547" i="9" s="1"/>
  <c r="H547" i="9"/>
  <c r="D548" i="9"/>
  <c r="E548" i="9"/>
  <c r="J548" i="9" s="1"/>
  <c r="H548" i="9"/>
  <c r="D549" i="9"/>
  <c r="E549" i="9"/>
  <c r="H549" i="9"/>
  <c r="D550" i="9"/>
  <c r="E550" i="9"/>
  <c r="G550" i="9" s="1"/>
  <c r="H550" i="9"/>
  <c r="D551" i="9"/>
  <c r="E551" i="9"/>
  <c r="H551" i="9"/>
  <c r="D552" i="9"/>
  <c r="E552" i="9"/>
  <c r="G552" i="9" s="1"/>
  <c r="H552" i="9"/>
  <c r="D553" i="9"/>
  <c r="E553" i="9"/>
  <c r="J553" i="9" s="1"/>
  <c r="G553" i="9"/>
  <c r="H553" i="9"/>
  <c r="D554" i="9"/>
  <c r="E554" i="9"/>
  <c r="H554" i="9"/>
  <c r="D555" i="9"/>
  <c r="E555" i="9"/>
  <c r="G555" i="9" s="1"/>
  <c r="H555" i="9"/>
  <c r="D556" i="9"/>
  <c r="E556" i="9"/>
  <c r="G556" i="9" s="1"/>
  <c r="H556" i="9"/>
  <c r="J556" i="9"/>
  <c r="D557" i="9"/>
  <c r="E557" i="9"/>
  <c r="J557" i="9" s="1"/>
  <c r="H557" i="9"/>
  <c r="D558" i="9"/>
  <c r="E558" i="9"/>
  <c r="J558" i="9" s="1"/>
  <c r="G558" i="9"/>
  <c r="H558" i="9"/>
  <c r="D559" i="9"/>
  <c r="E559" i="9"/>
  <c r="H559" i="9"/>
  <c r="D560" i="9"/>
  <c r="E560" i="9"/>
  <c r="J560" i="9" s="1"/>
  <c r="H560" i="9"/>
  <c r="D561" i="9"/>
  <c r="E561" i="9"/>
  <c r="G561" i="9" s="1"/>
  <c r="H561" i="9"/>
  <c r="J561" i="9"/>
  <c r="D562" i="9"/>
  <c r="E562" i="9"/>
  <c r="G562" i="9" s="1"/>
  <c r="H562" i="9"/>
  <c r="D563" i="9"/>
  <c r="E563" i="9"/>
  <c r="J563" i="9" s="1"/>
  <c r="H563" i="9"/>
  <c r="D564" i="9"/>
  <c r="E564" i="9"/>
  <c r="H564" i="9"/>
  <c r="D565" i="9"/>
  <c r="E565" i="9"/>
  <c r="J565" i="9" s="1"/>
  <c r="G565" i="9"/>
  <c r="H565" i="9"/>
  <c r="D566" i="9"/>
  <c r="E566" i="9"/>
  <c r="J566" i="9" s="1"/>
  <c r="H566" i="9"/>
  <c r="D567" i="9"/>
  <c r="E567" i="9"/>
  <c r="H567" i="9"/>
  <c r="D568" i="9"/>
  <c r="E568" i="9"/>
  <c r="J568" i="9" s="1"/>
  <c r="H568" i="9"/>
  <c r="D569" i="9"/>
  <c r="E569" i="9"/>
  <c r="J569" i="9" s="1"/>
  <c r="H569" i="9"/>
  <c r="D570" i="9"/>
  <c r="E570" i="9"/>
  <c r="H570" i="9"/>
  <c r="D571" i="9"/>
  <c r="E571" i="9"/>
  <c r="G571" i="9" s="1"/>
  <c r="H571" i="9"/>
  <c r="D572" i="9"/>
  <c r="E572" i="9"/>
  <c r="G572" i="9" s="1"/>
  <c r="H572" i="9"/>
  <c r="D573" i="9"/>
  <c r="E573" i="9"/>
  <c r="J573" i="9" s="1"/>
  <c r="H573" i="9"/>
  <c r="D574" i="9"/>
  <c r="E574" i="9"/>
  <c r="G574" i="9" s="1"/>
  <c r="H574" i="9"/>
  <c r="D575" i="9"/>
  <c r="E575" i="9"/>
  <c r="G575" i="9" s="1"/>
  <c r="H575" i="9"/>
  <c r="J575" i="9"/>
  <c r="D576" i="9"/>
  <c r="E576" i="9"/>
  <c r="G576" i="9" s="1"/>
  <c r="H576" i="9"/>
  <c r="J576" i="9"/>
  <c r="D577" i="9"/>
  <c r="E577" i="9"/>
  <c r="G577" i="9" s="1"/>
  <c r="H577" i="9"/>
  <c r="D578" i="9"/>
  <c r="E578" i="9"/>
  <c r="J578" i="9" s="1"/>
  <c r="H578" i="9"/>
  <c r="D579" i="9"/>
  <c r="E579" i="9"/>
  <c r="H579" i="9"/>
  <c r="D580" i="9"/>
  <c r="E580" i="9"/>
  <c r="G580" i="9" s="1"/>
  <c r="H580" i="9"/>
  <c r="D581" i="9"/>
  <c r="E581" i="9"/>
  <c r="G581" i="9" s="1"/>
  <c r="H581" i="9"/>
  <c r="J581" i="9"/>
  <c r="D582" i="9"/>
  <c r="E582" i="9"/>
  <c r="J582" i="9" s="1"/>
  <c r="G582" i="9"/>
  <c r="H582" i="9"/>
  <c r="D583" i="9"/>
  <c r="E583" i="9"/>
  <c r="H583" i="9"/>
  <c r="D584" i="9"/>
  <c r="E584" i="9"/>
  <c r="G584" i="9"/>
  <c r="H584" i="9"/>
  <c r="J584" i="9"/>
  <c r="D585" i="9"/>
  <c r="E585" i="9"/>
  <c r="G585" i="9" s="1"/>
  <c r="H585" i="9"/>
  <c r="D586" i="9"/>
  <c r="E586" i="9"/>
  <c r="G586" i="9"/>
  <c r="H586" i="9"/>
  <c r="J586" i="9"/>
  <c r="D587" i="9"/>
  <c r="E587" i="9"/>
  <c r="G587" i="9" s="1"/>
  <c r="H587" i="9"/>
  <c r="D588" i="9"/>
  <c r="E588" i="9"/>
  <c r="G588" i="9" s="1"/>
  <c r="H588" i="9"/>
  <c r="D589" i="9"/>
  <c r="E589" i="9"/>
  <c r="G589" i="9" s="1"/>
  <c r="H589" i="9"/>
  <c r="D590" i="9"/>
  <c r="E590" i="9"/>
  <c r="J590" i="9" s="1"/>
  <c r="H590" i="9"/>
  <c r="D591" i="9"/>
  <c r="E591" i="9"/>
  <c r="G591" i="9" s="1"/>
  <c r="H591" i="9"/>
  <c r="J591" i="9"/>
  <c r="D592" i="9"/>
  <c r="E592" i="9"/>
  <c r="J592" i="9" s="1"/>
  <c r="G592" i="9"/>
  <c r="H592" i="9"/>
  <c r="D593" i="9"/>
  <c r="E593" i="9"/>
  <c r="G593" i="9"/>
  <c r="H593" i="9"/>
  <c r="J593" i="9"/>
  <c r="D594" i="9"/>
  <c r="E594" i="9"/>
  <c r="G594" i="9" s="1"/>
  <c r="H594" i="9"/>
  <c r="D595" i="9"/>
  <c r="E595" i="9"/>
  <c r="G595" i="9" s="1"/>
  <c r="H595" i="9"/>
  <c r="J595" i="9"/>
  <c r="D596" i="9"/>
  <c r="E596" i="9"/>
  <c r="H596" i="9"/>
  <c r="D597" i="9"/>
  <c r="E597" i="9"/>
  <c r="G597" i="9" s="1"/>
  <c r="H597" i="9"/>
  <c r="D598" i="9"/>
  <c r="E598" i="9"/>
  <c r="G598" i="9" s="1"/>
  <c r="H598" i="9"/>
  <c r="J598" i="9"/>
  <c r="D599" i="9"/>
  <c r="E599" i="9"/>
  <c r="H599" i="9"/>
  <c r="D600" i="9"/>
  <c r="E600" i="9"/>
  <c r="G600" i="9" s="1"/>
  <c r="H600" i="9"/>
  <c r="D601" i="9"/>
  <c r="E601" i="9"/>
  <c r="G601" i="9"/>
  <c r="H601" i="9"/>
  <c r="J601" i="9"/>
  <c r="D602" i="9"/>
  <c r="E602" i="9"/>
  <c r="J602" i="9" s="1"/>
  <c r="H602" i="9"/>
  <c r="D603" i="9"/>
  <c r="E603" i="9"/>
  <c r="J603" i="9" s="1"/>
  <c r="G603" i="9"/>
  <c r="H603" i="9"/>
  <c r="D604" i="9"/>
  <c r="E604" i="9"/>
  <c r="G604" i="9" s="1"/>
  <c r="H604" i="9"/>
  <c r="J604" i="9"/>
  <c r="D605" i="9"/>
  <c r="E605" i="9"/>
  <c r="H605" i="9"/>
  <c r="D606" i="9"/>
  <c r="E606" i="9"/>
  <c r="J606" i="9" s="1"/>
  <c r="H606" i="9"/>
  <c r="D607" i="9"/>
  <c r="E607" i="9"/>
  <c r="G607" i="9" s="1"/>
  <c r="H607" i="9"/>
  <c r="D608" i="9"/>
  <c r="E608" i="9"/>
  <c r="H608" i="9"/>
  <c r="D609" i="9"/>
  <c r="E609" i="9"/>
  <c r="J609" i="9" s="1"/>
  <c r="H609" i="9"/>
  <c r="D610" i="9"/>
  <c r="E610" i="9"/>
  <c r="J610" i="9" s="1"/>
  <c r="H610" i="9"/>
  <c r="D611" i="9"/>
  <c r="E611" i="9"/>
  <c r="H611" i="9"/>
  <c r="D612" i="9"/>
  <c r="E612" i="9"/>
  <c r="G612" i="9" s="1"/>
  <c r="H612" i="9"/>
  <c r="J612" i="9"/>
  <c r="D613" i="9"/>
  <c r="E613" i="9"/>
  <c r="G613" i="9" s="1"/>
  <c r="H613" i="9"/>
  <c r="J613" i="9"/>
  <c r="D614" i="9"/>
  <c r="E614" i="9"/>
  <c r="J614" i="9" s="1"/>
  <c r="G614" i="9"/>
  <c r="H614" i="9"/>
  <c r="D615" i="9"/>
  <c r="E615" i="9"/>
  <c r="G615" i="9" s="1"/>
  <c r="H615" i="9"/>
  <c r="D616" i="9"/>
  <c r="E616" i="9"/>
  <c r="G616" i="9"/>
  <c r="H616" i="9"/>
  <c r="J616" i="9"/>
  <c r="D617" i="9"/>
  <c r="E617" i="9"/>
  <c r="H617" i="9"/>
  <c r="D618" i="9"/>
  <c r="E618" i="9"/>
  <c r="H618" i="9"/>
  <c r="D619" i="9"/>
  <c r="E619" i="9"/>
  <c r="J619" i="9" s="1"/>
  <c r="H619" i="9"/>
  <c r="D620" i="9"/>
  <c r="E620" i="9"/>
  <c r="H620" i="9"/>
  <c r="D621" i="9"/>
  <c r="E621" i="9"/>
  <c r="H621" i="9"/>
  <c r="D622" i="9"/>
  <c r="E622" i="9"/>
  <c r="J622" i="9" s="1"/>
  <c r="H622" i="9"/>
  <c r="D623" i="9"/>
  <c r="E623" i="9"/>
  <c r="H623" i="9"/>
  <c r="D624" i="9"/>
  <c r="E624" i="9"/>
  <c r="G624" i="9" s="1"/>
  <c r="H624" i="9"/>
  <c r="D625" i="9"/>
  <c r="E625" i="9"/>
  <c r="J625" i="9" s="1"/>
  <c r="H625" i="9"/>
  <c r="D626" i="9"/>
  <c r="E626" i="9"/>
  <c r="H626" i="9"/>
  <c r="D627" i="9"/>
  <c r="E627" i="9"/>
  <c r="G627" i="9" s="1"/>
  <c r="H627" i="9"/>
  <c r="D628" i="9"/>
  <c r="E628" i="9"/>
  <c r="G628" i="9" s="1"/>
  <c r="H628" i="9"/>
  <c r="D629" i="9"/>
  <c r="E629" i="9"/>
  <c r="G629" i="9"/>
  <c r="H629" i="9"/>
  <c r="J629" i="9"/>
  <c r="D630" i="9"/>
  <c r="E630" i="9"/>
  <c r="J630" i="9" s="1"/>
  <c r="G630" i="9"/>
  <c r="H630" i="9"/>
  <c r="D631" i="9"/>
  <c r="E631" i="9"/>
  <c r="H631" i="9"/>
  <c r="D632" i="9"/>
  <c r="E632" i="9"/>
  <c r="G632" i="9"/>
  <c r="H632" i="9"/>
  <c r="J632" i="9"/>
  <c r="D633" i="9"/>
  <c r="E633" i="9"/>
  <c r="G633" i="9"/>
  <c r="H633" i="9"/>
  <c r="J633" i="9"/>
  <c r="D634" i="9"/>
  <c r="E634" i="9"/>
  <c r="J634" i="9" s="1"/>
  <c r="H634" i="9"/>
  <c r="D635" i="9"/>
  <c r="E635" i="9"/>
  <c r="H635" i="9"/>
  <c r="D636" i="9"/>
  <c r="E636" i="9"/>
  <c r="H636" i="9"/>
  <c r="D637" i="9"/>
  <c r="E637" i="9"/>
  <c r="J637" i="9" s="1"/>
  <c r="H637" i="9"/>
  <c r="D638" i="9"/>
  <c r="E638" i="9"/>
  <c r="J638" i="9" s="1"/>
  <c r="H638" i="9"/>
  <c r="D639" i="9"/>
  <c r="E639" i="9"/>
  <c r="J639" i="9" s="1"/>
  <c r="G639" i="9"/>
  <c r="H639" i="9"/>
  <c r="D640" i="9"/>
  <c r="E640" i="9"/>
  <c r="J640" i="9" s="1"/>
  <c r="H640" i="9"/>
  <c r="D641" i="9"/>
  <c r="E641" i="9"/>
  <c r="G641" i="9"/>
  <c r="H641" i="9"/>
  <c r="J641" i="9"/>
  <c r="D642" i="9"/>
  <c r="E642" i="9"/>
  <c r="G642" i="9" s="1"/>
  <c r="H642" i="9"/>
  <c r="D643" i="9"/>
  <c r="E643" i="9"/>
  <c r="G643" i="9" s="1"/>
  <c r="H643" i="9"/>
  <c r="D644" i="9"/>
  <c r="E644" i="9"/>
  <c r="H644" i="9"/>
  <c r="D645" i="9"/>
  <c r="E645" i="9"/>
  <c r="J645" i="9" s="1"/>
  <c r="H645" i="9"/>
  <c r="D646" i="9"/>
  <c r="E646" i="9"/>
  <c r="G646" i="9" s="1"/>
  <c r="H646" i="9"/>
  <c r="J646" i="9"/>
  <c r="D647" i="9"/>
  <c r="E647" i="9"/>
  <c r="G647" i="9" s="1"/>
  <c r="H647" i="9"/>
  <c r="J647" i="9"/>
  <c r="D648" i="9"/>
  <c r="E648" i="9"/>
  <c r="G648" i="9" s="1"/>
  <c r="H648" i="9"/>
  <c r="D649" i="9"/>
  <c r="E649" i="9"/>
  <c r="G649" i="9" s="1"/>
  <c r="H649" i="9"/>
  <c r="J649" i="9"/>
  <c r="D650" i="9"/>
  <c r="E650" i="9"/>
  <c r="J650" i="9" s="1"/>
  <c r="G650" i="9"/>
  <c r="H650" i="9"/>
  <c r="D651" i="9"/>
  <c r="E651" i="9"/>
  <c r="H651" i="9"/>
  <c r="D652" i="9"/>
  <c r="E652" i="9"/>
  <c r="G652" i="9" s="1"/>
  <c r="H652" i="9"/>
  <c r="J652" i="9"/>
  <c r="D653" i="9"/>
  <c r="E653" i="9"/>
  <c r="G653" i="9" s="1"/>
  <c r="H653" i="9"/>
  <c r="J653" i="9"/>
  <c r="D654" i="9"/>
  <c r="E654" i="9"/>
  <c r="J654" i="9" s="1"/>
  <c r="H654" i="9"/>
  <c r="D655" i="9"/>
  <c r="E655" i="9"/>
  <c r="H655" i="9"/>
  <c r="D656" i="9"/>
  <c r="E656" i="9"/>
  <c r="G656" i="9" s="1"/>
  <c r="H656" i="9"/>
  <c r="J656" i="9"/>
  <c r="D657" i="9"/>
  <c r="E657" i="9"/>
  <c r="G657" i="9" s="1"/>
  <c r="H657" i="9"/>
  <c r="D658" i="9"/>
  <c r="E658" i="9"/>
  <c r="H658" i="9"/>
  <c r="D659" i="9"/>
  <c r="E659" i="9"/>
  <c r="G659" i="9" s="1"/>
  <c r="H659" i="9"/>
  <c r="D660" i="9"/>
  <c r="E660" i="9"/>
  <c r="G660" i="9" s="1"/>
  <c r="H660" i="9"/>
  <c r="D661" i="9"/>
  <c r="E661" i="9"/>
  <c r="G661" i="9" s="1"/>
  <c r="H661" i="9"/>
  <c r="J661" i="9"/>
  <c r="D662" i="9"/>
  <c r="E662" i="9"/>
  <c r="J662" i="9" s="1"/>
  <c r="H662" i="9"/>
  <c r="D663" i="9"/>
  <c r="E663" i="9"/>
  <c r="G663" i="9" s="1"/>
  <c r="H663" i="9"/>
  <c r="J663" i="9"/>
  <c r="D664" i="9"/>
  <c r="E664" i="9"/>
  <c r="G664" i="9"/>
  <c r="H664" i="9"/>
  <c r="J664" i="9"/>
  <c r="D665" i="9"/>
  <c r="E665" i="9"/>
  <c r="G665" i="9" s="1"/>
  <c r="H665" i="9"/>
  <c r="J665" i="9"/>
  <c r="D666" i="9"/>
  <c r="E666" i="9"/>
  <c r="G666" i="9" s="1"/>
  <c r="H666" i="9"/>
  <c r="D667" i="9"/>
  <c r="E667" i="9"/>
  <c r="G667" i="9" s="1"/>
  <c r="H667" i="9"/>
  <c r="J667" i="9"/>
  <c r="D668" i="9"/>
  <c r="E668" i="9"/>
  <c r="G668" i="9"/>
  <c r="H668" i="9"/>
  <c r="J668" i="9"/>
  <c r="D669" i="9"/>
  <c r="E669" i="9"/>
  <c r="G669" i="9" s="1"/>
  <c r="H669" i="9"/>
  <c r="D670" i="9"/>
  <c r="E670" i="9"/>
  <c r="G670" i="9" s="1"/>
  <c r="H670" i="9"/>
  <c r="J670" i="9"/>
  <c r="D671" i="9"/>
  <c r="E671" i="9"/>
  <c r="J671" i="9" s="1"/>
  <c r="G671" i="9"/>
  <c r="H671" i="9"/>
  <c r="D672" i="9"/>
  <c r="E672" i="9"/>
  <c r="G672" i="9" s="1"/>
  <c r="H672" i="9"/>
  <c r="D673" i="9"/>
  <c r="E673" i="9"/>
  <c r="G673" i="9"/>
  <c r="H673" i="9"/>
  <c r="J673" i="9"/>
  <c r="D674" i="9"/>
  <c r="E674" i="9"/>
  <c r="J674" i="9" s="1"/>
  <c r="H674" i="9"/>
  <c r="D675" i="9"/>
  <c r="E675" i="9"/>
  <c r="J675" i="9" s="1"/>
  <c r="H675" i="9"/>
  <c r="D676" i="9"/>
  <c r="E676" i="9"/>
  <c r="G676" i="9" s="1"/>
  <c r="H676" i="9"/>
  <c r="J676" i="9"/>
  <c r="D677" i="9"/>
  <c r="E677" i="9"/>
  <c r="G677" i="9" s="1"/>
  <c r="H677" i="9"/>
  <c r="J677" i="9"/>
  <c r="D678" i="9"/>
  <c r="E678" i="9"/>
  <c r="J678" i="9" s="1"/>
  <c r="H678" i="9"/>
  <c r="D679" i="9"/>
  <c r="E679" i="9"/>
  <c r="G679" i="9" s="1"/>
  <c r="H679" i="9"/>
  <c r="D680" i="9"/>
  <c r="E680" i="9"/>
  <c r="G680" i="9" s="1"/>
  <c r="H680" i="9"/>
  <c r="J680" i="9"/>
  <c r="D681" i="9"/>
  <c r="E681" i="9"/>
  <c r="J681" i="9" s="1"/>
  <c r="H681" i="9"/>
  <c r="D682" i="9"/>
  <c r="E682" i="9"/>
  <c r="J682" i="9" s="1"/>
  <c r="G682" i="9"/>
  <c r="H682" i="9"/>
  <c r="D683" i="9"/>
  <c r="E683" i="9"/>
  <c r="H683" i="9"/>
  <c r="D684" i="9"/>
  <c r="E684" i="9"/>
  <c r="J684" i="9" s="1"/>
  <c r="G684" i="9"/>
  <c r="H684" i="9"/>
  <c r="D685" i="9"/>
  <c r="E685" i="9"/>
  <c r="G685" i="9" s="1"/>
  <c r="H685" i="9"/>
  <c r="J685" i="9"/>
  <c r="D686" i="9"/>
  <c r="E686" i="9"/>
  <c r="G686" i="9"/>
  <c r="H686" i="9"/>
  <c r="J686" i="9"/>
  <c r="D687" i="9"/>
  <c r="E687" i="9"/>
  <c r="J687" i="9" s="1"/>
  <c r="H687" i="9"/>
  <c r="D688" i="9"/>
  <c r="E688" i="9"/>
  <c r="H688" i="9"/>
  <c r="D689" i="9"/>
  <c r="E689" i="9"/>
  <c r="G689" i="9" s="1"/>
  <c r="H689" i="9"/>
  <c r="D690" i="9"/>
  <c r="E690" i="9"/>
  <c r="G690" i="9" s="1"/>
  <c r="H690" i="9"/>
  <c r="D691" i="9"/>
  <c r="E691" i="9"/>
  <c r="G691" i="9" s="1"/>
  <c r="H691" i="9"/>
  <c r="D692" i="9"/>
  <c r="E692" i="9"/>
  <c r="G692" i="9" s="1"/>
  <c r="H692" i="9"/>
  <c r="D693" i="9"/>
  <c r="E693" i="9"/>
  <c r="J693" i="9" s="1"/>
  <c r="H693" i="9"/>
  <c r="D694" i="9"/>
  <c r="E694" i="9"/>
  <c r="H694" i="9"/>
  <c r="D695" i="9"/>
  <c r="E695" i="9"/>
  <c r="H695" i="9"/>
  <c r="D696" i="9"/>
  <c r="E696" i="9"/>
  <c r="J696" i="9" s="1"/>
  <c r="H696" i="9"/>
  <c r="D697" i="9"/>
  <c r="E697" i="9"/>
  <c r="H697" i="9"/>
  <c r="D698" i="9"/>
  <c r="E698" i="9"/>
  <c r="G698" i="9"/>
  <c r="H698" i="9"/>
  <c r="J698" i="9"/>
  <c r="D699" i="9"/>
  <c r="E699" i="9"/>
  <c r="J699" i="9" s="1"/>
  <c r="H699" i="9"/>
  <c r="D700" i="9"/>
  <c r="E700" i="9"/>
  <c r="H700" i="9"/>
  <c r="D701" i="9"/>
  <c r="E701" i="9"/>
  <c r="G701" i="9" s="1"/>
  <c r="H701" i="9"/>
  <c r="D702" i="9"/>
  <c r="E702" i="9"/>
  <c r="G702" i="9" s="1"/>
  <c r="H702" i="9"/>
  <c r="D703" i="9"/>
  <c r="E703" i="9"/>
  <c r="H703" i="9"/>
  <c r="D704" i="9"/>
  <c r="E704" i="9"/>
  <c r="G704" i="9" s="1"/>
  <c r="H704" i="9"/>
  <c r="D705" i="9"/>
  <c r="E705" i="9"/>
  <c r="J705" i="9" s="1"/>
  <c r="H705" i="9"/>
  <c r="D706" i="9"/>
  <c r="E706" i="9"/>
  <c r="J706" i="9" s="1"/>
  <c r="G706" i="9"/>
  <c r="H706" i="9"/>
  <c r="D707" i="9"/>
  <c r="E707" i="9"/>
  <c r="H707" i="9"/>
  <c r="D708" i="9"/>
  <c r="E708" i="9"/>
  <c r="J708" i="9" s="1"/>
  <c r="G708" i="9"/>
  <c r="H708" i="9"/>
  <c r="D709" i="9"/>
  <c r="E709" i="9"/>
  <c r="G709" i="9" s="1"/>
  <c r="H709" i="9"/>
  <c r="J709" i="9"/>
  <c r="D710" i="9"/>
  <c r="E710" i="9"/>
  <c r="J710" i="9" s="1"/>
  <c r="G710" i="9"/>
  <c r="H710" i="9"/>
  <c r="D711" i="9"/>
  <c r="E711" i="9"/>
  <c r="J711" i="9" s="1"/>
  <c r="H711" i="9"/>
  <c r="D712" i="9"/>
  <c r="E712" i="9"/>
  <c r="H712" i="9"/>
  <c r="D713" i="9"/>
  <c r="E713" i="9"/>
  <c r="G713" i="9" s="1"/>
  <c r="H713" i="9"/>
  <c r="J713" i="9"/>
  <c r="D714" i="9"/>
  <c r="E714" i="9"/>
  <c r="J714" i="9" s="1"/>
  <c r="H714" i="9"/>
  <c r="D715" i="9"/>
  <c r="E715" i="9"/>
  <c r="H715" i="9"/>
  <c r="D716" i="9"/>
  <c r="E716" i="9"/>
  <c r="G716" i="9" s="1"/>
  <c r="H716" i="9"/>
  <c r="J716" i="9"/>
  <c r="D717" i="9"/>
  <c r="E717" i="9"/>
  <c r="J717" i="9" s="1"/>
  <c r="H717" i="9"/>
  <c r="D718" i="9"/>
  <c r="E718" i="9"/>
  <c r="J718" i="9" s="1"/>
  <c r="G718" i="9"/>
  <c r="H718" i="9"/>
  <c r="D719" i="9"/>
  <c r="E719" i="9"/>
  <c r="H719" i="9"/>
  <c r="D720" i="9"/>
  <c r="E720" i="9"/>
  <c r="J720" i="9" s="1"/>
  <c r="G720" i="9"/>
  <c r="H720" i="9"/>
  <c r="D721" i="9"/>
  <c r="E721" i="9"/>
  <c r="H721" i="9"/>
  <c r="D722" i="9"/>
  <c r="E722" i="9"/>
  <c r="G722" i="9" s="1"/>
  <c r="H722" i="9"/>
  <c r="J722" i="9"/>
  <c r="D723" i="9"/>
  <c r="E723" i="9"/>
  <c r="J723" i="9" s="1"/>
  <c r="H723" i="9"/>
  <c r="D724" i="9"/>
  <c r="E724" i="9"/>
  <c r="G724" i="9" s="1"/>
  <c r="H724" i="9"/>
  <c r="J724" i="9"/>
  <c r="D725" i="9"/>
  <c r="E725" i="9"/>
  <c r="G725" i="9" s="1"/>
  <c r="H725" i="9"/>
  <c r="J725" i="9"/>
  <c r="D726" i="9"/>
  <c r="E726" i="9"/>
  <c r="J726" i="9" s="1"/>
  <c r="H726" i="9"/>
  <c r="D727" i="9"/>
  <c r="E727" i="9"/>
  <c r="H727" i="9"/>
  <c r="D728" i="9"/>
  <c r="E728" i="9"/>
  <c r="G728" i="9" s="1"/>
  <c r="H728" i="9"/>
  <c r="D729" i="9"/>
  <c r="E729" i="9"/>
  <c r="J729" i="9" s="1"/>
  <c r="G729" i="9"/>
  <c r="H729" i="9"/>
  <c r="D730" i="9"/>
  <c r="E730" i="9"/>
  <c r="J730" i="9" s="1"/>
  <c r="G730" i="9"/>
  <c r="H730" i="9"/>
  <c r="D731" i="9"/>
  <c r="E731" i="9"/>
  <c r="H731" i="9"/>
  <c r="D732" i="9"/>
  <c r="E732" i="9"/>
  <c r="G732" i="9" s="1"/>
  <c r="H732" i="9"/>
  <c r="D733" i="9"/>
  <c r="E733" i="9"/>
  <c r="H733" i="9"/>
  <c r="D734" i="9"/>
  <c r="E734" i="9"/>
  <c r="G734" i="9"/>
  <c r="H734" i="9"/>
  <c r="J734" i="9"/>
  <c r="D735" i="9"/>
  <c r="E735" i="9"/>
  <c r="J735" i="9" s="1"/>
  <c r="G735" i="9"/>
  <c r="H735" i="9"/>
  <c r="D736" i="9"/>
  <c r="E736" i="9"/>
  <c r="G736" i="9" s="1"/>
  <c r="H736" i="9"/>
  <c r="J736" i="9"/>
  <c r="D737" i="9"/>
  <c r="E737" i="9"/>
  <c r="G737" i="9" s="1"/>
  <c r="H737" i="9"/>
  <c r="J737" i="9"/>
  <c r="D738" i="9"/>
  <c r="E738" i="9"/>
  <c r="J738" i="9" s="1"/>
  <c r="G738" i="9"/>
  <c r="H738" i="9"/>
  <c r="D739" i="9"/>
  <c r="E739" i="9"/>
  <c r="H739" i="9"/>
  <c r="D740" i="9"/>
  <c r="E740" i="9"/>
  <c r="G740" i="9" s="1"/>
  <c r="H740" i="9"/>
  <c r="D741" i="9"/>
  <c r="E741" i="9"/>
  <c r="J741" i="9" s="1"/>
  <c r="H741" i="9"/>
  <c r="D742" i="9"/>
  <c r="E742" i="9"/>
  <c r="J742" i="9" s="1"/>
  <c r="G742" i="9"/>
  <c r="H742" i="9"/>
  <c r="D743" i="9"/>
  <c r="E743" i="9"/>
  <c r="H743" i="9"/>
  <c r="D744" i="9"/>
  <c r="E744" i="9"/>
  <c r="G744" i="9"/>
  <c r="H744" i="9"/>
  <c r="J744" i="9"/>
  <c r="D745" i="9"/>
  <c r="E745" i="9"/>
  <c r="H745" i="9"/>
  <c r="D746" i="9"/>
  <c r="E746" i="9"/>
  <c r="H746" i="9"/>
  <c r="D747" i="9"/>
  <c r="E747" i="9"/>
  <c r="J747" i="9" s="1"/>
  <c r="H747" i="9"/>
  <c r="D748" i="9"/>
  <c r="E748" i="9"/>
  <c r="G748" i="9" s="1"/>
  <c r="H748" i="9"/>
  <c r="J748" i="9"/>
  <c r="D749" i="9"/>
  <c r="E749" i="9"/>
  <c r="G749" i="9" s="1"/>
  <c r="H749" i="9"/>
  <c r="J749" i="9"/>
  <c r="D750" i="9"/>
  <c r="E750" i="9"/>
  <c r="G750" i="9" s="1"/>
  <c r="H750" i="9"/>
  <c r="D751" i="9"/>
  <c r="E751" i="9"/>
  <c r="H751" i="9"/>
  <c r="D752" i="9"/>
  <c r="E752" i="9"/>
  <c r="G752" i="9" s="1"/>
  <c r="H752" i="9"/>
  <c r="D753" i="9"/>
  <c r="E753" i="9"/>
  <c r="J753" i="9" s="1"/>
  <c r="H753" i="9"/>
  <c r="D754" i="9"/>
  <c r="E754" i="9"/>
  <c r="H754" i="9"/>
  <c r="D755" i="9"/>
  <c r="E755" i="9"/>
  <c r="H755" i="9"/>
  <c r="D756" i="9"/>
  <c r="E756" i="9"/>
  <c r="G756" i="9"/>
  <c r="H756" i="9"/>
  <c r="J756" i="9"/>
  <c r="D757" i="9"/>
  <c r="E757" i="9"/>
  <c r="G757" i="9" s="1"/>
  <c r="H757" i="9"/>
  <c r="J757" i="9"/>
  <c r="D758" i="9"/>
  <c r="E758" i="9"/>
  <c r="H758" i="9"/>
  <c r="D759" i="9"/>
  <c r="E759" i="9"/>
  <c r="J759" i="9" s="1"/>
  <c r="H759" i="9"/>
  <c r="D760" i="9"/>
  <c r="E760" i="9"/>
  <c r="G760" i="9" s="1"/>
  <c r="H760" i="9"/>
  <c r="D761" i="9"/>
  <c r="E761" i="9"/>
  <c r="G761" i="9" s="1"/>
  <c r="H761" i="9"/>
  <c r="J761" i="9"/>
  <c r="D762" i="9"/>
  <c r="E762" i="9"/>
  <c r="J762" i="9" s="1"/>
  <c r="G762" i="9"/>
  <c r="H762" i="9"/>
  <c r="D763" i="9"/>
  <c r="E763" i="9"/>
  <c r="H763" i="9"/>
  <c r="D764" i="9"/>
  <c r="E764" i="9"/>
  <c r="G764" i="9" s="1"/>
  <c r="H764" i="9"/>
  <c r="J764" i="9"/>
  <c r="D765" i="9"/>
  <c r="E765" i="9"/>
  <c r="J765" i="9" s="1"/>
  <c r="G765" i="9"/>
  <c r="H765" i="9"/>
  <c r="D766" i="9"/>
  <c r="E766" i="9"/>
  <c r="J766" i="9" s="1"/>
  <c r="H766" i="9"/>
  <c r="D767" i="9"/>
  <c r="E767" i="9"/>
  <c r="G767" i="9"/>
  <c r="H767" i="9"/>
  <c r="J767" i="9"/>
  <c r="D768" i="9"/>
  <c r="E768" i="9"/>
  <c r="G768" i="9"/>
  <c r="H768" i="9"/>
  <c r="J768" i="9"/>
  <c r="D769" i="9"/>
  <c r="E769" i="9"/>
  <c r="G769" i="9" s="1"/>
  <c r="H769" i="9"/>
  <c r="J769" i="9"/>
  <c r="D770" i="9"/>
  <c r="E770" i="9"/>
  <c r="J770" i="9" s="1"/>
  <c r="G770" i="9"/>
  <c r="H770" i="9"/>
  <c r="D771" i="9"/>
  <c r="E771" i="9"/>
  <c r="J771" i="9" s="1"/>
  <c r="H771" i="9"/>
  <c r="D772" i="9"/>
  <c r="E772" i="9"/>
  <c r="H772" i="9"/>
  <c r="D773" i="9"/>
  <c r="E773" i="9"/>
  <c r="G773" i="9" s="1"/>
  <c r="H773" i="9"/>
  <c r="D774" i="9"/>
  <c r="E774" i="9"/>
  <c r="J774" i="9" s="1"/>
  <c r="G774" i="9"/>
  <c r="H774" i="9"/>
  <c r="D775" i="9"/>
  <c r="E775" i="9"/>
  <c r="H775" i="9"/>
  <c r="D776" i="9"/>
  <c r="E776" i="9"/>
  <c r="G776" i="9" s="1"/>
  <c r="H776" i="9"/>
  <c r="D777" i="9"/>
  <c r="E777" i="9"/>
  <c r="J777" i="9" s="1"/>
  <c r="H777" i="9"/>
  <c r="D778" i="9"/>
  <c r="E778" i="9"/>
  <c r="J778" i="9" s="1"/>
  <c r="G778" i="9"/>
  <c r="H778" i="9"/>
  <c r="D779" i="9"/>
  <c r="E779" i="9"/>
  <c r="G779" i="9" s="1"/>
  <c r="H779" i="9"/>
  <c r="D780" i="9"/>
  <c r="E780" i="9"/>
  <c r="G780" i="9"/>
  <c r="H780" i="9"/>
  <c r="J780" i="9"/>
  <c r="D781" i="9"/>
  <c r="E781" i="9"/>
  <c r="G781" i="9" s="1"/>
  <c r="H781" i="9"/>
  <c r="J781" i="9"/>
  <c r="D782" i="9"/>
  <c r="E782" i="9"/>
  <c r="G782" i="9"/>
  <c r="H782" i="9"/>
  <c r="J782" i="9"/>
  <c r="D783" i="9"/>
  <c r="E783" i="9"/>
  <c r="J783" i="9" s="1"/>
  <c r="G783" i="9"/>
  <c r="H783" i="9"/>
  <c r="D784" i="9"/>
  <c r="E784" i="9"/>
  <c r="J784" i="9" s="1"/>
  <c r="H784" i="9"/>
  <c r="D785" i="9"/>
  <c r="E785" i="9"/>
  <c r="G785" i="9" s="1"/>
  <c r="H785" i="9"/>
  <c r="D786" i="9"/>
  <c r="E786" i="9"/>
  <c r="G786" i="9" s="1"/>
  <c r="H786" i="9"/>
  <c r="J786" i="9"/>
  <c r="D787" i="9"/>
  <c r="E787" i="9"/>
  <c r="H787" i="9"/>
  <c r="D788" i="9"/>
  <c r="E788" i="9"/>
  <c r="G788" i="9" s="1"/>
  <c r="H788" i="9"/>
  <c r="D789" i="9"/>
  <c r="E789" i="9"/>
  <c r="H789" i="9"/>
  <c r="D790" i="9"/>
  <c r="E790" i="9"/>
  <c r="J790" i="9" s="1"/>
  <c r="G790" i="9"/>
  <c r="H790" i="9"/>
  <c r="D791" i="9"/>
  <c r="E791" i="9"/>
  <c r="H791" i="9"/>
  <c r="D792" i="9"/>
  <c r="E792" i="9"/>
  <c r="G792" i="9"/>
  <c r="H792" i="9"/>
  <c r="J792" i="9"/>
  <c r="D793" i="9"/>
  <c r="E793" i="9"/>
  <c r="G793" i="9" s="1"/>
  <c r="H793" i="9"/>
  <c r="D794" i="9"/>
  <c r="E794" i="9"/>
  <c r="J794" i="9" s="1"/>
  <c r="G794" i="9"/>
  <c r="H794" i="9"/>
  <c r="D795" i="9"/>
  <c r="E795" i="9"/>
  <c r="H795" i="9"/>
  <c r="D796" i="9"/>
  <c r="E796" i="9"/>
  <c r="G796" i="9" s="1"/>
  <c r="H796" i="9"/>
  <c r="D797" i="9"/>
  <c r="E797" i="9"/>
  <c r="H797" i="9"/>
  <c r="D798" i="9"/>
  <c r="E798" i="9"/>
  <c r="G798" i="9"/>
  <c r="H798" i="9"/>
  <c r="J798" i="9"/>
  <c r="D799" i="9"/>
  <c r="E799" i="9"/>
  <c r="H799" i="9"/>
  <c r="D800" i="9"/>
  <c r="E800" i="9"/>
  <c r="H800" i="9"/>
  <c r="D801" i="9"/>
  <c r="E801" i="9"/>
  <c r="J801" i="9" s="1"/>
  <c r="H801" i="9"/>
  <c r="D802" i="9"/>
  <c r="E802" i="9"/>
  <c r="G802" i="9" s="1"/>
  <c r="H802" i="9"/>
  <c r="D803" i="9"/>
  <c r="E803" i="9"/>
  <c r="G803" i="9" s="1"/>
  <c r="H803" i="9"/>
  <c r="J803" i="9"/>
  <c r="D804" i="9"/>
  <c r="E804" i="9"/>
  <c r="G804" i="9" s="1"/>
  <c r="H804" i="9"/>
  <c r="J804" i="9"/>
  <c r="D805" i="9"/>
  <c r="E805" i="9"/>
  <c r="G805" i="9" s="1"/>
  <c r="H805" i="9"/>
  <c r="D806" i="9"/>
  <c r="E806" i="9"/>
  <c r="J806" i="9" s="1"/>
  <c r="H806" i="9"/>
  <c r="D807" i="9"/>
  <c r="E807" i="9"/>
  <c r="J807" i="9" s="1"/>
  <c r="G807" i="9"/>
  <c r="H807" i="9"/>
  <c r="D808" i="9"/>
  <c r="E808" i="9"/>
  <c r="H808" i="9"/>
  <c r="D809" i="9"/>
  <c r="E809" i="9"/>
  <c r="G809" i="9" s="1"/>
  <c r="H809" i="9"/>
  <c r="J809" i="9"/>
  <c r="D810" i="9"/>
  <c r="E810" i="9"/>
  <c r="G810" i="9" s="1"/>
  <c r="H810" i="9"/>
  <c r="J810" i="9"/>
  <c r="D811" i="9"/>
  <c r="E811" i="9"/>
  <c r="J811" i="9" s="1"/>
  <c r="G811" i="9"/>
  <c r="H811" i="9"/>
  <c r="D812" i="9"/>
  <c r="E812" i="9"/>
  <c r="J812" i="9" s="1"/>
  <c r="H812" i="9"/>
  <c r="D813" i="9"/>
  <c r="E813" i="9"/>
  <c r="J813" i="9" s="1"/>
  <c r="G813" i="9"/>
  <c r="H813" i="9"/>
  <c r="D814" i="9"/>
  <c r="E814" i="9"/>
  <c r="H814" i="9"/>
  <c r="D815" i="9"/>
  <c r="E815" i="9"/>
  <c r="G815" i="9" s="1"/>
  <c r="H815" i="9"/>
  <c r="J815" i="9"/>
  <c r="D816" i="9"/>
  <c r="E816" i="9"/>
  <c r="G816" i="9" s="1"/>
  <c r="H816" i="9"/>
  <c r="D817" i="9"/>
  <c r="E817" i="9"/>
  <c r="H817" i="9"/>
  <c r="D818" i="9"/>
  <c r="E818" i="9"/>
  <c r="J818" i="9" s="1"/>
  <c r="H818" i="9"/>
  <c r="D819" i="9"/>
  <c r="E819" i="9"/>
  <c r="H819" i="9"/>
  <c r="D820" i="9"/>
  <c r="E820" i="9"/>
  <c r="G820" i="9"/>
  <c r="H820" i="9"/>
  <c r="J820" i="9"/>
  <c r="D821" i="9"/>
  <c r="E821" i="9"/>
  <c r="G821" i="9" s="1"/>
  <c r="H821" i="9"/>
  <c r="J821" i="9"/>
  <c r="D822" i="9"/>
  <c r="E822" i="9"/>
  <c r="J822" i="9" s="1"/>
  <c r="G822" i="9"/>
  <c r="H822" i="9"/>
  <c r="D823" i="9"/>
  <c r="E823" i="9"/>
  <c r="J823" i="9" s="1"/>
  <c r="G823" i="9"/>
  <c r="H823" i="9"/>
  <c r="D824" i="9"/>
  <c r="E824" i="9"/>
  <c r="J824" i="9" s="1"/>
  <c r="H824" i="9"/>
  <c r="D825" i="9"/>
  <c r="E825" i="9"/>
  <c r="G825" i="9"/>
  <c r="H825" i="9"/>
  <c r="J825" i="9"/>
  <c r="D826" i="9"/>
  <c r="E826" i="9"/>
  <c r="J826" i="9" s="1"/>
  <c r="H826" i="9"/>
  <c r="D827" i="9"/>
  <c r="E827" i="9"/>
  <c r="G827" i="9" s="1"/>
  <c r="H827" i="9"/>
  <c r="D828" i="9"/>
  <c r="E828" i="9"/>
  <c r="G828" i="9" s="1"/>
  <c r="H828" i="9"/>
  <c r="D829" i="9"/>
  <c r="E829" i="9"/>
  <c r="H829" i="9"/>
  <c r="D830" i="9"/>
  <c r="E830" i="9"/>
  <c r="J830" i="9" s="1"/>
  <c r="H830" i="9"/>
  <c r="D831" i="9"/>
  <c r="E831" i="9"/>
  <c r="G831" i="9"/>
  <c r="H831" i="9"/>
  <c r="J831" i="9"/>
  <c r="D832" i="9"/>
  <c r="E832" i="9"/>
  <c r="H832" i="9"/>
  <c r="D833" i="9"/>
  <c r="E833" i="9"/>
  <c r="J833" i="9" s="1"/>
  <c r="H833" i="9"/>
  <c r="D834" i="9"/>
  <c r="E834" i="9"/>
  <c r="G834" i="9" s="1"/>
  <c r="H834" i="9"/>
  <c r="D835" i="9"/>
  <c r="E835" i="9"/>
  <c r="H835" i="9"/>
  <c r="D836" i="9"/>
  <c r="E836" i="9"/>
  <c r="J836" i="9" s="1"/>
  <c r="H836" i="9"/>
  <c r="D837" i="9"/>
  <c r="E837" i="9"/>
  <c r="G837" i="9" s="1"/>
  <c r="H837" i="9"/>
  <c r="D838" i="9"/>
  <c r="E838" i="9"/>
  <c r="G838" i="9" s="1"/>
  <c r="H838" i="9"/>
  <c r="J838" i="9"/>
  <c r="D839" i="9"/>
  <c r="E839" i="9"/>
  <c r="J839" i="9" s="1"/>
  <c r="G839" i="9"/>
  <c r="H839" i="9"/>
  <c r="D840" i="9"/>
  <c r="E840" i="9"/>
  <c r="J840" i="9" s="1"/>
  <c r="G840" i="9"/>
  <c r="H840" i="9"/>
  <c r="D841" i="9"/>
  <c r="E841" i="9"/>
  <c r="H841" i="9"/>
  <c r="D842" i="9"/>
  <c r="E842" i="9"/>
  <c r="G842" i="9"/>
  <c r="H842" i="9"/>
  <c r="J842" i="9"/>
  <c r="D843" i="9"/>
  <c r="E843" i="9"/>
  <c r="G843" i="9"/>
  <c r="H843" i="9"/>
  <c r="J843" i="9"/>
  <c r="D844" i="9"/>
  <c r="E844" i="9"/>
  <c r="H844" i="9"/>
  <c r="D845" i="9"/>
  <c r="E845" i="9"/>
  <c r="J845" i="9" s="1"/>
  <c r="H845" i="9"/>
  <c r="D846" i="9"/>
  <c r="E846" i="9"/>
  <c r="G846" i="9" s="1"/>
  <c r="H846" i="9"/>
  <c r="D847" i="9"/>
  <c r="E847" i="9"/>
  <c r="H847" i="9"/>
  <c r="D848" i="9"/>
  <c r="E848" i="9"/>
  <c r="J848" i="9" s="1"/>
  <c r="H848" i="9"/>
  <c r="D849" i="9"/>
  <c r="E849" i="9"/>
  <c r="G849" i="9" s="1"/>
  <c r="H849" i="9"/>
  <c r="D850" i="9"/>
  <c r="E850" i="9"/>
  <c r="G850" i="9" s="1"/>
  <c r="H850" i="9"/>
  <c r="J850" i="9"/>
  <c r="D851" i="9"/>
  <c r="E851" i="9"/>
  <c r="J851" i="9" s="1"/>
  <c r="G851" i="9"/>
  <c r="H851" i="9"/>
  <c r="D852" i="9"/>
  <c r="E852" i="9"/>
  <c r="J852" i="9" s="1"/>
  <c r="G852" i="9"/>
  <c r="H852" i="9"/>
  <c r="D853" i="9"/>
  <c r="E853" i="9"/>
  <c r="H853" i="9"/>
  <c r="D854" i="9"/>
  <c r="E854" i="9"/>
  <c r="J854" i="9" s="1"/>
  <c r="G854" i="9"/>
  <c r="H854" i="9"/>
  <c r="D855" i="9"/>
  <c r="E855" i="9"/>
  <c r="G855" i="9"/>
  <c r="H855" i="9"/>
  <c r="J855" i="9"/>
  <c r="D856" i="9"/>
  <c r="E856" i="9"/>
  <c r="H856" i="9"/>
  <c r="D857" i="9"/>
  <c r="E857" i="9"/>
  <c r="J857" i="9" s="1"/>
  <c r="H857" i="9"/>
  <c r="D858" i="9"/>
  <c r="E858" i="9"/>
  <c r="G858" i="9" s="1"/>
  <c r="H858" i="9"/>
  <c r="D859" i="9"/>
  <c r="E859" i="9"/>
  <c r="H859" i="9"/>
  <c r="D860" i="9"/>
  <c r="E860" i="9"/>
  <c r="J860" i="9" s="1"/>
  <c r="H860" i="9"/>
  <c r="D861" i="9"/>
  <c r="E861" i="9"/>
  <c r="G861" i="9" s="1"/>
  <c r="H861" i="9"/>
  <c r="D862" i="9"/>
  <c r="E862" i="9"/>
  <c r="G862" i="9" s="1"/>
  <c r="H862" i="9"/>
  <c r="D863" i="9"/>
  <c r="E863" i="9"/>
  <c r="J863" i="9" s="1"/>
  <c r="G863" i="9"/>
  <c r="H863" i="9"/>
  <c r="D864" i="9"/>
  <c r="E864" i="9"/>
  <c r="J864" i="9" s="1"/>
  <c r="G864" i="9"/>
  <c r="H864" i="9"/>
  <c r="D865" i="9"/>
  <c r="E865" i="9"/>
  <c r="H865" i="9"/>
  <c r="D866" i="9"/>
  <c r="E866" i="9"/>
  <c r="J866" i="9" s="1"/>
  <c r="G866" i="9"/>
  <c r="H866" i="9"/>
  <c r="D867" i="9"/>
  <c r="E867" i="9"/>
  <c r="G867" i="9"/>
  <c r="H867" i="9"/>
  <c r="J867" i="9"/>
  <c r="D868" i="9"/>
  <c r="E868" i="9"/>
  <c r="H868" i="9"/>
  <c r="D869" i="9"/>
  <c r="E869" i="9"/>
  <c r="J869" i="9" s="1"/>
  <c r="H869" i="9"/>
  <c r="D870" i="9"/>
  <c r="E870" i="9"/>
  <c r="G870" i="9" s="1"/>
  <c r="H870" i="9"/>
  <c r="D871" i="9"/>
  <c r="E871" i="9"/>
  <c r="H871" i="9"/>
  <c r="D872" i="9"/>
  <c r="E872" i="9"/>
  <c r="J872" i="9" s="1"/>
  <c r="H872" i="9"/>
  <c r="D873" i="9"/>
  <c r="E873" i="9"/>
  <c r="G873" i="9" s="1"/>
  <c r="H873" i="9"/>
  <c r="D874" i="9"/>
  <c r="E874" i="9"/>
  <c r="G874" i="9" s="1"/>
  <c r="H874" i="9"/>
  <c r="D875" i="9"/>
  <c r="E875" i="9"/>
  <c r="J875" i="9" s="1"/>
  <c r="G875" i="9"/>
  <c r="H875" i="9"/>
  <c r="D876" i="9"/>
  <c r="E876" i="9"/>
  <c r="J876" i="9" s="1"/>
  <c r="G876" i="9"/>
  <c r="H876" i="9"/>
  <c r="D877" i="9"/>
  <c r="E877" i="9"/>
  <c r="H877" i="9"/>
  <c r="D878" i="9"/>
  <c r="E878" i="9"/>
  <c r="J878" i="9" s="1"/>
  <c r="G878" i="9"/>
  <c r="H878" i="9"/>
  <c r="D879" i="9"/>
  <c r="E879" i="9"/>
  <c r="G879" i="9"/>
  <c r="H879" i="9"/>
  <c r="J879" i="9"/>
  <c r="D880" i="9"/>
  <c r="E880" i="9"/>
  <c r="H880" i="9"/>
  <c r="D881" i="9"/>
  <c r="E881" i="9"/>
  <c r="J881" i="9" s="1"/>
  <c r="H881" i="9"/>
  <c r="D882" i="9"/>
  <c r="E882" i="9"/>
  <c r="G882" i="9" s="1"/>
  <c r="H882" i="9"/>
  <c r="D883" i="9"/>
  <c r="E883" i="9"/>
  <c r="H883" i="9"/>
  <c r="D884" i="9"/>
  <c r="E884" i="9"/>
  <c r="J884" i="9" s="1"/>
  <c r="H884" i="9"/>
  <c r="D885" i="9"/>
  <c r="E885" i="9"/>
  <c r="G885" i="9" s="1"/>
  <c r="H885" i="9"/>
  <c r="D886" i="9"/>
  <c r="E886" i="9"/>
  <c r="G886" i="9" s="1"/>
  <c r="H886" i="9"/>
  <c r="D887" i="9"/>
  <c r="E887" i="9"/>
  <c r="J887" i="9" s="1"/>
  <c r="G887" i="9"/>
  <c r="H887" i="9"/>
  <c r="D888" i="9"/>
  <c r="E888" i="9"/>
  <c r="J888" i="9" s="1"/>
  <c r="G888" i="9"/>
  <c r="H888" i="9"/>
  <c r="D889" i="9"/>
  <c r="E889" i="9"/>
  <c r="H889" i="9"/>
  <c r="D890" i="9"/>
  <c r="E890" i="9"/>
  <c r="J890" i="9" s="1"/>
  <c r="G890" i="9"/>
  <c r="H890" i="9"/>
  <c r="D891" i="9"/>
  <c r="E891" i="9"/>
  <c r="G891" i="9"/>
  <c r="H891" i="9"/>
  <c r="J891" i="9"/>
  <c r="D892" i="9"/>
  <c r="E892" i="9"/>
  <c r="H892" i="9"/>
  <c r="D893" i="9"/>
  <c r="E893" i="9"/>
  <c r="J893" i="9" s="1"/>
  <c r="H893" i="9"/>
  <c r="D894" i="9"/>
  <c r="E894" i="9"/>
  <c r="G894" i="9" s="1"/>
  <c r="H894" i="9"/>
  <c r="D895" i="9"/>
  <c r="E895" i="9"/>
  <c r="H895" i="9"/>
  <c r="D896" i="9"/>
  <c r="E896" i="9"/>
  <c r="J896" i="9" s="1"/>
  <c r="H896" i="9"/>
  <c r="D897" i="9"/>
  <c r="E897" i="9"/>
  <c r="G897" i="9" s="1"/>
  <c r="H897" i="9"/>
  <c r="D898" i="9"/>
  <c r="E898" i="9"/>
  <c r="G898" i="9" s="1"/>
  <c r="H898" i="9"/>
  <c r="D899" i="9"/>
  <c r="E899" i="9"/>
  <c r="J899" i="9" s="1"/>
  <c r="G899" i="9"/>
  <c r="H899" i="9"/>
  <c r="D900" i="9"/>
  <c r="E900" i="9"/>
  <c r="J900" i="9" s="1"/>
  <c r="G900" i="9"/>
  <c r="H900" i="9"/>
  <c r="D901" i="9"/>
  <c r="E901" i="9"/>
  <c r="H901" i="9"/>
  <c r="D902" i="9"/>
  <c r="E902" i="9"/>
  <c r="J902" i="9" s="1"/>
  <c r="G902" i="9"/>
  <c r="H902" i="9"/>
  <c r="D903" i="9"/>
  <c r="E903" i="9"/>
  <c r="G903" i="9"/>
  <c r="H903" i="9"/>
  <c r="J903" i="9"/>
  <c r="D904" i="9"/>
  <c r="E904" i="9"/>
  <c r="H904" i="9"/>
  <c r="D905" i="9"/>
  <c r="E905" i="9"/>
  <c r="J905" i="9" s="1"/>
  <c r="H905" i="9"/>
  <c r="D906" i="9"/>
  <c r="E906" i="9"/>
  <c r="G906" i="9" s="1"/>
  <c r="H906" i="9"/>
  <c r="D907" i="9"/>
  <c r="E907" i="9"/>
  <c r="H907" i="9"/>
  <c r="D908" i="9"/>
  <c r="E908" i="9"/>
  <c r="J908" i="9" s="1"/>
  <c r="H908" i="9"/>
  <c r="D909" i="9"/>
  <c r="E909" i="9"/>
  <c r="G909" i="9" s="1"/>
  <c r="H909" i="9"/>
  <c r="D910" i="9"/>
  <c r="E910" i="9"/>
  <c r="G910" i="9" s="1"/>
  <c r="H910" i="9"/>
  <c r="D911" i="9"/>
  <c r="E911" i="9"/>
  <c r="J911" i="9" s="1"/>
  <c r="G911" i="9"/>
  <c r="H911" i="9"/>
  <c r="D912" i="9"/>
  <c r="E912" i="9"/>
  <c r="J912" i="9" s="1"/>
  <c r="H912" i="9"/>
  <c r="D913" i="9"/>
  <c r="E913" i="9"/>
  <c r="H913" i="9"/>
  <c r="D914" i="9"/>
  <c r="E914" i="9"/>
  <c r="J914" i="9" s="1"/>
  <c r="G914" i="9"/>
  <c r="H914" i="9"/>
  <c r="D915" i="9"/>
  <c r="E915" i="9"/>
  <c r="G915" i="9" s="1"/>
  <c r="H915" i="9"/>
  <c r="D916" i="9"/>
  <c r="E916" i="9"/>
  <c r="J916" i="9" s="1"/>
  <c r="G916" i="9"/>
  <c r="H916" i="9"/>
  <c r="D917" i="9"/>
  <c r="E917" i="9"/>
  <c r="J917" i="9" s="1"/>
  <c r="G917" i="9"/>
  <c r="H917" i="9"/>
  <c r="D918" i="9"/>
  <c r="E918" i="9"/>
  <c r="G918" i="9" s="1"/>
  <c r="H918" i="9"/>
  <c r="D919" i="9"/>
  <c r="E919" i="9"/>
  <c r="G919" i="9" s="1"/>
  <c r="H919" i="9"/>
  <c r="D920" i="9"/>
  <c r="E920" i="9"/>
  <c r="J920" i="9" s="1"/>
  <c r="G920" i="9"/>
  <c r="H920" i="9"/>
  <c r="D921" i="9"/>
  <c r="E921" i="9"/>
  <c r="G921" i="9" s="1"/>
  <c r="H921" i="9"/>
  <c r="D922" i="9"/>
  <c r="E922" i="9"/>
  <c r="G922" i="9" s="1"/>
  <c r="H922" i="9"/>
  <c r="J922" i="9"/>
  <c r="D923" i="9"/>
  <c r="E923" i="9"/>
  <c r="J923" i="9" s="1"/>
  <c r="G923" i="9"/>
  <c r="H923" i="9"/>
  <c r="D924" i="9"/>
  <c r="E924" i="9"/>
  <c r="J924" i="9" s="1"/>
  <c r="H924" i="9"/>
  <c r="D925" i="9"/>
  <c r="E925" i="9"/>
  <c r="H925" i="9"/>
  <c r="D926" i="9"/>
  <c r="E926" i="9"/>
  <c r="G926" i="9"/>
  <c r="H926" i="9"/>
  <c r="J926" i="9"/>
  <c r="D927" i="9"/>
  <c r="E927" i="9"/>
  <c r="G927" i="9" s="1"/>
  <c r="H927" i="9"/>
  <c r="D928" i="9"/>
  <c r="E928" i="9"/>
  <c r="J928" i="9" s="1"/>
  <c r="G928" i="9"/>
  <c r="H928" i="9"/>
  <c r="D929" i="9"/>
  <c r="E929" i="9"/>
  <c r="J929" i="9" s="1"/>
  <c r="G929" i="9"/>
  <c r="H929" i="9"/>
  <c r="D930" i="9"/>
  <c r="E930" i="9"/>
  <c r="G930" i="9" s="1"/>
  <c r="H930" i="9"/>
  <c r="D931" i="9"/>
  <c r="E931" i="9"/>
  <c r="G931" i="9" s="1"/>
  <c r="H931" i="9"/>
  <c r="J931" i="9"/>
  <c r="D932" i="9"/>
  <c r="E932" i="9"/>
  <c r="J932" i="9" s="1"/>
  <c r="G932" i="9"/>
  <c r="H932" i="9"/>
  <c r="D933" i="9"/>
  <c r="E933" i="9"/>
  <c r="G933" i="9" s="1"/>
  <c r="H933" i="9"/>
  <c r="D934" i="9"/>
  <c r="E934" i="9"/>
  <c r="G934" i="9" s="1"/>
  <c r="H934" i="9"/>
  <c r="J934" i="9"/>
  <c r="D935" i="9"/>
  <c r="E935" i="9"/>
  <c r="J935" i="9" s="1"/>
  <c r="G935" i="9"/>
  <c r="H935" i="9"/>
  <c r="D936" i="9"/>
  <c r="E936" i="9"/>
  <c r="J936" i="9" s="1"/>
  <c r="G936" i="9"/>
  <c r="H936" i="9"/>
  <c r="D937" i="9"/>
  <c r="E937" i="9"/>
  <c r="H937" i="9"/>
  <c r="D938" i="9"/>
  <c r="E938" i="9"/>
  <c r="H938" i="9"/>
  <c r="D939" i="9"/>
  <c r="E939" i="9"/>
  <c r="G939" i="9" s="1"/>
  <c r="H939" i="9"/>
  <c r="J939" i="9"/>
  <c r="D940" i="9"/>
  <c r="E940" i="9"/>
  <c r="J940" i="9" s="1"/>
  <c r="H940" i="9"/>
  <c r="D941" i="9"/>
  <c r="E941" i="9"/>
  <c r="J941" i="9" s="1"/>
  <c r="G941" i="9"/>
  <c r="H941" i="9"/>
  <c r="D942" i="9"/>
  <c r="E942" i="9"/>
  <c r="G942" i="9" s="1"/>
  <c r="H942" i="9"/>
  <c r="J942" i="9"/>
  <c r="D943" i="9"/>
  <c r="E943" i="9"/>
  <c r="G943" i="9" s="1"/>
  <c r="H943" i="9"/>
  <c r="J943" i="9"/>
  <c r="D944" i="9"/>
  <c r="E944" i="9"/>
  <c r="J944" i="9" s="1"/>
  <c r="G944" i="9"/>
  <c r="H944" i="9"/>
  <c r="D945" i="9"/>
  <c r="E945" i="9"/>
  <c r="G945" i="9" s="1"/>
  <c r="H945" i="9"/>
  <c r="D946" i="9"/>
  <c r="E946" i="9"/>
  <c r="G946" i="9" s="1"/>
  <c r="H946" i="9"/>
  <c r="D947" i="9"/>
  <c r="E947" i="9"/>
  <c r="H947" i="9"/>
  <c r="D948" i="9"/>
  <c r="E948" i="9"/>
  <c r="J948" i="9" s="1"/>
  <c r="H948" i="9"/>
  <c r="D949" i="9"/>
  <c r="E949" i="9"/>
  <c r="H949" i="9"/>
  <c r="D950" i="9"/>
  <c r="E950" i="9"/>
  <c r="G950" i="9"/>
  <c r="H950" i="9"/>
  <c r="J950" i="9"/>
  <c r="D951" i="9"/>
  <c r="E951" i="9"/>
  <c r="G951" i="9" s="1"/>
  <c r="H951" i="9"/>
  <c r="D952" i="9"/>
  <c r="E952" i="9"/>
  <c r="J952" i="9" s="1"/>
  <c r="G952" i="9"/>
  <c r="H952" i="9"/>
  <c r="D953" i="9"/>
  <c r="E953" i="9"/>
  <c r="H953" i="9"/>
  <c r="D954" i="9"/>
  <c r="E954" i="9"/>
  <c r="G954" i="9" s="1"/>
  <c r="H954" i="9"/>
  <c r="D955" i="9"/>
  <c r="E955" i="9"/>
  <c r="G955" i="9" s="1"/>
  <c r="H955" i="9"/>
  <c r="D956" i="9"/>
  <c r="E956" i="9"/>
  <c r="H956" i="9"/>
  <c r="D957" i="9"/>
  <c r="E957" i="9"/>
  <c r="G957" i="9" s="1"/>
  <c r="H957" i="9"/>
  <c r="D958" i="9"/>
  <c r="E958" i="9"/>
  <c r="G958" i="9" s="1"/>
  <c r="H958" i="9"/>
  <c r="D959" i="9"/>
  <c r="E959" i="9"/>
  <c r="J959" i="9" s="1"/>
  <c r="G959" i="9"/>
  <c r="H959" i="9"/>
  <c r="D960" i="9"/>
  <c r="E960" i="9"/>
  <c r="J960" i="9" s="1"/>
  <c r="G960" i="9"/>
  <c r="H960" i="9"/>
  <c r="D961" i="9"/>
  <c r="E961" i="9"/>
  <c r="H961" i="9"/>
  <c r="D962" i="9"/>
  <c r="E962" i="9"/>
  <c r="G962" i="9"/>
  <c r="H962" i="9"/>
  <c r="J962" i="9"/>
  <c r="D963" i="9"/>
  <c r="E963" i="9"/>
  <c r="G963" i="9" s="1"/>
  <c r="H963" i="9"/>
  <c r="D964" i="9"/>
  <c r="E964" i="9"/>
  <c r="J964" i="9" s="1"/>
  <c r="H964" i="9"/>
  <c r="D965" i="9"/>
  <c r="E965" i="9"/>
  <c r="J965" i="9" s="1"/>
  <c r="G965" i="9"/>
  <c r="H965" i="9"/>
  <c r="D966" i="9"/>
  <c r="E966" i="9"/>
  <c r="G966" i="9" s="1"/>
  <c r="H966" i="9"/>
  <c r="D967" i="9"/>
  <c r="E967" i="9"/>
  <c r="G967" i="9" s="1"/>
  <c r="H967" i="9"/>
  <c r="D968" i="9"/>
  <c r="E968" i="9"/>
  <c r="J968" i="9" s="1"/>
  <c r="G968" i="9"/>
  <c r="H968" i="9"/>
  <c r="D969" i="9"/>
  <c r="E969" i="9"/>
  <c r="G969" i="9" s="1"/>
  <c r="H969" i="9"/>
  <c r="D970" i="9"/>
  <c r="E970" i="9"/>
  <c r="G970" i="9" s="1"/>
  <c r="H970" i="9"/>
  <c r="D971" i="9"/>
  <c r="E971" i="9"/>
  <c r="J971" i="9" s="1"/>
  <c r="G971" i="9"/>
  <c r="H971" i="9"/>
  <c r="D972" i="9"/>
  <c r="E972" i="9"/>
  <c r="J972" i="9" s="1"/>
  <c r="G972" i="9"/>
  <c r="H972" i="9"/>
  <c r="D973" i="9"/>
  <c r="E973" i="9"/>
  <c r="H973" i="9"/>
  <c r="D974" i="9"/>
  <c r="E974" i="9"/>
  <c r="G974" i="9" s="1"/>
  <c r="H974" i="9"/>
  <c r="J974" i="9"/>
  <c r="D975" i="9"/>
  <c r="E975" i="9"/>
  <c r="G975" i="9" s="1"/>
  <c r="H975" i="9"/>
  <c r="J975" i="9"/>
  <c r="D976" i="9"/>
  <c r="E976" i="9"/>
  <c r="J976" i="9" s="1"/>
  <c r="H976" i="9"/>
  <c r="D977" i="9"/>
  <c r="E977" i="9"/>
  <c r="J977" i="9" s="1"/>
  <c r="G977" i="9"/>
  <c r="H977" i="9"/>
  <c r="D978" i="9"/>
  <c r="E978" i="9"/>
  <c r="G978" i="9" s="1"/>
  <c r="H978" i="9"/>
  <c r="J978" i="9"/>
  <c r="D979" i="9"/>
  <c r="E979" i="9"/>
  <c r="G979" i="9" s="1"/>
  <c r="H979" i="9"/>
  <c r="D980" i="9"/>
  <c r="E980" i="9"/>
  <c r="J980" i="9" s="1"/>
  <c r="G980" i="9"/>
  <c r="H980" i="9"/>
  <c r="D981" i="9"/>
  <c r="E981" i="9"/>
  <c r="G981" i="9" s="1"/>
  <c r="H981" i="9"/>
  <c r="D982" i="9"/>
  <c r="E982" i="9"/>
  <c r="G982" i="9" s="1"/>
  <c r="H982" i="9"/>
  <c r="J982" i="9"/>
  <c r="D983" i="9"/>
  <c r="E983" i="9"/>
  <c r="J983" i="9" s="1"/>
  <c r="H983" i="9"/>
  <c r="D984" i="9"/>
  <c r="E984" i="9"/>
  <c r="J984" i="9" s="1"/>
  <c r="G984" i="9"/>
  <c r="H984" i="9"/>
  <c r="D985" i="9"/>
  <c r="E985" i="9"/>
  <c r="H985" i="9"/>
  <c r="D986" i="9"/>
  <c r="E986" i="9"/>
  <c r="G986" i="9" s="1"/>
  <c r="H986" i="9"/>
  <c r="J986" i="9"/>
  <c r="D987" i="9"/>
  <c r="E987" i="9"/>
  <c r="G987" i="9" s="1"/>
  <c r="H987" i="9"/>
  <c r="J987" i="9"/>
  <c r="D988" i="9"/>
  <c r="E988" i="9"/>
  <c r="J988" i="9" s="1"/>
  <c r="G988" i="9"/>
  <c r="H988" i="9"/>
  <c r="D989" i="9"/>
  <c r="E989" i="9"/>
  <c r="J989" i="9" s="1"/>
  <c r="H989" i="9"/>
  <c r="D990" i="9"/>
  <c r="E990" i="9"/>
  <c r="G990" i="9" s="1"/>
  <c r="H990" i="9"/>
  <c r="J990" i="9"/>
  <c r="D991" i="9"/>
  <c r="E991" i="9"/>
  <c r="G991" i="9" s="1"/>
  <c r="H991" i="9"/>
  <c r="J991" i="9"/>
  <c r="D992" i="9"/>
  <c r="E992" i="9"/>
  <c r="J992" i="9" s="1"/>
  <c r="H992" i="9"/>
  <c r="D993" i="9"/>
  <c r="E993" i="9"/>
  <c r="G993" i="9" s="1"/>
  <c r="H993" i="9"/>
  <c r="D994" i="9"/>
  <c r="E994" i="9"/>
  <c r="G994" i="9" s="1"/>
  <c r="H994" i="9"/>
  <c r="D995" i="9"/>
  <c r="E995" i="9"/>
  <c r="J995" i="9" s="1"/>
  <c r="H995" i="9"/>
  <c r="D996" i="9"/>
  <c r="E996" i="9"/>
  <c r="H996" i="9"/>
  <c r="D997" i="9"/>
  <c r="E997" i="9"/>
  <c r="H997" i="9"/>
  <c r="D998" i="9"/>
  <c r="E998" i="9"/>
  <c r="J998" i="9" s="1"/>
  <c r="H998" i="9"/>
  <c r="D999" i="9"/>
  <c r="E999" i="9"/>
  <c r="H999" i="9"/>
  <c r="D1000" i="9"/>
  <c r="E1000" i="9"/>
  <c r="J1000" i="9" s="1"/>
  <c r="H1000" i="9"/>
  <c r="D1001" i="9"/>
  <c r="E1001" i="9"/>
  <c r="J1001" i="9" s="1"/>
  <c r="H1001" i="9"/>
  <c r="D1002" i="9"/>
  <c r="E1002" i="9"/>
  <c r="H1002" i="9"/>
  <c r="D1003" i="9"/>
  <c r="E1003" i="9"/>
  <c r="G1003" i="9" s="1"/>
  <c r="H1003" i="9"/>
  <c r="D1004" i="9"/>
  <c r="E1004" i="9"/>
  <c r="J1004" i="9" s="1"/>
  <c r="H1004" i="9"/>
  <c r="D1005" i="9"/>
  <c r="E1005" i="9"/>
  <c r="G1005" i="9" s="1"/>
  <c r="H1005" i="9"/>
  <c r="D1006" i="9"/>
  <c r="E1006" i="9"/>
  <c r="G1006" i="9" s="1"/>
  <c r="H1006" i="9"/>
  <c r="D1007" i="9"/>
  <c r="E1007" i="9"/>
  <c r="J1007" i="9" s="1"/>
  <c r="H1007" i="9"/>
  <c r="D1008" i="9"/>
  <c r="E1008" i="9"/>
  <c r="J1008" i="9" s="1"/>
  <c r="G1008" i="9"/>
  <c r="H1008" i="9"/>
  <c r="D1009" i="9"/>
  <c r="E1009" i="9"/>
  <c r="H1009" i="9"/>
  <c r="D1010" i="9"/>
  <c r="E1010" i="9"/>
  <c r="J1010" i="9" s="1"/>
  <c r="H1010" i="9"/>
  <c r="D1011" i="9"/>
  <c r="E1011" i="9"/>
  <c r="G1011" i="9" s="1"/>
  <c r="H1011" i="9"/>
  <c r="D1012" i="9"/>
  <c r="E1012" i="9"/>
  <c r="J1012" i="9" s="1"/>
  <c r="G1012" i="9"/>
  <c r="H1012" i="9"/>
  <c r="D1013" i="9"/>
  <c r="E1013" i="9"/>
  <c r="J1013" i="9" s="1"/>
  <c r="H1013" i="9"/>
  <c r="D1014" i="9"/>
  <c r="E1014" i="9"/>
  <c r="G1014" i="9" s="1"/>
  <c r="H1014" i="9"/>
  <c r="D1015" i="9"/>
  <c r="E1015" i="9"/>
  <c r="G1015" i="9" s="1"/>
  <c r="H1015" i="9"/>
  <c r="D1016" i="9"/>
  <c r="E1016" i="9"/>
  <c r="J1016" i="9" s="1"/>
  <c r="H1016" i="9"/>
  <c r="D1017" i="9"/>
  <c r="E1017" i="9"/>
  <c r="G1017" i="9" s="1"/>
  <c r="H1017" i="9"/>
  <c r="D1018" i="9"/>
  <c r="E1018" i="9"/>
  <c r="G1018" i="9" s="1"/>
  <c r="H1018" i="9"/>
  <c r="J1018" i="9"/>
  <c r="D1019" i="9"/>
  <c r="E1019" i="9"/>
  <c r="J1019" i="9" s="1"/>
  <c r="H1019" i="9"/>
  <c r="D1020" i="9"/>
  <c r="E1020" i="9"/>
  <c r="J1020" i="9" s="1"/>
  <c r="G1020" i="9"/>
  <c r="H1020" i="9"/>
  <c r="D1021" i="9"/>
  <c r="E1021" i="9"/>
  <c r="H1021" i="9"/>
  <c r="D1022" i="9"/>
  <c r="E1022" i="9"/>
  <c r="J1022" i="9" s="1"/>
  <c r="G1022" i="9"/>
  <c r="H1022" i="9"/>
  <c r="D1023" i="9"/>
  <c r="E1023" i="9"/>
  <c r="G1023" i="9" s="1"/>
  <c r="H1023" i="9"/>
  <c r="J1023" i="9"/>
  <c r="D1024" i="9"/>
  <c r="E1024" i="9"/>
  <c r="J1024" i="9" s="1"/>
  <c r="G1024" i="9"/>
  <c r="H1024" i="9"/>
  <c r="D1025" i="9"/>
  <c r="E1025" i="9"/>
  <c r="J1025" i="9" s="1"/>
  <c r="H1025" i="9"/>
  <c r="D1026" i="9"/>
  <c r="E1026" i="9"/>
  <c r="G1026" i="9" s="1"/>
  <c r="H1026" i="9"/>
  <c r="J1026" i="9"/>
  <c r="D1027" i="9"/>
  <c r="E1027" i="9"/>
  <c r="G1027" i="9" s="1"/>
  <c r="H1027" i="9"/>
  <c r="J1027" i="9"/>
  <c r="D1028" i="9"/>
  <c r="E1028" i="9"/>
  <c r="J1028" i="9" s="1"/>
  <c r="H1028" i="9"/>
  <c r="D1029" i="9"/>
  <c r="E1029" i="9"/>
  <c r="G1029" i="9" s="1"/>
  <c r="H1029" i="9"/>
  <c r="D1030" i="9"/>
  <c r="E1030" i="9"/>
  <c r="G1030" i="9" s="1"/>
  <c r="H1030" i="9"/>
  <c r="J1030" i="9"/>
  <c r="D1031" i="9"/>
  <c r="E1031" i="9"/>
  <c r="J1031" i="9" s="1"/>
  <c r="G1031" i="9"/>
  <c r="H1031" i="9"/>
  <c r="D1032" i="9"/>
  <c r="E1032" i="9"/>
  <c r="J1032" i="9" s="1"/>
  <c r="G1032" i="9"/>
  <c r="H1032" i="9"/>
  <c r="D1033" i="9"/>
  <c r="E1033" i="9"/>
  <c r="H1033" i="9"/>
  <c r="D1034" i="9"/>
  <c r="E1034" i="9"/>
  <c r="G1034" i="9" s="1"/>
  <c r="H1034" i="9"/>
  <c r="D1035" i="9"/>
  <c r="E1035" i="9"/>
  <c r="G1035" i="9" s="1"/>
  <c r="H1035" i="9"/>
  <c r="J1035" i="9"/>
  <c r="D1036" i="9"/>
  <c r="E1036" i="9"/>
  <c r="J1036" i="9" s="1"/>
  <c r="G1036" i="9"/>
  <c r="H1036" i="9"/>
  <c r="D1037" i="9"/>
  <c r="E1037" i="9"/>
  <c r="J1037" i="9" s="1"/>
  <c r="G1037" i="9"/>
  <c r="H1037" i="9"/>
  <c r="D1038" i="9"/>
  <c r="E1038" i="9"/>
  <c r="G1038" i="9" s="1"/>
  <c r="H1038" i="9"/>
  <c r="J1038" i="9"/>
  <c r="D1039" i="9"/>
  <c r="E1039" i="9"/>
  <c r="G1039" i="9" s="1"/>
  <c r="H1039" i="9"/>
  <c r="J1039" i="9"/>
  <c r="D1040" i="9"/>
  <c r="E1040" i="9"/>
  <c r="J1040" i="9" s="1"/>
  <c r="G1040" i="9"/>
  <c r="H1040" i="9"/>
  <c r="D1041" i="9"/>
  <c r="E1041" i="9"/>
  <c r="G1041" i="9" s="1"/>
  <c r="H1041" i="9"/>
  <c r="D1042" i="9"/>
  <c r="E1042" i="9"/>
  <c r="H1042" i="9"/>
  <c r="D1043" i="9"/>
  <c r="E1043" i="9"/>
  <c r="J1043" i="9" s="1"/>
  <c r="H1043" i="9"/>
  <c r="D1044" i="9"/>
  <c r="E1044" i="9"/>
  <c r="J1044" i="9" s="1"/>
  <c r="H1044" i="9"/>
  <c r="D1045" i="9"/>
  <c r="E1045" i="9"/>
  <c r="H1045" i="9"/>
  <c r="D1046" i="9"/>
  <c r="E1046" i="9"/>
  <c r="J1046" i="9" s="1"/>
  <c r="G1046" i="9"/>
  <c r="H1046" i="9"/>
  <c r="D1047" i="9"/>
  <c r="E1047" i="9"/>
  <c r="G1047" i="9" s="1"/>
  <c r="H1047" i="9"/>
  <c r="D1048" i="9"/>
  <c r="E1048" i="9"/>
  <c r="H1048" i="9"/>
  <c r="D1049" i="9"/>
  <c r="E1049" i="9"/>
  <c r="J1049" i="9" s="1"/>
  <c r="H1049" i="9"/>
  <c r="D1050" i="9"/>
  <c r="E1050" i="9"/>
  <c r="G1050" i="9" s="1"/>
  <c r="H1050" i="9"/>
  <c r="D1051" i="9"/>
  <c r="E1051" i="9"/>
  <c r="H1051" i="9"/>
  <c r="D1052" i="9"/>
  <c r="E1052" i="9"/>
  <c r="J1052" i="9" s="1"/>
  <c r="H1052" i="9"/>
  <c r="D1053" i="9"/>
  <c r="E1053" i="9"/>
  <c r="G1053" i="9" s="1"/>
  <c r="H1053" i="9"/>
  <c r="D1054" i="9"/>
  <c r="E1054" i="9"/>
  <c r="G1054" i="9" s="1"/>
  <c r="H1054" i="9"/>
  <c r="D1055" i="9"/>
  <c r="E1055" i="9"/>
  <c r="J1055" i="9" s="1"/>
  <c r="G1055" i="9"/>
  <c r="H1055" i="9"/>
  <c r="D1056" i="9"/>
  <c r="E1056" i="9"/>
  <c r="J1056" i="9" s="1"/>
  <c r="G1056" i="9"/>
  <c r="H1056" i="9"/>
  <c r="D1057" i="9"/>
  <c r="E1057" i="9"/>
  <c r="H1057" i="9"/>
  <c r="D1058" i="9"/>
  <c r="E1058" i="9"/>
  <c r="J1058" i="9" s="1"/>
  <c r="G1058" i="9"/>
  <c r="H1058" i="9"/>
  <c r="D1059" i="9"/>
  <c r="E1059" i="9"/>
  <c r="G1059" i="9" s="1"/>
  <c r="H1059" i="9"/>
  <c r="D1060" i="9"/>
  <c r="E1060" i="9"/>
  <c r="J1060" i="9" s="1"/>
  <c r="G1060" i="9"/>
  <c r="H1060" i="9"/>
  <c r="D1061" i="9"/>
  <c r="E1061" i="9"/>
  <c r="J1061" i="9" s="1"/>
  <c r="G1061" i="9"/>
  <c r="H1061" i="9"/>
  <c r="D1062" i="9"/>
  <c r="E1062" i="9"/>
  <c r="G1062" i="9" s="1"/>
  <c r="H1062" i="9"/>
  <c r="D1063" i="9"/>
  <c r="E1063" i="9"/>
  <c r="G1063" i="9" s="1"/>
  <c r="H1063" i="9"/>
  <c r="D1064" i="9"/>
  <c r="E1064" i="9"/>
  <c r="J1064" i="9" s="1"/>
  <c r="G1064" i="9"/>
  <c r="H1064" i="9"/>
  <c r="D1065" i="9"/>
  <c r="E1065" i="9"/>
  <c r="G1065" i="9" s="1"/>
  <c r="H1065" i="9"/>
  <c r="D1066" i="9"/>
  <c r="E1066" i="9"/>
  <c r="G1066" i="9" s="1"/>
  <c r="H1066" i="9"/>
  <c r="J1066" i="9"/>
  <c r="D1067" i="9"/>
  <c r="E1067" i="9"/>
  <c r="J1067" i="9" s="1"/>
  <c r="G1067" i="9"/>
  <c r="H1067" i="9"/>
  <c r="D1068" i="9"/>
  <c r="E1068" i="9"/>
  <c r="J1068" i="9" s="1"/>
  <c r="H1068" i="9"/>
  <c r="D1069" i="9"/>
  <c r="E1069" i="9"/>
  <c r="H1069" i="9"/>
  <c r="D1070" i="9"/>
  <c r="E1070" i="9"/>
  <c r="G1070" i="9"/>
  <c r="H1070" i="9"/>
  <c r="J1070" i="9"/>
  <c r="D1071" i="9"/>
  <c r="E1071" i="9"/>
  <c r="G1071" i="9" s="1"/>
  <c r="H1071" i="9"/>
  <c r="D1072" i="9"/>
  <c r="E1072" i="9"/>
  <c r="J1072" i="9" s="1"/>
  <c r="G1072" i="9"/>
  <c r="H1072" i="9"/>
  <c r="D1073" i="9"/>
  <c r="E1073" i="9"/>
  <c r="J1073" i="9" s="1"/>
  <c r="G1073" i="9"/>
  <c r="H1073" i="9"/>
  <c r="D1074" i="9"/>
  <c r="E1074" i="9"/>
  <c r="G1074" i="9" s="1"/>
  <c r="H1074" i="9"/>
  <c r="D1075" i="9"/>
  <c r="E1075" i="9"/>
  <c r="G1075" i="9" s="1"/>
  <c r="H1075" i="9"/>
  <c r="J1075" i="9"/>
  <c r="D1076" i="9"/>
  <c r="E1076" i="9"/>
  <c r="J1076" i="9" s="1"/>
  <c r="G1076" i="9"/>
  <c r="H1076" i="9"/>
  <c r="D1077" i="9"/>
  <c r="E1077" i="9"/>
  <c r="G1077" i="9" s="1"/>
  <c r="H1077" i="9"/>
  <c r="D1078" i="9"/>
  <c r="E1078" i="9"/>
  <c r="G1078" i="9" s="1"/>
  <c r="H1078" i="9"/>
  <c r="J1078" i="9"/>
  <c r="D1079" i="9"/>
  <c r="E1079" i="9"/>
  <c r="J1079" i="9" s="1"/>
  <c r="G1079" i="9"/>
  <c r="H1079" i="9"/>
  <c r="D1080" i="9"/>
  <c r="E1080" i="9"/>
  <c r="J1080" i="9" s="1"/>
  <c r="G1080" i="9"/>
  <c r="H1080" i="9"/>
  <c r="D1081" i="9"/>
  <c r="E1081" i="9"/>
  <c r="H1081" i="9"/>
  <c r="D1082" i="9"/>
  <c r="E1082" i="9"/>
  <c r="H1082" i="9"/>
  <c r="D1083" i="9"/>
  <c r="E1083" i="9"/>
  <c r="G1083" i="9" s="1"/>
  <c r="H1083" i="9"/>
  <c r="J1083" i="9"/>
  <c r="D1084" i="9"/>
  <c r="E1084" i="9"/>
  <c r="J1084" i="9" s="1"/>
  <c r="G1084" i="9"/>
  <c r="H1084" i="9"/>
  <c r="D1085" i="9"/>
  <c r="E1085" i="9"/>
  <c r="J1085" i="9" s="1"/>
  <c r="G1085" i="9"/>
  <c r="H1085" i="9"/>
  <c r="D1086" i="9"/>
  <c r="E1086" i="9"/>
  <c r="G1086" i="9" s="1"/>
  <c r="H1086" i="9"/>
  <c r="J1086" i="9"/>
  <c r="D1087" i="9"/>
  <c r="E1087" i="9"/>
  <c r="G1087" i="9" s="1"/>
  <c r="H1087" i="9"/>
  <c r="J1087" i="9"/>
  <c r="D1088" i="9"/>
  <c r="E1088" i="9"/>
  <c r="J1088" i="9" s="1"/>
  <c r="G1088" i="9"/>
  <c r="H1088" i="9"/>
  <c r="D1089" i="9"/>
  <c r="E1089" i="9"/>
  <c r="G1089" i="9" s="1"/>
  <c r="H1089" i="9"/>
  <c r="D1090" i="9"/>
  <c r="E1090" i="9"/>
  <c r="G1090" i="9" s="1"/>
  <c r="H1090" i="9"/>
  <c r="D1091" i="9"/>
  <c r="E1091" i="9"/>
  <c r="H1091" i="9"/>
  <c r="D1092" i="9"/>
  <c r="E1092" i="9"/>
  <c r="J1092" i="9" s="1"/>
  <c r="H1092" i="9"/>
  <c r="D1093" i="9"/>
  <c r="E1093" i="9"/>
  <c r="H1093" i="9"/>
  <c r="D1094" i="9"/>
  <c r="E1094" i="9"/>
  <c r="G1094" i="9"/>
  <c r="H1094" i="9"/>
  <c r="J1094" i="9"/>
  <c r="D1095" i="9"/>
  <c r="E1095" i="9"/>
  <c r="G1095" i="9" s="1"/>
  <c r="H1095" i="9"/>
  <c r="D1096" i="9"/>
  <c r="E1096" i="9"/>
  <c r="J1096" i="9" s="1"/>
  <c r="H1096" i="9"/>
  <c r="D1097" i="9"/>
  <c r="E1097" i="9"/>
  <c r="H1097" i="9"/>
  <c r="D1098" i="9"/>
  <c r="E1098" i="9"/>
  <c r="G1098" i="9" s="1"/>
  <c r="H1098" i="9"/>
  <c r="D1099" i="9"/>
  <c r="E1099" i="9"/>
  <c r="G1099" i="9" s="1"/>
  <c r="H1099" i="9"/>
  <c r="D1100" i="9"/>
  <c r="E1100" i="9"/>
  <c r="H1100" i="9"/>
  <c r="D1101" i="9"/>
  <c r="E1101" i="9"/>
  <c r="G1101" i="9" s="1"/>
  <c r="H1101" i="9"/>
  <c r="D1102" i="9"/>
  <c r="E1102" i="9"/>
  <c r="G1102" i="9" s="1"/>
  <c r="H1102" i="9"/>
  <c r="D1103" i="9"/>
  <c r="E1103" i="9"/>
  <c r="J1103" i="9" s="1"/>
  <c r="G1103" i="9"/>
  <c r="H1103" i="9"/>
  <c r="D1104" i="9"/>
  <c r="E1104" i="9"/>
  <c r="J1104" i="9" s="1"/>
  <c r="G1104" i="9"/>
  <c r="H1104" i="9"/>
  <c r="D1105" i="9"/>
  <c r="E1105" i="9"/>
  <c r="H1105" i="9"/>
  <c r="D1106" i="9"/>
  <c r="E1106" i="9"/>
  <c r="G1106" i="9"/>
  <c r="H1106" i="9"/>
  <c r="J1106" i="9"/>
  <c r="D1107" i="9"/>
  <c r="E1107" i="9"/>
  <c r="G1107" i="9" s="1"/>
  <c r="H1107" i="9"/>
  <c r="D1108" i="9"/>
  <c r="E1108" i="9"/>
  <c r="J1108" i="9" s="1"/>
  <c r="G1108" i="9"/>
  <c r="H1108" i="9"/>
  <c r="D1109" i="9"/>
  <c r="E1109" i="9"/>
  <c r="J1109" i="9" s="1"/>
  <c r="G1109" i="9"/>
  <c r="H1109" i="9"/>
  <c r="D1110" i="9"/>
  <c r="E1110" i="9"/>
  <c r="G1110" i="9" s="1"/>
  <c r="H1110" i="9"/>
  <c r="D1111" i="9"/>
  <c r="E1111" i="9"/>
  <c r="G1111" i="9" s="1"/>
  <c r="H1111" i="9"/>
  <c r="D1112" i="9"/>
  <c r="E1112" i="9"/>
  <c r="J1112" i="9" s="1"/>
  <c r="G1112" i="9"/>
  <c r="H1112" i="9"/>
  <c r="D1113" i="9"/>
  <c r="E1113" i="9"/>
  <c r="G1113" i="9" s="1"/>
  <c r="H1113" i="9"/>
  <c r="D1114" i="9"/>
  <c r="E1114" i="9"/>
  <c r="G1114" i="9" s="1"/>
  <c r="H1114" i="9"/>
  <c r="D1115" i="9"/>
  <c r="E1115" i="9"/>
  <c r="J1115" i="9" s="1"/>
  <c r="G1115" i="9"/>
  <c r="H1115" i="9"/>
  <c r="D1116" i="9"/>
  <c r="E1116" i="9"/>
  <c r="J1116" i="9" s="1"/>
  <c r="G1116" i="9"/>
  <c r="H1116" i="9"/>
  <c r="D1117" i="9"/>
  <c r="E1117" i="9"/>
  <c r="H1117" i="9"/>
  <c r="D1118" i="9"/>
  <c r="E1118" i="9"/>
  <c r="G1118" i="9"/>
  <c r="H1118" i="9"/>
  <c r="J1118" i="9"/>
  <c r="D1119" i="9"/>
  <c r="E1119" i="9"/>
  <c r="G1119" i="9" s="1"/>
  <c r="H1119" i="9"/>
  <c r="J1119" i="9"/>
  <c r="D1120" i="9"/>
  <c r="E1120" i="9"/>
  <c r="J1120" i="9" s="1"/>
  <c r="H1120" i="9"/>
  <c r="D1121" i="9"/>
  <c r="E1121" i="9"/>
  <c r="J1121" i="9" s="1"/>
  <c r="G1121" i="9"/>
  <c r="H1121" i="9"/>
  <c r="D1122" i="9"/>
  <c r="E1122" i="9"/>
  <c r="G1122" i="9" s="1"/>
  <c r="H1122" i="9"/>
  <c r="J1122" i="9"/>
  <c r="D1123" i="9"/>
  <c r="E1123" i="9"/>
  <c r="G1123" i="9" s="1"/>
  <c r="H1123" i="9"/>
  <c r="D1124" i="9"/>
  <c r="E1124" i="9"/>
  <c r="J1124" i="9" s="1"/>
  <c r="G1124" i="9"/>
  <c r="H1124" i="9"/>
  <c r="D1125" i="9"/>
  <c r="E1125" i="9"/>
  <c r="G1125" i="9" s="1"/>
  <c r="H1125" i="9"/>
  <c r="D1126" i="9"/>
  <c r="E1126" i="9"/>
  <c r="G1126" i="9" s="1"/>
  <c r="H1126" i="9"/>
  <c r="J1126" i="9"/>
  <c r="D1127" i="9"/>
  <c r="E1127" i="9"/>
  <c r="J1127" i="9" s="1"/>
  <c r="H1127" i="9"/>
  <c r="D1128" i="9"/>
  <c r="E1128" i="9"/>
  <c r="G1128" i="9"/>
  <c r="H1128" i="9"/>
  <c r="J1128" i="9"/>
  <c r="D1129" i="9"/>
  <c r="E1129" i="9"/>
  <c r="H1129" i="9"/>
  <c r="D1130" i="9"/>
  <c r="E1130" i="9"/>
  <c r="J1130" i="9" s="1"/>
  <c r="H1130" i="9"/>
  <c r="D1131" i="9"/>
  <c r="E1131" i="9"/>
  <c r="G1131" i="9" s="1"/>
  <c r="H1131" i="9"/>
  <c r="J1131" i="9"/>
  <c r="D1132" i="9"/>
  <c r="E1132" i="9"/>
  <c r="J1132" i="9" s="1"/>
  <c r="G1132" i="9"/>
  <c r="H1132" i="9"/>
  <c r="D1133" i="9"/>
  <c r="E1133" i="9"/>
  <c r="J1133" i="9" s="1"/>
  <c r="H1133" i="9"/>
  <c r="D1134" i="9"/>
  <c r="E1134" i="9"/>
  <c r="G1134" i="9" s="1"/>
  <c r="H1134" i="9"/>
  <c r="J1134" i="9"/>
  <c r="D1135" i="9"/>
  <c r="E1135" i="9"/>
  <c r="G1135" i="9" s="1"/>
  <c r="H1135" i="9"/>
  <c r="J1135" i="9"/>
  <c r="D1136" i="9"/>
  <c r="E1136" i="9"/>
  <c r="G1136" i="9" s="1"/>
  <c r="H1136" i="9"/>
  <c r="J1136" i="9"/>
  <c r="D1137" i="9"/>
  <c r="E1137" i="9"/>
  <c r="G1137" i="9" s="1"/>
  <c r="H1137" i="9"/>
  <c r="D1138" i="9"/>
  <c r="E1138" i="9"/>
  <c r="G1138" i="9" s="1"/>
  <c r="H1138" i="9"/>
  <c r="J1138" i="9"/>
  <c r="D1139" i="9"/>
  <c r="E1139" i="9"/>
  <c r="J1139" i="9" s="1"/>
  <c r="H1139" i="9"/>
  <c r="D1140" i="9"/>
  <c r="E1140" i="9"/>
  <c r="G1140" i="9"/>
  <c r="H1140" i="9"/>
  <c r="J1140" i="9"/>
  <c r="D1141" i="9"/>
  <c r="E1141" i="9"/>
  <c r="H1141" i="9"/>
  <c r="D1142" i="9"/>
  <c r="E1142" i="9"/>
  <c r="G1142" i="9" s="1"/>
  <c r="H1142" i="9"/>
  <c r="J1142" i="9"/>
  <c r="D1143" i="9"/>
  <c r="E1143" i="9"/>
  <c r="G1143" i="9" s="1"/>
  <c r="H1143" i="9"/>
  <c r="J1143" i="9"/>
  <c r="D1144" i="9"/>
  <c r="E1144" i="9"/>
  <c r="J1144" i="9" s="1"/>
  <c r="H1144" i="9"/>
  <c r="D1145" i="9"/>
  <c r="E1145" i="9"/>
  <c r="H1145" i="9"/>
  <c r="D1146" i="9"/>
  <c r="E1146" i="9"/>
  <c r="G1146" i="9" s="1"/>
  <c r="H1146" i="9"/>
  <c r="J1146" i="9"/>
  <c r="D1147" i="9"/>
  <c r="E1147" i="9"/>
  <c r="G1147" i="9" s="1"/>
  <c r="H1147" i="9"/>
  <c r="D1148" i="9"/>
  <c r="E1148" i="9"/>
  <c r="G1148" i="9" s="1"/>
  <c r="H1148" i="9"/>
  <c r="J1148" i="9"/>
  <c r="D1149" i="9"/>
  <c r="E1149" i="9"/>
  <c r="G1149" i="9" s="1"/>
  <c r="H1149" i="9"/>
  <c r="D1150" i="9"/>
  <c r="E1150" i="9"/>
  <c r="G1150" i="9" s="1"/>
  <c r="H1150" i="9"/>
  <c r="D1151" i="9"/>
  <c r="E1151" i="9"/>
  <c r="H1151" i="9"/>
  <c r="D1152" i="9"/>
  <c r="E1152" i="9"/>
  <c r="G1152" i="9"/>
  <c r="H1152" i="9"/>
  <c r="J1152" i="9"/>
  <c r="D1153" i="9"/>
  <c r="E1153" i="9"/>
  <c r="H1153" i="9"/>
  <c r="D1154" i="9"/>
  <c r="E1154" i="9"/>
  <c r="G1154" i="9" s="1"/>
  <c r="H1154" i="9"/>
  <c r="D1155" i="9"/>
  <c r="E1155" i="9"/>
  <c r="G1155" i="9" s="1"/>
  <c r="H1155" i="9"/>
  <c r="J1155" i="9"/>
  <c r="D1156" i="9"/>
  <c r="E1156" i="9"/>
  <c r="J1156" i="9" s="1"/>
  <c r="G1156" i="9"/>
  <c r="H1156" i="9"/>
  <c r="D1157" i="9"/>
  <c r="E1157" i="9"/>
  <c r="J1157" i="9" s="1"/>
  <c r="G1157" i="9"/>
  <c r="H1157" i="9"/>
  <c r="D1158" i="9"/>
  <c r="E1158" i="9"/>
  <c r="G1158" i="9" s="1"/>
  <c r="H1158" i="9"/>
  <c r="D1159" i="9"/>
  <c r="E1159" i="9"/>
  <c r="G1159" i="9" s="1"/>
  <c r="H1159" i="9"/>
  <c r="D1160" i="9"/>
  <c r="E1160" i="9"/>
  <c r="G1160" i="9"/>
  <c r="H1160" i="9"/>
  <c r="J1160" i="9"/>
  <c r="D1161" i="9"/>
  <c r="E1161" i="9"/>
  <c r="G1161" i="9" s="1"/>
  <c r="H1161" i="9"/>
  <c r="D1162" i="9"/>
  <c r="E1162" i="9"/>
  <c r="G1162" i="9" s="1"/>
  <c r="H1162" i="9"/>
  <c r="D1163" i="9"/>
  <c r="E1163" i="9"/>
  <c r="J1163" i="9" s="1"/>
  <c r="G1163" i="9"/>
  <c r="H1163" i="9"/>
  <c r="D1164" i="9"/>
  <c r="E1164" i="9"/>
  <c r="G1164" i="9"/>
  <c r="H1164" i="9"/>
  <c r="J1164" i="9"/>
  <c r="D1165" i="9"/>
  <c r="E1165" i="9"/>
  <c r="H1165" i="9"/>
  <c r="D1166" i="9"/>
  <c r="E1166" i="9"/>
  <c r="G1166" i="9"/>
  <c r="H1166" i="9"/>
  <c r="J1166" i="9"/>
  <c r="D1167" i="9"/>
  <c r="E1167" i="9"/>
  <c r="H1167" i="9"/>
  <c r="D1168" i="9"/>
  <c r="E1168" i="9"/>
  <c r="J1168" i="9" s="1"/>
  <c r="H1168" i="9"/>
  <c r="D1169" i="9"/>
  <c r="E1169" i="9"/>
  <c r="J1169" i="9" s="1"/>
  <c r="H1169" i="9"/>
  <c r="D1170" i="9"/>
  <c r="E1170" i="9"/>
  <c r="H1170" i="9"/>
  <c r="D1171" i="9"/>
  <c r="E1171" i="9"/>
  <c r="G1171" i="9" s="1"/>
  <c r="H1171" i="9"/>
  <c r="D1172" i="9"/>
  <c r="E1172" i="9"/>
  <c r="G1172" i="9" s="1"/>
  <c r="H1172" i="9"/>
  <c r="J1172" i="9"/>
  <c r="D1173" i="9"/>
  <c r="E1173" i="9"/>
  <c r="G1173" i="9" s="1"/>
  <c r="H1173" i="9"/>
  <c r="D1174" i="9"/>
  <c r="E1174" i="9"/>
  <c r="G1174" i="9" s="1"/>
  <c r="H1174" i="9"/>
  <c r="D1175" i="9"/>
  <c r="E1175" i="9"/>
  <c r="J1175" i="9" s="1"/>
  <c r="H1175" i="9"/>
  <c r="D1176" i="9"/>
  <c r="E1176" i="9"/>
  <c r="H1176" i="9"/>
  <c r="D1177" i="9"/>
  <c r="E1177" i="9"/>
  <c r="H1177" i="9"/>
  <c r="D1178" i="9"/>
  <c r="E1178" i="9"/>
  <c r="G1178" i="9" s="1"/>
  <c r="H1178" i="9"/>
  <c r="J1178" i="9"/>
  <c r="D1179" i="9"/>
  <c r="E1179" i="9"/>
  <c r="G1179" i="9" s="1"/>
  <c r="H1179" i="9"/>
  <c r="J1179" i="9"/>
  <c r="D1180" i="9"/>
  <c r="E1180" i="9"/>
  <c r="J1180" i="9" s="1"/>
  <c r="G1180" i="9"/>
  <c r="H1180" i="9"/>
  <c r="D1181" i="9"/>
  <c r="E1181" i="9"/>
  <c r="J1181" i="9" s="1"/>
  <c r="H1181" i="9"/>
  <c r="D1182" i="9"/>
  <c r="E1182" i="9"/>
  <c r="G1182" i="9" s="1"/>
  <c r="H1182" i="9"/>
  <c r="J1182" i="9"/>
  <c r="D1183" i="9"/>
  <c r="E1183" i="9"/>
  <c r="H1183" i="9"/>
  <c r="D1184" i="9"/>
  <c r="E1184" i="9"/>
  <c r="G1184" i="9" s="1"/>
  <c r="H1184" i="9"/>
  <c r="D1185" i="9"/>
  <c r="E1185" i="9"/>
  <c r="G1185" i="9" s="1"/>
  <c r="H1185" i="9"/>
  <c r="D1186" i="9"/>
  <c r="E1186" i="9"/>
  <c r="H1186" i="9"/>
  <c r="D1187" i="9"/>
  <c r="E1187" i="9"/>
  <c r="J1187" i="9" s="1"/>
  <c r="G1187" i="9"/>
  <c r="H1187" i="9"/>
  <c r="D1188" i="9"/>
  <c r="E1188" i="9"/>
  <c r="G1188" i="9"/>
  <c r="H1188" i="9"/>
  <c r="J1188" i="9"/>
  <c r="D1189" i="9"/>
  <c r="E1189" i="9"/>
  <c r="H1189" i="9"/>
  <c r="D1190" i="9"/>
  <c r="E1190" i="9"/>
  <c r="J1190" i="9" s="1"/>
  <c r="G1190" i="9"/>
  <c r="H1190" i="9"/>
  <c r="D1191" i="9"/>
  <c r="E1191" i="9"/>
  <c r="H1191" i="9"/>
  <c r="D1192" i="9"/>
  <c r="E1192" i="9"/>
  <c r="H1192" i="9"/>
  <c r="D1193" i="9"/>
  <c r="E1193" i="9"/>
  <c r="J1193" i="9" s="1"/>
  <c r="G1193" i="9"/>
  <c r="H1193" i="9"/>
  <c r="D1194" i="9"/>
  <c r="E1194" i="9"/>
  <c r="G1194" i="9" s="1"/>
  <c r="H1194" i="9"/>
  <c r="J1194" i="9"/>
  <c r="D1195" i="9"/>
  <c r="E1195" i="9"/>
  <c r="G1195" i="9" s="1"/>
  <c r="H1195" i="9"/>
  <c r="D1196" i="9"/>
  <c r="E1196" i="9"/>
  <c r="J1196" i="9" s="1"/>
  <c r="G1196" i="9"/>
  <c r="H1196" i="9"/>
  <c r="D1197" i="9"/>
  <c r="E1197" i="9"/>
  <c r="H1197" i="9"/>
  <c r="D1198" i="9"/>
  <c r="E1198" i="9"/>
  <c r="G1198" i="9" s="1"/>
  <c r="H1198" i="9"/>
  <c r="D1199" i="9"/>
  <c r="E1199" i="9"/>
  <c r="J1199" i="9" s="1"/>
  <c r="G1199" i="9"/>
  <c r="H1199" i="9"/>
  <c r="D1200" i="9"/>
  <c r="E1200" i="9"/>
  <c r="G1200" i="9"/>
  <c r="H1200" i="9"/>
  <c r="J1200" i="9"/>
  <c r="D1201" i="9"/>
  <c r="E1201" i="9"/>
  <c r="H1201" i="9"/>
  <c r="D1202" i="9"/>
  <c r="E1202" i="9"/>
  <c r="J1202" i="9" s="1"/>
  <c r="G1202" i="9"/>
  <c r="H1202" i="9"/>
  <c r="D1203" i="9"/>
  <c r="E1203" i="9"/>
  <c r="H1203" i="9"/>
  <c r="D1204" i="9"/>
  <c r="E1204" i="9"/>
  <c r="J1204" i="9" s="1"/>
  <c r="G1204" i="9"/>
  <c r="H1204" i="9"/>
  <c r="D1205" i="9"/>
  <c r="E1205" i="9"/>
  <c r="J1205" i="9" s="1"/>
  <c r="H1205" i="9"/>
  <c r="D1206" i="9"/>
  <c r="E1206" i="9"/>
  <c r="H1206" i="9"/>
  <c r="D1207" i="9"/>
  <c r="E1207" i="9"/>
  <c r="G1207" i="9" s="1"/>
  <c r="H1207" i="9"/>
  <c r="J1207" i="9"/>
  <c r="D1208" i="9"/>
  <c r="E1208" i="9"/>
  <c r="G1208" i="9" s="1"/>
  <c r="H1208" i="9"/>
  <c r="J1208" i="9"/>
  <c r="D1209" i="9"/>
  <c r="E1209" i="9"/>
  <c r="H1209" i="9"/>
  <c r="D1210" i="9"/>
  <c r="E1210" i="9"/>
  <c r="G1210" i="9" s="1"/>
  <c r="H1210" i="9"/>
  <c r="D1211" i="9"/>
  <c r="E1211" i="9"/>
  <c r="J1211" i="9" s="1"/>
  <c r="G1211" i="9"/>
  <c r="H1211" i="9"/>
  <c r="D1212" i="9"/>
  <c r="E1212" i="9"/>
  <c r="G1212" i="9"/>
  <c r="H1212" i="9"/>
  <c r="J1212" i="9"/>
  <c r="D1213" i="9"/>
  <c r="E1213" i="9"/>
  <c r="H1213" i="9"/>
  <c r="D1214" i="9"/>
  <c r="E1214" i="9"/>
  <c r="J1214" i="9" s="1"/>
  <c r="G1214" i="9"/>
  <c r="H1214" i="9"/>
  <c r="D1215" i="9"/>
  <c r="E1215" i="9"/>
  <c r="H1215" i="9"/>
  <c r="D1216" i="9"/>
  <c r="E1216" i="9"/>
  <c r="J1216" i="9" s="1"/>
  <c r="G1216" i="9"/>
  <c r="H1216" i="9"/>
  <c r="D1217" i="9"/>
  <c r="E1217" i="9"/>
  <c r="J1217" i="9" s="1"/>
  <c r="H1217" i="9"/>
  <c r="D1218" i="9"/>
  <c r="E1218" i="9"/>
  <c r="H1218" i="9"/>
  <c r="D1219" i="9"/>
  <c r="E1219" i="9"/>
  <c r="G1219" i="9" s="1"/>
  <c r="H1219" i="9"/>
  <c r="J1219" i="9"/>
  <c r="D1220" i="9"/>
  <c r="E1220" i="9"/>
  <c r="G1220" i="9" s="1"/>
  <c r="H1220" i="9"/>
  <c r="J1220" i="9"/>
  <c r="D1221" i="9"/>
  <c r="E1221" i="9"/>
  <c r="H1221" i="9"/>
  <c r="D1222" i="9"/>
  <c r="E1222" i="9"/>
  <c r="G1222" i="9" s="1"/>
  <c r="H1222" i="9"/>
  <c r="D1223" i="9"/>
  <c r="E1223" i="9"/>
  <c r="J1223" i="9" s="1"/>
  <c r="H1223" i="9"/>
  <c r="D1224" i="9"/>
  <c r="E1224" i="9"/>
  <c r="J1224" i="9" s="1"/>
  <c r="G1224" i="9"/>
  <c r="H1224" i="9"/>
  <c r="D1225" i="9"/>
  <c r="E1225" i="9"/>
  <c r="G1225" i="9" s="1"/>
  <c r="H1225" i="9"/>
  <c r="D1226" i="9"/>
  <c r="E1226" i="9"/>
  <c r="J1226" i="9" s="1"/>
  <c r="H1226" i="9"/>
  <c r="D1227" i="9"/>
  <c r="E1227" i="9"/>
  <c r="H1227" i="9"/>
  <c r="D1228" i="9"/>
  <c r="E1228" i="9"/>
  <c r="J1228" i="9" s="1"/>
  <c r="G1228" i="9"/>
  <c r="H1228" i="9"/>
  <c r="D1229" i="9"/>
  <c r="E1229" i="9"/>
  <c r="J1229" i="9" s="1"/>
  <c r="H1229" i="9"/>
  <c r="D1230" i="9"/>
  <c r="E1230" i="9"/>
  <c r="H1230" i="9"/>
  <c r="D1231" i="9"/>
  <c r="E1231" i="9"/>
  <c r="G1231" i="9" s="1"/>
  <c r="H1231" i="9"/>
  <c r="J1231" i="9"/>
  <c r="D1232" i="9"/>
  <c r="E1232" i="9"/>
  <c r="G1232" i="9" s="1"/>
  <c r="H1232" i="9"/>
  <c r="J1232" i="9"/>
  <c r="D1233" i="9"/>
  <c r="E1233" i="9"/>
  <c r="H1233" i="9"/>
  <c r="D1234" i="9"/>
  <c r="E1234" i="9"/>
  <c r="G1234" i="9" s="1"/>
  <c r="H1234" i="9"/>
  <c r="J1234" i="9"/>
  <c r="D1235" i="9"/>
  <c r="E1235" i="9"/>
  <c r="J1235" i="9" s="1"/>
  <c r="H1235" i="9"/>
  <c r="D1236" i="9"/>
  <c r="E1236" i="9"/>
  <c r="H1236" i="9"/>
  <c r="D1237" i="9"/>
  <c r="E1237" i="9"/>
  <c r="G1237" i="9" s="1"/>
  <c r="H1237" i="9"/>
  <c r="D1238" i="9"/>
  <c r="E1238" i="9"/>
  <c r="G1238" i="9" s="1"/>
  <c r="H1238" i="9"/>
  <c r="J1238" i="9"/>
  <c r="D1239" i="9"/>
  <c r="E1239" i="9"/>
  <c r="G1239" i="9" s="1"/>
  <c r="H1239" i="9"/>
  <c r="J1239" i="9"/>
  <c r="D1240" i="9"/>
  <c r="E1240" i="9"/>
  <c r="J1240" i="9" s="1"/>
  <c r="H1240" i="9"/>
  <c r="D1241" i="9"/>
  <c r="E1241" i="9"/>
  <c r="J1241" i="9" s="1"/>
  <c r="H1241" i="9"/>
  <c r="D1242" i="9"/>
  <c r="E1242" i="9"/>
  <c r="H1242" i="9"/>
  <c r="D1243" i="9"/>
  <c r="E1243" i="9"/>
  <c r="G1243" i="9" s="1"/>
  <c r="H1243" i="9"/>
  <c r="J1243" i="9"/>
  <c r="D1244" i="9"/>
  <c r="E1244" i="9"/>
  <c r="G1244" i="9" s="1"/>
  <c r="H1244" i="9"/>
  <c r="J1244" i="9"/>
  <c r="D1245" i="9"/>
  <c r="E1245" i="9"/>
  <c r="H1245" i="9"/>
  <c r="D1246" i="9"/>
  <c r="E1246" i="9"/>
  <c r="G1246" i="9" s="1"/>
  <c r="H1246" i="9"/>
  <c r="D1247" i="9"/>
  <c r="E1247" i="9"/>
  <c r="J1247" i="9" s="1"/>
  <c r="H1247" i="9"/>
  <c r="D1248" i="9"/>
  <c r="E1248" i="9"/>
  <c r="J1248" i="9" s="1"/>
  <c r="G1248" i="9"/>
  <c r="H1248" i="9"/>
  <c r="D1249" i="9"/>
  <c r="E1249" i="9"/>
  <c r="G1249" i="9" s="1"/>
  <c r="H1249" i="9"/>
  <c r="J1249" i="9"/>
  <c r="D1250" i="9"/>
  <c r="E1250" i="9"/>
  <c r="G1250" i="9" s="1"/>
  <c r="H1250" i="9"/>
  <c r="J1250" i="9"/>
  <c r="D1251" i="9"/>
  <c r="E1251" i="9"/>
  <c r="G1251" i="9" s="1"/>
  <c r="H1251" i="9"/>
  <c r="J1251" i="9"/>
  <c r="D1252" i="9"/>
  <c r="E1252" i="9"/>
  <c r="J1252" i="9" s="1"/>
  <c r="G1252" i="9"/>
  <c r="H1252" i="9"/>
  <c r="D1253" i="9"/>
  <c r="E1253" i="9"/>
  <c r="J1253" i="9" s="1"/>
  <c r="G1253" i="9"/>
  <c r="H1253" i="9"/>
  <c r="D1254" i="9"/>
  <c r="E1254" i="9"/>
  <c r="G1254" i="9" s="1"/>
  <c r="H1254" i="9"/>
  <c r="J1254" i="9"/>
  <c r="D1255" i="9"/>
  <c r="E1255" i="9"/>
  <c r="G1255" i="9" s="1"/>
  <c r="H1255" i="9"/>
  <c r="D1256" i="9"/>
  <c r="E1256" i="9"/>
  <c r="G1256" i="9"/>
  <c r="H1256" i="9"/>
  <c r="J1256" i="9"/>
  <c r="D1257" i="9"/>
  <c r="E1257" i="9"/>
  <c r="H1257" i="9"/>
  <c r="D1258" i="9"/>
  <c r="E1258" i="9"/>
  <c r="G1258" i="9" s="1"/>
  <c r="H1258" i="9"/>
  <c r="D1259" i="9"/>
  <c r="E1259" i="9"/>
  <c r="J1259" i="9" s="1"/>
  <c r="H1259" i="9"/>
  <c r="D1260" i="9"/>
  <c r="E1260" i="9"/>
  <c r="H1260" i="9"/>
  <c r="D1261" i="9"/>
  <c r="E1261" i="9"/>
  <c r="H1261" i="9"/>
  <c r="D1262" i="9"/>
  <c r="E1262" i="9"/>
  <c r="G1262" i="9" s="1"/>
  <c r="H1262" i="9"/>
  <c r="J1262" i="9"/>
  <c r="D1263" i="9"/>
  <c r="E1263" i="9"/>
  <c r="G1263" i="9" s="1"/>
  <c r="H1263" i="9"/>
  <c r="J1263" i="9"/>
  <c r="D1264" i="9"/>
  <c r="E1264" i="9"/>
  <c r="G1264" i="9" s="1"/>
  <c r="H1264" i="9"/>
  <c r="D1265" i="9"/>
  <c r="E1265" i="9"/>
  <c r="J1265" i="9" s="1"/>
  <c r="H1265" i="9"/>
  <c r="D1266" i="9"/>
  <c r="E1266" i="9"/>
  <c r="H1266" i="9"/>
  <c r="D1267" i="9"/>
  <c r="E1267" i="9"/>
  <c r="G1267" i="9" s="1"/>
  <c r="H1267" i="9"/>
  <c r="J1267" i="9"/>
  <c r="D1268" i="9"/>
  <c r="E1268" i="9"/>
  <c r="G1268" i="9" s="1"/>
  <c r="H1268" i="9"/>
  <c r="J1268" i="9"/>
  <c r="D1269" i="9"/>
  <c r="E1269" i="9"/>
  <c r="H1269" i="9"/>
  <c r="D1270" i="9"/>
  <c r="E1270" i="9"/>
  <c r="G1270" i="9" s="1"/>
  <c r="H1270" i="9"/>
  <c r="J1270" i="9"/>
  <c r="D1271" i="9"/>
  <c r="E1271" i="9"/>
  <c r="J1271" i="9" s="1"/>
  <c r="H1271" i="9"/>
  <c r="D1272" i="9"/>
  <c r="E1272" i="9"/>
  <c r="G1272" i="9" s="1"/>
  <c r="H1272" i="9"/>
  <c r="D1273" i="9"/>
  <c r="E1273" i="9"/>
  <c r="J1273" i="9" s="1"/>
  <c r="G1273" i="9"/>
  <c r="H1273" i="9"/>
  <c r="D1274" i="9"/>
  <c r="E1274" i="9"/>
  <c r="G1274" i="9"/>
  <c r="H1274" i="9"/>
  <c r="J1274" i="9"/>
  <c r="D1275" i="9"/>
  <c r="E1275" i="9"/>
  <c r="H1275" i="9"/>
  <c r="D1276" i="9"/>
  <c r="E1276" i="9"/>
  <c r="J1276" i="9" s="1"/>
  <c r="H1276" i="9"/>
  <c r="D1277" i="9"/>
  <c r="E1277" i="9"/>
  <c r="H1277" i="9"/>
  <c r="D1278" i="9"/>
  <c r="E1278" i="9"/>
  <c r="G1278" i="9" s="1"/>
  <c r="H1278" i="9"/>
  <c r="J1278" i="9"/>
  <c r="D1279" i="9"/>
  <c r="E1279" i="9"/>
  <c r="G1279" i="9" s="1"/>
  <c r="H1279" i="9"/>
  <c r="D1280" i="9"/>
  <c r="E1280" i="9"/>
  <c r="J1280" i="9" s="1"/>
  <c r="G1280" i="9"/>
  <c r="H1280" i="9"/>
  <c r="D1281" i="9"/>
  <c r="E1281" i="9"/>
  <c r="H1281" i="9"/>
  <c r="D1282" i="9"/>
  <c r="E1282" i="9"/>
  <c r="G1282" i="9" s="1"/>
  <c r="H1282" i="9"/>
  <c r="D1283" i="9"/>
  <c r="E1283" i="9"/>
  <c r="J1283" i="9" s="1"/>
  <c r="G1283" i="9"/>
  <c r="H1283" i="9"/>
  <c r="D1284" i="9"/>
  <c r="E1284" i="9"/>
  <c r="G1284" i="9"/>
  <c r="H1284" i="9"/>
  <c r="J1284" i="9"/>
  <c r="D1285" i="9"/>
  <c r="E1285" i="9"/>
  <c r="J1285" i="9" s="1"/>
  <c r="H1285" i="9"/>
  <c r="D1286" i="9"/>
  <c r="E1286" i="9"/>
  <c r="G1286" i="9" s="1"/>
  <c r="H1286" i="9"/>
  <c r="J1286" i="9"/>
  <c r="D1287" i="9"/>
  <c r="E1287" i="9"/>
  <c r="G1287" i="9" s="1"/>
  <c r="H1287" i="9"/>
  <c r="D1288" i="9"/>
  <c r="E1288" i="9"/>
  <c r="G1288" i="9" s="1"/>
  <c r="H1288" i="9"/>
  <c r="D1289" i="9"/>
  <c r="E1289" i="9"/>
  <c r="J1289" i="9" s="1"/>
  <c r="H1289" i="9"/>
  <c r="D1290" i="9"/>
  <c r="E1290" i="9"/>
  <c r="G1290" i="9" s="1"/>
  <c r="H1290" i="9"/>
  <c r="D1291" i="9"/>
  <c r="E1291" i="9"/>
  <c r="H1291" i="9"/>
  <c r="D1292" i="9"/>
  <c r="E1292" i="9"/>
  <c r="G1292" i="9"/>
  <c r="H1292" i="9"/>
  <c r="J1292" i="9"/>
  <c r="D1293" i="9"/>
  <c r="E1293" i="9"/>
  <c r="H1293" i="9"/>
  <c r="D1294" i="9"/>
  <c r="E1294" i="9"/>
  <c r="H1294" i="9"/>
  <c r="D1295" i="9"/>
  <c r="E1295" i="9"/>
  <c r="J1295" i="9" s="1"/>
  <c r="G1295" i="9"/>
  <c r="H1295" i="9"/>
  <c r="D1296" i="9"/>
  <c r="E1296" i="9"/>
  <c r="G1296" i="9"/>
  <c r="H1296" i="9"/>
  <c r="J1296" i="9"/>
  <c r="D1297" i="9"/>
  <c r="E1297" i="9"/>
  <c r="H1297" i="9"/>
  <c r="D1298" i="9"/>
  <c r="E1298" i="9"/>
  <c r="G1298" i="9"/>
  <c r="H1298" i="9"/>
  <c r="J1298" i="9"/>
  <c r="D1299" i="9"/>
  <c r="E1299" i="9"/>
  <c r="H1299" i="9"/>
  <c r="D1300" i="9"/>
  <c r="E1300" i="9"/>
  <c r="G1300" i="9" s="1"/>
  <c r="H1300" i="9"/>
  <c r="D1301" i="9"/>
  <c r="E1301" i="9"/>
  <c r="J1301" i="9" s="1"/>
  <c r="G1301" i="9"/>
  <c r="H1301" i="9"/>
  <c r="D1302" i="9"/>
  <c r="E1302" i="9"/>
  <c r="H1302" i="9"/>
  <c r="D1303" i="9"/>
  <c r="E1303" i="9"/>
  <c r="H1303" i="9"/>
  <c r="D1304" i="9"/>
  <c r="E1304" i="9"/>
  <c r="G1304" i="9"/>
  <c r="H1304" i="9"/>
  <c r="J1304" i="9"/>
  <c r="D1305" i="9"/>
  <c r="E1305" i="9"/>
  <c r="H1305" i="9"/>
  <c r="D1306" i="9"/>
  <c r="E1306" i="9"/>
  <c r="G1306" i="9" s="1"/>
  <c r="H1306" i="9"/>
  <c r="D1307" i="9"/>
  <c r="E1307" i="9"/>
  <c r="J1307" i="9" s="1"/>
  <c r="H1307" i="9"/>
  <c r="D1308" i="9"/>
  <c r="E1308" i="9"/>
  <c r="G1308" i="9" s="1"/>
  <c r="H1308" i="9"/>
  <c r="D1309" i="9"/>
  <c r="E1309" i="9"/>
  <c r="G1309" i="9" s="1"/>
  <c r="H1309" i="9"/>
  <c r="J1309" i="9"/>
  <c r="D1310" i="9"/>
  <c r="E1310" i="9"/>
  <c r="G1310" i="9" s="1"/>
  <c r="H1310" i="9"/>
  <c r="D1311" i="9"/>
  <c r="E1311" i="9"/>
  <c r="G1311" i="9" s="1"/>
  <c r="H1311" i="9"/>
  <c r="D1312" i="9"/>
  <c r="E1312" i="9"/>
  <c r="G1312" i="9" s="1"/>
  <c r="H1312" i="9"/>
  <c r="J1312" i="9"/>
  <c r="D1313" i="9"/>
  <c r="E1313" i="9"/>
  <c r="G1313" i="9" s="1"/>
  <c r="H1313" i="9"/>
  <c r="D1314" i="9"/>
  <c r="E1314" i="9"/>
  <c r="J1314" i="9" s="1"/>
  <c r="H1314" i="9"/>
  <c r="D1315" i="9"/>
  <c r="E1315" i="9"/>
  <c r="H1315" i="9"/>
  <c r="D1316" i="9"/>
  <c r="E1316" i="9"/>
  <c r="J1316" i="9" s="1"/>
  <c r="G1316" i="9"/>
  <c r="H1316" i="9"/>
  <c r="D1317" i="9"/>
  <c r="E1317" i="9"/>
  <c r="J1317" i="9" s="1"/>
  <c r="G1317" i="9"/>
  <c r="H1317" i="9"/>
  <c r="D1318" i="9"/>
  <c r="E1318" i="9"/>
  <c r="G1318" i="9"/>
  <c r="H1318" i="9"/>
  <c r="J1318" i="9"/>
  <c r="D1319" i="9"/>
  <c r="E1319" i="9"/>
  <c r="J1319" i="9" s="1"/>
  <c r="G1319" i="9"/>
  <c r="H1319" i="9"/>
  <c r="D1320" i="9"/>
  <c r="E1320" i="9"/>
  <c r="G1320" i="9" s="1"/>
  <c r="H1320" i="9"/>
  <c r="D1321" i="9"/>
  <c r="E1321" i="9"/>
  <c r="G1321" i="9" s="1"/>
  <c r="H1321" i="9"/>
  <c r="J1321" i="9"/>
  <c r="D1322" i="9"/>
  <c r="E1322" i="9"/>
  <c r="J1322" i="9" s="1"/>
  <c r="H1322" i="9"/>
  <c r="D1323" i="9"/>
  <c r="E1323" i="9"/>
  <c r="G1323" i="9" s="1"/>
  <c r="H1323" i="9"/>
  <c r="D1324" i="9"/>
  <c r="E1324" i="9"/>
  <c r="G1324" i="9" s="1"/>
  <c r="H1324" i="9"/>
  <c r="J1324" i="9"/>
  <c r="D1325" i="9"/>
  <c r="E1325" i="9"/>
  <c r="H1325" i="9"/>
  <c r="D1326" i="9"/>
  <c r="E1326" i="9"/>
  <c r="G1326" i="9"/>
  <c r="H1326" i="9"/>
  <c r="J1326" i="9"/>
  <c r="D1327" i="9"/>
  <c r="E1327" i="9"/>
  <c r="H1327" i="9"/>
  <c r="D1328" i="9"/>
  <c r="E1328" i="9"/>
  <c r="G1328" i="9" s="1"/>
  <c r="H1328" i="9"/>
  <c r="D1329" i="9"/>
  <c r="E1329" i="9"/>
  <c r="H1329" i="9"/>
  <c r="D1330" i="9"/>
  <c r="E1330" i="9"/>
  <c r="G1330" i="9"/>
  <c r="H1330" i="9"/>
  <c r="J1330" i="9"/>
  <c r="D1331" i="9"/>
  <c r="E1331" i="9"/>
  <c r="J1331" i="9" s="1"/>
  <c r="H1331" i="9"/>
  <c r="D1332" i="9"/>
  <c r="E1332" i="9"/>
  <c r="G1332" i="9" s="1"/>
  <c r="H1332" i="9"/>
  <c r="J1332" i="9"/>
  <c r="D1333" i="9"/>
  <c r="E1333" i="9"/>
  <c r="G1333" i="9" s="1"/>
  <c r="H1333" i="9"/>
  <c r="D1334" i="9"/>
  <c r="E1334" i="9"/>
  <c r="J1334" i="9" s="1"/>
  <c r="H1334" i="9"/>
  <c r="D1335" i="9"/>
  <c r="E1335" i="9"/>
  <c r="G1335" i="9" s="1"/>
  <c r="H1335" i="9"/>
  <c r="D1336" i="9"/>
  <c r="E1336" i="9"/>
  <c r="G1336" i="9" s="1"/>
  <c r="H1336" i="9"/>
  <c r="J1336" i="9"/>
  <c r="D1337" i="9"/>
  <c r="E1337" i="9"/>
  <c r="H1337" i="9"/>
  <c r="D1338" i="9"/>
  <c r="E1338" i="9"/>
  <c r="G1338" i="9" s="1"/>
  <c r="H1338" i="9"/>
  <c r="D1339" i="9"/>
  <c r="E1339" i="9"/>
  <c r="H1339" i="9"/>
  <c r="D1340" i="9"/>
  <c r="E1340" i="9"/>
  <c r="J1340" i="9" s="1"/>
  <c r="H1340" i="9"/>
  <c r="D1341" i="9"/>
  <c r="E1341" i="9"/>
  <c r="J1341" i="9" s="1"/>
  <c r="H1341" i="9"/>
  <c r="D1342" i="9"/>
  <c r="E1342" i="9"/>
  <c r="G1342" i="9"/>
  <c r="H1342" i="9"/>
  <c r="J1342" i="9"/>
  <c r="D1343" i="9"/>
  <c r="E1343" i="9"/>
  <c r="H1343" i="9"/>
  <c r="D1344" i="9"/>
  <c r="E1344" i="9"/>
  <c r="G1344" i="9" s="1"/>
  <c r="H1344" i="9"/>
  <c r="J1344" i="9"/>
  <c r="D1345" i="9"/>
  <c r="E1345" i="9"/>
  <c r="G1345" i="9" s="1"/>
  <c r="H1345" i="9"/>
  <c r="D1346" i="9"/>
  <c r="E1346" i="9"/>
  <c r="H1346" i="9"/>
  <c r="D1347" i="9"/>
  <c r="E1347" i="9"/>
  <c r="G1347" i="9" s="1"/>
  <c r="H1347" i="9"/>
  <c r="D1348" i="9"/>
  <c r="E1348" i="9"/>
  <c r="G1348" i="9" s="1"/>
  <c r="H1348" i="9"/>
  <c r="D1349" i="9"/>
  <c r="E1349" i="9"/>
  <c r="H1349" i="9"/>
  <c r="D1350" i="9"/>
  <c r="E1350" i="9"/>
  <c r="G1350" i="9" s="1"/>
  <c r="H1350" i="9"/>
  <c r="D1351" i="9"/>
  <c r="E1351" i="9"/>
  <c r="H1351" i="9"/>
  <c r="D1352" i="9"/>
  <c r="E1352" i="9"/>
  <c r="G1352" i="9"/>
  <c r="H1352" i="9"/>
  <c r="J1352" i="9"/>
  <c r="D1353" i="9"/>
  <c r="E1353" i="9"/>
  <c r="J1353" i="9" s="1"/>
  <c r="H1353" i="9"/>
  <c r="D1354" i="9"/>
  <c r="E1354" i="9"/>
  <c r="G1354" i="9"/>
  <c r="H1354" i="9"/>
  <c r="J1354" i="9"/>
  <c r="D1355" i="9"/>
  <c r="E1355" i="9"/>
  <c r="J1355" i="9" s="1"/>
  <c r="H1355" i="9"/>
  <c r="D1356" i="9"/>
  <c r="E1356" i="9"/>
  <c r="G1356" i="9" s="1"/>
  <c r="H1356" i="9"/>
  <c r="J1356" i="9"/>
  <c r="D1357" i="9"/>
  <c r="E1357" i="9"/>
  <c r="G1357" i="9" s="1"/>
  <c r="H1357" i="9"/>
  <c r="J1357" i="9"/>
  <c r="D1358" i="9"/>
  <c r="E1358" i="9"/>
  <c r="J1358" i="9" s="1"/>
  <c r="H1358" i="9"/>
  <c r="D1359" i="9"/>
  <c r="E1359" i="9"/>
  <c r="G1359" i="9" s="1"/>
  <c r="H1359" i="9"/>
  <c r="D1360" i="9"/>
  <c r="E1360" i="9"/>
  <c r="G1360" i="9" s="1"/>
  <c r="H1360" i="9"/>
  <c r="D1361" i="9"/>
  <c r="E1361" i="9"/>
  <c r="G1361" i="9" s="1"/>
  <c r="H1361" i="9"/>
  <c r="D1362" i="9"/>
  <c r="E1362" i="9"/>
  <c r="G1362" i="9" s="1"/>
  <c r="H1362" i="9"/>
  <c r="D1363" i="9"/>
  <c r="E1363" i="9"/>
  <c r="H1363" i="9"/>
  <c r="D1364" i="9"/>
  <c r="E1364" i="9"/>
  <c r="J1364" i="9" s="1"/>
  <c r="H1364" i="9"/>
  <c r="D1365" i="9"/>
  <c r="E1365" i="9"/>
  <c r="J1365" i="9" s="1"/>
  <c r="H1365" i="9"/>
  <c r="D1366" i="9"/>
  <c r="E1366" i="9"/>
  <c r="G1366" i="9"/>
  <c r="H1366" i="9"/>
  <c r="J1366" i="9"/>
  <c r="D1367" i="9"/>
  <c r="E1367" i="9"/>
  <c r="J1367" i="9" s="1"/>
  <c r="G1367" i="9"/>
  <c r="H1367" i="9"/>
  <c r="D1368" i="9"/>
  <c r="E1368" i="9"/>
  <c r="G1368" i="9" s="1"/>
  <c r="H1368" i="9"/>
  <c r="J1368" i="9"/>
  <c r="D1369" i="9"/>
  <c r="E1369" i="9"/>
  <c r="G1369" i="9" s="1"/>
  <c r="H1369" i="9"/>
  <c r="D1370" i="9"/>
  <c r="E1370" i="9"/>
  <c r="J1370" i="9" s="1"/>
  <c r="G1370" i="9"/>
  <c r="H1370" i="9"/>
  <c r="D1371" i="9"/>
  <c r="E1371" i="9"/>
  <c r="G1371" i="9" s="1"/>
  <c r="H1371" i="9"/>
  <c r="D1372" i="9"/>
  <c r="E1372" i="9"/>
  <c r="G1372" i="9" s="1"/>
  <c r="H1372" i="9"/>
  <c r="J1372" i="9"/>
  <c r="D1373" i="9"/>
  <c r="E1373" i="9"/>
  <c r="G1373" i="9" s="1"/>
  <c r="H1373" i="9"/>
  <c r="D1374" i="9"/>
  <c r="E1374" i="9"/>
  <c r="G1374" i="9" s="1"/>
  <c r="H1374" i="9"/>
  <c r="D1375" i="9"/>
  <c r="E1375" i="9"/>
  <c r="H1375" i="9"/>
  <c r="D1376" i="9"/>
  <c r="E1376" i="9"/>
  <c r="G1376" i="9"/>
  <c r="H1376" i="9"/>
  <c r="J1376" i="9"/>
  <c r="D1377" i="9"/>
  <c r="E1377" i="9"/>
  <c r="J1377" i="9" s="1"/>
  <c r="H1377" i="9"/>
  <c r="D1378" i="9"/>
  <c r="E1378" i="9"/>
  <c r="G1378" i="9"/>
  <c r="H1378" i="9"/>
  <c r="J1378" i="9"/>
  <c r="D1379" i="9"/>
  <c r="E1379" i="9"/>
  <c r="J1379" i="9" s="1"/>
  <c r="H1379" i="9"/>
  <c r="D1380" i="9"/>
  <c r="E1380" i="9"/>
  <c r="G1380" i="9" s="1"/>
  <c r="H1380" i="9"/>
  <c r="J1380" i="9"/>
  <c r="D1381" i="9"/>
  <c r="E1381" i="9"/>
  <c r="G1381" i="9" s="1"/>
  <c r="H1381" i="9"/>
  <c r="J1381" i="9"/>
  <c r="D1382" i="9"/>
  <c r="E1382" i="9"/>
  <c r="J1382" i="9" s="1"/>
  <c r="H1382" i="9"/>
  <c r="D1383" i="9"/>
  <c r="E1383" i="9"/>
  <c r="G1383" i="9" s="1"/>
  <c r="H1383" i="9"/>
  <c r="D1384" i="9"/>
  <c r="E1384" i="9"/>
  <c r="G1384" i="9" s="1"/>
  <c r="H1384" i="9"/>
  <c r="J1384" i="9"/>
  <c r="D1385" i="9"/>
  <c r="E1385" i="9"/>
  <c r="G1385" i="9" s="1"/>
  <c r="H1385" i="9"/>
  <c r="D1386" i="9"/>
  <c r="E1386" i="9"/>
  <c r="G1386" i="9" s="1"/>
  <c r="H1386" i="9"/>
  <c r="J1386" i="9"/>
  <c r="D1387" i="9"/>
  <c r="E1387" i="9"/>
  <c r="H1387" i="9"/>
  <c r="D1388" i="9"/>
  <c r="E1388" i="9"/>
  <c r="G1388" i="9" s="1"/>
  <c r="H1388" i="9"/>
  <c r="D1389" i="9"/>
  <c r="E1389" i="9"/>
  <c r="J1389" i="9" s="1"/>
  <c r="H1389" i="9"/>
  <c r="D1390" i="9"/>
  <c r="E1390" i="9"/>
  <c r="G1390" i="9" s="1"/>
  <c r="H1390" i="9"/>
  <c r="D1391" i="9"/>
  <c r="E1391" i="9"/>
  <c r="J1391" i="9" s="1"/>
  <c r="G1391" i="9"/>
  <c r="H1391" i="9"/>
  <c r="D1392" i="9"/>
  <c r="E1392" i="9"/>
  <c r="G1392" i="9" s="1"/>
  <c r="H1392" i="9"/>
  <c r="J1392" i="9"/>
  <c r="D1393" i="9"/>
  <c r="E1393" i="9"/>
  <c r="G1393" i="9" s="1"/>
  <c r="H1393" i="9"/>
  <c r="J1393" i="9"/>
  <c r="D1394" i="9"/>
  <c r="E1394" i="9"/>
  <c r="J1394" i="9" s="1"/>
  <c r="G1394" i="9"/>
  <c r="H1394" i="9"/>
  <c r="D1395" i="9"/>
  <c r="E1395" i="9"/>
  <c r="G1395" i="9" s="1"/>
  <c r="H1395" i="9"/>
  <c r="D1396" i="9"/>
  <c r="E1396" i="9"/>
  <c r="G1396" i="9" s="1"/>
  <c r="H1396" i="9"/>
  <c r="D1397" i="9"/>
  <c r="E1397" i="9"/>
  <c r="G1397" i="9" s="1"/>
  <c r="H1397" i="9"/>
  <c r="J1397" i="9"/>
  <c r="D1398" i="9"/>
  <c r="E1398" i="9"/>
  <c r="G1398" i="9" s="1"/>
  <c r="H1398" i="9"/>
  <c r="D1399" i="9"/>
  <c r="E1399" i="9"/>
  <c r="H1399" i="9"/>
  <c r="D1400" i="9"/>
  <c r="E1400" i="9"/>
  <c r="G1400" i="9"/>
  <c r="H1400" i="9"/>
  <c r="J1400" i="9"/>
  <c r="D1401" i="9"/>
  <c r="E1401" i="9"/>
  <c r="J1401" i="9" s="1"/>
  <c r="H1401" i="9"/>
  <c r="D1402" i="9"/>
  <c r="E1402" i="9"/>
  <c r="J1402" i="9" s="1"/>
  <c r="G1402" i="9"/>
  <c r="H1402" i="9"/>
  <c r="D1403" i="9"/>
  <c r="E1403" i="9"/>
  <c r="J1403" i="9" s="1"/>
  <c r="H1403" i="9"/>
  <c r="D1404" i="9"/>
  <c r="E1404" i="9"/>
  <c r="G1404" i="9" s="1"/>
  <c r="H1404" i="9"/>
  <c r="J1404" i="9"/>
  <c r="D1405" i="9"/>
  <c r="E1405" i="9"/>
  <c r="G1405" i="9" s="1"/>
  <c r="H1405" i="9"/>
  <c r="D1406" i="9"/>
  <c r="E1406" i="9"/>
  <c r="J1406" i="9" s="1"/>
  <c r="H1406" i="9"/>
  <c r="D1407" i="9"/>
  <c r="E1407" i="9"/>
  <c r="G1407" i="9" s="1"/>
  <c r="H1407" i="9"/>
  <c r="D1408" i="9"/>
  <c r="E1408" i="9"/>
  <c r="G1408" i="9" s="1"/>
  <c r="H1408" i="9"/>
  <c r="D1409" i="9"/>
  <c r="E1409" i="9"/>
  <c r="G1409" i="9" s="1"/>
  <c r="H1409" i="9"/>
  <c r="D1410" i="9"/>
  <c r="E1410" i="9"/>
  <c r="G1410" i="9" s="1"/>
  <c r="H1410" i="9"/>
  <c r="D1411" i="9"/>
  <c r="E1411" i="9"/>
  <c r="H1411" i="9"/>
  <c r="D1412" i="9"/>
  <c r="E1412" i="9"/>
  <c r="G1412" i="9"/>
  <c r="H1412" i="9"/>
  <c r="J1412" i="9"/>
  <c r="D1413" i="9"/>
  <c r="E1413" i="9"/>
  <c r="J1413" i="9" s="1"/>
  <c r="H1413" i="9"/>
  <c r="D1414" i="9"/>
  <c r="E1414" i="9"/>
  <c r="G1414" i="9" s="1"/>
  <c r="H1414" i="9"/>
  <c r="D1415" i="9"/>
  <c r="E1415" i="9"/>
  <c r="J1415" i="9" s="1"/>
  <c r="G1415" i="9"/>
  <c r="H1415" i="9"/>
  <c r="D1416" i="9"/>
  <c r="E1416" i="9"/>
  <c r="G1416" i="9" s="1"/>
  <c r="H1416" i="9"/>
  <c r="J1416" i="9"/>
  <c r="D1417" i="9"/>
  <c r="E1417" i="9"/>
  <c r="G1417" i="9" s="1"/>
  <c r="H1417" i="9"/>
  <c r="D1418" i="9"/>
  <c r="E1418" i="9"/>
  <c r="J1418" i="9" s="1"/>
  <c r="G1418" i="9"/>
  <c r="H1418" i="9"/>
  <c r="D1419" i="9"/>
  <c r="E1419" i="9"/>
  <c r="G1419" i="9" s="1"/>
  <c r="H1419" i="9"/>
  <c r="D1420" i="9"/>
  <c r="E1420" i="9"/>
  <c r="G1420" i="9" s="1"/>
  <c r="H1420" i="9"/>
  <c r="J1420" i="9"/>
  <c r="D1421" i="9"/>
  <c r="E1421" i="9"/>
  <c r="G1421" i="9" s="1"/>
  <c r="H1421" i="9"/>
  <c r="J1421" i="9"/>
  <c r="D1422" i="9"/>
  <c r="E1422" i="9"/>
  <c r="G1422" i="9" s="1"/>
  <c r="H1422" i="9"/>
  <c r="D1423" i="9"/>
  <c r="E1423" i="9"/>
  <c r="H1423" i="9"/>
  <c r="D1424" i="9"/>
  <c r="E1424" i="9"/>
  <c r="G1424" i="9"/>
  <c r="H1424" i="9"/>
  <c r="J1424" i="9"/>
  <c r="D1425" i="9"/>
  <c r="E1425" i="9"/>
  <c r="J1425" i="9" s="1"/>
  <c r="H1425" i="9"/>
  <c r="D1426" i="9"/>
  <c r="E1426" i="9"/>
  <c r="G1426" i="9"/>
  <c r="H1426" i="9"/>
  <c r="J1426" i="9"/>
  <c r="D1427" i="9"/>
  <c r="E1427" i="9"/>
  <c r="J1427" i="9" s="1"/>
  <c r="G1427" i="9"/>
  <c r="H1427" i="9"/>
  <c r="D1428" i="9"/>
  <c r="E1428" i="9"/>
  <c r="G1428" i="9" s="1"/>
  <c r="H1428" i="9"/>
  <c r="J1428" i="9"/>
  <c r="D1429" i="9"/>
  <c r="E1429" i="9"/>
  <c r="G1429" i="9" s="1"/>
  <c r="H1429" i="9"/>
  <c r="J1429" i="9"/>
  <c r="D1430" i="9"/>
  <c r="E1430" i="9"/>
  <c r="J1430" i="9" s="1"/>
  <c r="G1430" i="9"/>
  <c r="H1430" i="9"/>
  <c r="D1431" i="9"/>
  <c r="E1431" i="9"/>
  <c r="G1431" i="9" s="1"/>
  <c r="H1431" i="9"/>
  <c r="D1432" i="9"/>
  <c r="E1432" i="9"/>
  <c r="G1432" i="9" s="1"/>
  <c r="H1432" i="9"/>
  <c r="J1432" i="9"/>
  <c r="D1433" i="9"/>
  <c r="E1433" i="9"/>
  <c r="G1433" i="9" s="1"/>
  <c r="H1433" i="9"/>
  <c r="J1433" i="9"/>
  <c r="D1434" i="9"/>
  <c r="E1434" i="9"/>
  <c r="G1434" i="9" s="1"/>
  <c r="H1434" i="9"/>
  <c r="D1435" i="9"/>
  <c r="E1435" i="9"/>
  <c r="H1435" i="9"/>
  <c r="D1436" i="9"/>
  <c r="E1436" i="9"/>
  <c r="G1436" i="9" s="1"/>
  <c r="H1436" i="9"/>
  <c r="D1437" i="9"/>
  <c r="E1437" i="9"/>
  <c r="J1437" i="9" s="1"/>
  <c r="H1437" i="9"/>
  <c r="D1438" i="9"/>
  <c r="E1438" i="9"/>
  <c r="G1438" i="9" s="1"/>
  <c r="H1438" i="9"/>
  <c r="J1438" i="9"/>
  <c r="D1439" i="9"/>
  <c r="E1439" i="9"/>
  <c r="J1439" i="9" s="1"/>
  <c r="G1439" i="9"/>
  <c r="H1439" i="9"/>
  <c r="D1440" i="9"/>
  <c r="E1440" i="9"/>
  <c r="G1440" i="9" s="1"/>
  <c r="H1440" i="9"/>
  <c r="J1440" i="9"/>
  <c r="D1441" i="9"/>
  <c r="E1441" i="9"/>
  <c r="G1441" i="9" s="1"/>
  <c r="H1441" i="9"/>
  <c r="J1441" i="9"/>
  <c r="D1442" i="9"/>
  <c r="E1442" i="9"/>
  <c r="J1442" i="9" s="1"/>
  <c r="G1442" i="9"/>
  <c r="H1442" i="9"/>
  <c r="D1443" i="9"/>
  <c r="E1443" i="9"/>
  <c r="G1443" i="9" s="1"/>
  <c r="H1443" i="9"/>
  <c r="D1444" i="9"/>
  <c r="E1444" i="9"/>
  <c r="G1444" i="9" s="1"/>
  <c r="H1444" i="9"/>
  <c r="J1444" i="9"/>
  <c r="D1445" i="9"/>
  <c r="E1445" i="9"/>
  <c r="G1445" i="9" s="1"/>
  <c r="H1445" i="9"/>
  <c r="D1446" i="9"/>
  <c r="E1446" i="9"/>
  <c r="G1446" i="9" s="1"/>
  <c r="H1446" i="9"/>
  <c r="J1446" i="9"/>
  <c r="D1447" i="9"/>
  <c r="E1447" i="9"/>
  <c r="H1447" i="9"/>
  <c r="D1448" i="9"/>
  <c r="E1448" i="9"/>
  <c r="J1448" i="9" s="1"/>
  <c r="G1448" i="9"/>
  <c r="H1448" i="9"/>
  <c r="D1449" i="9"/>
  <c r="E1449" i="9"/>
  <c r="J1449" i="9" s="1"/>
  <c r="H1449" i="9"/>
  <c r="D1450" i="9"/>
  <c r="E1450" i="9"/>
  <c r="G1450" i="9"/>
  <c r="H1450" i="9"/>
  <c r="J1450" i="9"/>
  <c r="D1451" i="9"/>
  <c r="E1451" i="9"/>
  <c r="J1451" i="9" s="1"/>
  <c r="H1451" i="9"/>
  <c r="D1452" i="9"/>
  <c r="E1452" i="9"/>
  <c r="G1452" i="9" s="1"/>
  <c r="H1452" i="9"/>
  <c r="J1452" i="9"/>
  <c r="D1453" i="9"/>
  <c r="E1453" i="9"/>
  <c r="G1453" i="9" s="1"/>
  <c r="H1453" i="9"/>
  <c r="J1453" i="9"/>
  <c r="D1454" i="9"/>
  <c r="E1454" i="9"/>
  <c r="J1454" i="9" s="1"/>
  <c r="H1454" i="9"/>
  <c r="D1455" i="9"/>
  <c r="E1455" i="9"/>
  <c r="G1455" i="9" s="1"/>
  <c r="H1455" i="9"/>
  <c r="D1456" i="9"/>
  <c r="E1456" i="9"/>
  <c r="G1456" i="9" s="1"/>
  <c r="H1456" i="9"/>
  <c r="D1457" i="9"/>
  <c r="E1457" i="9"/>
  <c r="G1457" i="9" s="1"/>
  <c r="H1457" i="9"/>
  <c r="D1458" i="9"/>
  <c r="E1458" i="9"/>
  <c r="G1458" i="9" s="1"/>
  <c r="H1458" i="9"/>
  <c r="D1459" i="9"/>
  <c r="E1459" i="9"/>
  <c r="H1459" i="9"/>
  <c r="D1460" i="9"/>
  <c r="E1460" i="9"/>
  <c r="G1460" i="9" s="1"/>
  <c r="H1460" i="9"/>
  <c r="D1461" i="9"/>
  <c r="E1461" i="9"/>
  <c r="J1461" i="9" s="1"/>
  <c r="H1461" i="9"/>
  <c r="D1462" i="9"/>
  <c r="E1462" i="9"/>
  <c r="J1462" i="9" s="1"/>
  <c r="H1462" i="9"/>
  <c r="D1463" i="9"/>
  <c r="E1463" i="9"/>
  <c r="J1463" i="9" s="1"/>
  <c r="G1463" i="9"/>
  <c r="H1463" i="9"/>
  <c r="D1464" i="9"/>
  <c r="E1464" i="9"/>
  <c r="G1464" i="9" s="1"/>
  <c r="H1464" i="9"/>
  <c r="J1464" i="9"/>
  <c r="D1465" i="9"/>
  <c r="E1465" i="9"/>
  <c r="G1465" i="9" s="1"/>
  <c r="H1465" i="9"/>
  <c r="D1466" i="9"/>
  <c r="E1466" i="9"/>
  <c r="J1466" i="9" s="1"/>
  <c r="H1466" i="9"/>
  <c r="D1467" i="9"/>
  <c r="E1467" i="9"/>
  <c r="G1467" i="9" s="1"/>
  <c r="H1467" i="9"/>
  <c r="D1468" i="9"/>
  <c r="E1468" i="9"/>
  <c r="G1468" i="9" s="1"/>
  <c r="H1468" i="9"/>
  <c r="D1469" i="9"/>
  <c r="E1469" i="9"/>
  <c r="G1469" i="9" s="1"/>
  <c r="H1469" i="9"/>
  <c r="D1470" i="9"/>
  <c r="E1470" i="9"/>
  <c r="G1470" i="9" s="1"/>
  <c r="H1470" i="9"/>
  <c r="J1470" i="9"/>
  <c r="D1471" i="9"/>
  <c r="E1471" i="9"/>
  <c r="H1471" i="9"/>
  <c r="D1472" i="9"/>
  <c r="E1472" i="9"/>
  <c r="G1472" i="9"/>
  <c r="H1472" i="9"/>
  <c r="J1472" i="9"/>
  <c r="D1473" i="9"/>
  <c r="E1473" i="9"/>
  <c r="J1473" i="9" s="1"/>
  <c r="H1473" i="9"/>
  <c r="D1474" i="9"/>
  <c r="E1474" i="9"/>
  <c r="G1474" i="9"/>
  <c r="H1474" i="9"/>
  <c r="J1474" i="9"/>
  <c r="D1475" i="9"/>
  <c r="E1475" i="9"/>
  <c r="J1475" i="9" s="1"/>
  <c r="H1475" i="9"/>
  <c r="D1476" i="9"/>
  <c r="E1476" i="9"/>
  <c r="G1476" i="9" s="1"/>
  <c r="H1476" i="9"/>
  <c r="J1476" i="9"/>
  <c r="D1477" i="9"/>
  <c r="E1477" i="9"/>
  <c r="G1477" i="9" s="1"/>
  <c r="H1477" i="9"/>
  <c r="D1478" i="9"/>
  <c r="E1478" i="9"/>
  <c r="J1478" i="9" s="1"/>
  <c r="H1478" i="9"/>
  <c r="D1479" i="9"/>
  <c r="E1479" i="9"/>
  <c r="G1479" i="9" s="1"/>
  <c r="H1479" i="9"/>
  <c r="D1480" i="9"/>
  <c r="E1480" i="9"/>
  <c r="G1480" i="9" s="1"/>
  <c r="H1480" i="9"/>
  <c r="D1481" i="9"/>
  <c r="E1481" i="9"/>
  <c r="G1481" i="9" s="1"/>
  <c r="H1481" i="9"/>
  <c r="J1481" i="9"/>
  <c r="D1482" i="9"/>
  <c r="E1482" i="9"/>
  <c r="G1482" i="9" s="1"/>
  <c r="H1482" i="9"/>
  <c r="J1482" i="9"/>
  <c r="D1483" i="9"/>
  <c r="E1483" i="9"/>
  <c r="H1483" i="9"/>
  <c r="D1484" i="9"/>
  <c r="E1484" i="9"/>
  <c r="G1484" i="9" s="1"/>
  <c r="H1484" i="9"/>
  <c r="D1485" i="9"/>
  <c r="E1485" i="9"/>
  <c r="J1485" i="9" s="1"/>
  <c r="H1485" i="9"/>
  <c r="D1486" i="9"/>
  <c r="E1486" i="9"/>
  <c r="G1486" i="9" s="1"/>
  <c r="H1486" i="9"/>
  <c r="D1487" i="9"/>
  <c r="E1487" i="9"/>
  <c r="J1487" i="9" s="1"/>
  <c r="G1487" i="9"/>
  <c r="H1487" i="9"/>
  <c r="D1488" i="9"/>
  <c r="E1488" i="9"/>
  <c r="G1488" i="9" s="1"/>
  <c r="H1488" i="9"/>
  <c r="J1488" i="9"/>
  <c r="D1489" i="9"/>
  <c r="E1489" i="9"/>
  <c r="G1489" i="9" s="1"/>
  <c r="H1489" i="9"/>
  <c r="D1490" i="9"/>
  <c r="E1490" i="9"/>
  <c r="J1490" i="9" s="1"/>
  <c r="G1490" i="9"/>
  <c r="H1490" i="9"/>
  <c r="D1491" i="9"/>
  <c r="E1491" i="9"/>
  <c r="G1491" i="9" s="1"/>
  <c r="H1491" i="9"/>
  <c r="D1492" i="9"/>
  <c r="E1492" i="9"/>
  <c r="G1492" i="9" s="1"/>
  <c r="H1492" i="9"/>
  <c r="J1492" i="9"/>
  <c r="D1493" i="9"/>
  <c r="E1493" i="9"/>
  <c r="G1493" i="9" s="1"/>
  <c r="H1493" i="9"/>
  <c r="D1494" i="9"/>
  <c r="E1494" i="9"/>
  <c r="G1494" i="9" s="1"/>
  <c r="H1494" i="9"/>
  <c r="D1495" i="9"/>
  <c r="E1495" i="9"/>
  <c r="H1495" i="9"/>
  <c r="D1496" i="9"/>
  <c r="E1496" i="9"/>
  <c r="G1496" i="9"/>
  <c r="H1496" i="9"/>
  <c r="J1496" i="9"/>
  <c r="D1497" i="9"/>
  <c r="E1497" i="9"/>
  <c r="J1497" i="9" s="1"/>
  <c r="H1497" i="9"/>
  <c r="D1498" i="9"/>
  <c r="E1498" i="9"/>
  <c r="G1498" i="9"/>
  <c r="H1498" i="9"/>
  <c r="J1498" i="9"/>
  <c r="D1499" i="9"/>
  <c r="E1499" i="9"/>
  <c r="J1499" i="9" s="1"/>
  <c r="H1499" i="9"/>
  <c r="D1500" i="9"/>
  <c r="E1500" i="9"/>
  <c r="G1500" i="9" s="1"/>
  <c r="H1500" i="9"/>
  <c r="D1501" i="9"/>
  <c r="E1501" i="9"/>
  <c r="G1501" i="9" s="1"/>
  <c r="H1501" i="9"/>
  <c r="J1501" i="9"/>
  <c r="D1502" i="9"/>
  <c r="E1502" i="9"/>
  <c r="J1502" i="9" s="1"/>
  <c r="H1502" i="9"/>
  <c r="D1503" i="9"/>
  <c r="E1503" i="9"/>
  <c r="G1503" i="9" s="1"/>
  <c r="H1503" i="9"/>
  <c r="D1504" i="9"/>
  <c r="E1504" i="9"/>
  <c r="G1504" i="9" s="1"/>
  <c r="H1504" i="9"/>
  <c r="J1504" i="9"/>
  <c r="D1505" i="9"/>
  <c r="E1505" i="9"/>
  <c r="G1505" i="9" s="1"/>
  <c r="H1505" i="9"/>
  <c r="D1506" i="9"/>
  <c r="E1506" i="9"/>
  <c r="G1506" i="9" s="1"/>
  <c r="H1506" i="9"/>
  <c r="D1507" i="9"/>
  <c r="E1507" i="9"/>
  <c r="H1507" i="9"/>
  <c r="D1508" i="9"/>
  <c r="E1508" i="9"/>
  <c r="G1508" i="9"/>
  <c r="H1508" i="9"/>
  <c r="J1508" i="9"/>
  <c r="D1509" i="9"/>
  <c r="E1509" i="9"/>
  <c r="J1509" i="9" s="1"/>
  <c r="H1509" i="9"/>
  <c r="D1510" i="9"/>
  <c r="E1510" i="9"/>
  <c r="G1510" i="9"/>
  <c r="H1510" i="9"/>
  <c r="J1510" i="9"/>
  <c r="D1511" i="9"/>
  <c r="E1511" i="9"/>
  <c r="J1511" i="9" s="1"/>
  <c r="H1511" i="9"/>
  <c r="D1512" i="9"/>
  <c r="E1512" i="9"/>
  <c r="G1512" i="9" s="1"/>
  <c r="H1512" i="9"/>
  <c r="D1513" i="9"/>
  <c r="E1513" i="9"/>
  <c r="G1513" i="9" s="1"/>
  <c r="H1513" i="9"/>
  <c r="J1513" i="9"/>
  <c r="D1514" i="9"/>
  <c r="E1514" i="9"/>
  <c r="J1514" i="9" s="1"/>
  <c r="H1514" i="9"/>
  <c r="D1515" i="9"/>
  <c r="E1515" i="9"/>
  <c r="G1515" i="9" s="1"/>
  <c r="H1515" i="9"/>
  <c r="D1516" i="9"/>
  <c r="E1516" i="9"/>
  <c r="G1516" i="9" s="1"/>
  <c r="H1516" i="9"/>
  <c r="J1516" i="9"/>
  <c r="D1517" i="9"/>
  <c r="E1517" i="9"/>
  <c r="G1517" i="9" s="1"/>
  <c r="H1517" i="9"/>
  <c r="D1518" i="9"/>
  <c r="E1518" i="9"/>
  <c r="G1518" i="9" s="1"/>
  <c r="H1518" i="9"/>
  <c r="D1519" i="9"/>
  <c r="E1519" i="9"/>
  <c r="H1519" i="9"/>
  <c r="D1520" i="9"/>
  <c r="E1520" i="9"/>
  <c r="G1520" i="9"/>
  <c r="H1520" i="9"/>
  <c r="J1520" i="9"/>
  <c r="D1521" i="9"/>
  <c r="E1521" i="9"/>
  <c r="J1521" i="9" s="1"/>
  <c r="H1521" i="9"/>
  <c r="D1522" i="9"/>
  <c r="E1522" i="9"/>
  <c r="G1522" i="9"/>
  <c r="H1522" i="9"/>
  <c r="J1522" i="9"/>
  <c r="D1523" i="9"/>
  <c r="E1523" i="9"/>
  <c r="J1523" i="9" s="1"/>
  <c r="H1523" i="9"/>
  <c r="D1524" i="9"/>
  <c r="E1524" i="9"/>
  <c r="G1524" i="9" s="1"/>
  <c r="H1524" i="9"/>
  <c r="D1525" i="9"/>
  <c r="E1525" i="9"/>
  <c r="G1525" i="9" s="1"/>
  <c r="H1525" i="9"/>
  <c r="J1525" i="9"/>
  <c r="D1526" i="9"/>
  <c r="E1526" i="9"/>
  <c r="J1526" i="9" s="1"/>
  <c r="H1526" i="9"/>
  <c r="D1527" i="9"/>
  <c r="E1527" i="9"/>
  <c r="G1527" i="9" s="1"/>
  <c r="H1527" i="9"/>
  <c r="D1528" i="9"/>
  <c r="E1528" i="9"/>
  <c r="G1528" i="9" s="1"/>
  <c r="H1528" i="9"/>
  <c r="J1528" i="9"/>
  <c r="D1529" i="9"/>
  <c r="E1529" i="9"/>
  <c r="G1529" i="9" s="1"/>
  <c r="H1529" i="9"/>
  <c r="D1530" i="9"/>
  <c r="E1530" i="9"/>
  <c r="G1530" i="9" s="1"/>
  <c r="H1530" i="9"/>
  <c r="D1531" i="9"/>
  <c r="E1531" i="9"/>
  <c r="H1531" i="9"/>
  <c r="D1532" i="9"/>
  <c r="E1532" i="9"/>
  <c r="G1532" i="9"/>
  <c r="H1532" i="9"/>
  <c r="J1532" i="9"/>
  <c r="D1533" i="9"/>
  <c r="E1533" i="9"/>
  <c r="J1533" i="9" s="1"/>
  <c r="H1533" i="9"/>
  <c r="D1534" i="9"/>
  <c r="E1534" i="9"/>
  <c r="G1534" i="9"/>
  <c r="H1534" i="9"/>
  <c r="J1534" i="9"/>
  <c r="D1535" i="9"/>
  <c r="E1535" i="9"/>
  <c r="J1535" i="9" s="1"/>
  <c r="H1535" i="9"/>
  <c r="D1536" i="9"/>
  <c r="E1536" i="9"/>
  <c r="G1536" i="9" s="1"/>
  <c r="H1536" i="9"/>
  <c r="D1537" i="9"/>
  <c r="E1537" i="9"/>
  <c r="G1537" i="9" s="1"/>
  <c r="H1537" i="9"/>
  <c r="J1537" i="9"/>
  <c r="D1538" i="9"/>
  <c r="E1538" i="9"/>
  <c r="J1538" i="9" s="1"/>
  <c r="H1538" i="9"/>
  <c r="D1539" i="9"/>
  <c r="E1539" i="9"/>
  <c r="G1539" i="9" s="1"/>
  <c r="H1539" i="9"/>
  <c r="D1540" i="9"/>
  <c r="E1540" i="9"/>
  <c r="G1540" i="9" s="1"/>
  <c r="H1540" i="9"/>
  <c r="J1540" i="9"/>
  <c r="D1541" i="9"/>
  <c r="E1541" i="9"/>
  <c r="G1541" i="9" s="1"/>
  <c r="H1541" i="9"/>
  <c r="D1542" i="9"/>
  <c r="E1542" i="9"/>
  <c r="G1542" i="9" s="1"/>
  <c r="H1542" i="9"/>
  <c r="D1543" i="9"/>
  <c r="E1543" i="9"/>
  <c r="H1543" i="9"/>
  <c r="D1544" i="9"/>
  <c r="E1544" i="9"/>
  <c r="G1544" i="9"/>
  <c r="H1544" i="9"/>
  <c r="J1544" i="9"/>
  <c r="D1545" i="9"/>
  <c r="E1545" i="9"/>
  <c r="J1545" i="9" s="1"/>
  <c r="H1545" i="9"/>
  <c r="D1546" i="9"/>
  <c r="E1546" i="9"/>
  <c r="G1546" i="9"/>
  <c r="H1546" i="9"/>
  <c r="J1546" i="9"/>
  <c r="D1547" i="9"/>
  <c r="E1547" i="9"/>
  <c r="J1547" i="9" s="1"/>
  <c r="H1547" i="9"/>
  <c r="D1548" i="9"/>
  <c r="E1548" i="9"/>
  <c r="G1548" i="9" s="1"/>
  <c r="H1548" i="9"/>
  <c r="D1549" i="9"/>
  <c r="E1549" i="9"/>
  <c r="G1549" i="9" s="1"/>
  <c r="H1549" i="9"/>
  <c r="J1549" i="9"/>
  <c r="D1550" i="9"/>
  <c r="E1550" i="9"/>
  <c r="J1550" i="9" s="1"/>
  <c r="H1550" i="9"/>
  <c r="D1551" i="9"/>
  <c r="E1551" i="9"/>
  <c r="G1551" i="9" s="1"/>
  <c r="H1551" i="9"/>
  <c r="D1552" i="9"/>
  <c r="E1552" i="9"/>
  <c r="G1552" i="9" s="1"/>
  <c r="H1552" i="9"/>
  <c r="J1552" i="9"/>
  <c r="D1553" i="9"/>
  <c r="E1553" i="9"/>
  <c r="G1553" i="9" s="1"/>
  <c r="H1553" i="9"/>
  <c r="D1554" i="9"/>
  <c r="E1554" i="9"/>
  <c r="G1554" i="9" s="1"/>
  <c r="H1554" i="9"/>
  <c r="D1555" i="9"/>
  <c r="E1555" i="9"/>
  <c r="H1555" i="9"/>
  <c r="D1556" i="9"/>
  <c r="E1556" i="9"/>
  <c r="G1556" i="9"/>
  <c r="H1556" i="9"/>
  <c r="J1556" i="9"/>
  <c r="D1557" i="9"/>
  <c r="E1557" i="9"/>
  <c r="J1557" i="9" s="1"/>
  <c r="H1557" i="9"/>
  <c r="D1558" i="9"/>
  <c r="E1558" i="9"/>
  <c r="G1558" i="9"/>
  <c r="H1558" i="9"/>
  <c r="J1558" i="9"/>
  <c r="D1559" i="9"/>
  <c r="E1559" i="9"/>
  <c r="J1559" i="9" s="1"/>
  <c r="H1559" i="9"/>
  <c r="D1560" i="9"/>
  <c r="E1560" i="9"/>
  <c r="G1560" i="9" s="1"/>
  <c r="H1560" i="9"/>
  <c r="D1561" i="9"/>
  <c r="E1561" i="9"/>
  <c r="G1561" i="9" s="1"/>
  <c r="H1561" i="9"/>
  <c r="J1561" i="9"/>
  <c r="D1562" i="9"/>
  <c r="E1562" i="9"/>
  <c r="J1562" i="9" s="1"/>
  <c r="H1562" i="9"/>
  <c r="D1563" i="9"/>
  <c r="E1563" i="9"/>
  <c r="G1563" i="9" s="1"/>
  <c r="H1563" i="9"/>
  <c r="D1564" i="9"/>
  <c r="E1564" i="9"/>
  <c r="G1564" i="9" s="1"/>
  <c r="H1564" i="9"/>
  <c r="J1564" i="9"/>
  <c r="D1565" i="9"/>
  <c r="E1565" i="9"/>
  <c r="G1565" i="9" s="1"/>
  <c r="H1565" i="9"/>
  <c r="D1566" i="9"/>
  <c r="E1566" i="9"/>
  <c r="G1566" i="9" s="1"/>
  <c r="H1566" i="9"/>
  <c r="D1567" i="9"/>
  <c r="E1567" i="9"/>
  <c r="H1567" i="9"/>
  <c r="D1568" i="9"/>
  <c r="E1568" i="9"/>
  <c r="G1568" i="9"/>
  <c r="H1568" i="9"/>
  <c r="J1568" i="9"/>
  <c r="D1569" i="9"/>
  <c r="E1569" i="9"/>
  <c r="J1569" i="9" s="1"/>
  <c r="H1569" i="9"/>
  <c r="D1570" i="9"/>
  <c r="E1570" i="9"/>
  <c r="G1570" i="9"/>
  <c r="H1570" i="9"/>
  <c r="J1570" i="9"/>
  <c r="D1571" i="9"/>
  <c r="E1571" i="9"/>
  <c r="J1571" i="9" s="1"/>
  <c r="H1571" i="9"/>
  <c r="D1572" i="9"/>
  <c r="E1572" i="9"/>
  <c r="G1572" i="9" s="1"/>
  <c r="H1572" i="9"/>
  <c r="D1573" i="9"/>
  <c r="E1573" i="9"/>
  <c r="G1573" i="9" s="1"/>
  <c r="H1573" i="9"/>
  <c r="J1573" i="9"/>
  <c r="D1574" i="9"/>
  <c r="E1574" i="9"/>
  <c r="J1574" i="9" s="1"/>
  <c r="H1574" i="9"/>
  <c r="D1575" i="9"/>
  <c r="E1575" i="9"/>
  <c r="G1575" i="9" s="1"/>
  <c r="H1575" i="9"/>
  <c r="D1576" i="9"/>
  <c r="E1576" i="9"/>
  <c r="G1576" i="9" s="1"/>
  <c r="H1576" i="9"/>
  <c r="D1577" i="9"/>
  <c r="E1577" i="9"/>
  <c r="G1577" i="9" s="1"/>
  <c r="H1577" i="9"/>
  <c r="D1578" i="9"/>
  <c r="E1578" i="9"/>
  <c r="G1578" i="9" s="1"/>
  <c r="H1578" i="9"/>
  <c r="D1579" i="9"/>
  <c r="E1579" i="9"/>
  <c r="H1579" i="9"/>
  <c r="D1580" i="9"/>
  <c r="E1580" i="9"/>
  <c r="G1580" i="9"/>
  <c r="H1580" i="9"/>
  <c r="J1580" i="9"/>
  <c r="D1581" i="9"/>
  <c r="E1581" i="9"/>
  <c r="J1581" i="9" s="1"/>
  <c r="H1581" i="9"/>
  <c r="D1582" i="9"/>
  <c r="E1582" i="9"/>
  <c r="G1582" i="9"/>
  <c r="H1582" i="9"/>
  <c r="J1582" i="9"/>
  <c r="D1583" i="9"/>
  <c r="E1583" i="9"/>
  <c r="J1583" i="9" s="1"/>
  <c r="H1583" i="9"/>
  <c r="D1584" i="9"/>
  <c r="E1584" i="9"/>
  <c r="G1584" i="9" s="1"/>
  <c r="H1584" i="9"/>
  <c r="D1585" i="9"/>
  <c r="E1585" i="9"/>
  <c r="G1585" i="9" s="1"/>
  <c r="H1585" i="9"/>
  <c r="J1585" i="9"/>
  <c r="D1586" i="9"/>
  <c r="E1586" i="9"/>
  <c r="J1586" i="9" s="1"/>
  <c r="H1586" i="9"/>
  <c r="D1587" i="9"/>
  <c r="E1587" i="9"/>
  <c r="G1587" i="9" s="1"/>
  <c r="H1587" i="9"/>
  <c r="D1588" i="9"/>
  <c r="E1588" i="9"/>
  <c r="G1588" i="9" s="1"/>
  <c r="H1588" i="9"/>
  <c r="D1589" i="9"/>
  <c r="E1589" i="9"/>
  <c r="G1589" i="9" s="1"/>
  <c r="H1589" i="9"/>
  <c r="D1590" i="9"/>
  <c r="E1590" i="9"/>
  <c r="G1590" i="9" s="1"/>
  <c r="H1590" i="9"/>
  <c r="D1591" i="9"/>
  <c r="E1591" i="9"/>
  <c r="H1591" i="9"/>
  <c r="D1592" i="9"/>
  <c r="E1592" i="9"/>
  <c r="G1592" i="9"/>
  <c r="H1592" i="9"/>
  <c r="J1592" i="9"/>
  <c r="D1593" i="9"/>
  <c r="E1593" i="9"/>
  <c r="J1593" i="9" s="1"/>
  <c r="H1593" i="9"/>
  <c r="D1594" i="9"/>
  <c r="E1594" i="9"/>
  <c r="G1594" i="9"/>
  <c r="H1594" i="9"/>
  <c r="J1594" i="9"/>
  <c r="D1595" i="9"/>
  <c r="E1595" i="9"/>
  <c r="J1595" i="9" s="1"/>
  <c r="H1595" i="9"/>
  <c r="D1596" i="9"/>
  <c r="E1596" i="9"/>
  <c r="G1596" i="9" s="1"/>
  <c r="H1596" i="9"/>
  <c r="D1597" i="9"/>
  <c r="E1597" i="9"/>
  <c r="G1597" i="9" s="1"/>
  <c r="H1597" i="9"/>
  <c r="J1597" i="9"/>
  <c r="D1598" i="9"/>
  <c r="E1598" i="9"/>
  <c r="J1598" i="9" s="1"/>
  <c r="H1598" i="9"/>
  <c r="D1599" i="9"/>
  <c r="E1599" i="9"/>
  <c r="G1599" i="9" s="1"/>
  <c r="H1599" i="9"/>
  <c r="D1600" i="9"/>
  <c r="E1600" i="9"/>
  <c r="G1600" i="9" s="1"/>
  <c r="H1600" i="9"/>
  <c r="D1601" i="9"/>
  <c r="E1601" i="9"/>
  <c r="G1601" i="9" s="1"/>
  <c r="H1601" i="9"/>
  <c r="D1602" i="9"/>
  <c r="E1602" i="9"/>
  <c r="G1602" i="9" s="1"/>
  <c r="H1602" i="9"/>
  <c r="D1603" i="9"/>
  <c r="E1603" i="9"/>
  <c r="H1603" i="9"/>
  <c r="D1604" i="9"/>
  <c r="E1604" i="9"/>
  <c r="G1604" i="9"/>
  <c r="H1604" i="9"/>
  <c r="J1604" i="9"/>
  <c r="D1605" i="9"/>
  <c r="E1605" i="9"/>
  <c r="J1605" i="9" s="1"/>
  <c r="H1605" i="9"/>
  <c r="D1606" i="9"/>
  <c r="E1606" i="9"/>
  <c r="G1606" i="9"/>
  <c r="H1606" i="9"/>
  <c r="J1606" i="9"/>
  <c r="D1607" i="9"/>
  <c r="E1607" i="9"/>
  <c r="J1607" i="9" s="1"/>
  <c r="H1607" i="9"/>
  <c r="D1608" i="9"/>
  <c r="E1608" i="9"/>
  <c r="G1608" i="9" s="1"/>
  <c r="H1608" i="9"/>
  <c r="D1609" i="9"/>
  <c r="E1609" i="9"/>
  <c r="G1609" i="9" s="1"/>
  <c r="H1609" i="9"/>
  <c r="J1609" i="9"/>
  <c r="D1610" i="9"/>
  <c r="E1610" i="9"/>
  <c r="J1610" i="9" s="1"/>
  <c r="H1610" i="9"/>
  <c r="D1611" i="9"/>
  <c r="E1611" i="9"/>
  <c r="G1611" i="9" s="1"/>
  <c r="H1611" i="9"/>
  <c r="D1612" i="9"/>
  <c r="E1612" i="9"/>
  <c r="G1612" i="9" s="1"/>
  <c r="H1612" i="9"/>
  <c r="D1613" i="9"/>
  <c r="E1613" i="9"/>
  <c r="G1613" i="9" s="1"/>
  <c r="H1613" i="9"/>
  <c r="D1614" i="9"/>
  <c r="E1614" i="9"/>
  <c r="G1614" i="9" s="1"/>
  <c r="H1614" i="9"/>
  <c r="D1615" i="9"/>
  <c r="E1615" i="9"/>
  <c r="H1615" i="9"/>
  <c r="D1616" i="9"/>
  <c r="E1616" i="9"/>
  <c r="G1616" i="9"/>
  <c r="H1616" i="9"/>
  <c r="J1616" i="9"/>
  <c r="D1617" i="9"/>
  <c r="E1617" i="9"/>
  <c r="J1617" i="9" s="1"/>
  <c r="H1617" i="9"/>
  <c r="D1618" i="9"/>
  <c r="E1618" i="9"/>
  <c r="G1618" i="9"/>
  <c r="H1618" i="9"/>
  <c r="J1618" i="9"/>
  <c r="D1619" i="9"/>
  <c r="E1619" i="9"/>
  <c r="J1619" i="9" s="1"/>
  <c r="H1619" i="9"/>
  <c r="D1620" i="9"/>
  <c r="E1620" i="9"/>
  <c r="G1620" i="9" s="1"/>
  <c r="H1620" i="9"/>
  <c r="D1621" i="9"/>
  <c r="E1621" i="9"/>
  <c r="G1621" i="9" s="1"/>
  <c r="H1621" i="9"/>
  <c r="J1621" i="9"/>
  <c r="D1622" i="9"/>
  <c r="E1622" i="9"/>
  <c r="J1622" i="9" s="1"/>
  <c r="H1622" i="9"/>
  <c r="D1623" i="9"/>
  <c r="E1623" i="9"/>
  <c r="G1623" i="9" s="1"/>
  <c r="H1623" i="9"/>
  <c r="D1624" i="9"/>
  <c r="E1624" i="9"/>
  <c r="G1624" i="9" s="1"/>
  <c r="H1624" i="9"/>
  <c r="D1625" i="9"/>
  <c r="E1625" i="9"/>
  <c r="G1625" i="9" s="1"/>
  <c r="H1625" i="9"/>
  <c r="D1626" i="9"/>
  <c r="E1626" i="9"/>
  <c r="G1626" i="9" s="1"/>
  <c r="H1626" i="9"/>
  <c r="D1627" i="9"/>
  <c r="E1627" i="9"/>
  <c r="H1627" i="9"/>
  <c r="D1628" i="9"/>
  <c r="E1628" i="9"/>
  <c r="G1628" i="9"/>
  <c r="H1628" i="9"/>
  <c r="J1628" i="9"/>
  <c r="D1629" i="9"/>
  <c r="E1629" i="9"/>
  <c r="J1629" i="9" s="1"/>
  <c r="H1629" i="9"/>
  <c r="D1630" i="9"/>
  <c r="E1630" i="9"/>
  <c r="G1630" i="9"/>
  <c r="H1630" i="9"/>
  <c r="J1630" i="9"/>
  <c r="D1631" i="9"/>
  <c r="E1631" i="9"/>
  <c r="J1631" i="9" s="1"/>
  <c r="H1631" i="9"/>
  <c r="D1632" i="9"/>
  <c r="E1632" i="9"/>
  <c r="G1632" i="9" s="1"/>
  <c r="H1632" i="9"/>
  <c r="D1633" i="9"/>
  <c r="E1633" i="9"/>
  <c r="G1633" i="9" s="1"/>
  <c r="H1633" i="9"/>
  <c r="J1633" i="9"/>
  <c r="D1634" i="9"/>
  <c r="E1634" i="9"/>
  <c r="J1634" i="9" s="1"/>
  <c r="H1634" i="9"/>
  <c r="D1635" i="9"/>
  <c r="E1635" i="9"/>
  <c r="G1635" i="9" s="1"/>
  <c r="H1635" i="9"/>
  <c r="D1636" i="9"/>
  <c r="E1636" i="9"/>
  <c r="G1636" i="9" s="1"/>
  <c r="H1636" i="9"/>
  <c r="D1637" i="9"/>
  <c r="E1637" i="9"/>
  <c r="G1637" i="9" s="1"/>
  <c r="H1637" i="9"/>
  <c r="D1638" i="9"/>
  <c r="E1638" i="9"/>
  <c r="G1638" i="9" s="1"/>
  <c r="H1638" i="9"/>
  <c r="D1639" i="9"/>
  <c r="E1639" i="9"/>
  <c r="H1639" i="9"/>
  <c r="D1640" i="9"/>
  <c r="E1640" i="9"/>
  <c r="G1640" i="9"/>
  <c r="H1640" i="9"/>
  <c r="J1640" i="9"/>
  <c r="D1641" i="9"/>
  <c r="E1641" i="9"/>
  <c r="J1641" i="9" s="1"/>
  <c r="H1641" i="9"/>
  <c r="D1642" i="9"/>
  <c r="E1642" i="9"/>
  <c r="G1642" i="9"/>
  <c r="H1642" i="9"/>
  <c r="J1642" i="9"/>
  <c r="D1643" i="9"/>
  <c r="E1643" i="9"/>
  <c r="J1643" i="9" s="1"/>
  <c r="H1643" i="9"/>
  <c r="D1644" i="9"/>
  <c r="E1644" i="9"/>
  <c r="G1644" i="9" s="1"/>
  <c r="H1644" i="9"/>
  <c r="D1645" i="9"/>
  <c r="E1645" i="9"/>
  <c r="G1645" i="9" s="1"/>
  <c r="H1645" i="9"/>
  <c r="J1645" i="9"/>
  <c r="D1646" i="9"/>
  <c r="E1646" i="9"/>
  <c r="J1646" i="9" s="1"/>
  <c r="H1646" i="9"/>
  <c r="D1647" i="9"/>
  <c r="E1647" i="9"/>
  <c r="G1647" i="9" s="1"/>
  <c r="H1647" i="9"/>
  <c r="D1648" i="9"/>
  <c r="E1648" i="9"/>
  <c r="G1648" i="9" s="1"/>
  <c r="H1648" i="9"/>
  <c r="D1649" i="9"/>
  <c r="E1649" i="9"/>
  <c r="G1649" i="9"/>
  <c r="H1649" i="9"/>
  <c r="J1649" i="9"/>
  <c r="D1650" i="9"/>
  <c r="E1650" i="9"/>
  <c r="G1650" i="9" s="1"/>
  <c r="H1650" i="9"/>
  <c r="D1651" i="9"/>
  <c r="E1651" i="9"/>
  <c r="H1651" i="9"/>
  <c r="D1652" i="9"/>
  <c r="E1652" i="9"/>
  <c r="G1652" i="9" s="1"/>
  <c r="H1652" i="9"/>
  <c r="J1652" i="9"/>
  <c r="D1653" i="9"/>
  <c r="E1653" i="9"/>
  <c r="J1653" i="9" s="1"/>
  <c r="H1653" i="9"/>
  <c r="D1654" i="9"/>
  <c r="E1654" i="9"/>
  <c r="G1654" i="9" s="1"/>
  <c r="H1654" i="9"/>
  <c r="D1655" i="9"/>
  <c r="E1655" i="9"/>
  <c r="J1655" i="9" s="1"/>
  <c r="G1655" i="9"/>
  <c r="H1655" i="9"/>
  <c r="D1656" i="9"/>
  <c r="E1656" i="9"/>
  <c r="G1656" i="9" s="1"/>
  <c r="H1656" i="9"/>
  <c r="J1656" i="9"/>
  <c r="D1657" i="9"/>
  <c r="E1657" i="9"/>
  <c r="G1657" i="9" s="1"/>
  <c r="H1657" i="9"/>
  <c r="D1658" i="9"/>
  <c r="E1658" i="9"/>
  <c r="J1658" i="9" s="1"/>
  <c r="G1658" i="9"/>
  <c r="H1658" i="9"/>
  <c r="D1659" i="9"/>
  <c r="E1659" i="9"/>
  <c r="G1659" i="9" s="1"/>
  <c r="H1659" i="9"/>
  <c r="D1660" i="9"/>
  <c r="E1660" i="9"/>
  <c r="G1660" i="9" s="1"/>
  <c r="H1660" i="9"/>
  <c r="D1661" i="9"/>
  <c r="E1661" i="9"/>
  <c r="G1661" i="9" s="1"/>
  <c r="H1661" i="9"/>
  <c r="J1661" i="9"/>
  <c r="D1662" i="9"/>
  <c r="E1662" i="9"/>
  <c r="G1662" i="9" s="1"/>
  <c r="H1662" i="9"/>
  <c r="J1662" i="9"/>
  <c r="D1663" i="9"/>
  <c r="E1663" i="9"/>
  <c r="H1663" i="9"/>
  <c r="D1664" i="9"/>
  <c r="E1664" i="9"/>
  <c r="G1664" i="9"/>
  <c r="H1664" i="9"/>
  <c r="J1664" i="9"/>
  <c r="D1665" i="9"/>
  <c r="E1665" i="9"/>
  <c r="J1665" i="9" s="1"/>
  <c r="H1665" i="9"/>
  <c r="D1666" i="9"/>
  <c r="E1666" i="9"/>
  <c r="G1666" i="9"/>
  <c r="H1666" i="9"/>
  <c r="J1666" i="9"/>
  <c r="D1667" i="9"/>
  <c r="E1667" i="9"/>
  <c r="J1667" i="9" s="1"/>
  <c r="G1667" i="9"/>
  <c r="H1667" i="9"/>
  <c r="D1668" i="9"/>
  <c r="E1668" i="9"/>
  <c r="G1668" i="9" s="1"/>
  <c r="H1668" i="9"/>
  <c r="J1668" i="9"/>
  <c r="D1669" i="9"/>
  <c r="E1669" i="9"/>
  <c r="G1669" i="9" s="1"/>
  <c r="H1669" i="9"/>
  <c r="J1669" i="9"/>
  <c r="D1670" i="9"/>
  <c r="E1670" i="9"/>
  <c r="J1670" i="9" s="1"/>
  <c r="G1670" i="9"/>
  <c r="H1670" i="9"/>
  <c r="D1671" i="9"/>
  <c r="E1671" i="9"/>
  <c r="G1671" i="9" s="1"/>
  <c r="H1671" i="9"/>
  <c r="D1672" i="9"/>
  <c r="E1672" i="9"/>
  <c r="G1672" i="9" s="1"/>
  <c r="H1672" i="9"/>
  <c r="D1673" i="9"/>
  <c r="E1673" i="9"/>
  <c r="G1673" i="9" s="1"/>
  <c r="H1673" i="9"/>
  <c r="J1673" i="9"/>
  <c r="D1674" i="9"/>
  <c r="E1674" i="9"/>
  <c r="G1674" i="9" s="1"/>
  <c r="H1674" i="9"/>
  <c r="J1674" i="9"/>
  <c r="D1675" i="9"/>
  <c r="E1675" i="9"/>
  <c r="H1675" i="9"/>
  <c r="D1676" i="9"/>
  <c r="E1676" i="9"/>
  <c r="G1676" i="9"/>
  <c r="H1676" i="9"/>
  <c r="J1676" i="9"/>
  <c r="D1677" i="9"/>
  <c r="E1677" i="9"/>
  <c r="J1677" i="9" s="1"/>
  <c r="H1677" i="9"/>
  <c r="D1678" i="9"/>
  <c r="E1678" i="9"/>
  <c r="G1678" i="9"/>
  <c r="H1678" i="9"/>
  <c r="J1678" i="9"/>
  <c r="D1679" i="9"/>
  <c r="E1679" i="9"/>
  <c r="J1679" i="9" s="1"/>
  <c r="G1679" i="9"/>
  <c r="H1679" i="9"/>
  <c r="D1680" i="9"/>
  <c r="E1680" i="9"/>
  <c r="G1680" i="9" s="1"/>
  <c r="H1680" i="9"/>
  <c r="J1680" i="9"/>
  <c r="D1681" i="9"/>
  <c r="E1681" i="9"/>
  <c r="G1681" i="9" s="1"/>
  <c r="H1681" i="9"/>
  <c r="J1681" i="9"/>
  <c r="D1682" i="9"/>
  <c r="E1682" i="9"/>
  <c r="J1682" i="9" s="1"/>
  <c r="G1682" i="9"/>
  <c r="H1682" i="9"/>
  <c r="D1683" i="9"/>
  <c r="E1683" i="9"/>
  <c r="H1683" i="9"/>
  <c r="D1684" i="9"/>
  <c r="E1684" i="9"/>
  <c r="G1684" i="9" s="1"/>
  <c r="H1684" i="9"/>
  <c r="D1685" i="9"/>
  <c r="E1685" i="9"/>
  <c r="G1685" i="9"/>
  <c r="H1685" i="9"/>
  <c r="J1685" i="9"/>
  <c r="D1686" i="9"/>
  <c r="E1686" i="9"/>
  <c r="G1686" i="9"/>
  <c r="H1686" i="9"/>
  <c r="J1686" i="9"/>
  <c r="D1687" i="9"/>
  <c r="E1687" i="9"/>
  <c r="H1687" i="9"/>
  <c r="D1688" i="9"/>
  <c r="E1688" i="9"/>
  <c r="J1688" i="9" s="1"/>
  <c r="G1688" i="9"/>
  <c r="H1688" i="9"/>
  <c r="D1689" i="9"/>
  <c r="E1689" i="9"/>
  <c r="J1689" i="9" s="1"/>
  <c r="H1689" i="9"/>
  <c r="D1690" i="9"/>
  <c r="E1690" i="9"/>
  <c r="J1690" i="9" s="1"/>
  <c r="H1690" i="9"/>
  <c r="D1691" i="9"/>
  <c r="E1691" i="9"/>
  <c r="J1691" i="9" s="1"/>
  <c r="H1691" i="9"/>
  <c r="D1692" i="9"/>
  <c r="E1692" i="9"/>
  <c r="G1692" i="9" s="1"/>
  <c r="H1692" i="9"/>
  <c r="D1693" i="9"/>
  <c r="E1693" i="9"/>
  <c r="H1693" i="9"/>
  <c r="D1694" i="9"/>
  <c r="E1694" i="9"/>
  <c r="J1694" i="9" s="1"/>
  <c r="G1694" i="9"/>
  <c r="H1694" i="9"/>
  <c r="D1695" i="9"/>
  <c r="E1695" i="9"/>
  <c r="H1695" i="9"/>
  <c r="D1696" i="9"/>
  <c r="E1696" i="9"/>
  <c r="G1696" i="9" s="1"/>
  <c r="H1696" i="9"/>
  <c r="D1697" i="9"/>
  <c r="E1697" i="9"/>
  <c r="G1697" i="9" s="1"/>
  <c r="H1697" i="9"/>
  <c r="J1697" i="9"/>
  <c r="D1698" i="9"/>
  <c r="E1698" i="9"/>
  <c r="G1698" i="9" s="1"/>
  <c r="H1698" i="9"/>
  <c r="J1698" i="9"/>
  <c r="D1699" i="9"/>
  <c r="E1699" i="9"/>
  <c r="H1699" i="9"/>
  <c r="D1700" i="9"/>
  <c r="E1700" i="9"/>
  <c r="G1700" i="9"/>
  <c r="H1700" i="9"/>
  <c r="J1700" i="9"/>
  <c r="D1701" i="9"/>
  <c r="E1701" i="9"/>
  <c r="J1701" i="9" s="1"/>
  <c r="H1701" i="9"/>
  <c r="D1702" i="9"/>
  <c r="E1702" i="9"/>
  <c r="G1702" i="9"/>
  <c r="H1702" i="9"/>
  <c r="J1702" i="9"/>
  <c r="D1703" i="9"/>
  <c r="E1703" i="9"/>
  <c r="J1703" i="9" s="1"/>
  <c r="G1703" i="9"/>
  <c r="H1703" i="9"/>
  <c r="D1704" i="9"/>
  <c r="E1704" i="9"/>
  <c r="G1704" i="9" s="1"/>
  <c r="H1704" i="9"/>
  <c r="J1704" i="9"/>
  <c r="D1705" i="9"/>
  <c r="E1705" i="9"/>
  <c r="G1705" i="9" s="1"/>
  <c r="H1705" i="9"/>
  <c r="J1705" i="9"/>
  <c r="D1706" i="9"/>
  <c r="E1706" i="9"/>
  <c r="J1706" i="9" s="1"/>
  <c r="G1706" i="9"/>
  <c r="H1706" i="9"/>
  <c r="D1707" i="9"/>
  <c r="E1707" i="9"/>
  <c r="H1707" i="9"/>
  <c r="D1708" i="9"/>
  <c r="E1708" i="9"/>
  <c r="H1708" i="9"/>
  <c r="D1709" i="9"/>
  <c r="E1709" i="9"/>
  <c r="G1709" i="9" s="1"/>
  <c r="H1709" i="9"/>
  <c r="J1709" i="9"/>
  <c r="D1710" i="9"/>
  <c r="E1710" i="9"/>
  <c r="G1710" i="9" s="1"/>
  <c r="H1710" i="9"/>
  <c r="J1710" i="9"/>
  <c r="D1711" i="9"/>
  <c r="E1711" i="9"/>
  <c r="H1711" i="9"/>
  <c r="D1712" i="9"/>
  <c r="E1712" i="9"/>
  <c r="G1712" i="9"/>
  <c r="H1712" i="9"/>
  <c r="J1712" i="9"/>
  <c r="D1713" i="9"/>
  <c r="E1713" i="9"/>
  <c r="J1713" i="9" s="1"/>
  <c r="H1713" i="9"/>
  <c r="D1714" i="9"/>
  <c r="E1714" i="9"/>
  <c r="G1714" i="9"/>
  <c r="H1714" i="9"/>
  <c r="J1714" i="9"/>
  <c r="D1715" i="9"/>
  <c r="E1715" i="9"/>
  <c r="J1715" i="9" s="1"/>
  <c r="G1715" i="9"/>
  <c r="H1715" i="9"/>
  <c r="D1716" i="9"/>
  <c r="E1716" i="9"/>
  <c r="G1716" i="9" s="1"/>
  <c r="H1716" i="9"/>
  <c r="J1716" i="9"/>
  <c r="D1717" i="9"/>
  <c r="E1717" i="9"/>
  <c r="G1717" i="9" s="1"/>
  <c r="H1717" i="9"/>
  <c r="J1717" i="9"/>
  <c r="D1718" i="9"/>
  <c r="E1718" i="9"/>
  <c r="J1718" i="9" s="1"/>
  <c r="H1718" i="9"/>
  <c r="D1719" i="9"/>
  <c r="E1719" i="9"/>
  <c r="H1719" i="9"/>
  <c r="D1720" i="9"/>
  <c r="E1720" i="9"/>
  <c r="G1720" i="9" s="1"/>
  <c r="H1720" i="9"/>
  <c r="D1721" i="9"/>
  <c r="E1721" i="9"/>
  <c r="G1721" i="9"/>
  <c r="H1721" i="9"/>
  <c r="J1721" i="9"/>
  <c r="D1722" i="9"/>
  <c r="E1722" i="9"/>
  <c r="G1722" i="9"/>
  <c r="H1722" i="9"/>
  <c r="J1722" i="9"/>
  <c r="D1723" i="9"/>
  <c r="E1723" i="9"/>
  <c r="H1723" i="9"/>
  <c r="D1724" i="9"/>
  <c r="E1724" i="9"/>
  <c r="J1724" i="9" s="1"/>
  <c r="G1724" i="9"/>
  <c r="H1724" i="9"/>
  <c r="D1725" i="9"/>
  <c r="E1725" i="9"/>
  <c r="J1725" i="9" s="1"/>
  <c r="H1725" i="9"/>
  <c r="D1726" i="9"/>
  <c r="E1726" i="9"/>
  <c r="H1726" i="9"/>
  <c r="D1727" i="9"/>
  <c r="E1727" i="9"/>
  <c r="H1727" i="9"/>
  <c r="D1728" i="9"/>
  <c r="E1728" i="9"/>
  <c r="G1728" i="9" s="1"/>
  <c r="H1728" i="9"/>
  <c r="J1728" i="9"/>
  <c r="D1729" i="9"/>
  <c r="E1729" i="9"/>
  <c r="G1729" i="9" s="1"/>
  <c r="H1729" i="9"/>
  <c r="D1730" i="9"/>
  <c r="E1730" i="9"/>
  <c r="H1730" i="9"/>
  <c r="D1731" i="9"/>
  <c r="E1731" i="9"/>
  <c r="H1731" i="9"/>
  <c r="D1732" i="9"/>
  <c r="E1732" i="9"/>
  <c r="H1732" i="9"/>
  <c r="D1733" i="9"/>
  <c r="E1733" i="9"/>
  <c r="H1733" i="9"/>
  <c r="D1734" i="9"/>
  <c r="E1734" i="9"/>
  <c r="H1734" i="9"/>
  <c r="D1735" i="9"/>
  <c r="E1735" i="9"/>
  <c r="H1735" i="9"/>
  <c r="D1736" i="9"/>
  <c r="E1736" i="9"/>
  <c r="G1736" i="9" s="1"/>
  <c r="H1736" i="9"/>
  <c r="D1737" i="9"/>
  <c r="E1737" i="9"/>
  <c r="H1737" i="9"/>
  <c r="D1738" i="9"/>
  <c r="E1738" i="9"/>
  <c r="G1738" i="9" s="1"/>
  <c r="H1738" i="9"/>
  <c r="J1738" i="9"/>
  <c r="D1739" i="9"/>
  <c r="E1739" i="9"/>
  <c r="J1739" i="9" s="1"/>
  <c r="H1739" i="9"/>
  <c r="D1740" i="9"/>
  <c r="E1740" i="9"/>
  <c r="G1740" i="9" s="1"/>
  <c r="H1740" i="9"/>
  <c r="D1741" i="9"/>
  <c r="E1741" i="9"/>
  <c r="G1741" i="9" s="1"/>
  <c r="H1741" i="9"/>
  <c r="D1742" i="9"/>
  <c r="E1742" i="9"/>
  <c r="J1742" i="9" s="1"/>
  <c r="H1742" i="9"/>
  <c r="D1743" i="9"/>
  <c r="E1743" i="9"/>
  <c r="H1743" i="9"/>
  <c r="D1744" i="9"/>
  <c r="E1744" i="9"/>
  <c r="J1744" i="9" s="1"/>
  <c r="G1744" i="9"/>
  <c r="H1744" i="9"/>
  <c r="D1745" i="9"/>
  <c r="E1745" i="9"/>
  <c r="J1745" i="9" s="1"/>
  <c r="G1745" i="9"/>
  <c r="H1745" i="9"/>
  <c r="D1746" i="9"/>
  <c r="E1746" i="9"/>
  <c r="H1746" i="9"/>
  <c r="D1747" i="9"/>
  <c r="E1747" i="9"/>
  <c r="H1747" i="9"/>
  <c r="D1748" i="9"/>
  <c r="E1748" i="9"/>
  <c r="H1748" i="9"/>
  <c r="D1749" i="9"/>
  <c r="E1749" i="9"/>
  <c r="H1749" i="9"/>
  <c r="D1750" i="9"/>
  <c r="E1750" i="9"/>
  <c r="G1750" i="9" s="1"/>
  <c r="H1750" i="9"/>
  <c r="J1750" i="9"/>
  <c r="D1751" i="9"/>
  <c r="E1751" i="9"/>
  <c r="J1751" i="9" s="1"/>
  <c r="H1751" i="9"/>
  <c r="D1752" i="9"/>
  <c r="E1752" i="9"/>
  <c r="G1752" i="9" s="1"/>
  <c r="H1752" i="9"/>
  <c r="D1753" i="9"/>
  <c r="E1753" i="9"/>
  <c r="G1753" i="9" s="1"/>
  <c r="H1753" i="9"/>
  <c r="J1753" i="9"/>
  <c r="D1754" i="9"/>
  <c r="E1754" i="9"/>
  <c r="J1754" i="9" s="1"/>
  <c r="H1754" i="9"/>
  <c r="D1755" i="9"/>
  <c r="E1755" i="9"/>
  <c r="H1755" i="9"/>
  <c r="D1756" i="9"/>
  <c r="E1756" i="9"/>
  <c r="G1756" i="9" s="1"/>
  <c r="H1756" i="9"/>
  <c r="D1757" i="9"/>
  <c r="E1757" i="9"/>
  <c r="G1757" i="9" s="1"/>
  <c r="H1757" i="9"/>
  <c r="J1757" i="9"/>
  <c r="D1758" i="9"/>
  <c r="E1758" i="9"/>
  <c r="H1758" i="9"/>
  <c r="D1759" i="9"/>
  <c r="E1759" i="9"/>
  <c r="H1759" i="9"/>
  <c r="D1760" i="9"/>
  <c r="E1760" i="9"/>
  <c r="G1760" i="9"/>
  <c r="H1760" i="9"/>
  <c r="J1760" i="9"/>
  <c r="D1761" i="9"/>
  <c r="E1761" i="9"/>
  <c r="H1761" i="9"/>
  <c r="D1762" i="9"/>
  <c r="E1762" i="9"/>
  <c r="J1762" i="9" s="1"/>
  <c r="H1762" i="9"/>
  <c r="D1763" i="9"/>
  <c r="E1763" i="9"/>
  <c r="J1763" i="9" s="1"/>
  <c r="G1763" i="9"/>
  <c r="H1763" i="9"/>
  <c r="D1764" i="9"/>
  <c r="E1764" i="9"/>
  <c r="G1764" i="9" s="1"/>
  <c r="H1764" i="9"/>
  <c r="D1765" i="9"/>
  <c r="E1765" i="9"/>
  <c r="G1765" i="9" s="1"/>
  <c r="H1765" i="9"/>
  <c r="D1766" i="9"/>
  <c r="E1766" i="9"/>
  <c r="J1766" i="9" s="1"/>
  <c r="G1766" i="9"/>
  <c r="H1766" i="9"/>
  <c r="D1767" i="9"/>
  <c r="E1767" i="9"/>
  <c r="H1767" i="9"/>
  <c r="D1768" i="9"/>
  <c r="E1768" i="9"/>
  <c r="G1768" i="9" s="1"/>
  <c r="H1768" i="9"/>
  <c r="D1769" i="9"/>
  <c r="E1769" i="9"/>
  <c r="H1769" i="9"/>
  <c r="D1770" i="9"/>
  <c r="E1770" i="9"/>
  <c r="G1770" i="9"/>
  <c r="H1770" i="9"/>
  <c r="J1770" i="9"/>
  <c r="D1771" i="9"/>
  <c r="E1771" i="9"/>
  <c r="H1771" i="9"/>
  <c r="D1772" i="9"/>
  <c r="E1772" i="9"/>
  <c r="G1772" i="9" s="1"/>
  <c r="H1772" i="9"/>
  <c r="J1772" i="9"/>
  <c r="D1773" i="9"/>
  <c r="E1773" i="9"/>
  <c r="H1773" i="9"/>
  <c r="D1774" i="9"/>
  <c r="E1774" i="9"/>
  <c r="J1774" i="9" s="1"/>
  <c r="G1774" i="9"/>
  <c r="H1774" i="9"/>
  <c r="D1775" i="9"/>
  <c r="E1775" i="9"/>
  <c r="J1775" i="9" s="1"/>
  <c r="G1775" i="9"/>
  <c r="H1775" i="9"/>
  <c r="D1776" i="9"/>
  <c r="E1776" i="9"/>
  <c r="G1776" i="9" s="1"/>
  <c r="H1776" i="9"/>
  <c r="D1777" i="9"/>
  <c r="E1777" i="9"/>
  <c r="H1777" i="9"/>
  <c r="D1778" i="9"/>
  <c r="E1778" i="9"/>
  <c r="J1778" i="9" s="1"/>
  <c r="H1778" i="9"/>
  <c r="D1779" i="9"/>
  <c r="E1779" i="9"/>
  <c r="J1779" i="9" s="1"/>
  <c r="H1779" i="9"/>
  <c r="D1780" i="9"/>
  <c r="E1780" i="9"/>
  <c r="G1780" i="9"/>
  <c r="H1780" i="9"/>
  <c r="J1780" i="9"/>
  <c r="D1781" i="9"/>
  <c r="E1781" i="9"/>
  <c r="G1781" i="9"/>
  <c r="H1781" i="9"/>
  <c r="J1781" i="9"/>
  <c r="D1782" i="9"/>
  <c r="E1782" i="9"/>
  <c r="G1782" i="9"/>
  <c r="H1782" i="9"/>
  <c r="J1782" i="9"/>
  <c r="D1783" i="9"/>
  <c r="E1783" i="9"/>
  <c r="H1783" i="9"/>
  <c r="D1784" i="9"/>
  <c r="E1784" i="9"/>
  <c r="G1784" i="9" s="1"/>
  <c r="H1784" i="9"/>
  <c r="D1785" i="9"/>
  <c r="E1785" i="9"/>
  <c r="G1785" i="9" s="1"/>
  <c r="H1785" i="9"/>
  <c r="D1786" i="9"/>
  <c r="E1786" i="9"/>
  <c r="J1786" i="9" s="1"/>
  <c r="H1786" i="9"/>
  <c r="D1787" i="9"/>
  <c r="E1787" i="9"/>
  <c r="H1787" i="9"/>
  <c r="D1788" i="9"/>
  <c r="E1788" i="9"/>
  <c r="G1788" i="9" s="1"/>
  <c r="H1788" i="9"/>
  <c r="D1789" i="9"/>
  <c r="E1789" i="9"/>
  <c r="G1789" i="9" s="1"/>
  <c r="H1789" i="9"/>
  <c r="D1790" i="9"/>
  <c r="E1790" i="9"/>
  <c r="H1790" i="9"/>
  <c r="D1791" i="9"/>
  <c r="E1791" i="9"/>
  <c r="J1791" i="9" s="1"/>
  <c r="G1791" i="9"/>
  <c r="H1791" i="9"/>
  <c r="D1792" i="9"/>
  <c r="E1792" i="9"/>
  <c r="G1792" i="9" s="1"/>
  <c r="H1792" i="9"/>
  <c r="D1793" i="9"/>
  <c r="E1793" i="9"/>
  <c r="H1793" i="9"/>
  <c r="D1794" i="9"/>
  <c r="E1794" i="9"/>
  <c r="H1794" i="9"/>
  <c r="D1795" i="9"/>
  <c r="E1795" i="9"/>
  <c r="J1795" i="9" s="1"/>
  <c r="G1795" i="9"/>
  <c r="H1795" i="9"/>
  <c r="D1796" i="9"/>
  <c r="E1796" i="9"/>
  <c r="J1796" i="9" s="1"/>
  <c r="H1796" i="9"/>
  <c r="D1797" i="9"/>
  <c r="E1797" i="9"/>
  <c r="G1797" i="9" s="1"/>
  <c r="H1797" i="9"/>
  <c r="D1798" i="9"/>
  <c r="E1798" i="9"/>
  <c r="G1798" i="9"/>
  <c r="H1798" i="9"/>
  <c r="J1798" i="9"/>
  <c r="D1799" i="9"/>
  <c r="E1799" i="9"/>
  <c r="J1799" i="9" s="1"/>
  <c r="G1799" i="9"/>
  <c r="H1799" i="9"/>
  <c r="D1800" i="9"/>
  <c r="E1800" i="9"/>
  <c r="H1800" i="9"/>
  <c r="D1801" i="9"/>
  <c r="E1801" i="9"/>
  <c r="G1801" i="9" s="1"/>
  <c r="H1801" i="9"/>
  <c r="J1801" i="9"/>
  <c r="D1802" i="9"/>
  <c r="E1802" i="9"/>
  <c r="G1802" i="9" s="1"/>
  <c r="H1802" i="9"/>
  <c r="J1802" i="9"/>
  <c r="D1803" i="9"/>
  <c r="E1803" i="9"/>
  <c r="G1803" i="9" s="1"/>
  <c r="H1803" i="9"/>
  <c r="D1804" i="9"/>
  <c r="E1804" i="9"/>
  <c r="G1804" i="9" s="1"/>
  <c r="H1804" i="9"/>
  <c r="D1805" i="9"/>
  <c r="E1805" i="9"/>
  <c r="H1805" i="9"/>
  <c r="D1806" i="9"/>
  <c r="E1806" i="9"/>
  <c r="J1806" i="9" s="1"/>
  <c r="G1806" i="9"/>
  <c r="H1806" i="9"/>
  <c r="D1807" i="9"/>
  <c r="E1807" i="9"/>
  <c r="J1807" i="9" s="1"/>
  <c r="G1807" i="9"/>
  <c r="H1807" i="9"/>
  <c r="D1808" i="9"/>
  <c r="E1808" i="9"/>
  <c r="J1808" i="9" s="1"/>
  <c r="H1808" i="9"/>
  <c r="D1809" i="9"/>
  <c r="E1809" i="9"/>
  <c r="H1809" i="9"/>
  <c r="D1810" i="9"/>
  <c r="E1810" i="9"/>
  <c r="G1810" i="9"/>
  <c r="H1810" i="9"/>
  <c r="J1810" i="9"/>
  <c r="D1811" i="9"/>
  <c r="E1811" i="9"/>
  <c r="J1811" i="9" s="1"/>
  <c r="G1811" i="9"/>
  <c r="H1811" i="9"/>
  <c r="D1812" i="9"/>
  <c r="E1812" i="9"/>
  <c r="H1812" i="9"/>
  <c r="D1813" i="9"/>
  <c r="E1813" i="9"/>
  <c r="G1813" i="9" s="1"/>
  <c r="H1813" i="9"/>
  <c r="J1813" i="9"/>
  <c r="D1814" i="9"/>
  <c r="E1814" i="9"/>
  <c r="G1814" i="9" s="1"/>
  <c r="H1814" i="9"/>
  <c r="J1814" i="9"/>
  <c r="D1815" i="9"/>
  <c r="E1815" i="9"/>
  <c r="G1815" i="9" s="1"/>
  <c r="H1815" i="9"/>
  <c r="D1816" i="9"/>
  <c r="E1816" i="9"/>
  <c r="G1816" i="9" s="1"/>
  <c r="H1816" i="9"/>
  <c r="D1817" i="9"/>
  <c r="E1817" i="9"/>
  <c r="H1817" i="9"/>
  <c r="D1818" i="9"/>
  <c r="E1818" i="9"/>
  <c r="J1818" i="9" s="1"/>
  <c r="H1818" i="9"/>
  <c r="D1819" i="9"/>
  <c r="E1819" i="9"/>
  <c r="J1819" i="9" s="1"/>
  <c r="G1819" i="9"/>
  <c r="H1819" i="9"/>
  <c r="D1820" i="9"/>
  <c r="E1820" i="9"/>
  <c r="H1820" i="9"/>
  <c r="D1821" i="9"/>
  <c r="E1821" i="9"/>
  <c r="H1821" i="9"/>
  <c r="D1822" i="9"/>
  <c r="E1822" i="9"/>
  <c r="G1822" i="9"/>
  <c r="H1822" i="9"/>
  <c r="J1822" i="9"/>
  <c r="D1823" i="9"/>
  <c r="E1823" i="9"/>
  <c r="J1823" i="9" s="1"/>
  <c r="G1823" i="9"/>
  <c r="H1823" i="9"/>
  <c r="D1824" i="9"/>
  <c r="E1824" i="9"/>
  <c r="H1824" i="9"/>
  <c r="D1825" i="9"/>
  <c r="E1825" i="9"/>
  <c r="G1825" i="9" s="1"/>
  <c r="H1825" i="9"/>
  <c r="J1825" i="9"/>
  <c r="D1826" i="9"/>
  <c r="E1826" i="9"/>
  <c r="G1826" i="9" s="1"/>
  <c r="H1826" i="9"/>
  <c r="D1827" i="9"/>
  <c r="E1827" i="9"/>
  <c r="G1827" i="9" s="1"/>
  <c r="H1827" i="9"/>
  <c r="D1828" i="9"/>
  <c r="E1828" i="9"/>
  <c r="G1828" i="9" s="1"/>
  <c r="H1828" i="9"/>
  <c r="D1829" i="9"/>
  <c r="E1829" i="9"/>
  <c r="H1829" i="9"/>
  <c r="D1830" i="9"/>
  <c r="E1830" i="9"/>
  <c r="G1830" i="9" s="1"/>
  <c r="H1830" i="9"/>
  <c r="D1831" i="9"/>
  <c r="E1831" i="9"/>
  <c r="J1831" i="9" s="1"/>
  <c r="G1831" i="9"/>
  <c r="H1831" i="9"/>
  <c r="D1832" i="9"/>
  <c r="E1832" i="9"/>
  <c r="H1832" i="9"/>
  <c r="D1833" i="9"/>
  <c r="E1833" i="9"/>
  <c r="G1833" i="9" s="1"/>
  <c r="H1833" i="9"/>
  <c r="D1834" i="9"/>
  <c r="E1834" i="9"/>
  <c r="G1834" i="9"/>
  <c r="H1834" i="9"/>
  <c r="J1834" i="9"/>
  <c r="D1835" i="9"/>
  <c r="E1835" i="9"/>
  <c r="J1835" i="9" s="1"/>
  <c r="G1835" i="9"/>
  <c r="H1835" i="9"/>
  <c r="D1836" i="9"/>
  <c r="E1836" i="9"/>
  <c r="H1836" i="9"/>
  <c r="D1837" i="9"/>
  <c r="E1837" i="9"/>
  <c r="G1837" i="9" s="1"/>
  <c r="H1837" i="9"/>
  <c r="J1837" i="9"/>
  <c r="D1838" i="9"/>
  <c r="E1838" i="9"/>
  <c r="G1838" i="9" s="1"/>
  <c r="H1838" i="9"/>
  <c r="D1839" i="9"/>
  <c r="E1839" i="9"/>
  <c r="G1839" i="9" s="1"/>
  <c r="H1839" i="9"/>
  <c r="D1840" i="9"/>
  <c r="E1840" i="9"/>
  <c r="G1840" i="9" s="1"/>
  <c r="H1840" i="9"/>
  <c r="D1841" i="9"/>
  <c r="E1841" i="9"/>
  <c r="H1841" i="9"/>
  <c r="D1842" i="9"/>
  <c r="E1842" i="9"/>
  <c r="G1842" i="9" s="1"/>
  <c r="H1842" i="9"/>
  <c r="J1842" i="9"/>
  <c r="D1843" i="9"/>
  <c r="E1843" i="9"/>
  <c r="J1843" i="9" s="1"/>
  <c r="G1843" i="9"/>
  <c r="H1843" i="9"/>
  <c r="D1844" i="9"/>
  <c r="E1844" i="9"/>
  <c r="H1844" i="9"/>
  <c r="D1845" i="9"/>
  <c r="E1845" i="9"/>
  <c r="G1845" i="9" s="1"/>
  <c r="H1845" i="9"/>
  <c r="J1845" i="9"/>
  <c r="D1846" i="9"/>
  <c r="E1846" i="9"/>
  <c r="G1846" i="9"/>
  <c r="H1846" i="9"/>
  <c r="J1846" i="9"/>
  <c r="D1847" i="9"/>
  <c r="E1847" i="9"/>
  <c r="J1847" i="9" s="1"/>
  <c r="G1847" i="9"/>
  <c r="H1847" i="9"/>
  <c r="D1848" i="9"/>
  <c r="E1848" i="9"/>
  <c r="H1848" i="9"/>
  <c r="D1849" i="9"/>
  <c r="E1849" i="9"/>
  <c r="G1849" i="9" s="1"/>
  <c r="H1849" i="9"/>
  <c r="J1849" i="9"/>
  <c r="D1850" i="9"/>
  <c r="E1850" i="9"/>
  <c r="G1850" i="9" s="1"/>
  <c r="H1850" i="9"/>
  <c r="D1851" i="9"/>
  <c r="E1851" i="9"/>
  <c r="G1851" i="9" s="1"/>
  <c r="H1851" i="9"/>
  <c r="D1852" i="9"/>
  <c r="E1852" i="9"/>
  <c r="G1852" i="9" s="1"/>
  <c r="H1852" i="9"/>
  <c r="D1853" i="9"/>
  <c r="E1853" i="9"/>
  <c r="H1853" i="9"/>
  <c r="D1854" i="9"/>
  <c r="E1854" i="9"/>
  <c r="G1854" i="9"/>
  <c r="H1854" i="9"/>
  <c r="J1854" i="9"/>
  <c r="D1855" i="9"/>
  <c r="E1855" i="9"/>
  <c r="J1855" i="9" s="1"/>
  <c r="G1855" i="9"/>
  <c r="H1855" i="9"/>
  <c r="D1856" i="9"/>
  <c r="E1856" i="9"/>
  <c r="H1856" i="9"/>
  <c r="D1857" i="9"/>
  <c r="E1857" i="9"/>
  <c r="G1857" i="9" s="1"/>
  <c r="H1857" i="9"/>
  <c r="J1857" i="9"/>
  <c r="D1858" i="9"/>
  <c r="E1858" i="9"/>
  <c r="G1858" i="9"/>
  <c r="H1858" i="9"/>
  <c r="J1858" i="9"/>
  <c r="D1859" i="9"/>
  <c r="E1859" i="9"/>
  <c r="J1859" i="9" s="1"/>
  <c r="G1859" i="9"/>
  <c r="H1859" i="9"/>
  <c r="D1860" i="9"/>
  <c r="E1860" i="9"/>
  <c r="H1860" i="9"/>
  <c r="D1861" i="9"/>
  <c r="E1861" i="9"/>
  <c r="G1861" i="9" s="1"/>
  <c r="H1861" i="9"/>
  <c r="J1861" i="9"/>
  <c r="D1862" i="9"/>
  <c r="E1862" i="9"/>
  <c r="G1862" i="9" s="1"/>
  <c r="H1862" i="9"/>
  <c r="D1863" i="9"/>
  <c r="E1863" i="9"/>
  <c r="G1863" i="9" s="1"/>
  <c r="H1863" i="9"/>
  <c r="D1864" i="9"/>
  <c r="E1864" i="9"/>
  <c r="G1864" i="9" s="1"/>
  <c r="H1864" i="9"/>
  <c r="D1865" i="9"/>
  <c r="E1865" i="9"/>
  <c r="H1865" i="9"/>
  <c r="D1866" i="9"/>
  <c r="E1866" i="9"/>
  <c r="J1866" i="9" s="1"/>
  <c r="G1866" i="9"/>
  <c r="H1866" i="9"/>
  <c r="D1867" i="9"/>
  <c r="E1867" i="9"/>
  <c r="J1867" i="9" s="1"/>
  <c r="G1867" i="9"/>
  <c r="H1867" i="9"/>
  <c r="D1868" i="9"/>
  <c r="E1868" i="9"/>
  <c r="H1868" i="9"/>
  <c r="D1869" i="9"/>
  <c r="E1869" i="9"/>
  <c r="G1869" i="9" s="1"/>
  <c r="H1869" i="9"/>
  <c r="J1869" i="9"/>
  <c r="D1870" i="9"/>
  <c r="E1870" i="9"/>
  <c r="G1870" i="9"/>
  <c r="H1870" i="9"/>
  <c r="J1870" i="9"/>
  <c r="D1871" i="9"/>
  <c r="E1871" i="9"/>
  <c r="J1871" i="9" s="1"/>
  <c r="G1871" i="9"/>
  <c r="H1871" i="9"/>
  <c r="D1872" i="9"/>
  <c r="E1872" i="9"/>
  <c r="H1872" i="9"/>
  <c r="D1873" i="9"/>
  <c r="E1873" i="9"/>
  <c r="G1873" i="9" s="1"/>
  <c r="H1873" i="9"/>
  <c r="J1873" i="9"/>
  <c r="D1874" i="9"/>
  <c r="E1874" i="9"/>
  <c r="G1874" i="9" s="1"/>
  <c r="H1874" i="9"/>
  <c r="D1875" i="9"/>
  <c r="E1875" i="9"/>
  <c r="G1875" i="9" s="1"/>
  <c r="H1875" i="9"/>
  <c r="D1876" i="9"/>
  <c r="E1876" i="9"/>
  <c r="G1876" i="9" s="1"/>
  <c r="H1876" i="9"/>
  <c r="D1877" i="9"/>
  <c r="E1877" i="9"/>
  <c r="H1877" i="9"/>
  <c r="D1878" i="9"/>
  <c r="E1878" i="9"/>
  <c r="G1878" i="9" s="1"/>
  <c r="H1878" i="9"/>
  <c r="D1879" i="9"/>
  <c r="E1879" i="9"/>
  <c r="J1879" i="9" s="1"/>
  <c r="G1879" i="9"/>
  <c r="H1879" i="9"/>
  <c r="D1880" i="9"/>
  <c r="E1880" i="9"/>
  <c r="H1880" i="9"/>
  <c r="D1881" i="9"/>
  <c r="E1881" i="9"/>
  <c r="G1881" i="9" s="1"/>
  <c r="H1881" i="9"/>
  <c r="D1882" i="9"/>
  <c r="E1882" i="9"/>
  <c r="G1882" i="9"/>
  <c r="H1882" i="9"/>
  <c r="J1882" i="9"/>
  <c r="D1883" i="9"/>
  <c r="E1883" i="9"/>
  <c r="J1883" i="9" s="1"/>
  <c r="G1883" i="9"/>
  <c r="H1883" i="9"/>
  <c r="D1884" i="9"/>
  <c r="E1884" i="9"/>
  <c r="H1884" i="9"/>
  <c r="D1885" i="9"/>
  <c r="E1885" i="9"/>
  <c r="G1885" i="9" s="1"/>
  <c r="H1885" i="9"/>
  <c r="J1885" i="9"/>
  <c r="D1886" i="9"/>
  <c r="E1886" i="9"/>
  <c r="G1886" i="9" s="1"/>
  <c r="H1886" i="9"/>
  <c r="D1887" i="9"/>
  <c r="E1887" i="9"/>
  <c r="G1887" i="9" s="1"/>
  <c r="H1887" i="9"/>
  <c r="D1888" i="9"/>
  <c r="E1888" i="9"/>
  <c r="G1888" i="9" s="1"/>
  <c r="H1888" i="9"/>
  <c r="D1889" i="9"/>
  <c r="E1889" i="9"/>
  <c r="H1889" i="9"/>
  <c r="D1890" i="9"/>
  <c r="E1890" i="9"/>
  <c r="G1890" i="9" s="1"/>
  <c r="H1890" i="9"/>
  <c r="J1890" i="9"/>
  <c r="D1891" i="9"/>
  <c r="E1891" i="9"/>
  <c r="J1891" i="9" s="1"/>
  <c r="G1891" i="9"/>
  <c r="H1891" i="9"/>
  <c r="D1892" i="9"/>
  <c r="E1892" i="9"/>
  <c r="H1892" i="9"/>
  <c r="D1893" i="9"/>
  <c r="E1893" i="9"/>
  <c r="G1893" i="9" s="1"/>
  <c r="H1893" i="9"/>
  <c r="J1893" i="9"/>
  <c r="D1894" i="9"/>
  <c r="E1894" i="9"/>
  <c r="G1894" i="9"/>
  <c r="H1894" i="9"/>
  <c r="J1894" i="9"/>
  <c r="D1895" i="9"/>
  <c r="E1895" i="9"/>
  <c r="J1895" i="9" s="1"/>
  <c r="G1895" i="9"/>
  <c r="H1895" i="9"/>
  <c r="D1896" i="9"/>
  <c r="E1896" i="9"/>
  <c r="H1896" i="9"/>
  <c r="D1897" i="9"/>
  <c r="E1897" i="9"/>
  <c r="G1897" i="9" s="1"/>
  <c r="H1897" i="9"/>
  <c r="J1897" i="9"/>
  <c r="D1898" i="9"/>
  <c r="E1898" i="9"/>
  <c r="G1898" i="9" s="1"/>
  <c r="H1898" i="9"/>
  <c r="D1899" i="9"/>
  <c r="E1899" i="9"/>
  <c r="G1899" i="9" s="1"/>
  <c r="H1899" i="9"/>
  <c r="D1900" i="9"/>
  <c r="E1900" i="9"/>
  <c r="G1900" i="9" s="1"/>
  <c r="H1900" i="9"/>
  <c r="D1901" i="9"/>
  <c r="E1901" i="9"/>
  <c r="H1901" i="9"/>
  <c r="D1902" i="9"/>
  <c r="E1902" i="9"/>
  <c r="G1902" i="9"/>
  <c r="H1902" i="9"/>
  <c r="J1902" i="9"/>
  <c r="D1903" i="9"/>
  <c r="E1903" i="9"/>
  <c r="J1903" i="9" s="1"/>
  <c r="G1903" i="9"/>
  <c r="H1903" i="9"/>
  <c r="D1904" i="9"/>
  <c r="E1904" i="9"/>
  <c r="H1904" i="9"/>
  <c r="D1905" i="9"/>
  <c r="E1905" i="9"/>
  <c r="G1905" i="9" s="1"/>
  <c r="H1905" i="9"/>
  <c r="J1905" i="9"/>
  <c r="D1906" i="9"/>
  <c r="E1906" i="9"/>
  <c r="J1906" i="9" s="1"/>
  <c r="G1906" i="9"/>
  <c r="H1906" i="9"/>
  <c r="D1907" i="9"/>
  <c r="E1907" i="9"/>
  <c r="J1907" i="9" s="1"/>
  <c r="G1907" i="9"/>
  <c r="H1907" i="9"/>
  <c r="D1908" i="9"/>
  <c r="E1908" i="9"/>
  <c r="H1908" i="9"/>
  <c r="D1909" i="9"/>
  <c r="E1909" i="9"/>
  <c r="G1909" i="9" s="1"/>
  <c r="H1909" i="9"/>
  <c r="J1909" i="9"/>
  <c r="D1910" i="9"/>
  <c r="E1910" i="9"/>
  <c r="G1910" i="9" s="1"/>
  <c r="H1910" i="9"/>
  <c r="D1911" i="9"/>
  <c r="E1911" i="9"/>
  <c r="G1911" i="9" s="1"/>
  <c r="H1911" i="9"/>
  <c r="D1912" i="9"/>
  <c r="E1912" i="9"/>
  <c r="G1912" i="9" s="1"/>
  <c r="H1912" i="9"/>
  <c r="D1913" i="9"/>
  <c r="E1913" i="9"/>
  <c r="H1913" i="9"/>
  <c r="D1914" i="9"/>
  <c r="E1914" i="9"/>
  <c r="G1914" i="9" s="1"/>
  <c r="H1914" i="9"/>
  <c r="D1915" i="9"/>
  <c r="E1915" i="9"/>
  <c r="J1915" i="9" s="1"/>
  <c r="H1915" i="9"/>
  <c r="D1916" i="9"/>
  <c r="E1916" i="9"/>
  <c r="H1916" i="9"/>
  <c r="D1917" i="9"/>
  <c r="E1917" i="9"/>
  <c r="G1917" i="9" s="1"/>
  <c r="H1917" i="9"/>
  <c r="J1917" i="9"/>
  <c r="D1918" i="9"/>
  <c r="E1918" i="9"/>
  <c r="J1918" i="9" s="1"/>
  <c r="G1918" i="9"/>
  <c r="H1918" i="9"/>
  <c r="D1919" i="9"/>
  <c r="E1919" i="9"/>
  <c r="J1919" i="9" s="1"/>
  <c r="G1919" i="9"/>
  <c r="H1919" i="9"/>
  <c r="D1920" i="9"/>
  <c r="E1920" i="9"/>
  <c r="H1920" i="9"/>
  <c r="D1921" i="9"/>
  <c r="E1921" i="9"/>
  <c r="G1921" i="9" s="1"/>
  <c r="H1921" i="9"/>
  <c r="J1921" i="9"/>
  <c r="D1922" i="9"/>
  <c r="E1922" i="9"/>
  <c r="G1922" i="9" s="1"/>
  <c r="H1922" i="9"/>
  <c r="D1923" i="9"/>
  <c r="E1923" i="9"/>
  <c r="G1923" i="9" s="1"/>
  <c r="H1923" i="9"/>
  <c r="D1924" i="9"/>
  <c r="E1924" i="9"/>
  <c r="G1924" i="9" s="1"/>
  <c r="H1924" i="9"/>
  <c r="D1925" i="9"/>
  <c r="E1925" i="9"/>
  <c r="H1925" i="9"/>
  <c r="D1926" i="9"/>
  <c r="E1926" i="9"/>
  <c r="G1926" i="9" s="1"/>
  <c r="H1926" i="9"/>
  <c r="D1927" i="9"/>
  <c r="E1927" i="9"/>
  <c r="J1927" i="9" s="1"/>
  <c r="H1927" i="9"/>
  <c r="D1928" i="9"/>
  <c r="E1928" i="9"/>
  <c r="H1928" i="9"/>
  <c r="D1929" i="9"/>
  <c r="E1929" i="9"/>
  <c r="G1929" i="9" s="1"/>
  <c r="H1929" i="9"/>
  <c r="D1930" i="9"/>
  <c r="E1930" i="9"/>
  <c r="G1930" i="9"/>
  <c r="H1930" i="9"/>
  <c r="J1930" i="9"/>
  <c r="D1931" i="9"/>
  <c r="E1931" i="9"/>
  <c r="J1931" i="9" s="1"/>
  <c r="G1931" i="9"/>
  <c r="H1931" i="9"/>
  <c r="D1932" i="9"/>
  <c r="E1932" i="9"/>
  <c r="H1932" i="9"/>
  <c r="D1933" i="9"/>
  <c r="E1933" i="9"/>
  <c r="G1933" i="9" s="1"/>
  <c r="H1933" i="9"/>
  <c r="D1934" i="9"/>
  <c r="E1934" i="9"/>
  <c r="G1934" i="9" s="1"/>
  <c r="H1934" i="9"/>
  <c r="D1935" i="9"/>
  <c r="E1935" i="9"/>
  <c r="G1935" i="9" s="1"/>
  <c r="H1935" i="9"/>
  <c r="D1936" i="9"/>
  <c r="E1936" i="9"/>
  <c r="G1936" i="9" s="1"/>
  <c r="H1936" i="9"/>
  <c r="D1937" i="9"/>
  <c r="E1937" i="9"/>
  <c r="G1937" i="9" s="1"/>
  <c r="H1937" i="9"/>
  <c r="J1937" i="9"/>
  <c r="D1938" i="9"/>
  <c r="E1938" i="9"/>
  <c r="J1938" i="9" s="1"/>
  <c r="G1938" i="9"/>
  <c r="H1938" i="9"/>
  <c r="D1939" i="9"/>
  <c r="E1939" i="9"/>
  <c r="J1939" i="9" s="1"/>
  <c r="H1939" i="9"/>
  <c r="D1940" i="9"/>
  <c r="E1940" i="9"/>
  <c r="J1940" i="9" s="1"/>
  <c r="G1940" i="9"/>
  <c r="H1940" i="9"/>
  <c r="D1941" i="9"/>
  <c r="E1941" i="9"/>
  <c r="G1941" i="9" s="1"/>
  <c r="H1941" i="9"/>
  <c r="D1942" i="9"/>
  <c r="E1942" i="9"/>
  <c r="G1942" i="9" s="1"/>
  <c r="H1942" i="9"/>
  <c r="D1943" i="9"/>
  <c r="E1943" i="9"/>
  <c r="J1943" i="9" s="1"/>
  <c r="H1943" i="9"/>
  <c r="D1944" i="9"/>
  <c r="E1944" i="9"/>
  <c r="H1944" i="9"/>
  <c r="D1945" i="9"/>
  <c r="E1945" i="9"/>
  <c r="G1945" i="9" s="1"/>
  <c r="H1945" i="9"/>
  <c r="J1945" i="9"/>
  <c r="D1946" i="9"/>
  <c r="E1946" i="9"/>
  <c r="J1946" i="9" s="1"/>
  <c r="G1946" i="9"/>
  <c r="H1946" i="9"/>
  <c r="D1947" i="9"/>
  <c r="E1947" i="9"/>
  <c r="G1947" i="9" s="1"/>
  <c r="H1947" i="9"/>
  <c r="D1948" i="9"/>
  <c r="E1948" i="9"/>
  <c r="G1948" i="9" s="1"/>
  <c r="H1948" i="9"/>
  <c r="D1949" i="9"/>
  <c r="E1949" i="9"/>
  <c r="G1949" i="9" s="1"/>
  <c r="H1949" i="9"/>
  <c r="J1949" i="9"/>
  <c r="D1950" i="9"/>
  <c r="E1950" i="9"/>
  <c r="J1950" i="9" s="1"/>
  <c r="G1950" i="9"/>
  <c r="H1950" i="9"/>
  <c r="D1951" i="9"/>
  <c r="E1951" i="9"/>
  <c r="J1951" i="9" s="1"/>
  <c r="H1951" i="9"/>
  <c r="D1952" i="9"/>
  <c r="E1952" i="9"/>
  <c r="J1952" i="9" s="1"/>
  <c r="G1952" i="9"/>
  <c r="H1952" i="9"/>
  <c r="D1953" i="9"/>
  <c r="E1953" i="9"/>
  <c r="G1953" i="9" s="1"/>
  <c r="H1953" i="9"/>
  <c r="D1954" i="9"/>
  <c r="E1954" i="9"/>
  <c r="G1954" i="9" s="1"/>
  <c r="H1954" i="9"/>
  <c r="D1955" i="9"/>
  <c r="E1955" i="9"/>
  <c r="J1955" i="9" s="1"/>
  <c r="H1955" i="9"/>
  <c r="D1956" i="9"/>
  <c r="E1956" i="9"/>
  <c r="H1956" i="9"/>
  <c r="D1957" i="9"/>
  <c r="E1957" i="9"/>
  <c r="G1957" i="9" s="1"/>
  <c r="H1957" i="9"/>
  <c r="J1957" i="9"/>
  <c r="D1958" i="9"/>
  <c r="E1958" i="9"/>
  <c r="J1958" i="9" s="1"/>
  <c r="G1958" i="9"/>
  <c r="H1958" i="9"/>
  <c r="D1959" i="9"/>
  <c r="E1959" i="9"/>
  <c r="G1959" i="9" s="1"/>
  <c r="H1959" i="9"/>
  <c r="D1960" i="9"/>
  <c r="E1960" i="9"/>
  <c r="G1960" i="9" s="1"/>
  <c r="H1960" i="9"/>
  <c r="D1961" i="9"/>
  <c r="E1961" i="9"/>
  <c r="G1961" i="9" s="1"/>
  <c r="H1961" i="9"/>
  <c r="J1961" i="9"/>
  <c r="D1962" i="9"/>
  <c r="E1962" i="9"/>
  <c r="J1962" i="9" s="1"/>
  <c r="G1962" i="9"/>
  <c r="H1962" i="9"/>
  <c r="D1963" i="9"/>
  <c r="E1963" i="9"/>
  <c r="J1963" i="9" s="1"/>
  <c r="H1963" i="9"/>
  <c r="D1964" i="9"/>
  <c r="E1964" i="9"/>
  <c r="J1964" i="9" s="1"/>
  <c r="G1964" i="9"/>
  <c r="H1964" i="9"/>
  <c r="D1965" i="9"/>
  <c r="E1965" i="9"/>
  <c r="G1965" i="9" s="1"/>
  <c r="H1965" i="9"/>
  <c r="D1966" i="9"/>
  <c r="E1966" i="9"/>
  <c r="G1966" i="9" s="1"/>
  <c r="H1966" i="9"/>
  <c r="D1967" i="9"/>
  <c r="E1967" i="9"/>
  <c r="J1967" i="9" s="1"/>
  <c r="H1967" i="9"/>
  <c r="D1968" i="9"/>
  <c r="E1968" i="9"/>
  <c r="H1968" i="9"/>
  <c r="D1969" i="9"/>
  <c r="E1969" i="9"/>
  <c r="G1969" i="9" s="1"/>
  <c r="H1969" i="9"/>
  <c r="D1970" i="9"/>
  <c r="E1970" i="9"/>
  <c r="G1970" i="9" s="1"/>
  <c r="H1970" i="9"/>
  <c r="D1971" i="9"/>
  <c r="E1971" i="9"/>
  <c r="G1971" i="9" s="1"/>
  <c r="H1971" i="9"/>
  <c r="D1972" i="9"/>
  <c r="E1972" i="9"/>
  <c r="G1972" i="9" s="1"/>
  <c r="H1972" i="9"/>
  <c r="D1973" i="9"/>
  <c r="E1973" i="9"/>
  <c r="G1973" i="9" s="1"/>
  <c r="H1973" i="9"/>
  <c r="J1973" i="9"/>
  <c r="D1974" i="9"/>
  <c r="E1974" i="9"/>
  <c r="J1974" i="9" s="1"/>
  <c r="G1974" i="9"/>
  <c r="H1974" i="9"/>
  <c r="D1975" i="9"/>
  <c r="E1975" i="9"/>
  <c r="J1975" i="9" s="1"/>
  <c r="H1975" i="9"/>
  <c r="D1976" i="9"/>
  <c r="E1976" i="9"/>
  <c r="J1976" i="9" s="1"/>
  <c r="H1976" i="9"/>
  <c r="D1977" i="9"/>
  <c r="E1977" i="9"/>
  <c r="G1977" i="9" s="1"/>
  <c r="H1977" i="9"/>
  <c r="D1978" i="9"/>
  <c r="E1978" i="9"/>
  <c r="G1978" i="9" s="1"/>
  <c r="H1978" i="9"/>
  <c r="D1979" i="9"/>
  <c r="E1979" i="9"/>
  <c r="J1979" i="9" s="1"/>
  <c r="H1979" i="9"/>
  <c r="D1980" i="9"/>
  <c r="E1980" i="9"/>
  <c r="H1980" i="9"/>
  <c r="D1981" i="9"/>
  <c r="E1981" i="9"/>
  <c r="G1981" i="9" s="1"/>
  <c r="H1981" i="9"/>
  <c r="D1982" i="9"/>
  <c r="E1982" i="9"/>
  <c r="G1982" i="9" s="1"/>
  <c r="H1982" i="9"/>
  <c r="D1983" i="9"/>
  <c r="E1983" i="9"/>
  <c r="G1983" i="9" s="1"/>
  <c r="H1983" i="9"/>
  <c r="D1984" i="9"/>
  <c r="E1984" i="9"/>
  <c r="G1984" i="9" s="1"/>
  <c r="H1984" i="9"/>
  <c r="D1985" i="9"/>
  <c r="E1985" i="9"/>
  <c r="G1985" i="9" s="1"/>
  <c r="H1985" i="9"/>
  <c r="J1985" i="9"/>
  <c r="D1986" i="9"/>
  <c r="E1986" i="9"/>
  <c r="J1986" i="9" s="1"/>
  <c r="G1986" i="9"/>
  <c r="H1986" i="9"/>
  <c r="D1987" i="9"/>
  <c r="E1987" i="9"/>
  <c r="J1987" i="9" s="1"/>
  <c r="H1987" i="9"/>
  <c r="D1988" i="9"/>
  <c r="E1988" i="9"/>
  <c r="J1988" i="9" s="1"/>
  <c r="H1988" i="9"/>
  <c r="D1989" i="9"/>
  <c r="E1989" i="9"/>
  <c r="G1989" i="9" s="1"/>
  <c r="H1989" i="9"/>
  <c r="D1990" i="9"/>
  <c r="E1990" i="9"/>
  <c r="G1990" i="9" s="1"/>
  <c r="H1990" i="9"/>
  <c r="D1991" i="9"/>
  <c r="E1991" i="9"/>
  <c r="J1991" i="9" s="1"/>
  <c r="H1991" i="9"/>
  <c r="D1992" i="9"/>
  <c r="E1992" i="9"/>
  <c r="H1992" i="9"/>
  <c r="D1993" i="9"/>
  <c r="E1993" i="9"/>
  <c r="G1993" i="9" s="1"/>
  <c r="H1993" i="9"/>
  <c r="D1994" i="9"/>
  <c r="E1994" i="9"/>
  <c r="G1994" i="9" s="1"/>
  <c r="H1994" i="9"/>
  <c r="D1995" i="9"/>
  <c r="E1995" i="9"/>
  <c r="G1995" i="9" s="1"/>
  <c r="H1995" i="9"/>
  <c r="D1996" i="9"/>
  <c r="E1996" i="9"/>
  <c r="G1996" i="9" s="1"/>
  <c r="H1996" i="9"/>
  <c r="D1997" i="9"/>
  <c r="E1997" i="9"/>
  <c r="G1997" i="9" s="1"/>
  <c r="H1997" i="9"/>
  <c r="J1997" i="9"/>
  <c r="D1998" i="9"/>
  <c r="E1998" i="9"/>
  <c r="J1998" i="9" s="1"/>
  <c r="G1998" i="9"/>
  <c r="H1998" i="9"/>
  <c r="D1999" i="9"/>
  <c r="E1999" i="9"/>
  <c r="J1999" i="9" s="1"/>
  <c r="H1999" i="9"/>
  <c r="D2000" i="9"/>
  <c r="E2000" i="9"/>
  <c r="J2000" i="9" s="1"/>
  <c r="H2000" i="9"/>
  <c r="D2001" i="9"/>
  <c r="E2001" i="9"/>
  <c r="G2001" i="9" s="1"/>
  <c r="H2001" i="9"/>
  <c r="D2002" i="9"/>
  <c r="E2002" i="9"/>
  <c r="G2002" i="9" s="1"/>
  <c r="H2002" i="9"/>
  <c r="D2003" i="9"/>
  <c r="E2003" i="9"/>
  <c r="J2003" i="9" s="1"/>
  <c r="H2003" i="9"/>
  <c r="D2004" i="9"/>
  <c r="E2004" i="9"/>
  <c r="H2004" i="9"/>
  <c r="D2005" i="9"/>
  <c r="E2005" i="9"/>
  <c r="G2005" i="9" s="1"/>
  <c r="H2005" i="9"/>
  <c r="D2006" i="9"/>
  <c r="E2006" i="9"/>
  <c r="G2006" i="9" s="1"/>
  <c r="H2006" i="9"/>
  <c r="D2007" i="9"/>
  <c r="E2007" i="9"/>
  <c r="G2007" i="9" s="1"/>
  <c r="H2007" i="9"/>
  <c r="D2008" i="9"/>
  <c r="E2008" i="9"/>
  <c r="G2008" i="9" s="1"/>
  <c r="H2008" i="9"/>
  <c r="D2009" i="9"/>
  <c r="E2009" i="9"/>
  <c r="G2009" i="9" s="1"/>
  <c r="H2009" i="9"/>
  <c r="J2009" i="9"/>
  <c r="D2010" i="9"/>
  <c r="E2010" i="9"/>
  <c r="J2010" i="9" s="1"/>
  <c r="G2010" i="9"/>
  <c r="H2010" i="9"/>
  <c r="D2011" i="9"/>
  <c r="E2011" i="9"/>
  <c r="J2011" i="9" s="1"/>
  <c r="H2011" i="9"/>
  <c r="D2012" i="9"/>
  <c r="E2012" i="9"/>
  <c r="J2012" i="9" s="1"/>
  <c r="H2012" i="9"/>
  <c r="D2013" i="9"/>
  <c r="E2013" i="9"/>
  <c r="G2013" i="9" s="1"/>
  <c r="H2013" i="9"/>
  <c r="D2014" i="9"/>
  <c r="E2014" i="9"/>
  <c r="G2014" i="9" s="1"/>
  <c r="H2014" i="9"/>
  <c r="D2015" i="9"/>
  <c r="E2015" i="9"/>
  <c r="J2015" i="9" s="1"/>
  <c r="H2015" i="9"/>
  <c r="D2016" i="9"/>
  <c r="E2016" i="9"/>
  <c r="H2016" i="9"/>
  <c r="D2017" i="9"/>
  <c r="E2017" i="9"/>
  <c r="G2017" i="9" s="1"/>
  <c r="H2017" i="9"/>
  <c r="D2018" i="9"/>
  <c r="E2018" i="9"/>
  <c r="G2018" i="9" s="1"/>
  <c r="H2018" i="9"/>
  <c r="D2019" i="9"/>
  <c r="E2019" i="9"/>
  <c r="G2019" i="9" s="1"/>
  <c r="H2019" i="9"/>
  <c r="D2020" i="9"/>
  <c r="E2020" i="9"/>
  <c r="G2020" i="9" s="1"/>
  <c r="H2020" i="9"/>
  <c r="D2021" i="9"/>
  <c r="E2021" i="9"/>
  <c r="G2021" i="9" s="1"/>
  <c r="H2021" i="9"/>
  <c r="D2022" i="9"/>
  <c r="E2022" i="9"/>
  <c r="J2022" i="9" s="1"/>
  <c r="G2022" i="9"/>
  <c r="H2022" i="9"/>
  <c r="D2023" i="9"/>
  <c r="E2023" i="9"/>
  <c r="J2023" i="9" s="1"/>
  <c r="H2023" i="9"/>
  <c r="D2024" i="9"/>
  <c r="E2024" i="9"/>
  <c r="J2024" i="9" s="1"/>
  <c r="H2024" i="9"/>
  <c r="D2025" i="9"/>
  <c r="E2025" i="9"/>
  <c r="G2025" i="9" s="1"/>
  <c r="H2025" i="9"/>
  <c r="D2026" i="9"/>
  <c r="E2026" i="9"/>
  <c r="G2026" i="9" s="1"/>
  <c r="H2026" i="9"/>
  <c r="D2027" i="9"/>
  <c r="E2027" i="9"/>
  <c r="J2027" i="9" s="1"/>
  <c r="H2027" i="9"/>
  <c r="D2028" i="9"/>
  <c r="E2028" i="9"/>
  <c r="H2028" i="9"/>
  <c r="D2029" i="9"/>
  <c r="E2029" i="9"/>
  <c r="G2029" i="9" s="1"/>
  <c r="H2029" i="9"/>
  <c r="D2030" i="9"/>
  <c r="E2030" i="9"/>
  <c r="G2030" i="9" s="1"/>
  <c r="H2030" i="9"/>
  <c r="D2031" i="9"/>
  <c r="E2031" i="9"/>
  <c r="G2031" i="9" s="1"/>
  <c r="H2031" i="9"/>
  <c r="D2032" i="9"/>
  <c r="E2032" i="9"/>
  <c r="G2032" i="9" s="1"/>
  <c r="H2032" i="9"/>
  <c r="D2033" i="9"/>
  <c r="E2033" i="9"/>
  <c r="G2033" i="9" s="1"/>
  <c r="H2033" i="9"/>
  <c r="D2034" i="9"/>
  <c r="E2034" i="9"/>
  <c r="J2034" i="9" s="1"/>
  <c r="G2034" i="9"/>
  <c r="H2034" i="9"/>
  <c r="D2035" i="9"/>
  <c r="E2035" i="9"/>
  <c r="J2035" i="9" s="1"/>
  <c r="H2035" i="9"/>
  <c r="D2036" i="9"/>
  <c r="E2036" i="9"/>
  <c r="J2036" i="9" s="1"/>
  <c r="H2036" i="9"/>
  <c r="D2037" i="9"/>
  <c r="E2037" i="9"/>
  <c r="G2037" i="9" s="1"/>
  <c r="H2037" i="9"/>
  <c r="D2038" i="9"/>
  <c r="E2038" i="9"/>
  <c r="G2038" i="9" s="1"/>
  <c r="H2038" i="9"/>
  <c r="D2039" i="9"/>
  <c r="E2039" i="9"/>
  <c r="J2039" i="9" s="1"/>
  <c r="H2039" i="9"/>
  <c r="D2040" i="9"/>
  <c r="E2040" i="9"/>
  <c r="H2040" i="9"/>
  <c r="D2041" i="9"/>
  <c r="E2041" i="9"/>
  <c r="G2041" i="9" s="1"/>
  <c r="H2041" i="9"/>
  <c r="D2042" i="9"/>
  <c r="E2042" i="9"/>
  <c r="G2042" i="9" s="1"/>
  <c r="H2042" i="9"/>
  <c r="D2043" i="9"/>
  <c r="E2043" i="9"/>
  <c r="G2043" i="9" s="1"/>
  <c r="H2043" i="9"/>
  <c r="D2044" i="9"/>
  <c r="E2044" i="9"/>
  <c r="G2044" i="9" s="1"/>
  <c r="H2044" i="9"/>
  <c r="D2045" i="9"/>
  <c r="E2045" i="9"/>
  <c r="G2045" i="9" s="1"/>
  <c r="H2045" i="9"/>
  <c r="D2046" i="9"/>
  <c r="E2046" i="9"/>
  <c r="J2046" i="9" s="1"/>
  <c r="G2046" i="9"/>
  <c r="H2046" i="9"/>
  <c r="D2047" i="9"/>
  <c r="E2047" i="9"/>
  <c r="J2047" i="9" s="1"/>
  <c r="H2047" i="9"/>
  <c r="D2048" i="9"/>
  <c r="E2048" i="9"/>
  <c r="J2048" i="9" s="1"/>
  <c r="H2048" i="9"/>
  <c r="D2049" i="9"/>
  <c r="E2049" i="9"/>
  <c r="G2049" i="9" s="1"/>
  <c r="H2049" i="9"/>
  <c r="D2050" i="9"/>
  <c r="E2050" i="9"/>
  <c r="G2050" i="9" s="1"/>
  <c r="H2050" i="9"/>
  <c r="D2051" i="9"/>
  <c r="E2051" i="9"/>
  <c r="J2051" i="9" s="1"/>
  <c r="G2051" i="9"/>
  <c r="H2051" i="9"/>
  <c r="D2052" i="9"/>
  <c r="E2052" i="9"/>
  <c r="H2052" i="9"/>
  <c r="D2053" i="9"/>
  <c r="E2053" i="9"/>
  <c r="G2053" i="9" s="1"/>
  <c r="H2053" i="9"/>
  <c r="D2054" i="9"/>
  <c r="E2054" i="9"/>
  <c r="G2054" i="9" s="1"/>
  <c r="H2054" i="9"/>
  <c r="D2055" i="9"/>
  <c r="E2055" i="9"/>
  <c r="G2055" i="9" s="1"/>
  <c r="H2055" i="9"/>
  <c r="D2056" i="9"/>
  <c r="E2056" i="9"/>
  <c r="G2056" i="9" s="1"/>
  <c r="H2056" i="9"/>
  <c r="D2057" i="9"/>
  <c r="E2057" i="9"/>
  <c r="G2057" i="9" s="1"/>
  <c r="H2057" i="9"/>
  <c r="D2058" i="9"/>
  <c r="E2058" i="9"/>
  <c r="J2058" i="9" s="1"/>
  <c r="G2058" i="9"/>
  <c r="H2058" i="9"/>
  <c r="D2059" i="9"/>
  <c r="E2059" i="9"/>
  <c r="J2059" i="9" s="1"/>
  <c r="H2059" i="9"/>
  <c r="D2060" i="9"/>
  <c r="E2060" i="9"/>
  <c r="J2060" i="9" s="1"/>
  <c r="H2060" i="9"/>
  <c r="D2061" i="9"/>
  <c r="E2061" i="9"/>
  <c r="G2061" i="9" s="1"/>
  <c r="H2061" i="9"/>
  <c r="D2062" i="9"/>
  <c r="E2062" i="9"/>
  <c r="G2062" i="9" s="1"/>
  <c r="H2062" i="9"/>
  <c r="D2063" i="9"/>
  <c r="E2063" i="9"/>
  <c r="J2063" i="9" s="1"/>
  <c r="G2063" i="9"/>
  <c r="H2063" i="9"/>
  <c r="D2064" i="9"/>
  <c r="E2064" i="9"/>
  <c r="H2064" i="9"/>
  <c r="D2065" i="9"/>
  <c r="E2065" i="9"/>
  <c r="G2065" i="9" s="1"/>
  <c r="H2065" i="9"/>
  <c r="D2066" i="9"/>
  <c r="E2066" i="9"/>
  <c r="G2066" i="9" s="1"/>
  <c r="H2066" i="9"/>
  <c r="D2067" i="9"/>
  <c r="E2067" i="9"/>
  <c r="G2067" i="9" s="1"/>
  <c r="H2067" i="9"/>
  <c r="D2068" i="9"/>
  <c r="E2068" i="9"/>
  <c r="G2068" i="9" s="1"/>
  <c r="H2068" i="9"/>
  <c r="D2069" i="9"/>
  <c r="E2069" i="9"/>
  <c r="G2069" i="9" s="1"/>
  <c r="H2069" i="9"/>
  <c r="D2070" i="9"/>
  <c r="E2070" i="9"/>
  <c r="J2070" i="9" s="1"/>
  <c r="G2070" i="9"/>
  <c r="H2070" i="9"/>
  <c r="D2071" i="9"/>
  <c r="E2071" i="9"/>
  <c r="J2071" i="9" s="1"/>
  <c r="H2071" i="9"/>
  <c r="D2072" i="9"/>
  <c r="E2072" i="9"/>
  <c r="J2072" i="9" s="1"/>
  <c r="H2072" i="9"/>
  <c r="D2073" i="9"/>
  <c r="E2073" i="9"/>
  <c r="G2073" i="9" s="1"/>
  <c r="H2073" i="9"/>
  <c r="D2074" i="9"/>
  <c r="E2074" i="9"/>
  <c r="G2074" i="9" s="1"/>
  <c r="H2074" i="9"/>
  <c r="D2075" i="9"/>
  <c r="E2075" i="9"/>
  <c r="J2075" i="9" s="1"/>
  <c r="G2075" i="9"/>
  <c r="H2075" i="9"/>
  <c r="D2076" i="9"/>
  <c r="E2076" i="9"/>
  <c r="H2076" i="9"/>
  <c r="D2077" i="9"/>
  <c r="E2077" i="9"/>
  <c r="G2077" i="9" s="1"/>
  <c r="H2077" i="9"/>
  <c r="D2078" i="9"/>
  <c r="E2078" i="9"/>
  <c r="G2078" i="9" s="1"/>
  <c r="H2078" i="9"/>
  <c r="D2079" i="9"/>
  <c r="E2079" i="9"/>
  <c r="G2079" i="9" s="1"/>
  <c r="H2079" i="9"/>
  <c r="D2080" i="9"/>
  <c r="E2080" i="9"/>
  <c r="G2080" i="9" s="1"/>
  <c r="H2080" i="9"/>
  <c r="D2081" i="9"/>
  <c r="E2081" i="9"/>
  <c r="G2081" i="9" s="1"/>
  <c r="H2081" i="9"/>
  <c r="D2082" i="9"/>
  <c r="E2082" i="9"/>
  <c r="J2082" i="9" s="1"/>
  <c r="G2082" i="9"/>
  <c r="H2082" i="9"/>
  <c r="D2083" i="9"/>
  <c r="E2083" i="9"/>
  <c r="J2083" i="9" s="1"/>
  <c r="H2083" i="9"/>
  <c r="D2084" i="9"/>
  <c r="E2084" i="9"/>
  <c r="J2084" i="9" s="1"/>
  <c r="H2084" i="9"/>
  <c r="D2085" i="9"/>
  <c r="E2085" i="9"/>
  <c r="G2085" i="9" s="1"/>
  <c r="H2085" i="9"/>
  <c r="D2086" i="9"/>
  <c r="E2086" i="9"/>
  <c r="G2086" i="9" s="1"/>
  <c r="H2086" i="9"/>
  <c r="D2087" i="9"/>
  <c r="E2087" i="9"/>
  <c r="J2087" i="9" s="1"/>
  <c r="G2087" i="9"/>
  <c r="H2087" i="9"/>
  <c r="D2088" i="9"/>
  <c r="E2088" i="9"/>
  <c r="H2088" i="9"/>
  <c r="D2089" i="9"/>
  <c r="E2089" i="9"/>
  <c r="G2089" i="9" s="1"/>
  <c r="H2089" i="9"/>
  <c r="D2090" i="9"/>
  <c r="E2090" i="9"/>
  <c r="G2090" i="9" s="1"/>
  <c r="H2090" i="9"/>
  <c r="D2091" i="9"/>
  <c r="E2091" i="9"/>
  <c r="G2091" i="9" s="1"/>
  <c r="H2091" i="9"/>
  <c r="D2092" i="9"/>
  <c r="E2092" i="9"/>
  <c r="G2092" i="9" s="1"/>
  <c r="H2092" i="9"/>
  <c r="D2093" i="9"/>
  <c r="E2093" i="9"/>
  <c r="G2093" i="9" s="1"/>
  <c r="H2093" i="9"/>
  <c r="D2094" i="9"/>
  <c r="E2094" i="9"/>
  <c r="J2094" i="9" s="1"/>
  <c r="G2094" i="9"/>
  <c r="H2094" i="9"/>
  <c r="D2095" i="9"/>
  <c r="E2095" i="9"/>
  <c r="J2095" i="9" s="1"/>
  <c r="H2095" i="9"/>
  <c r="D2096" i="9"/>
  <c r="E2096" i="9"/>
  <c r="J2096" i="9" s="1"/>
  <c r="H2096" i="9"/>
  <c r="D2097" i="9"/>
  <c r="E2097" i="9"/>
  <c r="G2097" i="9" s="1"/>
  <c r="H2097" i="9"/>
  <c r="D2098" i="9"/>
  <c r="E2098" i="9"/>
  <c r="G2098" i="9" s="1"/>
  <c r="H2098" i="9"/>
  <c r="D2099" i="9"/>
  <c r="E2099" i="9"/>
  <c r="J2099" i="9" s="1"/>
  <c r="G2099" i="9"/>
  <c r="H2099" i="9"/>
  <c r="D2100" i="9"/>
  <c r="E2100" i="9"/>
  <c r="H2100" i="9"/>
  <c r="D2101" i="9"/>
  <c r="E2101" i="9"/>
  <c r="G2101" i="9" s="1"/>
  <c r="H2101" i="9"/>
  <c r="D2102" i="9"/>
  <c r="E2102" i="9"/>
  <c r="G2102" i="9" s="1"/>
  <c r="H2102" i="9"/>
  <c r="D2103" i="9"/>
  <c r="E2103" i="9"/>
  <c r="G2103" i="9" s="1"/>
  <c r="H2103" i="9"/>
  <c r="D2104" i="9"/>
  <c r="E2104" i="9"/>
  <c r="G2104" i="9" s="1"/>
  <c r="H2104" i="9"/>
  <c r="D2105" i="9"/>
  <c r="E2105" i="9"/>
  <c r="G2105" i="9" s="1"/>
  <c r="H2105" i="9"/>
  <c r="D2106" i="9"/>
  <c r="E2106" i="9"/>
  <c r="J2106" i="9" s="1"/>
  <c r="G2106" i="9"/>
  <c r="H2106" i="9"/>
  <c r="D2107" i="9"/>
  <c r="E2107" i="9"/>
  <c r="J2107" i="9" s="1"/>
  <c r="H2107" i="9"/>
  <c r="D2108" i="9"/>
  <c r="E2108" i="9"/>
  <c r="J2108" i="9" s="1"/>
  <c r="H2108" i="9"/>
  <c r="D2109" i="9"/>
  <c r="E2109" i="9"/>
  <c r="G2109" i="9" s="1"/>
  <c r="H2109" i="9"/>
  <c r="D2110" i="9"/>
  <c r="E2110" i="9"/>
  <c r="G2110" i="9" s="1"/>
  <c r="H2110" i="9"/>
  <c r="D2111" i="9"/>
  <c r="E2111" i="9"/>
  <c r="J2111" i="9" s="1"/>
  <c r="G2111" i="9"/>
  <c r="H2111" i="9"/>
  <c r="D2112" i="9"/>
  <c r="E2112" i="9"/>
  <c r="H2112" i="9"/>
  <c r="D2113" i="9"/>
  <c r="E2113" i="9"/>
  <c r="G2113" i="9" s="1"/>
  <c r="H2113" i="9"/>
  <c r="D2114" i="9"/>
  <c r="E2114" i="9"/>
  <c r="G2114" i="9" s="1"/>
  <c r="H2114" i="9"/>
  <c r="D2115" i="9"/>
  <c r="E2115" i="9"/>
  <c r="G2115" i="9" s="1"/>
  <c r="H2115" i="9"/>
  <c r="D2116" i="9"/>
  <c r="E2116" i="9"/>
  <c r="G2116" i="9" s="1"/>
  <c r="H2116" i="9"/>
  <c r="D2117" i="9"/>
  <c r="E2117" i="9"/>
  <c r="G2117" i="9" s="1"/>
  <c r="H2117" i="9"/>
  <c r="D2118" i="9"/>
  <c r="E2118" i="9"/>
  <c r="J2118" i="9" s="1"/>
  <c r="G2118" i="9"/>
  <c r="H2118" i="9"/>
  <c r="D2119" i="9"/>
  <c r="E2119" i="9"/>
  <c r="J2119" i="9" s="1"/>
  <c r="H2119" i="9"/>
  <c r="D2120" i="9"/>
  <c r="E2120" i="9"/>
  <c r="J2120" i="9" s="1"/>
  <c r="H2120" i="9"/>
  <c r="D2121" i="9"/>
  <c r="E2121" i="9"/>
  <c r="G2121" i="9" s="1"/>
  <c r="H2121" i="9"/>
  <c r="D2122" i="9"/>
  <c r="E2122" i="9"/>
  <c r="G2122" i="9" s="1"/>
  <c r="H2122" i="9"/>
  <c r="D2123" i="9"/>
  <c r="E2123" i="9"/>
  <c r="J2123" i="9" s="1"/>
  <c r="G2123" i="9"/>
  <c r="H2123" i="9"/>
  <c r="D2124" i="9"/>
  <c r="E2124" i="9"/>
  <c r="H2124" i="9"/>
  <c r="D2125" i="9"/>
  <c r="E2125" i="9"/>
  <c r="G2125" i="9" s="1"/>
  <c r="H2125" i="9"/>
  <c r="D2126" i="9"/>
  <c r="E2126" i="9"/>
  <c r="G2126" i="9" s="1"/>
  <c r="H2126" i="9"/>
  <c r="D2127" i="9"/>
  <c r="E2127" i="9"/>
  <c r="G2127" i="9" s="1"/>
  <c r="H2127" i="9"/>
  <c r="D2128" i="9"/>
  <c r="E2128" i="9"/>
  <c r="G2128" i="9" s="1"/>
  <c r="H2128" i="9"/>
  <c r="D2129" i="9"/>
  <c r="E2129" i="9"/>
  <c r="G2129" i="9" s="1"/>
  <c r="H2129" i="9"/>
  <c r="D2130" i="9"/>
  <c r="E2130" i="9"/>
  <c r="J2130" i="9" s="1"/>
  <c r="G2130" i="9"/>
  <c r="H2130" i="9"/>
  <c r="D2131" i="9"/>
  <c r="E2131" i="9"/>
  <c r="J2131" i="9" s="1"/>
  <c r="H2131" i="9"/>
  <c r="D2132" i="9"/>
  <c r="E2132" i="9"/>
  <c r="J2132" i="9" s="1"/>
  <c r="H2132" i="9"/>
  <c r="D2133" i="9"/>
  <c r="E2133" i="9"/>
  <c r="G2133" i="9" s="1"/>
  <c r="H2133" i="9"/>
  <c r="D2134" i="9"/>
  <c r="E2134" i="9"/>
  <c r="G2134" i="9" s="1"/>
  <c r="H2134" i="9"/>
  <c r="D2135" i="9"/>
  <c r="E2135" i="9"/>
  <c r="J2135" i="9" s="1"/>
  <c r="G2135" i="9"/>
  <c r="H2135" i="9"/>
  <c r="D2136" i="9"/>
  <c r="E2136" i="9"/>
  <c r="H2136" i="9"/>
  <c r="D2137" i="9"/>
  <c r="E2137" i="9"/>
  <c r="G2137" i="9" s="1"/>
  <c r="H2137" i="9"/>
  <c r="D2138" i="9"/>
  <c r="E2138" i="9"/>
  <c r="G2138" i="9" s="1"/>
  <c r="H2138" i="9"/>
  <c r="D2139" i="9"/>
  <c r="E2139" i="9"/>
  <c r="G2139" i="9" s="1"/>
  <c r="H2139" i="9"/>
  <c r="D2140" i="9"/>
  <c r="E2140" i="9"/>
  <c r="G2140" i="9" s="1"/>
  <c r="H2140" i="9"/>
  <c r="D2141" i="9"/>
  <c r="E2141" i="9"/>
  <c r="G2141" i="9" s="1"/>
  <c r="H2141" i="9"/>
  <c r="D2142" i="9"/>
  <c r="E2142" i="9"/>
  <c r="J2142" i="9" s="1"/>
  <c r="G2142" i="9"/>
  <c r="H2142" i="9"/>
  <c r="D2143" i="9"/>
  <c r="E2143" i="9"/>
  <c r="J2143" i="9" s="1"/>
  <c r="H2143" i="9"/>
  <c r="D2144" i="9"/>
  <c r="E2144" i="9"/>
  <c r="J2144" i="9" s="1"/>
  <c r="H2144" i="9"/>
  <c r="D2145" i="9"/>
  <c r="E2145" i="9"/>
  <c r="G2145" i="9" s="1"/>
  <c r="H2145" i="9"/>
  <c r="D2146" i="9"/>
  <c r="E2146" i="9"/>
  <c r="G2146" i="9" s="1"/>
  <c r="H2146" i="9"/>
  <c r="D2147" i="9"/>
  <c r="E2147" i="9"/>
  <c r="J2147" i="9" s="1"/>
  <c r="G2147" i="9"/>
  <c r="H2147" i="9"/>
  <c r="D2148" i="9"/>
  <c r="E2148" i="9"/>
  <c r="H2148" i="9"/>
  <c r="D2149" i="9"/>
  <c r="E2149" i="9"/>
  <c r="G2149" i="9" s="1"/>
  <c r="H2149" i="9"/>
  <c r="D2150" i="9"/>
  <c r="E2150" i="9"/>
  <c r="G2150" i="9" s="1"/>
  <c r="H2150" i="9"/>
  <c r="D2151" i="9"/>
  <c r="E2151" i="9"/>
  <c r="G2151" i="9" s="1"/>
  <c r="H2151" i="9"/>
  <c r="D2152" i="9"/>
  <c r="E2152" i="9"/>
  <c r="G2152" i="9" s="1"/>
  <c r="H2152" i="9"/>
  <c r="D2153" i="9"/>
  <c r="E2153" i="9"/>
  <c r="G2153" i="9" s="1"/>
  <c r="H2153" i="9"/>
  <c r="D2154" i="9"/>
  <c r="E2154" i="9"/>
  <c r="J2154" i="9" s="1"/>
  <c r="G2154" i="9"/>
  <c r="H2154" i="9"/>
  <c r="D2155" i="9"/>
  <c r="E2155" i="9"/>
  <c r="J2155" i="9" s="1"/>
  <c r="H2155" i="9"/>
  <c r="D2156" i="9"/>
  <c r="E2156" i="9"/>
  <c r="J2156" i="9" s="1"/>
  <c r="H2156" i="9"/>
  <c r="D2157" i="9"/>
  <c r="E2157" i="9"/>
  <c r="G2157" i="9" s="1"/>
  <c r="H2157" i="9"/>
  <c r="D2158" i="9"/>
  <c r="E2158" i="9"/>
  <c r="G2158" i="9" s="1"/>
  <c r="H2158" i="9"/>
  <c r="D2159" i="9"/>
  <c r="E2159" i="9"/>
  <c r="J2159" i="9" s="1"/>
  <c r="G2159" i="9"/>
  <c r="H2159" i="9"/>
  <c r="D2160" i="9"/>
  <c r="E2160" i="9"/>
  <c r="H2160" i="9"/>
  <c r="D2161" i="9"/>
  <c r="E2161" i="9"/>
  <c r="G2161" i="9" s="1"/>
  <c r="H2161" i="9"/>
  <c r="D2162" i="9"/>
  <c r="E2162" i="9"/>
  <c r="G2162" i="9" s="1"/>
  <c r="H2162" i="9"/>
  <c r="D2163" i="9"/>
  <c r="E2163" i="9"/>
  <c r="G2163" i="9" s="1"/>
  <c r="H2163" i="9"/>
  <c r="D2164" i="9"/>
  <c r="E2164" i="9"/>
  <c r="G2164" i="9" s="1"/>
  <c r="H2164" i="9"/>
  <c r="D2165" i="9"/>
  <c r="E2165" i="9"/>
  <c r="G2165" i="9" s="1"/>
  <c r="H2165" i="9"/>
  <c r="D2166" i="9"/>
  <c r="E2166" i="9"/>
  <c r="J2166" i="9" s="1"/>
  <c r="G2166" i="9"/>
  <c r="H2166" i="9"/>
  <c r="D2167" i="9"/>
  <c r="E2167" i="9"/>
  <c r="J2167" i="9" s="1"/>
  <c r="H2167" i="9"/>
  <c r="D2168" i="9"/>
  <c r="E2168" i="9"/>
  <c r="J2168" i="9" s="1"/>
  <c r="H2168" i="9"/>
  <c r="D2169" i="9"/>
  <c r="E2169" i="9"/>
  <c r="G2169" i="9" s="1"/>
  <c r="H2169" i="9"/>
  <c r="D2170" i="9"/>
  <c r="E2170" i="9"/>
  <c r="G2170" i="9" s="1"/>
  <c r="H2170" i="9"/>
  <c r="D2171" i="9"/>
  <c r="E2171" i="9"/>
  <c r="J2171" i="9" s="1"/>
  <c r="G2171" i="9"/>
  <c r="H2171" i="9"/>
  <c r="D2172" i="9"/>
  <c r="E2172" i="9"/>
  <c r="H2172" i="9"/>
  <c r="D2173" i="9"/>
  <c r="E2173" i="9"/>
  <c r="G2173" i="9" s="1"/>
  <c r="H2173" i="9"/>
  <c r="D2174" i="9"/>
  <c r="E2174" i="9"/>
  <c r="G2174" i="9" s="1"/>
  <c r="H2174" i="9"/>
  <c r="D2175" i="9"/>
  <c r="E2175" i="9"/>
  <c r="G2175" i="9" s="1"/>
  <c r="H2175" i="9"/>
  <c r="D2176" i="9"/>
  <c r="E2176" i="9"/>
  <c r="H2176" i="9"/>
  <c r="D2177" i="9"/>
  <c r="E2177" i="9"/>
  <c r="G2177" i="9" s="1"/>
  <c r="H2177" i="9"/>
  <c r="D2178" i="9"/>
  <c r="E2178" i="9"/>
  <c r="J2178" i="9" s="1"/>
  <c r="G2178" i="9"/>
  <c r="H2178" i="9"/>
  <c r="D2179" i="9"/>
  <c r="E2179" i="9"/>
  <c r="J2179" i="9" s="1"/>
  <c r="H2179" i="9"/>
  <c r="D2180" i="9"/>
  <c r="E2180" i="9"/>
  <c r="J2180" i="9" s="1"/>
  <c r="H2180" i="9"/>
  <c r="D2181" i="9"/>
  <c r="E2181" i="9"/>
  <c r="G2181" i="9" s="1"/>
  <c r="H2181" i="9"/>
  <c r="D2182" i="9"/>
  <c r="E2182" i="9"/>
  <c r="G2182" i="9" s="1"/>
  <c r="H2182" i="9"/>
  <c r="D2183" i="9"/>
  <c r="E2183" i="9"/>
  <c r="J2183" i="9" s="1"/>
  <c r="G2183" i="9"/>
  <c r="H2183" i="9"/>
  <c r="D2184" i="9"/>
  <c r="E2184" i="9"/>
  <c r="H2184" i="9"/>
  <c r="D2185" i="9"/>
  <c r="E2185" i="9"/>
  <c r="H2185" i="9"/>
  <c r="D2186" i="9"/>
  <c r="E2186" i="9"/>
  <c r="J2186" i="9" s="1"/>
  <c r="G2186" i="9"/>
  <c r="H2186" i="9"/>
  <c r="D2187" i="9"/>
  <c r="E2187" i="9"/>
  <c r="G2187" i="9" s="1"/>
  <c r="H2187" i="9"/>
  <c r="D2188" i="9"/>
  <c r="E2188" i="9"/>
  <c r="H2188" i="9"/>
  <c r="D2189" i="9"/>
  <c r="E2189" i="9"/>
  <c r="G2189" i="9" s="1"/>
  <c r="H2189" i="9"/>
  <c r="J2189" i="9"/>
  <c r="D2190" i="9"/>
  <c r="E2190" i="9"/>
  <c r="G2190" i="9" s="1"/>
  <c r="H2190" i="9"/>
  <c r="J2190" i="9"/>
  <c r="D2191" i="9"/>
  <c r="E2191" i="9"/>
  <c r="J2191" i="9" s="1"/>
  <c r="G2191" i="9"/>
  <c r="H2191" i="9"/>
  <c r="D2192" i="9"/>
  <c r="E2192" i="9"/>
  <c r="J2192" i="9" s="1"/>
  <c r="G2192" i="9"/>
  <c r="H2192" i="9"/>
  <c r="D2193" i="9"/>
  <c r="E2193" i="9"/>
  <c r="G2193" i="9" s="1"/>
  <c r="H2193" i="9"/>
  <c r="J2193" i="9"/>
  <c r="D2194" i="9"/>
  <c r="E2194" i="9"/>
  <c r="J2194" i="9" s="1"/>
  <c r="G2194" i="9"/>
  <c r="H2194" i="9"/>
  <c r="D2195" i="9"/>
  <c r="E2195" i="9"/>
  <c r="J2195" i="9" s="1"/>
  <c r="H2195" i="9"/>
  <c r="D2196" i="9"/>
  <c r="E2196" i="9"/>
  <c r="G2196" i="9" s="1"/>
  <c r="H2196" i="9"/>
  <c r="D2197" i="9"/>
  <c r="E2197" i="9"/>
  <c r="G2197" i="9" s="1"/>
  <c r="H2197" i="9"/>
  <c r="D2198" i="9"/>
  <c r="E2198" i="9"/>
  <c r="J2198" i="9" s="1"/>
  <c r="G2198" i="9"/>
  <c r="H2198" i="9"/>
  <c r="D2199" i="9"/>
  <c r="E2199" i="9"/>
  <c r="H2199" i="9"/>
  <c r="D2200" i="9"/>
  <c r="E2200" i="9"/>
  <c r="H2200" i="9"/>
  <c r="D2201" i="9"/>
  <c r="E2201" i="9"/>
  <c r="G2201" i="9" s="1"/>
  <c r="H2201" i="9"/>
  <c r="J2201" i="9"/>
  <c r="D2202" i="9"/>
  <c r="E2202" i="9"/>
  <c r="G2202" i="9"/>
  <c r="H2202" i="9"/>
  <c r="J2202" i="9"/>
  <c r="D2203" i="9"/>
  <c r="E2203" i="9"/>
  <c r="J2203" i="9" s="1"/>
  <c r="G2203" i="9"/>
  <c r="H2203" i="9"/>
  <c r="D2204" i="9"/>
  <c r="E2204" i="9"/>
  <c r="J2204" i="9" s="1"/>
  <c r="G2204" i="9"/>
  <c r="H2204" i="9"/>
  <c r="D2205" i="9"/>
  <c r="E2205" i="9"/>
  <c r="G2205" i="9" s="1"/>
  <c r="H2205" i="9"/>
  <c r="J2205" i="9"/>
  <c r="D2206" i="9"/>
  <c r="E2206" i="9"/>
  <c r="G2206" i="9"/>
  <c r="H2206" i="9"/>
  <c r="J2206" i="9"/>
  <c r="D2207" i="9"/>
  <c r="E2207" i="9"/>
  <c r="J2207" i="9" s="1"/>
  <c r="G2207" i="9"/>
  <c r="H2207" i="9"/>
  <c r="D2208" i="9"/>
  <c r="E2208" i="9"/>
  <c r="G2208" i="9" s="1"/>
  <c r="H2208" i="9"/>
  <c r="J2208" i="9"/>
  <c r="D2209" i="9"/>
  <c r="E2209" i="9"/>
  <c r="G2209" i="9" s="1"/>
  <c r="H2209" i="9"/>
  <c r="D2210" i="9"/>
  <c r="E2210" i="9"/>
  <c r="J2210" i="9" s="1"/>
  <c r="G2210" i="9"/>
  <c r="H2210" i="9"/>
  <c r="D2211" i="9"/>
  <c r="E2211" i="9"/>
  <c r="H2211" i="9"/>
  <c r="D2212" i="9"/>
  <c r="E2212" i="9"/>
  <c r="H2212" i="9"/>
  <c r="D2213" i="9"/>
  <c r="E2213" i="9"/>
  <c r="G2213" i="9" s="1"/>
  <c r="D2214" i="9"/>
  <c r="E2214" i="9"/>
  <c r="J2214" i="9" s="1"/>
  <c r="G2214" i="9"/>
  <c r="H2214" i="9"/>
  <c r="D2215" i="9"/>
  <c r="E2215" i="9"/>
  <c r="G2215" i="9" s="1"/>
  <c r="H2215" i="9"/>
  <c r="J2215" i="9"/>
  <c r="D2216" i="9"/>
  <c r="E2216" i="9"/>
  <c r="J2216" i="9" s="1"/>
  <c r="G2216" i="9"/>
  <c r="H2216" i="9"/>
  <c r="D2217" i="9"/>
  <c r="E2217" i="9"/>
  <c r="J2217" i="9" s="1"/>
  <c r="H2217" i="9"/>
  <c r="D2218" i="9"/>
  <c r="E2218" i="9"/>
  <c r="H2218" i="9"/>
  <c r="D2219" i="9"/>
  <c r="E2219" i="9"/>
  <c r="G2219" i="9" s="1"/>
  <c r="H2219" i="9"/>
  <c r="D2220" i="9"/>
  <c r="E2220" i="9"/>
  <c r="J2220" i="9" s="1"/>
  <c r="G2220" i="9"/>
  <c r="H2220" i="9"/>
  <c r="D2221" i="9"/>
  <c r="E2221" i="9"/>
  <c r="H2221" i="9"/>
  <c r="D2222" i="9"/>
  <c r="E2222" i="9"/>
  <c r="H2222" i="9"/>
  <c r="D2223" i="9"/>
  <c r="E2223" i="9"/>
  <c r="J2223" i="9" s="1"/>
  <c r="G2223" i="9"/>
  <c r="H2223" i="9"/>
  <c r="D2224" i="9"/>
  <c r="E2224" i="9"/>
  <c r="J2224" i="9" s="1"/>
  <c r="G2224" i="9"/>
  <c r="H2224" i="9"/>
  <c r="D2225" i="9"/>
  <c r="E2225" i="9"/>
  <c r="J2225" i="9" s="1"/>
  <c r="H2225" i="9"/>
  <c r="D2226" i="9"/>
  <c r="E2226" i="9"/>
  <c r="J2226" i="9" s="1"/>
  <c r="H2226" i="9"/>
  <c r="D2227" i="9"/>
  <c r="E2227" i="9"/>
  <c r="G2227" i="9" s="1"/>
  <c r="H2227" i="9"/>
  <c r="D2228" i="9"/>
  <c r="E2228" i="9"/>
  <c r="G2228" i="9" s="1"/>
  <c r="H2228" i="9"/>
  <c r="D2229" i="9"/>
  <c r="E2229" i="9"/>
  <c r="J2229" i="9" s="1"/>
  <c r="G2229" i="9"/>
  <c r="H2229" i="9"/>
  <c r="D2230" i="9"/>
  <c r="E2230" i="9"/>
  <c r="G2230" i="9" s="1"/>
  <c r="H2230" i="9"/>
  <c r="D2231" i="9"/>
  <c r="E2231" i="9"/>
  <c r="G2231" i="9" s="1"/>
  <c r="H2231" i="9"/>
  <c r="D2232" i="9"/>
  <c r="E2232" i="9"/>
  <c r="J2232" i="9" s="1"/>
  <c r="G2232" i="9"/>
  <c r="H2232" i="9"/>
  <c r="D2233" i="9"/>
  <c r="E2233" i="9"/>
  <c r="H2233" i="9"/>
  <c r="D2234" i="9"/>
  <c r="E2234" i="9"/>
  <c r="H2234" i="9"/>
  <c r="D2235" i="9"/>
  <c r="E2235" i="9"/>
  <c r="J2235" i="9" s="1"/>
  <c r="G2235" i="9"/>
  <c r="H2235" i="9"/>
  <c r="D2236" i="9"/>
  <c r="E2236" i="9"/>
  <c r="J2236" i="9" s="1"/>
  <c r="G2236" i="9"/>
  <c r="H2236" i="9"/>
  <c r="D2237" i="9"/>
  <c r="E2237" i="9"/>
  <c r="J2237" i="9" s="1"/>
  <c r="H2237" i="9"/>
  <c r="D2238" i="9"/>
  <c r="E2238" i="9"/>
  <c r="J2238" i="9" s="1"/>
  <c r="H2238" i="9"/>
  <c r="D2239" i="9"/>
  <c r="E2239" i="9"/>
  <c r="G2239" i="9" s="1"/>
  <c r="H2239" i="9"/>
  <c r="D2240" i="9"/>
  <c r="E2240" i="9"/>
  <c r="G2240" i="9" s="1"/>
  <c r="H2240" i="9"/>
  <c r="D2241" i="9"/>
  <c r="E2241" i="9"/>
  <c r="J2241" i="9" s="1"/>
  <c r="G2241" i="9"/>
  <c r="H2241" i="9"/>
  <c r="D2242" i="9"/>
  <c r="E2242" i="9"/>
  <c r="G2242" i="9" s="1"/>
  <c r="H2242" i="9"/>
  <c r="D2243" i="9"/>
  <c r="E2243" i="9"/>
  <c r="G2243" i="9" s="1"/>
  <c r="H2243" i="9"/>
  <c r="J2243" i="9"/>
  <c r="D2244" i="9"/>
  <c r="E2244" i="9"/>
  <c r="G2244" i="9"/>
  <c r="H2244" i="9"/>
  <c r="J2244" i="9"/>
  <c r="D2245" i="9"/>
  <c r="E2245" i="9"/>
  <c r="J2245" i="9" s="1"/>
  <c r="G2245" i="9"/>
  <c r="H2245" i="9"/>
  <c r="D2246" i="9"/>
  <c r="E2246" i="9"/>
  <c r="J2246" i="9" s="1"/>
  <c r="H2246" i="9"/>
  <c r="D2247" i="9"/>
  <c r="E2247" i="9"/>
  <c r="G2247" i="9"/>
  <c r="H2247" i="9"/>
  <c r="J2247" i="9"/>
  <c r="D2248" i="9"/>
  <c r="E2248" i="9"/>
  <c r="G2248" i="9"/>
  <c r="H2248" i="9"/>
  <c r="J2248" i="9"/>
  <c r="D2249" i="9"/>
  <c r="E2249" i="9"/>
  <c r="J2249" i="9" s="1"/>
  <c r="G2249" i="9"/>
  <c r="H2249" i="9"/>
  <c r="D2250" i="9"/>
  <c r="E2250" i="9"/>
  <c r="J2250" i="9" s="1"/>
  <c r="G2250" i="9"/>
  <c r="H2250" i="9"/>
  <c r="D2251" i="9"/>
  <c r="E2251" i="9"/>
  <c r="G2251" i="9" s="1"/>
  <c r="H2251" i="9"/>
  <c r="D2252" i="9"/>
  <c r="E2252" i="9"/>
  <c r="J2252" i="9" s="1"/>
  <c r="G2252" i="9"/>
  <c r="H2252" i="9"/>
  <c r="D2253" i="9"/>
  <c r="E2253" i="9"/>
  <c r="J2253" i="9" s="1"/>
  <c r="G2253" i="9"/>
  <c r="H2253" i="9"/>
  <c r="D2254" i="9"/>
  <c r="E2254" i="9"/>
  <c r="G2254" i="9" s="1"/>
  <c r="H2254" i="9"/>
  <c r="D2255" i="9"/>
  <c r="E2255" i="9"/>
  <c r="H2255" i="9"/>
  <c r="D2256" i="9"/>
  <c r="E2256" i="9"/>
  <c r="J2256" i="9" s="1"/>
  <c r="G2256" i="9"/>
  <c r="H2256" i="9"/>
  <c r="D2257" i="9"/>
  <c r="E2257" i="9"/>
  <c r="J2257" i="9" s="1"/>
  <c r="H2257" i="9"/>
  <c r="D2258" i="9"/>
  <c r="E2258" i="9"/>
  <c r="J2258" i="9" s="1"/>
  <c r="G2258" i="9"/>
  <c r="H2258" i="9"/>
  <c r="D2259" i="9"/>
  <c r="E2259" i="9"/>
  <c r="J2259" i="9" s="1"/>
  <c r="G2259" i="9"/>
  <c r="H2259" i="9"/>
  <c r="D2260" i="9"/>
  <c r="E2260" i="9"/>
  <c r="G2260" i="9" s="1"/>
  <c r="H2260" i="9"/>
  <c r="D2261" i="9"/>
  <c r="E2261" i="9"/>
  <c r="J2261" i="9" s="1"/>
  <c r="G2261" i="9"/>
  <c r="H2261" i="9"/>
  <c r="D2262" i="9"/>
  <c r="E2262" i="9"/>
  <c r="J2262" i="9" s="1"/>
  <c r="H2262" i="9"/>
  <c r="D2263" i="9"/>
  <c r="E2263" i="9"/>
  <c r="G2263" i="9" s="1"/>
  <c r="H2263" i="9"/>
  <c r="D2264" i="9"/>
  <c r="E2264" i="9"/>
  <c r="J2264" i="9" s="1"/>
  <c r="G2264" i="9"/>
  <c r="H2264" i="9"/>
  <c r="D2265" i="9"/>
  <c r="E2265" i="9"/>
  <c r="J2265" i="9" s="1"/>
  <c r="G2265" i="9"/>
  <c r="H2265" i="9"/>
  <c r="D2266" i="9"/>
  <c r="E2266" i="9"/>
  <c r="H2266" i="9"/>
  <c r="D2267" i="9"/>
  <c r="E2267" i="9"/>
  <c r="G2267" i="9" s="1"/>
  <c r="H2267" i="9"/>
  <c r="D2268" i="9"/>
  <c r="E2268" i="9"/>
  <c r="J2268" i="9" s="1"/>
  <c r="G2268" i="9"/>
  <c r="H2268" i="9"/>
  <c r="D2269" i="9"/>
  <c r="E2269" i="9"/>
  <c r="J2269" i="9" s="1"/>
  <c r="H2269" i="9"/>
  <c r="D2270" i="9"/>
  <c r="E2270" i="9"/>
  <c r="G2270" i="9" s="1"/>
  <c r="H2270" i="9"/>
  <c r="D2271" i="9"/>
  <c r="E2271" i="9"/>
  <c r="G2271" i="9" s="1"/>
  <c r="H2271" i="9"/>
  <c r="D2272" i="9"/>
  <c r="E2272" i="9"/>
  <c r="J2272" i="9" s="1"/>
  <c r="G2272" i="9"/>
  <c r="H2272" i="9"/>
  <c r="D2273" i="9"/>
  <c r="E2273" i="9"/>
  <c r="J2273" i="9" s="1"/>
  <c r="G2273" i="9"/>
  <c r="H2273" i="9"/>
  <c r="D2274" i="9"/>
  <c r="E2274" i="9"/>
  <c r="G2274" i="9" s="1"/>
  <c r="H2274" i="9"/>
  <c r="D2275" i="9"/>
  <c r="E2275" i="9"/>
  <c r="G2275" i="9" s="1"/>
  <c r="H2275" i="9"/>
  <c r="D2276" i="9"/>
  <c r="E2276" i="9"/>
  <c r="J2276" i="9" s="1"/>
  <c r="G2276" i="9"/>
  <c r="H2276" i="9"/>
  <c r="D2277" i="9"/>
  <c r="E2277" i="9"/>
  <c r="J2277" i="9" s="1"/>
  <c r="H2277" i="9"/>
  <c r="D2278" i="9"/>
  <c r="E2278" i="9"/>
  <c r="G2278" i="9" s="1"/>
  <c r="H2278" i="9"/>
  <c r="D2279" i="9"/>
  <c r="E2279" i="9"/>
  <c r="H2279" i="9"/>
  <c r="D2280" i="9"/>
  <c r="E2280" i="9"/>
  <c r="J2280" i="9" s="1"/>
  <c r="G2280" i="9"/>
  <c r="H2280" i="9"/>
  <c r="D2281" i="9"/>
  <c r="E2281" i="9"/>
  <c r="J2281" i="9" s="1"/>
  <c r="G2281" i="9"/>
  <c r="H2281" i="9"/>
  <c r="D2282" i="9"/>
  <c r="E2282" i="9"/>
  <c r="J2282" i="9" s="1"/>
  <c r="G2282" i="9"/>
  <c r="H2282" i="9"/>
  <c r="D2283" i="9"/>
  <c r="E2283" i="9"/>
  <c r="G2283" i="9" s="1"/>
  <c r="H2283" i="9"/>
  <c r="D2284" i="9"/>
  <c r="E2284" i="9"/>
  <c r="G2284" i="9"/>
  <c r="H2284" i="9"/>
  <c r="J2284" i="9"/>
  <c r="D2285" i="9"/>
  <c r="E2285" i="9"/>
  <c r="G2285" i="9" s="1"/>
  <c r="H2285" i="9"/>
  <c r="J2285" i="9"/>
  <c r="D2286" i="9"/>
  <c r="E2286" i="9"/>
  <c r="J2286" i="9" s="1"/>
  <c r="G2286" i="9"/>
  <c r="H2286" i="9"/>
  <c r="D2287" i="9"/>
  <c r="E2287" i="9"/>
  <c r="G2287" i="9"/>
  <c r="H2287" i="9"/>
  <c r="J2287" i="9"/>
  <c r="D2288" i="9"/>
  <c r="E2288" i="9"/>
  <c r="G2288" i="9" s="1"/>
  <c r="H2288" i="9"/>
  <c r="D2289" i="9"/>
  <c r="E2289" i="9"/>
  <c r="G2289" i="9" s="1"/>
  <c r="H2289" i="9"/>
  <c r="D2290" i="9"/>
  <c r="E2290" i="9"/>
  <c r="G2290" i="9" s="1"/>
  <c r="H2290" i="9"/>
  <c r="J2290" i="9"/>
  <c r="D2291" i="9"/>
  <c r="E2291" i="9"/>
  <c r="H2291" i="9"/>
  <c r="D2292" i="9"/>
  <c r="E2292" i="9"/>
  <c r="J2292" i="9" s="1"/>
  <c r="G2292" i="9"/>
  <c r="H2292" i="9"/>
  <c r="D2293" i="9"/>
  <c r="E2293" i="9"/>
  <c r="J2293" i="9" s="1"/>
  <c r="H2293" i="9"/>
  <c r="D2294" i="9"/>
  <c r="E2294" i="9"/>
  <c r="G2294" i="9" s="1"/>
  <c r="H2294" i="9"/>
  <c r="D2295" i="9"/>
  <c r="E2295" i="9"/>
  <c r="J2295" i="9" s="1"/>
  <c r="G2295" i="9"/>
  <c r="H2295" i="9"/>
  <c r="D2296" i="9"/>
  <c r="E2296" i="9"/>
  <c r="J2296" i="9" s="1"/>
  <c r="H2296" i="9"/>
  <c r="D2297" i="9"/>
  <c r="E2297" i="9"/>
  <c r="G2297" i="9" s="1"/>
  <c r="H2297" i="9"/>
  <c r="D2298" i="9"/>
  <c r="E2298" i="9"/>
  <c r="J2298" i="9" s="1"/>
  <c r="H2298" i="9"/>
  <c r="D2299" i="9"/>
  <c r="E2299" i="9"/>
  <c r="G2299" i="9"/>
  <c r="H2299" i="9"/>
  <c r="J2299" i="9"/>
  <c r="D2300" i="9"/>
  <c r="E2300" i="9"/>
  <c r="G2300" i="9" s="1"/>
  <c r="H2300" i="9"/>
  <c r="J2300" i="9"/>
  <c r="D2301" i="9"/>
  <c r="E2301" i="9"/>
  <c r="G2301" i="9" s="1"/>
  <c r="H2301" i="9"/>
  <c r="D2302" i="9"/>
  <c r="E2302" i="9"/>
  <c r="G2302" i="9" s="1"/>
  <c r="H2302" i="9"/>
  <c r="D2303" i="9"/>
  <c r="E2303" i="9"/>
  <c r="H2303" i="9"/>
  <c r="D2304" i="9"/>
  <c r="E2304" i="9"/>
  <c r="J2304" i="9" s="1"/>
  <c r="G2304" i="9"/>
  <c r="H2304" i="9"/>
  <c r="D2305" i="9"/>
  <c r="E2305" i="9"/>
  <c r="J2305" i="9" s="1"/>
  <c r="H2305" i="9"/>
  <c r="D2306" i="9"/>
  <c r="E2306" i="9"/>
  <c r="J2306" i="9" s="1"/>
  <c r="G2306" i="9"/>
  <c r="H2306" i="9"/>
  <c r="D2307" i="9"/>
  <c r="E2307" i="9"/>
  <c r="G2307" i="9" s="1"/>
  <c r="H2307" i="9"/>
  <c r="D2308" i="9"/>
  <c r="E2308" i="9"/>
  <c r="G2308" i="9" s="1"/>
  <c r="H2308" i="9"/>
  <c r="D2309" i="9"/>
  <c r="E2309" i="9"/>
  <c r="G2309" i="9" s="1"/>
  <c r="H2309" i="9"/>
  <c r="J2309" i="9"/>
  <c r="D2310" i="9"/>
  <c r="E2310" i="9"/>
  <c r="J2310" i="9" s="1"/>
  <c r="G2310" i="9"/>
  <c r="H2310" i="9"/>
  <c r="D2311" i="9"/>
  <c r="E2311" i="9"/>
  <c r="G2311" i="9" s="1"/>
  <c r="H2311" i="9"/>
  <c r="J2311" i="9"/>
  <c r="D2312" i="9"/>
  <c r="E2312" i="9"/>
  <c r="G2312" i="9" s="1"/>
  <c r="H2312" i="9"/>
  <c r="J2312" i="9"/>
  <c r="D2313" i="9"/>
  <c r="E2313" i="9"/>
  <c r="G2313" i="9" s="1"/>
  <c r="H2313" i="9"/>
  <c r="D2314" i="9"/>
  <c r="E2314" i="9"/>
  <c r="G2314" i="9" s="1"/>
  <c r="H2314" i="9"/>
  <c r="D2315" i="9"/>
  <c r="E2315" i="9"/>
  <c r="H2315" i="9"/>
  <c r="D2316" i="9"/>
  <c r="E2316" i="9"/>
  <c r="J2316" i="9" s="1"/>
  <c r="G2316" i="9"/>
  <c r="H2316" i="9"/>
  <c r="D2317" i="9"/>
  <c r="E2317" i="9"/>
  <c r="J2317" i="9" s="1"/>
  <c r="H2317" i="9"/>
  <c r="D2318" i="9"/>
  <c r="E2318" i="9"/>
  <c r="J2318" i="9" s="1"/>
  <c r="G2318" i="9"/>
  <c r="H2318" i="9"/>
  <c r="D2319" i="9"/>
  <c r="E2319" i="9"/>
  <c r="G2319" i="9" s="1"/>
  <c r="H2319" i="9"/>
  <c r="D2320" i="9"/>
  <c r="E2320" i="9"/>
  <c r="G2320" i="9" s="1"/>
  <c r="H2320" i="9"/>
  <c r="D2321" i="9"/>
  <c r="E2321" i="9"/>
  <c r="G2321" i="9" s="1"/>
  <c r="H2321" i="9"/>
  <c r="J2321" i="9"/>
  <c r="D2322" i="9"/>
  <c r="E2322" i="9"/>
  <c r="J2322" i="9" s="1"/>
  <c r="G2322" i="9"/>
  <c r="H2322" i="9"/>
  <c r="D2323" i="9"/>
  <c r="E2323" i="9"/>
  <c r="G2323" i="9" s="1"/>
  <c r="H2323" i="9"/>
  <c r="J2323" i="9"/>
  <c r="D2324" i="9"/>
  <c r="E2324" i="9"/>
  <c r="G2324" i="9" s="1"/>
  <c r="H2324" i="9"/>
  <c r="J2324" i="9"/>
  <c r="D2325" i="9"/>
  <c r="E2325" i="9"/>
  <c r="G2325" i="9" s="1"/>
  <c r="H2325" i="9"/>
  <c r="D2326" i="9"/>
  <c r="E2326" i="9"/>
  <c r="G2326" i="9" s="1"/>
  <c r="H2326" i="9"/>
  <c r="D2327" i="9"/>
  <c r="E2327" i="9"/>
  <c r="H2327" i="9"/>
  <c r="D2328" i="9"/>
  <c r="E2328" i="9"/>
  <c r="J2328" i="9" s="1"/>
  <c r="G2328" i="9"/>
  <c r="H2328" i="9"/>
  <c r="D2329" i="9"/>
  <c r="E2329" i="9"/>
  <c r="J2329" i="9" s="1"/>
  <c r="G2329" i="9"/>
  <c r="H2329" i="9"/>
  <c r="D2330" i="9"/>
  <c r="E2330" i="9"/>
  <c r="J2330" i="9" s="1"/>
  <c r="G2330" i="9"/>
  <c r="H2330" i="9"/>
  <c r="D2331" i="9"/>
  <c r="E2331" i="9"/>
  <c r="G2331" i="9" s="1"/>
  <c r="H2331" i="9"/>
  <c r="D2332" i="9"/>
  <c r="E2332" i="9"/>
  <c r="G2332" i="9" s="1"/>
  <c r="H2332" i="9"/>
  <c r="D2333" i="9"/>
  <c r="E2333" i="9"/>
  <c r="G2333" i="9" s="1"/>
  <c r="H2333" i="9"/>
  <c r="J2333" i="9"/>
  <c r="D2334" i="9"/>
  <c r="E2334" i="9"/>
  <c r="J2334" i="9" s="1"/>
  <c r="G2334" i="9"/>
  <c r="H2334" i="9"/>
  <c r="D2335" i="9"/>
  <c r="E2335" i="9"/>
  <c r="G2335" i="9" s="1"/>
  <c r="H2335" i="9"/>
  <c r="J2335" i="9"/>
  <c r="D2336" i="9"/>
  <c r="E2336" i="9"/>
  <c r="G2336" i="9" s="1"/>
  <c r="H2336" i="9"/>
  <c r="J2336" i="9"/>
  <c r="D2337" i="9"/>
  <c r="E2337" i="9"/>
  <c r="G2337" i="9" s="1"/>
  <c r="H2337" i="9"/>
  <c r="D2338" i="9"/>
  <c r="E2338" i="9"/>
  <c r="G2338" i="9" s="1"/>
  <c r="H2338" i="9"/>
  <c r="D2339" i="9"/>
  <c r="E2339" i="9"/>
  <c r="H2339" i="9"/>
  <c r="D2340" i="9"/>
  <c r="E2340" i="9"/>
  <c r="J2340" i="9" s="1"/>
  <c r="G2340" i="9"/>
  <c r="H2340" i="9"/>
  <c r="D2341" i="9"/>
  <c r="E2341" i="9"/>
  <c r="J2341" i="9" s="1"/>
  <c r="G2341" i="9"/>
  <c r="H2341" i="9"/>
  <c r="D2342" i="9"/>
  <c r="E2342" i="9"/>
  <c r="J2342" i="9" s="1"/>
  <c r="G2342" i="9"/>
  <c r="H2342" i="9"/>
  <c r="D2343" i="9"/>
  <c r="E2343" i="9"/>
  <c r="G2343" i="9" s="1"/>
  <c r="H2343" i="9"/>
  <c r="D2344" i="9"/>
  <c r="E2344" i="9"/>
  <c r="G2344" i="9" s="1"/>
  <c r="H2344" i="9"/>
  <c r="D2345" i="9"/>
  <c r="E2345" i="9"/>
  <c r="G2345" i="9" s="1"/>
  <c r="H2345" i="9"/>
  <c r="J2345" i="9"/>
  <c r="D2346" i="9"/>
  <c r="E2346" i="9"/>
  <c r="J2346" i="9" s="1"/>
  <c r="H2346" i="9"/>
  <c r="D2347" i="9"/>
  <c r="E2347" i="9"/>
  <c r="G2347" i="9" s="1"/>
  <c r="H2347" i="9"/>
  <c r="J2347" i="9"/>
  <c r="D2348" i="9"/>
  <c r="E2348" i="9"/>
  <c r="G2348" i="9" s="1"/>
  <c r="H2348" i="9"/>
  <c r="J2348" i="9"/>
  <c r="D2349" i="9"/>
  <c r="E2349" i="9"/>
  <c r="G2349" i="9" s="1"/>
  <c r="H2349" i="9"/>
  <c r="D2350" i="9"/>
  <c r="E2350" i="9"/>
  <c r="G2350" i="9" s="1"/>
  <c r="H2350" i="9"/>
  <c r="D2351" i="9"/>
  <c r="E2351" i="9"/>
  <c r="H2351" i="9"/>
  <c r="D2352" i="9"/>
  <c r="E2352" i="9"/>
  <c r="J2352" i="9" s="1"/>
  <c r="G2352" i="9"/>
  <c r="H2352" i="9"/>
  <c r="D2353" i="9"/>
  <c r="E2353" i="9"/>
  <c r="J2353" i="9" s="1"/>
  <c r="G2353" i="9"/>
  <c r="H2353" i="9"/>
  <c r="D2354" i="9"/>
  <c r="E2354" i="9"/>
  <c r="J2354" i="9" s="1"/>
  <c r="G2354" i="9"/>
  <c r="H2354" i="9"/>
  <c r="D2355" i="9"/>
  <c r="E2355" i="9"/>
  <c r="G2355" i="9" s="1"/>
  <c r="H2355" i="9"/>
  <c r="D2356" i="9"/>
  <c r="E2356" i="9"/>
  <c r="G2356" i="9" s="1"/>
  <c r="H2356" i="9"/>
  <c r="D2357" i="9"/>
  <c r="E2357" i="9"/>
  <c r="G2357" i="9" s="1"/>
  <c r="H2357" i="9"/>
  <c r="J2357" i="9"/>
  <c r="D2358" i="9"/>
  <c r="E2358" i="9"/>
  <c r="J2358" i="9" s="1"/>
  <c r="H2358" i="9"/>
  <c r="D2359" i="9"/>
  <c r="E2359" i="9"/>
  <c r="G2359" i="9" s="1"/>
  <c r="H2359" i="9"/>
  <c r="J2359" i="9"/>
  <c r="D2360" i="9"/>
  <c r="E2360" i="9"/>
  <c r="G2360" i="9" s="1"/>
  <c r="H2360" i="9"/>
  <c r="J2360" i="9"/>
  <c r="D2361" i="9"/>
  <c r="E2361" i="9"/>
  <c r="G2361" i="9" s="1"/>
  <c r="H2361" i="9"/>
  <c r="D2362" i="9"/>
  <c r="E2362" i="9"/>
  <c r="G2362" i="9" s="1"/>
  <c r="H2362" i="9"/>
  <c r="D2363" i="9"/>
  <c r="E2363" i="9"/>
  <c r="H2363" i="9"/>
  <c r="D2364" i="9"/>
  <c r="E2364" i="9"/>
  <c r="J2364" i="9" s="1"/>
  <c r="G2364" i="9"/>
  <c r="H2364" i="9"/>
  <c r="D2365" i="9"/>
  <c r="E2365" i="9"/>
  <c r="J2365" i="9" s="1"/>
  <c r="G2365" i="9"/>
  <c r="H2365" i="9"/>
  <c r="D2366" i="9"/>
  <c r="E2366" i="9"/>
  <c r="J2366" i="9" s="1"/>
  <c r="G2366" i="9"/>
  <c r="H2366" i="9"/>
  <c r="D2367" i="9"/>
  <c r="E2367" i="9"/>
  <c r="G2367" i="9" s="1"/>
  <c r="H2367" i="9"/>
  <c r="D2368" i="9"/>
  <c r="E2368" i="9"/>
  <c r="G2368" i="9" s="1"/>
  <c r="H2368" i="9"/>
  <c r="D2369" i="9"/>
  <c r="E2369" i="9"/>
  <c r="G2369" i="9" s="1"/>
  <c r="H2369" i="9"/>
  <c r="J2369" i="9"/>
  <c r="D2370" i="9"/>
  <c r="E2370" i="9"/>
  <c r="J2370" i="9" s="1"/>
  <c r="H2370" i="9"/>
  <c r="D2371" i="9"/>
  <c r="E2371" i="9"/>
  <c r="G2371" i="9" s="1"/>
  <c r="J2371" i="9"/>
  <c r="D2372" i="9"/>
  <c r="E2372" i="9"/>
  <c r="G2372" i="9"/>
  <c r="H2372" i="9"/>
  <c r="J2372" i="9"/>
  <c r="D2373" i="9"/>
  <c r="E2373" i="9"/>
  <c r="G2373" i="9" s="1"/>
  <c r="H2373" i="9"/>
  <c r="J2373" i="9"/>
  <c r="D2374" i="9"/>
  <c r="E2374" i="9"/>
  <c r="G2374" i="9" s="1"/>
  <c r="H2374" i="9"/>
  <c r="D2375" i="9"/>
  <c r="E2375" i="9"/>
  <c r="J2375" i="9" s="1"/>
  <c r="G2375" i="9"/>
  <c r="H2375" i="9"/>
  <c r="D2376" i="9"/>
  <c r="E2376" i="9"/>
  <c r="G2376" i="9" s="1"/>
  <c r="H2376" i="9"/>
  <c r="J2376" i="9"/>
  <c r="D2377" i="9"/>
  <c r="E2377" i="9"/>
  <c r="G2377" i="9" s="1"/>
  <c r="H2377" i="9"/>
  <c r="D2378" i="9"/>
  <c r="E2378" i="9"/>
  <c r="G2378" i="9" s="1"/>
  <c r="H2378" i="9"/>
  <c r="D2379" i="9"/>
  <c r="E2379" i="9"/>
  <c r="G2379" i="9" s="1"/>
  <c r="H2379" i="9"/>
  <c r="D2380" i="9"/>
  <c r="E2380" i="9"/>
  <c r="H2380" i="9"/>
  <c r="D2381" i="9"/>
  <c r="E2381" i="9"/>
  <c r="J2381" i="9" s="1"/>
  <c r="H2381" i="9"/>
  <c r="D2382" i="9"/>
  <c r="E2382" i="9"/>
  <c r="J2382" i="9" s="1"/>
  <c r="H2382" i="9"/>
  <c r="D3099" i="9"/>
  <c r="E3099" i="9"/>
  <c r="G3099" i="9"/>
  <c r="H3099" i="9"/>
  <c r="J3099" i="9"/>
  <c r="D3100" i="9"/>
  <c r="E3100" i="9"/>
  <c r="G3100" i="9"/>
  <c r="H3100" i="9"/>
  <c r="J3100" i="9"/>
  <c r="D3101" i="9"/>
  <c r="E3101" i="9"/>
  <c r="G3101" i="9" s="1"/>
  <c r="H3101" i="9"/>
  <c r="J3101" i="9"/>
  <c r="D3102" i="9"/>
  <c r="E3102" i="9"/>
  <c r="G3102" i="9" s="1"/>
  <c r="H3102" i="9"/>
  <c r="D3103" i="9"/>
  <c r="E3103" i="9"/>
  <c r="J3103" i="9" s="1"/>
  <c r="G3103" i="9"/>
  <c r="H3103" i="9"/>
  <c r="D3104" i="9"/>
  <c r="E3104" i="9"/>
  <c r="G3104" i="9" s="1"/>
  <c r="H3104" i="9"/>
  <c r="J3104" i="9"/>
  <c r="D3105" i="9"/>
  <c r="E3105" i="9"/>
  <c r="G3105" i="9" s="1"/>
  <c r="H3105" i="9"/>
  <c r="D3106" i="9"/>
  <c r="E3106" i="9"/>
  <c r="G3106" i="9" s="1"/>
  <c r="H3106" i="9"/>
  <c r="D3107" i="9"/>
  <c r="E3107" i="9"/>
  <c r="G3107" i="9" s="1"/>
  <c r="H3107" i="9"/>
  <c r="D3108" i="9"/>
  <c r="E3108" i="9"/>
  <c r="H3108" i="9"/>
  <c r="D3109" i="9"/>
  <c r="E3109" i="9"/>
  <c r="J3109" i="9" s="1"/>
  <c r="H3109" i="9"/>
  <c r="D3110" i="9"/>
  <c r="E3110" i="9"/>
  <c r="J3110" i="9" s="1"/>
  <c r="H3110" i="9"/>
  <c r="D3111" i="9"/>
  <c r="E3111" i="9"/>
  <c r="G3111" i="9"/>
  <c r="H3111" i="9"/>
  <c r="J3111" i="9"/>
  <c r="D3112" i="9"/>
  <c r="E3112" i="9"/>
  <c r="G3112" i="9"/>
  <c r="H3112" i="9"/>
  <c r="J3112" i="9"/>
  <c r="D3113" i="9"/>
  <c r="E3113" i="9"/>
  <c r="G3113" i="9" s="1"/>
  <c r="H3113" i="9"/>
  <c r="J3113" i="9"/>
  <c r="D3114" i="9"/>
  <c r="E3114" i="9"/>
  <c r="G3114" i="9" s="1"/>
  <c r="H3114" i="9"/>
  <c r="D3115" i="9"/>
  <c r="E3115" i="9"/>
  <c r="J3115" i="9" s="1"/>
  <c r="H3115" i="9"/>
  <c r="D3116" i="9"/>
  <c r="E3116" i="9"/>
  <c r="G3116" i="9" s="1"/>
  <c r="H3116" i="9"/>
  <c r="D3117" i="9"/>
  <c r="E3117" i="9"/>
  <c r="G3117" i="9" s="1"/>
  <c r="H3117" i="9"/>
  <c r="J3117" i="9"/>
  <c r="D3118" i="9"/>
  <c r="E3118" i="9"/>
  <c r="G3118" i="9" s="1"/>
  <c r="H3118" i="9"/>
  <c r="D3119" i="9"/>
  <c r="E3119" i="9"/>
  <c r="G3119" i="9" s="1"/>
  <c r="H3119" i="9"/>
  <c r="D3120" i="9"/>
  <c r="E3120" i="9"/>
  <c r="H3120" i="9"/>
  <c r="D3121" i="9"/>
  <c r="E3121" i="9"/>
  <c r="J3121" i="9" s="1"/>
  <c r="G3121" i="9"/>
  <c r="H3121" i="9"/>
  <c r="D3122" i="9"/>
  <c r="E3122" i="9"/>
  <c r="J3122" i="9" s="1"/>
  <c r="G3122" i="9"/>
  <c r="H3122" i="9"/>
  <c r="D3123" i="9"/>
  <c r="E3123" i="9"/>
  <c r="J3123" i="9" s="1"/>
  <c r="G3123" i="9"/>
  <c r="H3123" i="9"/>
  <c r="D3124" i="9"/>
  <c r="E3124" i="9"/>
  <c r="G3124" i="9" s="1"/>
  <c r="H3124" i="9"/>
  <c r="J3125" i="9"/>
  <c r="J3126" i="9"/>
  <c r="J3127" i="9"/>
  <c r="J3128" i="9"/>
  <c r="J3129" i="9"/>
  <c r="J3130" i="9"/>
  <c r="J3131" i="9"/>
  <c r="J3132" i="9"/>
  <c r="J3133" i="9"/>
  <c r="J3134" i="9"/>
  <c r="J3135" i="9"/>
  <c r="J3136" i="9"/>
  <c r="J3137" i="9"/>
  <c r="J3138" i="9"/>
  <c r="J3139" i="9"/>
  <c r="J3140" i="9"/>
  <c r="J3141" i="9"/>
  <c r="J3142" i="9"/>
  <c r="J3143" i="9"/>
  <c r="J3144" i="9"/>
  <c r="J3145" i="9"/>
  <c r="J3146" i="9"/>
  <c r="J3147" i="9"/>
  <c r="J3148" i="9"/>
  <c r="J3149" i="9"/>
  <c r="J3150" i="9"/>
  <c r="J3151" i="9"/>
  <c r="J3152" i="9"/>
  <c r="J3153" i="9"/>
  <c r="J3154" i="9"/>
  <c r="J3155" i="9"/>
  <c r="J3156" i="9"/>
  <c r="J3157" i="9"/>
  <c r="J3158" i="9"/>
  <c r="J3159" i="9"/>
  <c r="J3160" i="9"/>
  <c r="J3161" i="9"/>
  <c r="J3162" i="9"/>
  <c r="J3163" i="9"/>
  <c r="J3164" i="9"/>
  <c r="J3165" i="9"/>
  <c r="J3166" i="9"/>
  <c r="J3167" i="9"/>
  <c r="J3168" i="9"/>
  <c r="J3169" i="9"/>
  <c r="J3170" i="9"/>
  <c r="J3171" i="9"/>
  <c r="J3172" i="9"/>
  <c r="J3173" i="9"/>
  <c r="J3174" i="9"/>
  <c r="J3175" i="9"/>
  <c r="J3176" i="9"/>
  <c r="J3177" i="9"/>
  <c r="J3178" i="9"/>
  <c r="J3179" i="9"/>
  <c r="J3180" i="9"/>
  <c r="J3181" i="9"/>
  <c r="J3182" i="9"/>
  <c r="J3183" i="9"/>
  <c r="J3184" i="9"/>
  <c r="A2" i="7"/>
  <c r="W2" i="7"/>
  <c r="X2" i="7"/>
  <c r="A3" i="7"/>
  <c r="W3" i="7"/>
  <c r="X3" i="7" s="1"/>
  <c r="A4" i="7"/>
  <c r="W4" i="7"/>
  <c r="X4" i="7"/>
  <c r="A5" i="7"/>
  <c r="W5" i="7"/>
  <c r="X5" i="7"/>
  <c r="A6" i="7"/>
  <c r="W6" i="7"/>
  <c r="X6" i="7"/>
  <c r="A7" i="7"/>
  <c r="W7" i="7"/>
  <c r="X7" i="7" s="1"/>
  <c r="A8" i="7"/>
  <c r="W8" i="7"/>
  <c r="X8" i="7"/>
  <c r="A9" i="7"/>
  <c r="W9" i="7"/>
  <c r="X9" i="7"/>
  <c r="A10" i="7"/>
  <c r="W10" i="7"/>
  <c r="X10" i="7"/>
  <c r="A11" i="7"/>
  <c r="W11" i="7"/>
  <c r="X11" i="7"/>
  <c r="A12" i="7"/>
  <c r="W12" i="7"/>
  <c r="X12" i="7"/>
  <c r="A13" i="7"/>
  <c r="W13" i="7"/>
  <c r="X13" i="7"/>
  <c r="A14" i="7"/>
  <c r="W14" i="7"/>
  <c r="X14" i="7"/>
  <c r="A15" i="7"/>
  <c r="W15" i="7"/>
  <c r="X15" i="7"/>
  <c r="A16" i="7"/>
  <c r="W16" i="7"/>
  <c r="X16" i="7"/>
  <c r="A17" i="7"/>
  <c r="W17" i="7"/>
  <c r="X17" i="7"/>
  <c r="A18" i="7"/>
  <c r="W18" i="7"/>
  <c r="X18" i="7"/>
  <c r="A19" i="7"/>
  <c r="W19" i="7"/>
  <c r="X19" i="7" s="1"/>
  <c r="A20" i="7"/>
  <c r="W20" i="7"/>
  <c r="X20" i="7"/>
  <c r="A21" i="7"/>
  <c r="W21" i="7"/>
  <c r="X21" i="7"/>
  <c r="A22" i="7"/>
  <c r="W22" i="7"/>
  <c r="X22" i="7"/>
  <c r="A23" i="7"/>
  <c r="W23" i="7"/>
  <c r="X23" i="7" s="1"/>
  <c r="A24" i="7"/>
  <c r="W24" i="7"/>
  <c r="X24" i="7"/>
  <c r="A25" i="7"/>
  <c r="W25" i="7"/>
  <c r="X25" i="7"/>
  <c r="A26" i="7"/>
  <c r="W26" i="7"/>
  <c r="X26" i="7"/>
  <c r="A27" i="7"/>
  <c r="W27" i="7"/>
  <c r="X27" i="7" s="1"/>
  <c r="A28" i="7"/>
  <c r="W28" i="7"/>
  <c r="X28" i="7"/>
  <c r="A29" i="7"/>
  <c r="W29" i="7"/>
  <c r="X29" i="7"/>
  <c r="A30" i="7"/>
  <c r="W30" i="7"/>
  <c r="X30" i="7"/>
  <c r="A31" i="7"/>
  <c r="W31" i="7"/>
  <c r="X31" i="7"/>
  <c r="A32" i="7"/>
  <c r="W32" i="7"/>
  <c r="X32" i="7" s="1"/>
  <c r="A33" i="7"/>
  <c r="W33" i="7"/>
  <c r="X33" i="7"/>
  <c r="A34" i="7"/>
  <c r="W34" i="7"/>
  <c r="X34" i="7"/>
  <c r="A35" i="7"/>
  <c r="W35" i="7"/>
  <c r="X35" i="7"/>
  <c r="A36" i="7"/>
  <c r="W36" i="7"/>
  <c r="X36" i="7" s="1"/>
  <c r="A37" i="7"/>
  <c r="W37" i="7"/>
  <c r="X37" i="7"/>
  <c r="A38" i="7"/>
  <c r="W38" i="7"/>
  <c r="X38" i="7"/>
  <c r="A39" i="7"/>
  <c r="W39" i="7"/>
  <c r="X39" i="7"/>
  <c r="A40" i="7"/>
  <c r="W40" i="7"/>
  <c r="X40" i="7"/>
  <c r="A41" i="7"/>
  <c r="W41" i="7"/>
  <c r="X41" i="7"/>
  <c r="A42" i="7"/>
  <c r="W42" i="7"/>
  <c r="X42" i="7"/>
  <c r="A43" i="7"/>
  <c r="W43" i="7"/>
  <c r="X43" i="7"/>
  <c r="A44" i="7"/>
  <c r="W44" i="7"/>
  <c r="X44" i="7"/>
  <c r="A45" i="7"/>
  <c r="W45" i="7"/>
  <c r="X45" i="7"/>
  <c r="A46" i="7"/>
  <c r="W46" i="7"/>
  <c r="X46" i="7"/>
  <c r="A47" i="7"/>
  <c r="W47" i="7"/>
  <c r="X47" i="7"/>
  <c r="A48" i="7"/>
  <c r="W48" i="7"/>
  <c r="X48" i="7"/>
  <c r="A49" i="7"/>
  <c r="W49" i="7"/>
  <c r="X49" i="7"/>
  <c r="A50" i="7"/>
  <c r="W50" i="7"/>
  <c r="X50" i="7"/>
  <c r="A51" i="7"/>
  <c r="W51" i="7"/>
  <c r="X51" i="7"/>
  <c r="A52" i="7"/>
  <c r="W52" i="7"/>
  <c r="X52" i="7"/>
  <c r="A53" i="7"/>
  <c r="W53" i="7"/>
  <c r="X53" i="7"/>
  <c r="A54" i="7"/>
  <c r="W54" i="7"/>
  <c r="X54" i="7"/>
  <c r="A55" i="7"/>
  <c r="W55" i="7"/>
  <c r="X55" i="7"/>
  <c r="A56" i="7"/>
  <c r="W56" i="7"/>
  <c r="X56" i="7"/>
  <c r="A57" i="7"/>
  <c r="W57" i="7"/>
  <c r="X57" i="7"/>
  <c r="A58" i="7"/>
  <c r="W58" i="7"/>
  <c r="X58" i="7"/>
  <c r="A59" i="7"/>
  <c r="W59" i="7"/>
  <c r="X59" i="7"/>
  <c r="A60" i="7"/>
  <c r="W60" i="7"/>
  <c r="X60" i="7" s="1"/>
  <c r="A61" i="7"/>
  <c r="W61" i="7"/>
  <c r="X61" i="7"/>
  <c r="A62" i="7"/>
  <c r="W62" i="7"/>
  <c r="X62" i="7"/>
  <c r="A63" i="7"/>
  <c r="W63" i="7"/>
  <c r="X63" i="7" s="1"/>
  <c r="A64" i="7"/>
  <c r="W64" i="7"/>
  <c r="X64" i="7"/>
  <c r="A65" i="7"/>
  <c r="W65" i="7"/>
  <c r="X65" i="7"/>
  <c r="A66" i="7"/>
  <c r="W66" i="7"/>
  <c r="X66" i="7"/>
  <c r="A67" i="7"/>
  <c r="W67" i="7"/>
  <c r="X67" i="7"/>
  <c r="A68" i="7"/>
  <c r="W68" i="7"/>
  <c r="X68" i="7"/>
  <c r="A69" i="7"/>
  <c r="W69" i="7"/>
  <c r="X69" i="7"/>
  <c r="A70" i="7"/>
  <c r="W70" i="7"/>
  <c r="X70" i="7"/>
  <c r="A71" i="7"/>
  <c r="W71" i="7"/>
  <c r="X71" i="7" s="1"/>
  <c r="A72" i="7"/>
  <c r="W72" i="7"/>
  <c r="X72" i="7"/>
  <c r="A73" i="7"/>
  <c r="W73" i="7"/>
  <c r="X73" i="7"/>
  <c r="A74" i="7"/>
  <c r="W74" i="7"/>
  <c r="X74" i="7"/>
  <c r="A75" i="7"/>
  <c r="W75" i="7"/>
  <c r="X75" i="7" s="1"/>
  <c r="A76" i="7"/>
  <c r="W76" i="7"/>
  <c r="X76" i="7"/>
  <c r="A77" i="7"/>
  <c r="W77" i="7"/>
  <c r="X77" i="7"/>
  <c r="A78" i="7"/>
  <c r="W78" i="7"/>
  <c r="X78" i="7"/>
  <c r="A79" i="7"/>
  <c r="W79" i="7"/>
  <c r="X79" i="7" s="1"/>
  <c r="A80" i="7"/>
  <c r="W80" i="7"/>
  <c r="X80" i="7"/>
  <c r="A81" i="7"/>
  <c r="W81" i="7"/>
  <c r="X81" i="7"/>
  <c r="A82" i="7"/>
  <c r="W82" i="7"/>
  <c r="X82" i="7"/>
  <c r="A83" i="7"/>
  <c r="W83" i="7"/>
  <c r="X83" i="7" s="1"/>
  <c r="A84" i="7"/>
  <c r="W84" i="7"/>
  <c r="X84" i="7"/>
  <c r="A85" i="7"/>
  <c r="W85" i="7"/>
  <c r="X85" i="7"/>
  <c r="A86" i="7"/>
  <c r="W86" i="7"/>
  <c r="X86" i="7"/>
  <c r="A87" i="7"/>
  <c r="W87" i="7"/>
  <c r="X87" i="7" s="1"/>
  <c r="A88" i="7"/>
  <c r="W88" i="7"/>
  <c r="X88" i="7" s="1"/>
  <c r="A89" i="7"/>
  <c r="W89" i="7"/>
  <c r="X89" i="7"/>
  <c r="A90" i="7"/>
  <c r="W90" i="7"/>
  <c r="X90" i="7"/>
  <c r="A91" i="7"/>
  <c r="W91" i="7"/>
  <c r="X91" i="7"/>
  <c r="A92" i="7"/>
  <c r="W92" i="7"/>
  <c r="X92" i="7"/>
  <c r="A93" i="7"/>
  <c r="W93" i="7"/>
  <c r="X93" i="7"/>
  <c r="A94" i="7"/>
  <c r="W94" i="7"/>
  <c r="X94" i="7"/>
  <c r="A95" i="7"/>
  <c r="W95" i="7"/>
  <c r="X95" i="7"/>
  <c r="A96" i="7"/>
  <c r="W96" i="7"/>
  <c r="X96" i="7"/>
  <c r="A97" i="7"/>
  <c r="W97" i="7"/>
  <c r="X97" i="7"/>
  <c r="A98" i="7"/>
  <c r="W98" i="7"/>
  <c r="X98" i="7"/>
  <c r="A99" i="7"/>
  <c r="W99" i="7"/>
  <c r="X99" i="7" s="1"/>
  <c r="A100" i="7"/>
  <c r="W100" i="7"/>
  <c r="X100" i="7"/>
  <c r="A101" i="7"/>
  <c r="W101" i="7"/>
  <c r="X101" i="7"/>
  <c r="A102" i="7"/>
  <c r="W102" i="7"/>
  <c r="X102" i="7"/>
  <c r="A103" i="7"/>
  <c r="W103" i="7"/>
  <c r="X103" i="7" s="1"/>
  <c r="A104" i="7"/>
  <c r="W104" i="7"/>
  <c r="X104" i="7"/>
  <c r="A105" i="7"/>
  <c r="W105" i="7"/>
  <c r="X105" i="7"/>
  <c r="A106" i="7"/>
  <c r="W106" i="7"/>
  <c r="X106" i="7"/>
  <c r="A107" i="7"/>
  <c r="W107" i="7"/>
  <c r="X107" i="7"/>
  <c r="A108" i="7"/>
  <c r="W108" i="7"/>
  <c r="X108" i="7" s="1"/>
  <c r="A109" i="7"/>
  <c r="W109" i="7"/>
  <c r="X109" i="7"/>
  <c r="A110" i="7"/>
  <c r="W110" i="7"/>
  <c r="X110" i="7"/>
  <c r="A111" i="7"/>
  <c r="W111" i="7"/>
  <c r="X111" i="7"/>
  <c r="A112" i="7"/>
  <c r="W112" i="7"/>
  <c r="X112" i="7"/>
  <c r="A113" i="7"/>
  <c r="W113" i="7"/>
  <c r="X113" i="7"/>
  <c r="A114" i="7"/>
  <c r="W114" i="7"/>
  <c r="X114" i="7"/>
  <c r="A115" i="7"/>
  <c r="W115" i="7"/>
  <c r="X115" i="7" s="1"/>
  <c r="A116" i="7"/>
  <c r="W116" i="7"/>
  <c r="X116" i="7"/>
  <c r="A117" i="7"/>
  <c r="W117" i="7"/>
  <c r="X117" i="7"/>
  <c r="A118" i="7"/>
  <c r="W118" i="7"/>
  <c r="X118" i="7"/>
  <c r="A119" i="7"/>
  <c r="W119" i="7"/>
  <c r="X119" i="7" s="1"/>
  <c r="A120" i="7"/>
  <c r="W120" i="7"/>
  <c r="X120" i="7"/>
  <c r="A121" i="7"/>
  <c r="W121" i="7"/>
  <c r="X121" i="7"/>
  <c r="A122" i="7"/>
  <c r="W122" i="7"/>
  <c r="X122" i="7"/>
  <c r="A123" i="7"/>
  <c r="W123" i="7"/>
  <c r="X123" i="7"/>
  <c r="A124" i="7"/>
  <c r="W124" i="7"/>
  <c r="X124" i="7" s="1"/>
  <c r="A125" i="7"/>
  <c r="W125" i="7"/>
  <c r="X125" i="7"/>
  <c r="A126" i="7"/>
  <c r="W126" i="7"/>
  <c r="X126" i="7"/>
  <c r="A127" i="7"/>
  <c r="W127" i="7"/>
  <c r="X127" i="7" s="1"/>
  <c r="A128" i="7"/>
  <c r="W128" i="7"/>
  <c r="X128" i="7"/>
  <c r="A129" i="7"/>
  <c r="W129" i="7"/>
  <c r="X129" i="7"/>
  <c r="A130" i="7"/>
  <c r="W130" i="7"/>
  <c r="X130" i="7"/>
  <c r="A131" i="7"/>
  <c r="W131" i="7"/>
  <c r="X131" i="7"/>
  <c r="A132" i="7"/>
  <c r="W132" i="7"/>
  <c r="X132" i="7" s="1"/>
  <c r="A133" i="7"/>
  <c r="W133" i="7"/>
  <c r="X133" i="7"/>
  <c r="A134" i="7"/>
  <c r="W134" i="7"/>
  <c r="X134" i="7"/>
  <c r="A135" i="7"/>
  <c r="W135" i="7"/>
  <c r="X135" i="7"/>
  <c r="A136" i="7"/>
  <c r="W136" i="7"/>
  <c r="X136" i="7" s="1"/>
  <c r="A137" i="7"/>
  <c r="W137" i="7"/>
  <c r="X137" i="7"/>
  <c r="A138" i="7"/>
  <c r="W138" i="7"/>
  <c r="X138" i="7"/>
  <c r="A139" i="7"/>
  <c r="W139" i="7"/>
  <c r="X139" i="7" s="1"/>
  <c r="A140" i="7"/>
  <c r="W140" i="7"/>
  <c r="X140" i="7" s="1"/>
  <c r="A141" i="7"/>
  <c r="W141" i="7"/>
  <c r="X141" i="7"/>
  <c r="A142" i="7"/>
  <c r="W142" i="7"/>
  <c r="X142" i="7"/>
  <c r="A143" i="7"/>
  <c r="W143" i="7"/>
  <c r="X143" i="7"/>
  <c r="A144" i="7"/>
  <c r="W144" i="7"/>
  <c r="X144" i="7" s="1"/>
  <c r="A145" i="7"/>
  <c r="W145" i="7"/>
  <c r="X145" i="7"/>
  <c r="A146" i="7"/>
  <c r="W146" i="7"/>
  <c r="X146" i="7"/>
  <c r="A147" i="7"/>
  <c r="W147" i="7"/>
  <c r="X147" i="7" s="1"/>
  <c r="A148" i="7"/>
  <c r="W148" i="7"/>
  <c r="X148" i="7"/>
  <c r="A149" i="7"/>
  <c r="W149" i="7"/>
  <c r="X149" i="7"/>
  <c r="A150" i="7"/>
  <c r="W150" i="7"/>
  <c r="X150" i="7"/>
  <c r="A151" i="7"/>
  <c r="W151" i="7"/>
  <c r="X151" i="7"/>
  <c r="A152" i="7"/>
  <c r="W152" i="7"/>
  <c r="X152" i="7"/>
  <c r="A153" i="7"/>
  <c r="W153" i="7"/>
  <c r="X153" i="7"/>
  <c r="A154" i="7"/>
  <c r="W154" i="7"/>
  <c r="X154" i="7"/>
  <c r="A155" i="7"/>
  <c r="W155" i="7"/>
  <c r="X155" i="7" s="1"/>
  <c r="A156" i="7"/>
  <c r="W156" i="7"/>
  <c r="X156" i="7" s="1"/>
  <c r="A157" i="7"/>
  <c r="W157" i="7"/>
  <c r="X157" i="7"/>
  <c r="A158" i="7"/>
  <c r="W158" i="7"/>
  <c r="X158" i="7"/>
  <c r="A159" i="7"/>
  <c r="W159" i="7"/>
  <c r="X159" i="7" s="1"/>
  <c r="A160" i="7"/>
  <c r="W160" i="7"/>
  <c r="X160" i="7"/>
  <c r="A161" i="7"/>
  <c r="W161" i="7"/>
  <c r="X161" i="7"/>
  <c r="A162" i="7"/>
  <c r="W162" i="7"/>
  <c r="X162" i="7"/>
  <c r="A163" i="7"/>
  <c r="W163" i="7"/>
  <c r="X163" i="7"/>
  <c r="A164" i="7"/>
  <c r="W164" i="7"/>
  <c r="X164" i="7"/>
  <c r="A165" i="7"/>
  <c r="W165" i="7"/>
  <c r="X165" i="7"/>
  <c r="A166" i="7"/>
  <c r="W166" i="7"/>
  <c r="X166" i="7"/>
  <c r="A167" i="7"/>
  <c r="W167" i="7"/>
  <c r="X167" i="7"/>
  <c r="A168" i="7"/>
  <c r="W168" i="7"/>
  <c r="X168" i="7"/>
  <c r="A169" i="7"/>
  <c r="W169" i="7"/>
  <c r="X169" i="7"/>
  <c r="A170" i="7"/>
  <c r="W170" i="7"/>
  <c r="X170" i="7"/>
  <c r="A171" i="7"/>
  <c r="W171" i="7"/>
  <c r="X171" i="7"/>
  <c r="A172" i="7"/>
  <c r="W172" i="7"/>
  <c r="X172" i="7"/>
  <c r="A173" i="7"/>
  <c r="W173" i="7"/>
  <c r="X173" i="7"/>
  <c r="A174" i="7"/>
  <c r="W174" i="7"/>
  <c r="X174" i="7"/>
  <c r="A175" i="7"/>
  <c r="W175" i="7"/>
  <c r="X175" i="7"/>
  <c r="A176" i="7"/>
  <c r="W176" i="7"/>
  <c r="X176" i="7"/>
  <c r="A177" i="7"/>
  <c r="W177" i="7"/>
  <c r="X177" i="7"/>
  <c r="A178" i="7"/>
  <c r="W178" i="7"/>
  <c r="X178" i="7"/>
  <c r="A179" i="7"/>
  <c r="W179" i="7"/>
  <c r="X179" i="7" s="1"/>
  <c r="A180" i="7"/>
  <c r="W180" i="7"/>
  <c r="X180" i="7"/>
  <c r="A181" i="7"/>
  <c r="W181" i="7"/>
  <c r="X181" i="7"/>
  <c r="A182" i="7"/>
  <c r="W182" i="7"/>
  <c r="X182" i="7"/>
  <c r="A183" i="7"/>
  <c r="W183" i="7"/>
  <c r="X183" i="7" s="1"/>
  <c r="A184" i="7"/>
  <c r="W184" i="7"/>
  <c r="X184" i="7"/>
  <c r="A185" i="7"/>
  <c r="W185" i="7"/>
  <c r="X185" i="7"/>
  <c r="A186" i="7"/>
  <c r="W186" i="7"/>
  <c r="X186" i="7"/>
  <c r="A187" i="7"/>
  <c r="W187" i="7"/>
  <c r="X187" i="7"/>
  <c r="A188" i="7"/>
  <c r="W188" i="7"/>
  <c r="X188" i="7" s="1"/>
  <c r="A189" i="7"/>
  <c r="W189" i="7"/>
  <c r="X189" i="7"/>
  <c r="A190" i="7"/>
  <c r="W190" i="7"/>
  <c r="X190" i="7"/>
  <c r="A191" i="7"/>
  <c r="W191" i="7"/>
  <c r="X191" i="7"/>
  <c r="A192" i="7"/>
  <c r="W192" i="7"/>
  <c r="X192" i="7" s="1"/>
  <c r="A193" i="7"/>
  <c r="W193" i="7"/>
  <c r="X193" i="7"/>
  <c r="A194" i="7"/>
  <c r="W194" i="7"/>
  <c r="X194" i="7"/>
  <c r="A195" i="7"/>
  <c r="W195" i="7"/>
  <c r="X195" i="7"/>
  <c r="A196" i="7"/>
  <c r="W196" i="7"/>
  <c r="X196" i="7" s="1"/>
  <c r="A197" i="7"/>
  <c r="W197" i="7"/>
  <c r="X197" i="7"/>
  <c r="A198" i="7"/>
  <c r="W198" i="7"/>
  <c r="X198" i="7"/>
  <c r="A199" i="7"/>
  <c r="W199" i="7"/>
  <c r="X199" i="7"/>
  <c r="A200" i="7"/>
  <c r="W200" i="7"/>
  <c r="X200" i="7" s="1"/>
  <c r="A201" i="7"/>
  <c r="W201" i="7"/>
  <c r="X201" i="7"/>
  <c r="A202" i="7"/>
  <c r="W202" i="7"/>
  <c r="X202" i="7"/>
  <c r="A203" i="7"/>
  <c r="W203" i="7"/>
  <c r="X203" i="7"/>
  <c r="A204" i="7"/>
  <c r="W204" i="7"/>
  <c r="X204" i="7"/>
  <c r="A205" i="7"/>
  <c r="W205" i="7"/>
  <c r="X205" i="7"/>
  <c r="A206" i="7"/>
  <c r="W206" i="7"/>
  <c r="X206" i="7"/>
  <c r="A207" i="7"/>
  <c r="W207" i="7"/>
  <c r="X207" i="7"/>
  <c r="A208" i="7"/>
  <c r="W208" i="7"/>
  <c r="X208" i="7"/>
  <c r="A209" i="7"/>
  <c r="W209" i="7"/>
  <c r="X209" i="7"/>
  <c r="A210" i="7"/>
  <c r="W210" i="7"/>
  <c r="X210" i="7"/>
  <c r="A211" i="7"/>
  <c r="W211" i="7"/>
  <c r="X211" i="7"/>
  <c r="A212" i="7"/>
  <c r="W212" i="7"/>
  <c r="X212" i="7"/>
  <c r="A213" i="7"/>
  <c r="W213" i="7"/>
  <c r="X213" i="7"/>
  <c r="A214" i="7"/>
  <c r="W214" i="7"/>
  <c r="X214" i="7"/>
  <c r="A215" i="7"/>
  <c r="W215" i="7"/>
  <c r="X215" i="7" s="1"/>
  <c r="A216" i="7"/>
  <c r="W216" i="7"/>
  <c r="X216" i="7"/>
  <c r="A217" i="7"/>
  <c r="W217" i="7"/>
  <c r="X217" i="7"/>
  <c r="A218" i="7"/>
  <c r="W218" i="7"/>
  <c r="X218" i="7"/>
  <c r="A219" i="7"/>
  <c r="W219" i="7"/>
  <c r="X219" i="7"/>
  <c r="A220" i="7"/>
  <c r="W220" i="7"/>
  <c r="X220" i="7"/>
  <c r="A221" i="7"/>
  <c r="W221" i="7"/>
  <c r="X221" i="7"/>
  <c r="A222" i="7"/>
  <c r="W222" i="7"/>
  <c r="X222" i="7"/>
  <c r="A223" i="7"/>
  <c r="W223" i="7"/>
  <c r="X223" i="7" s="1"/>
  <c r="A224" i="7"/>
  <c r="W224" i="7"/>
  <c r="X224" i="7"/>
  <c r="A225" i="7"/>
  <c r="W225" i="7"/>
  <c r="X225" i="7"/>
  <c r="A226" i="7"/>
  <c r="W226" i="7"/>
  <c r="X226" i="7"/>
  <c r="A227" i="7"/>
  <c r="W227" i="7"/>
  <c r="X227" i="7"/>
  <c r="A228" i="7"/>
  <c r="W228" i="7"/>
  <c r="X228" i="7"/>
  <c r="A229" i="7"/>
  <c r="W229" i="7"/>
  <c r="X229" i="7"/>
  <c r="A230" i="7"/>
  <c r="W230" i="7"/>
  <c r="X230" i="7"/>
  <c r="A231" i="7"/>
  <c r="W231" i="7"/>
  <c r="X231" i="7"/>
  <c r="A232" i="7"/>
  <c r="W232" i="7"/>
  <c r="X232" i="7"/>
  <c r="A233" i="7"/>
  <c r="W233" i="7"/>
  <c r="X233" i="7"/>
  <c r="A234" i="7"/>
  <c r="W234" i="7"/>
  <c r="X234" i="7"/>
  <c r="A235" i="7"/>
  <c r="W235" i="7"/>
  <c r="X235" i="7"/>
  <c r="A236" i="7"/>
  <c r="W236" i="7"/>
  <c r="X236" i="7"/>
  <c r="A237" i="7"/>
  <c r="W237" i="7"/>
  <c r="X237" i="7"/>
  <c r="A238" i="7"/>
  <c r="W238" i="7"/>
  <c r="X238" i="7"/>
  <c r="A239" i="7"/>
  <c r="W239" i="7"/>
  <c r="X239" i="7"/>
  <c r="A240" i="7"/>
  <c r="W240" i="7"/>
  <c r="X240" i="7"/>
  <c r="A241" i="7"/>
  <c r="W241" i="7"/>
  <c r="X241" i="7"/>
  <c r="A242" i="7"/>
  <c r="W242" i="7"/>
  <c r="X242" i="7"/>
  <c r="A243" i="7"/>
  <c r="W243" i="7"/>
  <c r="X243" i="7"/>
  <c r="A244" i="7"/>
  <c r="W244" i="7"/>
  <c r="X244" i="7"/>
  <c r="A245" i="7"/>
  <c r="W245" i="7"/>
  <c r="X245" i="7"/>
  <c r="A246" i="7"/>
  <c r="W246" i="7"/>
  <c r="X246" i="7"/>
  <c r="A247" i="7"/>
  <c r="W247" i="7"/>
  <c r="X247" i="7"/>
  <c r="A248" i="7"/>
  <c r="W248" i="7"/>
  <c r="X248" i="7"/>
  <c r="A249" i="7"/>
  <c r="W249" i="7"/>
  <c r="X249" i="7"/>
  <c r="A250" i="7"/>
  <c r="W250" i="7"/>
  <c r="X250" i="7"/>
  <c r="A251" i="7"/>
  <c r="W251" i="7"/>
  <c r="X251" i="7"/>
  <c r="A252" i="7"/>
  <c r="W252" i="7"/>
  <c r="X252" i="7"/>
  <c r="A253" i="7"/>
  <c r="W253" i="7"/>
  <c r="X253" i="7"/>
  <c r="A254" i="7"/>
  <c r="W254" i="7"/>
  <c r="X254" i="7"/>
  <c r="A255" i="7"/>
  <c r="W255" i="7"/>
  <c r="X255" i="7"/>
  <c r="A256" i="7"/>
  <c r="W256" i="7"/>
  <c r="X256" i="7"/>
  <c r="A257" i="7"/>
  <c r="W257" i="7"/>
  <c r="X257" i="7"/>
  <c r="A258" i="7"/>
  <c r="W258" i="7"/>
  <c r="X258" i="7"/>
  <c r="A259" i="7"/>
  <c r="W259" i="7"/>
  <c r="X259" i="7"/>
  <c r="A260" i="7"/>
  <c r="W260" i="7"/>
  <c r="X260" i="7"/>
  <c r="A261" i="7"/>
  <c r="W261" i="7"/>
  <c r="X261" i="7"/>
  <c r="A262" i="7"/>
  <c r="W262" i="7"/>
  <c r="X262" i="7"/>
  <c r="A263" i="7"/>
  <c r="W263" i="7"/>
  <c r="X263" i="7"/>
  <c r="A264" i="7"/>
  <c r="W264" i="7"/>
  <c r="X264" i="7"/>
  <c r="A265" i="7"/>
  <c r="W265" i="7"/>
  <c r="X265" i="7"/>
  <c r="A266" i="7"/>
  <c r="W266" i="7"/>
  <c r="X266" i="7"/>
  <c r="A267" i="7"/>
  <c r="W267" i="7"/>
  <c r="X267" i="7"/>
  <c r="A268" i="7"/>
  <c r="W268" i="7"/>
  <c r="X268" i="7"/>
  <c r="A269" i="7"/>
  <c r="W269" i="7"/>
  <c r="X269" i="7"/>
  <c r="A270" i="7"/>
  <c r="W270" i="7"/>
  <c r="X270" i="7"/>
  <c r="A271" i="7"/>
  <c r="W271" i="7"/>
  <c r="X271" i="7"/>
  <c r="A272" i="7"/>
  <c r="W272" i="7"/>
  <c r="X272" i="7"/>
  <c r="A273" i="7"/>
  <c r="W273" i="7"/>
  <c r="X273" i="7"/>
  <c r="A274" i="7"/>
  <c r="W274" i="7"/>
  <c r="X274" i="7"/>
  <c r="A275" i="7"/>
  <c r="W275" i="7"/>
  <c r="X275" i="7"/>
  <c r="A276" i="7"/>
  <c r="W276" i="7"/>
  <c r="X276" i="7"/>
  <c r="A277" i="7"/>
  <c r="W277" i="7"/>
  <c r="X277" i="7"/>
  <c r="A278" i="7"/>
  <c r="W278" i="7"/>
  <c r="X278" i="7"/>
  <c r="A279" i="7"/>
  <c r="W279" i="7"/>
  <c r="X279" i="7"/>
  <c r="A280" i="7"/>
  <c r="W280" i="7"/>
  <c r="X280" i="7"/>
  <c r="A281" i="7"/>
  <c r="W281" i="7"/>
  <c r="X281" i="7"/>
  <c r="A282" i="7"/>
  <c r="W282" i="7"/>
  <c r="X282" i="7"/>
  <c r="A283" i="7"/>
  <c r="W283" i="7"/>
  <c r="X283" i="7"/>
  <c r="A284" i="7"/>
  <c r="W284" i="7"/>
  <c r="X284" i="7"/>
  <c r="A285" i="7"/>
  <c r="W285" i="7"/>
  <c r="X285" i="7"/>
  <c r="A286" i="7"/>
  <c r="W286" i="7"/>
  <c r="X286" i="7"/>
  <c r="A287" i="7"/>
  <c r="W287" i="7"/>
  <c r="X287" i="7"/>
  <c r="A288" i="7"/>
  <c r="W288" i="7"/>
  <c r="X288" i="7"/>
  <c r="A289" i="7"/>
  <c r="W289" i="7"/>
  <c r="X289" i="7"/>
  <c r="A290" i="7"/>
  <c r="W290" i="7"/>
  <c r="X290" i="7"/>
  <c r="A291" i="7"/>
  <c r="W291" i="7"/>
  <c r="X291" i="7"/>
  <c r="A292" i="7"/>
  <c r="W292" i="7"/>
  <c r="X292" i="7"/>
  <c r="A293" i="7"/>
  <c r="W293" i="7"/>
  <c r="X293" i="7"/>
  <c r="A294" i="7"/>
  <c r="W294" i="7"/>
  <c r="X294" i="7"/>
  <c r="A295" i="7"/>
  <c r="W295" i="7"/>
  <c r="X295" i="7"/>
  <c r="A296" i="7"/>
  <c r="W296" i="7"/>
  <c r="X296" i="7"/>
  <c r="A297" i="7"/>
  <c r="W297" i="7"/>
  <c r="X297" i="7"/>
  <c r="A298" i="7"/>
  <c r="W298" i="7"/>
  <c r="X298" i="7"/>
  <c r="A299" i="7"/>
  <c r="W299" i="7"/>
  <c r="X299" i="7"/>
  <c r="A300" i="7"/>
  <c r="W300" i="7"/>
  <c r="X300" i="7"/>
  <c r="A301" i="7"/>
  <c r="W301" i="7"/>
  <c r="X301" i="7"/>
  <c r="A302" i="7"/>
  <c r="W302" i="7"/>
  <c r="X302" i="7"/>
  <c r="A303" i="7"/>
  <c r="W303" i="7"/>
  <c r="X303" i="7"/>
  <c r="A304" i="7"/>
  <c r="W304" i="7"/>
  <c r="X304" i="7"/>
  <c r="A305" i="7"/>
  <c r="W305" i="7"/>
  <c r="X305" i="7"/>
  <c r="A306" i="7"/>
  <c r="W306" i="7"/>
  <c r="X306" i="7"/>
  <c r="A307" i="7"/>
  <c r="W307" i="7"/>
  <c r="X307" i="7"/>
  <c r="A308" i="7"/>
  <c r="W308" i="7"/>
  <c r="X308" i="7"/>
  <c r="A309" i="7"/>
  <c r="W309" i="7"/>
  <c r="X309" i="7"/>
  <c r="A310" i="7"/>
  <c r="W310" i="7"/>
  <c r="X310" i="7"/>
  <c r="A311" i="7"/>
  <c r="W311" i="7"/>
  <c r="X311" i="7"/>
  <c r="A312" i="7"/>
  <c r="W312" i="7"/>
  <c r="X312" i="7"/>
  <c r="A313" i="7"/>
  <c r="W313" i="7"/>
  <c r="X313" i="7"/>
  <c r="A314" i="7"/>
  <c r="W314" i="7"/>
  <c r="X314" i="7"/>
  <c r="A315" i="7"/>
  <c r="W315" i="7"/>
  <c r="X315" i="7"/>
  <c r="A316" i="7"/>
  <c r="W316" i="7"/>
  <c r="X316" i="7"/>
  <c r="A317" i="7"/>
  <c r="W317" i="7"/>
  <c r="X317" i="7"/>
  <c r="A318" i="7"/>
  <c r="W318" i="7"/>
  <c r="X318" i="7"/>
  <c r="A319" i="7"/>
  <c r="W319" i="7"/>
  <c r="X319" i="7"/>
  <c r="A320" i="7"/>
  <c r="W320" i="7"/>
  <c r="X320" i="7"/>
  <c r="A321" i="7"/>
  <c r="W321" i="7"/>
  <c r="X321" i="7"/>
  <c r="A322" i="7"/>
  <c r="W322" i="7"/>
  <c r="X322" i="7"/>
  <c r="A323" i="7"/>
  <c r="W323" i="7"/>
  <c r="X323" i="7"/>
  <c r="A324" i="7"/>
  <c r="W324" i="7"/>
  <c r="X324" i="7" s="1"/>
  <c r="A325" i="7"/>
  <c r="W325" i="7"/>
  <c r="X325" i="7"/>
  <c r="A326" i="7"/>
  <c r="W326" i="7"/>
  <c r="X326" i="7"/>
  <c r="A327" i="7"/>
  <c r="W327" i="7"/>
  <c r="X327" i="7"/>
  <c r="A328" i="7"/>
  <c r="W328" i="7"/>
  <c r="X328" i="7"/>
  <c r="A329" i="7"/>
  <c r="W329" i="7"/>
  <c r="X329" i="7"/>
  <c r="A330" i="7"/>
  <c r="W330" i="7"/>
  <c r="X330" i="7"/>
  <c r="A331" i="7"/>
  <c r="W331" i="7"/>
  <c r="X331" i="7"/>
  <c r="A332" i="7"/>
  <c r="W332" i="7"/>
  <c r="X332" i="7"/>
  <c r="A333" i="7"/>
  <c r="W333" i="7"/>
  <c r="X333" i="7"/>
  <c r="A334" i="7"/>
  <c r="W334" i="7"/>
  <c r="X334" i="7"/>
  <c r="A335" i="7"/>
  <c r="W335" i="7"/>
  <c r="X335" i="7" s="1"/>
  <c r="A336" i="7"/>
  <c r="W336" i="7"/>
  <c r="X336" i="7" s="1"/>
  <c r="A337" i="7"/>
  <c r="W337" i="7"/>
  <c r="X337" i="7"/>
  <c r="A338" i="7"/>
  <c r="W338" i="7"/>
  <c r="X338" i="7"/>
  <c r="A339" i="7"/>
  <c r="W339" i="7"/>
  <c r="X339" i="7" s="1"/>
  <c r="A340" i="7"/>
  <c r="W340" i="7"/>
  <c r="X340" i="7"/>
  <c r="A341" i="7"/>
  <c r="W341" i="7"/>
  <c r="X341" i="7"/>
  <c r="A342" i="7"/>
  <c r="W342" i="7"/>
  <c r="X342" i="7"/>
  <c r="A343" i="7"/>
  <c r="W343" i="7"/>
  <c r="X343" i="7"/>
  <c r="A344" i="7"/>
  <c r="W344" i="7"/>
  <c r="X344" i="7"/>
  <c r="A345" i="7"/>
  <c r="W345" i="7"/>
  <c r="X345" i="7"/>
  <c r="A346" i="7"/>
  <c r="W346" i="7"/>
  <c r="X346" i="7"/>
  <c r="A347" i="7"/>
  <c r="W347" i="7"/>
  <c r="X347" i="7"/>
  <c r="A348" i="7"/>
  <c r="W348" i="7"/>
  <c r="X348" i="7"/>
  <c r="A349" i="7"/>
  <c r="W349" i="7"/>
  <c r="X349" i="7"/>
  <c r="A350" i="7"/>
  <c r="W350" i="7"/>
  <c r="X350" i="7"/>
  <c r="A351" i="7"/>
  <c r="W351" i="7"/>
  <c r="X351" i="7" s="1"/>
  <c r="A352" i="7"/>
  <c r="W352" i="7"/>
  <c r="X352" i="7" s="1"/>
  <c r="A353" i="7"/>
  <c r="W353" i="7"/>
  <c r="X353" i="7"/>
  <c r="A354" i="7"/>
  <c r="W354" i="7"/>
  <c r="X354" i="7"/>
  <c r="A355" i="7"/>
  <c r="W355" i="7"/>
  <c r="X355" i="7" s="1"/>
  <c r="A356" i="7"/>
  <c r="W356" i="7"/>
  <c r="X356" i="7" s="1"/>
  <c r="A357" i="7"/>
  <c r="W357" i="7"/>
  <c r="X357" i="7"/>
  <c r="A358" i="7"/>
  <c r="W358" i="7"/>
  <c r="X358" i="7"/>
  <c r="A359" i="7"/>
  <c r="W359" i="7"/>
  <c r="X359" i="7"/>
  <c r="A360" i="7"/>
  <c r="W360" i="7"/>
  <c r="X360" i="7"/>
  <c r="A361" i="7"/>
  <c r="W361" i="7"/>
  <c r="X361" i="7"/>
  <c r="A362" i="7"/>
  <c r="W362" i="7"/>
  <c r="X362" i="7"/>
  <c r="A363" i="7"/>
  <c r="W363" i="7"/>
  <c r="X363" i="7"/>
  <c r="A364" i="7"/>
  <c r="W364" i="7"/>
  <c r="X364" i="7" s="1"/>
  <c r="A365" i="7"/>
  <c r="W365" i="7"/>
  <c r="X365" i="7"/>
  <c r="A366" i="7"/>
  <c r="W366" i="7"/>
  <c r="X366" i="7"/>
  <c r="A367" i="7"/>
  <c r="W367" i="7"/>
  <c r="X367" i="7" s="1"/>
  <c r="A368" i="7"/>
  <c r="W368" i="7"/>
  <c r="X368" i="7"/>
  <c r="A369" i="7"/>
  <c r="W369" i="7"/>
  <c r="X369" i="7"/>
  <c r="A370" i="7"/>
  <c r="W370" i="7"/>
  <c r="X370" i="7"/>
  <c r="A371" i="7"/>
  <c r="W371" i="7"/>
  <c r="X371" i="7" s="1"/>
  <c r="A372" i="7"/>
  <c r="W372" i="7"/>
  <c r="X372" i="7"/>
  <c r="A373" i="7"/>
  <c r="W373" i="7"/>
  <c r="X373" i="7"/>
  <c r="A374" i="7"/>
  <c r="W374" i="7"/>
  <c r="X374" i="7"/>
  <c r="A375" i="7"/>
  <c r="W375" i="7"/>
  <c r="X375" i="7"/>
  <c r="A376" i="7"/>
  <c r="W376" i="7"/>
  <c r="X376" i="7"/>
  <c r="A377" i="7"/>
  <c r="W377" i="7"/>
  <c r="X377" i="7"/>
  <c r="A378" i="7"/>
  <c r="W378" i="7"/>
  <c r="X378" i="7"/>
  <c r="A379" i="7"/>
  <c r="W379" i="7"/>
  <c r="X379" i="7"/>
  <c r="A380" i="7"/>
  <c r="W380" i="7"/>
  <c r="X380" i="7" s="1"/>
  <c r="A381" i="7"/>
  <c r="W381" i="7"/>
  <c r="X381" i="7"/>
  <c r="A382" i="7"/>
  <c r="W382" i="7"/>
  <c r="X382" i="7"/>
  <c r="A383" i="7"/>
  <c r="W383" i="7"/>
  <c r="X383" i="7"/>
  <c r="A384" i="7"/>
  <c r="W384" i="7"/>
  <c r="X384" i="7" s="1"/>
  <c r="A385" i="7"/>
  <c r="W385" i="7"/>
  <c r="X385" i="7"/>
  <c r="A386" i="7"/>
  <c r="W386" i="7"/>
  <c r="X386" i="7"/>
  <c r="A387" i="7"/>
  <c r="W387" i="7"/>
  <c r="X387" i="7"/>
  <c r="A388" i="7"/>
  <c r="W388" i="7"/>
  <c r="X388" i="7"/>
  <c r="A389" i="7"/>
  <c r="W389" i="7"/>
  <c r="X389" i="7"/>
  <c r="A390" i="7"/>
  <c r="W390" i="7"/>
  <c r="X390" i="7"/>
  <c r="A391" i="7"/>
  <c r="W391" i="7"/>
  <c r="X391" i="7"/>
  <c r="A392" i="7"/>
  <c r="W392" i="7"/>
  <c r="X392" i="7" s="1"/>
  <c r="A393" i="7"/>
  <c r="W393" i="7"/>
  <c r="X393" i="7"/>
  <c r="A394" i="7"/>
  <c r="W394" i="7"/>
  <c r="X394" i="7"/>
  <c r="A395" i="7"/>
  <c r="W395" i="7"/>
  <c r="X395" i="7"/>
  <c r="A396" i="7"/>
  <c r="W396" i="7"/>
  <c r="X396" i="7" s="1"/>
  <c r="A397" i="7"/>
  <c r="W397" i="7"/>
  <c r="X397" i="7"/>
  <c r="A398" i="7"/>
  <c r="W398" i="7"/>
  <c r="X398" i="7"/>
  <c r="A399" i="7"/>
  <c r="W399" i="7"/>
  <c r="X399" i="7" s="1"/>
  <c r="A400" i="7"/>
  <c r="W400" i="7"/>
  <c r="X400" i="7" s="1"/>
  <c r="A401" i="7"/>
  <c r="W401" i="7"/>
  <c r="X401" i="7"/>
  <c r="A402" i="7"/>
  <c r="W402" i="7"/>
  <c r="X402" i="7"/>
  <c r="A403" i="7"/>
  <c r="W403" i="7"/>
  <c r="X403" i="7" s="1"/>
  <c r="A404" i="7"/>
  <c r="W404" i="7"/>
  <c r="X404" i="7"/>
  <c r="A405" i="7"/>
  <c r="W405" i="7"/>
  <c r="X405" i="7"/>
  <c r="A406" i="7"/>
  <c r="W406" i="7"/>
  <c r="X406" i="7"/>
  <c r="A407" i="7"/>
  <c r="W407" i="7"/>
  <c r="X407" i="7" s="1"/>
  <c r="A408" i="7"/>
  <c r="W408" i="7"/>
  <c r="X408" i="7"/>
  <c r="A409" i="7"/>
  <c r="W409" i="7"/>
  <c r="X409" i="7"/>
  <c r="A410" i="7"/>
  <c r="W410" i="7"/>
  <c r="X410" i="7"/>
  <c r="A411" i="7"/>
  <c r="W411" i="7"/>
  <c r="X411" i="7" s="1"/>
  <c r="A412" i="7"/>
  <c r="W412" i="7"/>
  <c r="X412" i="7"/>
  <c r="A413" i="7"/>
  <c r="W413" i="7"/>
  <c r="X413" i="7"/>
  <c r="A414" i="7"/>
  <c r="W414" i="7"/>
  <c r="X414" i="7"/>
  <c r="A415" i="7"/>
  <c r="W415" i="7"/>
  <c r="X415" i="7" s="1"/>
  <c r="A416" i="7"/>
  <c r="W416" i="7"/>
  <c r="X416" i="7" s="1"/>
  <c r="A417" i="7"/>
  <c r="W417" i="7"/>
  <c r="X417" i="7"/>
  <c r="A418" i="7"/>
  <c r="W418" i="7"/>
  <c r="X418" i="7"/>
  <c r="A419" i="7"/>
  <c r="W419" i="7"/>
  <c r="X419" i="7"/>
  <c r="A420" i="7"/>
  <c r="W420" i="7"/>
  <c r="X420" i="7"/>
  <c r="A421" i="7"/>
  <c r="W421" i="7"/>
  <c r="X421" i="7"/>
  <c r="A422" i="7"/>
  <c r="W422" i="7"/>
  <c r="X422" i="7"/>
  <c r="A423" i="7"/>
  <c r="W423" i="7"/>
  <c r="X423" i="7" s="1"/>
  <c r="A424" i="7"/>
  <c r="W424" i="7"/>
  <c r="X424" i="7" s="1"/>
  <c r="A425" i="7"/>
  <c r="W425" i="7"/>
  <c r="X425" i="7"/>
  <c r="A426" i="7"/>
  <c r="W426" i="7"/>
  <c r="X426" i="7"/>
  <c r="A427" i="7"/>
  <c r="W427" i="7"/>
  <c r="X427" i="7" s="1"/>
  <c r="A428" i="7"/>
  <c r="W428" i="7"/>
  <c r="X428" i="7"/>
  <c r="A429" i="7"/>
  <c r="W429" i="7"/>
  <c r="X429" i="7"/>
  <c r="A430" i="7"/>
  <c r="W430" i="7"/>
  <c r="X430" i="7"/>
  <c r="A431" i="7"/>
  <c r="W431" i="7"/>
  <c r="X431" i="7" s="1"/>
  <c r="A432" i="7"/>
  <c r="W432" i="7"/>
  <c r="X432" i="7" s="1"/>
  <c r="A433" i="7"/>
  <c r="W433" i="7"/>
  <c r="X433" i="7"/>
  <c r="A434" i="7"/>
  <c r="W434" i="7"/>
  <c r="X434" i="7"/>
  <c r="A435" i="7"/>
  <c r="W435" i="7"/>
  <c r="X435" i="7" s="1"/>
  <c r="A436" i="7"/>
  <c r="W436" i="7"/>
  <c r="X436" i="7"/>
  <c r="A437" i="7"/>
  <c r="W437" i="7"/>
  <c r="X437" i="7"/>
  <c r="A438" i="7"/>
  <c r="W438" i="7"/>
  <c r="X438" i="7"/>
  <c r="A439" i="7"/>
  <c r="W439" i="7"/>
  <c r="X439" i="7"/>
  <c r="A440" i="7"/>
  <c r="W440" i="7"/>
  <c r="X440" i="7"/>
  <c r="A441" i="7"/>
  <c r="W441" i="7"/>
  <c r="X441" i="7"/>
  <c r="A442" i="7"/>
  <c r="W442" i="7"/>
  <c r="X442" i="7"/>
  <c r="A443" i="7"/>
  <c r="W443" i="7"/>
  <c r="X443" i="7" s="1"/>
  <c r="A444" i="7"/>
  <c r="W444" i="7"/>
  <c r="X444" i="7" s="1"/>
  <c r="A445" i="7"/>
  <c r="W445" i="7"/>
  <c r="X445" i="7"/>
  <c r="A446" i="7"/>
  <c r="W446" i="7"/>
  <c r="X446" i="7"/>
  <c r="A447" i="7"/>
  <c r="W447" i="7"/>
  <c r="X447" i="7" s="1"/>
  <c r="A448" i="7"/>
  <c r="W448" i="7"/>
  <c r="X448" i="7"/>
  <c r="A449" i="7"/>
  <c r="W449" i="7"/>
  <c r="X449" i="7"/>
  <c r="A450" i="7"/>
  <c r="W450" i="7"/>
  <c r="X450" i="7"/>
  <c r="A451" i="7"/>
  <c r="W451" i="7"/>
  <c r="X451" i="7"/>
  <c r="A452" i="7"/>
  <c r="W452" i="7"/>
  <c r="X452" i="7"/>
  <c r="A453" i="7"/>
  <c r="W453" i="7"/>
  <c r="X453" i="7"/>
  <c r="A454" i="7"/>
  <c r="W454" i="7"/>
  <c r="X454" i="7"/>
  <c r="A455" i="7"/>
  <c r="W455" i="7"/>
  <c r="X455" i="7" s="1"/>
  <c r="A456" i="7"/>
  <c r="W456" i="7"/>
  <c r="X456" i="7"/>
  <c r="A457" i="7"/>
  <c r="W457" i="7"/>
  <c r="X457" i="7"/>
  <c r="A458" i="7"/>
  <c r="W458" i="7"/>
  <c r="X458" i="7"/>
  <c r="A459" i="7"/>
  <c r="W459" i="7"/>
  <c r="X459" i="7" s="1"/>
  <c r="A460" i="7"/>
  <c r="W460" i="7"/>
  <c r="X460" i="7" s="1"/>
  <c r="A461" i="7"/>
  <c r="W461" i="7"/>
  <c r="X461" i="7"/>
  <c r="A462" i="7"/>
  <c r="W462" i="7"/>
  <c r="X462" i="7"/>
  <c r="A463" i="7"/>
  <c r="W463" i="7"/>
  <c r="X463" i="7"/>
  <c r="A464" i="7"/>
  <c r="W464" i="7"/>
  <c r="X464" i="7" s="1"/>
  <c r="A465" i="7"/>
  <c r="W465" i="7"/>
  <c r="X465" i="7"/>
  <c r="A466" i="7"/>
  <c r="W466" i="7"/>
  <c r="X466" i="7"/>
  <c r="A467" i="7"/>
  <c r="W467" i="7"/>
  <c r="X467" i="7"/>
  <c r="A468" i="7"/>
  <c r="W468" i="7"/>
  <c r="X468" i="7" s="1"/>
  <c r="A469" i="7"/>
  <c r="W469" i="7"/>
  <c r="X469" i="7"/>
  <c r="A470" i="7"/>
  <c r="W470" i="7"/>
  <c r="X470" i="7"/>
  <c r="A471" i="7"/>
  <c r="W471" i="7"/>
  <c r="X471" i="7" s="1"/>
  <c r="A472" i="7"/>
  <c r="W472" i="7"/>
  <c r="X472" i="7"/>
  <c r="A473" i="7"/>
  <c r="W473" i="7"/>
  <c r="X473" i="7"/>
  <c r="A474" i="7"/>
  <c r="W474" i="7"/>
  <c r="X474" i="7"/>
  <c r="A475" i="7"/>
  <c r="W475" i="7"/>
  <c r="X475" i="7" s="1"/>
  <c r="A476" i="7"/>
  <c r="W476" i="7"/>
  <c r="X476" i="7"/>
  <c r="A477" i="7"/>
  <c r="W477" i="7"/>
  <c r="X477" i="7"/>
  <c r="A478" i="7"/>
  <c r="W478" i="7"/>
  <c r="X478" i="7"/>
  <c r="A479" i="7"/>
  <c r="W479" i="7"/>
  <c r="X479" i="7" s="1"/>
  <c r="A480" i="7"/>
  <c r="W480" i="7"/>
  <c r="X480" i="7"/>
  <c r="A481" i="7"/>
  <c r="W481" i="7"/>
  <c r="X481" i="7"/>
  <c r="A482" i="7"/>
  <c r="W482" i="7"/>
  <c r="X482" i="7"/>
  <c r="A483" i="7"/>
  <c r="W483" i="7"/>
  <c r="X483" i="7" s="1"/>
  <c r="A484" i="7"/>
  <c r="W484" i="7"/>
  <c r="X484" i="7"/>
  <c r="A485" i="7"/>
  <c r="W485" i="7"/>
  <c r="X485" i="7"/>
  <c r="A486" i="7"/>
  <c r="W486" i="7"/>
  <c r="X486" i="7"/>
  <c r="A487" i="7"/>
  <c r="W487" i="7"/>
  <c r="X487" i="7" s="1"/>
  <c r="A488" i="7"/>
  <c r="W488" i="7"/>
  <c r="X488" i="7"/>
  <c r="A489" i="7"/>
  <c r="W489" i="7"/>
  <c r="X489" i="7"/>
  <c r="A490" i="7"/>
  <c r="W490" i="7"/>
  <c r="X490" i="7"/>
  <c r="A491" i="7"/>
  <c r="W491" i="7"/>
  <c r="X491" i="7" s="1"/>
  <c r="A492" i="7"/>
  <c r="W492" i="7"/>
  <c r="X492" i="7"/>
  <c r="A493" i="7"/>
  <c r="W493" i="7"/>
  <c r="X493" i="7"/>
  <c r="A494" i="7"/>
  <c r="W494" i="7"/>
  <c r="X494" i="7"/>
  <c r="A495" i="7"/>
  <c r="W495" i="7"/>
  <c r="X495" i="7" s="1"/>
  <c r="A496" i="7"/>
  <c r="W496" i="7"/>
  <c r="X496" i="7" s="1"/>
  <c r="A497" i="7"/>
  <c r="W497" i="7"/>
  <c r="X497" i="7"/>
  <c r="A498" i="7"/>
  <c r="W498" i="7"/>
  <c r="X498" i="7"/>
  <c r="A499" i="7"/>
  <c r="W499" i="7"/>
  <c r="X499" i="7" s="1"/>
  <c r="A500" i="7"/>
  <c r="W500" i="7"/>
  <c r="X500" i="7" s="1"/>
  <c r="A501" i="7"/>
  <c r="W501" i="7"/>
  <c r="X501" i="7"/>
  <c r="A502" i="7"/>
  <c r="W502" i="7"/>
  <c r="X502" i="7"/>
  <c r="A503" i="7"/>
  <c r="W503" i="7"/>
  <c r="X503" i="7"/>
  <c r="A504" i="7"/>
  <c r="W504" i="7"/>
  <c r="X504" i="7" s="1"/>
  <c r="A505" i="7"/>
  <c r="W505" i="7"/>
  <c r="X505" i="7"/>
  <c r="A506" i="7"/>
  <c r="W506" i="7"/>
  <c r="X506" i="7"/>
  <c r="A507" i="7"/>
  <c r="W507" i="7"/>
  <c r="X507" i="7"/>
  <c r="A508" i="7"/>
  <c r="W508" i="7"/>
  <c r="X508" i="7" s="1"/>
  <c r="A509" i="7"/>
  <c r="W509" i="7"/>
  <c r="X509" i="7"/>
  <c r="A510" i="7"/>
  <c r="W510" i="7"/>
  <c r="X510" i="7"/>
  <c r="A511" i="7"/>
  <c r="W511" i="7"/>
  <c r="X511" i="7"/>
  <c r="A512" i="7"/>
  <c r="W512" i="7"/>
  <c r="X512" i="7" s="1"/>
  <c r="A513" i="7"/>
  <c r="W513" i="7"/>
  <c r="X513" i="7"/>
  <c r="A514" i="7"/>
  <c r="W514" i="7"/>
  <c r="X514" i="7"/>
  <c r="A515" i="7"/>
  <c r="W515" i="7"/>
  <c r="X515" i="7" s="1"/>
  <c r="A516" i="7"/>
  <c r="W516" i="7"/>
  <c r="X516" i="7"/>
  <c r="A517" i="7"/>
  <c r="W517" i="7"/>
  <c r="X517" i="7"/>
  <c r="A518" i="7"/>
  <c r="W518" i="7"/>
  <c r="X518" i="7"/>
  <c r="A519" i="7"/>
  <c r="W519" i="7"/>
  <c r="X519" i="7"/>
  <c r="A520" i="7"/>
  <c r="W520" i="7"/>
  <c r="X520" i="7" s="1"/>
  <c r="A521" i="7"/>
  <c r="W521" i="7"/>
  <c r="X521" i="7" s="1"/>
  <c r="A522" i="7"/>
  <c r="W522" i="7"/>
  <c r="X522" i="7"/>
  <c r="A523" i="7"/>
  <c r="W523" i="7"/>
  <c r="X523" i="7"/>
  <c r="A524" i="7"/>
  <c r="W524" i="7"/>
  <c r="X524" i="7" s="1"/>
  <c r="A525" i="7"/>
  <c r="W525" i="7"/>
  <c r="X525" i="7"/>
  <c r="A526" i="7"/>
  <c r="W526" i="7"/>
  <c r="X526" i="7"/>
  <c r="A527" i="7"/>
  <c r="W527" i="7"/>
  <c r="X527" i="7" s="1"/>
  <c r="A528" i="7"/>
  <c r="W528" i="7"/>
  <c r="X528" i="7"/>
  <c r="A529" i="7"/>
  <c r="W529" i="7"/>
  <c r="X529" i="7"/>
  <c r="A530" i="7"/>
  <c r="W530" i="7"/>
  <c r="X530" i="7"/>
  <c r="A531" i="7"/>
  <c r="W531" i="7"/>
  <c r="X531" i="7"/>
  <c r="A532" i="7"/>
  <c r="W532" i="7"/>
  <c r="X532" i="7" s="1"/>
  <c r="A533" i="7"/>
  <c r="W533" i="7"/>
  <c r="X533" i="7"/>
  <c r="A534" i="7"/>
  <c r="W534" i="7"/>
  <c r="X534" i="7"/>
  <c r="A535" i="7"/>
  <c r="W535" i="7"/>
  <c r="X535" i="7" s="1"/>
  <c r="A536" i="7"/>
  <c r="W536" i="7"/>
  <c r="X536" i="7" s="1"/>
  <c r="A537" i="7"/>
  <c r="W537" i="7"/>
  <c r="X537" i="7"/>
  <c r="A538" i="7"/>
  <c r="W538" i="7"/>
  <c r="X538" i="7"/>
  <c r="A539" i="7"/>
  <c r="W539" i="7"/>
  <c r="X539" i="7"/>
  <c r="A540" i="7"/>
  <c r="W540" i="7"/>
  <c r="X540" i="7" s="1"/>
  <c r="A541" i="7"/>
  <c r="W541" i="7"/>
  <c r="X541" i="7"/>
  <c r="A542" i="7"/>
  <c r="W542" i="7"/>
  <c r="X542" i="7"/>
  <c r="A543" i="7"/>
  <c r="W543" i="7"/>
  <c r="X543" i="7" s="1"/>
  <c r="A544" i="7"/>
  <c r="W544" i="7"/>
  <c r="X544" i="7" s="1"/>
  <c r="A545" i="7"/>
  <c r="W545" i="7"/>
  <c r="X545" i="7"/>
  <c r="A546" i="7"/>
  <c r="W546" i="7"/>
  <c r="X546" i="7"/>
  <c r="A547" i="7"/>
  <c r="W547" i="7"/>
  <c r="X547" i="7"/>
  <c r="A548" i="7"/>
  <c r="W548" i="7"/>
  <c r="X548" i="7"/>
  <c r="A549" i="7"/>
  <c r="W549" i="7"/>
  <c r="X549" i="7" s="1"/>
  <c r="A550" i="7"/>
  <c r="W550" i="7"/>
  <c r="X550" i="7"/>
  <c r="A551" i="7"/>
  <c r="W551" i="7"/>
  <c r="X551" i="7"/>
  <c r="A552" i="7"/>
  <c r="W552" i="7"/>
  <c r="X552" i="7" s="1"/>
  <c r="A553" i="7"/>
  <c r="W553" i="7"/>
  <c r="X553" i="7"/>
  <c r="A554" i="7"/>
  <c r="W554" i="7"/>
  <c r="X554" i="7"/>
  <c r="A555" i="7"/>
  <c r="W555" i="7"/>
  <c r="X555" i="7"/>
  <c r="A556" i="7"/>
  <c r="W556" i="7"/>
  <c r="X556" i="7"/>
  <c r="A557" i="7"/>
  <c r="W557" i="7"/>
  <c r="X557" i="7"/>
  <c r="A558" i="7"/>
  <c r="W558" i="7"/>
  <c r="X558" i="7"/>
  <c r="A559" i="7"/>
  <c r="W559" i="7"/>
  <c r="X559" i="7"/>
  <c r="A560" i="7"/>
  <c r="W560" i="7"/>
  <c r="X560" i="7"/>
  <c r="A561" i="7"/>
  <c r="W561" i="7"/>
  <c r="X561" i="7"/>
  <c r="A562" i="7"/>
  <c r="W562" i="7"/>
  <c r="X562" i="7"/>
  <c r="A563" i="7"/>
  <c r="W563" i="7"/>
  <c r="X563" i="7"/>
  <c r="A564" i="7"/>
  <c r="W564" i="7"/>
  <c r="X564" i="7"/>
  <c r="A565" i="7"/>
  <c r="W565" i="7"/>
  <c r="X565" i="7"/>
  <c r="A566" i="7"/>
  <c r="W566" i="7"/>
  <c r="X566" i="7"/>
  <c r="A567" i="7"/>
  <c r="W567" i="7"/>
  <c r="X567" i="7"/>
  <c r="A568" i="7"/>
  <c r="W568" i="7"/>
  <c r="X568" i="7"/>
  <c r="A569" i="7"/>
  <c r="W569" i="7"/>
  <c r="X569" i="7"/>
  <c r="A570" i="7"/>
  <c r="W570" i="7"/>
  <c r="X570" i="7"/>
  <c r="A571" i="7"/>
  <c r="W571" i="7"/>
  <c r="X571" i="7"/>
  <c r="A572" i="7"/>
  <c r="W572" i="7"/>
  <c r="X572" i="7"/>
  <c r="A573" i="7"/>
  <c r="W573" i="7"/>
  <c r="X573" i="7"/>
  <c r="A574" i="7"/>
  <c r="W574" i="7"/>
  <c r="X574" i="7"/>
  <c r="A575" i="7"/>
  <c r="W575" i="7"/>
  <c r="X575" i="7" s="1"/>
  <c r="A576" i="7"/>
  <c r="W576" i="7"/>
  <c r="X576" i="7"/>
  <c r="A577" i="7"/>
  <c r="W577" i="7"/>
  <c r="X577" i="7"/>
  <c r="A578" i="7"/>
  <c r="W578" i="7"/>
  <c r="X578" i="7"/>
  <c r="A579" i="7"/>
  <c r="W579" i="7"/>
  <c r="X579" i="7" s="1"/>
  <c r="A580" i="7"/>
  <c r="W580" i="7"/>
  <c r="X580" i="7" s="1"/>
  <c r="A581" i="7"/>
  <c r="W581" i="7"/>
  <c r="X581" i="7"/>
  <c r="A582" i="7"/>
  <c r="W582" i="7"/>
  <c r="X582" i="7"/>
  <c r="A583" i="7"/>
  <c r="W583" i="7"/>
  <c r="X583" i="7" s="1"/>
  <c r="A584" i="7"/>
  <c r="W584" i="7"/>
  <c r="X584" i="7"/>
  <c r="A585" i="7"/>
  <c r="W585" i="7"/>
  <c r="X585" i="7" s="1"/>
  <c r="A586" i="7"/>
  <c r="W586" i="7"/>
  <c r="X586" i="7"/>
  <c r="A587" i="7"/>
  <c r="W587" i="7"/>
  <c r="X587" i="7" s="1"/>
  <c r="A588" i="7"/>
  <c r="W588" i="7"/>
  <c r="X588" i="7"/>
  <c r="A589" i="7"/>
  <c r="W589" i="7"/>
  <c r="X589" i="7"/>
  <c r="A590" i="7"/>
  <c r="W590" i="7"/>
  <c r="X590" i="7"/>
  <c r="A591" i="7"/>
  <c r="W591" i="7"/>
  <c r="X591" i="7" s="1"/>
  <c r="A592" i="7"/>
  <c r="W592" i="7"/>
  <c r="X592" i="7"/>
  <c r="A593" i="7"/>
  <c r="W593" i="7"/>
  <c r="X593" i="7"/>
  <c r="A594" i="7"/>
  <c r="W594" i="7"/>
  <c r="X594" i="7" s="1"/>
  <c r="A595" i="7"/>
  <c r="W595" i="7"/>
  <c r="X595" i="7"/>
  <c r="A596" i="7"/>
  <c r="W596" i="7"/>
  <c r="X596" i="7" s="1"/>
  <c r="A597" i="7"/>
  <c r="W597" i="7"/>
  <c r="X597" i="7" s="1"/>
  <c r="A598" i="7"/>
  <c r="W598" i="7"/>
  <c r="X598" i="7"/>
  <c r="A599" i="7"/>
  <c r="W599" i="7"/>
  <c r="X599" i="7"/>
  <c r="A600" i="7"/>
  <c r="W600" i="7"/>
  <c r="X600" i="7" s="1"/>
  <c r="A601" i="7"/>
  <c r="W601" i="7"/>
  <c r="X601" i="7"/>
  <c r="A602" i="7"/>
  <c r="W602" i="7"/>
  <c r="X602" i="7"/>
  <c r="A603" i="7"/>
  <c r="W603" i="7"/>
  <c r="X603" i="7"/>
  <c r="A604" i="7"/>
  <c r="W604" i="7"/>
  <c r="X604" i="7" s="1"/>
  <c r="A605" i="7"/>
  <c r="W605" i="7"/>
  <c r="X605" i="7"/>
  <c r="A606" i="7"/>
  <c r="W606" i="7"/>
  <c r="X606" i="7"/>
  <c r="A607" i="7"/>
  <c r="W607" i="7"/>
  <c r="X607" i="7"/>
  <c r="A608" i="7"/>
  <c r="W608" i="7"/>
  <c r="X608" i="7" s="1"/>
  <c r="A609" i="7"/>
  <c r="W609" i="7"/>
  <c r="X609" i="7"/>
  <c r="A610" i="7"/>
  <c r="W610" i="7"/>
  <c r="X610" i="7"/>
  <c r="A611" i="7"/>
  <c r="W611" i="7"/>
  <c r="X611" i="7"/>
  <c r="A612" i="7"/>
  <c r="W612" i="7"/>
  <c r="X612" i="7" s="1"/>
  <c r="A613" i="7"/>
  <c r="W613" i="7"/>
  <c r="X613" i="7" s="1"/>
  <c r="A614" i="7"/>
  <c r="W614" i="7"/>
  <c r="X614" i="7"/>
  <c r="A615" i="7"/>
  <c r="W615" i="7"/>
  <c r="X615" i="7"/>
  <c r="A616" i="7"/>
  <c r="W616" i="7"/>
  <c r="X616" i="7" s="1"/>
  <c r="A617" i="7"/>
  <c r="W617" i="7"/>
  <c r="X617" i="7"/>
  <c r="A618" i="7"/>
  <c r="W618" i="7"/>
  <c r="X618" i="7"/>
  <c r="A619" i="7"/>
  <c r="W619" i="7"/>
  <c r="X619" i="7"/>
  <c r="A620" i="7"/>
  <c r="W620" i="7"/>
  <c r="X620" i="7" s="1"/>
  <c r="A621" i="7"/>
  <c r="W621" i="7"/>
  <c r="X621" i="7"/>
  <c r="A622" i="7"/>
  <c r="W622" i="7"/>
  <c r="X622" i="7"/>
  <c r="A623" i="7"/>
  <c r="W623" i="7"/>
  <c r="X623" i="7" s="1"/>
  <c r="A624" i="7"/>
  <c r="W624" i="7"/>
  <c r="X624" i="7"/>
  <c r="A625" i="7"/>
  <c r="W625" i="7"/>
  <c r="X625" i="7"/>
  <c r="A626" i="7"/>
  <c r="W626" i="7"/>
  <c r="X626" i="7"/>
  <c r="A627" i="7"/>
  <c r="W627" i="7"/>
  <c r="X627" i="7"/>
  <c r="A628" i="7"/>
  <c r="W628" i="7"/>
  <c r="X628" i="7"/>
  <c r="A629" i="7"/>
  <c r="W629" i="7"/>
  <c r="X629" i="7"/>
  <c r="A630" i="7"/>
  <c r="W630" i="7"/>
  <c r="X630" i="7" s="1"/>
  <c r="A631" i="7"/>
  <c r="W631" i="7"/>
  <c r="X631" i="7"/>
  <c r="A632" i="7"/>
  <c r="W632" i="7"/>
  <c r="X632" i="7"/>
  <c r="A633" i="7"/>
  <c r="W633" i="7"/>
  <c r="X633" i="7"/>
  <c r="A634" i="7"/>
  <c r="W634" i="7"/>
  <c r="X634" i="7"/>
  <c r="A635" i="7"/>
  <c r="W635" i="7"/>
  <c r="X635" i="7"/>
  <c r="A636" i="7"/>
  <c r="W636" i="7"/>
  <c r="X636" i="7"/>
  <c r="A637" i="7"/>
  <c r="W637" i="7"/>
  <c r="X637" i="7"/>
  <c r="A638" i="7"/>
  <c r="W638" i="7"/>
  <c r="X638" i="7"/>
  <c r="A639" i="7"/>
  <c r="W639" i="7"/>
  <c r="X639" i="7"/>
  <c r="A640" i="7"/>
  <c r="W640" i="7"/>
  <c r="X640" i="7"/>
  <c r="A641" i="7"/>
  <c r="W641" i="7"/>
  <c r="X641" i="7"/>
  <c r="A642" i="7"/>
  <c r="W642" i="7"/>
  <c r="X642" i="7"/>
  <c r="A643" i="7"/>
  <c r="W643" i="7"/>
  <c r="X643" i="7"/>
  <c r="A644" i="7"/>
  <c r="W644" i="7"/>
  <c r="X644" i="7"/>
  <c r="A645" i="7"/>
  <c r="W645" i="7"/>
  <c r="X645" i="7"/>
  <c r="A646" i="7"/>
  <c r="W646" i="7"/>
  <c r="X646" i="7" s="1"/>
  <c r="A647" i="7"/>
  <c r="W647" i="7"/>
  <c r="X647" i="7"/>
  <c r="A648" i="7"/>
  <c r="W648" i="7"/>
  <c r="X648" i="7" s="1"/>
  <c r="A649" i="7"/>
  <c r="W649" i="7"/>
  <c r="X649" i="7"/>
  <c r="A650" i="7"/>
  <c r="W650" i="7"/>
  <c r="X650" i="7"/>
  <c r="A651" i="7"/>
  <c r="W651" i="7"/>
  <c r="X651" i="7"/>
  <c r="A652" i="7"/>
  <c r="W652" i="7"/>
  <c r="X652" i="7" s="1"/>
  <c r="A653" i="7"/>
  <c r="W653" i="7"/>
  <c r="X653" i="7"/>
  <c r="A654" i="7"/>
  <c r="W654" i="7"/>
  <c r="X654" i="7"/>
  <c r="A655" i="7"/>
  <c r="W655" i="7"/>
  <c r="X655" i="7"/>
  <c r="A656" i="7"/>
  <c r="W656" i="7"/>
  <c r="X656" i="7" s="1"/>
  <c r="A657" i="7"/>
  <c r="W657" i="7"/>
  <c r="X657" i="7"/>
  <c r="A658" i="7"/>
  <c r="W658" i="7"/>
  <c r="X658" i="7"/>
  <c r="A659" i="7"/>
  <c r="W659" i="7"/>
  <c r="X659" i="7"/>
  <c r="A660" i="7"/>
  <c r="W660" i="7"/>
  <c r="X660" i="7" s="1"/>
  <c r="A661" i="7"/>
  <c r="W661" i="7"/>
  <c r="X661" i="7"/>
  <c r="A662" i="7"/>
  <c r="W662" i="7"/>
  <c r="X662" i="7"/>
  <c r="A663" i="7"/>
  <c r="W663" i="7"/>
  <c r="X663" i="7"/>
  <c r="A664" i="7"/>
  <c r="W664" i="7"/>
  <c r="X664" i="7"/>
  <c r="A665" i="7"/>
  <c r="W665" i="7"/>
  <c r="X665" i="7"/>
  <c r="A666" i="7"/>
  <c r="W666" i="7"/>
  <c r="X666" i="7" s="1"/>
  <c r="A667" i="7"/>
  <c r="W667" i="7"/>
  <c r="X667" i="7"/>
  <c r="A668" i="7"/>
  <c r="W668" i="7"/>
  <c r="X668" i="7"/>
  <c r="A669" i="7"/>
  <c r="W669" i="7"/>
  <c r="X669" i="7"/>
  <c r="A670" i="7"/>
  <c r="W670" i="7"/>
  <c r="X670" i="7" s="1"/>
  <c r="A671" i="7"/>
  <c r="W671" i="7"/>
  <c r="X671" i="7"/>
  <c r="A672" i="7"/>
  <c r="W672" i="7"/>
  <c r="X672" i="7"/>
  <c r="A673" i="7"/>
  <c r="W673" i="7"/>
  <c r="X673" i="7"/>
  <c r="A674" i="7"/>
  <c r="W674" i="7"/>
  <c r="X674" i="7" s="1"/>
  <c r="A675" i="7"/>
  <c r="W675" i="7"/>
  <c r="X675" i="7"/>
  <c r="A676" i="7"/>
  <c r="W676" i="7"/>
  <c r="X676" i="7" s="1"/>
  <c r="A677" i="7"/>
  <c r="W677" i="7"/>
  <c r="X677" i="7"/>
  <c r="A678" i="7"/>
  <c r="W678" i="7"/>
  <c r="X678" i="7" s="1"/>
  <c r="A679" i="7"/>
  <c r="W679" i="7"/>
  <c r="X679" i="7"/>
  <c r="A680" i="7"/>
  <c r="W680" i="7"/>
  <c r="X680" i="7" s="1"/>
  <c r="A681" i="7"/>
  <c r="W681" i="7"/>
  <c r="X681" i="7"/>
  <c r="A682" i="7"/>
  <c r="W682" i="7"/>
  <c r="X682" i="7"/>
  <c r="A683" i="7"/>
  <c r="W683" i="7"/>
  <c r="X683" i="7"/>
  <c r="A684" i="7"/>
  <c r="W684" i="7"/>
  <c r="X684" i="7" s="1"/>
  <c r="A685" i="7"/>
  <c r="W685" i="7"/>
  <c r="X685" i="7"/>
  <c r="A686" i="7"/>
  <c r="W686" i="7"/>
  <c r="X686" i="7"/>
  <c r="A687" i="7"/>
  <c r="W687" i="7"/>
  <c r="X687" i="7"/>
  <c r="A688" i="7"/>
  <c r="W688" i="7"/>
  <c r="X688" i="7" s="1"/>
  <c r="A689" i="7"/>
  <c r="W689" i="7"/>
  <c r="X689" i="7" s="1"/>
  <c r="A690" i="7"/>
  <c r="W690" i="7"/>
  <c r="X690" i="7"/>
  <c r="A691" i="7"/>
  <c r="W691" i="7"/>
  <c r="X691" i="7" s="1"/>
  <c r="A692" i="7"/>
  <c r="W692" i="7"/>
  <c r="X692" i="7"/>
  <c r="A693" i="7"/>
  <c r="W693" i="7"/>
  <c r="X693" i="7"/>
  <c r="A694" i="7"/>
  <c r="W694" i="7"/>
  <c r="X694" i="7" s="1"/>
  <c r="A695" i="7"/>
  <c r="W695" i="7"/>
  <c r="X695" i="7" s="1"/>
  <c r="A696" i="7"/>
  <c r="W696" i="7"/>
  <c r="X696" i="7"/>
  <c r="A697" i="7"/>
  <c r="W697" i="7"/>
  <c r="X697" i="7" s="1"/>
  <c r="A698" i="7"/>
  <c r="W698" i="7"/>
  <c r="X698" i="7" s="1"/>
  <c r="A699" i="7"/>
  <c r="W699" i="7"/>
  <c r="X699" i="7" s="1"/>
  <c r="A700" i="7"/>
  <c r="W700" i="7"/>
  <c r="X700" i="7"/>
  <c r="A701" i="7"/>
  <c r="W701" i="7"/>
  <c r="X701" i="7" s="1"/>
  <c r="A702" i="7"/>
  <c r="W702" i="7"/>
  <c r="X702" i="7" s="1"/>
  <c r="A703" i="7"/>
  <c r="W703" i="7"/>
  <c r="X703" i="7"/>
  <c r="A704" i="7"/>
  <c r="W704" i="7"/>
  <c r="X704" i="7"/>
  <c r="A705" i="7"/>
  <c r="W705" i="7"/>
  <c r="X705" i="7" s="1"/>
  <c r="A706" i="7"/>
  <c r="W706" i="7"/>
  <c r="X706" i="7"/>
  <c r="A707" i="7"/>
  <c r="W707" i="7"/>
  <c r="X707" i="7" s="1"/>
  <c r="A708" i="7"/>
  <c r="W708" i="7"/>
  <c r="X708" i="7"/>
  <c r="A709" i="7"/>
  <c r="W709" i="7"/>
  <c r="X709" i="7" s="1"/>
  <c r="A710" i="7"/>
  <c r="W710" i="7"/>
  <c r="X710" i="7"/>
  <c r="A711" i="7"/>
  <c r="W711" i="7"/>
  <c r="X711" i="7" s="1"/>
  <c r="A712" i="7"/>
  <c r="W712" i="7"/>
  <c r="X712" i="7"/>
  <c r="A713" i="7"/>
  <c r="W713" i="7"/>
  <c r="X713" i="7"/>
  <c r="A714" i="7"/>
  <c r="W714" i="7"/>
  <c r="X714" i="7" s="1"/>
  <c r="A715" i="7"/>
  <c r="W715" i="7"/>
  <c r="X715" i="7"/>
  <c r="A716" i="7"/>
  <c r="W716" i="7"/>
  <c r="X716" i="7"/>
  <c r="A717" i="7"/>
  <c r="W717" i="7"/>
  <c r="X717" i="7"/>
  <c r="A718" i="7"/>
  <c r="W718" i="7"/>
  <c r="X718" i="7" s="1"/>
  <c r="A719" i="7"/>
  <c r="W719" i="7"/>
  <c r="X719" i="7"/>
  <c r="A720" i="7"/>
  <c r="W720" i="7"/>
  <c r="X720" i="7"/>
  <c r="A721" i="7"/>
  <c r="W721" i="7"/>
  <c r="X721" i="7"/>
  <c r="A722" i="7"/>
  <c r="W722" i="7"/>
  <c r="X722" i="7" s="1"/>
  <c r="A723" i="7"/>
  <c r="W723" i="7"/>
  <c r="X723" i="7"/>
  <c r="A724" i="7"/>
  <c r="W724" i="7"/>
  <c r="X724" i="7"/>
  <c r="A725" i="7"/>
  <c r="W725" i="7"/>
  <c r="X725" i="7"/>
  <c r="A726" i="7"/>
  <c r="W726" i="7"/>
  <c r="X726" i="7" s="1"/>
  <c r="A727" i="7"/>
  <c r="W727" i="7"/>
  <c r="X727" i="7"/>
  <c r="A728" i="7"/>
  <c r="W728" i="7"/>
  <c r="X728" i="7"/>
  <c r="A729" i="7"/>
  <c r="W729" i="7"/>
  <c r="X729" i="7" s="1"/>
  <c r="A730" i="7"/>
  <c r="W730" i="7"/>
  <c r="X730" i="7"/>
  <c r="A731" i="7"/>
  <c r="W731" i="7"/>
  <c r="X731" i="7" s="1"/>
  <c r="A732" i="7"/>
  <c r="W732" i="7"/>
  <c r="X732" i="7"/>
  <c r="A733" i="7"/>
  <c r="W733" i="7"/>
  <c r="X733" i="7" s="1"/>
  <c r="A734" i="7"/>
  <c r="W734" i="7"/>
  <c r="X734" i="7"/>
  <c r="A735" i="7"/>
  <c r="W735" i="7"/>
  <c r="X735" i="7" s="1"/>
  <c r="A736" i="7"/>
  <c r="W736" i="7"/>
  <c r="X736" i="7"/>
  <c r="A737" i="7"/>
  <c r="W737" i="7"/>
  <c r="X737" i="7"/>
  <c r="A738" i="7"/>
  <c r="W738" i="7"/>
  <c r="X738" i="7" s="1"/>
  <c r="A739" i="7"/>
  <c r="W739" i="7"/>
  <c r="X739" i="7"/>
  <c r="A740" i="7"/>
  <c r="W740" i="7"/>
  <c r="X740" i="7"/>
  <c r="A741" i="7"/>
  <c r="W741" i="7"/>
  <c r="X741" i="7"/>
  <c r="A742" i="7"/>
  <c r="W742" i="7"/>
  <c r="X742" i="7" s="1"/>
  <c r="A743" i="7"/>
  <c r="W743" i="7"/>
  <c r="X743" i="7" s="1"/>
  <c r="A744" i="7"/>
  <c r="W744" i="7"/>
  <c r="X744" i="7"/>
  <c r="A745" i="7"/>
  <c r="W745" i="7"/>
  <c r="X745" i="7" s="1"/>
  <c r="A746" i="7"/>
  <c r="W746" i="7"/>
  <c r="X746" i="7"/>
  <c r="A747" i="7"/>
  <c r="W747" i="7"/>
  <c r="X747" i="7" s="1"/>
  <c r="A748" i="7"/>
  <c r="W748" i="7"/>
  <c r="X748" i="7"/>
  <c r="A749" i="7"/>
  <c r="W749" i="7"/>
  <c r="X749" i="7"/>
  <c r="A750" i="7"/>
  <c r="W750" i="7"/>
  <c r="X750" i="7" s="1"/>
  <c r="A751" i="7"/>
  <c r="W751" i="7"/>
  <c r="X751" i="7"/>
  <c r="A752" i="7"/>
  <c r="W752" i="7"/>
  <c r="X752" i="7"/>
  <c r="A753" i="7"/>
  <c r="W753" i="7"/>
  <c r="X753" i="7" s="1"/>
  <c r="A754" i="7"/>
  <c r="W754" i="7"/>
  <c r="X754" i="7"/>
  <c r="A755" i="7"/>
  <c r="W755" i="7"/>
  <c r="X755" i="7" s="1"/>
  <c r="A756" i="7"/>
  <c r="W756" i="7"/>
  <c r="X756" i="7"/>
  <c r="A757" i="7"/>
  <c r="W757" i="7"/>
  <c r="X757" i="7" s="1"/>
  <c r="A758" i="7"/>
  <c r="W758" i="7"/>
  <c r="X758" i="7" s="1"/>
  <c r="A759" i="7"/>
  <c r="W759" i="7"/>
  <c r="X759" i="7"/>
  <c r="A760" i="7"/>
  <c r="W760" i="7"/>
  <c r="X760" i="7"/>
  <c r="A761" i="7"/>
  <c r="W761" i="7"/>
  <c r="X761" i="7"/>
  <c r="A762" i="7"/>
  <c r="W762" i="7"/>
  <c r="X762" i="7" s="1"/>
  <c r="A763" i="7"/>
  <c r="W763" i="7"/>
  <c r="X763" i="7" s="1"/>
  <c r="A764" i="7"/>
  <c r="W764" i="7"/>
  <c r="X764" i="7"/>
  <c r="A765" i="7"/>
  <c r="W765" i="7"/>
  <c r="X765" i="7" s="1"/>
  <c r="A766" i="7"/>
  <c r="W766" i="7"/>
  <c r="X766" i="7"/>
  <c r="A767" i="7"/>
  <c r="W767" i="7"/>
  <c r="X767" i="7"/>
  <c r="A768" i="7"/>
  <c r="W768" i="7"/>
  <c r="X768" i="7"/>
  <c r="A769" i="7"/>
  <c r="W769" i="7"/>
  <c r="X769" i="7" s="1"/>
  <c r="A770" i="7"/>
  <c r="W770" i="7"/>
  <c r="X770" i="7"/>
  <c r="A771" i="7"/>
  <c r="W771" i="7"/>
  <c r="X771" i="7" s="1"/>
  <c r="A772" i="7"/>
  <c r="W772" i="7"/>
  <c r="X772" i="7"/>
  <c r="A773" i="7"/>
  <c r="W773" i="7"/>
  <c r="X773" i="7" s="1"/>
  <c r="A774" i="7"/>
  <c r="W774" i="7"/>
  <c r="X774" i="7"/>
  <c r="A775" i="7"/>
  <c r="W775" i="7"/>
  <c r="X775" i="7" s="1"/>
  <c r="A776" i="7"/>
  <c r="W776" i="7"/>
  <c r="X776" i="7"/>
  <c r="A777" i="7"/>
  <c r="W777" i="7"/>
  <c r="X777" i="7" s="1"/>
  <c r="A778" i="7"/>
  <c r="W778" i="7"/>
  <c r="X778" i="7"/>
  <c r="A779" i="7"/>
  <c r="W779" i="7"/>
  <c r="X779" i="7" s="1"/>
  <c r="A780" i="7"/>
  <c r="W780" i="7"/>
  <c r="X780" i="7"/>
  <c r="A781" i="7"/>
  <c r="W781" i="7"/>
  <c r="X781" i="7"/>
  <c r="A782" i="7"/>
  <c r="W782" i="7"/>
  <c r="X782" i="7"/>
  <c r="A783" i="7"/>
  <c r="W783" i="7"/>
  <c r="X783" i="7" s="1"/>
  <c r="A784" i="7"/>
  <c r="W784" i="7"/>
  <c r="X784" i="7"/>
  <c r="A785" i="7"/>
  <c r="W785" i="7"/>
  <c r="X785" i="7" s="1"/>
  <c r="A786" i="7"/>
  <c r="W786" i="7"/>
  <c r="X786" i="7" s="1"/>
  <c r="A787" i="7"/>
  <c r="W787" i="7"/>
  <c r="X787" i="7"/>
  <c r="A788" i="7"/>
  <c r="W788" i="7"/>
  <c r="X788" i="7"/>
  <c r="A789" i="7"/>
  <c r="W789" i="7"/>
  <c r="X789" i="7"/>
  <c r="A790" i="7"/>
  <c r="W790" i="7"/>
  <c r="X790" i="7"/>
  <c r="A791" i="7"/>
  <c r="W791" i="7"/>
  <c r="X791" i="7" s="1"/>
  <c r="A792" i="7"/>
  <c r="W792" i="7"/>
  <c r="X792" i="7"/>
  <c r="A793" i="7"/>
  <c r="W793" i="7"/>
  <c r="X793" i="7" s="1"/>
  <c r="A794" i="7"/>
  <c r="W794" i="7"/>
  <c r="X794" i="7"/>
  <c r="A795" i="7"/>
  <c r="W795" i="7"/>
  <c r="X795" i="7" s="1"/>
  <c r="A796" i="7"/>
  <c r="W796" i="7"/>
  <c r="X796" i="7"/>
  <c r="A797" i="7"/>
  <c r="W797" i="7"/>
  <c r="X797" i="7" s="1"/>
  <c r="A798" i="7"/>
  <c r="W798" i="7"/>
  <c r="X798" i="7"/>
  <c r="A799" i="7"/>
  <c r="W799" i="7"/>
  <c r="X799" i="7" s="1"/>
  <c r="A800" i="7"/>
  <c r="W800" i="7"/>
  <c r="X800" i="7"/>
  <c r="A801" i="7"/>
  <c r="W801" i="7"/>
  <c r="X801" i="7"/>
  <c r="A802" i="7"/>
  <c r="W802" i="7"/>
  <c r="X802" i="7"/>
  <c r="A803" i="7"/>
  <c r="W803" i="7"/>
  <c r="X803" i="7" s="1"/>
  <c r="A804" i="7"/>
  <c r="W804" i="7"/>
  <c r="X804" i="7"/>
  <c r="A805" i="7"/>
  <c r="W805" i="7"/>
  <c r="X805" i="7" s="1"/>
  <c r="A806" i="7"/>
  <c r="W806" i="7"/>
  <c r="X806" i="7"/>
  <c r="A807" i="7"/>
  <c r="W807" i="7"/>
  <c r="X807" i="7" s="1"/>
  <c r="A808" i="7"/>
  <c r="W808" i="7"/>
  <c r="X808" i="7"/>
  <c r="A809" i="7"/>
  <c r="W809" i="7"/>
  <c r="X809" i="7" s="1"/>
  <c r="A810" i="7"/>
  <c r="W810" i="7"/>
  <c r="X810" i="7" s="1"/>
  <c r="A811" i="7"/>
  <c r="W811" i="7"/>
  <c r="X811" i="7" s="1"/>
  <c r="A812" i="7"/>
  <c r="W812" i="7"/>
  <c r="X812" i="7"/>
  <c r="A813" i="7"/>
  <c r="W813" i="7"/>
  <c r="X813" i="7" s="1"/>
  <c r="A814" i="7"/>
  <c r="W814" i="7"/>
  <c r="X814" i="7" s="1"/>
  <c r="A815" i="7"/>
  <c r="W815" i="7"/>
  <c r="X815" i="7"/>
  <c r="A816" i="7"/>
  <c r="W816" i="7"/>
  <c r="X816" i="7"/>
  <c r="A817" i="7"/>
  <c r="W817" i="7"/>
  <c r="X817" i="7" s="1"/>
  <c r="A818" i="7"/>
  <c r="W818" i="7"/>
  <c r="X818" i="7"/>
  <c r="A819" i="7"/>
  <c r="W819" i="7"/>
  <c r="X819" i="7" s="1"/>
  <c r="A820" i="7"/>
  <c r="W820" i="7"/>
  <c r="X820" i="7"/>
  <c r="A821" i="7"/>
  <c r="W821" i="7"/>
  <c r="X821" i="7"/>
  <c r="A822" i="7"/>
  <c r="W822" i="7"/>
  <c r="X822" i="7" s="1"/>
  <c r="A823" i="7"/>
  <c r="W823" i="7"/>
  <c r="X823" i="7"/>
  <c r="A824" i="7"/>
  <c r="W824" i="7"/>
  <c r="X824" i="7"/>
  <c r="A825" i="7"/>
  <c r="W825" i="7"/>
  <c r="X825" i="7"/>
  <c r="A826" i="7"/>
  <c r="W826" i="7"/>
  <c r="X826" i="7"/>
  <c r="A827" i="7"/>
  <c r="W827" i="7"/>
  <c r="X827" i="7"/>
  <c r="A828" i="7"/>
  <c r="W828" i="7"/>
  <c r="X828" i="7"/>
  <c r="A829" i="7"/>
  <c r="W829" i="7"/>
  <c r="X829" i="7"/>
  <c r="A830" i="7"/>
  <c r="W830" i="7"/>
  <c r="X830" i="7"/>
  <c r="A831" i="7"/>
  <c r="W831" i="7"/>
  <c r="X831" i="7"/>
  <c r="A832" i="7"/>
  <c r="W832" i="7"/>
  <c r="X832" i="7"/>
  <c r="A833" i="7"/>
  <c r="W833" i="7"/>
  <c r="X833" i="7"/>
  <c r="A834" i="7"/>
  <c r="W834" i="7"/>
  <c r="X834" i="7"/>
  <c r="A835" i="7"/>
  <c r="W835" i="7"/>
  <c r="X835" i="7"/>
  <c r="A836" i="7"/>
  <c r="W836" i="7"/>
  <c r="X836" i="7"/>
  <c r="A837" i="7"/>
  <c r="W837" i="7"/>
  <c r="X837" i="7"/>
  <c r="A838" i="7"/>
  <c r="W838" i="7"/>
  <c r="X838" i="7"/>
  <c r="A839" i="7"/>
  <c r="W839" i="7"/>
  <c r="X839" i="7"/>
  <c r="A840" i="7"/>
  <c r="W840" i="7"/>
  <c r="X840" i="7"/>
  <c r="A841" i="7"/>
  <c r="W841" i="7"/>
  <c r="X841" i="7"/>
  <c r="A842" i="7"/>
  <c r="W842" i="7"/>
  <c r="X842" i="7"/>
  <c r="A843" i="7"/>
  <c r="W843" i="7"/>
  <c r="X843" i="7"/>
  <c r="A844" i="7"/>
  <c r="W844" i="7"/>
  <c r="X844" i="7"/>
  <c r="A845" i="7"/>
  <c r="W845" i="7"/>
  <c r="X845" i="7"/>
  <c r="A846" i="7"/>
  <c r="W846" i="7"/>
  <c r="X846" i="7"/>
  <c r="A847" i="7"/>
  <c r="W847" i="7"/>
  <c r="X847" i="7"/>
  <c r="A848" i="7"/>
  <c r="W848" i="7"/>
  <c r="X848" i="7"/>
  <c r="A849" i="7"/>
  <c r="W849" i="7"/>
  <c r="X849" i="7"/>
  <c r="A850" i="7"/>
  <c r="W850" i="7"/>
  <c r="X850" i="7"/>
  <c r="A851" i="7"/>
  <c r="W851" i="7"/>
  <c r="X851" i="7"/>
  <c r="A852" i="7"/>
  <c r="W852" i="7"/>
  <c r="X852" i="7"/>
  <c r="A853" i="7"/>
  <c r="W853" i="7"/>
  <c r="X853" i="7"/>
  <c r="A854" i="7"/>
  <c r="W854" i="7"/>
  <c r="X854" i="7"/>
  <c r="A855" i="7"/>
  <c r="W855" i="7"/>
  <c r="X855" i="7"/>
  <c r="A856" i="7"/>
  <c r="W856" i="7"/>
  <c r="X856" i="7"/>
  <c r="A857" i="7"/>
  <c r="W857" i="7"/>
  <c r="X857" i="7"/>
  <c r="A858" i="7"/>
  <c r="W858" i="7"/>
  <c r="X858" i="7"/>
  <c r="A859" i="7"/>
  <c r="W859" i="7"/>
  <c r="X859" i="7"/>
  <c r="A860" i="7"/>
  <c r="W860" i="7"/>
  <c r="X860" i="7"/>
  <c r="A861" i="7"/>
  <c r="W861" i="7"/>
  <c r="X861" i="7"/>
  <c r="A862" i="7"/>
  <c r="W862" i="7"/>
  <c r="X862" i="7"/>
  <c r="A863" i="7"/>
  <c r="W863" i="7"/>
  <c r="X863" i="7"/>
  <c r="A864" i="7"/>
  <c r="W864" i="7"/>
  <c r="X864" i="7"/>
  <c r="A865" i="7"/>
  <c r="W865" i="7"/>
  <c r="X865" i="7" s="1"/>
  <c r="A866" i="7"/>
  <c r="W866" i="7"/>
  <c r="X866" i="7"/>
  <c r="A867" i="7"/>
  <c r="W867" i="7"/>
  <c r="X867" i="7"/>
  <c r="A868" i="7"/>
  <c r="W868" i="7"/>
  <c r="X868" i="7"/>
  <c r="A869" i="7"/>
  <c r="W869" i="7"/>
  <c r="X869" i="7"/>
  <c r="A870" i="7"/>
  <c r="W870" i="7"/>
  <c r="X870" i="7"/>
  <c r="A871" i="7"/>
  <c r="W871" i="7"/>
  <c r="X871" i="7"/>
  <c r="A872" i="7"/>
  <c r="W872" i="7"/>
  <c r="X872" i="7"/>
  <c r="A873" i="7"/>
  <c r="W873" i="7"/>
  <c r="X873" i="7"/>
  <c r="A874" i="7"/>
  <c r="W874" i="7"/>
  <c r="X874" i="7"/>
  <c r="A875" i="7"/>
  <c r="W875" i="7"/>
  <c r="X875" i="7" s="1"/>
  <c r="A876" i="7"/>
  <c r="W876" i="7"/>
  <c r="X876" i="7"/>
  <c r="A877" i="7"/>
  <c r="W877" i="7"/>
  <c r="X877" i="7" s="1"/>
  <c r="A878" i="7"/>
  <c r="W878" i="7"/>
  <c r="X878" i="7"/>
  <c r="A879" i="7"/>
  <c r="W879" i="7"/>
  <c r="X879" i="7" s="1"/>
  <c r="A880" i="7"/>
  <c r="W880" i="7"/>
  <c r="X880" i="7"/>
  <c r="A881" i="7"/>
  <c r="W881" i="7"/>
  <c r="X881" i="7" s="1"/>
  <c r="A882" i="7"/>
  <c r="W882" i="7"/>
  <c r="X882" i="7"/>
  <c r="A883" i="7"/>
  <c r="W883" i="7"/>
  <c r="X883" i="7" s="1"/>
  <c r="A884" i="7"/>
  <c r="W884" i="7"/>
  <c r="X884" i="7"/>
  <c r="A885" i="7"/>
  <c r="W885" i="7"/>
  <c r="X885" i="7"/>
  <c r="A886" i="7"/>
  <c r="W886" i="7"/>
  <c r="X886" i="7"/>
  <c r="A887" i="7"/>
  <c r="W887" i="7"/>
  <c r="X887" i="7"/>
  <c r="A888" i="7"/>
  <c r="W888" i="7"/>
  <c r="X888" i="7"/>
  <c r="A889" i="7"/>
  <c r="W889" i="7"/>
  <c r="X889" i="7"/>
  <c r="A890" i="7"/>
  <c r="W890" i="7"/>
  <c r="X890" i="7"/>
  <c r="A891" i="7"/>
  <c r="W891" i="7"/>
  <c r="X891" i="7"/>
  <c r="A892" i="7"/>
  <c r="W892" i="7"/>
  <c r="X892" i="7"/>
  <c r="A893" i="7"/>
  <c r="W893" i="7"/>
  <c r="X893" i="7"/>
  <c r="A894" i="7"/>
  <c r="W894" i="7"/>
  <c r="X894" i="7"/>
  <c r="A895" i="7"/>
  <c r="W895" i="7"/>
  <c r="X895" i="7"/>
  <c r="A896" i="7"/>
  <c r="W896" i="7"/>
  <c r="X896" i="7"/>
  <c r="A897" i="7"/>
  <c r="W897" i="7"/>
  <c r="X897" i="7" s="1"/>
  <c r="A898" i="7"/>
  <c r="W898" i="7"/>
  <c r="X898" i="7"/>
  <c r="A899" i="7"/>
  <c r="W899" i="7"/>
  <c r="X899" i="7"/>
  <c r="A900" i="7"/>
  <c r="W900" i="7"/>
  <c r="X900" i="7"/>
  <c r="A901" i="7"/>
  <c r="W901" i="7"/>
  <c r="X901" i="7"/>
  <c r="A902" i="7"/>
  <c r="W902" i="7"/>
  <c r="X902" i="7"/>
  <c r="A903" i="7"/>
  <c r="W903" i="7"/>
  <c r="X903" i="7"/>
  <c r="A904" i="7"/>
  <c r="W904" i="7"/>
  <c r="X904" i="7"/>
  <c r="A905" i="7"/>
  <c r="W905" i="7"/>
  <c r="X905" i="7"/>
  <c r="A906" i="7"/>
  <c r="W906" i="7"/>
  <c r="X906" i="7"/>
  <c r="A907" i="7"/>
  <c r="W907" i="7"/>
  <c r="X907" i="7"/>
  <c r="A908" i="7"/>
  <c r="W908" i="7"/>
  <c r="X908" i="7"/>
  <c r="A909" i="7"/>
  <c r="W909" i="7"/>
  <c r="X909" i="7"/>
  <c r="A910" i="7"/>
  <c r="W910" i="7"/>
  <c r="X910" i="7" s="1"/>
  <c r="A911" i="7"/>
  <c r="W911" i="7"/>
  <c r="X911" i="7"/>
  <c r="A912" i="7"/>
  <c r="W912" i="7"/>
  <c r="X912" i="7"/>
  <c r="A913" i="7"/>
  <c r="W913" i="7"/>
  <c r="X913" i="7" s="1"/>
  <c r="A914" i="7"/>
  <c r="W914" i="7"/>
  <c r="X914" i="7"/>
  <c r="A915" i="7"/>
  <c r="W915" i="7"/>
  <c r="X915" i="7"/>
  <c r="A916" i="7"/>
  <c r="W916" i="7"/>
  <c r="X916" i="7"/>
  <c r="A917" i="7"/>
  <c r="W917" i="7"/>
  <c r="X917" i="7"/>
  <c r="A918" i="7"/>
  <c r="W918" i="7"/>
  <c r="X918" i="7" s="1"/>
  <c r="A919" i="7"/>
  <c r="W919" i="7"/>
  <c r="X919" i="7"/>
  <c r="A920" i="7"/>
  <c r="W920" i="7"/>
  <c r="X920" i="7"/>
  <c r="A921" i="7"/>
  <c r="W921" i="7"/>
  <c r="X921" i="7"/>
  <c r="A922" i="7"/>
  <c r="W922" i="7"/>
  <c r="X922" i="7"/>
  <c r="A923" i="7"/>
  <c r="W923" i="7"/>
  <c r="X923" i="7" s="1"/>
  <c r="A924" i="7"/>
  <c r="W924" i="7"/>
  <c r="X924" i="7"/>
  <c r="A925" i="7"/>
  <c r="W925" i="7"/>
  <c r="X925" i="7"/>
  <c r="A926" i="7"/>
  <c r="W926" i="7"/>
  <c r="X926" i="7"/>
  <c r="A927" i="7"/>
  <c r="W927" i="7"/>
  <c r="X927" i="7" s="1"/>
  <c r="A928" i="7"/>
  <c r="W928" i="7"/>
  <c r="X928" i="7"/>
  <c r="A929" i="7"/>
  <c r="W929" i="7"/>
  <c r="X929" i="7"/>
  <c r="A930" i="7"/>
  <c r="W930" i="7"/>
  <c r="X930" i="7"/>
  <c r="A931" i="7"/>
  <c r="W931" i="7"/>
  <c r="X931" i="7"/>
  <c r="A932" i="7"/>
  <c r="W932" i="7"/>
  <c r="X932" i="7"/>
  <c r="A933" i="7"/>
  <c r="W933" i="7"/>
  <c r="X933" i="7"/>
  <c r="A934" i="7"/>
  <c r="W934" i="7"/>
  <c r="X934" i="7"/>
  <c r="A935" i="7"/>
  <c r="W935" i="7"/>
  <c r="X935" i="7"/>
  <c r="A936" i="7"/>
  <c r="W936" i="7"/>
  <c r="X936" i="7"/>
  <c r="A937" i="7"/>
  <c r="W937" i="7"/>
  <c r="X937" i="7"/>
  <c r="A938" i="7"/>
  <c r="W938" i="7"/>
  <c r="X938" i="7"/>
  <c r="A939" i="7"/>
  <c r="W939" i="7"/>
  <c r="X939" i="7"/>
  <c r="A940" i="7"/>
  <c r="W940" i="7"/>
  <c r="X940" i="7"/>
  <c r="A941" i="7"/>
  <c r="W941" i="7"/>
  <c r="X941" i="7"/>
  <c r="A942" i="7"/>
  <c r="W942" i="7"/>
  <c r="X942" i="7"/>
  <c r="A943" i="7"/>
  <c r="W943" i="7"/>
  <c r="X943" i="7"/>
  <c r="A944" i="7"/>
  <c r="W944" i="7"/>
  <c r="X944" i="7"/>
  <c r="A945" i="7"/>
  <c r="W945" i="7"/>
  <c r="X945" i="7"/>
  <c r="A946" i="7"/>
  <c r="W946" i="7"/>
  <c r="X946" i="7"/>
  <c r="A947" i="7"/>
  <c r="W947" i="7"/>
  <c r="X947" i="7"/>
  <c r="A948" i="7"/>
  <c r="W948" i="7"/>
  <c r="X948" i="7"/>
  <c r="A949" i="7"/>
  <c r="W949" i="7"/>
  <c r="X949" i="7"/>
  <c r="A950" i="7"/>
  <c r="W950" i="7"/>
  <c r="X950" i="7"/>
  <c r="A951" i="7"/>
  <c r="W951" i="7"/>
  <c r="X951" i="7"/>
  <c r="A952" i="7"/>
  <c r="W952" i="7"/>
  <c r="X952" i="7"/>
  <c r="A953" i="7"/>
  <c r="W953" i="7"/>
  <c r="X953" i="7"/>
  <c r="A954" i="7"/>
  <c r="W954" i="7"/>
  <c r="X954" i="7" s="1"/>
  <c r="A955" i="7"/>
  <c r="W955" i="7"/>
  <c r="X955" i="7"/>
  <c r="A956" i="7"/>
  <c r="W956" i="7"/>
  <c r="X956" i="7"/>
  <c r="A957" i="7"/>
  <c r="W957" i="7"/>
  <c r="X957" i="7" s="1"/>
  <c r="A958" i="7"/>
  <c r="W958" i="7"/>
  <c r="X958" i="7" s="1"/>
  <c r="A959" i="7"/>
  <c r="W959" i="7"/>
  <c r="X959" i="7"/>
  <c r="A960" i="7"/>
  <c r="W960" i="7"/>
  <c r="X960" i="7"/>
  <c r="A961" i="7"/>
  <c r="W961" i="7"/>
  <c r="X961" i="7" s="1"/>
  <c r="A962" i="7"/>
  <c r="W962" i="7"/>
  <c r="X962" i="7" s="1"/>
  <c r="A963" i="7"/>
  <c r="W963" i="7"/>
  <c r="X963" i="7"/>
  <c r="A964" i="7"/>
  <c r="W964" i="7"/>
  <c r="X964" i="7"/>
  <c r="A965" i="7"/>
  <c r="W965" i="7"/>
  <c r="X965" i="7" s="1"/>
  <c r="A966" i="7"/>
  <c r="W966" i="7"/>
  <c r="X966" i="7" s="1"/>
  <c r="A967" i="7"/>
  <c r="W967" i="7"/>
  <c r="X967" i="7"/>
  <c r="A968" i="7"/>
  <c r="W968" i="7"/>
  <c r="X968" i="7"/>
  <c r="A969" i="7"/>
  <c r="W969" i="7"/>
  <c r="X969" i="7" s="1"/>
  <c r="A970" i="7"/>
  <c r="W970" i="7"/>
  <c r="X970" i="7" s="1"/>
  <c r="A971" i="7"/>
  <c r="W971" i="7"/>
  <c r="X971" i="7"/>
  <c r="A972" i="7"/>
  <c r="W972" i="7"/>
  <c r="X972" i="7"/>
  <c r="A973" i="7"/>
  <c r="W973" i="7"/>
  <c r="X973" i="7" s="1"/>
  <c r="A974" i="7"/>
  <c r="W974" i="7"/>
  <c r="X974" i="7" s="1"/>
  <c r="A975" i="7"/>
  <c r="W975" i="7"/>
  <c r="X975" i="7"/>
  <c r="A976" i="7"/>
  <c r="W976" i="7"/>
  <c r="X976" i="7"/>
  <c r="A977" i="7"/>
  <c r="W977" i="7"/>
  <c r="X977" i="7" s="1"/>
  <c r="A978" i="7"/>
  <c r="W978" i="7"/>
  <c r="X978" i="7" s="1"/>
  <c r="A979" i="7"/>
  <c r="A980" i="7"/>
  <c r="A981" i="7"/>
  <c r="A982" i="7"/>
  <c r="A983" i="7"/>
  <c r="A984" i="7"/>
  <c r="A985" i="7"/>
  <c r="A986" i="7"/>
  <c r="A987" i="7"/>
  <c r="A988" i="7"/>
  <c r="A989" i="7"/>
  <c r="A990" i="7"/>
  <c r="A991" i="7"/>
  <c r="A992" i="7"/>
  <c r="A993" i="7"/>
  <c r="A994" i="7"/>
  <c r="A995" i="7"/>
  <c r="A996" i="7"/>
  <c r="A997" i="7"/>
  <c r="A998" i="7"/>
  <c r="A999" i="7"/>
  <c r="A1000" i="7"/>
  <c r="A1001" i="7"/>
  <c r="AJ19" i="30"/>
  <c r="AA16" i="30"/>
  <c r="G1913" i="9" l="1"/>
  <c r="J1913" i="9"/>
  <c r="J1868" i="9"/>
  <c r="G1868" i="9"/>
  <c r="G1733" i="9"/>
  <c r="J1733" i="9"/>
  <c r="G2317" i="9"/>
  <c r="G2305" i="9"/>
  <c r="G2296" i="9"/>
  <c r="G1769" i="9"/>
  <c r="J1769" i="9"/>
  <c r="J3116" i="9"/>
  <c r="G2370" i="9"/>
  <c r="J2367" i="9"/>
  <c r="G2358" i="9"/>
  <c r="J2355" i="9"/>
  <c r="G2346" i="9"/>
  <c r="J2343" i="9"/>
  <c r="J2331" i="9"/>
  <c r="J2319" i="9"/>
  <c r="J2307" i="9"/>
  <c r="J2270" i="9"/>
  <c r="J2174" i="9"/>
  <c r="J2162" i="9"/>
  <c r="J2150" i="9"/>
  <c r="J2138" i="9"/>
  <c r="J2126" i="9"/>
  <c r="J2114" i="9"/>
  <c r="J2102" i="9"/>
  <c r="J2090" i="9"/>
  <c r="J2078" i="9"/>
  <c r="J2066" i="9"/>
  <c r="J2054" i="9"/>
  <c r="J2042" i="9"/>
  <c r="J2030" i="9"/>
  <c r="J2018" i="9"/>
  <c r="J2006" i="9"/>
  <c r="J1994" i="9"/>
  <c r="J1982" i="9"/>
  <c r="J1970" i="9"/>
  <c r="J1934" i="9"/>
  <c r="J1886" i="9"/>
  <c r="J1838" i="9"/>
  <c r="J1758" i="9"/>
  <c r="G1758" i="9"/>
  <c r="G1748" i="9"/>
  <c r="J1748" i="9"/>
  <c r="G2293" i="9"/>
  <c r="J2278" i="9"/>
  <c r="G2039" i="9"/>
  <c r="G2027" i="9"/>
  <c r="G2015" i="9"/>
  <c r="G2003" i="9"/>
  <c r="G1991" i="9"/>
  <c r="G1979" i="9"/>
  <c r="G1967" i="9"/>
  <c r="G1955" i="9"/>
  <c r="G1943" i="9"/>
  <c r="J1928" i="9"/>
  <c r="G1928" i="9"/>
  <c r="G1925" i="9"/>
  <c r="J1925" i="9"/>
  <c r="G1915" i="9"/>
  <c r="J1880" i="9"/>
  <c r="G1880" i="9"/>
  <c r="G1877" i="9"/>
  <c r="J1877" i="9"/>
  <c r="J1832" i="9"/>
  <c r="G1832" i="9"/>
  <c r="G1829" i="9"/>
  <c r="J1829" i="9"/>
  <c r="G1809" i="9"/>
  <c r="J1809" i="9"/>
  <c r="J1732" i="9"/>
  <c r="G1732" i="9"/>
  <c r="G1718" i="9"/>
  <c r="G1865" i="9"/>
  <c r="J1865" i="9"/>
  <c r="G3110" i="9"/>
  <c r="G2382" i="9"/>
  <c r="G2298" i="9"/>
  <c r="J2267" i="9"/>
  <c r="G2238" i="9"/>
  <c r="G2226" i="9"/>
  <c r="G2217" i="9"/>
  <c r="G2195" i="9"/>
  <c r="G2180" i="9"/>
  <c r="J2177" i="9"/>
  <c r="G2168" i="9"/>
  <c r="J2165" i="9"/>
  <c r="G2156" i="9"/>
  <c r="J2153" i="9"/>
  <c r="G2144" i="9"/>
  <c r="J2141" i="9"/>
  <c r="G2132" i="9"/>
  <c r="J2129" i="9"/>
  <c r="G2120" i="9"/>
  <c r="J2117" i="9"/>
  <c r="G2108" i="9"/>
  <c r="J2105" i="9"/>
  <c r="G2096" i="9"/>
  <c r="J2093" i="9"/>
  <c r="G2084" i="9"/>
  <c r="J2081" i="9"/>
  <c r="G2072" i="9"/>
  <c r="J2069" i="9"/>
  <c r="G2060" i="9"/>
  <c r="J2057" i="9"/>
  <c r="G2048" i="9"/>
  <c r="J2045" i="9"/>
  <c r="G2036" i="9"/>
  <c r="J2033" i="9"/>
  <c r="G2024" i="9"/>
  <c r="J2021" i="9"/>
  <c r="G2012" i="9"/>
  <c r="G2000" i="9"/>
  <c r="G1988" i="9"/>
  <c r="G1976" i="9"/>
  <c r="J1898" i="9"/>
  <c r="J1850" i="9"/>
  <c r="G1805" i="9"/>
  <c r="J1805" i="9"/>
  <c r="J3124" i="9"/>
  <c r="J2283" i="9"/>
  <c r="J2274" i="9"/>
  <c r="J2260" i="9"/>
  <c r="J2240" i="9"/>
  <c r="J2228" i="9"/>
  <c r="J2182" i="9"/>
  <c r="J2170" i="9"/>
  <c r="J2158" i="9"/>
  <c r="J2146" i="9"/>
  <c r="J2134" i="9"/>
  <c r="J2122" i="9"/>
  <c r="J2110" i="9"/>
  <c r="J2098" i="9"/>
  <c r="J2086" i="9"/>
  <c r="J2074" i="9"/>
  <c r="J2062" i="9"/>
  <c r="J2050" i="9"/>
  <c r="J2038" i="9"/>
  <c r="J2026" i="9"/>
  <c r="J2014" i="9"/>
  <c r="J2002" i="9"/>
  <c r="J1990" i="9"/>
  <c r="J1978" i="9"/>
  <c r="J1966" i="9"/>
  <c r="J1954" i="9"/>
  <c r="J1942" i="9"/>
  <c r="J1933" i="9"/>
  <c r="G1927" i="9"/>
  <c r="J1914" i="9"/>
  <c r="J1892" i="9"/>
  <c r="G1892" i="9"/>
  <c r="G1889" i="9"/>
  <c r="J1889" i="9"/>
  <c r="J1844" i="9"/>
  <c r="G1844" i="9"/>
  <c r="G1841" i="9"/>
  <c r="J1841" i="9"/>
  <c r="G1818" i="9"/>
  <c r="J1787" i="9"/>
  <c r="G1787" i="9"/>
  <c r="G1746" i="9"/>
  <c r="J1746" i="9"/>
  <c r="J1916" i="9"/>
  <c r="G1916" i="9"/>
  <c r="J2297" i="9"/>
  <c r="J2254" i="9"/>
  <c r="J2173" i="9"/>
  <c r="J2161" i="9"/>
  <c r="J2149" i="9"/>
  <c r="J2137" i="9"/>
  <c r="J2125" i="9"/>
  <c r="J2113" i="9"/>
  <c r="J2101" i="9"/>
  <c r="J2089" i="9"/>
  <c r="J2077" i="9"/>
  <c r="J2065" i="9"/>
  <c r="J2053" i="9"/>
  <c r="J2041" i="9"/>
  <c r="J2029" i="9"/>
  <c r="J2017" i="9"/>
  <c r="J2005" i="9"/>
  <c r="J1993" i="9"/>
  <c r="J1981" i="9"/>
  <c r="J1969" i="9"/>
  <c r="J1783" i="9"/>
  <c r="G1783" i="9"/>
  <c r="G1777" i="9"/>
  <c r="J1777" i="9"/>
  <c r="J1727" i="9"/>
  <c r="G1727" i="9"/>
  <c r="J3114" i="9"/>
  <c r="G3109" i="9"/>
  <c r="J3105" i="9"/>
  <c r="J3102" i="9"/>
  <c r="G2381" i="9"/>
  <c r="J2377" i="9"/>
  <c r="J2374" i="9"/>
  <c r="J2288" i="9"/>
  <c r="G2277" i="9"/>
  <c r="G2269" i="9"/>
  <c r="J2251" i="9"/>
  <c r="G2237" i="9"/>
  <c r="G2225" i="9"/>
  <c r="J2219" i="9"/>
  <c r="G2179" i="9"/>
  <c r="G2167" i="9"/>
  <c r="G2155" i="9"/>
  <c r="G2143" i="9"/>
  <c r="G2131" i="9"/>
  <c r="G2119" i="9"/>
  <c r="G2107" i="9"/>
  <c r="G2095" i="9"/>
  <c r="G2083" i="9"/>
  <c r="G2071" i="9"/>
  <c r="G2059" i="9"/>
  <c r="G2047" i="9"/>
  <c r="G2035" i="9"/>
  <c r="G2023" i="9"/>
  <c r="G2011" i="9"/>
  <c r="G1999" i="9"/>
  <c r="G1987" i="9"/>
  <c r="G1975" i="9"/>
  <c r="G1963" i="9"/>
  <c r="G1951" i="9"/>
  <c r="G1939" i="9"/>
  <c r="J1910" i="9"/>
  <c r="J1862" i="9"/>
  <c r="G1821" i="9"/>
  <c r="J1821" i="9"/>
  <c r="G1794" i="9"/>
  <c r="J1794" i="9"/>
  <c r="J1756" i="9"/>
  <c r="J2368" i="9"/>
  <c r="J2356" i="9"/>
  <c r="J2271" i="9"/>
  <c r="J1926" i="9"/>
  <c r="J1904" i="9"/>
  <c r="G1904" i="9"/>
  <c r="G1901" i="9"/>
  <c r="J1901" i="9"/>
  <c r="J1878" i="9"/>
  <c r="J1856" i="9"/>
  <c r="G1856" i="9"/>
  <c r="G1853" i="9"/>
  <c r="J1853" i="9"/>
  <c r="J1830" i="9"/>
  <c r="G1786" i="9"/>
  <c r="J1773" i="9"/>
  <c r="G1773" i="9"/>
  <c r="G1734" i="9"/>
  <c r="J1734" i="9"/>
  <c r="J1730" i="9"/>
  <c r="G1730" i="9"/>
  <c r="J2344" i="9"/>
  <c r="J2308" i="9"/>
  <c r="J2242" i="9"/>
  <c r="J1929" i="9"/>
  <c r="J1881" i="9"/>
  <c r="J1833" i="9"/>
  <c r="G1817" i="9"/>
  <c r="J1817" i="9"/>
  <c r="J1726" i="9"/>
  <c r="G1726" i="9"/>
  <c r="J2332" i="9"/>
  <c r="J2320" i="9"/>
  <c r="J2294" i="9"/>
  <c r="J2302" i="9"/>
  <c r="J2239" i="9"/>
  <c r="J2227" i="9"/>
  <c r="J2181" i="9"/>
  <c r="J2169" i="9"/>
  <c r="J2157" i="9"/>
  <c r="J2145" i="9"/>
  <c r="J2133" i="9"/>
  <c r="J2121" i="9"/>
  <c r="J2109" i="9"/>
  <c r="J2097" i="9"/>
  <c r="J2085" i="9"/>
  <c r="J2073" i="9"/>
  <c r="J2061" i="9"/>
  <c r="J2049" i="9"/>
  <c r="J2037" i="9"/>
  <c r="J2025" i="9"/>
  <c r="J2013" i="9"/>
  <c r="J2001" i="9"/>
  <c r="J1989" i="9"/>
  <c r="J1977" i="9"/>
  <c r="J1965" i="9"/>
  <c r="J1953" i="9"/>
  <c r="J1941" i="9"/>
  <c r="J1922" i="9"/>
  <c r="J1874" i="9"/>
  <c r="J1826" i="9"/>
  <c r="J1820" i="9"/>
  <c r="G1820" i="9"/>
  <c r="G1793" i="9"/>
  <c r="J1793" i="9"/>
  <c r="G1762" i="9"/>
  <c r="J1477" i="9"/>
  <c r="J1468" i="9"/>
  <c r="J1422" i="9"/>
  <c r="J1373" i="9"/>
  <c r="G1275" i="9"/>
  <c r="J1275" i="9"/>
  <c r="G1051" i="9"/>
  <c r="J1051" i="9"/>
  <c r="J956" i="9"/>
  <c r="G956" i="9"/>
  <c r="J904" i="9"/>
  <c r="G904" i="9"/>
  <c r="G835" i="9"/>
  <c r="J835" i="9"/>
  <c r="G623" i="9"/>
  <c r="J623" i="9"/>
  <c r="G456" i="9"/>
  <c r="J456" i="9"/>
  <c r="J1797" i="9"/>
  <c r="J1752" i="9"/>
  <c r="J1740" i="9"/>
  <c r="J1720" i="9"/>
  <c r="G1690" i="9"/>
  <c r="J1684" i="9"/>
  <c r="J1657" i="9"/>
  <c r="J1654" i="9"/>
  <c r="J1489" i="9"/>
  <c r="J1486" i="9"/>
  <c r="J1480" i="9"/>
  <c r="G1462" i="9"/>
  <c r="J1434" i="9"/>
  <c r="J1388" i="9"/>
  <c r="J1385" i="9"/>
  <c r="G1382" i="9"/>
  <c r="G1379" i="9"/>
  <c r="G1364" i="9"/>
  <c r="J1348" i="9"/>
  <c r="J1338" i="9"/>
  <c r="J1328" i="9"/>
  <c r="J1302" i="9"/>
  <c r="G1302" i="9"/>
  <c r="G1203" i="9"/>
  <c r="J1203" i="9"/>
  <c r="G1176" i="9"/>
  <c r="J1176" i="9"/>
  <c r="J1091" i="9"/>
  <c r="G1091" i="9"/>
  <c r="G883" i="9"/>
  <c r="J883" i="9"/>
  <c r="G814" i="9"/>
  <c r="J814" i="9"/>
  <c r="J1660" i="9"/>
  <c r="G1325" i="9"/>
  <c r="J1325" i="9"/>
  <c r="G1227" i="9"/>
  <c r="J1227" i="9"/>
  <c r="G938" i="9"/>
  <c r="J938" i="9"/>
  <c r="J844" i="9"/>
  <c r="G844" i="9"/>
  <c r="G746" i="9"/>
  <c r="J746" i="9"/>
  <c r="G712" i="9"/>
  <c r="J712" i="9"/>
  <c r="J694" i="9"/>
  <c r="G694" i="9"/>
  <c r="G608" i="9"/>
  <c r="J608" i="9"/>
  <c r="G570" i="9"/>
  <c r="J570" i="9"/>
  <c r="G417" i="9"/>
  <c r="J417" i="9"/>
  <c r="G264" i="9"/>
  <c r="J264" i="9"/>
  <c r="G260" i="9"/>
  <c r="J260" i="9"/>
  <c r="J1692" i="9"/>
  <c r="J1648" i="9"/>
  <c r="J1636" i="9"/>
  <c r="J1624" i="9"/>
  <c r="J1612" i="9"/>
  <c r="J1600" i="9"/>
  <c r="J1588" i="9"/>
  <c r="J1576" i="9"/>
  <c r="J1458" i="9"/>
  <c r="J1409" i="9"/>
  <c r="G1406" i="9"/>
  <c r="G1403" i="9"/>
  <c r="J1369" i="9"/>
  <c r="J1360" i="9"/>
  <c r="J1308" i="9"/>
  <c r="G1206" i="9"/>
  <c r="J1206" i="9"/>
  <c r="G907" i="9"/>
  <c r="J907" i="9"/>
  <c r="J868" i="9"/>
  <c r="G868" i="9"/>
  <c r="J817" i="9"/>
  <c r="G817" i="9"/>
  <c r="G1230" i="9"/>
  <c r="J1230" i="9"/>
  <c r="G1042" i="9"/>
  <c r="J1042" i="9"/>
  <c r="J996" i="9"/>
  <c r="G996" i="9"/>
  <c r="G540" i="9"/>
  <c r="J540" i="9"/>
  <c r="J1736" i="9"/>
  <c r="J1650" i="9"/>
  <c r="J1436" i="9"/>
  <c r="J1390" i="9"/>
  <c r="G1167" i="9"/>
  <c r="J1167" i="9"/>
  <c r="J1097" i="9"/>
  <c r="G1097" i="9"/>
  <c r="J892" i="9"/>
  <c r="G892" i="9"/>
  <c r="G847" i="9"/>
  <c r="J847" i="9"/>
  <c r="G697" i="9"/>
  <c r="J697" i="9"/>
  <c r="J635" i="9"/>
  <c r="G635" i="9"/>
  <c r="G282" i="9"/>
  <c r="J282" i="9"/>
  <c r="G1808" i="9"/>
  <c r="G1796" i="9"/>
  <c r="G1754" i="9"/>
  <c r="G1751" i="9"/>
  <c r="G1739" i="9"/>
  <c r="J1644" i="9"/>
  <c r="J1638" i="9"/>
  <c r="J1632" i="9"/>
  <c r="J1626" i="9"/>
  <c r="J1620" i="9"/>
  <c r="J1614" i="9"/>
  <c r="J1608" i="9"/>
  <c r="J1602" i="9"/>
  <c r="J1596" i="9"/>
  <c r="J1590" i="9"/>
  <c r="J1584" i="9"/>
  <c r="J1578" i="9"/>
  <c r="J1572" i="9"/>
  <c r="J1566" i="9"/>
  <c r="J1560" i="9"/>
  <c r="J1554" i="9"/>
  <c r="J1548" i="9"/>
  <c r="J1542" i="9"/>
  <c r="J1536" i="9"/>
  <c r="J1530" i="9"/>
  <c r="J1524" i="9"/>
  <c r="J1518" i="9"/>
  <c r="J1512" i="9"/>
  <c r="J1506" i="9"/>
  <c r="J1500" i="9"/>
  <c r="J1494" i="9"/>
  <c r="J1445" i="9"/>
  <c r="J1405" i="9"/>
  <c r="J1396" i="9"/>
  <c r="J1350" i="9"/>
  <c r="G1337" i="9"/>
  <c r="J1337" i="9"/>
  <c r="J1333" i="9"/>
  <c r="J1320" i="9"/>
  <c r="G1291" i="9"/>
  <c r="J1291" i="9"/>
  <c r="J1277" i="9"/>
  <c r="G1277" i="9"/>
  <c r="G1260" i="9"/>
  <c r="J1260" i="9"/>
  <c r="G1215" i="9"/>
  <c r="J1215" i="9"/>
  <c r="J947" i="9"/>
  <c r="G947" i="9"/>
  <c r="G871" i="9"/>
  <c r="J871" i="9"/>
  <c r="G617" i="9"/>
  <c r="J617" i="9"/>
  <c r="G498" i="9"/>
  <c r="J498" i="9"/>
  <c r="J310" i="9"/>
  <c r="G310" i="9"/>
  <c r="G1742" i="9"/>
  <c r="J1460" i="9"/>
  <c r="J1457" i="9"/>
  <c r="G1454" i="9"/>
  <c r="G1451" i="9"/>
  <c r="J1417" i="9"/>
  <c r="J1414" i="9"/>
  <c r="J1408" i="9"/>
  <c r="J1362" i="9"/>
  <c r="G1340" i="9"/>
  <c r="G1314" i="9"/>
  <c r="J1294" i="9"/>
  <c r="G1294" i="9"/>
  <c r="G1236" i="9"/>
  <c r="J1236" i="9"/>
  <c r="G999" i="9"/>
  <c r="J999" i="9"/>
  <c r="J795" i="9"/>
  <c r="G795" i="9"/>
  <c r="G596" i="9"/>
  <c r="J596" i="9"/>
  <c r="G543" i="9"/>
  <c r="J543" i="9"/>
  <c r="G1691" i="9"/>
  <c r="J1469" i="9"/>
  <c r="G1466" i="9"/>
  <c r="J1374" i="9"/>
  <c r="J1343" i="9"/>
  <c r="G1343" i="9"/>
  <c r="G1218" i="9"/>
  <c r="J1218" i="9"/>
  <c r="G1191" i="9"/>
  <c r="J1191" i="9"/>
  <c r="G1170" i="9"/>
  <c r="J1170" i="9"/>
  <c r="J1100" i="9"/>
  <c r="G1100" i="9"/>
  <c r="G895" i="9"/>
  <c r="J895" i="9"/>
  <c r="J856" i="9"/>
  <c r="G856" i="9"/>
  <c r="G829" i="9"/>
  <c r="J829" i="9"/>
  <c r="G688" i="9"/>
  <c r="J688" i="9"/>
  <c r="J655" i="9"/>
  <c r="G655" i="9"/>
  <c r="J1484" i="9"/>
  <c r="G1478" i="9"/>
  <c r="G1475" i="9"/>
  <c r="J1346" i="9"/>
  <c r="G1346" i="9"/>
  <c r="J1048" i="9"/>
  <c r="G1048" i="9"/>
  <c r="J953" i="9"/>
  <c r="G953" i="9"/>
  <c r="J832" i="9"/>
  <c r="G832" i="9"/>
  <c r="J755" i="9"/>
  <c r="G755" i="9"/>
  <c r="J620" i="9"/>
  <c r="G620" i="9"/>
  <c r="J599" i="9"/>
  <c r="G599" i="9"/>
  <c r="G564" i="9"/>
  <c r="J564" i="9"/>
  <c r="J380" i="9"/>
  <c r="G380" i="9"/>
  <c r="J210" i="9"/>
  <c r="G210" i="9"/>
  <c r="J1493" i="9"/>
  <c r="J1398" i="9"/>
  <c r="G1303" i="9"/>
  <c r="J1303" i="9"/>
  <c r="G1266" i="9"/>
  <c r="J1266" i="9"/>
  <c r="G1082" i="9"/>
  <c r="J1082" i="9"/>
  <c r="G1002" i="9"/>
  <c r="J1002" i="9"/>
  <c r="J880" i="9"/>
  <c r="G880" i="9"/>
  <c r="G658" i="9"/>
  <c r="J658" i="9"/>
  <c r="J1785" i="9"/>
  <c r="J1776" i="9"/>
  <c r="J1764" i="9"/>
  <c r="J1729" i="9"/>
  <c r="G1646" i="9"/>
  <c r="G1643" i="9"/>
  <c r="J1637" i="9"/>
  <c r="G1634" i="9"/>
  <c r="G1631" i="9"/>
  <c r="J1625" i="9"/>
  <c r="G1622" i="9"/>
  <c r="G1619" i="9"/>
  <c r="J1613" i="9"/>
  <c r="G1610" i="9"/>
  <c r="G1607" i="9"/>
  <c r="J1601" i="9"/>
  <c r="G1598" i="9"/>
  <c r="G1595" i="9"/>
  <c r="J1589" i="9"/>
  <c r="G1586" i="9"/>
  <c r="G1583" i="9"/>
  <c r="J1577" i="9"/>
  <c r="G1574" i="9"/>
  <c r="G1571" i="9"/>
  <c r="J1565" i="9"/>
  <c r="G1562" i="9"/>
  <c r="G1559" i="9"/>
  <c r="J1553" i="9"/>
  <c r="G1550" i="9"/>
  <c r="G1547" i="9"/>
  <c r="J1541" i="9"/>
  <c r="G1538" i="9"/>
  <c r="G1535" i="9"/>
  <c r="J1529" i="9"/>
  <c r="G1526" i="9"/>
  <c r="G1523" i="9"/>
  <c r="J1517" i="9"/>
  <c r="G1514" i="9"/>
  <c r="G1511" i="9"/>
  <c r="J1505" i="9"/>
  <c r="G1502" i="9"/>
  <c r="G1499" i="9"/>
  <c r="J1465" i="9"/>
  <c r="J1456" i="9"/>
  <c r="J1410" i="9"/>
  <c r="J1361" i="9"/>
  <c r="G1358" i="9"/>
  <c r="G1355" i="9"/>
  <c r="G1349" i="9"/>
  <c r="J1349" i="9"/>
  <c r="J1345" i="9"/>
  <c r="J1329" i="9"/>
  <c r="G1329" i="9"/>
  <c r="G1299" i="9"/>
  <c r="J1299" i="9"/>
  <c r="J1272" i="9"/>
  <c r="G1242" i="9"/>
  <c r="J1242" i="9"/>
  <c r="G859" i="9"/>
  <c r="J859" i="9"/>
  <c r="G808" i="9"/>
  <c r="J808" i="9"/>
  <c r="G644" i="9"/>
  <c r="J644" i="9"/>
  <c r="G605" i="9"/>
  <c r="J605" i="9"/>
  <c r="J567" i="9"/>
  <c r="G567" i="9"/>
  <c r="G414" i="9"/>
  <c r="J414" i="9"/>
  <c r="G322" i="9"/>
  <c r="J322" i="9"/>
  <c r="G1285" i="9"/>
  <c r="G1276" i="9"/>
  <c r="G1247" i="9"/>
  <c r="G1226" i="9"/>
  <c r="G1223" i="9"/>
  <c r="J1151" i="9"/>
  <c r="G1151" i="9"/>
  <c r="J1123" i="9"/>
  <c r="J1114" i="9"/>
  <c r="J1074" i="9"/>
  <c r="J1071" i="9"/>
  <c r="G1016" i="9"/>
  <c r="G1013" i="9"/>
  <c r="G1007" i="9"/>
  <c r="G998" i="9"/>
  <c r="J979" i="9"/>
  <c r="J970" i="9"/>
  <c r="G964" i="9"/>
  <c r="J930" i="9"/>
  <c r="J927" i="9"/>
  <c r="G912" i="9"/>
  <c r="J791" i="9"/>
  <c r="G791" i="9"/>
  <c r="G784" i="9"/>
  <c r="G766" i="9"/>
  <c r="J750" i="9"/>
  <c r="J732" i="9"/>
  <c r="G726" i="9"/>
  <c r="G723" i="9"/>
  <c r="G717" i="9"/>
  <c r="G714" i="9"/>
  <c r="G705" i="9"/>
  <c r="G696" i="9"/>
  <c r="G681" i="9"/>
  <c r="G678" i="9"/>
  <c r="G675" i="9"/>
  <c r="G654" i="9"/>
  <c r="G640" i="9"/>
  <c r="G637" i="9"/>
  <c r="G634" i="9"/>
  <c r="G625" i="9"/>
  <c r="G622" i="9"/>
  <c r="J583" i="9"/>
  <c r="G583" i="9"/>
  <c r="J580" i="9"/>
  <c r="J577" i="9"/>
  <c r="J550" i="9"/>
  <c r="J529" i="9"/>
  <c r="J502" i="9"/>
  <c r="J493" i="9"/>
  <c r="J478" i="9"/>
  <c r="J466" i="9"/>
  <c r="J442" i="9"/>
  <c r="G358" i="9"/>
  <c r="J222" i="9"/>
  <c r="J1264" i="9"/>
  <c r="J1255" i="9"/>
  <c r="J1147" i="9"/>
  <c r="G1144" i="9"/>
  <c r="G1120" i="9"/>
  <c r="G1068" i="9"/>
  <c r="J1034" i="9"/>
  <c r="G1028" i="9"/>
  <c r="G1025" i="9"/>
  <c r="G1019" i="9"/>
  <c r="G1010" i="9"/>
  <c r="G976" i="9"/>
  <c r="G924" i="9"/>
  <c r="J648" i="9"/>
  <c r="J628" i="9"/>
  <c r="J574" i="9"/>
  <c r="J571" i="9"/>
  <c r="G560" i="9"/>
  <c r="G557" i="9"/>
  <c r="G547" i="9"/>
  <c r="J532" i="9"/>
  <c r="J520" i="9"/>
  <c r="J499" i="9"/>
  <c r="J469" i="9"/>
  <c r="J433" i="9"/>
  <c r="G403" i="9"/>
  <c r="G394" i="9"/>
  <c r="G388" i="9"/>
  <c r="G340" i="9"/>
  <c r="J340" i="9"/>
  <c r="J1174" i="9"/>
  <c r="J1171" i="9"/>
  <c r="J1150" i="9"/>
  <c r="J1098" i="9"/>
  <c r="J1095" i="9"/>
  <c r="J1003" i="9"/>
  <c r="J994" i="9"/>
  <c r="J954" i="9"/>
  <c r="J951" i="9"/>
  <c r="G824" i="9"/>
  <c r="J793" i="9"/>
  <c r="G771" i="9"/>
  <c r="G753" i="9"/>
  <c r="G747" i="9"/>
  <c r="G741" i="9"/>
  <c r="J701" i="9"/>
  <c r="J692" i="9"/>
  <c r="J689" i="9"/>
  <c r="G645" i="9"/>
  <c r="J642" i="9"/>
  <c r="G606" i="9"/>
  <c r="J600" i="9"/>
  <c r="J594" i="9"/>
  <c r="J585" i="9"/>
  <c r="J562" i="9"/>
  <c r="J541" i="9"/>
  <c r="G508" i="9"/>
  <c r="J460" i="9"/>
  <c r="J457" i="9"/>
  <c r="J454" i="9"/>
  <c r="G439" i="9"/>
  <c r="J436" i="9"/>
  <c r="J424" i="9"/>
  <c r="G421" i="9"/>
  <c r="J412" i="9"/>
  <c r="G280" i="9"/>
  <c r="J262" i="9"/>
  <c r="G262" i="9"/>
  <c r="J1198" i="9"/>
  <c r="J1195" i="9"/>
  <c r="G1183" i="9"/>
  <c r="J1183" i="9"/>
  <c r="G1168" i="9"/>
  <c r="J1162" i="9"/>
  <c r="J1159" i="9"/>
  <c r="J1110" i="9"/>
  <c r="J1107" i="9"/>
  <c r="G1092" i="9"/>
  <c r="G1052" i="9"/>
  <c r="G1049" i="9"/>
  <c r="G1043" i="9"/>
  <c r="J1015" i="9"/>
  <c r="J1006" i="9"/>
  <c r="G1000" i="9"/>
  <c r="J966" i="9"/>
  <c r="J963" i="9"/>
  <c r="G948" i="9"/>
  <c r="G908" i="9"/>
  <c r="G905" i="9"/>
  <c r="G896" i="9"/>
  <c r="G893" i="9"/>
  <c r="G884" i="9"/>
  <c r="G881" i="9"/>
  <c r="G872" i="9"/>
  <c r="G869" i="9"/>
  <c r="G860" i="9"/>
  <c r="G857" i="9"/>
  <c r="G848" i="9"/>
  <c r="G845" i="9"/>
  <c r="G836" i="9"/>
  <c r="G833" i="9"/>
  <c r="G818" i="9"/>
  <c r="G806" i="9"/>
  <c r="G759" i="9"/>
  <c r="G618" i="9"/>
  <c r="J618" i="9"/>
  <c r="J615" i="9"/>
  <c r="G609" i="9"/>
  <c r="G568" i="9"/>
  <c r="J348" i="9"/>
  <c r="G289" i="9"/>
  <c r="G286" i="9"/>
  <c r="G283" i="9"/>
  <c r="J1192" i="9"/>
  <c r="G1192" i="9"/>
  <c r="G1186" i="9"/>
  <c r="J1186" i="9"/>
  <c r="G636" i="9"/>
  <c r="J636" i="9"/>
  <c r="J426" i="9"/>
  <c r="G357" i="9"/>
  <c r="G354" i="9"/>
  <c r="G272" i="9"/>
  <c r="J272" i="9"/>
  <c r="J240" i="9"/>
  <c r="J224" i="9"/>
  <c r="J211" i="9"/>
  <c r="G211" i="9"/>
  <c r="J200" i="9"/>
  <c r="G826" i="9"/>
  <c r="G777" i="9"/>
  <c r="J752" i="9"/>
  <c r="J519" i="9"/>
  <c r="J492" i="9"/>
  <c r="J432" i="9"/>
  <c r="G360" i="9"/>
  <c r="J360" i="9"/>
  <c r="J214" i="9"/>
  <c r="G214" i="9"/>
  <c r="G573" i="9"/>
  <c r="G531" i="9"/>
  <c r="G528" i="9"/>
  <c r="J528" i="9"/>
  <c r="G501" i="9"/>
  <c r="G450" i="9"/>
  <c r="G438" i="9"/>
  <c r="G368" i="9"/>
  <c r="G298" i="9"/>
  <c r="G295" i="9"/>
  <c r="J268" i="9"/>
  <c r="G268" i="9"/>
  <c r="G217" i="9"/>
  <c r="J217" i="9"/>
  <c r="J1158" i="9"/>
  <c r="J1063" i="9"/>
  <c r="J1054" i="9"/>
  <c r="J1014" i="9"/>
  <c r="J1011" i="9"/>
  <c r="J919" i="9"/>
  <c r="J910" i="9"/>
  <c r="J898" i="9"/>
  <c r="J886" i="9"/>
  <c r="J874" i="9"/>
  <c r="J862" i="9"/>
  <c r="G700" i="9"/>
  <c r="J700" i="9"/>
  <c r="J537" i="9"/>
  <c r="G537" i="9"/>
  <c r="G275" i="9"/>
  <c r="J275" i="9"/>
  <c r="J271" i="9"/>
  <c r="G271" i="9"/>
  <c r="J1310" i="9"/>
  <c r="J1184" i="9"/>
  <c r="G721" i="9"/>
  <c r="J721" i="9"/>
  <c r="J702" i="9"/>
  <c r="J690" i="9"/>
  <c r="G578" i="9"/>
  <c r="J572" i="9"/>
  <c r="G548" i="9"/>
  <c r="J536" i="9"/>
  <c r="G527" i="9"/>
  <c r="G506" i="9"/>
  <c r="J500" i="9"/>
  <c r="J461" i="9"/>
  <c r="J452" i="9"/>
  <c r="J449" i="9"/>
  <c r="J437" i="9"/>
  <c r="G401" i="9"/>
  <c r="G398" i="9"/>
  <c r="G392" i="9"/>
  <c r="J392" i="9"/>
  <c r="J370" i="9"/>
  <c r="J337" i="9"/>
  <c r="G325" i="9"/>
  <c r="J306" i="9"/>
  <c r="J287" i="9"/>
  <c r="J284" i="9"/>
  <c r="G1334" i="9"/>
  <c r="G1331" i="9"/>
  <c r="G1322" i="9"/>
  <c r="J1313" i="9"/>
  <c r="J1288" i="9"/>
  <c r="G1181" i="9"/>
  <c r="J1145" i="9"/>
  <c r="G1145" i="9"/>
  <c r="G1139" i="9"/>
  <c r="G1133" i="9"/>
  <c r="G1130" i="9"/>
  <c r="G1127" i="9"/>
  <c r="J1099" i="9"/>
  <c r="J1090" i="9"/>
  <c r="J1050" i="9"/>
  <c r="J1047" i="9"/>
  <c r="G992" i="9"/>
  <c r="G989" i="9"/>
  <c r="G983" i="9"/>
  <c r="J955" i="9"/>
  <c r="J946" i="9"/>
  <c r="G940" i="9"/>
  <c r="J906" i="9"/>
  <c r="J894" i="9"/>
  <c r="J882" i="9"/>
  <c r="J870" i="9"/>
  <c r="J858" i="9"/>
  <c r="J846" i="9"/>
  <c r="J834" i="9"/>
  <c r="G733" i="9"/>
  <c r="J733" i="9"/>
  <c r="G699" i="9"/>
  <c r="J657" i="9"/>
  <c r="J643" i="9"/>
  <c r="G551" i="9"/>
  <c r="J551" i="9"/>
  <c r="G491" i="9"/>
  <c r="G479" i="9"/>
  <c r="J479" i="9"/>
  <c r="J416" i="9"/>
  <c r="J274" i="9"/>
  <c r="G274" i="9"/>
  <c r="J256" i="9"/>
  <c r="G256" i="9"/>
  <c r="J1300" i="9"/>
  <c r="G1271" i="9"/>
  <c r="G1259" i="9"/>
  <c r="G1241" i="9"/>
  <c r="G1235" i="9"/>
  <c r="G1229" i="9"/>
  <c r="G1217" i="9"/>
  <c r="G1205" i="9"/>
  <c r="G1175" i="9"/>
  <c r="G1169" i="9"/>
  <c r="J1154" i="9"/>
  <c r="J1111" i="9"/>
  <c r="J1102" i="9"/>
  <c r="G1096" i="9"/>
  <c r="J1062" i="9"/>
  <c r="J1059" i="9"/>
  <c r="G1044" i="9"/>
  <c r="G1004" i="9"/>
  <c r="G1001" i="9"/>
  <c r="G995" i="9"/>
  <c r="J967" i="9"/>
  <c r="J958" i="9"/>
  <c r="J918" i="9"/>
  <c r="J915" i="9"/>
  <c r="J754" i="9"/>
  <c r="G754" i="9"/>
  <c r="G745" i="9"/>
  <c r="J745" i="9"/>
  <c r="G711" i="9"/>
  <c r="G693" i="9"/>
  <c r="G687" i="9"/>
  <c r="J672" i="9"/>
  <c r="J666" i="9"/>
  <c r="G619" i="9"/>
  <c r="G610" i="9"/>
  <c r="J589" i="9"/>
  <c r="G569" i="9"/>
  <c r="G563" i="9"/>
  <c r="G542" i="9"/>
  <c r="G497" i="9"/>
  <c r="G455" i="9"/>
  <c r="G413" i="9"/>
  <c r="J382" i="9"/>
  <c r="J346" i="9"/>
  <c r="G321" i="9"/>
  <c r="J312" i="9"/>
  <c r="J277" i="9"/>
  <c r="G263" i="9"/>
  <c r="J263" i="9"/>
  <c r="J259" i="9"/>
  <c r="G259" i="9"/>
  <c r="J181" i="9"/>
  <c r="G157" i="9"/>
  <c r="G154" i="9"/>
  <c r="J138" i="9"/>
  <c r="J89" i="9"/>
  <c r="J77" i="9"/>
  <c r="J74" i="9"/>
  <c r="G62" i="9"/>
  <c r="G25" i="9"/>
  <c r="G10" i="9"/>
  <c r="J159" i="9"/>
  <c r="J150" i="9"/>
  <c r="J101" i="9"/>
  <c r="G202" i="9"/>
  <c r="G199" i="9"/>
  <c r="G178" i="9"/>
  <c r="J171" i="9"/>
  <c r="J162" i="9"/>
  <c r="G132" i="9"/>
  <c r="J122" i="9"/>
  <c r="G34" i="9"/>
  <c r="J30" i="9"/>
  <c r="J183" i="9"/>
  <c r="J174" i="9"/>
  <c r="J116" i="9"/>
  <c r="G71" i="9"/>
  <c r="G46" i="9"/>
  <c r="J42" i="9"/>
  <c r="G208" i="9"/>
  <c r="G156" i="9"/>
  <c r="G95" i="9"/>
  <c r="G83" i="9"/>
  <c r="G180" i="9"/>
  <c r="G131" i="9"/>
  <c r="J48" i="9"/>
  <c r="J11" i="9"/>
  <c r="G511" i="9"/>
  <c r="G250" i="9"/>
  <c r="G247" i="9"/>
  <c r="G244" i="9"/>
  <c r="G70" i="9"/>
  <c r="G17" i="9"/>
  <c r="J194" i="9"/>
  <c r="J176" i="9"/>
  <c r="G155" i="9"/>
  <c r="J148" i="9"/>
  <c r="J133" i="9"/>
  <c r="J90" i="9"/>
  <c r="J50" i="9"/>
  <c r="J188" i="9"/>
  <c r="G167" i="9"/>
  <c r="J160" i="9"/>
  <c r="G118" i="9"/>
  <c r="J111" i="9"/>
  <c r="G106" i="9"/>
  <c r="J102" i="9"/>
  <c r="J99" i="9"/>
  <c r="J87" i="9"/>
  <c r="J13" i="9"/>
  <c r="G179" i="9"/>
  <c r="J172" i="9"/>
  <c r="G130" i="9"/>
  <c r="J123" i="9"/>
  <c r="J72" i="9"/>
  <c r="G35" i="9"/>
  <c r="G2188" i="9"/>
  <c r="J2188" i="9"/>
  <c r="G2291" i="9"/>
  <c r="J2291" i="9"/>
  <c r="G3120" i="9"/>
  <c r="J3120" i="9"/>
  <c r="G3108" i="9"/>
  <c r="J3108" i="9"/>
  <c r="G2380" i="9"/>
  <c r="J2380" i="9"/>
  <c r="G2279" i="9"/>
  <c r="J2279" i="9"/>
  <c r="G2218" i="9"/>
  <c r="J2218" i="9"/>
  <c r="G3115" i="9"/>
  <c r="G2255" i="9"/>
  <c r="J2255" i="9"/>
  <c r="G2363" i="9"/>
  <c r="J2363" i="9"/>
  <c r="G2351" i="9"/>
  <c r="J2351" i="9"/>
  <c r="G2339" i="9"/>
  <c r="J2339" i="9"/>
  <c r="G2327" i="9"/>
  <c r="J2327" i="9"/>
  <c r="G2315" i="9"/>
  <c r="J2315" i="9"/>
  <c r="G2303" i="9"/>
  <c r="J2303" i="9"/>
  <c r="G2266" i="9"/>
  <c r="J2266" i="9"/>
  <c r="G2185" i="9"/>
  <c r="J2185" i="9"/>
  <c r="G2176" i="9"/>
  <c r="J2176" i="9"/>
  <c r="G2211" i="9"/>
  <c r="J2211" i="9"/>
  <c r="J2196" i="9"/>
  <c r="G1197" i="9"/>
  <c r="J1197" i="9"/>
  <c r="G1153" i="9"/>
  <c r="J1153" i="9"/>
  <c r="G539" i="9"/>
  <c r="J539" i="9"/>
  <c r="G467" i="9"/>
  <c r="J467" i="9"/>
  <c r="G333" i="9"/>
  <c r="J333" i="9"/>
  <c r="G252" i="9"/>
  <c r="J252" i="9"/>
  <c r="J3119" i="9"/>
  <c r="J3107" i="9"/>
  <c r="J2379" i="9"/>
  <c r="J2362" i="9"/>
  <c r="J2350" i="9"/>
  <c r="J2338" i="9"/>
  <c r="J2326" i="9"/>
  <c r="J2314" i="9"/>
  <c r="G2257" i="9"/>
  <c r="G2246" i="9"/>
  <c r="G2199" i="9"/>
  <c r="J2199" i="9"/>
  <c r="G1693" i="9"/>
  <c r="J1693" i="9"/>
  <c r="G1687" i="9"/>
  <c r="J1687" i="9"/>
  <c r="G2184" i="9"/>
  <c r="J2184" i="9"/>
  <c r="G2172" i="9"/>
  <c r="J2172" i="9"/>
  <c r="G2160" i="9"/>
  <c r="J2160" i="9"/>
  <c r="G2148" i="9"/>
  <c r="J2148" i="9"/>
  <c r="G2136" i="9"/>
  <c r="J2136" i="9"/>
  <c r="G2124" i="9"/>
  <c r="J2124" i="9"/>
  <c r="G2112" i="9"/>
  <c r="J2112" i="9"/>
  <c r="G2100" i="9"/>
  <c r="J2100" i="9"/>
  <c r="G2088" i="9"/>
  <c r="J2088" i="9"/>
  <c r="G2076" i="9"/>
  <c r="J2076" i="9"/>
  <c r="G2064" i="9"/>
  <c r="J2064" i="9"/>
  <c r="G2052" i="9"/>
  <c r="J2052" i="9"/>
  <c r="G2040" i="9"/>
  <c r="J2040" i="9"/>
  <c r="G2028" i="9"/>
  <c r="J2028" i="9"/>
  <c r="G2016" i="9"/>
  <c r="J2016" i="9"/>
  <c r="G2004" i="9"/>
  <c r="J2004" i="9"/>
  <c r="G1992" i="9"/>
  <c r="J1992" i="9"/>
  <c r="G1980" i="9"/>
  <c r="J1980" i="9"/>
  <c r="G1968" i="9"/>
  <c r="J1968" i="9"/>
  <c r="G1956" i="9"/>
  <c r="J1956" i="9"/>
  <c r="G1944" i="9"/>
  <c r="J1944" i="9"/>
  <c r="G1932" i="9"/>
  <c r="J1932" i="9"/>
  <c r="G1920" i="9"/>
  <c r="J1920" i="9"/>
  <c r="G1908" i="9"/>
  <c r="J1908" i="9"/>
  <c r="G1896" i="9"/>
  <c r="J1896" i="9"/>
  <c r="G1884" i="9"/>
  <c r="J1884" i="9"/>
  <c r="G1872" i="9"/>
  <c r="J1872" i="9"/>
  <c r="G1860" i="9"/>
  <c r="J1860" i="9"/>
  <c r="G1848" i="9"/>
  <c r="J1848" i="9"/>
  <c r="G1836" i="9"/>
  <c r="J1836" i="9"/>
  <c r="G1824" i="9"/>
  <c r="J1824" i="9"/>
  <c r="G1812" i="9"/>
  <c r="J1812" i="9"/>
  <c r="G1800" i="9"/>
  <c r="J1800" i="9"/>
  <c r="J2275" i="9"/>
  <c r="G2262" i="9"/>
  <c r="J2231" i="9"/>
  <c r="G1708" i="9"/>
  <c r="J1708" i="9"/>
  <c r="G2234" i="9"/>
  <c r="J2234" i="9"/>
  <c r="J3118" i="9"/>
  <c r="J3106" i="9"/>
  <c r="J2378" i="9"/>
  <c r="J2361" i="9"/>
  <c r="J2349" i="9"/>
  <c r="J2337" i="9"/>
  <c r="J2325" i="9"/>
  <c r="J2313" i="9"/>
  <c r="J2301" i="9"/>
  <c r="J2289" i="9"/>
  <c r="J1790" i="9"/>
  <c r="G1790" i="9"/>
  <c r="J2230" i="9"/>
  <c r="G2222" i="9"/>
  <c r="J2222" i="9"/>
  <c r="J2209" i="9"/>
  <c r="G2233" i="9"/>
  <c r="J2233" i="9"/>
  <c r="J2197" i="9"/>
  <c r="G2212" i="9"/>
  <c r="J2212" i="9"/>
  <c r="J2263" i="9"/>
  <c r="G2221" i="9"/>
  <c r="J2221" i="9"/>
  <c r="G2200" i="9"/>
  <c r="J2200" i="9"/>
  <c r="J2164" i="9"/>
  <c r="J2152" i="9"/>
  <c r="J2140" i="9"/>
  <c r="J2128" i="9"/>
  <c r="J2116" i="9"/>
  <c r="J2104" i="9"/>
  <c r="J2092" i="9"/>
  <c r="J2080" i="9"/>
  <c r="J2068" i="9"/>
  <c r="J2056" i="9"/>
  <c r="J2044" i="9"/>
  <c r="J2032" i="9"/>
  <c r="J2020" i="9"/>
  <c r="J2008" i="9"/>
  <c r="J1996" i="9"/>
  <c r="J1984" i="9"/>
  <c r="J1972" i="9"/>
  <c r="J1960" i="9"/>
  <c r="J1948" i="9"/>
  <c r="J1936" i="9"/>
  <c r="J1924" i="9"/>
  <c r="J1912" i="9"/>
  <c r="J1900" i="9"/>
  <c r="J1888" i="9"/>
  <c r="J1876" i="9"/>
  <c r="J1864" i="9"/>
  <c r="J1852" i="9"/>
  <c r="J1840" i="9"/>
  <c r="J1828" i="9"/>
  <c r="J1816" i="9"/>
  <c r="J1804" i="9"/>
  <c r="J1792" i="9"/>
  <c r="J1784" i="9"/>
  <c r="G1771" i="9"/>
  <c r="J1771" i="9"/>
  <c r="J1768" i="9"/>
  <c r="J1765" i="9"/>
  <c r="G1731" i="9"/>
  <c r="J1731" i="9"/>
  <c r="G1675" i="9"/>
  <c r="J1675" i="9"/>
  <c r="J1672" i="9"/>
  <c r="J1789" i="9"/>
  <c r="G1779" i="9"/>
  <c r="G1719" i="9"/>
  <c r="J1719" i="9"/>
  <c r="G1663" i="9"/>
  <c r="J1663" i="9"/>
  <c r="G1759" i="9"/>
  <c r="J1759" i="9"/>
  <c r="G1707" i="9"/>
  <c r="J1707" i="9"/>
  <c r="G1651" i="9"/>
  <c r="J1651" i="9"/>
  <c r="G1695" i="9"/>
  <c r="J1695" i="9"/>
  <c r="G1639" i="9"/>
  <c r="J1639" i="9"/>
  <c r="G1627" i="9"/>
  <c r="J1627" i="9"/>
  <c r="G1615" i="9"/>
  <c r="J1615" i="9"/>
  <c r="G1603" i="9"/>
  <c r="J1603" i="9"/>
  <c r="G1591" i="9"/>
  <c r="J1591" i="9"/>
  <c r="G1579" i="9"/>
  <c r="J1579" i="9"/>
  <c r="G1567" i="9"/>
  <c r="J1567" i="9"/>
  <c r="G1555" i="9"/>
  <c r="J1555" i="9"/>
  <c r="G1543" i="9"/>
  <c r="J1543" i="9"/>
  <c r="G1531" i="9"/>
  <c r="J1531" i="9"/>
  <c r="G1519" i="9"/>
  <c r="J1519" i="9"/>
  <c r="G1507" i="9"/>
  <c r="J1507" i="9"/>
  <c r="G1495" i="9"/>
  <c r="J1495" i="9"/>
  <c r="G1483" i="9"/>
  <c r="J1483" i="9"/>
  <c r="G1471" i="9"/>
  <c r="J1471" i="9"/>
  <c r="G1459" i="9"/>
  <c r="J1459" i="9"/>
  <c r="G1447" i="9"/>
  <c r="J1447" i="9"/>
  <c r="G1435" i="9"/>
  <c r="J1435" i="9"/>
  <c r="G1423" i="9"/>
  <c r="J1423" i="9"/>
  <c r="G1411" i="9"/>
  <c r="J1411" i="9"/>
  <c r="G1399" i="9"/>
  <c r="J1399" i="9"/>
  <c r="G1387" i="9"/>
  <c r="J1387" i="9"/>
  <c r="G1375" i="9"/>
  <c r="J1375" i="9"/>
  <c r="G1363" i="9"/>
  <c r="J1363" i="9"/>
  <c r="G1351" i="9"/>
  <c r="J1351" i="9"/>
  <c r="G1339" i="9"/>
  <c r="J1339" i="9"/>
  <c r="G1747" i="9"/>
  <c r="J1747" i="9"/>
  <c r="J1741" i="9"/>
  <c r="G1683" i="9"/>
  <c r="J1683" i="9"/>
  <c r="G1327" i="9"/>
  <c r="J1327" i="9"/>
  <c r="G1297" i="9"/>
  <c r="J1297" i="9"/>
  <c r="J2187" i="9"/>
  <c r="J2175" i="9"/>
  <c r="J2163" i="9"/>
  <c r="J2151" i="9"/>
  <c r="J2139" i="9"/>
  <c r="J2127" i="9"/>
  <c r="J2115" i="9"/>
  <c r="J2103" i="9"/>
  <c r="J2091" i="9"/>
  <c r="J2079" i="9"/>
  <c r="J2067" i="9"/>
  <c r="J2055" i="9"/>
  <c r="J2043" i="9"/>
  <c r="J2031" i="9"/>
  <c r="J2019" i="9"/>
  <c r="J2007" i="9"/>
  <c r="J1995" i="9"/>
  <c r="J1983" i="9"/>
  <c r="J1971" i="9"/>
  <c r="J1959" i="9"/>
  <c r="J1947" i="9"/>
  <c r="J1935" i="9"/>
  <c r="J1923" i="9"/>
  <c r="J1911" i="9"/>
  <c r="J1899" i="9"/>
  <c r="J1887" i="9"/>
  <c r="J1875" i="9"/>
  <c r="J1863" i="9"/>
  <c r="J1851" i="9"/>
  <c r="J1839" i="9"/>
  <c r="J1827" i="9"/>
  <c r="J1815" i="9"/>
  <c r="J1803" i="9"/>
  <c r="J1788" i="9"/>
  <c r="G1778" i="9"/>
  <c r="G1315" i="9"/>
  <c r="J1315" i="9"/>
  <c r="G1767" i="9"/>
  <c r="J1767" i="9"/>
  <c r="J1761" i="9"/>
  <c r="G1761" i="9"/>
  <c r="G1735" i="9"/>
  <c r="J1735" i="9"/>
  <c r="G1261" i="9"/>
  <c r="J1261" i="9"/>
  <c r="G1755" i="9"/>
  <c r="J1755" i="9"/>
  <c r="J1749" i="9"/>
  <c r="G1749" i="9"/>
  <c r="G1723" i="9"/>
  <c r="J1723" i="9"/>
  <c r="G1711" i="9"/>
  <c r="J1711" i="9"/>
  <c r="G1743" i="9"/>
  <c r="J1743" i="9"/>
  <c r="J1737" i="9"/>
  <c r="G1737" i="9"/>
  <c r="G1699" i="9"/>
  <c r="J1699" i="9"/>
  <c r="J1696" i="9"/>
  <c r="G1725" i="9"/>
  <c r="G1713" i="9"/>
  <c r="G1701" i="9"/>
  <c r="G1689" i="9"/>
  <c r="G1677" i="9"/>
  <c r="G1665" i="9"/>
  <c r="G1653" i="9"/>
  <c r="G1641" i="9"/>
  <c r="G1629" i="9"/>
  <c r="G1617" i="9"/>
  <c r="G1605" i="9"/>
  <c r="G1593" i="9"/>
  <c r="G1581" i="9"/>
  <c r="G1569" i="9"/>
  <c r="G1557" i="9"/>
  <c r="G1545" i="9"/>
  <c r="G1533" i="9"/>
  <c r="G1521" i="9"/>
  <c r="G1509" i="9"/>
  <c r="G1497" i="9"/>
  <c r="G1485" i="9"/>
  <c r="G1473" i="9"/>
  <c r="G1461" i="9"/>
  <c r="G1449" i="9"/>
  <c r="G1437" i="9"/>
  <c r="G1425" i="9"/>
  <c r="G1413" i="9"/>
  <c r="G1401" i="9"/>
  <c r="G1389" i="9"/>
  <c r="G1377" i="9"/>
  <c r="G1365" i="9"/>
  <c r="G1353" i="9"/>
  <c r="G1341" i="9"/>
  <c r="G1269" i="9"/>
  <c r="J1269" i="9"/>
  <c r="J1246" i="9"/>
  <c r="G1141" i="9"/>
  <c r="J1141" i="9"/>
  <c r="G1307" i="9"/>
  <c r="G1240" i="9"/>
  <c r="J1237" i="9"/>
  <c r="G1129" i="9"/>
  <c r="J1129" i="9"/>
  <c r="G1117" i="9"/>
  <c r="J1117" i="9"/>
  <c r="G1105" i="9"/>
  <c r="J1105" i="9"/>
  <c r="G1093" i="9"/>
  <c r="J1093" i="9"/>
  <c r="G1081" i="9"/>
  <c r="J1081" i="9"/>
  <c r="G1069" i="9"/>
  <c r="J1069" i="9"/>
  <c r="G1057" i="9"/>
  <c r="J1057" i="9"/>
  <c r="G1045" i="9"/>
  <c r="J1045" i="9"/>
  <c r="G1033" i="9"/>
  <c r="J1033" i="9"/>
  <c r="G1021" i="9"/>
  <c r="J1021" i="9"/>
  <c r="G1009" i="9"/>
  <c r="J1009" i="9"/>
  <c r="G997" i="9"/>
  <c r="J997" i="9"/>
  <c r="G985" i="9"/>
  <c r="J985" i="9"/>
  <c r="G973" i="9"/>
  <c r="J973" i="9"/>
  <c r="G961" i="9"/>
  <c r="J961" i="9"/>
  <c r="G949" i="9"/>
  <c r="J949" i="9"/>
  <c r="G937" i="9"/>
  <c r="J937" i="9"/>
  <c r="G925" i="9"/>
  <c r="J925" i="9"/>
  <c r="G913" i="9"/>
  <c r="J913" i="9"/>
  <c r="J1290" i="9"/>
  <c r="J1282" i="9"/>
  <c r="J1279" i="9"/>
  <c r="G1257" i="9"/>
  <c r="J1257" i="9"/>
  <c r="J1225" i="9"/>
  <c r="G901" i="9"/>
  <c r="J901" i="9"/>
  <c r="G889" i="9"/>
  <c r="J889" i="9"/>
  <c r="G877" i="9"/>
  <c r="J877" i="9"/>
  <c r="G865" i="9"/>
  <c r="J865" i="9"/>
  <c r="G853" i="9"/>
  <c r="J853" i="9"/>
  <c r="G841" i="9"/>
  <c r="J841" i="9"/>
  <c r="J789" i="9"/>
  <c r="G789" i="9"/>
  <c r="G758" i="9"/>
  <c r="J758" i="9"/>
  <c r="J1671" i="9"/>
  <c r="J1659" i="9"/>
  <c r="J1647" i="9"/>
  <c r="J1635" i="9"/>
  <c r="J1623" i="9"/>
  <c r="J1611" i="9"/>
  <c r="J1599" i="9"/>
  <c r="J1587" i="9"/>
  <c r="J1575" i="9"/>
  <c r="J1563" i="9"/>
  <c r="J1551" i="9"/>
  <c r="J1539" i="9"/>
  <c r="J1527" i="9"/>
  <c r="J1515" i="9"/>
  <c r="J1503" i="9"/>
  <c r="J1491" i="9"/>
  <c r="J1479" i="9"/>
  <c r="J1467" i="9"/>
  <c r="J1455" i="9"/>
  <c r="J1443" i="9"/>
  <c r="J1431" i="9"/>
  <c r="J1419" i="9"/>
  <c r="J1407" i="9"/>
  <c r="J1395" i="9"/>
  <c r="J1383" i="9"/>
  <c r="J1371" i="9"/>
  <c r="J1359" i="9"/>
  <c r="J1347" i="9"/>
  <c r="J1335" i="9"/>
  <c r="J1323" i="9"/>
  <c r="J1311" i="9"/>
  <c r="J1306" i="9"/>
  <c r="G1293" i="9"/>
  <c r="J1293" i="9"/>
  <c r="J1287" i="9"/>
  <c r="G1265" i="9"/>
  <c r="J1222" i="9"/>
  <c r="G1245" i="9"/>
  <c r="J1245" i="9"/>
  <c r="J1210" i="9"/>
  <c r="G1213" i="9"/>
  <c r="J1213" i="9"/>
  <c r="G1233" i="9"/>
  <c r="J1233" i="9"/>
  <c r="G1201" i="9"/>
  <c r="J1201" i="9"/>
  <c r="G819" i="9"/>
  <c r="J819" i="9"/>
  <c r="G772" i="9"/>
  <c r="J772" i="9"/>
  <c r="G1289" i="9"/>
  <c r="G1281" i="9"/>
  <c r="J1281" i="9"/>
  <c r="G1189" i="9"/>
  <c r="J1189" i="9"/>
  <c r="G797" i="9"/>
  <c r="J797" i="9"/>
  <c r="G1221" i="9"/>
  <c r="J1221" i="9"/>
  <c r="G1177" i="9"/>
  <c r="J1177" i="9"/>
  <c r="G800" i="9"/>
  <c r="J800" i="9"/>
  <c r="G1305" i="9"/>
  <c r="J1305" i="9"/>
  <c r="J1258" i="9"/>
  <c r="G1209" i="9"/>
  <c r="J1209" i="9"/>
  <c r="G1165" i="9"/>
  <c r="J1165" i="9"/>
  <c r="J828" i="9"/>
  <c r="J805" i="9"/>
  <c r="J760" i="9"/>
  <c r="J740" i="9"/>
  <c r="G435" i="9"/>
  <c r="J435" i="9"/>
  <c r="G415" i="9"/>
  <c r="J415" i="9"/>
  <c r="G261" i="9"/>
  <c r="J261" i="9"/>
  <c r="J255" i="9"/>
  <c r="G255" i="9"/>
  <c r="J796" i="9"/>
  <c r="J788" i="9"/>
  <c r="J785" i="9"/>
  <c r="G763" i="9"/>
  <c r="J763" i="9"/>
  <c r="J728" i="9"/>
  <c r="G799" i="9"/>
  <c r="J799" i="9"/>
  <c r="G743" i="9"/>
  <c r="J743" i="9"/>
  <c r="J626" i="9"/>
  <c r="G626" i="9"/>
  <c r="G611" i="9"/>
  <c r="J611" i="9"/>
  <c r="G579" i="9"/>
  <c r="J579" i="9"/>
  <c r="G507" i="9"/>
  <c r="J507" i="9"/>
  <c r="G731" i="9"/>
  <c r="J731" i="9"/>
  <c r="J704" i="9"/>
  <c r="G559" i="9"/>
  <c r="J559" i="9"/>
  <c r="G487" i="9"/>
  <c r="J487" i="9"/>
  <c r="J1185" i="9"/>
  <c r="J1173" i="9"/>
  <c r="J1161" i="9"/>
  <c r="J1149" i="9"/>
  <c r="J1137" i="9"/>
  <c r="J1125" i="9"/>
  <c r="J1113" i="9"/>
  <c r="J1101" i="9"/>
  <c r="J1089" i="9"/>
  <c r="J1077" i="9"/>
  <c r="J1065" i="9"/>
  <c r="J1053" i="9"/>
  <c r="J1041" i="9"/>
  <c r="J1029" i="9"/>
  <c r="J1017" i="9"/>
  <c r="J1005" i="9"/>
  <c r="J993" i="9"/>
  <c r="J981" i="9"/>
  <c r="J969" i="9"/>
  <c r="J957" i="9"/>
  <c r="J945" i="9"/>
  <c r="J933" i="9"/>
  <c r="J921" i="9"/>
  <c r="J909" i="9"/>
  <c r="J897" i="9"/>
  <c r="J885" i="9"/>
  <c r="J873" i="9"/>
  <c r="J861" i="9"/>
  <c r="J849" i="9"/>
  <c r="J837" i="9"/>
  <c r="G830" i="9"/>
  <c r="J827" i="9"/>
  <c r="J779" i="9"/>
  <c r="G751" i="9"/>
  <c r="J751" i="9"/>
  <c r="G719" i="9"/>
  <c r="J719" i="9"/>
  <c r="G405" i="9"/>
  <c r="J405" i="9"/>
  <c r="J338" i="9"/>
  <c r="G338" i="9"/>
  <c r="G323" i="9"/>
  <c r="J323" i="9"/>
  <c r="J776" i="9"/>
  <c r="J773" i="9"/>
  <c r="G739" i="9"/>
  <c r="J739" i="9"/>
  <c r="G707" i="9"/>
  <c r="J707" i="9"/>
  <c r="G651" i="9"/>
  <c r="J651" i="9"/>
  <c r="G549" i="9"/>
  <c r="J549" i="9"/>
  <c r="G812" i="9"/>
  <c r="G801" i="9"/>
  <c r="G787" i="9"/>
  <c r="J787" i="9"/>
  <c r="G727" i="9"/>
  <c r="J727" i="9"/>
  <c r="G695" i="9"/>
  <c r="J695" i="9"/>
  <c r="G477" i="9"/>
  <c r="J477" i="9"/>
  <c r="G715" i="9"/>
  <c r="J715" i="9"/>
  <c r="G683" i="9"/>
  <c r="J683" i="9"/>
  <c r="G631" i="9"/>
  <c r="J631" i="9"/>
  <c r="G703" i="9"/>
  <c r="J703" i="9"/>
  <c r="J410" i="9"/>
  <c r="G410" i="9"/>
  <c r="G343" i="9"/>
  <c r="J343" i="9"/>
  <c r="G621" i="9"/>
  <c r="J621" i="9"/>
  <c r="G395" i="9"/>
  <c r="J395" i="9"/>
  <c r="G363" i="9"/>
  <c r="J363" i="9"/>
  <c r="J816" i="9"/>
  <c r="G775" i="9"/>
  <c r="J775" i="9"/>
  <c r="J554" i="9"/>
  <c r="G554" i="9"/>
  <c r="J482" i="9"/>
  <c r="G482" i="9"/>
  <c r="J660" i="9"/>
  <c r="G638" i="9"/>
  <c r="J588" i="9"/>
  <c r="G566" i="9"/>
  <c r="J516" i="9"/>
  <c r="G494" i="9"/>
  <c r="G447" i="9"/>
  <c r="J444" i="9"/>
  <c r="G427" i="9"/>
  <c r="G422" i="9"/>
  <c r="J387" i="9"/>
  <c r="G375" i="9"/>
  <c r="J372" i="9"/>
  <c r="G355" i="9"/>
  <c r="G350" i="9"/>
  <c r="G345" i="9"/>
  <c r="G335" i="9"/>
  <c r="J315" i="9"/>
  <c r="G303" i="9"/>
  <c r="J300" i="9"/>
  <c r="G266" i="9"/>
  <c r="J266" i="9"/>
  <c r="G249" i="9"/>
  <c r="J237" i="9"/>
  <c r="J243" i="9"/>
  <c r="G243" i="9"/>
  <c r="J228" i="9"/>
  <c r="G220" i="9"/>
  <c r="J471" i="9"/>
  <c r="J451" i="9"/>
  <c r="J441" i="9"/>
  <c r="J431" i="9"/>
  <c r="J399" i="9"/>
  <c r="J379" i="9"/>
  <c r="J369" i="9"/>
  <c r="J359" i="9"/>
  <c r="J327" i="9"/>
  <c r="J307" i="9"/>
  <c r="J297" i="9"/>
  <c r="G254" i="9"/>
  <c r="J254" i="9"/>
  <c r="J225" i="9"/>
  <c r="J288" i="9"/>
  <c r="J231" i="9"/>
  <c r="G231" i="9"/>
  <c r="J216" i="9"/>
  <c r="J691" i="9"/>
  <c r="J679" i="9"/>
  <c r="J669" i="9"/>
  <c r="G662" i="9"/>
  <c r="J659" i="9"/>
  <c r="J627" i="9"/>
  <c r="J607" i="9"/>
  <c r="J597" i="9"/>
  <c r="G590" i="9"/>
  <c r="J587" i="9"/>
  <c r="J555" i="9"/>
  <c r="J535" i="9"/>
  <c r="J525" i="9"/>
  <c r="G518" i="9"/>
  <c r="J515" i="9"/>
  <c r="J483" i="9"/>
  <c r="J463" i="9"/>
  <c r="J453" i="9"/>
  <c r="G446" i="9"/>
  <c r="J443" i="9"/>
  <c r="J411" i="9"/>
  <c r="J391" i="9"/>
  <c r="J381" i="9"/>
  <c r="G374" i="9"/>
  <c r="J371" i="9"/>
  <c r="J339" i="9"/>
  <c r="J324" i="9"/>
  <c r="J319" i="9"/>
  <c r="J309" i="9"/>
  <c r="G302" i="9"/>
  <c r="J299" i="9"/>
  <c r="J285" i="9"/>
  <c r="G242" i="9"/>
  <c r="J242" i="9"/>
  <c r="J213" i="9"/>
  <c r="J291" i="9"/>
  <c r="G291" i="9"/>
  <c r="J276" i="9"/>
  <c r="J219" i="9"/>
  <c r="G219" i="9"/>
  <c r="J204" i="9"/>
  <c r="G674" i="9"/>
  <c r="J624" i="9"/>
  <c r="G602" i="9"/>
  <c r="J552" i="9"/>
  <c r="G530" i="9"/>
  <c r="J495" i="9"/>
  <c r="J480" i="9"/>
  <c r="G458" i="9"/>
  <c r="J423" i="9"/>
  <c r="J408" i="9"/>
  <c r="G386" i="9"/>
  <c r="J351" i="9"/>
  <c r="J336" i="9"/>
  <c r="J331" i="9"/>
  <c r="G314" i="9"/>
  <c r="J311" i="9"/>
  <c r="J273" i="9"/>
  <c r="G230" i="9"/>
  <c r="J230" i="9"/>
  <c r="J279" i="9"/>
  <c r="G279" i="9"/>
  <c r="J207" i="9"/>
  <c r="G207" i="9"/>
  <c r="G290" i="9"/>
  <c r="J290" i="9"/>
  <c r="G218" i="9"/>
  <c r="J218" i="9"/>
  <c r="J267" i="9"/>
  <c r="G267" i="9"/>
  <c r="G278" i="9"/>
  <c r="J278" i="9"/>
  <c r="G104" i="9"/>
  <c r="G92" i="9"/>
  <c r="G80" i="9"/>
  <c r="G68" i="9"/>
  <c r="G56" i="9"/>
  <c r="G44" i="9"/>
  <c r="G32" i="9"/>
  <c r="G20" i="9"/>
  <c r="K7" i="2"/>
  <c r="K9" i="2" s="1"/>
  <c r="K10" i="2" s="1"/>
  <c r="J293" i="9"/>
  <c r="J281" i="9"/>
  <c r="J269" i="9"/>
  <c r="J257" i="9"/>
  <c r="J245" i="9"/>
  <c r="J233" i="9"/>
  <c r="J221" i="9"/>
  <c r="J209" i="9"/>
  <c r="J197" i="9"/>
  <c r="J185" i="9"/>
  <c r="J173" i="9"/>
  <c r="J161" i="9"/>
  <c r="J149" i="9"/>
  <c r="J137" i="9"/>
  <c r="J125" i="9"/>
  <c r="J113" i="9"/>
  <c r="G75" i="9"/>
  <c r="G63" i="9"/>
  <c r="G51" i="9"/>
  <c r="G39" i="9"/>
  <c r="G27" i="9"/>
  <c r="G15" i="9"/>
  <c r="J187" i="9"/>
  <c r="J175" i="9"/>
  <c r="J163" i="9"/>
  <c r="J151" i="9"/>
  <c r="J139" i="9"/>
  <c r="J127" i="9"/>
  <c r="J115" i="9"/>
  <c r="J103" i="9"/>
  <c r="J91" i="9"/>
  <c r="J79" i="9"/>
  <c r="J67" i="9"/>
  <c r="J55" i="9"/>
  <c r="J43" i="9"/>
  <c r="J31" i="9"/>
  <c r="J19" i="9"/>
  <c r="J206" i="9"/>
  <c r="J189" i="9"/>
  <c r="J177" i="9"/>
  <c r="J165" i="9"/>
  <c r="J153" i="9"/>
  <c r="J141" i="9"/>
  <c r="J129" i="9"/>
  <c r="J117" i="9"/>
  <c r="J105" i="9"/>
  <c r="J93" i="9"/>
  <c r="J81" i="9"/>
  <c r="J69" i="9"/>
  <c r="J57" i="9"/>
  <c r="J45" i="9"/>
  <c r="J33" i="9"/>
  <c r="J21" i="9"/>
  <c r="J9" i="9"/>
  <c r="J64" i="9"/>
  <c r="J52" i="9"/>
  <c r="J40" i="9"/>
  <c r="J28" i="9"/>
  <c r="J16" i="9"/>
  <c r="AK19" i="30"/>
  <c r="AK22" i="30"/>
  <c r="AJ21" i="30"/>
  <c r="AK21" i="30"/>
  <c r="AK2" i="30"/>
  <c r="AJ7" i="30"/>
  <c r="AK7" i="30"/>
  <c r="AJ13" i="30"/>
  <c r="AK13" i="30"/>
  <c r="AJ9" i="30"/>
  <c r="AK9" i="30"/>
  <c r="AJ15" i="30"/>
  <c r="AK15" i="30"/>
  <c r="AL2" i="30"/>
  <c r="AJ25" i="30"/>
  <c r="AK25" i="30"/>
  <c r="AJ16" i="30"/>
  <c r="AK16" i="30"/>
  <c r="AG22" i="30"/>
  <c r="AJ18" i="30"/>
  <c r="AK18" i="30"/>
  <c r="AJ27" i="30"/>
  <c r="AK27" i="30"/>
  <c r="AG33" i="30"/>
  <c r="AM2" i="30"/>
  <c r="AJ4" i="30"/>
  <c r="AK4" i="30"/>
  <c r="AJ10" i="30"/>
  <c r="AK10" i="30"/>
  <c r="AN2" i="30"/>
  <c r="AJ31" i="30"/>
  <c r="AK31" i="30"/>
  <c r="AP2" i="30"/>
  <c r="AB4" i="30"/>
  <c r="AC4" i="30"/>
  <c r="AK5" i="30"/>
  <c r="AK6" i="30"/>
  <c r="AD4" i="30"/>
  <c r="AM4" i="30"/>
  <c r="AB5" i="30"/>
  <c r="AC5" i="30"/>
  <c r="AD5" i="30"/>
  <c r="AJ8" i="30"/>
  <c r="AK8" i="30"/>
  <c r="AM5" i="30"/>
  <c r="AB6" i="30"/>
  <c r="AC6" i="30"/>
  <c r="AK12" i="30"/>
  <c r="AD6" i="30"/>
  <c r="AJ30" i="30"/>
  <c r="AK30" i="30"/>
  <c r="AL6" i="30"/>
  <c r="AK11" i="30"/>
  <c r="AM6" i="30"/>
  <c r="AB7" i="30"/>
  <c r="AC7" i="30"/>
  <c r="AD7" i="30"/>
  <c r="AJ14" i="30"/>
  <c r="AK14" i="30"/>
  <c r="AM7" i="30"/>
  <c r="AB8" i="30"/>
  <c r="AC8" i="30"/>
  <c r="AC14" i="30" s="1"/>
  <c r="AL8" i="30"/>
  <c r="AL10" i="30" s="1"/>
  <c r="AK17" i="30"/>
  <c r="AM8" i="30"/>
  <c r="AB9" i="30"/>
  <c r="AC9" i="30"/>
  <c r="AL9" i="30"/>
  <c r="AM9" i="30"/>
  <c r="AB10" i="30"/>
  <c r="AC10" i="30"/>
  <c r="AM10" i="30"/>
  <c r="AB11" i="30"/>
  <c r="AC11" i="30"/>
  <c r="AM11" i="30"/>
  <c r="AB12" i="30"/>
  <c r="AC12" i="30"/>
  <c r="AM12" i="30"/>
  <c r="AB13" i="30"/>
  <c r="AC13" i="30"/>
  <c r="AM13" i="30"/>
  <c r="AB14" i="30"/>
  <c r="AJ20" i="30"/>
  <c r="AK20" i="30"/>
  <c r="AL21" i="30"/>
  <c r="AK23" i="30"/>
  <c r="AJ24" i="30"/>
  <c r="AK24" i="30"/>
  <c r="AG26" i="30"/>
  <c r="AK26" i="30"/>
  <c r="AK28" i="30"/>
  <c r="AK29" i="30"/>
  <c r="AK33" i="30"/>
  <c r="AW48" i="30"/>
  <c r="AX48" i="30"/>
  <c r="EU129" i="30"/>
  <c r="EY129" i="30" s="1"/>
  <c r="AZ52" i="30"/>
  <c r="BB52" i="30"/>
  <c r="BA52" i="30" s="1"/>
  <c r="BC52" i="30"/>
  <c r="EU237" i="30"/>
  <c r="EX237" i="30" s="1"/>
  <c r="AZ53" i="30"/>
  <c r="BB53" i="30"/>
  <c r="BA53" i="30" s="1"/>
  <c r="BC53" i="30"/>
  <c r="DQ53" i="30"/>
  <c r="DU53" i="30"/>
  <c r="EX129" i="30" l="1"/>
  <c r="EW129" i="30"/>
  <c r="FB129" i="30" s="1"/>
  <c r="EV129" i="30"/>
  <c r="EW237" i="30"/>
  <c r="EV237" i="30"/>
  <c r="FA237" i="30" s="1"/>
  <c r="FC237" i="30"/>
  <c r="FC129" i="30"/>
  <c r="EY237" i="30"/>
  <c r="EU139" i="30"/>
  <c r="EV139" i="30" s="1"/>
  <c r="AZ54" i="30"/>
  <c r="BB54" i="30"/>
  <c r="BA54" i="30" s="1"/>
  <c r="BC54" i="30"/>
  <c r="DQ54" i="30"/>
  <c r="DU54" i="30"/>
  <c r="EZ129" i="30" l="1"/>
  <c r="EZ237" i="30"/>
  <c r="FA129" i="30"/>
  <c r="FB237" i="30"/>
  <c r="FC139" i="30"/>
  <c r="EY139" i="30"/>
  <c r="EX139" i="30"/>
  <c r="EZ139" i="30" s="1"/>
  <c r="EW139" i="30"/>
  <c r="EU142" i="30"/>
  <c r="EV142" i="30" s="1"/>
  <c r="AZ55" i="30"/>
  <c r="BB55" i="30"/>
  <c r="BA55" i="30" s="1"/>
  <c r="BC55" i="30"/>
  <c r="EU57" i="30"/>
  <c r="EV57" i="30" s="1"/>
  <c r="AZ56" i="30"/>
  <c r="BB56" i="30"/>
  <c r="BA56" i="30" s="1"/>
  <c r="BC56" i="30"/>
  <c r="CQ58" i="30" a="1"/>
  <c r="CQ58" i="30" s="1"/>
  <c r="CQ59" i="30" a="1"/>
  <c r="CQ59" i="30" s="1"/>
  <c r="CQ60" i="30" a="1"/>
  <c r="CQ60" i="30" s="1"/>
  <c r="CQ61" i="30" a="1"/>
  <c r="CQ62" i="30" a="1"/>
  <c r="CQ62" i="30" s="1"/>
  <c r="CQ63" i="30" a="1"/>
  <c r="CQ63" i="30" s="1"/>
  <c r="CQ64" i="30" a="1"/>
  <c r="CQ64" i="30" s="1"/>
  <c r="CQ65" i="30" a="1"/>
  <c r="CQ65" i="30" s="1"/>
  <c r="CQ66" i="30" a="1"/>
  <c r="CQ66" i="30" s="1"/>
  <c r="CQ67" i="30" a="1"/>
  <c r="CQ67" i="30" s="1"/>
  <c r="CQ68" i="30" a="1"/>
  <c r="CQ68" i="30" s="1"/>
  <c r="CQ69" i="30" a="1"/>
  <c r="CQ69" i="30" s="1"/>
  <c r="CQ70" i="30" a="1"/>
  <c r="CQ70" i="30" s="1"/>
  <c r="CQ71" i="30" a="1"/>
  <c r="CQ72" i="30" a="1"/>
  <c r="CQ72" i="30" s="1"/>
  <c r="CQ73" i="30" a="1"/>
  <c r="CQ73" i="30" s="1"/>
  <c r="CQ74" i="30" a="1"/>
  <c r="CQ74" i="30" s="1"/>
  <c r="CQ75" i="30" a="1"/>
  <c r="CQ75" i="30" s="1"/>
  <c r="CQ76" i="30" a="1"/>
  <c r="CQ76" i="30" s="1"/>
  <c r="CQ77" i="30" a="1"/>
  <c r="CQ77" i="30" s="1"/>
  <c r="CQ78" i="30" a="1"/>
  <c r="CQ78" i="30" s="1"/>
  <c r="CQ79" i="30" a="1"/>
  <c r="CQ79" i="30" s="1"/>
  <c r="CQ80" i="30" a="1"/>
  <c r="CQ80" i="30" s="1"/>
  <c r="CQ81" i="30" a="1"/>
  <c r="CQ81" i="30" s="1"/>
  <c r="CQ61" i="30"/>
  <c r="CQ71" i="30"/>
  <c r="EU186" i="30"/>
  <c r="EV186" i="30" s="1"/>
  <c r="BC57" i="30"/>
  <c r="BC58" i="30" s="1"/>
  <c r="CV58" i="30" a="1"/>
  <c r="CV58" i="30" s="1"/>
  <c r="CV59" i="30" a="1"/>
  <c r="CV59" i="30" s="1"/>
  <c r="CV60" i="30" a="1"/>
  <c r="CV60" i="30" s="1"/>
  <c r="CV61" i="30" a="1"/>
  <c r="CV62" i="30" a="1"/>
  <c r="CV62" i="30" s="1"/>
  <c r="CV63" i="30" a="1"/>
  <c r="CV64" i="30" a="1"/>
  <c r="CV64" i="30" s="1"/>
  <c r="CV65" i="30" a="1"/>
  <c r="CV65" i="30" s="1"/>
  <c r="CV66" i="30" a="1"/>
  <c r="CV66" i="30" s="1"/>
  <c r="CV67" i="30" a="1"/>
  <c r="CV67" i="30" s="1"/>
  <c r="CV68" i="30" a="1"/>
  <c r="CV68" i="30" s="1"/>
  <c r="CV69" i="30" a="1"/>
  <c r="CV69" i="30" s="1"/>
  <c r="CV70" i="30" a="1"/>
  <c r="CV70" i="30" s="1"/>
  <c r="CV71" i="30" a="1"/>
  <c r="CV71" i="30" s="1"/>
  <c r="CV72" i="30" a="1"/>
  <c r="CV72" i="30" s="1"/>
  <c r="CV73" i="30" a="1"/>
  <c r="CV74" i="30" a="1"/>
  <c r="CV74" i="30" s="1"/>
  <c r="CV75" i="30" a="1"/>
  <c r="CV76" i="30" a="1"/>
  <c r="CV76" i="30" s="1"/>
  <c r="CV77" i="30" a="1"/>
  <c r="CV77" i="30" s="1"/>
  <c r="CV78" i="30" a="1"/>
  <c r="CV78" i="30" s="1"/>
  <c r="CV79" i="30" a="1"/>
  <c r="CV79" i="30" s="1"/>
  <c r="CV80" i="30" a="1"/>
  <c r="CV80" i="30" s="1"/>
  <c r="CV81" i="30" a="1"/>
  <c r="CV81" i="30" s="1"/>
  <c r="CV82" i="30" a="1"/>
  <c r="CV82" i="30" s="1"/>
  <c r="CV83" i="30" a="1"/>
  <c r="CV83" i="30" s="1"/>
  <c r="CV84" i="30" a="1"/>
  <c r="CV84" i="30" s="1"/>
  <c r="CV85" i="30" a="1"/>
  <c r="CV85" i="30" s="1"/>
  <c r="CV86" i="30" a="1"/>
  <c r="CV86" i="30" s="1"/>
  <c r="CV87" i="30" a="1"/>
  <c r="CV87" i="30" s="1"/>
  <c r="CV88" i="30" a="1"/>
  <c r="CV88" i="30" s="1"/>
  <c r="CV89" i="30" a="1"/>
  <c r="CV89" i="30" s="1"/>
  <c r="CV61" i="30"/>
  <c r="CV63" i="30"/>
  <c r="CV73" i="30"/>
  <c r="CV75" i="30"/>
  <c r="EU124" i="30"/>
  <c r="EV124" i="30" s="1"/>
  <c r="EU184" i="30"/>
  <c r="EW184" i="30" s="1"/>
  <c r="EU234" i="30"/>
  <c r="EW234" i="30" s="1"/>
  <c r="EU179" i="30"/>
  <c r="FC179" i="30" s="1"/>
  <c r="BB61" i="30"/>
  <c r="BC61" i="30"/>
  <c r="EU130" i="30"/>
  <c r="EV130" i="30" s="1"/>
  <c r="BB62" i="30"/>
  <c r="BC62" i="30"/>
  <c r="DQ62" i="30"/>
  <c r="DU62" i="30"/>
  <c r="EV179" i="30" l="1"/>
  <c r="FC142" i="30"/>
  <c r="EY142" i="30"/>
  <c r="EY179" i="30"/>
  <c r="EW179" i="30"/>
  <c r="EX142" i="30"/>
  <c r="EW186" i="30"/>
  <c r="EY184" i="30"/>
  <c r="FB184" i="30" s="1"/>
  <c r="EX184" i="30"/>
  <c r="EV184" i="30"/>
  <c r="EW142" i="30"/>
  <c r="FB142" i="30" s="1"/>
  <c r="EW124" i="30"/>
  <c r="FC186" i="30"/>
  <c r="FC124" i="30"/>
  <c r="BB57" i="30"/>
  <c r="BA57" i="30" s="1"/>
  <c r="BA58" i="30" s="1"/>
  <c r="DQ58" i="30"/>
  <c r="EX179" i="30"/>
  <c r="EZ179" i="30" s="1"/>
  <c r="EY124" i="30"/>
  <c r="FC57" i="30"/>
  <c r="EW57" i="30"/>
  <c r="EX124" i="30"/>
  <c r="EZ124" i="30" s="1"/>
  <c r="EY130" i="30"/>
  <c r="EY57" i="30"/>
  <c r="EX130" i="30"/>
  <c r="EZ130" i="30" s="1"/>
  <c r="EX57" i="30"/>
  <c r="EZ57" i="30" s="1"/>
  <c r="EW130" i="30"/>
  <c r="EY186" i="30"/>
  <c r="FB186" i="30" s="1"/>
  <c r="EX186" i="30"/>
  <c r="EZ186" i="30" s="1"/>
  <c r="EY234" i="30"/>
  <c r="FB234" i="30" s="1"/>
  <c r="EX234" i="30"/>
  <c r="EV234" i="30"/>
  <c r="DU59" i="30"/>
  <c r="DV59" i="30" s="1"/>
  <c r="DQ57" i="30"/>
  <c r="DU57" i="30"/>
  <c r="DU61" i="30" s="1"/>
  <c r="DV61" i="30" s="1"/>
  <c r="DQ59" i="30"/>
  <c r="DU56" i="30"/>
  <c r="FC130" i="30"/>
  <c r="FC234" i="30"/>
  <c r="FC184" i="30"/>
  <c r="DQ56" i="30"/>
  <c r="DQ60" i="30" s="1"/>
  <c r="FA139" i="30"/>
  <c r="DU58" i="30"/>
  <c r="FB139" i="30"/>
  <c r="EU192" i="30"/>
  <c r="EY192" i="30" s="1"/>
  <c r="BB63" i="30"/>
  <c r="BC63" i="30"/>
  <c r="DQ63" i="30"/>
  <c r="DU63" i="30"/>
  <c r="DU67" i="30"/>
  <c r="EZ184" i="30" l="1"/>
  <c r="EZ234" i="30"/>
  <c r="FB124" i="30"/>
  <c r="FA142" i="30"/>
  <c r="EZ142" i="30"/>
  <c r="FB179" i="30"/>
  <c r="FA130" i="30"/>
  <c r="FA184" i="30"/>
  <c r="FA186" i="30"/>
  <c r="FA179" i="30"/>
  <c r="FB57" i="30"/>
  <c r="BB58" i="30"/>
  <c r="FB130" i="30"/>
  <c r="FA57" i="30"/>
  <c r="EX192" i="30"/>
  <c r="EZ192" i="30" s="1"/>
  <c r="EW192" i="30"/>
  <c r="FB192" i="30" s="1"/>
  <c r="EV192" i="30"/>
  <c r="DU60" i="30"/>
  <c r="FA234" i="30"/>
  <c r="FA124" i="30"/>
  <c r="FC192" i="30"/>
  <c r="DQ61" i="30"/>
  <c r="DV63" i="30"/>
  <c r="EU170" i="30"/>
  <c r="EY170" i="30" s="1"/>
  <c r="BB64" i="30"/>
  <c r="BC64" i="30"/>
  <c r="EU214" i="30"/>
  <c r="EV214" i="30" s="1"/>
  <c r="BB65" i="30"/>
  <c r="BC65" i="30"/>
  <c r="EU128" i="30"/>
  <c r="FC128" i="30" s="1"/>
  <c r="DQ66" i="30"/>
  <c r="DU66" i="30"/>
  <c r="EX170" i="30" l="1"/>
  <c r="EW170" i="30"/>
  <c r="FB170" i="30" s="1"/>
  <c r="EV170" i="30"/>
  <c r="EY128" i="30"/>
  <c r="FC170" i="30"/>
  <c r="EX128" i="30"/>
  <c r="EW128" i="30"/>
  <c r="EV128" i="30"/>
  <c r="FC214" i="30"/>
  <c r="EY214" i="30"/>
  <c r="EX214" i="30"/>
  <c r="EZ214" i="30" s="1"/>
  <c r="EW214" i="30"/>
  <c r="FA192" i="30"/>
  <c r="EU199" i="30"/>
  <c r="EV199" i="30" s="1"/>
  <c r="DQ67" i="30"/>
  <c r="EZ128" i="30" l="1"/>
  <c r="EZ170" i="30"/>
  <c r="FA170" i="30"/>
  <c r="FA128" i="30"/>
  <c r="FB128" i="30"/>
  <c r="FC199" i="30"/>
  <c r="EW199" i="30"/>
  <c r="EY199" i="30"/>
  <c r="EX199" i="30"/>
  <c r="FA214" i="30"/>
  <c r="FB214" i="30"/>
  <c r="EU85" i="30"/>
  <c r="EV85" i="30" s="1"/>
  <c r="DQ68" i="30"/>
  <c r="DU68" i="30"/>
  <c r="FA199" i="30" l="1"/>
  <c r="EZ199" i="30"/>
  <c r="FB199" i="30"/>
  <c r="FC85" i="30"/>
  <c r="EY85" i="30"/>
  <c r="EX85" i="30"/>
  <c r="EZ85" i="30" s="1"/>
  <c r="EW85" i="30"/>
  <c r="FB85" i="30" s="1"/>
  <c r="EU217" i="30"/>
  <c r="EV217" i="30" s="1"/>
  <c r="EU143" i="30"/>
  <c r="EX143" i="30" s="1"/>
  <c r="FQ69" i="30"/>
  <c r="FR69" i="30"/>
  <c r="AG70" i="30"/>
  <c r="AL70" i="30"/>
  <c r="AJ70" i="30" s="1"/>
  <c r="AK70" i="30" s="1"/>
  <c r="EU116" i="30"/>
  <c r="EW116" i="30" s="1"/>
  <c r="AG71" i="30"/>
  <c r="AE71" i="30"/>
  <c r="AF71" i="30" s="1"/>
  <c r="AL71" i="30"/>
  <c r="EU160" i="30"/>
  <c r="EY160" i="30" s="1"/>
  <c r="AG72" i="30"/>
  <c r="AE72" i="30" s="1"/>
  <c r="AF72" i="30" s="1"/>
  <c r="AL72" i="30"/>
  <c r="AJ72" i="30" s="1"/>
  <c r="AK72" i="30" s="1"/>
  <c r="EU242" i="30"/>
  <c r="EU180" i="30"/>
  <c r="EX180" i="30" s="1"/>
  <c r="EU134" i="30"/>
  <c r="EV134" i="30" s="1"/>
  <c r="EU230" i="30"/>
  <c r="EX230" i="30" s="1"/>
  <c r="EU144" i="30"/>
  <c r="EX144" i="30" s="1"/>
  <c r="EU162" i="30"/>
  <c r="EU196" i="30"/>
  <c r="EX196" i="30" s="1"/>
  <c r="EU73" i="30"/>
  <c r="EX73" i="30" s="1"/>
  <c r="EU91" i="30"/>
  <c r="EV91" i="30" s="1"/>
  <c r="EU150" i="30"/>
  <c r="EX150" i="30" s="1"/>
  <c r="EU123" i="30"/>
  <c r="EX123" i="30" s="1"/>
  <c r="EU140" i="30"/>
  <c r="EU159" i="30"/>
  <c r="EX159" i="30" s="1"/>
  <c r="EU183" i="30"/>
  <c r="EX183" i="30" s="1"/>
  <c r="EU227" i="30"/>
  <c r="EV227" i="30" s="1"/>
  <c r="EU187" i="30"/>
  <c r="EX187" i="30" s="1"/>
  <c r="EU152" i="30"/>
  <c r="EX152" i="30" s="1"/>
  <c r="EU228" i="30"/>
  <c r="EU74" i="30"/>
  <c r="EX74" i="30" s="1"/>
  <c r="EU220" i="30"/>
  <c r="EX220" i="30" s="1"/>
  <c r="EU112" i="30"/>
  <c r="EV112" i="30" s="1"/>
  <c r="EU82" i="30"/>
  <c r="EX82" i="30" s="1"/>
  <c r="EU213" i="30"/>
  <c r="EX213" i="30" s="1"/>
  <c r="EU193" i="30"/>
  <c r="FC193" i="30" s="1"/>
  <c r="EU100" i="30"/>
  <c r="EX100" i="30" s="1"/>
  <c r="EU84" i="30"/>
  <c r="EX84" i="30" s="1"/>
  <c r="EU246" i="30"/>
  <c r="EV246" i="30" s="1"/>
  <c r="EU225" i="30"/>
  <c r="EX225" i="30" s="1"/>
  <c r="EU191" i="30"/>
  <c r="EX191" i="30" s="1"/>
  <c r="EU222" i="30"/>
  <c r="EU181" i="30"/>
  <c r="EX181" i="30" s="1"/>
  <c r="EU209" i="30"/>
  <c r="EX209" i="30" s="1"/>
  <c r="EU174" i="30"/>
  <c r="EV174" i="30" s="1"/>
  <c r="EU72" i="30"/>
  <c r="EX72" i="30" s="1"/>
  <c r="EU185" i="30"/>
  <c r="EX185" i="30" s="1"/>
  <c r="EU109" i="30"/>
  <c r="EU53" i="30"/>
  <c r="EX53" i="30" s="1"/>
  <c r="EU137" i="30"/>
  <c r="EX137" i="30" s="1"/>
  <c r="EU81" i="30"/>
  <c r="EV81" i="30" s="1"/>
  <c r="EU156" i="30"/>
  <c r="EX156" i="30" s="1"/>
  <c r="EU75" i="30"/>
  <c r="EX75" i="30" s="1"/>
  <c r="EU115" i="30"/>
  <c r="EU147" i="30"/>
  <c r="EX147" i="30" s="1"/>
  <c r="EU122" i="30"/>
  <c r="EX122" i="30" s="1"/>
  <c r="EU117" i="30"/>
  <c r="EV117" i="30" s="1"/>
  <c r="EU169" i="30"/>
  <c r="EX169" i="30" s="1"/>
  <c r="EU126" i="30"/>
  <c r="EX126" i="30" s="1"/>
  <c r="EU218" i="30"/>
  <c r="EU223" i="30"/>
  <c r="EX223" i="30" s="1"/>
  <c r="EU202" i="30"/>
  <c r="EX202" i="30" s="1"/>
  <c r="EU135" i="30"/>
  <c r="EV135" i="30" s="1"/>
  <c r="EU201" i="30"/>
  <c r="EX201" i="30" s="1"/>
  <c r="EU204" i="30"/>
  <c r="EX204" i="30" s="1"/>
  <c r="EU243" i="30"/>
  <c r="EU206" i="30"/>
  <c r="EX206" i="30" s="1"/>
  <c r="EU231" i="30"/>
  <c r="EX231" i="30" s="1"/>
  <c r="EU221" i="30"/>
  <c r="EV221" i="30" s="1"/>
  <c r="EU211" i="30"/>
  <c r="EX211" i="30" s="1"/>
  <c r="EU244" i="30"/>
  <c r="EX244" i="30" s="1"/>
  <c r="EU178" i="30"/>
  <c r="EU66" i="30"/>
  <c r="EX66" i="30" s="1"/>
  <c r="EU200" i="30"/>
  <c r="EX200" i="30" s="1"/>
  <c r="EU182" i="30"/>
  <c r="EV182" i="30" s="1"/>
  <c r="EU226" i="30"/>
  <c r="EX226" i="30" s="1"/>
  <c r="EU58" i="30"/>
  <c r="EX58" i="30" s="1"/>
  <c r="EU65" i="30"/>
  <c r="EU161" i="30"/>
  <c r="EX161" i="30" s="1"/>
  <c r="EU210" i="30"/>
  <c r="EX210" i="30" s="1"/>
  <c r="EU157" i="30"/>
  <c r="EV157" i="30" s="1"/>
  <c r="EU132" i="30"/>
  <c r="EX132" i="30" s="1"/>
  <c r="EU233" i="30"/>
  <c r="EX233" i="30" s="1"/>
  <c r="EU64" i="30"/>
  <c r="EU119" i="30"/>
  <c r="EX119" i="30" s="1"/>
  <c r="EU216" i="30"/>
  <c r="EX216" i="30" s="1"/>
  <c r="EU103" i="30"/>
  <c r="EV103" i="30" s="1"/>
  <c r="EU51" i="30"/>
  <c r="EX51" i="30" s="1"/>
  <c r="EU62" i="30"/>
  <c r="EX62" i="30" s="1"/>
  <c r="EU131" i="30"/>
  <c r="EU121" i="30"/>
  <c r="EX121" i="30" s="1"/>
  <c r="EU167" i="30"/>
  <c r="EX167" i="30" s="1"/>
  <c r="EU67" i="30"/>
  <c r="EV67" i="30" s="1"/>
  <c r="EU136" i="30"/>
  <c r="EX136" i="30" s="1"/>
  <c r="EU114" i="30"/>
  <c r="EX114" i="30" s="1"/>
  <c r="EU77" i="30"/>
  <c r="FC77" i="30" s="1"/>
  <c r="EU83" i="30"/>
  <c r="EX83" i="30" s="1"/>
  <c r="EU238" i="30"/>
  <c r="EX238" i="30" s="1"/>
  <c r="EU56" i="30"/>
  <c r="EV56" i="30" s="1"/>
  <c r="EU189" i="30"/>
  <c r="EX189" i="30" s="1"/>
  <c r="EU145" i="30"/>
  <c r="EX145" i="30" s="1"/>
  <c r="EU188" i="30"/>
  <c r="EU87" i="30"/>
  <c r="EX87" i="30" s="1"/>
  <c r="EU88" i="30"/>
  <c r="EX88" i="30" s="1"/>
  <c r="EU245" i="30"/>
  <c r="EV245" i="30" s="1"/>
  <c r="EU90" i="30"/>
  <c r="EX90" i="30" s="1"/>
  <c r="EU111" i="30"/>
  <c r="EX111" i="30" s="1"/>
  <c r="EU118" i="30"/>
  <c r="EU92" i="30"/>
  <c r="EX92" i="30" s="1"/>
  <c r="EU165" i="30"/>
  <c r="EX165" i="30" s="1"/>
  <c r="EU151" i="30"/>
  <c r="EV151" i="30" s="1"/>
  <c r="EU208" i="30"/>
  <c r="EX208" i="30" s="1"/>
  <c r="EU164" i="30"/>
  <c r="EX164" i="30" s="1"/>
  <c r="EU107" i="30"/>
  <c r="EU60" i="30"/>
  <c r="EX60" i="30" s="1"/>
  <c r="EU232" i="30"/>
  <c r="EX232" i="30" s="1"/>
  <c r="EU158" i="30"/>
  <c r="EV158" i="30" s="1"/>
  <c r="EU102" i="30"/>
  <c r="EX102" i="30" s="1"/>
  <c r="EU240" i="30"/>
  <c r="EX240" i="30" s="1"/>
  <c r="EU80" i="30"/>
  <c r="EU94" i="30"/>
  <c r="EX94" i="30" s="1"/>
  <c r="EU113" i="30"/>
  <c r="EX113" i="30" s="1"/>
  <c r="EU155" i="30"/>
  <c r="EV155" i="30" s="1"/>
  <c r="EU215" i="30"/>
  <c r="EX215" i="30" s="1"/>
  <c r="EU241" i="30"/>
  <c r="EX241" i="30" s="1"/>
  <c r="EU190" i="30"/>
  <c r="EU207" i="30"/>
  <c r="EX207" i="30" s="1"/>
  <c r="EU224" i="30"/>
  <c r="EX224" i="30" s="1"/>
  <c r="EU95" i="30"/>
  <c r="EV95" i="30" s="1"/>
  <c r="EU212" i="30"/>
  <c r="EX212" i="30" s="1"/>
  <c r="EU235" i="30"/>
  <c r="EX235" i="30" s="1"/>
  <c r="EU86" i="30"/>
  <c r="EW86" i="30" s="1"/>
  <c r="EU105" i="30"/>
  <c r="EX105" i="30" s="1"/>
  <c r="EU168" i="30"/>
  <c r="EX168" i="30" s="1"/>
  <c r="EU125" i="30"/>
  <c r="EV125" i="30" s="1"/>
  <c r="EU146" i="30"/>
  <c r="EX146" i="30" s="1"/>
  <c r="EU89" i="30"/>
  <c r="EX89" i="30" s="1"/>
  <c r="EU219" i="30"/>
  <c r="FC219" i="30" s="1"/>
  <c r="EU120" i="30"/>
  <c r="EX120" i="30" s="1"/>
  <c r="EU101" i="30"/>
  <c r="EX101" i="30" s="1"/>
  <c r="EU98" i="30"/>
  <c r="EV98" i="30" s="1"/>
  <c r="EU205" i="30"/>
  <c r="EX205" i="30" s="1"/>
  <c r="EU133" i="30"/>
  <c r="EX133" i="30" s="1"/>
  <c r="EU239" i="30"/>
  <c r="EW239" i="30" s="1"/>
  <c r="EU149" i="30"/>
  <c r="EX149" i="30" s="1"/>
  <c r="EU138" i="30"/>
  <c r="EX138" i="30" s="1"/>
  <c r="EU106" i="30"/>
  <c r="EV106" i="30" s="1"/>
  <c r="EU127" i="30"/>
  <c r="EX127" i="30" s="1"/>
  <c r="EU70" i="30"/>
  <c r="EX70" i="30" s="1"/>
  <c r="EU154" i="30"/>
  <c r="EU63" i="30"/>
  <c r="EX63" i="30" s="1"/>
  <c r="EU166" i="30"/>
  <c r="EX166" i="30" s="1"/>
  <c r="EU61" i="30"/>
  <c r="EV61" i="30" s="1"/>
  <c r="EU68" i="30"/>
  <c r="EX68" i="30" s="1"/>
  <c r="EU148" i="30"/>
  <c r="EX148" i="30" s="1"/>
  <c r="EU203" i="30"/>
  <c r="EW203" i="30" s="1"/>
  <c r="EU153" i="30"/>
  <c r="EX153" i="30" s="1"/>
  <c r="EU229" i="30"/>
  <c r="EX229" i="30" s="1"/>
  <c r="EU176" i="30"/>
  <c r="EV176" i="30" s="1"/>
  <c r="EU69" i="30"/>
  <c r="EX69" i="30" s="1"/>
  <c r="EU96" i="30"/>
  <c r="EX96" i="30" s="1"/>
  <c r="EU71" i="30"/>
  <c r="EU78" i="30"/>
  <c r="EX78" i="30" s="1"/>
  <c r="EU99" i="30"/>
  <c r="EX99" i="30" s="1"/>
  <c r="EU55" i="30"/>
  <c r="EV55" i="30" s="1"/>
  <c r="EU177" i="30"/>
  <c r="EX177" i="30" s="1"/>
  <c r="EU97" i="30"/>
  <c r="EX97" i="30" s="1"/>
  <c r="EU197" i="30"/>
  <c r="FC197" i="30" s="1"/>
  <c r="EU108" i="30"/>
  <c r="EX108" i="30" s="1"/>
  <c r="EU198" i="30"/>
  <c r="EX198" i="30" s="1"/>
  <c r="EU236" i="30"/>
  <c r="EV236" i="30" s="1"/>
  <c r="EU173" i="30"/>
  <c r="EX173" i="30" s="1"/>
  <c r="EU54" i="30"/>
  <c r="EX54" i="30" s="1"/>
  <c r="EU79" i="30"/>
  <c r="FC79" i="30" s="1"/>
  <c r="EU93" i="30"/>
  <c r="EX93" i="30" s="1"/>
  <c r="EU194" i="30"/>
  <c r="EX194" i="30" s="1"/>
  <c r="EU110" i="30"/>
  <c r="EV110" i="30" s="1"/>
  <c r="EU141" i="30"/>
  <c r="EU175" i="30"/>
  <c r="EX175" i="30" s="1"/>
  <c r="EU163" i="30"/>
  <c r="FC163" i="30" s="1"/>
  <c r="EU171" i="30"/>
  <c r="EX171" i="30" s="1"/>
  <c r="EU104" i="30"/>
  <c r="EX104" i="30" s="1"/>
  <c r="EU52" i="30"/>
  <c r="EV52" i="30" s="1"/>
  <c r="EU76" i="30"/>
  <c r="EY76" i="30" s="1"/>
  <c r="EU172" i="30"/>
  <c r="EX172" i="30" s="1"/>
  <c r="EU59" i="30"/>
  <c r="EY59" i="30" s="1"/>
  <c r="EU195" i="30"/>
  <c r="EV195" i="30" s="1"/>
  <c r="AG73" i="30"/>
  <c r="AE73" i="30" s="1"/>
  <c r="AF73" i="30" s="1"/>
  <c r="AL73" i="30"/>
  <c r="AJ73" i="30" s="1"/>
  <c r="AK73" i="30" s="1"/>
  <c r="EW180" i="30"/>
  <c r="EY180" i="30"/>
  <c r="FC180" i="30"/>
  <c r="EY112" i="30"/>
  <c r="EW112" i="30"/>
  <c r="FC112" i="30"/>
  <c r="EW134" i="30"/>
  <c r="EY134" i="30"/>
  <c r="FC134" i="30"/>
  <c r="EW144" i="30"/>
  <c r="EY144" i="30"/>
  <c r="FC144" i="30"/>
  <c r="EY162" i="30"/>
  <c r="AE95" i="30"/>
  <c r="AJ95" i="30"/>
  <c r="EW196" i="30"/>
  <c r="EY135" i="30"/>
  <c r="FC135" i="30"/>
  <c r="DP80" i="30"/>
  <c r="DQ80" i="30"/>
  <c r="DT80" i="30"/>
  <c r="DU80" i="30"/>
  <c r="EY227" i="30"/>
  <c r="EW227" i="30"/>
  <c r="FC227" i="30"/>
  <c r="DP81" i="30"/>
  <c r="DQ81" i="30"/>
  <c r="DT81" i="30"/>
  <c r="DU81" i="30"/>
  <c r="EW150" i="30"/>
  <c r="EY150" i="30"/>
  <c r="FC150" i="30"/>
  <c r="CQ82" i="30" a="1"/>
  <c r="CQ82" i="30" s="1"/>
  <c r="DP82" i="30"/>
  <c r="DQ82" i="30"/>
  <c r="DT82" i="30"/>
  <c r="DU82" i="30"/>
  <c r="EW123" i="30"/>
  <c r="EY123" i="30"/>
  <c r="FC123" i="30"/>
  <c r="CQ83" i="30" a="1"/>
  <c r="CQ83" i="30" s="1"/>
  <c r="EY140" i="30"/>
  <c r="CQ84" i="30" a="1"/>
  <c r="CQ84" i="30" s="1"/>
  <c r="DP84" i="30"/>
  <c r="DT84" i="30"/>
  <c r="EW209" i="30"/>
  <c r="FC209" i="30"/>
  <c r="CQ85" i="30" a="1"/>
  <c r="CQ85" i="30" s="1"/>
  <c r="EW183" i="30"/>
  <c r="EY183" i="30"/>
  <c r="FC183" i="30"/>
  <c r="CQ86" i="30" a="1"/>
  <c r="CQ86" i="30" s="1"/>
  <c r="CQ87" i="30" a="1"/>
  <c r="CQ87" i="30" s="1"/>
  <c r="CQ88" i="30" a="1"/>
  <c r="CQ88" i="30" s="1"/>
  <c r="CQ89" i="30" a="1"/>
  <c r="CQ89" i="30" s="1"/>
  <c r="CQ90" i="30" a="1"/>
  <c r="CQ90" i="30" s="1"/>
  <c r="EW74" i="30"/>
  <c r="EY74" i="30"/>
  <c r="FC74" i="30"/>
  <c r="EW220" i="30"/>
  <c r="EY220" i="30"/>
  <c r="FC220" i="30"/>
  <c r="EW82" i="30"/>
  <c r="EY82" i="30"/>
  <c r="FC82" i="30"/>
  <c r="EY86" i="30"/>
  <c r="FC86" i="30"/>
  <c r="EW213" i="30"/>
  <c r="EY213" i="30"/>
  <c r="FC213" i="30"/>
  <c r="EY238" i="30"/>
  <c r="EW238" i="30"/>
  <c r="FC238" i="30"/>
  <c r="AG97" i="30"/>
  <c r="AE97" i="30" s="1"/>
  <c r="AF97" i="30" s="1"/>
  <c r="AL97" i="30"/>
  <c r="AJ97" i="30" s="1"/>
  <c r="AK97" i="30" s="1"/>
  <c r="AG98" i="30"/>
  <c r="AE98" i="30" s="1"/>
  <c r="AF98" i="30" s="1"/>
  <c r="AL98" i="30"/>
  <c r="AJ98" i="30" s="1"/>
  <c r="AK98" i="30" s="1"/>
  <c r="AG99" i="30"/>
  <c r="AE99" i="30" s="1"/>
  <c r="AF99" i="30" s="1"/>
  <c r="AL99" i="30"/>
  <c r="AJ99" i="30" s="1"/>
  <c r="AK99" i="30" s="1"/>
  <c r="AG100" i="30"/>
  <c r="AE100" i="30" s="1"/>
  <c r="AF100" i="30" s="1"/>
  <c r="AL100" i="30"/>
  <c r="AJ100" i="30" s="1"/>
  <c r="AK100" i="30" s="1"/>
  <c r="EW191" i="30"/>
  <c r="EY191" i="30"/>
  <c r="FC191" i="30"/>
  <c r="EY222" i="30"/>
  <c r="FC222" i="30"/>
  <c r="EY75" i="30"/>
  <c r="EW75" i="30"/>
  <c r="FC75" i="30"/>
  <c r="EW181" i="30"/>
  <c r="EY181" i="30"/>
  <c r="FC181" i="30"/>
  <c r="EW83" i="30"/>
  <c r="EW174" i="30"/>
  <c r="EY174" i="30"/>
  <c r="FC174" i="30"/>
  <c r="DP123" i="30"/>
  <c r="DQ105" i="30" s="1"/>
  <c r="DQ118" i="30" s="1"/>
  <c r="DP121" i="30"/>
  <c r="DR105" i="30" s="1"/>
  <c r="DR118" i="30" s="1"/>
  <c r="DP122" i="30"/>
  <c r="DS105" i="30" s="1"/>
  <c r="DS118" i="30" s="1"/>
  <c r="EW72" i="30"/>
  <c r="EY72" i="30"/>
  <c r="FC72" i="30"/>
  <c r="EW119" i="30"/>
  <c r="EW137" i="30"/>
  <c r="EY137" i="30"/>
  <c r="FC137" i="30"/>
  <c r="AJ111" i="30"/>
  <c r="AK111" i="30"/>
  <c r="AL111" i="30"/>
  <c r="AJ112" i="30"/>
  <c r="AK112" i="30"/>
  <c r="AL112" i="30"/>
  <c r="EW115" i="30"/>
  <c r="FC115" i="30"/>
  <c r="EW147" i="30"/>
  <c r="EY147" i="30"/>
  <c r="FC147" i="30"/>
  <c r="FC122" i="30"/>
  <c r="EW117" i="30"/>
  <c r="DT118" i="30"/>
  <c r="DU118" i="30"/>
  <c r="DV118" i="30"/>
  <c r="DW118" i="30"/>
  <c r="EW202" i="30"/>
  <c r="EY202" i="30"/>
  <c r="FC202" i="30"/>
  <c r="DP124" i="30"/>
  <c r="DS124" i="30" s="1"/>
  <c r="EW206" i="30"/>
  <c r="EW231" i="30"/>
  <c r="EY231" i="30"/>
  <c r="FC231" i="30"/>
  <c r="EW211" i="30"/>
  <c r="EY211" i="30"/>
  <c r="FC211" i="30"/>
  <c r="EW178" i="30"/>
  <c r="FC178" i="30"/>
  <c r="EW65" i="30"/>
  <c r="EY65" i="30"/>
  <c r="FC65" i="30"/>
  <c r="AF143" i="30"/>
  <c r="AG138" i="30"/>
  <c r="EW161" i="30"/>
  <c r="EY161" i="30"/>
  <c r="FC161" i="30"/>
  <c r="EW132" i="30"/>
  <c r="EY132" i="30"/>
  <c r="FC132" i="30"/>
  <c r="EY216" i="30"/>
  <c r="EW103" i="30"/>
  <c r="EY103" i="30"/>
  <c r="FC103" i="30"/>
  <c r="EW62" i="30"/>
  <c r="EY62" i="30"/>
  <c r="FC62" i="30"/>
  <c r="EY131" i="30"/>
  <c r="FC131" i="30"/>
  <c r="FC67" i="30"/>
  <c r="EY136" i="30"/>
  <c r="EW114" i="30"/>
  <c r="EY114" i="30"/>
  <c r="FC114" i="30"/>
  <c r="EW87" i="30"/>
  <c r="EY87" i="30"/>
  <c r="FC87" i="30"/>
  <c r="EW88" i="30"/>
  <c r="EY88" i="30"/>
  <c r="FC88" i="30"/>
  <c r="EW111" i="30"/>
  <c r="EY111" i="30"/>
  <c r="FC111" i="30"/>
  <c r="EW118" i="30"/>
  <c r="EW164" i="30"/>
  <c r="EY107" i="30"/>
  <c r="FC107" i="30"/>
  <c r="EW232" i="30"/>
  <c r="EY232" i="30"/>
  <c r="FC232" i="30"/>
  <c r="EW102" i="30"/>
  <c r="FC102" i="30"/>
  <c r="EW113" i="30"/>
  <c r="FC113" i="30"/>
  <c r="FC155" i="30"/>
  <c r="EW190" i="30"/>
  <c r="FC190" i="30"/>
  <c r="EY207" i="30"/>
  <c r="FC207" i="30"/>
  <c r="EW212" i="30"/>
  <c r="FC212" i="30"/>
  <c r="EW235" i="30"/>
  <c r="EY235" i="30"/>
  <c r="FC235" i="30"/>
  <c r="EY125" i="30"/>
  <c r="EW120" i="30"/>
  <c r="EY120" i="30"/>
  <c r="FC120" i="30"/>
  <c r="EW101" i="30"/>
  <c r="EW98" i="30"/>
  <c r="EY98" i="30"/>
  <c r="FC98" i="30"/>
  <c r="EW133" i="30"/>
  <c r="EY133" i="30"/>
  <c r="FC133" i="30"/>
  <c r="EW70" i="30"/>
  <c r="EY70" i="30"/>
  <c r="FC70" i="30"/>
  <c r="EW154" i="30"/>
  <c r="EY154" i="30"/>
  <c r="FC154" i="30"/>
  <c r="EW63" i="30"/>
  <c r="EY63" i="30"/>
  <c r="FC63" i="30"/>
  <c r="EY166" i="30"/>
  <c r="EW61" i="30"/>
  <c r="EY61" i="30"/>
  <c r="FC61" i="30"/>
  <c r="FC68" i="30"/>
  <c r="EW229" i="30"/>
  <c r="EY229" i="30"/>
  <c r="FC229" i="30"/>
  <c r="EW71" i="30"/>
  <c r="EY71" i="30"/>
  <c r="FC71" i="30"/>
  <c r="EW78" i="30"/>
  <c r="FC78" i="30"/>
  <c r="FC55" i="30"/>
  <c r="EY177" i="30"/>
  <c r="FC177" i="30"/>
  <c r="FC198" i="30"/>
  <c r="EW236" i="30"/>
  <c r="EY236" i="30"/>
  <c r="FC236" i="30"/>
  <c r="EW194" i="30"/>
  <c r="EY194" i="30"/>
  <c r="FC194" i="30"/>
  <c r="EW110" i="30"/>
  <c r="EY110" i="30"/>
  <c r="FC110" i="30"/>
  <c r="EW141" i="30"/>
  <c r="EY141" i="30"/>
  <c r="FC141" i="30"/>
  <c r="EW175" i="30"/>
  <c r="EY175" i="30"/>
  <c r="FC175" i="30"/>
  <c r="EY163" i="30"/>
  <c r="FC171" i="30"/>
  <c r="FC52" i="30"/>
  <c r="EW172" i="30"/>
  <c r="EY172" i="30"/>
  <c r="FC172" i="30"/>
  <c r="G4" i="4"/>
  <c r="AA4" i="4"/>
  <c r="AB4" i="4"/>
  <c r="AC4" i="4" s="1"/>
  <c r="AD4" i="4"/>
  <c r="AE4" i="4"/>
  <c r="AF4" i="4"/>
  <c r="AH4" i="4"/>
  <c r="AD14" i="4"/>
  <c r="AF14" i="4"/>
  <c r="AG14" i="4"/>
  <c r="AH14" i="4"/>
  <c r="AJ4" i="4"/>
  <c r="AM4" i="4"/>
  <c r="AN4" i="4"/>
  <c r="AO4" i="4"/>
  <c r="AQ4" i="4"/>
  <c r="AR4" i="4"/>
  <c r="G5" i="4"/>
  <c r="AA5" i="4"/>
  <c r="AB5" i="4"/>
  <c r="AC5" i="4" s="1"/>
  <c r="AD5" i="4"/>
  <c r="AE5" i="4"/>
  <c r="AF5" i="4"/>
  <c r="AG5" i="4"/>
  <c r="AH5" i="4"/>
  <c r="AJ5" i="4"/>
  <c r="AK5" i="4" s="1"/>
  <c r="AP5" i="4" s="1"/>
  <c r="AM5" i="4"/>
  <c r="AN5" i="4"/>
  <c r="AO5" i="4"/>
  <c r="AQ5" i="4"/>
  <c r="AR5" i="4"/>
  <c r="AU5" i="4"/>
  <c r="G6" i="4"/>
  <c r="AA6" i="4"/>
  <c r="AB6" i="4"/>
  <c r="AC6" i="4"/>
  <c r="AL6" i="4" s="1"/>
  <c r="AD6" i="4"/>
  <c r="AG6" i="4" s="1"/>
  <c r="AE6" i="4"/>
  <c r="AF6" i="4"/>
  <c r="AI6" i="4" s="1"/>
  <c r="AH6" i="4"/>
  <c r="AD13" i="4"/>
  <c r="AF13" i="4" s="1"/>
  <c r="AG13" i="4"/>
  <c r="AH13" i="4"/>
  <c r="AJ6" i="4"/>
  <c r="AK6" i="4" s="1"/>
  <c r="AP6" i="4" s="1"/>
  <c r="AM6" i="4"/>
  <c r="AN6" i="4"/>
  <c r="AO6" i="4"/>
  <c r="AQ6" i="4"/>
  <c r="AR6" i="4"/>
  <c r="G7" i="4"/>
  <c r="AA7" i="4"/>
  <c r="AB7" i="4"/>
  <c r="AC7" i="4" s="1"/>
  <c r="AL7" i="4" s="1"/>
  <c r="AD7" i="4"/>
  <c r="AE7" i="4"/>
  <c r="AF7" i="4"/>
  <c r="AG7" i="4"/>
  <c r="AH7" i="4"/>
  <c r="AD17" i="4"/>
  <c r="AF17" i="4" s="1"/>
  <c r="AI17" i="4" s="1"/>
  <c r="AG17" i="4"/>
  <c r="AH17" i="4"/>
  <c r="AJ7" i="4"/>
  <c r="AM7" i="4"/>
  <c r="AN7" i="4"/>
  <c r="AO7" i="4"/>
  <c r="AQ7" i="4"/>
  <c r="AR7" i="4"/>
  <c r="G8" i="4"/>
  <c r="AA8" i="4"/>
  <c r="AB8" i="4"/>
  <c r="AC8" i="4" s="1"/>
  <c r="AD8" i="4"/>
  <c r="AE8" i="4"/>
  <c r="AF8" i="4"/>
  <c r="AG8" i="4"/>
  <c r="AH8" i="4"/>
  <c r="AD18" i="4"/>
  <c r="AF18" i="4" s="1"/>
  <c r="AG18" i="4"/>
  <c r="AH18" i="4"/>
  <c r="AJ8" i="4"/>
  <c r="AK8" i="4" s="1"/>
  <c r="AP8" i="4" s="1"/>
  <c r="AM8" i="4"/>
  <c r="AN8" i="4"/>
  <c r="AO8" i="4"/>
  <c r="AQ8" i="4"/>
  <c r="AR8" i="4"/>
  <c r="G9" i="4"/>
  <c r="AA9" i="4"/>
  <c r="AB9" i="4"/>
  <c r="AC9" i="4"/>
  <c r="AD9" i="4"/>
  <c r="AE9" i="4"/>
  <c r="AF9" i="4"/>
  <c r="AG9" i="4"/>
  <c r="AH9" i="4"/>
  <c r="AD15" i="4"/>
  <c r="AF15" i="4" s="1"/>
  <c r="AG15" i="4"/>
  <c r="AH15" i="4"/>
  <c r="AJ9" i="4"/>
  <c r="AM9" i="4"/>
  <c r="AN9" i="4"/>
  <c r="AO9" i="4"/>
  <c r="AQ9" i="4"/>
  <c r="AR9" i="4"/>
  <c r="G10" i="4"/>
  <c r="AA10" i="4"/>
  <c r="AB10" i="4"/>
  <c r="AC10" i="4" s="1"/>
  <c r="AD10" i="4"/>
  <c r="AG10" i="4" s="1"/>
  <c r="AE10" i="4"/>
  <c r="AF10" i="4"/>
  <c r="AH10" i="4"/>
  <c r="AD16" i="4"/>
  <c r="AF16" i="4" s="1"/>
  <c r="AG16" i="4"/>
  <c r="AH16" i="4"/>
  <c r="AJ10" i="4"/>
  <c r="AM10" i="4"/>
  <c r="AN10" i="4"/>
  <c r="AO10" i="4"/>
  <c r="AQ10" i="4"/>
  <c r="AR10" i="4"/>
  <c r="G11" i="4"/>
  <c r="AA11" i="4"/>
  <c r="AB11" i="4"/>
  <c r="AC11" i="4" s="1"/>
  <c r="AD11" i="4"/>
  <c r="AG11" i="4" s="1"/>
  <c r="AE11" i="4"/>
  <c r="AF11" i="4"/>
  <c r="AH11" i="4"/>
  <c r="AD20" i="4"/>
  <c r="AF20" i="4" s="1"/>
  <c r="AG20" i="4"/>
  <c r="AH20" i="4"/>
  <c r="AJ11" i="4"/>
  <c r="AM11" i="4"/>
  <c r="AN11" i="4"/>
  <c r="AO11" i="4"/>
  <c r="AQ11" i="4"/>
  <c r="AR11" i="4"/>
  <c r="G12" i="4"/>
  <c r="AA12" i="4"/>
  <c r="AB12" i="4"/>
  <c r="AC12" i="4" s="1"/>
  <c r="AD12" i="4"/>
  <c r="AG12" i="4" s="1"/>
  <c r="AE12" i="4"/>
  <c r="AF12" i="4"/>
  <c r="AH12" i="4"/>
  <c r="AD19" i="4"/>
  <c r="AF19" i="4"/>
  <c r="AG19" i="4"/>
  <c r="AH19" i="4"/>
  <c r="AJ12" i="4"/>
  <c r="AM12" i="4"/>
  <c r="AN12" i="4"/>
  <c r="AO12" i="4"/>
  <c r="AQ12" i="4"/>
  <c r="AR12" i="4"/>
  <c r="G13" i="4"/>
  <c r="AA13" i="4"/>
  <c r="AB13" i="4"/>
  <c r="AC13" i="4"/>
  <c r="AL13" i="4" s="1"/>
  <c r="AE13" i="4"/>
  <c r="AJ13" i="4"/>
  <c r="AM13" i="4"/>
  <c r="AN13" i="4"/>
  <c r="AO13" i="4"/>
  <c r="AQ13" i="4"/>
  <c r="AR13" i="4"/>
  <c r="G14" i="4"/>
  <c r="AA14" i="4"/>
  <c r="AB14" i="4"/>
  <c r="AC14" i="4" s="1"/>
  <c r="AE14" i="4"/>
  <c r="AJ14" i="4"/>
  <c r="AK14" i="4" s="1"/>
  <c r="AP14" i="4" s="1"/>
  <c r="AM14" i="4"/>
  <c r="AN14" i="4"/>
  <c r="AO14" i="4"/>
  <c r="AQ14" i="4"/>
  <c r="AR14" i="4"/>
  <c r="G15" i="4"/>
  <c r="AA15" i="4"/>
  <c r="AB15" i="4"/>
  <c r="AC15" i="4"/>
  <c r="AE15" i="4"/>
  <c r="AJ15" i="4"/>
  <c r="AK15" i="4" s="1"/>
  <c r="AP15" i="4" s="1"/>
  <c r="AM15" i="4"/>
  <c r="AN15" i="4"/>
  <c r="AO15" i="4"/>
  <c r="AQ15" i="4"/>
  <c r="AR15" i="4"/>
  <c r="G16" i="4"/>
  <c r="AA16" i="4"/>
  <c r="AB16" i="4"/>
  <c r="AC16" i="4" s="1"/>
  <c r="AE16" i="4"/>
  <c r="AJ16" i="4"/>
  <c r="AK16" i="4" s="1"/>
  <c r="AP16" i="4" s="1"/>
  <c r="AM16" i="4"/>
  <c r="AN16" i="4"/>
  <c r="AO16" i="4"/>
  <c r="AQ16" i="4"/>
  <c r="AR16" i="4"/>
  <c r="G17" i="4"/>
  <c r="AA17" i="4"/>
  <c r="AB17" i="4"/>
  <c r="AC17" i="4" s="1"/>
  <c r="AL17" i="4" s="1"/>
  <c r="AE17" i="4"/>
  <c r="AJ17" i="4"/>
  <c r="AK17" i="4" s="1"/>
  <c r="AP17" i="4" s="1"/>
  <c r="AM17" i="4"/>
  <c r="AN17" i="4"/>
  <c r="AO17" i="4"/>
  <c r="AQ17" i="4"/>
  <c r="AR17" i="4"/>
  <c r="G18" i="4"/>
  <c r="AA18" i="4"/>
  <c r="AB18" i="4"/>
  <c r="AC18" i="4"/>
  <c r="AE18" i="4"/>
  <c r="AJ18" i="4"/>
  <c r="AK18" i="4" s="1"/>
  <c r="AP18" i="4" s="1"/>
  <c r="AM18" i="4"/>
  <c r="AN18" i="4"/>
  <c r="AO18" i="4"/>
  <c r="AQ18" i="4"/>
  <c r="AR18" i="4"/>
  <c r="G19" i="4"/>
  <c r="AA19" i="4"/>
  <c r="AB19" i="4"/>
  <c r="AC19" i="4"/>
  <c r="AL19" i="4" s="1"/>
  <c r="AE19" i="4"/>
  <c r="AJ19" i="4"/>
  <c r="AK19" i="4" s="1"/>
  <c r="AP19" i="4" s="1"/>
  <c r="AM19" i="4"/>
  <c r="AN19" i="4"/>
  <c r="AO19" i="4"/>
  <c r="AQ19" i="4"/>
  <c r="AR19" i="4"/>
  <c r="G20" i="4"/>
  <c r="AA20" i="4"/>
  <c r="AB20" i="4"/>
  <c r="AC20" i="4"/>
  <c r="AE20" i="4"/>
  <c r="AJ20" i="4"/>
  <c r="AM20" i="4"/>
  <c r="AN20" i="4"/>
  <c r="AO20" i="4"/>
  <c r="AQ20" i="4"/>
  <c r="AR20" i="4"/>
  <c r="G21" i="4"/>
  <c r="AA21" i="4"/>
  <c r="AB21" i="4"/>
  <c r="AC21" i="4"/>
  <c r="AD21" i="4"/>
  <c r="AF21" i="4" s="1"/>
  <c r="AI21" i="4" s="1"/>
  <c r="AE21" i="4"/>
  <c r="AG21" i="4"/>
  <c r="AH21" i="4"/>
  <c r="AJ21" i="4"/>
  <c r="AK21" i="4" s="1"/>
  <c r="AP21" i="4" s="1"/>
  <c r="AM21" i="4"/>
  <c r="AN21" i="4"/>
  <c r="AO21" i="4"/>
  <c r="AQ21" i="4"/>
  <c r="AR21" i="4"/>
  <c r="G22" i="4"/>
  <c r="AA22" i="4"/>
  <c r="AB22" i="4"/>
  <c r="AC22" i="4" s="1"/>
  <c r="AD22" i="4"/>
  <c r="AK22" i="4" s="1"/>
  <c r="AP22" i="4" s="1"/>
  <c r="AE22" i="4"/>
  <c r="AG22" i="4"/>
  <c r="AH22" i="4"/>
  <c r="AJ22" i="4"/>
  <c r="AM22" i="4"/>
  <c r="AN22" i="4"/>
  <c r="AO22" i="4"/>
  <c r="AQ22" i="4"/>
  <c r="AR22" i="4"/>
  <c r="G23" i="4"/>
  <c r="AA23" i="4"/>
  <c r="AB23" i="4"/>
  <c r="AC23" i="4" s="1"/>
  <c r="AL23" i="4" s="1"/>
  <c r="AD23" i="4"/>
  <c r="AF23" i="4" s="1"/>
  <c r="AE23" i="4"/>
  <c r="AG23" i="4"/>
  <c r="AH23" i="4"/>
  <c r="AF26" i="4"/>
  <c r="AD26" i="4"/>
  <c r="AG26" i="4" s="1"/>
  <c r="AH26" i="4"/>
  <c r="AJ23" i="4"/>
  <c r="AM23" i="4"/>
  <c r="AN23" i="4"/>
  <c r="AO23" i="4"/>
  <c r="AQ23" i="4"/>
  <c r="AR23" i="4"/>
  <c r="G24" i="4"/>
  <c r="AA24" i="4"/>
  <c r="AB24" i="4"/>
  <c r="AC24" i="4" s="1"/>
  <c r="AD24" i="4"/>
  <c r="AE24" i="4"/>
  <c r="AF24" i="4"/>
  <c r="AG24" i="4"/>
  <c r="AH24" i="4"/>
  <c r="AF25" i="4"/>
  <c r="AI24" i="4" s="1"/>
  <c r="AD25" i="4"/>
  <c r="AG25" i="4"/>
  <c r="AH25" i="4"/>
  <c r="AJ24" i="4"/>
  <c r="AK24" i="4" s="1"/>
  <c r="AP24" i="4" s="1"/>
  <c r="AM24" i="4"/>
  <c r="AN24" i="4"/>
  <c r="AO24" i="4"/>
  <c r="AQ24" i="4"/>
  <c r="AR24" i="4"/>
  <c r="G25" i="4"/>
  <c r="AA25" i="4"/>
  <c r="AB25" i="4"/>
  <c r="AC25" i="4"/>
  <c r="AL25" i="4" s="1"/>
  <c r="AE25" i="4"/>
  <c r="AJ25" i="4"/>
  <c r="AM25" i="4"/>
  <c r="AN25" i="4"/>
  <c r="AO25" i="4"/>
  <c r="AQ25" i="4"/>
  <c r="AR25" i="4"/>
  <c r="G26" i="4"/>
  <c r="AA26" i="4"/>
  <c r="AB26" i="4"/>
  <c r="AC26" i="4" s="1"/>
  <c r="AE26" i="4"/>
  <c r="AJ26" i="4"/>
  <c r="AM26" i="4"/>
  <c r="AN26" i="4"/>
  <c r="AO26" i="4"/>
  <c r="AQ26" i="4"/>
  <c r="AR26" i="4"/>
  <c r="G27" i="4"/>
  <c r="AA27" i="4"/>
  <c r="AB27" i="4"/>
  <c r="AC27" i="4"/>
  <c r="AL27" i="4" s="1"/>
  <c r="AD27" i="4"/>
  <c r="AF27" i="4" s="1"/>
  <c r="AI27" i="4" s="1"/>
  <c r="AE27" i="4"/>
  <c r="AG27" i="4"/>
  <c r="AH27" i="4"/>
  <c r="AJ27" i="4"/>
  <c r="AM27" i="4"/>
  <c r="AN27" i="4"/>
  <c r="AO27" i="4"/>
  <c r="AQ27" i="4"/>
  <c r="AR27" i="4"/>
  <c r="G28" i="4"/>
  <c r="AA28" i="4"/>
  <c r="AB28" i="4"/>
  <c r="AC28" i="4" s="1"/>
  <c r="AD28" i="4"/>
  <c r="AF28" i="4" s="1"/>
  <c r="AE28" i="4"/>
  <c r="AG28" i="4"/>
  <c r="AH28" i="4"/>
  <c r="AJ28" i="4"/>
  <c r="AK28" i="4" s="1"/>
  <c r="AP28" i="4" s="1"/>
  <c r="AM28" i="4"/>
  <c r="AN28" i="4"/>
  <c r="AO28" i="4"/>
  <c r="AQ28" i="4"/>
  <c r="AR28" i="4"/>
  <c r="G29" i="4"/>
  <c r="AA29" i="4"/>
  <c r="AB29" i="4"/>
  <c r="AC29" i="4" s="1"/>
  <c r="AL29" i="4" s="1"/>
  <c r="AD29" i="4"/>
  <c r="AF29" i="4" s="1"/>
  <c r="AI29" i="4" s="1"/>
  <c r="AE29" i="4"/>
  <c r="AG29" i="4"/>
  <c r="AH29" i="4"/>
  <c r="AJ29" i="4"/>
  <c r="AK29" i="4" s="1"/>
  <c r="AP29" i="4" s="1"/>
  <c r="AM29" i="4"/>
  <c r="AN29" i="4"/>
  <c r="AO29" i="4"/>
  <c r="AQ29" i="4"/>
  <c r="AR29" i="4"/>
  <c r="G30" i="4"/>
  <c r="AA30" i="4"/>
  <c r="AB30" i="4"/>
  <c r="AC30" i="4"/>
  <c r="AD30" i="4"/>
  <c r="AG30" i="4" s="1"/>
  <c r="AE30" i="4"/>
  <c r="AF30" i="4"/>
  <c r="AH30" i="4"/>
  <c r="AD31" i="4"/>
  <c r="AF31" i="4" s="1"/>
  <c r="AG31" i="4"/>
  <c r="AH31" i="4"/>
  <c r="AJ30" i="4"/>
  <c r="AK30" i="4" s="1"/>
  <c r="AP30" i="4" s="1"/>
  <c r="AM30" i="4"/>
  <c r="AN30" i="4"/>
  <c r="AO30" i="4"/>
  <c r="AQ30" i="4"/>
  <c r="AR30" i="4"/>
  <c r="G31" i="4"/>
  <c r="AA31" i="4"/>
  <c r="AB31" i="4"/>
  <c r="AC31" i="4" s="1"/>
  <c r="AE31" i="4"/>
  <c r="AJ31" i="4"/>
  <c r="AK31" i="4" s="1"/>
  <c r="AP31" i="4" s="1"/>
  <c r="AM31" i="4"/>
  <c r="AN31" i="4"/>
  <c r="AO31" i="4"/>
  <c r="AQ31" i="4"/>
  <c r="AR31" i="4"/>
  <c r="G32" i="4"/>
  <c r="AA32" i="4"/>
  <c r="AB32" i="4"/>
  <c r="AC32" i="4" s="1"/>
  <c r="AL32" i="4" s="1"/>
  <c r="AD32" i="4"/>
  <c r="AG32" i="4" s="1"/>
  <c r="AE32" i="4"/>
  <c r="AF32" i="4"/>
  <c r="AH32" i="4"/>
  <c r="AD33" i="4"/>
  <c r="AF33" i="4"/>
  <c r="AI33" i="4" s="1"/>
  <c r="AG33" i="4"/>
  <c r="AH33" i="4"/>
  <c r="AJ32" i="4"/>
  <c r="AM32" i="4"/>
  <c r="AN32" i="4"/>
  <c r="AO32" i="4"/>
  <c r="AQ32" i="4"/>
  <c r="AR32" i="4"/>
  <c r="G33" i="4"/>
  <c r="AA33" i="4"/>
  <c r="AB33" i="4"/>
  <c r="AC33" i="4" s="1"/>
  <c r="AL33" i="4" s="1"/>
  <c r="AE33" i="4"/>
  <c r="AJ33" i="4"/>
  <c r="AM33" i="4"/>
  <c r="AN33" i="4"/>
  <c r="AO33" i="4"/>
  <c r="AQ33" i="4"/>
  <c r="AR33" i="4"/>
  <c r="G34" i="4"/>
  <c r="AA34" i="4"/>
  <c r="AB34" i="4"/>
  <c r="AC34" i="4" s="1"/>
  <c r="AD34" i="4"/>
  <c r="AE34" i="4"/>
  <c r="AF34" i="4"/>
  <c r="AG34" i="4"/>
  <c r="AH34" i="4"/>
  <c r="AJ34" i="4"/>
  <c r="AM34" i="4"/>
  <c r="AN34" i="4"/>
  <c r="AO34" i="4"/>
  <c r="AQ34" i="4"/>
  <c r="AR34" i="4"/>
  <c r="G35" i="4"/>
  <c r="AA35" i="4"/>
  <c r="AB35" i="4"/>
  <c r="AC35" i="4" s="1"/>
  <c r="AL35" i="4" s="1"/>
  <c r="AD35" i="4"/>
  <c r="AF35" i="4" s="1"/>
  <c r="AE35" i="4"/>
  <c r="AG35" i="4"/>
  <c r="AH35" i="4"/>
  <c r="AF38" i="4"/>
  <c r="AD38" i="4"/>
  <c r="AG38" i="4" s="1"/>
  <c r="AH38" i="4"/>
  <c r="AJ35" i="4"/>
  <c r="AM35" i="4"/>
  <c r="AN35" i="4"/>
  <c r="AO35" i="4"/>
  <c r="AQ35" i="4"/>
  <c r="AR35" i="4"/>
  <c r="G36" i="4"/>
  <c r="AA36" i="4"/>
  <c r="AB36" i="4"/>
  <c r="AC36" i="4" s="1"/>
  <c r="AD36" i="4"/>
  <c r="AE36" i="4"/>
  <c r="AF36" i="4"/>
  <c r="AG36" i="4"/>
  <c r="AH36" i="4"/>
  <c r="AF37" i="4"/>
  <c r="AD37" i="4"/>
  <c r="AG37" i="4" s="1"/>
  <c r="AH37" i="4"/>
  <c r="AJ36" i="4"/>
  <c r="AK36" i="4" s="1"/>
  <c r="AP36" i="4" s="1"/>
  <c r="AM36" i="4"/>
  <c r="AN36" i="4"/>
  <c r="AO36" i="4"/>
  <c r="AQ36" i="4"/>
  <c r="AR36" i="4"/>
  <c r="G37" i="4"/>
  <c r="AA37" i="4"/>
  <c r="AB37" i="4"/>
  <c r="AC37" i="4"/>
  <c r="AL37" i="4" s="1"/>
  <c r="AE37" i="4"/>
  <c r="AJ37" i="4"/>
  <c r="AM37" i="4"/>
  <c r="AN37" i="4"/>
  <c r="AO37" i="4"/>
  <c r="AQ37" i="4"/>
  <c r="AR37" i="4"/>
  <c r="G38" i="4"/>
  <c r="AA38" i="4"/>
  <c r="AB38" i="4"/>
  <c r="AC38" i="4" s="1"/>
  <c r="AE38" i="4"/>
  <c r="AJ38" i="4"/>
  <c r="AK38" i="4" s="1"/>
  <c r="AP38" i="4" s="1"/>
  <c r="AM38" i="4"/>
  <c r="AN38" i="4"/>
  <c r="AO38" i="4"/>
  <c r="AQ38" i="4"/>
  <c r="AR38" i="4"/>
  <c r="G39" i="4"/>
  <c r="AA39" i="4"/>
  <c r="AB39" i="4"/>
  <c r="AC39" i="4" s="1"/>
  <c r="AL39" i="4" s="1"/>
  <c r="AD39" i="4"/>
  <c r="AE39" i="4"/>
  <c r="AF39" i="4"/>
  <c r="AG39" i="4"/>
  <c r="AH39" i="4"/>
  <c r="AD43" i="4"/>
  <c r="AF43" i="4" s="1"/>
  <c r="AG43" i="4"/>
  <c r="AH43" i="4"/>
  <c r="AJ39" i="4"/>
  <c r="AK39" i="4"/>
  <c r="AP39" i="4" s="1"/>
  <c r="AM39" i="4"/>
  <c r="AN39" i="4"/>
  <c r="AO39" i="4"/>
  <c r="AQ39" i="4"/>
  <c r="AR39" i="4"/>
  <c r="G40" i="4"/>
  <c r="AA40" i="4"/>
  <c r="AB40" i="4"/>
  <c r="AC40" i="4"/>
  <c r="AD40" i="4"/>
  <c r="AG40" i="4" s="1"/>
  <c r="AE40" i="4"/>
  <c r="AF40" i="4"/>
  <c r="AH40" i="4"/>
  <c r="AD44" i="4"/>
  <c r="AF44" i="4" s="1"/>
  <c r="AG44" i="4"/>
  <c r="AH44" i="4"/>
  <c r="AJ40" i="4"/>
  <c r="AL40" i="4" s="1"/>
  <c r="AM40" i="4"/>
  <c r="AN40" i="4"/>
  <c r="AO40" i="4"/>
  <c r="AQ40" i="4"/>
  <c r="AR40" i="4"/>
  <c r="G41" i="4"/>
  <c r="AA41" i="4"/>
  <c r="AB41" i="4"/>
  <c r="AC41" i="4" s="1"/>
  <c r="AD41" i="4"/>
  <c r="AG41" i="4" s="1"/>
  <c r="AE41" i="4"/>
  <c r="AF41" i="4"/>
  <c r="AH41" i="4"/>
  <c r="AD45" i="4"/>
  <c r="AF45" i="4" s="1"/>
  <c r="AG45" i="4"/>
  <c r="AH45" i="4"/>
  <c r="AJ41" i="4"/>
  <c r="AM41" i="4"/>
  <c r="AN41" i="4"/>
  <c r="AO41" i="4"/>
  <c r="AQ41" i="4"/>
  <c r="AR41" i="4"/>
  <c r="G42" i="4"/>
  <c r="AA42" i="4"/>
  <c r="AB42" i="4"/>
  <c r="AC42" i="4" s="1"/>
  <c r="AD42" i="4"/>
  <c r="AG42" i="4" s="1"/>
  <c r="AE42" i="4"/>
  <c r="AF42" i="4"/>
  <c r="AH42" i="4"/>
  <c r="AJ42" i="4"/>
  <c r="AK42" i="4" s="1"/>
  <c r="AP42" i="4" s="1"/>
  <c r="AM42" i="4"/>
  <c r="AN42" i="4"/>
  <c r="AO42" i="4"/>
  <c r="AQ42" i="4"/>
  <c r="AR42" i="4"/>
  <c r="G43" i="4"/>
  <c r="AA43" i="4"/>
  <c r="AB43" i="4"/>
  <c r="AC43" i="4" s="1"/>
  <c r="AL43" i="4" s="1"/>
  <c r="AE43" i="4"/>
  <c r="AJ43" i="4"/>
  <c r="AM43" i="4"/>
  <c r="AN43" i="4"/>
  <c r="AO43" i="4"/>
  <c r="AQ43" i="4"/>
  <c r="AR43" i="4"/>
  <c r="G44" i="4"/>
  <c r="AA44" i="4"/>
  <c r="AB44" i="4"/>
  <c r="AC44" i="4" s="1"/>
  <c r="AE44" i="4"/>
  <c r="AJ44" i="4"/>
  <c r="AK44" i="4" s="1"/>
  <c r="AP44" i="4" s="1"/>
  <c r="AM44" i="4"/>
  <c r="AN44" i="4"/>
  <c r="AO44" i="4"/>
  <c r="AQ44" i="4"/>
  <c r="AR44" i="4"/>
  <c r="G45" i="4"/>
  <c r="AA45" i="4"/>
  <c r="AB45" i="4"/>
  <c r="AC45" i="4" s="1"/>
  <c r="AL45" i="4" s="1"/>
  <c r="AE45" i="4"/>
  <c r="AJ45" i="4"/>
  <c r="AK45" i="4" s="1"/>
  <c r="AP45" i="4" s="1"/>
  <c r="AM45" i="4"/>
  <c r="AN45" i="4"/>
  <c r="AO45" i="4"/>
  <c r="AQ45" i="4"/>
  <c r="AR45" i="4"/>
  <c r="G46" i="4"/>
  <c r="AA46" i="4"/>
  <c r="AB46" i="4"/>
  <c r="AC46" i="4" s="1"/>
  <c r="AD46" i="4"/>
  <c r="AE46" i="4"/>
  <c r="AF46" i="4"/>
  <c r="AI46" i="4" s="1"/>
  <c r="AG46" i="4"/>
  <c r="AH46" i="4"/>
  <c r="AJ46" i="4"/>
  <c r="AM46" i="4"/>
  <c r="AN46" i="4"/>
  <c r="AO46" i="4"/>
  <c r="AQ46" i="4"/>
  <c r="AR46" i="4"/>
  <c r="G47" i="4"/>
  <c r="AA47" i="4"/>
  <c r="AB47" i="4"/>
  <c r="AC47" i="4" s="1"/>
  <c r="AD47" i="4"/>
  <c r="AE47" i="4"/>
  <c r="AF47" i="4"/>
  <c r="AG47" i="4"/>
  <c r="AH47" i="4"/>
  <c r="AJ47" i="4"/>
  <c r="AL47" i="4" s="1"/>
  <c r="AM47" i="4"/>
  <c r="AN47" i="4"/>
  <c r="AO47" i="4"/>
  <c r="AQ47" i="4"/>
  <c r="AR47" i="4"/>
  <c r="G48" i="4"/>
  <c r="AA48" i="4"/>
  <c r="AB48" i="4"/>
  <c r="AC48" i="4"/>
  <c r="AD48" i="4"/>
  <c r="AE48" i="4"/>
  <c r="AF48" i="4"/>
  <c r="AH48" i="4"/>
  <c r="AD49" i="4"/>
  <c r="AF49" i="4" s="1"/>
  <c r="AG49" i="4"/>
  <c r="AH49" i="4"/>
  <c r="AJ48" i="4"/>
  <c r="AL48" i="4" s="1"/>
  <c r="AM48" i="4"/>
  <c r="AN48" i="4"/>
  <c r="AO48" i="4"/>
  <c r="AQ48" i="4"/>
  <c r="AR48" i="4"/>
  <c r="G49" i="4"/>
  <c r="AA49" i="4"/>
  <c r="AB49" i="4"/>
  <c r="AC49" i="4" s="1"/>
  <c r="AE49" i="4"/>
  <c r="AJ49" i="4"/>
  <c r="AK49" i="4" s="1"/>
  <c r="AP49" i="4" s="1"/>
  <c r="AM49" i="4"/>
  <c r="AN49" i="4"/>
  <c r="AO49" i="4"/>
  <c r="AQ49" i="4"/>
  <c r="AR49" i="4"/>
  <c r="G50" i="4"/>
  <c r="AA50" i="4"/>
  <c r="AB50" i="4"/>
  <c r="AC50" i="4" s="1"/>
  <c r="AD50" i="4"/>
  <c r="AF50" i="4" s="1"/>
  <c r="AI50" i="4" s="1"/>
  <c r="AE50" i="4"/>
  <c r="AG50" i="4"/>
  <c r="AH50" i="4"/>
  <c r="AJ50" i="4"/>
  <c r="AM50" i="4"/>
  <c r="AN50" i="4"/>
  <c r="AO50" i="4"/>
  <c r="AQ50" i="4"/>
  <c r="AR50" i="4"/>
  <c r="G51" i="4"/>
  <c r="AA51" i="4"/>
  <c r="AB51" i="4"/>
  <c r="AC51" i="4" s="1"/>
  <c r="AL51" i="4" s="1"/>
  <c r="AD51" i="4"/>
  <c r="AF51" i="4" s="1"/>
  <c r="AE51" i="4"/>
  <c r="AG51" i="4"/>
  <c r="AH51" i="4"/>
  <c r="AF52" i="4"/>
  <c r="AD52" i="4"/>
  <c r="AG52" i="4" s="1"/>
  <c r="AH52" i="4"/>
  <c r="AJ51" i="4"/>
  <c r="AK51" i="4"/>
  <c r="AP51" i="4" s="1"/>
  <c r="AM51" i="4"/>
  <c r="AN51" i="4"/>
  <c r="AO51" i="4"/>
  <c r="AQ51" i="4"/>
  <c r="AR51" i="4"/>
  <c r="G52" i="4"/>
  <c r="AA52" i="4"/>
  <c r="AB52" i="4"/>
  <c r="AC52" i="4" s="1"/>
  <c r="AL52" i="4" s="1"/>
  <c r="AE52" i="4"/>
  <c r="AJ52" i="4"/>
  <c r="AM52" i="4"/>
  <c r="AN52" i="4"/>
  <c r="AO52" i="4"/>
  <c r="AQ52" i="4"/>
  <c r="AR52" i="4"/>
  <c r="G53" i="4"/>
  <c r="AA53" i="4"/>
  <c r="AB53" i="4"/>
  <c r="AC53" i="4" s="1"/>
  <c r="AD53" i="4"/>
  <c r="AE53" i="4"/>
  <c r="AF53" i="4"/>
  <c r="AG53" i="4"/>
  <c r="AH53" i="4"/>
  <c r="AD54" i="4"/>
  <c r="AF54" i="4"/>
  <c r="AG54" i="4"/>
  <c r="AH54" i="4"/>
  <c r="AJ53" i="4"/>
  <c r="AK53" i="4" s="1"/>
  <c r="AP53" i="4" s="1"/>
  <c r="AM53" i="4"/>
  <c r="AN53" i="4"/>
  <c r="AO53" i="4"/>
  <c r="AQ53" i="4"/>
  <c r="AR53" i="4"/>
  <c r="G54" i="4"/>
  <c r="AA54" i="4"/>
  <c r="AB54" i="4"/>
  <c r="AC54" i="4" s="1"/>
  <c r="AE54" i="4"/>
  <c r="AJ54" i="4"/>
  <c r="AK54" i="4" s="1"/>
  <c r="AP54" i="4" s="1"/>
  <c r="AM54" i="4"/>
  <c r="AN54" i="4"/>
  <c r="AO54" i="4"/>
  <c r="AQ54" i="4"/>
  <c r="AR54" i="4"/>
  <c r="G55" i="4"/>
  <c r="AA55" i="4"/>
  <c r="AB55" i="4"/>
  <c r="AC55" i="4" s="1"/>
  <c r="AL55" i="4" s="1"/>
  <c r="AD55" i="4"/>
  <c r="AF55" i="4" s="1"/>
  <c r="AE55" i="4"/>
  <c r="AG55" i="4"/>
  <c r="AH55" i="4"/>
  <c r="AF56" i="4"/>
  <c r="AD56" i="4"/>
  <c r="AG56" i="4" s="1"/>
  <c r="AH56" i="4"/>
  <c r="AJ55" i="4"/>
  <c r="AK55" i="4" s="1"/>
  <c r="AP55" i="4" s="1"/>
  <c r="AM55" i="4"/>
  <c r="AN55" i="4"/>
  <c r="AO55" i="4"/>
  <c r="AQ55" i="4"/>
  <c r="AR55" i="4"/>
  <c r="G56" i="4"/>
  <c r="AA56" i="4"/>
  <c r="AB56" i="4"/>
  <c r="AC56" i="4" s="1"/>
  <c r="AE56" i="4"/>
  <c r="AJ56" i="4"/>
  <c r="AM56" i="4"/>
  <c r="AN56" i="4"/>
  <c r="AO56" i="4"/>
  <c r="AQ56" i="4"/>
  <c r="AR56" i="4"/>
  <c r="G57" i="4"/>
  <c r="AA57" i="4"/>
  <c r="AB57" i="4"/>
  <c r="AC57" i="4" s="1"/>
  <c r="AD57" i="4"/>
  <c r="AG57" i="4" s="1"/>
  <c r="AE57" i="4"/>
  <c r="AF57" i="4"/>
  <c r="AH57" i="4"/>
  <c r="AJ57" i="4"/>
  <c r="AM57" i="4"/>
  <c r="AN57" i="4"/>
  <c r="AO57" i="4"/>
  <c r="AQ57" i="4"/>
  <c r="AR57" i="4"/>
  <c r="G58" i="4"/>
  <c r="AA58" i="4"/>
  <c r="AB58" i="4"/>
  <c r="AC58" i="4" s="1"/>
  <c r="AD58" i="4"/>
  <c r="AE58" i="4"/>
  <c r="AF58" i="4"/>
  <c r="AG58" i="4"/>
  <c r="AH58" i="4"/>
  <c r="AD61" i="4"/>
  <c r="AF61" i="4" s="1"/>
  <c r="AI61" i="4" s="1"/>
  <c r="AG61" i="4"/>
  <c r="AH61" i="4"/>
  <c r="AJ58" i="4"/>
  <c r="AK58" i="4" s="1"/>
  <c r="AP58" i="4" s="1"/>
  <c r="AM58" i="4"/>
  <c r="AN58" i="4"/>
  <c r="AO58" i="4"/>
  <c r="AQ58" i="4"/>
  <c r="AR58" i="4"/>
  <c r="G59" i="4"/>
  <c r="AA59" i="4"/>
  <c r="AB59" i="4"/>
  <c r="AC59" i="4" s="1"/>
  <c r="AL59" i="4" s="1"/>
  <c r="AD59" i="4"/>
  <c r="AE59" i="4"/>
  <c r="AF59" i="4"/>
  <c r="AG59" i="4"/>
  <c r="AH59" i="4"/>
  <c r="AD60" i="4"/>
  <c r="AG60" i="4"/>
  <c r="AH60" i="4"/>
  <c r="AJ59" i="4"/>
  <c r="AK59" i="4" s="1"/>
  <c r="AP59" i="4" s="1"/>
  <c r="AM59" i="4"/>
  <c r="AN59" i="4"/>
  <c r="AO59" i="4"/>
  <c r="AQ59" i="4"/>
  <c r="AR59" i="4"/>
  <c r="G60" i="4"/>
  <c r="AA60" i="4"/>
  <c r="AB60" i="4"/>
  <c r="AC60" i="4" s="1"/>
  <c r="AL60" i="4" s="1"/>
  <c r="AE60" i="4"/>
  <c r="AJ60" i="4"/>
  <c r="AM60" i="4"/>
  <c r="AN60" i="4"/>
  <c r="AO60" i="4"/>
  <c r="AQ60" i="4"/>
  <c r="AR60" i="4"/>
  <c r="G61" i="4"/>
  <c r="AA61" i="4"/>
  <c r="AB61" i="4"/>
  <c r="AC61" i="4" s="1"/>
  <c r="AE61" i="4"/>
  <c r="AJ61" i="4"/>
  <c r="AL61" i="4" s="1"/>
  <c r="AK61" i="4"/>
  <c r="AP61" i="4" s="1"/>
  <c r="AM61" i="4"/>
  <c r="AN61" i="4"/>
  <c r="AO61" i="4"/>
  <c r="AQ61" i="4"/>
  <c r="AR61" i="4"/>
  <c r="G62" i="4"/>
  <c r="AA62" i="4"/>
  <c r="AB62" i="4"/>
  <c r="AC62" i="4" s="1"/>
  <c r="AD62" i="4"/>
  <c r="AF62" i="4" s="1"/>
  <c r="AE62" i="4"/>
  <c r="AG62" i="4"/>
  <c r="AH62" i="4"/>
  <c r="AF63" i="4"/>
  <c r="AD63" i="4"/>
  <c r="AG63" i="4" s="1"/>
  <c r="AH63" i="4"/>
  <c r="AJ62" i="4"/>
  <c r="AM62" i="4"/>
  <c r="AN62" i="4"/>
  <c r="AO62" i="4"/>
  <c r="AQ62" i="4"/>
  <c r="AR62" i="4"/>
  <c r="G63" i="4"/>
  <c r="AA63" i="4"/>
  <c r="AB63" i="4"/>
  <c r="AC63" i="4" s="1"/>
  <c r="AE63" i="4"/>
  <c r="AJ63" i="4"/>
  <c r="AK63" i="4" s="1"/>
  <c r="AP63" i="4" s="1"/>
  <c r="AM63" i="4"/>
  <c r="AN63" i="4"/>
  <c r="AO63" i="4"/>
  <c r="AQ63" i="4"/>
  <c r="AR63" i="4"/>
  <c r="G64" i="4"/>
  <c r="AA64" i="4"/>
  <c r="AB64" i="4"/>
  <c r="AC64" i="4" s="1"/>
  <c r="AD64" i="4"/>
  <c r="AG64" i="4" s="1"/>
  <c r="AE64" i="4"/>
  <c r="AF64" i="4"/>
  <c r="AH64" i="4"/>
  <c r="AD65" i="4"/>
  <c r="AF65" i="4"/>
  <c r="AG65" i="4"/>
  <c r="AH65" i="4"/>
  <c r="AJ64" i="4"/>
  <c r="AK64" i="4" s="1"/>
  <c r="AP64" i="4" s="1"/>
  <c r="AM64" i="4"/>
  <c r="AN64" i="4"/>
  <c r="AO64" i="4"/>
  <c r="AQ64" i="4"/>
  <c r="AR64" i="4"/>
  <c r="G65" i="4"/>
  <c r="AA65" i="4"/>
  <c r="AB65" i="4"/>
  <c r="AC65" i="4"/>
  <c r="AE65" i="4"/>
  <c r="AJ65" i="4"/>
  <c r="AM65" i="4"/>
  <c r="AN65" i="4"/>
  <c r="AO65" i="4"/>
  <c r="AQ65" i="4"/>
  <c r="AR65" i="4"/>
  <c r="G66" i="4"/>
  <c r="AA66" i="4"/>
  <c r="AB66" i="4"/>
  <c r="AC66" i="4"/>
  <c r="AD66" i="4"/>
  <c r="AF66" i="4" s="1"/>
  <c r="AE66" i="4"/>
  <c r="AG66" i="4"/>
  <c r="AH66" i="4"/>
  <c r="AF68" i="4"/>
  <c r="AD68" i="4"/>
  <c r="AG68" i="4" s="1"/>
  <c r="AH68" i="4"/>
  <c r="AJ66" i="4"/>
  <c r="AK66" i="4" s="1"/>
  <c r="AP66" i="4" s="1"/>
  <c r="AM66" i="4"/>
  <c r="AN66" i="4"/>
  <c r="AO66" i="4"/>
  <c r="AQ66" i="4"/>
  <c r="AR66" i="4"/>
  <c r="G67" i="4"/>
  <c r="AA67" i="4"/>
  <c r="AB67" i="4"/>
  <c r="AC67" i="4" s="1"/>
  <c r="AD67" i="4"/>
  <c r="AE67" i="4"/>
  <c r="AG67" i="4"/>
  <c r="AH67" i="4"/>
  <c r="AJ67" i="4"/>
  <c r="AL67" i="4" s="1"/>
  <c r="AM67" i="4"/>
  <c r="AN67" i="4"/>
  <c r="AO67" i="4"/>
  <c r="AQ67" i="4"/>
  <c r="AR67" i="4"/>
  <c r="G68" i="4"/>
  <c r="AA68" i="4"/>
  <c r="AB68" i="4"/>
  <c r="AC68" i="4"/>
  <c r="AE68" i="4"/>
  <c r="AJ68" i="4"/>
  <c r="AM68" i="4"/>
  <c r="AN68" i="4"/>
  <c r="AO68" i="4"/>
  <c r="AQ68" i="4"/>
  <c r="AR68" i="4"/>
  <c r="G69" i="4"/>
  <c r="AA69" i="4"/>
  <c r="AB69" i="4"/>
  <c r="AC69" i="4" s="1"/>
  <c r="AD69" i="4"/>
  <c r="AG69" i="4" s="1"/>
  <c r="AE69" i="4"/>
  <c r="AF69" i="4"/>
  <c r="AH69" i="4"/>
  <c r="AD73" i="4"/>
  <c r="AF73" i="4" s="1"/>
  <c r="AG73" i="4"/>
  <c r="AH73" i="4"/>
  <c r="AJ69" i="4"/>
  <c r="AK69" i="4"/>
  <c r="AP69" i="4" s="1"/>
  <c r="AM69" i="4"/>
  <c r="AN69" i="4"/>
  <c r="AO69" i="4"/>
  <c r="AQ69" i="4"/>
  <c r="AR69" i="4"/>
  <c r="G70" i="4"/>
  <c r="AA70" i="4"/>
  <c r="AB70" i="4"/>
  <c r="AC70" i="4" s="1"/>
  <c r="AD70" i="4"/>
  <c r="AG70" i="4" s="1"/>
  <c r="AE70" i="4"/>
  <c r="AF70" i="4"/>
  <c r="AH70" i="4"/>
  <c r="AD71" i="4"/>
  <c r="AF71" i="4" s="1"/>
  <c r="AG71" i="4"/>
  <c r="AH71" i="4"/>
  <c r="AJ70" i="4"/>
  <c r="AM70" i="4"/>
  <c r="AN70" i="4"/>
  <c r="AO70" i="4"/>
  <c r="AQ70" i="4"/>
  <c r="AR70" i="4"/>
  <c r="G71" i="4"/>
  <c r="AA71" i="4"/>
  <c r="AB71" i="4"/>
  <c r="AC71" i="4" s="1"/>
  <c r="AE71" i="4"/>
  <c r="AJ71" i="4"/>
  <c r="AK71" i="4" s="1"/>
  <c r="AP71" i="4" s="1"/>
  <c r="AM71" i="4"/>
  <c r="AN71" i="4"/>
  <c r="AO71" i="4"/>
  <c r="AQ71" i="4"/>
  <c r="AR71" i="4"/>
  <c r="G72" i="4"/>
  <c r="AA72" i="4"/>
  <c r="AB72" i="4"/>
  <c r="AC72" i="4" s="1"/>
  <c r="AD72" i="4"/>
  <c r="AF72" i="4" s="1"/>
  <c r="AI72" i="4" s="1"/>
  <c r="AE72" i="4"/>
  <c r="AG72" i="4"/>
  <c r="AH72" i="4"/>
  <c r="AJ72" i="4"/>
  <c r="AK72" i="4" s="1"/>
  <c r="AP72" i="4" s="1"/>
  <c r="AM72" i="4"/>
  <c r="AN72" i="4"/>
  <c r="AO72" i="4"/>
  <c r="AQ72" i="4"/>
  <c r="AR72" i="4"/>
  <c r="G73" i="4"/>
  <c r="AA73" i="4"/>
  <c r="AB73" i="4"/>
  <c r="AC73" i="4" s="1"/>
  <c r="AE73" i="4"/>
  <c r="AJ73" i="4"/>
  <c r="AK73" i="4" s="1"/>
  <c r="AP73" i="4" s="1"/>
  <c r="AM73" i="4"/>
  <c r="AN73" i="4"/>
  <c r="AO73" i="4"/>
  <c r="AQ73" i="4"/>
  <c r="AR73" i="4"/>
  <c r="G74" i="4"/>
  <c r="AA74" i="4"/>
  <c r="AB74" i="4"/>
  <c r="AC74" i="4"/>
  <c r="AD74" i="4"/>
  <c r="AF74" i="4" s="1"/>
  <c r="AE74" i="4"/>
  <c r="AG74" i="4"/>
  <c r="AH74" i="4"/>
  <c r="AJ74" i="4"/>
  <c r="AK74" i="4" s="1"/>
  <c r="AP74" i="4" s="1"/>
  <c r="AM74" i="4"/>
  <c r="AN74" i="4"/>
  <c r="AO74" i="4"/>
  <c r="AQ74" i="4"/>
  <c r="AR74" i="4"/>
  <c r="G75" i="4"/>
  <c r="AA75" i="4"/>
  <c r="AB75" i="4"/>
  <c r="AC75" i="4" s="1"/>
  <c r="AD75" i="4"/>
  <c r="AF75" i="4" s="1"/>
  <c r="AE75" i="4"/>
  <c r="AG75" i="4"/>
  <c r="AH75" i="4"/>
  <c r="AJ75" i="4"/>
  <c r="AL75" i="4" s="1"/>
  <c r="AM75" i="4"/>
  <c r="AN75" i="4"/>
  <c r="AO75" i="4"/>
  <c r="AQ75" i="4"/>
  <c r="AR75" i="4"/>
  <c r="G76" i="4"/>
  <c r="AA76" i="4"/>
  <c r="AB76" i="4"/>
  <c r="AC76" i="4" s="1"/>
  <c r="AD76" i="4"/>
  <c r="AF76" i="4" s="1"/>
  <c r="AE76" i="4"/>
  <c r="AG76" i="4"/>
  <c r="AH76" i="4"/>
  <c r="AF77" i="4"/>
  <c r="AD77" i="4"/>
  <c r="AG77" i="4"/>
  <c r="AH77" i="4"/>
  <c r="AJ76" i="4"/>
  <c r="AM76" i="4"/>
  <c r="AN76" i="4"/>
  <c r="AO76" i="4"/>
  <c r="AQ76" i="4"/>
  <c r="AR76" i="4"/>
  <c r="G77" i="4"/>
  <c r="AA77" i="4"/>
  <c r="AB77" i="4"/>
  <c r="AC77" i="4" s="1"/>
  <c r="AE77" i="4"/>
  <c r="AJ77" i="4"/>
  <c r="AK77" i="4" s="1"/>
  <c r="AP77" i="4" s="1"/>
  <c r="AM77" i="4"/>
  <c r="AN77" i="4"/>
  <c r="AO77" i="4"/>
  <c r="AQ77" i="4"/>
  <c r="AR77" i="4"/>
  <c r="G78" i="4"/>
  <c r="AA78" i="4"/>
  <c r="AB78" i="4"/>
  <c r="AC78" i="4" s="1"/>
  <c r="AD78" i="4"/>
  <c r="AE78" i="4"/>
  <c r="AF78" i="4"/>
  <c r="AG78" i="4"/>
  <c r="AH78" i="4"/>
  <c r="AD79" i="4"/>
  <c r="AF79" i="4" s="1"/>
  <c r="AG79" i="4"/>
  <c r="AH79" i="4"/>
  <c r="AJ78" i="4"/>
  <c r="AM78" i="4"/>
  <c r="AN78" i="4"/>
  <c r="AO78" i="4"/>
  <c r="AQ78" i="4"/>
  <c r="AR78" i="4"/>
  <c r="G79" i="4"/>
  <c r="AA79" i="4"/>
  <c r="AB79" i="4"/>
  <c r="AC79" i="4"/>
  <c r="AE79" i="4"/>
  <c r="AJ79" i="4"/>
  <c r="AK79" i="4" s="1"/>
  <c r="AP79" i="4" s="1"/>
  <c r="AM79" i="4"/>
  <c r="AN79" i="4"/>
  <c r="AO79" i="4"/>
  <c r="AQ79" i="4"/>
  <c r="AR79" i="4"/>
  <c r="G80" i="4"/>
  <c r="AA80" i="4"/>
  <c r="AB80" i="4"/>
  <c r="AC80" i="4"/>
  <c r="AD80" i="4"/>
  <c r="AF80" i="4" s="1"/>
  <c r="AI80" i="4" s="1"/>
  <c r="AE80" i="4"/>
  <c r="AG80" i="4"/>
  <c r="AH80" i="4"/>
  <c r="AJ80" i="4"/>
  <c r="AM80" i="4"/>
  <c r="AN80" i="4"/>
  <c r="AO80" i="4"/>
  <c r="AQ80" i="4"/>
  <c r="AR80" i="4"/>
  <c r="G81" i="4"/>
  <c r="AA81" i="4"/>
  <c r="AB81" i="4"/>
  <c r="AC81" i="4" s="1"/>
  <c r="AD81" i="4"/>
  <c r="AF81" i="4" s="1"/>
  <c r="AE81" i="4"/>
  <c r="AG81" i="4"/>
  <c r="AH81" i="4"/>
  <c r="AF82" i="4"/>
  <c r="AD82" i="4"/>
  <c r="AG82" i="4" s="1"/>
  <c r="AH82" i="4"/>
  <c r="AJ81" i="4"/>
  <c r="AK81" i="4" s="1"/>
  <c r="AP81" i="4" s="1"/>
  <c r="AM81" i="4"/>
  <c r="AN81" i="4"/>
  <c r="AO81" i="4"/>
  <c r="AQ81" i="4"/>
  <c r="AR81" i="4"/>
  <c r="G82" i="4"/>
  <c r="AA82" i="4"/>
  <c r="AB82" i="4"/>
  <c r="AC82" i="4" s="1"/>
  <c r="AE82" i="4"/>
  <c r="AJ82" i="4"/>
  <c r="AK82" i="4"/>
  <c r="AP82" i="4" s="1"/>
  <c r="AM82" i="4"/>
  <c r="AN82" i="4"/>
  <c r="AO82" i="4"/>
  <c r="AQ82" i="4"/>
  <c r="AR82" i="4"/>
  <c r="G83" i="4"/>
  <c r="AA83" i="4"/>
  <c r="AB83" i="4"/>
  <c r="AC83" i="4" s="1"/>
  <c r="AL83" i="4" s="1"/>
  <c r="AD83" i="4"/>
  <c r="AK83" i="4" s="1"/>
  <c r="AP83" i="4" s="1"/>
  <c r="AE83" i="4"/>
  <c r="AF83" i="4"/>
  <c r="AH83" i="4"/>
  <c r="AD84" i="4"/>
  <c r="AF84" i="4" s="1"/>
  <c r="AG84" i="4"/>
  <c r="AH84" i="4"/>
  <c r="AJ83" i="4"/>
  <c r="AM83" i="4"/>
  <c r="AN83" i="4"/>
  <c r="AO83" i="4"/>
  <c r="AQ83" i="4"/>
  <c r="AR83" i="4"/>
  <c r="G84" i="4"/>
  <c r="AA84" i="4"/>
  <c r="AB84" i="4"/>
  <c r="AC84" i="4" s="1"/>
  <c r="AE84" i="4"/>
  <c r="AJ84" i="4"/>
  <c r="AK84" i="4" s="1"/>
  <c r="AP84" i="4" s="1"/>
  <c r="AM84" i="4"/>
  <c r="AN84" i="4"/>
  <c r="AO84" i="4"/>
  <c r="AQ84" i="4"/>
  <c r="AR84" i="4"/>
  <c r="G85" i="4"/>
  <c r="AA85" i="4"/>
  <c r="AB85" i="4"/>
  <c r="AC85" i="4" s="1"/>
  <c r="AD85" i="4"/>
  <c r="AF85" i="4" s="1"/>
  <c r="AE85" i="4"/>
  <c r="AG85" i="4"/>
  <c r="AH85" i="4"/>
  <c r="AF86" i="4"/>
  <c r="AD86" i="4"/>
  <c r="AG86" i="4" s="1"/>
  <c r="AH86" i="4"/>
  <c r="AJ85" i="4"/>
  <c r="AK85" i="4" s="1"/>
  <c r="AP85" i="4" s="1"/>
  <c r="AM85" i="4"/>
  <c r="AN85" i="4"/>
  <c r="AO85" i="4"/>
  <c r="AQ85" i="4"/>
  <c r="AR85" i="4"/>
  <c r="G86" i="4"/>
  <c r="AA86" i="4"/>
  <c r="AB86" i="4"/>
  <c r="AC86" i="4" s="1"/>
  <c r="AE86" i="4"/>
  <c r="AJ86" i="4"/>
  <c r="AK86" i="4" s="1"/>
  <c r="AP86" i="4" s="1"/>
  <c r="AM86" i="4"/>
  <c r="AN86" i="4"/>
  <c r="AO86" i="4"/>
  <c r="AQ86" i="4"/>
  <c r="AR86" i="4"/>
  <c r="G87" i="4"/>
  <c r="AA87" i="4"/>
  <c r="AB87" i="4"/>
  <c r="AC87" i="4"/>
  <c r="AD87" i="4"/>
  <c r="AE87" i="4"/>
  <c r="AF87" i="4"/>
  <c r="AG87" i="4"/>
  <c r="AH87" i="4"/>
  <c r="AD91" i="4"/>
  <c r="AF91" i="4" s="1"/>
  <c r="AI91" i="4" s="1"/>
  <c r="AG91" i="4"/>
  <c r="AH91" i="4"/>
  <c r="AJ87" i="4"/>
  <c r="AK87" i="4" s="1"/>
  <c r="AP87" i="4" s="1"/>
  <c r="AM87" i="4"/>
  <c r="AN87" i="4"/>
  <c r="AO87" i="4"/>
  <c r="AQ87" i="4"/>
  <c r="AR87" i="4"/>
  <c r="G88" i="4"/>
  <c r="AA88" i="4"/>
  <c r="AB88" i="4"/>
  <c r="AC88" i="4"/>
  <c r="AD88" i="4"/>
  <c r="AG88" i="4" s="1"/>
  <c r="AE88" i="4"/>
  <c r="AF88" i="4"/>
  <c r="AH88" i="4"/>
  <c r="AD90" i="4"/>
  <c r="AF90" i="4" s="1"/>
  <c r="AG90" i="4"/>
  <c r="AH90" i="4"/>
  <c r="AJ88" i="4"/>
  <c r="AK88" i="4" s="1"/>
  <c r="AP88" i="4" s="1"/>
  <c r="AM88" i="4"/>
  <c r="AN88" i="4"/>
  <c r="AO88" i="4"/>
  <c r="AQ88" i="4"/>
  <c r="AR88" i="4"/>
  <c r="G89" i="4"/>
  <c r="AA89" i="4"/>
  <c r="AB89" i="4"/>
  <c r="AC89" i="4" s="1"/>
  <c r="AD89" i="4"/>
  <c r="AG89" i="4" s="1"/>
  <c r="AE89" i="4"/>
  <c r="AF89" i="4"/>
  <c r="AH89" i="4"/>
  <c r="AJ89" i="4"/>
  <c r="AK89" i="4" s="1"/>
  <c r="AP89" i="4" s="1"/>
  <c r="AM89" i="4"/>
  <c r="AN89" i="4"/>
  <c r="AO89" i="4"/>
  <c r="AQ89" i="4"/>
  <c r="AR89" i="4"/>
  <c r="G90" i="4"/>
  <c r="AA90" i="4"/>
  <c r="AB90" i="4"/>
  <c r="AC90" i="4"/>
  <c r="AE90" i="4"/>
  <c r="AJ90" i="4"/>
  <c r="AM90" i="4"/>
  <c r="AN90" i="4"/>
  <c r="AO90" i="4"/>
  <c r="AQ90" i="4"/>
  <c r="AR90" i="4"/>
  <c r="G91" i="4"/>
  <c r="AA91" i="4"/>
  <c r="AB91" i="4"/>
  <c r="AC91" i="4" s="1"/>
  <c r="AE91" i="4"/>
  <c r="AJ91" i="4"/>
  <c r="AM91" i="4"/>
  <c r="AN91" i="4"/>
  <c r="AO91" i="4"/>
  <c r="AQ91" i="4"/>
  <c r="AR91" i="4"/>
  <c r="G92" i="4"/>
  <c r="AA92" i="4"/>
  <c r="AB92" i="4"/>
  <c r="AC92" i="4" s="1"/>
  <c r="AD92" i="4"/>
  <c r="AF92" i="4" s="1"/>
  <c r="AI92" i="4" s="1"/>
  <c r="AE92" i="4"/>
  <c r="AG92" i="4"/>
  <c r="AH92" i="4"/>
  <c r="AJ92" i="4"/>
  <c r="AM92" i="4"/>
  <c r="AN92" i="4"/>
  <c r="AO92" i="4"/>
  <c r="AQ92" i="4"/>
  <c r="AR92" i="4"/>
  <c r="G93" i="4"/>
  <c r="AA93" i="4"/>
  <c r="AB93" i="4"/>
  <c r="AC93" i="4" s="1"/>
  <c r="AD93" i="4"/>
  <c r="AF93" i="4" s="1"/>
  <c r="AI93" i="4" s="1"/>
  <c r="AE93" i="4"/>
  <c r="AG93" i="4"/>
  <c r="AH93" i="4"/>
  <c r="AJ93" i="4"/>
  <c r="AM93" i="4"/>
  <c r="AN93" i="4"/>
  <c r="AO93" i="4"/>
  <c r="AQ93" i="4"/>
  <c r="AR93" i="4"/>
  <c r="G94" i="4"/>
  <c r="AA94" i="4"/>
  <c r="AB94" i="4"/>
  <c r="AC94" i="4" s="1"/>
  <c r="AD94" i="4"/>
  <c r="AE94" i="4"/>
  <c r="AF94" i="4"/>
  <c r="AG94" i="4"/>
  <c r="AH94" i="4"/>
  <c r="AF95" i="4"/>
  <c r="AD95" i="4"/>
  <c r="AG95" i="4" s="1"/>
  <c r="AH95" i="4"/>
  <c r="AJ94" i="4"/>
  <c r="AK94" i="4" s="1"/>
  <c r="AP94" i="4" s="1"/>
  <c r="AM94" i="4"/>
  <c r="AN94" i="4"/>
  <c r="AO94" i="4"/>
  <c r="AQ94" i="4"/>
  <c r="AR94" i="4"/>
  <c r="G95" i="4"/>
  <c r="AA95" i="4"/>
  <c r="AB95" i="4"/>
  <c r="AC95" i="4" s="1"/>
  <c r="AL95" i="4" s="1"/>
  <c r="AE95" i="4"/>
  <c r="AJ95" i="4"/>
  <c r="AK95" i="4"/>
  <c r="AP95" i="4" s="1"/>
  <c r="AM95" i="4"/>
  <c r="AN95" i="4"/>
  <c r="AO95" i="4"/>
  <c r="AQ95" i="4"/>
  <c r="AR95" i="4"/>
  <c r="G96" i="4"/>
  <c r="AA96" i="4"/>
  <c r="AB96" i="4"/>
  <c r="AC96" i="4"/>
  <c r="AD96" i="4"/>
  <c r="AK96" i="4" s="1"/>
  <c r="AP96" i="4" s="1"/>
  <c r="AE96" i="4"/>
  <c r="AF96" i="4"/>
  <c r="AH96" i="4"/>
  <c r="AD97" i="4"/>
  <c r="AF97" i="4" s="1"/>
  <c r="AG97" i="4"/>
  <c r="AH97" i="4"/>
  <c r="AJ96" i="4"/>
  <c r="AL96" i="4"/>
  <c r="AM96" i="4"/>
  <c r="AN96" i="4"/>
  <c r="AO96" i="4"/>
  <c r="AQ96" i="4"/>
  <c r="AR96" i="4"/>
  <c r="G97" i="4"/>
  <c r="AA97" i="4"/>
  <c r="AB97" i="4"/>
  <c r="AC97" i="4" s="1"/>
  <c r="AE97" i="4"/>
  <c r="AJ97" i="4"/>
  <c r="AM97" i="4"/>
  <c r="AN97" i="4"/>
  <c r="AO97" i="4"/>
  <c r="AQ97" i="4"/>
  <c r="AR97" i="4"/>
  <c r="G98" i="4"/>
  <c r="AA98" i="4"/>
  <c r="AB98" i="4"/>
  <c r="AC98" i="4" s="1"/>
  <c r="AD98" i="4"/>
  <c r="AG98" i="4" s="1"/>
  <c r="AI98" i="4" s="1"/>
  <c r="AE98" i="4"/>
  <c r="AF98" i="4"/>
  <c r="AH98" i="4"/>
  <c r="AJ98" i="4"/>
  <c r="AM98" i="4"/>
  <c r="AN98" i="4"/>
  <c r="AO98" i="4"/>
  <c r="AQ98" i="4"/>
  <c r="AR98" i="4"/>
  <c r="G99" i="4"/>
  <c r="AA99" i="4"/>
  <c r="AB99" i="4"/>
  <c r="AC99" i="4" s="1"/>
  <c r="AL99" i="4" s="1"/>
  <c r="AD99" i="4"/>
  <c r="AE99" i="4" s="1"/>
  <c r="AF99" i="4"/>
  <c r="AG99" i="4"/>
  <c r="AH99" i="4"/>
  <c r="AJ99" i="4"/>
  <c r="AM99" i="4"/>
  <c r="AN99" i="4"/>
  <c r="AO99" i="4"/>
  <c r="AQ99" i="4"/>
  <c r="AR99" i="4"/>
  <c r="G100" i="4"/>
  <c r="AA100" i="4"/>
  <c r="AB100" i="4"/>
  <c r="AC100" i="4" s="1"/>
  <c r="AD100" i="4"/>
  <c r="AE100" i="4" s="1"/>
  <c r="AF100" i="4"/>
  <c r="AG100" i="4"/>
  <c r="AH100" i="4"/>
  <c r="AJ100" i="4"/>
  <c r="AK100" i="4" s="1"/>
  <c r="AP100" i="4" s="1"/>
  <c r="AM100" i="4"/>
  <c r="AN100" i="4"/>
  <c r="AO100" i="4"/>
  <c r="AQ100" i="4" s="1"/>
  <c r="AR100" i="4"/>
  <c r="G101" i="4"/>
  <c r="AA101" i="4"/>
  <c r="AB101" i="4"/>
  <c r="AC101" i="4"/>
  <c r="AD101" i="4"/>
  <c r="AE101" i="4" s="1"/>
  <c r="AF101" i="4"/>
  <c r="AG101" i="4"/>
  <c r="AH101" i="4"/>
  <c r="AJ101" i="4"/>
  <c r="AL101" i="4" s="1"/>
  <c r="AM101" i="4"/>
  <c r="AN101" i="4"/>
  <c r="AO101" i="4"/>
  <c r="AQ101" i="4"/>
  <c r="AR101" i="4"/>
  <c r="G102" i="4"/>
  <c r="AA102" i="4"/>
  <c r="AB102" i="4"/>
  <c r="AC102" i="4" s="1"/>
  <c r="AD102" i="4"/>
  <c r="AE102" i="4" s="1"/>
  <c r="AF102" i="4"/>
  <c r="AG102" i="4"/>
  <c r="AH102" i="4"/>
  <c r="AJ102" i="4"/>
  <c r="AK102" i="4" s="1"/>
  <c r="AP102" i="4" s="1"/>
  <c r="AM102" i="4"/>
  <c r="AN102" i="4"/>
  <c r="AO102" i="4"/>
  <c r="AQ102" i="4" s="1"/>
  <c r="AR102" i="4"/>
  <c r="G103" i="4"/>
  <c r="AA103" i="4"/>
  <c r="AB103" i="4"/>
  <c r="AC103" i="4" s="1"/>
  <c r="AD103" i="4"/>
  <c r="AE103" i="4" s="1"/>
  <c r="AF103" i="4"/>
  <c r="AG103" i="4"/>
  <c r="AH103" i="4"/>
  <c r="AI103" i="4" s="1"/>
  <c r="AJ103" i="4"/>
  <c r="AK103" i="4" s="1"/>
  <c r="AP103" i="4" s="1"/>
  <c r="AM103" i="4"/>
  <c r="AN103" i="4"/>
  <c r="AO103" i="4"/>
  <c r="AQ103" i="4" s="1"/>
  <c r="AR103" i="4"/>
  <c r="G104" i="4"/>
  <c r="AA104" i="4"/>
  <c r="AB104" i="4"/>
  <c r="AC104" i="4"/>
  <c r="AD104" i="4"/>
  <c r="AE104" i="4" s="1"/>
  <c r="AF104" i="4"/>
  <c r="AG104" i="4"/>
  <c r="AH104" i="4"/>
  <c r="AJ104" i="4"/>
  <c r="AM104" i="4"/>
  <c r="AN104" i="4"/>
  <c r="AO104" i="4"/>
  <c r="AQ104" i="4" s="1"/>
  <c r="AR104" i="4"/>
  <c r="G105" i="4"/>
  <c r="AA105" i="4"/>
  <c r="AB105" i="4"/>
  <c r="AC105" i="4" s="1"/>
  <c r="AD105" i="4"/>
  <c r="AE105" i="4" s="1"/>
  <c r="AF105" i="4"/>
  <c r="AG105" i="4"/>
  <c r="AH105" i="4"/>
  <c r="AJ105" i="4"/>
  <c r="AK105" i="4" s="1"/>
  <c r="AP105" i="4" s="1"/>
  <c r="AM105" i="4"/>
  <c r="AN105" i="4"/>
  <c r="AO105" i="4"/>
  <c r="AQ105" i="4" s="1"/>
  <c r="AR105" i="4"/>
  <c r="G106" i="4"/>
  <c r="AA106" i="4"/>
  <c r="AB106" i="4"/>
  <c r="AC106" i="4"/>
  <c r="AD106" i="4"/>
  <c r="AG106" i="4" s="1"/>
  <c r="AE106" i="4"/>
  <c r="AF106" i="4"/>
  <c r="AI106" i="4" s="1"/>
  <c r="AH106" i="4"/>
  <c r="AJ106" i="4"/>
  <c r="AK106" i="4" s="1"/>
  <c r="AP106" i="4" s="1"/>
  <c r="AL106" i="4"/>
  <c r="AM106" i="4"/>
  <c r="AN106" i="4"/>
  <c r="AO106" i="4"/>
  <c r="AQ106" i="4"/>
  <c r="AR106" i="4"/>
  <c r="G107" i="4"/>
  <c r="AA107" i="4"/>
  <c r="AB107" i="4"/>
  <c r="AC107" i="4" s="1"/>
  <c r="AL107" i="4" s="1"/>
  <c r="AD107" i="4"/>
  <c r="AE107" i="4"/>
  <c r="AF107" i="4"/>
  <c r="AH107" i="4"/>
  <c r="AJ107" i="4"/>
  <c r="AM107" i="4"/>
  <c r="AN107" i="4"/>
  <c r="AO107" i="4"/>
  <c r="AQ107" i="4"/>
  <c r="AR107" i="4"/>
  <c r="G108" i="4"/>
  <c r="AA108" i="4"/>
  <c r="AB108" i="4"/>
  <c r="AC108" i="4" s="1"/>
  <c r="AD108" i="4"/>
  <c r="AG108" i="4" s="1"/>
  <c r="AE108" i="4"/>
  <c r="AF108" i="4"/>
  <c r="AH108" i="4"/>
  <c r="AD110" i="4"/>
  <c r="AF110" i="4" s="1"/>
  <c r="AG110" i="4"/>
  <c r="AH110" i="4"/>
  <c r="AJ108" i="4"/>
  <c r="AM108" i="4"/>
  <c r="AN108" i="4"/>
  <c r="AO108" i="4"/>
  <c r="G109" i="4"/>
  <c r="AA109" i="4"/>
  <c r="AB109" i="4"/>
  <c r="AC109" i="4" s="1"/>
  <c r="AD109" i="4"/>
  <c r="AG109" i="4" s="1"/>
  <c r="AE109" i="4"/>
  <c r="AF109" i="4"/>
  <c r="AH109" i="4"/>
  <c r="AD111" i="4"/>
  <c r="AF111" i="4" s="1"/>
  <c r="AG111" i="4"/>
  <c r="AH111" i="4"/>
  <c r="AJ109" i="4"/>
  <c r="AM109" i="4"/>
  <c r="AN109" i="4"/>
  <c r="AO109" i="4"/>
  <c r="G110" i="4"/>
  <c r="AA110" i="4"/>
  <c r="AB110" i="4"/>
  <c r="AC110" i="4"/>
  <c r="AE110" i="4"/>
  <c r="AJ110" i="4"/>
  <c r="AM110" i="4"/>
  <c r="AN110" i="4"/>
  <c r="AO110" i="4"/>
  <c r="G111" i="4"/>
  <c r="AA111" i="4"/>
  <c r="AB111" i="4"/>
  <c r="AC111" i="4" s="1"/>
  <c r="AL111" i="4" s="1"/>
  <c r="AE111" i="4"/>
  <c r="AJ111" i="4"/>
  <c r="AM111" i="4"/>
  <c r="AN111" i="4"/>
  <c r="AO111" i="4"/>
  <c r="G112" i="4"/>
  <c r="AA112" i="4"/>
  <c r="AB112" i="4"/>
  <c r="AC112" i="4" s="1"/>
  <c r="AD112" i="4"/>
  <c r="AF112" i="4" s="1"/>
  <c r="AE112" i="4"/>
  <c r="AG112" i="4"/>
  <c r="AH112" i="4"/>
  <c r="AF113" i="4"/>
  <c r="AD113" i="4"/>
  <c r="AG113" i="4"/>
  <c r="AH113" i="4"/>
  <c r="AJ112" i="4"/>
  <c r="AM112" i="4"/>
  <c r="AN112" i="4"/>
  <c r="AO112" i="4"/>
  <c r="AQ112" i="4"/>
  <c r="AR112" i="4"/>
  <c r="G113" i="4"/>
  <c r="AA113" i="4"/>
  <c r="AB113" i="4"/>
  <c r="AC113" i="4" s="1"/>
  <c r="AE113" i="4"/>
  <c r="AJ113" i="4"/>
  <c r="AL113" i="4"/>
  <c r="AM113" i="4"/>
  <c r="AN113" i="4"/>
  <c r="AO113" i="4"/>
  <c r="AQ113" i="4"/>
  <c r="AR113" i="4"/>
  <c r="G114" i="4"/>
  <c r="AA114" i="4"/>
  <c r="AB114" i="4"/>
  <c r="AC114" i="4" s="1"/>
  <c r="AD114" i="4"/>
  <c r="AE114" i="4"/>
  <c r="AF114" i="4"/>
  <c r="AG114" i="4"/>
  <c r="AH114" i="4"/>
  <c r="AD115" i="4"/>
  <c r="AF115" i="4" s="1"/>
  <c r="AG115" i="4"/>
  <c r="AH115" i="4"/>
  <c r="AJ114" i="4"/>
  <c r="AM114" i="4"/>
  <c r="AN114" i="4"/>
  <c r="AO114" i="4"/>
  <c r="AQ114" i="4"/>
  <c r="AR114" i="4"/>
  <c r="G115" i="4"/>
  <c r="AA115" i="4"/>
  <c r="AB115" i="4"/>
  <c r="AC115" i="4" s="1"/>
  <c r="AE115" i="4"/>
  <c r="AJ115" i="4"/>
  <c r="AM115" i="4"/>
  <c r="AN115" i="4"/>
  <c r="AO115" i="4"/>
  <c r="AQ115" i="4"/>
  <c r="AR115" i="4"/>
  <c r="G116" i="4"/>
  <c r="AA116" i="4"/>
  <c r="AB116" i="4"/>
  <c r="AC116" i="4"/>
  <c r="AD116" i="4"/>
  <c r="AE116" i="4"/>
  <c r="AF116" i="4"/>
  <c r="AG116" i="4"/>
  <c r="AH116" i="4"/>
  <c r="AI116" i="4"/>
  <c r="AJ116" i="4"/>
  <c r="AL116" i="4" s="1"/>
  <c r="AM116" i="4"/>
  <c r="AN116" i="4"/>
  <c r="AO116" i="4"/>
  <c r="AQ116" i="4"/>
  <c r="AR116" i="4"/>
  <c r="G117" i="4"/>
  <c r="AA117" i="4"/>
  <c r="AB117" i="4"/>
  <c r="AC117" i="4" s="1"/>
  <c r="AL117" i="4" s="1"/>
  <c r="AD117" i="4"/>
  <c r="AE117" i="4"/>
  <c r="AG117" i="4"/>
  <c r="AH117" i="4"/>
  <c r="AJ117" i="4"/>
  <c r="AM117" i="4"/>
  <c r="AN117" i="4"/>
  <c r="AO117" i="4"/>
  <c r="AQ117" i="4"/>
  <c r="AR117" i="4"/>
  <c r="G118" i="4"/>
  <c r="AA118" i="4"/>
  <c r="AB118" i="4"/>
  <c r="AC118" i="4" s="1"/>
  <c r="AD118" i="4"/>
  <c r="AG118" i="4" s="1"/>
  <c r="AI118" i="4" s="1"/>
  <c r="AE118" i="4"/>
  <c r="AF118" i="4"/>
  <c r="AH118" i="4"/>
  <c r="AJ118" i="4"/>
  <c r="AM118" i="4"/>
  <c r="AN118" i="4"/>
  <c r="AO118" i="4"/>
  <c r="AQ118" i="4"/>
  <c r="AR118" i="4"/>
  <c r="G119" i="4"/>
  <c r="AA119" i="4"/>
  <c r="AB119" i="4"/>
  <c r="AC119" i="4" s="1"/>
  <c r="AD119" i="4"/>
  <c r="AG119" i="4" s="1"/>
  <c r="AE119" i="4"/>
  <c r="AF119" i="4"/>
  <c r="AH119" i="4"/>
  <c r="AD120" i="4"/>
  <c r="AG120" i="4"/>
  <c r="AH120" i="4"/>
  <c r="AJ119" i="4"/>
  <c r="AK119" i="4"/>
  <c r="AP119" i="4" s="1"/>
  <c r="AM119" i="4"/>
  <c r="AN119" i="4"/>
  <c r="AO119" i="4"/>
  <c r="AQ119" i="4"/>
  <c r="AR119" i="4"/>
  <c r="G120" i="4"/>
  <c r="AA120" i="4"/>
  <c r="AB120" i="4"/>
  <c r="AC120" i="4" s="1"/>
  <c r="AE120" i="4"/>
  <c r="AJ120" i="4"/>
  <c r="AM120" i="4"/>
  <c r="AN120" i="4"/>
  <c r="AO120" i="4"/>
  <c r="AQ120" i="4"/>
  <c r="AR120" i="4"/>
  <c r="G121" i="4"/>
  <c r="AA121" i="4"/>
  <c r="AB121" i="4"/>
  <c r="AC121" i="4" s="1"/>
  <c r="AL121" i="4" s="1"/>
  <c r="AD121" i="4"/>
  <c r="AF121" i="4" s="1"/>
  <c r="AE121" i="4"/>
  <c r="AG121" i="4"/>
  <c r="AH121" i="4"/>
  <c r="AF124" i="4"/>
  <c r="AD124" i="4"/>
  <c r="AG124" i="4" s="1"/>
  <c r="AH124" i="4"/>
  <c r="AJ121" i="4"/>
  <c r="AM121" i="4"/>
  <c r="AN121" i="4"/>
  <c r="AO121" i="4"/>
  <c r="AQ121" i="4"/>
  <c r="AR121" i="4"/>
  <c r="G122" i="4"/>
  <c r="AA122" i="4"/>
  <c r="AB122" i="4"/>
  <c r="AC122" i="4" s="1"/>
  <c r="AD122" i="4"/>
  <c r="AF122" i="4" s="1"/>
  <c r="AE122" i="4"/>
  <c r="AG122" i="4"/>
  <c r="AH122" i="4"/>
  <c r="AF123" i="4"/>
  <c r="AD123" i="4"/>
  <c r="AG123" i="4" s="1"/>
  <c r="AH123" i="4"/>
  <c r="AJ122" i="4"/>
  <c r="AM122" i="4"/>
  <c r="AN122" i="4"/>
  <c r="AO122" i="4"/>
  <c r="AQ122" i="4"/>
  <c r="AR122" i="4"/>
  <c r="G123" i="4"/>
  <c r="AA123" i="4"/>
  <c r="AB123" i="4"/>
  <c r="AC123" i="4" s="1"/>
  <c r="AE123" i="4"/>
  <c r="AJ123" i="4"/>
  <c r="AM123" i="4"/>
  <c r="AN123" i="4"/>
  <c r="AO123" i="4"/>
  <c r="AQ123" i="4"/>
  <c r="AR123" i="4"/>
  <c r="G124" i="4"/>
  <c r="AA124" i="4"/>
  <c r="AB124" i="4"/>
  <c r="AC124" i="4"/>
  <c r="AE124" i="4"/>
  <c r="AJ124" i="4"/>
  <c r="AL124" i="4" s="1"/>
  <c r="AM124" i="4"/>
  <c r="AN124" i="4"/>
  <c r="AO124" i="4"/>
  <c r="AQ124" i="4"/>
  <c r="AR124" i="4"/>
  <c r="G125" i="4"/>
  <c r="AA125" i="4"/>
  <c r="AB125" i="4"/>
  <c r="AC125" i="4"/>
  <c r="AD125" i="4"/>
  <c r="AE125" i="4"/>
  <c r="AF125" i="4"/>
  <c r="AH125" i="4"/>
  <c r="AJ125" i="4"/>
  <c r="AM125" i="4"/>
  <c r="AN125" i="4"/>
  <c r="AO125" i="4"/>
  <c r="AQ125" i="4"/>
  <c r="AR125" i="4"/>
  <c r="G126" i="4"/>
  <c r="AA126" i="4"/>
  <c r="AB126" i="4"/>
  <c r="AC126" i="4" s="1"/>
  <c r="AD126" i="4"/>
  <c r="AE126" i="4"/>
  <c r="AF126" i="4"/>
  <c r="AG126" i="4"/>
  <c r="AH126" i="4"/>
  <c r="AD128" i="4"/>
  <c r="AF128" i="4" s="1"/>
  <c r="AG128" i="4"/>
  <c r="AH128" i="4"/>
  <c r="AJ126" i="4"/>
  <c r="AM126" i="4"/>
  <c r="AN126" i="4"/>
  <c r="AO126" i="4"/>
  <c r="AQ126" i="4"/>
  <c r="AR126" i="4"/>
  <c r="G127" i="4"/>
  <c r="AA127" i="4"/>
  <c r="AB127" i="4"/>
  <c r="AC127" i="4" s="1"/>
  <c r="AD127" i="4"/>
  <c r="AF127" i="4" s="1"/>
  <c r="AI127" i="4" s="1"/>
  <c r="AE127" i="4"/>
  <c r="AG127" i="4"/>
  <c r="AH127" i="4"/>
  <c r="AJ127" i="4"/>
  <c r="AM127" i="4"/>
  <c r="AN127" i="4"/>
  <c r="AO127" i="4"/>
  <c r="AQ127" i="4"/>
  <c r="AR127" i="4"/>
  <c r="G128" i="4"/>
  <c r="AA128" i="4"/>
  <c r="AB128" i="4"/>
  <c r="AC128" i="4" s="1"/>
  <c r="AL128" i="4" s="1"/>
  <c r="AE128" i="4"/>
  <c r="AJ128" i="4"/>
  <c r="AK128" i="4"/>
  <c r="AP128" i="4" s="1"/>
  <c r="AM128" i="4"/>
  <c r="AN128" i="4"/>
  <c r="AO128" i="4"/>
  <c r="AQ128" i="4"/>
  <c r="AR128" i="4"/>
  <c r="G129" i="4"/>
  <c r="AA129" i="4"/>
  <c r="AB129" i="4"/>
  <c r="AC129" i="4" s="1"/>
  <c r="AD129" i="4"/>
  <c r="AF129" i="4" s="1"/>
  <c r="AE129" i="4"/>
  <c r="AG129" i="4"/>
  <c r="AH129" i="4"/>
  <c r="AJ129" i="4"/>
  <c r="AL129" i="4" s="1"/>
  <c r="AM129" i="4"/>
  <c r="AN129" i="4"/>
  <c r="AO129" i="4"/>
  <c r="AQ129" i="4"/>
  <c r="AR129" i="4"/>
  <c r="G130" i="4"/>
  <c r="AA130" i="4"/>
  <c r="AB130" i="4"/>
  <c r="AC130" i="4"/>
  <c r="AD130" i="4"/>
  <c r="AE130" i="4"/>
  <c r="AG130" i="4"/>
  <c r="AH130" i="4"/>
  <c r="AF131" i="4"/>
  <c r="AD131" i="4"/>
  <c r="AG131" i="4" s="1"/>
  <c r="AH131" i="4"/>
  <c r="AJ130" i="4"/>
  <c r="AL130" i="4"/>
  <c r="AM130" i="4"/>
  <c r="AN130" i="4"/>
  <c r="AO130" i="4"/>
  <c r="AQ130" i="4"/>
  <c r="AR130" i="4"/>
  <c r="G131" i="4"/>
  <c r="AA131" i="4"/>
  <c r="AB131" i="4"/>
  <c r="AC131" i="4" s="1"/>
  <c r="AL131" i="4" s="1"/>
  <c r="AE131" i="4"/>
  <c r="AJ131" i="4"/>
  <c r="AM131" i="4"/>
  <c r="AN131" i="4"/>
  <c r="AO131" i="4"/>
  <c r="AQ131" i="4"/>
  <c r="AR131" i="4"/>
  <c r="G132" i="4"/>
  <c r="AA132" i="4"/>
  <c r="AB132" i="4"/>
  <c r="AC132" i="4"/>
  <c r="AD132" i="4"/>
  <c r="AE132" i="4"/>
  <c r="AF132" i="4"/>
  <c r="AG132" i="4"/>
  <c r="AH132" i="4"/>
  <c r="AD133" i="4"/>
  <c r="AF133" i="4"/>
  <c r="AF134" i="4"/>
  <c r="AG133" i="4"/>
  <c r="AG134" i="4"/>
  <c r="AH133" i="4"/>
  <c r="AD134" i="4"/>
  <c r="AH134" i="4" s="1"/>
  <c r="AD135" i="4"/>
  <c r="AH135" i="4" s="1"/>
  <c r="AH136" i="4"/>
  <c r="AH137" i="4"/>
  <c r="AH138" i="4"/>
  <c r="AD139" i="4"/>
  <c r="AH139" i="4" s="1"/>
  <c r="AH140" i="4"/>
  <c r="AH141" i="4"/>
  <c r="AH142" i="4"/>
  <c r="AD143" i="4"/>
  <c r="AH143" i="4" s="1"/>
  <c r="AD144" i="4"/>
  <c r="AH144" i="4" s="1"/>
  <c r="AH145" i="4"/>
  <c r="AH146" i="4"/>
  <c r="AH147" i="4"/>
  <c r="AH148" i="4"/>
  <c r="AD149" i="4"/>
  <c r="AH149" i="4" s="1"/>
  <c r="AH150" i="4"/>
  <c r="AH151" i="4"/>
  <c r="AD152" i="4"/>
  <c r="AH152" i="4" s="1"/>
  <c r="AH153" i="4"/>
  <c r="AH154" i="4"/>
  <c r="AD155" i="4"/>
  <c r="AH155" i="4" s="1"/>
  <c r="AH156" i="4"/>
  <c r="AH157" i="4"/>
  <c r="AD158" i="4"/>
  <c r="AH159" i="4"/>
  <c r="AH160" i="4"/>
  <c r="AD161" i="4"/>
  <c r="AH161" i="4" s="1"/>
  <c r="AH162" i="4"/>
  <c r="AD163" i="4"/>
  <c r="AH163" i="4" s="1"/>
  <c r="AH164" i="4"/>
  <c r="AH165" i="4"/>
  <c r="AH166" i="4"/>
  <c r="AD167" i="4"/>
  <c r="AH168" i="4"/>
  <c r="AH169" i="4"/>
  <c r="AD170" i="4"/>
  <c r="AH171" i="4"/>
  <c r="AH172" i="4"/>
  <c r="AD173" i="4"/>
  <c r="AH173" i="4" s="1"/>
  <c r="AH174" i="4"/>
  <c r="AH175" i="4"/>
  <c r="AH176" i="4"/>
  <c r="AD177" i="4"/>
  <c r="AH177" i="4"/>
  <c r="AH178" i="4"/>
  <c r="AD179" i="4"/>
  <c r="AH179" i="4" s="1"/>
  <c r="AH180" i="4"/>
  <c r="AH181" i="4"/>
  <c r="AD182" i="4"/>
  <c r="AH182" i="4" s="1"/>
  <c r="AH183" i="4"/>
  <c r="AD184" i="4"/>
  <c r="AH184" i="4"/>
  <c r="AH185" i="4"/>
  <c r="AH186" i="4"/>
  <c r="AH187" i="4"/>
  <c r="AH188" i="4"/>
  <c r="AD189" i="4"/>
  <c r="AD190" i="4"/>
  <c r="AH190" i="4" s="1"/>
  <c r="AH191" i="4"/>
  <c r="AH192" i="4"/>
  <c r="AD193" i="4"/>
  <c r="AH194" i="4"/>
  <c r="AH195" i="4"/>
  <c r="AH196" i="4"/>
  <c r="AD197" i="4"/>
  <c r="AH197" i="4" s="1"/>
  <c r="AH198" i="4"/>
  <c r="AH199" i="4"/>
  <c r="AD200" i="4"/>
  <c r="AH200" i="4" s="1"/>
  <c r="AH201" i="4"/>
  <c r="AH202" i="4"/>
  <c r="AD203" i="4"/>
  <c r="AH204" i="4"/>
  <c r="AH205" i="4"/>
  <c r="AH206" i="4"/>
  <c r="AD207" i="4"/>
  <c r="AH207" i="4"/>
  <c r="AH208" i="4"/>
  <c r="AH209" i="4"/>
  <c r="AD210" i="4"/>
  <c r="AH210" i="4" s="1"/>
  <c r="AH211" i="4"/>
  <c r="AH212" i="4"/>
  <c r="AD213" i="4"/>
  <c r="AH213" i="4"/>
  <c r="AH214" i="4"/>
  <c r="AH215" i="4"/>
  <c r="AH216" i="4"/>
  <c r="AH217" i="4"/>
  <c r="AD218" i="4"/>
  <c r="AH218" i="4"/>
  <c r="AD219" i="4"/>
  <c r="AH219" i="4" s="1"/>
  <c r="AH220" i="4"/>
  <c r="AH221" i="4"/>
  <c r="AH222" i="4"/>
  <c r="AH223" i="4"/>
  <c r="AH224" i="4"/>
  <c r="AD225" i="4"/>
  <c r="AH225" i="4" s="1"/>
  <c r="AD226" i="4"/>
  <c r="AH226" i="4" s="1"/>
  <c r="AH227" i="4"/>
  <c r="AH228" i="4"/>
  <c r="AH229" i="4"/>
  <c r="AD230" i="4"/>
  <c r="AH230" i="4"/>
  <c r="AH231" i="4"/>
  <c r="AH232" i="4"/>
  <c r="AH233" i="4"/>
  <c r="AH234" i="4"/>
  <c r="AD235" i="4"/>
  <c r="AH235" i="4" s="1"/>
  <c r="AD236" i="4"/>
  <c r="AH236" i="4" s="1"/>
  <c r="AH237" i="4"/>
  <c r="AD238" i="4"/>
  <c r="AH238" i="4"/>
  <c r="AH239" i="4"/>
  <c r="AH240" i="4"/>
  <c r="AD241" i="4"/>
  <c r="AH241" i="4" s="1"/>
  <c r="AD242" i="4"/>
  <c r="AH242" i="4" s="1"/>
  <c r="AD243" i="4"/>
  <c r="AH243" i="4" s="1"/>
  <c r="AH244" i="4"/>
  <c r="AH245" i="4"/>
  <c r="AH246" i="4"/>
  <c r="AD247" i="4"/>
  <c r="AH247" i="4"/>
  <c r="AD248" i="4"/>
  <c r="AH248" i="4"/>
  <c r="AH249" i="4"/>
  <c r="AH250" i="4"/>
  <c r="AH251" i="4"/>
  <c r="AH252" i="4"/>
  <c r="AH253" i="4"/>
  <c r="AH254" i="4"/>
  <c r="AH255" i="4"/>
  <c r="AD256" i="4"/>
  <c r="AH256" i="4"/>
  <c r="AH257" i="4"/>
  <c r="AH258" i="4"/>
  <c r="AH259" i="4"/>
  <c r="AH260" i="4"/>
  <c r="AH261" i="4"/>
  <c r="AH262" i="4"/>
  <c r="AH263" i="4"/>
  <c r="AH264" i="4"/>
  <c r="AD265" i="4"/>
  <c r="AH265" i="4" s="1"/>
  <c r="AH266" i="4"/>
  <c r="AD267" i="4"/>
  <c r="AH267" i="4"/>
  <c r="AH268" i="4"/>
  <c r="AD269" i="4"/>
  <c r="AH269" i="4"/>
  <c r="AD270" i="4"/>
  <c r="AH270" i="4" s="1"/>
  <c r="AD271" i="4"/>
  <c r="AH271" i="4" s="1"/>
  <c r="AH272" i="4"/>
  <c r="AH273" i="4"/>
  <c r="AH274" i="4"/>
  <c r="AH275" i="4"/>
  <c r="AH276" i="4"/>
  <c r="AH277" i="4"/>
  <c r="AH278" i="4"/>
  <c r="AH279" i="4"/>
  <c r="AD280" i="4"/>
  <c r="AH280" i="4" s="1"/>
  <c r="AH281" i="4"/>
  <c r="AH282" i="4"/>
  <c r="AH283" i="4"/>
  <c r="AH284" i="4"/>
  <c r="AD285" i="4"/>
  <c r="AH285" i="4" s="1"/>
  <c r="AD286" i="4"/>
  <c r="AH287" i="4"/>
  <c r="AH288" i="4"/>
  <c r="AH289" i="4"/>
  <c r="AD290" i="4"/>
  <c r="AH290" i="4"/>
  <c r="AD291" i="4"/>
  <c r="AH291" i="4" s="1"/>
  <c r="AH292" i="4"/>
  <c r="AH293" i="4"/>
  <c r="AH294" i="4"/>
  <c r="AD295" i="4"/>
  <c r="AD296" i="4"/>
  <c r="AH296" i="4" s="1"/>
  <c r="AH297" i="4"/>
  <c r="AH298" i="4"/>
  <c r="AH299" i="4"/>
  <c r="AH300" i="4"/>
  <c r="AH301" i="4"/>
  <c r="AH302" i="4"/>
  <c r="AH303" i="4"/>
  <c r="AH304" i="4"/>
  <c r="AH305" i="4"/>
  <c r="AH306" i="4"/>
  <c r="AD307" i="4"/>
  <c r="AH308" i="4"/>
  <c r="AH309" i="4"/>
  <c r="AD310" i="4"/>
  <c r="AH310" i="4"/>
  <c r="AH311" i="4"/>
  <c r="AD312" i="4"/>
  <c r="AH312" i="4" s="1"/>
  <c r="AH313" i="4"/>
  <c r="AH314" i="4"/>
  <c r="AH315" i="4"/>
  <c r="AH316" i="4"/>
  <c r="AH317" i="4"/>
  <c r="AH318" i="4"/>
  <c r="AD319" i="4"/>
  <c r="AH319" i="4" s="1"/>
  <c r="AH320" i="4"/>
  <c r="AH321" i="4"/>
  <c r="AH322" i="4"/>
  <c r="AH323" i="4"/>
  <c r="AH324" i="4"/>
  <c r="AH325" i="4"/>
  <c r="AD326" i="4"/>
  <c r="AH326" i="4"/>
  <c r="AH327" i="4"/>
  <c r="AD328" i="4"/>
  <c r="AH328" i="4" s="1"/>
  <c r="AD329" i="4"/>
  <c r="AH329" i="4" s="1"/>
  <c r="AD330" i="4"/>
  <c r="AH330" i="4"/>
  <c r="AD331" i="4"/>
  <c r="AH331" i="4"/>
  <c r="AD332" i="4"/>
  <c r="AH332" i="4" s="1"/>
  <c r="AH333" i="4"/>
  <c r="AH334" i="4"/>
  <c r="AH335" i="4"/>
  <c r="AH336" i="4"/>
  <c r="AH337" i="4"/>
  <c r="AD338" i="4"/>
  <c r="AH338" i="4" s="1"/>
  <c r="AD339" i="4"/>
  <c r="AH339" i="4" s="1"/>
  <c r="AH340" i="4"/>
  <c r="AD341" i="4"/>
  <c r="AH341" i="4" s="1"/>
  <c r="AH342" i="4"/>
  <c r="AD343" i="4"/>
  <c r="AH344" i="4"/>
  <c r="AD345" i="4"/>
  <c r="AH345" i="4" s="1"/>
  <c r="AH346" i="4"/>
  <c r="AH347" i="4"/>
  <c r="AH348" i="4"/>
  <c r="AH349" i="4"/>
  <c r="AH350" i="4"/>
  <c r="AD351" i="4"/>
  <c r="AH351" i="4"/>
  <c r="AH352" i="4"/>
  <c r="AH353" i="4"/>
  <c r="AH354" i="4"/>
  <c r="AH355" i="4"/>
  <c r="AH356" i="4"/>
  <c r="AH357" i="4"/>
  <c r="AD358" i="4"/>
  <c r="AH358" i="4" s="1"/>
  <c r="AD359" i="4"/>
  <c r="AH359" i="4" s="1"/>
  <c r="AD360" i="4"/>
  <c r="AH360" i="4"/>
  <c r="AH361" i="4"/>
  <c r="AH362" i="4"/>
  <c r="AD363" i="4"/>
  <c r="AH363" i="4" s="1"/>
  <c r="AH364" i="4"/>
  <c r="AH365" i="4"/>
  <c r="AH366" i="4"/>
  <c r="AD367" i="4"/>
  <c r="AH368" i="4"/>
  <c r="AH369" i="4"/>
  <c r="AD370" i="4"/>
  <c r="AH370" i="4" s="1"/>
  <c r="AH371" i="4"/>
  <c r="AH372" i="4"/>
  <c r="AD373" i="4"/>
  <c r="AH374" i="4"/>
  <c r="AH375" i="4"/>
  <c r="AH376" i="4"/>
  <c r="AD377" i="4"/>
  <c r="AH377" i="4"/>
  <c r="AD378" i="4"/>
  <c r="AH378" i="4"/>
  <c r="AD379" i="4"/>
  <c r="AH379" i="4" s="1"/>
  <c r="AD380" i="4"/>
  <c r="AH380" i="4"/>
  <c r="AH381" i="4"/>
  <c r="AH382" i="4"/>
  <c r="AH383" i="4"/>
  <c r="AD384" i="4"/>
  <c r="AH384" i="4" s="1"/>
  <c r="AH385" i="4"/>
  <c r="AH386" i="4"/>
  <c r="AH387" i="4"/>
  <c r="AH388" i="4"/>
  <c r="AD389" i="4"/>
  <c r="AH389" i="4" s="1"/>
  <c r="AD390" i="4"/>
  <c r="AH390" i="4" s="1"/>
  <c r="AH391" i="4"/>
  <c r="AH392" i="4"/>
  <c r="AH393" i="4"/>
  <c r="AH394" i="4"/>
  <c r="AH395" i="4"/>
  <c r="AD396" i="4"/>
  <c r="AH396" i="4" s="1"/>
  <c r="AD397" i="4"/>
  <c r="AH397" i="4" s="1"/>
  <c r="AD398" i="4"/>
  <c r="AH398" i="4" s="1"/>
  <c r="AH399" i="4"/>
  <c r="AH400" i="4"/>
  <c r="AH401" i="4"/>
  <c r="AH402" i="4"/>
  <c r="AH403" i="4"/>
  <c r="AD404" i="4"/>
  <c r="AH404" i="4" s="1"/>
  <c r="AH405" i="4"/>
  <c r="AH406" i="4"/>
  <c r="AD407" i="4"/>
  <c r="AH407" i="4" s="1"/>
  <c r="AD408" i="4"/>
  <c r="AH408" i="4" s="1"/>
  <c r="AH409" i="4"/>
  <c r="AH410" i="4"/>
  <c r="AD411" i="4"/>
  <c r="AH411" i="4" s="1"/>
  <c r="AD412" i="4"/>
  <c r="AH412" i="4" s="1"/>
  <c r="AH413" i="4"/>
  <c r="AH414" i="4"/>
  <c r="AD415" i="4"/>
  <c r="AH415" i="4" s="1"/>
  <c r="AD416" i="4"/>
  <c r="AH416" i="4"/>
  <c r="AH417" i="4"/>
  <c r="AH418" i="4"/>
  <c r="AD419" i="4"/>
  <c r="AH419" i="4"/>
  <c r="AD420" i="4"/>
  <c r="AH420" i="4" s="1"/>
  <c r="AH421" i="4"/>
  <c r="AH422" i="4"/>
  <c r="AD423" i="4"/>
  <c r="AH423" i="4" s="1"/>
  <c r="AD424" i="4"/>
  <c r="AH424" i="4" s="1"/>
  <c r="AH425" i="4"/>
  <c r="AH426" i="4"/>
  <c r="AD427" i="4"/>
  <c r="AH427" i="4" s="1"/>
  <c r="AD428" i="4"/>
  <c r="AH428" i="4" s="1"/>
  <c r="AH429" i="4"/>
  <c r="AH430" i="4"/>
  <c r="AH431" i="4"/>
  <c r="AH432" i="4"/>
  <c r="AD433" i="4"/>
  <c r="AH433" i="4"/>
  <c r="AH434" i="4"/>
  <c r="AH435" i="4"/>
  <c r="AD436" i="4"/>
  <c r="AH436" i="4" s="1"/>
  <c r="AH437" i="4"/>
  <c r="AH438" i="4"/>
  <c r="AH439" i="4"/>
  <c r="AH440" i="4"/>
  <c r="AH441" i="4"/>
  <c r="AD442" i="4"/>
  <c r="AH442" i="4"/>
  <c r="AD443" i="4"/>
  <c r="AH443" i="4" s="1"/>
  <c r="AH444" i="4"/>
  <c r="AH445" i="4"/>
  <c r="AH446" i="4"/>
  <c r="AH447" i="4"/>
  <c r="AH448" i="4"/>
  <c r="AD449" i="4"/>
  <c r="AH449" i="4" s="1"/>
  <c r="AH450" i="4"/>
  <c r="AH451" i="4"/>
  <c r="AH452" i="4"/>
  <c r="AD453" i="4"/>
  <c r="AH453" i="4" s="1"/>
  <c r="AH454" i="4"/>
  <c r="AD455" i="4"/>
  <c r="AH455" i="4" s="1"/>
  <c r="AH456" i="4"/>
  <c r="AH457" i="4"/>
  <c r="AH458" i="4"/>
  <c r="AH459" i="4"/>
  <c r="AH460" i="4"/>
  <c r="AH461" i="4"/>
  <c r="AH462" i="4"/>
  <c r="AH463" i="4"/>
  <c r="AH464" i="4"/>
  <c r="AH465" i="4"/>
  <c r="AH466" i="4"/>
  <c r="AH467" i="4"/>
  <c r="AH468" i="4"/>
  <c r="AH469" i="4"/>
  <c r="AH470" i="4"/>
  <c r="AH471" i="4"/>
  <c r="AH472" i="4"/>
  <c r="AH473" i="4"/>
  <c r="AH474" i="4"/>
  <c r="AH475" i="4"/>
  <c r="AH476" i="4"/>
  <c r="AH477" i="4"/>
  <c r="AD478" i="4"/>
  <c r="AH478" i="4" s="1"/>
  <c r="AH479" i="4"/>
  <c r="AH480" i="4"/>
  <c r="AH481" i="4"/>
  <c r="AH482" i="4"/>
  <c r="AH483" i="4"/>
  <c r="AH484" i="4"/>
  <c r="AH485" i="4"/>
  <c r="AH486" i="4"/>
  <c r="AH487" i="4"/>
  <c r="AH488" i="4"/>
  <c r="AH489" i="4"/>
  <c r="AH490" i="4"/>
  <c r="AH491" i="4"/>
  <c r="AH492" i="4"/>
  <c r="AH493" i="4"/>
  <c r="AH494" i="4"/>
  <c r="AH495" i="4"/>
  <c r="AH496" i="4"/>
  <c r="AH497" i="4"/>
  <c r="AH498" i="4"/>
  <c r="AH499" i="4"/>
  <c r="AH500" i="4"/>
  <c r="AH501" i="4"/>
  <c r="AH502" i="4"/>
  <c r="AH503" i="4"/>
  <c r="AH504" i="4"/>
  <c r="AH505" i="4"/>
  <c r="AH506" i="4"/>
  <c r="AH507" i="4"/>
  <c r="AH508" i="4"/>
  <c r="AH509" i="4"/>
  <c r="AH510" i="4"/>
  <c r="AH511" i="4"/>
  <c r="AH512" i="4"/>
  <c r="AH513" i="4"/>
  <c r="AH514" i="4"/>
  <c r="AH515" i="4"/>
  <c r="AH516" i="4"/>
  <c r="AH517" i="4"/>
  <c r="AH518" i="4"/>
  <c r="AH519" i="4"/>
  <c r="AH520" i="4"/>
  <c r="AH521" i="4"/>
  <c r="AH522" i="4"/>
  <c r="AH523" i="4"/>
  <c r="AH524" i="4"/>
  <c r="AH525" i="4"/>
  <c r="AH526" i="4"/>
  <c r="AH527" i="4"/>
  <c r="AH528" i="4"/>
  <c r="AH529" i="4"/>
  <c r="AH530" i="4"/>
  <c r="AH531" i="4"/>
  <c r="AH532" i="4"/>
  <c r="AH533" i="4"/>
  <c r="AH534" i="4"/>
  <c r="AH535" i="4"/>
  <c r="AH536" i="4"/>
  <c r="AH537" i="4"/>
  <c r="AH538" i="4"/>
  <c r="AH539" i="4"/>
  <c r="AH540" i="4"/>
  <c r="AH541" i="4"/>
  <c r="AH542" i="4"/>
  <c r="AH543" i="4"/>
  <c r="AH544" i="4"/>
  <c r="AH545" i="4"/>
  <c r="AH546" i="4"/>
  <c r="AH547" i="4"/>
  <c r="AH548" i="4"/>
  <c r="AH549" i="4"/>
  <c r="AH550" i="4"/>
  <c r="AH551" i="4"/>
  <c r="AH552" i="4"/>
  <c r="AH553" i="4"/>
  <c r="AH554" i="4"/>
  <c r="AH555" i="4"/>
  <c r="AH556" i="4"/>
  <c r="AH557" i="4"/>
  <c r="AH558" i="4"/>
  <c r="AH559" i="4"/>
  <c r="AH560" i="4"/>
  <c r="AH561" i="4"/>
  <c r="AH562" i="4"/>
  <c r="AH563" i="4"/>
  <c r="AH564" i="4"/>
  <c r="AH565" i="4"/>
  <c r="AH566" i="4"/>
  <c r="AH567" i="4"/>
  <c r="AH568" i="4"/>
  <c r="AH569" i="4"/>
  <c r="AH570" i="4"/>
  <c r="AH571" i="4"/>
  <c r="AH572" i="4"/>
  <c r="AH573" i="4"/>
  <c r="AH574" i="4"/>
  <c r="AH575" i="4"/>
  <c r="AH576" i="4"/>
  <c r="AH577" i="4"/>
  <c r="AH578" i="4"/>
  <c r="AH579" i="4"/>
  <c r="AH580" i="4"/>
  <c r="AH581" i="4"/>
  <c r="AH582" i="4"/>
  <c r="AH583" i="4"/>
  <c r="AH584" i="4"/>
  <c r="AH585" i="4"/>
  <c r="AH586" i="4"/>
  <c r="AH587" i="4"/>
  <c r="AH588" i="4"/>
  <c r="AH589" i="4"/>
  <c r="AH590" i="4"/>
  <c r="AH591" i="4"/>
  <c r="AD592" i="4"/>
  <c r="AH592" i="4" s="1"/>
  <c r="AD593" i="4"/>
  <c r="AH593" i="4" s="1"/>
  <c r="AD594" i="4"/>
  <c r="AH594" i="4" s="1"/>
  <c r="AD595" i="4"/>
  <c r="AH595" i="4"/>
  <c r="AD596" i="4"/>
  <c r="AH596" i="4" s="1"/>
  <c r="AD597" i="4"/>
  <c r="AH597" i="4"/>
  <c r="AD598" i="4"/>
  <c r="AH598" i="4" s="1"/>
  <c r="AH599" i="4"/>
  <c r="AH600" i="4"/>
  <c r="AH601" i="4"/>
  <c r="AH602" i="4"/>
  <c r="AH603" i="4"/>
  <c r="AH604" i="4"/>
  <c r="AH605" i="4"/>
  <c r="AH606" i="4"/>
  <c r="AH607" i="4"/>
  <c r="AH608" i="4"/>
  <c r="AH609" i="4"/>
  <c r="AH610" i="4"/>
  <c r="AH611" i="4"/>
  <c r="AH612" i="4"/>
  <c r="AH613" i="4"/>
  <c r="AH614" i="4"/>
  <c r="AH615" i="4"/>
  <c r="AH616" i="4"/>
  <c r="AH617" i="4"/>
  <c r="AD618" i="4"/>
  <c r="AH618" i="4"/>
  <c r="AH619" i="4"/>
  <c r="AH620" i="4"/>
  <c r="AD621" i="4"/>
  <c r="AH621" i="4" s="1"/>
  <c r="AH622" i="4"/>
  <c r="AH623" i="4"/>
  <c r="AD624" i="4"/>
  <c r="AH624" i="4" s="1"/>
  <c r="AH625" i="4"/>
  <c r="AH626" i="4"/>
  <c r="AH627" i="4"/>
  <c r="AH628" i="4"/>
  <c r="AH629" i="4"/>
  <c r="AD630" i="4"/>
  <c r="AH630" i="4" s="1"/>
  <c r="AD631" i="4"/>
  <c r="AH631" i="4" s="1"/>
  <c r="AH632" i="4"/>
  <c r="AH633" i="4"/>
  <c r="AH634" i="4"/>
  <c r="AH635" i="4"/>
  <c r="AH636" i="4"/>
  <c r="AH637" i="4"/>
  <c r="AH638" i="4"/>
  <c r="AH639" i="4"/>
  <c r="AH640" i="4"/>
  <c r="AD641" i="4"/>
  <c r="AH641" i="4" s="1"/>
  <c r="AH642" i="4"/>
  <c r="AH643" i="4"/>
  <c r="AD644" i="4"/>
  <c r="AH644" i="4" s="1"/>
  <c r="AJ132" i="4"/>
  <c r="AK132" i="4" s="1"/>
  <c r="AP132" i="4" s="1"/>
  <c r="AM132" i="4"/>
  <c r="AN132" i="4"/>
  <c r="AO132" i="4"/>
  <c r="AQ132" i="4"/>
  <c r="AR132" i="4"/>
  <c r="G133" i="4"/>
  <c r="AA133" i="4"/>
  <c r="AB133" i="4"/>
  <c r="AC133" i="4" s="1"/>
  <c r="AE133" i="4"/>
  <c r="AJ133" i="4"/>
  <c r="AK133" i="4" s="1"/>
  <c r="AP133" i="4" s="1"/>
  <c r="AM133" i="4"/>
  <c r="AN133" i="4"/>
  <c r="AO133" i="4"/>
  <c r="AQ133" i="4"/>
  <c r="AR133" i="4"/>
  <c r="G134" i="4"/>
  <c r="AA134" i="4"/>
  <c r="AB134" i="4"/>
  <c r="AC134" i="4" s="1"/>
  <c r="AE134" i="4"/>
  <c r="AJ134" i="4"/>
  <c r="AM134" i="4"/>
  <c r="AN134" i="4"/>
  <c r="AO134" i="4"/>
  <c r="AQ134" i="4"/>
  <c r="AR134" i="4"/>
  <c r="G135" i="4"/>
  <c r="AA135" i="4"/>
  <c r="AB135" i="4"/>
  <c r="AC135" i="4" s="1"/>
  <c r="AL135" i="4" s="1"/>
  <c r="AE135" i="4"/>
  <c r="AF135" i="4"/>
  <c r="AG135" i="4"/>
  <c r="AD136" i="4"/>
  <c r="AF136" i="4" s="1"/>
  <c r="AI136" i="4" s="1"/>
  <c r="AF137" i="4"/>
  <c r="AG136" i="4"/>
  <c r="AD137" i="4"/>
  <c r="AG137" i="4" s="1"/>
  <c r="AJ135" i="4"/>
  <c r="AK135" i="4"/>
  <c r="AM135" i="4"/>
  <c r="AN135" i="4"/>
  <c r="AO135" i="4"/>
  <c r="AP135" i="4"/>
  <c r="AQ135" i="4"/>
  <c r="AR135" i="4"/>
  <c r="G136" i="4"/>
  <c r="AA136" i="4"/>
  <c r="AB136" i="4"/>
  <c r="AC136" i="4"/>
  <c r="AE136" i="4"/>
  <c r="AJ136" i="4"/>
  <c r="AM136" i="4"/>
  <c r="AN136" i="4"/>
  <c r="AO136" i="4"/>
  <c r="AQ136" i="4"/>
  <c r="AR136" i="4"/>
  <c r="G137" i="4"/>
  <c r="AA137" i="4"/>
  <c r="AB137" i="4"/>
  <c r="AC137" i="4" s="1"/>
  <c r="AE137" i="4"/>
  <c r="AJ137" i="4"/>
  <c r="AK137" i="4" s="1"/>
  <c r="AM137" i="4"/>
  <c r="AN137" i="4"/>
  <c r="AO137" i="4"/>
  <c r="AP137" i="4"/>
  <c r="AQ137" i="4"/>
  <c r="AR137" i="4"/>
  <c r="G138" i="4"/>
  <c r="AA138" i="4"/>
  <c r="AB138" i="4"/>
  <c r="AC138" i="4" s="1"/>
  <c r="AD138" i="4"/>
  <c r="AE138" i="4"/>
  <c r="AF138" i="4"/>
  <c r="AG138" i="4"/>
  <c r="AD141" i="4"/>
  <c r="AF141" i="4" s="1"/>
  <c r="AI141" i="4" s="1"/>
  <c r="AF143" i="4"/>
  <c r="AG141" i="4"/>
  <c r="AG143" i="4"/>
  <c r="AJ138" i="4"/>
  <c r="AK138" i="4" s="1"/>
  <c r="AP138" i="4" s="1"/>
  <c r="AM138" i="4"/>
  <c r="AN138" i="4"/>
  <c r="AO138" i="4"/>
  <c r="AQ138" i="4"/>
  <c r="AR138" i="4"/>
  <c r="G139" i="4"/>
  <c r="AA139" i="4"/>
  <c r="AB139" i="4"/>
  <c r="AC139" i="4" s="1"/>
  <c r="AL139" i="4" s="1"/>
  <c r="AE139" i="4"/>
  <c r="AF139" i="4"/>
  <c r="AI140" i="4" s="1"/>
  <c r="AG139" i="4"/>
  <c r="AF140" i="4"/>
  <c r="AD142" i="4"/>
  <c r="AF142" i="4" s="1"/>
  <c r="AD140" i="4"/>
  <c r="AG140" i="4" s="1"/>
  <c r="AG142" i="4"/>
  <c r="AJ139" i="4"/>
  <c r="AK139" i="4" s="1"/>
  <c r="AP139" i="4" s="1"/>
  <c r="AM139" i="4"/>
  <c r="AN139" i="4"/>
  <c r="AO139" i="4"/>
  <c r="AQ139" i="4"/>
  <c r="AR139" i="4"/>
  <c r="G140" i="4"/>
  <c r="AA140" i="4"/>
  <c r="AB140" i="4"/>
  <c r="AC140" i="4" s="1"/>
  <c r="AL140" i="4" s="1"/>
  <c r="AE140" i="4"/>
  <c r="AJ140" i="4"/>
  <c r="AK140" i="4"/>
  <c r="AP140" i="4" s="1"/>
  <c r="AM140" i="4"/>
  <c r="AN140" i="4"/>
  <c r="AO140" i="4"/>
  <c r="AQ140" i="4"/>
  <c r="AR140" i="4"/>
  <c r="G141" i="4"/>
  <c r="AA141" i="4"/>
  <c r="AB141" i="4"/>
  <c r="AC141" i="4" s="1"/>
  <c r="AL141" i="4" s="1"/>
  <c r="AE141" i="4"/>
  <c r="AJ141" i="4"/>
  <c r="AM141" i="4"/>
  <c r="AN141" i="4"/>
  <c r="AO141" i="4"/>
  <c r="AQ141" i="4"/>
  <c r="AR141" i="4"/>
  <c r="G142" i="4"/>
  <c r="AA142" i="4"/>
  <c r="AB142" i="4"/>
  <c r="AC142" i="4"/>
  <c r="AE142" i="4"/>
  <c r="AJ142" i="4"/>
  <c r="AK142" i="4" s="1"/>
  <c r="AP142" i="4" s="1"/>
  <c r="AM142" i="4"/>
  <c r="AN142" i="4"/>
  <c r="AO142" i="4"/>
  <c r="AQ142" i="4"/>
  <c r="AR142" i="4"/>
  <c r="G143" i="4"/>
  <c r="AA143" i="4"/>
  <c r="AB143" i="4"/>
  <c r="AC143" i="4" s="1"/>
  <c r="AE143" i="4"/>
  <c r="AJ143" i="4"/>
  <c r="AK143" i="4" s="1"/>
  <c r="AP143" i="4" s="1"/>
  <c r="AM143" i="4"/>
  <c r="AN143" i="4"/>
  <c r="AO143" i="4"/>
  <c r="AQ143" i="4"/>
  <c r="AR143" i="4"/>
  <c r="G144" i="4"/>
  <c r="AA144" i="4"/>
  <c r="AB144" i="4"/>
  <c r="AC144" i="4" s="1"/>
  <c r="AE144" i="4"/>
  <c r="AF144" i="4"/>
  <c r="AG144" i="4"/>
  <c r="AD145" i="4"/>
  <c r="AF145" i="4" s="1"/>
  <c r="AF146" i="4"/>
  <c r="AG145" i="4"/>
  <c r="AD146" i="4"/>
  <c r="AJ144" i="4"/>
  <c r="AM144" i="4"/>
  <c r="AN144" i="4"/>
  <c r="AO144" i="4"/>
  <c r="AQ144" i="4"/>
  <c r="AR144" i="4"/>
  <c r="G145" i="4"/>
  <c r="AA145" i="4"/>
  <c r="AB145" i="4"/>
  <c r="AC145" i="4"/>
  <c r="AL145" i="4" s="1"/>
  <c r="AE145" i="4"/>
  <c r="AJ145" i="4"/>
  <c r="AK145" i="4" s="1"/>
  <c r="AP145" i="4" s="1"/>
  <c r="AM145" i="4"/>
  <c r="AN145" i="4"/>
  <c r="AO145" i="4"/>
  <c r="AQ145" i="4"/>
  <c r="AR145" i="4"/>
  <c r="G146" i="4"/>
  <c r="AA146" i="4"/>
  <c r="AB146" i="4"/>
  <c r="AC146" i="4" s="1"/>
  <c r="AE146" i="4"/>
  <c r="AJ146" i="4"/>
  <c r="AM146" i="4"/>
  <c r="AN146" i="4"/>
  <c r="AO146" i="4"/>
  <c r="AQ146" i="4"/>
  <c r="AR146" i="4"/>
  <c r="G147" i="4"/>
  <c r="AA147" i="4"/>
  <c r="AB147" i="4"/>
  <c r="AC147" i="4" s="1"/>
  <c r="AD147" i="4"/>
  <c r="AG147" i="4" s="1"/>
  <c r="AE147" i="4"/>
  <c r="AF147" i="4"/>
  <c r="AJ147" i="4"/>
  <c r="AM147" i="4"/>
  <c r="AN147" i="4"/>
  <c r="AO147" i="4"/>
  <c r="AQ147" i="4"/>
  <c r="AR147" i="4"/>
  <c r="G148" i="4"/>
  <c r="AA148" i="4"/>
  <c r="AB148" i="4"/>
  <c r="AC148" i="4" s="1"/>
  <c r="AD148" i="4"/>
  <c r="AG148" i="4" s="1"/>
  <c r="AE148" i="4"/>
  <c r="AF148" i="4"/>
  <c r="AF149" i="4"/>
  <c r="AD150" i="4"/>
  <c r="AF150" i="4" s="1"/>
  <c r="AG149" i="4"/>
  <c r="AG150" i="4"/>
  <c r="AJ148" i="4"/>
  <c r="AK148" i="4"/>
  <c r="AP148" i="4" s="1"/>
  <c r="AM148" i="4"/>
  <c r="AN148" i="4"/>
  <c r="AO148" i="4"/>
  <c r="AQ148" i="4"/>
  <c r="AR148" i="4"/>
  <c r="G149" i="4"/>
  <c r="AA149" i="4"/>
  <c r="AB149" i="4"/>
  <c r="AC149" i="4" s="1"/>
  <c r="AE149" i="4"/>
  <c r="AJ149" i="4"/>
  <c r="AM149" i="4"/>
  <c r="AN149" i="4"/>
  <c r="AO149" i="4"/>
  <c r="AQ149" i="4"/>
  <c r="AR149" i="4"/>
  <c r="G150" i="4"/>
  <c r="AA150" i="4"/>
  <c r="AB150" i="4"/>
  <c r="AC150" i="4" s="1"/>
  <c r="AE150" i="4"/>
  <c r="AJ150" i="4"/>
  <c r="AK150" i="4" s="1"/>
  <c r="AP150" i="4" s="1"/>
  <c r="AM150" i="4"/>
  <c r="AN150" i="4"/>
  <c r="AO150" i="4"/>
  <c r="AQ150" i="4"/>
  <c r="AR150" i="4"/>
  <c r="G151" i="4"/>
  <c r="AA151" i="4"/>
  <c r="AB151" i="4"/>
  <c r="AC151" i="4"/>
  <c r="AD151" i="4"/>
  <c r="AF151" i="4" s="1"/>
  <c r="AE151" i="4"/>
  <c r="AG151" i="4"/>
  <c r="AF152" i="4"/>
  <c r="AF153" i="4"/>
  <c r="AG152" i="4"/>
  <c r="AD153" i="4"/>
  <c r="AG153" i="4" s="1"/>
  <c r="AJ151" i="4"/>
  <c r="AK151" i="4" s="1"/>
  <c r="AP151" i="4" s="1"/>
  <c r="AM151" i="4"/>
  <c r="AN151" i="4"/>
  <c r="AO151" i="4"/>
  <c r="AQ151" i="4"/>
  <c r="AR151" i="4"/>
  <c r="G152" i="4"/>
  <c r="AA152" i="4"/>
  <c r="AB152" i="4"/>
  <c r="AC152" i="4" s="1"/>
  <c r="AE152" i="4"/>
  <c r="AJ152" i="4"/>
  <c r="AM152" i="4"/>
  <c r="AN152" i="4"/>
  <c r="AO152" i="4"/>
  <c r="AQ152" i="4"/>
  <c r="AR152" i="4"/>
  <c r="G153" i="4"/>
  <c r="AA153" i="4"/>
  <c r="AB153" i="4"/>
  <c r="AC153" i="4"/>
  <c r="AE153" i="4"/>
  <c r="AJ153" i="4"/>
  <c r="AK153" i="4" s="1"/>
  <c r="AP153" i="4" s="1"/>
  <c r="AM153" i="4"/>
  <c r="AN153" i="4"/>
  <c r="AO153" i="4"/>
  <c r="AQ153" i="4"/>
  <c r="AR153" i="4"/>
  <c r="G154" i="4"/>
  <c r="AA154" i="4"/>
  <c r="AB154" i="4"/>
  <c r="AC154" i="4"/>
  <c r="AD154" i="4"/>
  <c r="AG154" i="4" s="1"/>
  <c r="AE154" i="4"/>
  <c r="AF154" i="4"/>
  <c r="AF155" i="4"/>
  <c r="AD156" i="4"/>
  <c r="AF156" i="4" s="1"/>
  <c r="AI155" i="4" s="1"/>
  <c r="AG155" i="4"/>
  <c r="AG156" i="4"/>
  <c r="AJ154" i="4"/>
  <c r="AM154" i="4"/>
  <c r="AN154" i="4"/>
  <c r="AO154" i="4"/>
  <c r="AQ154" i="4"/>
  <c r="AR154" i="4"/>
  <c r="G155" i="4"/>
  <c r="AA155" i="4"/>
  <c r="AB155" i="4"/>
  <c r="AC155" i="4" s="1"/>
  <c r="AE155" i="4"/>
  <c r="AJ155" i="4"/>
  <c r="AM155" i="4"/>
  <c r="AN155" i="4"/>
  <c r="AO155" i="4"/>
  <c r="AQ155" i="4"/>
  <c r="AR155" i="4"/>
  <c r="G156" i="4"/>
  <c r="AA156" i="4"/>
  <c r="AB156" i="4"/>
  <c r="AC156" i="4"/>
  <c r="AE156" i="4"/>
  <c r="AJ156" i="4"/>
  <c r="AM156" i="4"/>
  <c r="AN156" i="4"/>
  <c r="AO156" i="4"/>
  <c r="AQ156" i="4"/>
  <c r="AR156" i="4"/>
  <c r="G157" i="4"/>
  <c r="AA157" i="4"/>
  <c r="AB157" i="4"/>
  <c r="AC157" i="4"/>
  <c r="AD157" i="4"/>
  <c r="AE157" i="4"/>
  <c r="AG157" i="4"/>
  <c r="AF158" i="4"/>
  <c r="AF159" i="4"/>
  <c r="AG158" i="4"/>
  <c r="AD159" i="4"/>
  <c r="AK159" i="4" s="1"/>
  <c r="AP159" i="4" s="1"/>
  <c r="AJ157" i="4"/>
  <c r="AM157" i="4"/>
  <c r="AN157" i="4"/>
  <c r="AO157" i="4"/>
  <c r="AQ157" i="4"/>
  <c r="AR157" i="4"/>
  <c r="G158" i="4"/>
  <c r="AA158" i="4"/>
  <c r="AB158" i="4"/>
  <c r="AC158" i="4" s="1"/>
  <c r="AL158" i="4" s="1"/>
  <c r="AE158" i="4"/>
  <c r="AJ158" i="4"/>
  <c r="AM158" i="4"/>
  <c r="AN158" i="4"/>
  <c r="AO158" i="4"/>
  <c r="AQ158" i="4"/>
  <c r="AR158" i="4"/>
  <c r="G159" i="4"/>
  <c r="AA159" i="4"/>
  <c r="AB159" i="4"/>
  <c r="AC159" i="4" s="1"/>
  <c r="AL159" i="4" s="1"/>
  <c r="AE159" i="4"/>
  <c r="AJ159" i="4"/>
  <c r="AM159" i="4"/>
  <c r="AN159" i="4"/>
  <c r="AO159" i="4"/>
  <c r="AQ159" i="4"/>
  <c r="AR159" i="4"/>
  <c r="G160" i="4"/>
  <c r="AA160" i="4"/>
  <c r="AB160" i="4"/>
  <c r="AC160" i="4" s="1"/>
  <c r="AL160" i="4" s="1"/>
  <c r="AD160" i="4"/>
  <c r="AG160" i="4" s="1"/>
  <c r="AE160" i="4"/>
  <c r="AF160" i="4"/>
  <c r="AF161" i="4"/>
  <c r="AD162" i="4"/>
  <c r="AK162" i="4" s="1"/>
  <c r="AF162" i="4"/>
  <c r="AG161" i="4"/>
  <c r="AG162" i="4"/>
  <c r="AJ160" i="4"/>
  <c r="AM160" i="4"/>
  <c r="AN160" i="4"/>
  <c r="AO160" i="4"/>
  <c r="AQ160" i="4"/>
  <c r="AR160" i="4"/>
  <c r="G161" i="4"/>
  <c r="AA161" i="4"/>
  <c r="AB161" i="4"/>
  <c r="AC161" i="4" s="1"/>
  <c r="AE161" i="4"/>
  <c r="AJ161" i="4"/>
  <c r="AM161" i="4"/>
  <c r="AN161" i="4"/>
  <c r="AO161" i="4"/>
  <c r="AQ161" i="4"/>
  <c r="AR161" i="4"/>
  <c r="G162" i="4"/>
  <c r="AA162" i="4"/>
  <c r="AB162" i="4"/>
  <c r="AC162" i="4" s="1"/>
  <c r="AL162" i="4" s="1"/>
  <c r="AE162" i="4"/>
  <c r="AJ162" i="4"/>
  <c r="AM162" i="4"/>
  <c r="AN162" i="4"/>
  <c r="AO162" i="4"/>
  <c r="AP162" i="4"/>
  <c r="AQ162" i="4"/>
  <c r="AR162" i="4"/>
  <c r="G163" i="4"/>
  <c r="AA163" i="4"/>
  <c r="AB163" i="4"/>
  <c r="AC163" i="4" s="1"/>
  <c r="AE163" i="4"/>
  <c r="AF163" i="4"/>
  <c r="AG163" i="4"/>
  <c r="AF164" i="4"/>
  <c r="AD165" i="4"/>
  <c r="AF165" i="4"/>
  <c r="AD164" i="4"/>
  <c r="AG164" i="4" s="1"/>
  <c r="AG165" i="4"/>
  <c r="AJ163" i="4"/>
  <c r="AM163" i="4"/>
  <c r="AN163" i="4"/>
  <c r="AO163" i="4"/>
  <c r="AQ163" i="4"/>
  <c r="AR163" i="4"/>
  <c r="G164" i="4"/>
  <c r="AA164" i="4"/>
  <c r="AB164" i="4"/>
  <c r="AC164" i="4" s="1"/>
  <c r="AE164" i="4"/>
  <c r="AJ164" i="4"/>
  <c r="AM164" i="4"/>
  <c r="AN164" i="4"/>
  <c r="AO164" i="4"/>
  <c r="AQ164" i="4"/>
  <c r="AR164" i="4"/>
  <c r="G165" i="4"/>
  <c r="AA165" i="4"/>
  <c r="AB165" i="4"/>
  <c r="AC165" i="4"/>
  <c r="AE165" i="4"/>
  <c r="AJ165" i="4"/>
  <c r="AK165" i="4" s="1"/>
  <c r="AP165" i="4" s="1"/>
  <c r="AM165" i="4"/>
  <c r="AN165" i="4"/>
  <c r="AO165" i="4"/>
  <c r="AQ165" i="4"/>
  <c r="AR165" i="4"/>
  <c r="G166" i="4"/>
  <c r="AA166" i="4"/>
  <c r="AB166" i="4"/>
  <c r="AC166" i="4" s="1"/>
  <c r="AD166" i="4"/>
  <c r="AG166" i="4" s="1"/>
  <c r="AE166" i="4"/>
  <c r="AF166" i="4"/>
  <c r="AF167" i="4"/>
  <c r="AD168" i="4"/>
  <c r="AF168" i="4" s="1"/>
  <c r="AG167" i="4"/>
  <c r="AG168" i="4"/>
  <c r="AJ166" i="4"/>
  <c r="AM166" i="4"/>
  <c r="AN166" i="4"/>
  <c r="AO166" i="4"/>
  <c r="AQ166" i="4"/>
  <c r="AR166" i="4"/>
  <c r="G167" i="4"/>
  <c r="AA167" i="4"/>
  <c r="AB167" i="4"/>
  <c r="AC167" i="4" s="1"/>
  <c r="AE167" i="4"/>
  <c r="AJ167" i="4"/>
  <c r="AM167" i="4"/>
  <c r="AN167" i="4"/>
  <c r="AO167" i="4"/>
  <c r="AQ167" i="4"/>
  <c r="AR167" i="4"/>
  <c r="G168" i="4"/>
  <c r="AA168" i="4"/>
  <c r="AB168" i="4"/>
  <c r="AC168" i="4" s="1"/>
  <c r="AE168" i="4"/>
  <c r="AJ168" i="4"/>
  <c r="AM168" i="4"/>
  <c r="AN168" i="4"/>
  <c r="AO168" i="4"/>
  <c r="AQ168" i="4"/>
  <c r="AR168" i="4"/>
  <c r="G169" i="4"/>
  <c r="AA169" i="4"/>
  <c r="AB169" i="4"/>
  <c r="AC169" i="4" s="1"/>
  <c r="AD169" i="4"/>
  <c r="AF169" i="4" s="1"/>
  <c r="AE169" i="4"/>
  <c r="AG169" i="4"/>
  <c r="AF170" i="4"/>
  <c r="AF171" i="4"/>
  <c r="AG170" i="4"/>
  <c r="AD171" i="4"/>
  <c r="AJ169" i="4"/>
  <c r="AM169" i="4"/>
  <c r="AN169" i="4"/>
  <c r="AO169" i="4"/>
  <c r="AQ169" i="4"/>
  <c r="AR169" i="4"/>
  <c r="G170" i="4"/>
  <c r="AA170" i="4"/>
  <c r="AB170" i="4"/>
  <c r="AC170" i="4"/>
  <c r="AE170" i="4"/>
  <c r="AJ170" i="4"/>
  <c r="AM170" i="4"/>
  <c r="AN170" i="4"/>
  <c r="AO170" i="4"/>
  <c r="AQ170" i="4"/>
  <c r="AR170" i="4"/>
  <c r="G171" i="4"/>
  <c r="AA171" i="4"/>
  <c r="AB171" i="4"/>
  <c r="AC171" i="4" s="1"/>
  <c r="AE171" i="4"/>
  <c r="AJ171" i="4"/>
  <c r="AM171" i="4"/>
  <c r="AN171" i="4"/>
  <c r="AO171" i="4"/>
  <c r="AQ171" i="4"/>
  <c r="AR171" i="4"/>
  <c r="G172" i="4"/>
  <c r="AA172" i="4"/>
  <c r="AB172" i="4"/>
  <c r="AC172" i="4" s="1"/>
  <c r="AL172" i="4" s="1"/>
  <c r="AD172" i="4"/>
  <c r="AG172" i="4" s="1"/>
  <c r="AE172" i="4"/>
  <c r="AF172" i="4"/>
  <c r="AF173" i="4"/>
  <c r="AD174" i="4"/>
  <c r="AF174" i="4" s="1"/>
  <c r="AG173" i="4"/>
  <c r="AG174" i="4"/>
  <c r="AJ172" i="4"/>
  <c r="AM172" i="4"/>
  <c r="AN172" i="4"/>
  <c r="AO172" i="4"/>
  <c r="AQ172" i="4"/>
  <c r="AR172" i="4"/>
  <c r="G173" i="4"/>
  <c r="AA173" i="4"/>
  <c r="AB173" i="4"/>
  <c r="AC173" i="4" s="1"/>
  <c r="AE173" i="4"/>
  <c r="AJ173" i="4"/>
  <c r="AM173" i="4"/>
  <c r="AN173" i="4"/>
  <c r="AO173" i="4"/>
  <c r="AQ173" i="4"/>
  <c r="AR173" i="4"/>
  <c r="G174" i="4"/>
  <c r="AA174" i="4"/>
  <c r="AB174" i="4"/>
  <c r="AC174" i="4" s="1"/>
  <c r="AE174" i="4"/>
  <c r="AJ174" i="4"/>
  <c r="AM174" i="4"/>
  <c r="AN174" i="4"/>
  <c r="AO174" i="4"/>
  <c r="AQ174" i="4"/>
  <c r="AR174" i="4"/>
  <c r="G175" i="4"/>
  <c r="AA175" i="4"/>
  <c r="AB175" i="4"/>
  <c r="AC175" i="4"/>
  <c r="AL175" i="4" s="1"/>
  <c r="AD175" i="4"/>
  <c r="AE175" i="4"/>
  <c r="AG175" i="4"/>
  <c r="AF176" i="4"/>
  <c r="AF177" i="4"/>
  <c r="AD176" i="4"/>
  <c r="AG176" i="4"/>
  <c r="AG177" i="4"/>
  <c r="AJ175" i="4"/>
  <c r="AM175" i="4"/>
  <c r="AN175" i="4"/>
  <c r="AO175" i="4"/>
  <c r="AQ175" i="4"/>
  <c r="AR175" i="4"/>
  <c r="G176" i="4"/>
  <c r="AA176" i="4"/>
  <c r="AB176" i="4"/>
  <c r="AC176" i="4" s="1"/>
  <c r="AE176" i="4"/>
  <c r="AJ176" i="4"/>
  <c r="AM176" i="4"/>
  <c r="AN176" i="4"/>
  <c r="AO176" i="4"/>
  <c r="AQ176" i="4"/>
  <c r="AR176" i="4"/>
  <c r="G177" i="4"/>
  <c r="AA177" i="4"/>
  <c r="AB177" i="4"/>
  <c r="AC177" i="4" s="1"/>
  <c r="AE177" i="4"/>
  <c r="AJ177" i="4"/>
  <c r="AK177" i="4" s="1"/>
  <c r="AP177" i="4" s="1"/>
  <c r="AM177" i="4"/>
  <c r="AN177" i="4"/>
  <c r="AO177" i="4"/>
  <c r="AQ177" i="4"/>
  <c r="AR177" i="4"/>
  <c r="G178" i="4"/>
  <c r="AA178" i="4"/>
  <c r="AB178" i="4"/>
  <c r="AC178" i="4"/>
  <c r="AD178" i="4"/>
  <c r="AE178" i="4"/>
  <c r="AF178" i="4"/>
  <c r="AF179" i="4"/>
  <c r="AD180" i="4"/>
  <c r="AF180" i="4"/>
  <c r="AG179" i="4"/>
  <c r="AG180" i="4"/>
  <c r="AJ178" i="4"/>
  <c r="AL178" i="4"/>
  <c r="AM178" i="4"/>
  <c r="AN178" i="4"/>
  <c r="AO178" i="4"/>
  <c r="AQ178" i="4"/>
  <c r="AR178" i="4"/>
  <c r="G179" i="4"/>
  <c r="AA179" i="4"/>
  <c r="AB179" i="4"/>
  <c r="AC179" i="4" s="1"/>
  <c r="AE179" i="4"/>
  <c r="AJ179" i="4"/>
  <c r="AK179" i="4" s="1"/>
  <c r="AP179" i="4" s="1"/>
  <c r="AM179" i="4"/>
  <c r="AN179" i="4"/>
  <c r="AO179" i="4"/>
  <c r="AQ179" i="4"/>
  <c r="AR179" i="4"/>
  <c r="G180" i="4"/>
  <c r="AA180" i="4"/>
  <c r="AB180" i="4"/>
  <c r="AC180" i="4" s="1"/>
  <c r="AE180" i="4"/>
  <c r="AJ180" i="4"/>
  <c r="AK180" i="4" s="1"/>
  <c r="AP180" i="4" s="1"/>
  <c r="AM180" i="4"/>
  <c r="AN180" i="4"/>
  <c r="AO180" i="4"/>
  <c r="AQ180" i="4"/>
  <c r="AR180" i="4"/>
  <c r="G181" i="4"/>
  <c r="AA181" i="4"/>
  <c r="AB181" i="4"/>
  <c r="AC181" i="4" s="1"/>
  <c r="AD181" i="4"/>
  <c r="AE181" i="4"/>
  <c r="AF181" i="4"/>
  <c r="AG181" i="4"/>
  <c r="AF182" i="4"/>
  <c r="AF183" i="4"/>
  <c r="AG182" i="4"/>
  <c r="AD183" i="4"/>
  <c r="AG183" i="4" s="1"/>
  <c r="AJ181" i="4"/>
  <c r="AM181" i="4"/>
  <c r="AN181" i="4"/>
  <c r="AO181" i="4"/>
  <c r="AQ181" i="4"/>
  <c r="AR181" i="4"/>
  <c r="G182" i="4"/>
  <c r="AA182" i="4"/>
  <c r="AB182" i="4"/>
  <c r="AC182" i="4"/>
  <c r="AE182" i="4"/>
  <c r="AJ182" i="4"/>
  <c r="AM182" i="4"/>
  <c r="AN182" i="4"/>
  <c r="AO182" i="4"/>
  <c r="AQ182" i="4"/>
  <c r="AR182" i="4"/>
  <c r="G183" i="4"/>
  <c r="AA183" i="4"/>
  <c r="AB183" i="4"/>
  <c r="AC183" i="4" s="1"/>
  <c r="AE183" i="4"/>
  <c r="AJ183" i="4"/>
  <c r="AM183" i="4"/>
  <c r="AN183" i="4"/>
  <c r="AO183" i="4"/>
  <c r="AQ183" i="4"/>
  <c r="AR183" i="4"/>
  <c r="G184" i="4"/>
  <c r="AA184" i="4"/>
  <c r="AB184" i="4"/>
  <c r="AC184" i="4" s="1"/>
  <c r="AE184" i="4"/>
  <c r="AF184" i="4"/>
  <c r="AG184" i="4"/>
  <c r="AD185" i="4"/>
  <c r="AF185" i="4"/>
  <c r="AF186" i="4"/>
  <c r="AG185" i="4"/>
  <c r="AD186" i="4"/>
  <c r="AG186" i="4"/>
  <c r="AJ184" i="4"/>
  <c r="AK184" i="4" s="1"/>
  <c r="AP184" i="4" s="1"/>
  <c r="AM184" i="4"/>
  <c r="AN184" i="4"/>
  <c r="AO184" i="4"/>
  <c r="AQ184" i="4"/>
  <c r="AR184" i="4"/>
  <c r="G185" i="4"/>
  <c r="AA185" i="4"/>
  <c r="AB185" i="4"/>
  <c r="AC185" i="4"/>
  <c r="AE185" i="4"/>
  <c r="AJ185" i="4"/>
  <c r="AK185" i="4"/>
  <c r="AP185" i="4" s="1"/>
  <c r="AM185" i="4"/>
  <c r="AN185" i="4"/>
  <c r="AO185" i="4"/>
  <c r="AQ185" i="4"/>
  <c r="AR185" i="4"/>
  <c r="G186" i="4"/>
  <c r="AA186" i="4"/>
  <c r="AB186" i="4"/>
  <c r="AC186" i="4" s="1"/>
  <c r="AE186" i="4"/>
  <c r="AJ186" i="4"/>
  <c r="AK186" i="4"/>
  <c r="AP186" i="4" s="1"/>
  <c r="AL186" i="4"/>
  <c r="AM186" i="4"/>
  <c r="AN186" i="4"/>
  <c r="AO186" i="4"/>
  <c r="AQ186" i="4"/>
  <c r="AR186" i="4"/>
  <c r="G187" i="4"/>
  <c r="AA187" i="4"/>
  <c r="AB187" i="4"/>
  <c r="AC187" i="4"/>
  <c r="AL187" i="4" s="1"/>
  <c r="AD187" i="4"/>
  <c r="AE187" i="4"/>
  <c r="AF187" i="4"/>
  <c r="AG187" i="4"/>
  <c r="AD188" i="4"/>
  <c r="AF188" i="4" s="1"/>
  <c r="AF189" i="4"/>
  <c r="AG188" i="4"/>
  <c r="AG189" i="4"/>
  <c r="AJ187" i="4"/>
  <c r="AK187" i="4"/>
  <c r="AP187" i="4" s="1"/>
  <c r="AM187" i="4"/>
  <c r="AN187" i="4"/>
  <c r="AO187" i="4"/>
  <c r="AQ187" i="4"/>
  <c r="AR187" i="4"/>
  <c r="G188" i="4"/>
  <c r="AA188" i="4"/>
  <c r="AB188" i="4"/>
  <c r="AC188" i="4" s="1"/>
  <c r="AE188" i="4"/>
  <c r="AJ188" i="4"/>
  <c r="AM188" i="4"/>
  <c r="AN188" i="4"/>
  <c r="AO188" i="4"/>
  <c r="AQ188" i="4"/>
  <c r="AR188" i="4"/>
  <c r="G189" i="4"/>
  <c r="AA189" i="4"/>
  <c r="AB189" i="4"/>
  <c r="AC189" i="4" s="1"/>
  <c r="AL189" i="4" s="1"/>
  <c r="AE189" i="4"/>
  <c r="AJ189" i="4"/>
  <c r="AM189" i="4"/>
  <c r="AN189" i="4"/>
  <c r="AO189" i="4"/>
  <c r="AQ189" i="4"/>
  <c r="AR189" i="4"/>
  <c r="G190" i="4"/>
  <c r="AA190" i="4"/>
  <c r="AB190" i="4"/>
  <c r="AC190" i="4" s="1"/>
  <c r="AE190" i="4"/>
  <c r="AF190" i="4"/>
  <c r="AG190" i="4"/>
  <c r="AF191" i="4"/>
  <c r="AD192" i="4"/>
  <c r="AF192" i="4" s="1"/>
  <c r="AD191" i="4"/>
  <c r="AG191" i="4" s="1"/>
  <c r="AG192" i="4"/>
  <c r="AJ190" i="4"/>
  <c r="AM190" i="4"/>
  <c r="AN190" i="4"/>
  <c r="AO190" i="4"/>
  <c r="AQ190" i="4"/>
  <c r="AR190" i="4"/>
  <c r="G191" i="4"/>
  <c r="AA191" i="4"/>
  <c r="AB191" i="4"/>
  <c r="AC191" i="4"/>
  <c r="AE191" i="4"/>
  <c r="AJ191" i="4"/>
  <c r="AM191" i="4"/>
  <c r="AN191" i="4"/>
  <c r="AO191" i="4"/>
  <c r="AQ191" i="4"/>
  <c r="AR191" i="4"/>
  <c r="G192" i="4"/>
  <c r="AA192" i="4"/>
  <c r="AB192" i="4"/>
  <c r="AC192" i="4"/>
  <c r="AE192" i="4"/>
  <c r="AJ192" i="4"/>
  <c r="AL192" i="4"/>
  <c r="AM192" i="4"/>
  <c r="AN192" i="4"/>
  <c r="AO192" i="4"/>
  <c r="AQ192" i="4"/>
  <c r="AR192" i="4"/>
  <c r="G193" i="4"/>
  <c r="AA193" i="4"/>
  <c r="AB193" i="4"/>
  <c r="AC193" i="4"/>
  <c r="AE193" i="4"/>
  <c r="AF193" i="4"/>
  <c r="AG193" i="4"/>
  <c r="AF194" i="4"/>
  <c r="AD195" i="4"/>
  <c r="AK195" i="4" s="1"/>
  <c r="AP195" i="4" s="1"/>
  <c r="AF195" i="4"/>
  <c r="AD194" i="4"/>
  <c r="AG195" i="4"/>
  <c r="AJ193" i="4"/>
  <c r="AM193" i="4"/>
  <c r="AN193" i="4"/>
  <c r="AO193" i="4"/>
  <c r="AQ193" i="4"/>
  <c r="AR193" i="4"/>
  <c r="G194" i="4"/>
  <c r="AA194" i="4"/>
  <c r="AB194" i="4"/>
  <c r="AC194" i="4" s="1"/>
  <c r="AL194" i="4" s="1"/>
  <c r="AE194" i="4"/>
  <c r="AJ194" i="4"/>
  <c r="AM194" i="4"/>
  <c r="AN194" i="4"/>
  <c r="AO194" i="4"/>
  <c r="AQ194" i="4"/>
  <c r="AR194" i="4"/>
  <c r="G195" i="4"/>
  <c r="AA195" i="4"/>
  <c r="AB195" i="4"/>
  <c r="AC195" i="4"/>
  <c r="AE195" i="4"/>
  <c r="AJ195" i="4"/>
  <c r="AL195" i="4"/>
  <c r="AM195" i="4"/>
  <c r="AN195" i="4"/>
  <c r="AO195" i="4"/>
  <c r="AQ195" i="4"/>
  <c r="AR195" i="4"/>
  <c r="G196" i="4"/>
  <c r="AA196" i="4"/>
  <c r="AB196" i="4"/>
  <c r="AC196" i="4" s="1"/>
  <c r="AD196" i="4"/>
  <c r="AF196" i="4" s="1"/>
  <c r="AE196" i="4"/>
  <c r="AG196" i="4"/>
  <c r="AF197" i="4"/>
  <c r="AF198" i="4"/>
  <c r="AG197" i="4"/>
  <c r="AD198" i="4"/>
  <c r="AG198" i="4"/>
  <c r="AI198" i="4" s="1"/>
  <c r="AJ196" i="4"/>
  <c r="AM196" i="4"/>
  <c r="AN196" i="4"/>
  <c r="AO196" i="4"/>
  <c r="AQ196" i="4"/>
  <c r="AR196" i="4"/>
  <c r="G197" i="4"/>
  <c r="AA197" i="4"/>
  <c r="AB197" i="4"/>
  <c r="AC197" i="4"/>
  <c r="AE197" i="4"/>
  <c r="AJ197" i="4"/>
  <c r="AM197" i="4"/>
  <c r="AN197" i="4"/>
  <c r="AO197" i="4"/>
  <c r="AQ197" i="4"/>
  <c r="AR197" i="4"/>
  <c r="G198" i="4"/>
  <c r="AA198" i="4"/>
  <c r="AB198" i="4"/>
  <c r="AC198" i="4" s="1"/>
  <c r="AL198" i="4" s="1"/>
  <c r="AE198" i="4"/>
  <c r="AJ198" i="4"/>
  <c r="AK198" i="4" s="1"/>
  <c r="AP198" i="4" s="1"/>
  <c r="AM198" i="4"/>
  <c r="AN198" i="4"/>
  <c r="AO198" i="4"/>
  <c r="AQ198" i="4"/>
  <c r="AR198" i="4"/>
  <c r="G199" i="4"/>
  <c r="AA199" i="4"/>
  <c r="AB199" i="4"/>
  <c r="AC199" i="4" s="1"/>
  <c r="AD199" i="4"/>
  <c r="AG199" i="4" s="1"/>
  <c r="AE199" i="4"/>
  <c r="AF199" i="4"/>
  <c r="AF200" i="4"/>
  <c r="AD201" i="4"/>
  <c r="AF201" i="4" s="1"/>
  <c r="AG200" i="4"/>
  <c r="AG201" i="4"/>
  <c r="AJ199" i="4"/>
  <c r="AM199" i="4"/>
  <c r="AN199" i="4"/>
  <c r="AO199" i="4"/>
  <c r="AQ199" i="4"/>
  <c r="AR199" i="4"/>
  <c r="G200" i="4"/>
  <c r="AA200" i="4"/>
  <c r="AB200" i="4"/>
  <c r="AC200" i="4"/>
  <c r="AE200" i="4"/>
  <c r="AJ200" i="4"/>
  <c r="AM200" i="4"/>
  <c r="AN200" i="4"/>
  <c r="AO200" i="4"/>
  <c r="AQ200" i="4"/>
  <c r="AR200" i="4"/>
  <c r="G201" i="4"/>
  <c r="AA201" i="4"/>
  <c r="AB201" i="4"/>
  <c r="AC201" i="4" s="1"/>
  <c r="AE201" i="4"/>
  <c r="AJ201" i="4"/>
  <c r="AK201" i="4"/>
  <c r="AP201" i="4" s="1"/>
  <c r="AM201" i="4"/>
  <c r="AN201" i="4"/>
  <c r="AO201" i="4"/>
  <c r="AQ201" i="4"/>
  <c r="AR201" i="4"/>
  <c r="G202" i="4"/>
  <c r="AA202" i="4"/>
  <c r="AB202" i="4"/>
  <c r="AC202" i="4" s="1"/>
  <c r="AL202" i="4" s="1"/>
  <c r="AD202" i="4"/>
  <c r="AE202" i="4"/>
  <c r="AF202" i="4"/>
  <c r="AG202" i="4"/>
  <c r="AF203" i="4"/>
  <c r="AF204" i="4"/>
  <c r="AG203" i="4"/>
  <c r="AD204" i="4"/>
  <c r="AK204" i="4" s="1"/>
  <c r="AP204" i="4" s="1"/>
  <c r="AJ202" i="4"/>
  <c r="AK202" i="4"/>
  <c r="AP202" i="4" s="1"/>
  <c r="AM202" i="4"/>
  <c r="AN202" i="4"/>
  <c r="AO202" i="4"/>
  <c r="AQ202" i="4"/>
  <c r="AR202" i="4"/>
  <c r="G203" i="4"/>
  <c r="AA203" i="4"/>
  <c r="AB203" i="4"/>
  <c r="AC203" i="4"/>
  <c r="AL203" i="4" s="1"/>
  <c r="AE203" i="4"/>
  <c r="AJ203" i="4"/>
  <c r="AM203" i="4"/>
  <c r="AN203" i="4"/>
  <c r="AO203" i="4"/>
  <c r="AQ203" i="4"/>
  <c r="AR203" i="4"/>
  <c r="G204" i="4"/>
  <c r="AA204" i="4"/>
  <c r="AB204" i="4"/>
  <c r="AC204" i="4" s="1"/>
  <c r="AE204" i="4"/>
  <c r="AJ204" i="4"/>
  <c r="AM204" i="4"/>
  <c r="AN204" i="4"/>
  <c r="AO204" i="4"/>
  <c r="AQ204" i="4"/>
  <c r="AR204" i="4"/>
  <c r="G205" i="4"/>
  <c r="AA205" i="4"/>
  <c r="AB205" i="4"/>
  <c r="AC205" i="4" s="1"/>
  <c r="AD205" i="4"/>
  <c r="AG205" i="4" s="1"/>
  <c r="AE205" i="4"/>
  <c r="AF205" i="4"/>
  <c r="AJ205" i="4"/>
  <c r="AM205" i="4"/>
  <c r="AN205" i="4"/>
  <c r="AO205" i="4"/>
  <c r="AQ205" i="4"/>
  <c r="AR205" i="4"/>
  <c r="G206" i="4"/>
  <c r="AA206" i="4"/>
  <c r="AB206" i="4"/>
  <c r="AC206" i="4"/>
  <c r="AD206" i="4"/>
  <c r="AK206" i="4" s="1"/>
  <c r="AE206" i="4"/>
  <c r="AF206" i="4"/>
  <c r="AG206" i="4"/>
  <c r="AF207" i="4"/>
  <c r="AD208" i="4"/>
  <c r="AG207" i="4"/>
  <c r="AG208" i="4"/>
  <c r="AJ206" i="4"/>
  <c r="AL206" i="4"/>
  <c r="AM206" i="4"/>
  <c r="AN206" i="4"/>
  <c r="AO206" i="4"/>
  <c r="AP206" i="4"/>
  <c r="AQ206" i="4"/>
  <c r="AR206" i="4"/>
  <c r="G207" i="4"/>
  <c r="AA207" i="4"/>
  <c r="AB207" i="4"/>
  <c r="AC207" i="4" s="1"/>
  <c r="AE207" i="4"/>
  <c r="AJ207" i="4"/>
  <c r="AK207" i="4" s="1"/>
  <c r="AP207" i="4" s="1"/>
  <c r="AM207" i="4"/>
  <c r="AN207" i="4"/>
  <c r="AO207" i="4"/>
  <c r="AQ207" i="4"/>
  <c r="AR207" i="4"/>
  <c r="G208" i="4"/>
  <c r="AA208" i="4"/>
  <c r="AB208" i="4"/>
  <c r="AC208" i="4" s="1"/>
  <c r="AE208" i="4"/>
  <c r="AJ208" i="4"/>
  <c r="AM208" i="4"/>
  <c r="AN208" i="4"/>
  <c r="AO208" i="4"/>
  <c r="AQ208" i="4"/>
  <c r="AR208" i="4"/>
  <c r="G209" i="4"/>
  <c r="AA209" i="4"/>
  <c r="AB209" i="4"/>
  <c r="AC209" i="4"/>
  <c r="AD209" i="4"/>
  <c r="AF209" i="4" s="1"/>
  <c r="AE209" i="4"/>
  <c r="AG209" i="4"/>
  <c r="AF210" i="4"/>
  <c r="AF211" i="4"/>
  <c r="AG210" i="4"/>
  <c r="AD211" i="4"/>
  <c r="AG211" i="4"/>
  <c r="AJ209" i="4"/>
  <c r="AK209" i="4"/>
  <c r="AP209" i="4" s="1"/>
  <c r="AM209" i="4"/>
  <c r="AN209" i="4"/>
  <c r="AO209" i="4"/>
  <c r="AQ209" i="4"/>
  <c r="AR209" i="4"/>
  <c r="G210" i="4"/>
  <c r="AA210" i="4"/>
  <c r="AB210" i="4"/>
  <c r="AC210" i="4" s="1"/>
  <c r="AE210" i="4"/>
  <c r="AJ210" i="4"/>
  <c r="AM210" i="4"/>
  <c r="AN210" i="4"/>
  <c r="AO210" i="4"/>
  <c r="AQ210" i="4"/>
  <c r="AR210" i="4"/>
  <c r="G211" i="4"/>
  <c r="AA211" i="4"/>
  <c r="AB211" i="4"/>
  <c r="AC211" i="4"/>
  <c r="AE211" i="4"/>
  <c r="AJ211" i="4"/>
  <c r="AM211" i="4"/>
  <c r="AN211" i="4"/>
  <c r="AO211" i="4"/>
  <c r="AQ211" i="4"/>
  <c r="AR211" i="4"/>
  <c r="G212" i="4"/>
  <c r="AA212" i="4"/>
  <c r="AB212" i="4"/>
  <c r="AC212" i="4" s="1"/>
  <c r="AD212" i="4"/>
  <c r="AG212" i="4" s="1"/>
  <c r="AE212" i="4"/>
  <c r="AF212" i="4"/>
  <c r="AF213" i="4"/>
  <c r="AD214" i="4"/>
  <c r="AF214" i="4"/>
  <c r="AG213" i="4"/>
  <c r="AG214" i="4"/>
  <c r="AJ212" i="4"/>
  <c r="AK212" i="4"/>
  <c r="AP212" i="4" s="1"/>
  <c r="AM212" i="4"/>
  <c r="AN212" i="4"/>
  <c r="AO212" i="4"/>
  <c r="AQ212" i="4"/>
  <c r="AR212" i="4"/>
  <c r="G213" i="4"/>
  <c r="AA213" i="4"/>
  <c r="AB213" i="4"/>
  <c r="AC213" i="4" s="1"/>
  <c r="AE213" i="4"/>
  <c r="AJ213" i="4"/>
  <c r="AK213" i="4"/>
  <c r="AP213" i="4" s="1"/>
  <c r="AM213" i="4"/>
  <c r="AN213" i="4"/>
  <c r="AO213" i="4"/>
  <c r="AQ213" i="4"/>
  <c r="AR213" i="4"/>
  <c r="G214" i="4"/>
  <c r="AA214" i="4"/>
  <c r="AB214" i="4"/>
  <c r="AC214" i="4"/>
  <c r="AL214" i="4" s="1"/>
  <c r="AE214" i="4"/>
  <c r="AJ214" i="4"/>
  <c r="AM214" i="4"/>
  <c r="AN214" i="4"/>
  <c r="AO214" i="4"/>
  <c r="AQ214" i="4"/>
  <c r="AR214" i="4"/>
  <c r="G215" i="4"/>
  <c r="AA215" i="4"/>
  <c r="AB215" i="4"/>
  <c r="AC215" i="4" s="1"/>
  <c r="AD215" i="4"/>
  <c r="AF215" i="4" s="1"/>
  <c r="AE215" i="4"/>
  <c r="AG215" i="4"/>
  <c r="AF216" i="4"/>
  <c r="AD216" i="4"/>
  <c r="AG216" i="4"/>
  <c r="AJ215" i="4"/>
  <c r="AK215" i="4" s="1"/>
  <c r="AP215" i="4" s="1"/>
  <c r="AM215" i="4"/>
  <c r="AN215" i="4"/>
  <c r="AO215" i="4"/>
  <c r="AQ215" i="4"/>
  <c r="AR215" i="4"/>
  <c r="G216" i="4"/>
  <c r="AA216" i="4"/>
  <c r="AB216" i="4"/>
  <c r="AC216" i="4" s="1"/>
  <c r="AL216" i="4" s="1"/>
  <c r="AE216" i="4"/>
  <c r="AJ216" i="4"/>
  <c r="AK216" i="4"/>
  <c r="AP216" i="4" s="1"/>
  <c r="AM216" i="4"/>
  <c r="AN216" i="4"/>
  <c r="AO216" i="4"/>
  <c r="AQ216" i="4"/>
  <c r="AR216" i="4"/>
  <c r="G217" i="4"/>
  <c r="AA217" i="4"/>
  <c r="AB217" i="4"/>
  <c r="AC217" i="4" s="1"/>
  <c r="AL217" i="4" s="1"/>
  <c r="AD217" i="4"/>
  <c r="AG217" i="4" s="1"/>
  <c r="AE217" i="4"/>
  <c r="AF217" i="4"/>
  <c r="AF218" i="4"/>
  <c r="AG218" i="4"/>
  <c r="AJ217" i="4"/>
  <c r="AM217" i="4"/>
  <c r="AN217" i="4"/>
  <c r="AO217" i="4"/>
  <c r="AQ217" i="4"/>
  <c r="AR217" i="4"/>
  <c r="G218" i="4"/>
  <c r="AA218" i="4"/>
  <c r="AB218" i="4"/>
  <c r="AC218" i="4" s="1"/>
  <c r="AE218" i="4"/>
  <c r="AJ218" i="4"/>
  <c r="AK218" i="4" s="1"/>
  <c r="AP218" i="4" s="1"/>
  <c r="AL218" i="4"/>
  <c r="AM218" i="4"/>
  <c r="AN218" i="4"/>
  <c r="AO218" i="4"/>
  <c r="AQ218" i="4"/>
  <c r="AR218" i="4"/>
  <c r="G219" i="4"/>
  <c r="AA219" i="4"/>
  <c r="AB219" i="4"/>
  <c r="AC219" i="4"/>
  <c r="AL219" i="4" s="1"/>
  <c r="AE219" i="4"/>
  <c r="AF219" i="4"/>
  <c r="AG219" i="4"/>
  <c r="AF220" i="4"/>
  <c r="AD220" i="4"/>
  <c r="AG220" i="4" s="1"/>
  <c r="AJ219" i="4"/>
  <c r="AM219" i="4"/>
  <c r="AN219" i="4"/>
  <c r="AO219" i="4"/>
  <c r="AQ219" i="4"/>
  <c r="AR219" i="4"/>
  <c r="G220" i="4"/>
  <c r="AA220" i="4"/>
  <c r="AB220" i="4"/>
  <c r="AC220" i="4" s="1"/>
  <c r="AE220" i="4"/>
  <c r="AJ220" i="4"/>
  <c r="AK220" i="4" s="1"/>
  <c r="AP220" i="4" s="1"/>
  <c r="AM220" i="4"/>
  <c r="AN220" i="4"/>
  <c r="AO220" i="4"/>
  <c r="AQ220" i="4"/>
  <c r="AR220" i="4"/>
  <c r="G221" i="4"/>
  <c r="AA221" i="4"/>
  <c r="AB221" i="4"/>
  <c r="AC221" i="4"/>
  <c r="AD221" i="4"/>
  <c r="AG221" i="4" s="1"/>
  <c r="AE221" i="4"/>
  <c r="AF221" i="4"/>
  <c r="AD222" i="4"/>
  <c r="AK222" i="4" s="1"/>
  <c r="AP222" i="4" s="1"/>
  <c r="AG222" i="4"/>
  <c r="AJ221" i="4"/>
  <c r="AM221" i="4"/>
  <c r="AN221" i="4"/>
  <c r="AO221" i="4"/>
  <c r="AQ221" i="4"/>
  <c r="AR221" i="4"/>
  <c r="G222" i="4"/>
  <c r="AA222" i="4"/>
  <c r="AB222" i="4"/>
  <c r="AC222" i="4" s="1"/>
  <c r="AE222" i="4"/>
  <c r="AJ222" i="4"/>
  <c r="AM222" i="4"/>
  <c r="AN222" i="4"/>
  <c r="AO222" i="4"/>
  <c r="AQ222" i="4"/>
  <c r="AR222" i="4"/>
  <c r="G223" i="4"/>
  <c r="AA223" i="4"/>
  <c r="AB223" i="4"/>
  <c r="AC223" i="4"/>
  <c r="AD223" i="4"/>
  <c r="AG223" i="4" s="1"/>
  <c r="AI223" i="4" s="1"/>
  <c r="AE223" i="4"/>
  <c r="AF223" i="4"/>
  <c r="AJ223" i="4"/>
  <c r="AM223" i="4"/>
  <c r="AN223" i="4"/>
  <c r="AO223" i="4"/>
  <c r="AQ223" i="4"/>
  <c r="AR223" i="4"/>
  <c r="G224" i="4"/>
  <c r="AA224" i="4"/>
  <c r="AB224" i="4"/>
  <c r="AC224" i="4" s="1"/>
  <c r="AD224" i="4"/>
  <c r="AE224" i="4"/>
  <c r="AF224" i="4"/>
  <c r="AJ224" i="4"/>
  <c r="AM224" i="4"/>
  <c r="AN224" i="4"/>
  <c r="AO224" i="4"/>
  <c r="AQ224" i="4"/>
  <c r="AR224" i="4"/>
  <c r="G225" i="4"/>
  <c r="AA225" i="4"/>
  <c r="AB225" i="4"/>
  <c r="AC225" i="4" s="1"/>
  <c r="AE225" i="4"/>
  <c r="AF225" i="4"/>
  <c r="AG225" i="4"/>
  <c r="AF228" i="4"/>
  <c r="AD228" i="4"/>
  <c r="AK228" i="4" s="1"/>
  <c r="AP228" i="4" s="1"/>
  <c r="AJ225" i="4"/>
  <c r="AK225" i="4"/>
  <c r="AP225" i="4" s="1"/>
  <c r="AM225" i="4"/>
  <c r="AN225" i="4"/>
  <c r="AO225" i="4"/>
  <c r="AQ225" i="4"/>
  <c r="AR225" i="4"/>
  <c r="G226" i="4"/>
  <c r="AA226" i="4"/>
  <c r="AB226" i="4"/>
  <c r="AC226" i="4"/>
  <c r="AL226" i="4" s="1"/>
  <c r="AE226" i="4"/>
  <c r="AF226" i="4"/>
  <c r="AG226" i="4"/>
  <c r="AF227" i="4"/>
  <c r="AD227" i="4"/>
  <c r="AJ226" i="4"/>
  <c r="AK226" i="4" s="1"/>
  <c r="AP226" i="4" s="1"/>
  <c r="AM226" i="4"/>
  <c r="AN226" i="4"/>
  <c r="AO226" i="4"/>
  <c r="AQ226" i="4"/>
  <c r="AR226" i="4"/>
  <c r="G227" i="4"/>
  <c r="AA227" i="4"/>
  <c r="AB227" i="4"/>
  <c r="AC227" i="4"/>
  <c r="AL227" i="4" s="1"/>
  <c r="AE227" i="4"/>
  <c r="AJ227" i="4"/>
  <c r="AM227" i="4"/>
  <c r="AN227" i="4"/>
  <c r="AO227" i="4"/>
  <c r="AQ227" i="4"/>
  <c r="AR227" i="4"/>
  <c r="G228" i="4"/>
  <c r="AA228" i="4"/>
  <c r="AB228" i="4"/>
  <c r="AC228" i="4" s="1"/>
  <c r="AE228" i="4"/>
  <c r="AJ228" i="4"/>
  <c r="AM228" i="4"/>
  <c r="AN228" i="4"/>
  <c r="AO228" i="4"/>
  <c r="AQ228" i="4"/>
  <c r="AR228" i="4"/>
  <c r="G229" i="4"/>
  <c r="AA229" i="4"/>
  <c r="AB229" i="4"/>
  <c r="AC229" i="4" s="1"/>
  <c r="AD229" i="4"/>
  <c r="AG229" i="4" s="1"/>
  <c r="AE229" i="4"/>
  <c r="AF229" i="4"/>
  <c r="AF230" i="4"/>
  <c r="AG230" i="4"/>
  <c r="AJ229" i="4"/>
  <c r="AM229" i="4"/>
  <c r="AN229" i="4"/>
  <c r="AO229" i="4"/>
  <c r="AQ229" i="4"/>
  <c r="AR229" i="4"/>
  <c r="G230" i="4"/>
  <c r="AA230" i="4"/>
  <c r="AB230" i="4"/>
  <c r="AC230" i="4" s="1"/>
  <c r="AE230" i="4"/>
  <c r="AJ230" i="4"/>
  <c r="AK230" i="4" s="1"/>
  <c r="AP230" i="4" s="1"/>
  <c r="AM230" i="4"/>
  <c r="AN230" i="4"/>
  <c r="AO230" i="4"/>
  <c r="AQ230" i="4"/>
  <c r="AR230" i="4"/>
  <c r="G231" i="4"/>
  <c r="AA231" i="4"/>
  <c r="AB231" i="4"/>
  <c r="AC231" i="4"/>
  <c r="AD231" i="4"/>
  <c r="AG231" i="4" s="1"/>
  <c r="AE231" i="4"/>
  <c r="AF231" i="4"/>
  <c r="AJ231" i="4"/>
  <c r="AM231" i="4"/>
  <c r="AN231" i="4"/>
  <c r="AO231" i="4"/>
  <c r="AQ231" i="4"/>
  <c r="AR231" i="4"/>
  <c r="G232" i="4"/>
  <c r="AA232" i="4"/>
  <c r="AB232" i="4"/>
  <c r="AC232" i="4" s="1"/>
  <c r="AD232" i="4"/>
  <c r="AE232" i="4"/>
  <c r="AF232" i="4"/>
  <c r="AF235" i="4"/>
  <c r="AG235" i="4"/>
  <c r="AJ232" i="4"/>
  <c r="AM232" i="4"/>
  <c r="AN232" i="4"/>
  <c r="AO232" i="4"/>
  <c r="AQ232" i="4"/>
  <c r="AR232" i="4"/>
  <c r="G233" i="4"/>
  <c r="AA233" i="4"/>
  <c r="AB233" i="4"/>
  <c r="AC233" i="4"/>
  <c r="AD233" i="4"/>
  <c r="AE233" i="4"/>
  <c r="AF233" i="4"/>
  <c r="AG233" i="4"/>
  <c r="AI233" i="4" s="1"/>
  <c r="AJ233" i="4"/>
  <c r="AM233" i="4"/>
  <c r="AN233" i="4"/>
  <c r="AO233" i="4"/>
  <c r="AQ233" i="4"/>
  <c r="AR233" i="4"/>
  <c r="G234" i="4"/>
  <c r="AA234" i="4"/>
  <c r="AB234" i="4"/>
  <c r="AC234" i="4" s="1"/>
  <c r="AD234" i="4"/>
  <c r="AG234" i="4" s="1"/>
  <c r="AE234" i="4"/>
  <c r="AF234" i="4"/>
  <c r="AF236" i="4"/>
  <c r="AI234" i="4" s="1"/>
  <c r="AG236" i="4"/>
  <c r="AJ234" i="4"/>
  <c r="AM234" i="4"/>
  <c r="AN234" i="4"/>
  <c r="AO234" i="4"/>
  <c r="AQ234" i="4"/>
  <c r="AR234" i="4"/>
  <c r="G235" i="4"/>
  <c r="AA235" i="4"/>
  <c r="AB235" i="4"/>
  <c r="AC235" i="4"/>
  <c r="AL235" i="4" s="1"/>
  <c r="AE235" i="4"/>
  <c r="AJ235" i="4"/>
  <c r="AK235" i="4" s="1"/>
  <c r="AP235" i="4" s="1"/>
  <c r="AM235" i="4"/>
  <c r="AN235" i="4"/>
  <c r="AO235" i="4"/>
  <c r="AQ235" i="4"/>
  <c r="AR235" i="4"/>
  <c r="G236" i="4"/>
  <c r="AA236" i="4"/>
  <c r="AB236" i="4"/>
  <c r="AC236" i="4" s="1"/>
  <c r="AE236" i="4"/>
  <c r="AJ236" i="4"/>
  <c r="AM236" i="4"/>
  <c r="AN236" i="4"/>
  <c r="AO236" i="4"/>
  <c r="AQ236" i="4"/>
  <c r="AR236" i="4"/>
  <c r="G237" i="4"/>
  <c r="AA237" i="4"/>
  <c r="AB237" i="4"/>
  <c r="AC237" i="4" s="1"/>
  <c r="AD237" i="4"/>
  <c r="AE237" i="4"/>
  <c r="AF237" i="4"/>
  <c r="AI238" i="4" s="1"/>
  <c r="AG237" i="4"/>
  <c r="AF238" i="4"/>
  <c r="AG238" i="4"/>
  <c r="AJ237" i="4"/>
  <c r="AM237" i="4"/>
  <c r="AN237" i="4"/>
  <c r="AO237" i="4"/>
  <c r="AQ237" i="4"/>
  <c r="AR237" i="4"/>
  <c r="G238" i="4"/>
  <c r="AA238" i="4"/>
  <c r="AB238" i="4"/>
  <c r="AC238" i="4" s="1"/>
  <c r="AE238" i="4"/>
  <c r="AJ238" i="4"/>
  <c r="AM238" i="4"/>
  <c r="AN238" i="4"/>
  <c r="AO238" i="4"/>
  <c r="AQ238" i="4"/>
  <c r="AR238" i="4"/>
  <c r="G239" i="4"/>
  <c r="AA239" i="4"/>
  <c r="AB239" i="4"/>
  <c r="AC239" i="4" s="1"/>
  <c r="AD239" i="4"/>
  <c r="AG239" i="4" s="1"/>
  <c r="AE239" i="4"/>
  <c r="AF239" i="4"/>
  <c r="AF241" i="4"/>
  <c r="AG241" i="4"/>
  <c r="AJ239" i="4"/>
  <c r="AK239" i="4" s="1"/>
  <c r="AP239" i="4" s="1"/>
  <c r="AM239" i="4"/>
  <c r="AN239" i="4"/>
  <c r="AO239" i="4"/>
  <c r="AQ239" i="4"/>
  <c r="AR239" i="4"/>
  <c r="G240" i="4"/>
  <c r="AA240" i="4"/>
  <c r="AB240" i="4"/>
  <c r="AC240" i="4" s="1"/>
  <c r="AL240" i="4" s="1"/>
  <c r="AD240" i="4"/>
  <c r="AK240" i="4" s="1"/>
  <c r="AP240" i="4" s="1"/>
  <c r="AE240" i="4"/>
  <c r="AF240" i="4"/>
  <c r="AG240" i="4"/>
  <c r="AF242" i="4"/>
  <c r="AG242" i="4"/>
  <c r="AJ240" i="4"/>
  <c r="AM240" i="4"/>
  <c r="AN240" i="4"/>
  <c r="AO240" i="4"/>
  <c r="AQ240" i="4"/>
  <c r="AR240" i="4"/>
  <c r="G241" i="4"/>
  <c r="AA241" i="4"/>
  <c r="AB241" i="4"/>
  <c r="AC241" i="4" s="1"/>
  <c r="AL241" i="4" s="1"/>
  <c r="AE241" i="4"/>
  <c r="AJ241" i="4"/>
  <c r="AK241" i="4" s="1"/>
  <c r="AP241" i="4" s="1"/>
  <c r="AM241" i="4"/>
  <c r="AN241" i="4"/>
  <c r="AO241" i="4"/>
  <c r="AQ241" i="4"/>
  <c r="AR241" i="4"/>
  <c r="G242" i="4"/>
  <c r="AA242" i="4"/>
  <c r="AB242" i="4"/>
  <c r="AC242" i="4"/>
  <c r="AL242" i="4" s="1"/>
  <c r="AE242" i="4"/>
  <c r="AJ242" i="4"/>
  <c r="AK242" i="4"/>
  <c r="AP242" i="4" s="1"/>
  <c r="AM242" i="4"/>
  <c r="AN242" i="4"/>
  <c r="AO242" i="4"/>
  <c r="AQ242" i="4"/>
  <c r="AR242" i="4"/>
  <c r="G243" i="4"/>
  <c r="AA243" i="4"/>
  <c r="AB243" i="4"/>
  <c r="AC243" i="4" s="1"/>
  <c r="AE243" i="4"/>
  <c r="AF243" i="4"/>
  <c r="AG243" i="4"/>
  <c r="AF244" i="4"/>
  <c r="AD244" i="4"/>
  <c r="AJ243" i="4"/>
  <c r="AK243" i="4"/>
  <c r="AP243" i="4" s="1"/>
  <c r="AM243" i="4"/>
  <c r="AN243" i="4"/>
  <c r="AO243" i="4"/>
  <c r="AQ243" i="4"/>
  <c r="AR243" i="4"/>
  <c r="G244" i="4"/>
  <c r="AA244" i="4"/>
  <c r="AB244" i="4"/>
  <c r="AC244" i="4"/>
  <c r="AL244" i="4" s="1"/>
  <c r="AE244" i="4"/>
  <c r="AJ244" i="4"/>
  <c r="AM244" i="4"/>
  <c r="AN244" i="4"/>
  <c r="AO244" i="4"/>
  <c r="AQ244" i="4"/>
  <c r="AR244" i="4"/>
  <c r="G245" i="4"/>
  <c r="AA245" i="4"/>
  <c r="AB245" i="4"/>
  <c r="AC245" i="4"/>
  <c r="AD245" i="4"/>
  <c r="AG245" i="4" s="1"/>
  <c r="AE245" i="4"/>
  <c r="AF245" i="4"/>
  <c r="AJ245" i="4"/>
  <c r="AM245" i="4"/>
  <c r="AN245" i="4"/>
  <c r="AO245" i="4"/>
  <c r="AQ245" i="4"/>
  <c r="AR245" i="4"/>
  <c r="G246" i="4"/>
  <c r="AA246" i="4"/>
  <c r="AB246" i="4"/>
  <c r="AC246" i="4"/>
  <c r="AD246" i="4"/>
  <c r="AE246" i="4"/>
  <c r="AF246" i="4"/>
  <c r="AG246" i="4"/>
  <c r="AF247" i="4"/>
  <c r="AG247" i="4"/>
  <c r="AJ246" i="4"/>
  <c r="AK246" i="4"/>
  <c r="AP246" i="4" s="1"/>
  <c r="AM246" i="4"/>
  <c r="AN246" i="4"/>
  <c r="AO246" i="4"/>
  <c r="AQ246" i="4"/>
  <c r="AR246" i="4"/>
  <c r="G247" i="4"/>
  <c r="AA247" i="4"/>
  <c r="AB247" i="4"/>
  <c r="AC247" i="4"/>
  <c r="AE247" i="4"/>
  <c r="AJ247" i="4"/>
  <c r="AK247" i="4"/>
  <c r="AP247" i="4" s="1"/>
  <c r="AM247" i="4"/>
  <c r="AN247" i="4"/>
  <c r="AO247" i="4"/>
  <c r="AQ247" i="4"/>
  <c r="AR247" i="4"/>
  <c r="G248" i="4"/>
  <c r="AA248" i="4"/>
  <c r="AB248" i="4"/>
  <c r="AC248" i="4"/>
  <c r="AE248" i="4"/>
  <c r="AF248" i="4"/>
  <c r="AG248" i="4"/>
  <c r="AF249" i="4"/>
  <c r="AD249" i="4"/>
  <c r="AJ248" i="4"/>
  <c r="AK248" i="4"/>
  <c r="AP248" i="4" s="1"/>
  <c r="AM248" i="4"/>
  <c r="AN248" i="4"/>
  <c r="AO248" i="4"/>
  <c r="AQ248" i="4"/>
  <c r="AR248" i="4"/>
  <c r="G249" i="4"/>
  <c r="AA249" i="4"/>
  <c r="AB249" i="4"/>
  <c r="AC249" i="4" s="1"/>
  <c r="AL249" i="4" s="1"/>
  <c r="AE249" i="4"/>
  <c r="AJ249" i="4"/>
  <c r="AM249" i="4"/>
  <c r="AN249" i="4"/>
  <c r="AO249" i="4"/>
  <c r="AQ249" i="4"/>
  <c r="AR249" i="4"/>
  <c r="G250" i="4"/>
  <c r="AA250" i="4"/>
  <c r="AB250" i="4"/>
  <c r="AC250" i="4" s="1"/>
  <c r="AD250" i="4"/>
  <c r="AG250" i="4" s="1"/>
  <c r="AE250" i="4"/>
  <c r="AF250" i="4"/>
  <c r="AD251" i="4"/>
  <c r="AG251" i="4"/>
  <c r="AJ250" i="4"/>
  <c r="AL250" i="4" s="1"/>
  <c r="AM250" i="4"/>
  <c r="AN250" i="4"/>
  <c r="AO250" i="4"/>
  <c r="AQ250" i="4"/>
  <c r="AR250" i="4"/>
  <c r="G251" i="4"/>
  <c r="AA251" i="4"/>
  <c r="AB251" i="4"/>
  <c r="AC251" i="4" s="1"/>
  <c r="AE251" i="4"/>
  <c r="AJ251" i="4"/>
  <c r="AM251" i="4"/>
  <c r="AN251" i="4"/>
  <c r="AO251" i="4"/>
  <c r="AQ251" i="4"/>
  <c r="AR251" i="4"/>
  <c r="G252" i="4"/>
  <c r="AA252" i="4"/>
  <c r="AB252" i="4"/>
  <c r="AC252" i="4" s="1"/>
  <c r="AD252" i="4"/>
  <c r="AF252" i="4" s="1"/>
  <c r="AE252" i="4"/>
  <c r="AG252" i="4"/>
  <c r="AF256" i="4"/>
  <c r="AF257" i="4"/>
  <c r="AG256" i="4"/>
  <c r="AD257" i="4"/>
  <c r="AG257" i="4" s="1"/>
  <c r="AJ252" i="4"/>
  <c r="AM252" i="4"/>
  <c r="AN252" i="4"/>
  <c r="AO252" i="4"/>
  <c r="AQ252" i="4"/>
  <c r="AR252" i="4"/>
  <c r="G253" i="4"/>
  <c r="AA253" i="4"/>
  <c r="AB253" i="4"/>
  <c r="AC253" i="4" s="1"/>
  <c r="AD253" i="4"/>
  <c r="AE253" i="4"/>
  <c r="AF253" i="4"/>
  <c r="AG253" i="4"/>
  <c r="AF255" i="4"/>
  <c r="AD255" i="4"/>
  <c r="AG255" i="4" s="1"/>
  <c r="AJ253" i="4"/>
  <c r="AM253" i="4"/>
  <c r="AN253" i="4"/>
  <c r="AO253" i="4"/>
  <c r="AQ253" i="4"/>
  <c r="AR253" i="4"/>
  <c r="G254" i="4"/>
  <c r="AA254" i="4"/>
  <c r="AB254" i="4"/>
  <c r="AC254" i="4"/>
  <c r="AL254" i="4" s="1"/>
  <c r="AD254" i="4"/>
  <c r="AF254" i="4" s="1"/>
  <c r="AI254" i="4" s="1"/>
  <c r="AE254" i="4"/>
  <c r="AG254" i="4"/>
  <c r="AJ254" i="4"/>
  <c r="AM254" i="4"/>
  <c r="AN254" i="4"/>
  <c r="AO254" i="4"/>
  <c r="AQ254" i="4"/>
  <c r="AR254" i="4"/>
  <c r="G255" i="4"/>
  <c r="AA255" i="4"/>
  <c r="AB255" i="4"/>
  <c r="AC255" i="4" s="1"/>
  <c r="AE255" i="4"/>
  <c r="AJ255" i="4"/>
  <c r="AK255" i="4"/>
  <c r="AP255" i="4" s="1"/>
  <c r="AM255" i="4"/>
  <c r="AN255" i="4"/>
  <c r="AO255" i="4"/>
  <c r="AQ255" i="4"/>
  <c r="AR255" i="4"/>
  <c r="G256" i="4"/>
  <c r="AA256" i="4"/>
  <c r="AB256" i="4"/>
  <c r="AC256" i="4" s="1"/>
  <c r="AE256" i="4"/>
  <c r="AJ256" i="4"/>
  <c r="AM256" i="4"/>
  <c r="AN256" i="4"/>
  <c r="AO256" i="4"/>
  <c r="AQ256" i="4"/>
  <c r="AR256" i="4"/>
  <c r="G257" i="4"/>
  <c r="AA257" i="4"/>
  <c r="AB257" i="4"/>
  <c r="AC257" i="4"/>
  <c r="AE257" i="4"/>
  <c r="AJ257" i="4"/>
  <c r="AM257" i="4"/>
  <c r="AN257" i="4"/>
  <c r="AO257" i="4"/>
  <c r="AQ257" i="4"/>
  <c r="AR257" i="4"/>
  <c r="G258" i="4"/>
  <c r="AA258" i="4"/>
  <c r="AB258" i="4"/>
  <c r="AC258" i="4"/>
  <c r="AD258" i="4"/>
  <c r="AE258" i="4"/>
  <c r="AF258" i="4"/>
  <c r="AD260" i="4"/>
  <c r="AG260" i="4"/>
  <c r="AJ258" i="4"/>
  <c r="AL258" i="4"/>
  <c r="AM258" i="4"/>
  <c r="AN258" i="4"/>
  <c r="AO258" i="4"/>
  <c r="AQ258" i="4"/>
  <c r="AR258" i="4"/>
  <c r="G259" i="4"/>
  <c r="AA259" i="4"/>
  <c r="AB259" i="4"/>
  <c r="AC259" i="4"/>
  <c r="AL259" i="4" s="1"/>
  <c r="AD259" i="4"/>
  <c r="AE259" i="4"/>
  <c r="AF259" i="4"/>
  <c r="AI259" i="4" s="1"/>
  <c r="AG259" i="4"/>
  <c r="AJ259" i="4"/>
  <c r="AM259" i="4"/>
  <c r="AN259" i="4"/>
  <c r="AO259" i="4"/>
  <c r="AQ259" i="4"/>
  <c r="AR259" i="4"/>
  <c r="G260" i="4"/>
  <c r="AA260" i="4"/>
  <c r="AB260" i="4"/>
  <c r="AC260" i="4"/>
  <c r="AE260" i="4"/>
  <c r="AJ260" i="4"/>
  <c r="AM260" i="4"/>
  <c r="AN260" i="4"/>
  <c r="AO260" i="4"/>
  <c r="AQ260" i="4"/>
  <c r="AR260" i="4"/>
  <c r="G261" i="4"/>
  <c r="AA261" i="4"/>
  <c r="AB261" i="4"/>
  <c r="AC261" i="4" s="1"/>
  <c r="AD261" i="4"/>
  <c r="AE261" i="4"/>
  <c r="AF261" i="4"/>
  <c r="AG261" i="4"/>
  <c r="AF263" i="4"/>
  <c r="AD263" i="4"/>
  <c r="AG263" i="4" s="1"/>
  <c r="AJ261" i="4"/>
  <c r="AM261" i="4"/>
  <c r="AN261" i="4"/>
  <c r="AO261" i="4"/>
  <c r="AQ261" i="4"/>
  <c r="AR261" i="4"/>
  <c r="G262" i="4"/>
  <c r="AA262" i="4"/>
  <c r="AB262" i="4"/>
  <c r="AC262" i="4" s="1"/>
  <c r="AL262" i="4" s="1"/>
  <c r="AD262" i="4"/>
  <c r="AE262" i="4"/>
  <c r="AF262" i="4"/>
  <c r="AG262" i="4"/>
  <c r="AJ262" i="4"/>
  <c r="AK262" i="4"/>
  <c r="AM262" i="4"/>
  <c r="AN262" i="4"/>
  <c r="AO262" i="4"/>
  <c r="AP262" i="4"/>
  <c r="AQ262" i="4"/>
  <c r="AR262" i="4"/>
  <c r="G263" i="4"/>
  <c r="AA263" i="4"/>
  <c r="AB263" i="4"/>
  <c r="AC263" i="4" s="1"/>
  <c r="AE263" i="4"/>
  <c r="AJ263" i="4"/>
  <c r="AM263" i="4"/>
  <c r="AN263" i="4"/>
  <c r="AO263" i="4"/>
  <c r="AQ263" i="4"/>
  <c r="AR263" i="4"/>
  <c r="G264" i="4"/>
  <c r="AA264" i="4"/>
  <c r="AB264" i="4"/>
  <c r="AC264" i="4"/>
  <c r="AD264" i="4"/>
  <c r="AG264" i="4" s="1"/>
  <c r="AE264" i="4"/>
  <c r="AF264" i="4"/>
  <c r="AF265" i="4"/>
  <c r="AD266" i="4"/>
  <c r="AG265" i="4"/>
  <c r="AG266" i="4"/>
  <c r="AJ264" i="4"/>
  <c r="AM264" i="4"/>
  <c r="AN264" i="4"/>
  <c r="AO264" i="4"/>
  <c r="AQ264" i="4"/>
  <c r="AR264" i="4"/>
  <c r="G265" i="4"/>
  <c r="AA265" i="4"/>
  <c r="AB265" i="4"/>
  <c r="AC265" i="4"/>
  <c r="AE265" i="4"/>
  <c r="AJ265" i="4"/>
  <c r="AK265" i="4" s="1"/>
  <c r="AP265" i="4" s="1"/>
  <c r="AM265" i="4"/>
  <c r="AN265" i="4"/>
  <c r="AO265" i="4"/>
  <c r="AQ265" i="4"/>
  <c r="AR265" i="4"/>
  <c r="G266" i="4"/>
  <c r="AA266" i="4"/>
  <c r="AB266" i="4"/>
  <c r="AC266" i="4"/>
  <c r="AE266" i="4"/>
  <c r="AJ266" i="4"/>
  <c r="AL266" i="4" s="1"/>
  <c r="AM266" i="4"/>
  <c r="AN266" i="4"/>
  <c r="AO266" i="4"/>
  <c r="AQ266" i="4"/>
  <c r="AR266" i="4"/>
  <c r="G267" i="4"/>
  <c r="AA267" i="4"/>
  <c r="AB267" i="4"/>
  <c r="AC267" i="4" s="1"/>
  <c r="AE267" i="4"/>
  <c r="AF267" i="4"/>
  <c r="AG267" i="4"/>
  <c r="AF268" i="4"/>
  <c r="AD268" i="4"/>
  <c r="AG268" i="4"/>
  <c r="AJ267" i="4"/>
  <c r="AK267" i="4"/>
  <c r="AP267" i="4" s="1"/>
  <c r="AM267" i="4"/>
  <c r="AN267" i="4"/>
  <c r="AO267" i="4"/>
  <c r="AQ267" i="4"/>
  <c r="AR267" i="4"/>
  <c r="G268" i="4"/>
  <c r="AA268" i="4"/>
  <c r="AB268" i="4"/>
  <c r="AC268" i="4" s="1"/>
  <c r="AE268" i="4"/>
  <c r="AJ268" i="4"/>
  <c r="AM268" i="4"/>
  <c r="AN268" i="4"/>
  <c r="AO268" i="4"/>
  <c r="AQ268" i="4"/>
  <c r="AR268" i="4"/>
  <c r="G269" i="4"/>
  <c r="AA269" i="4"/>
  <c r="AB269" i="4"/>
  <c r="AC269" i="4" s="1"/>
  <c r="AE269" i="4"/>
  <c r="AF269" i="4"/>
  <c r="AG269" i="4"/>
  <c r="AF273" i="4"/>
  <c r="AD279" i="4"/>
  <c r="AF279" i="4" s="1"/>
  <c r="AD273" i="4"/>
  <c r="AG273" i="4"/>
  <c r="AI279" i="4" s="1"/>
  <c r="AG279" i="4"/>
  <c r="AJ269" i="4"/>
  <c r="AK269" i="4" s="1"/>
  <c r="AP269" i="4" s="1"/>
  <c r="AM269" i="4"/>
  <c r="AN269" i="4"/>
  <c r="AO269" i="4"/>
  <c r="AQ269" i="4"/>
  <c r="AR269" i="4"/>
  <c r="G270" i="4"/>
  <c r="AA270" i="4"/>
  <c r="AB270" i="4"/>
  <c r="AC270" i="4"/>
  <c r="AE270" i="4"/>
  <c r="AF270" i="4"/>
  <c r="AG270" i="4"/>
  <c r="AF274" i="4"/>
  <c r="AD274" i="4"/>
  <c r="AG274" i="4"/>
  <c r="AI274" i="4" s="1"/>
  <c r="AJ270" i="4"/>
  <c r="AK270" i="4"/>
  <c r="AM270" i="4"/>
  <c r="AN270" i="4"/>
  <c r="AO270" i="4"/>
  <c r="AP270" i="4"/>
  <c r="AQ270" i="4"/>
  <c r="AR270" i="4"/>
  <c r="G271" i="4"/>
  <c r="AA271" i="4"/>
  <c r="AB271" i="4"/>
  <c r="AC271" i="4"/>
  <c r="AL271" i="4" s="1"/>
  <c r="AE271" i="4"/>
  <c r="AF271" i="4"/>
  <c r="AG271" i="4"/>
  <c r="AF275" i="4"/>
  <c r="AD278" i="4"/>
  <c r="AF278" i="4"/>
  <c r="AD275" i="4"/>
  <c r="AG278" i="4"/>
  <c r="AJ271" i="4"/>
  <c r="AK271" i="4" s="1"/>
  <c r="AP271" i="4" s="1"/>
  <c r="AM271" i="4"/>
  <c r="AN271" i="4"/>
  <c r="AO271" i="4"/>
  <c r="AQ271" i="4"/>
  <c r="AR271" i="4"/>
  <c r="G272" i="4"/>
  <c r="AA272" i="4"/>
  <c r="AB272" i="4"/>
  <c r="AC272" i="4" s="1"/>
  <c r="AD272" i="4"/>
  <c r="AG272" i="4" s="1"/>
  <c r="AE272" i="4"/>
  <c r="AF272" i="4"/>
  <c r="AD276" i="4"/>
  <c r="AF276" i="4" s="1"/>
  <c r="AG276" i="4"/>
  <c r="AJ272" i="4"/>
  <c r="AK272" i="4" s="1"/>
  <c r="AP272" i="4" s="1"/>
  <c r="AM272" i="4"/>
  <c r="AN272" i="4"/>
  <c r="AO272" i="4"/>
  <c r="AQ272" i="4"/>
  <c r="AR272" i="4"/>
  <c r="G273" i="4"/>
  <c r="AA273" i="4"/>
  <c r="AB273" i="4"/>
  <c r="AC273" i="4" s="1"/>
  <c r="AE273" i="4"/>
  <c r="AJ273" i="4"/>
  <c r="AK273" i="4" s="1"/>
  <c r="AP273" i="4" s="1"/>
  <c r="AM273" i="4"/>
  <c r="AN273" i="4"/>
  <c r="AO273" i="4"/>
  <c r="AQ273" i="4"/>
  <c r="AR273" i="4"/>
  <c r="G274" i="4"/>
  <c r="AA274" i="4"/>
  <c r="AB274" i="4"/>
  <c r="AC274" i="4" s="1"/>
  <c r="AL274" i="4" s="1"/>
  <c r="AE274" i="4"/>
  <c r="AJ274" i="4"/>
  <c r="AM274" i="4"/>
  <c r="AN274" i="4"/>
  <c r="AO274" i="4"/>
  <c r="AQ274" i="4"/>
  <c r="AR274" i="4"/>
  <c r="G275" i="4"/>
  <c r="AA275" i="4"/>
  <c r="AB275" i="4"/>
  <c r="AC275" i="4" s="1"/>
  <c r="AE275" i="4"/>
  <c r="AJ275" i="4"/>
  <c r="AM275" i="4"/>
  <c r="AN275" i="4"/>
  <c r="AO275" i="4"/>
  <c r="AQ275" i="4"/>
  <c r="AR275" i="4"/>
  <c r="G276" i="4"/>
  <c r="AA276" i="4"/>
  <c r="AB276" i="4"/>
  <c r="AC276" i="4" s="1"/>
  <c r="AE276" i="4"/>
  <c r="AJ276" i="4"/>
  <c r="AM276" i="4"/>
  <c r="AN276" i="4"/>
  <c r="AO276" i="4"/>
  <c r="AQ276" i="4"/>
  <c r="AR276" i="4"/>
  <c r="G277" i="4"/>
  <c r="AA277" i="4"/>
  <c r="AB277" i="4"/>
  <c r="AC277" i="4" s="1"/>
  <c r="AD277" i="4"/>
  <c r="AF277" i="4" s="1"/>
  <c r="AI277" i="4" s="1"/>
  <c r="AE277" i="4"/>
  <c r="AG277" i="4"/>
  <c r="AJ277" i="4"/>
  <c r="AK277" i="4" s="1"/>
  <c r="AP277" i="4" s="1"/>
  <c r="AM277" i="4"/>
  <c r="AN277" i="4"/>
  <c r="AO277" i="4"/>
  <c r="AQ277" i="4"/>
  <c r="AR277" i="4"/>
  <c r="G278" i="4"/>
  <c r="AA278" i="4"/>
  <c r="AB278" i="4"/>
  <c r="AC278" i="4" s="1"/>
  <c r="AL278" i="4" s="1"/>
  <c r="AE278" i="4"/>
  <c r="AJ278" i="4"/>
  <c r="AK278" i="4"/>
  <c r="AM278" i="4"/>
  <c r="AN278" i="4"/>
  <c r="AO278" i="4"/>
  <c r="AP278" i="4"/>
  <c r="AQ278" i="4"/>
  <c r="AR278" i="4"/>
  <c r="G279" i="4"/>
  <c r="AA279" i="4"/>
  <c r="AB279" i="4"/>
  <c r="AC279" i="4" s="1"/>
  <c r="AE279" i="4"/>
  <c r="AJ279" i="4"/>
  <c r="AM279" i="4"/>
  <c r="AN279" i="4"/>
  <c r="AO279" i="4"/>
  <c r="AQ279" i="4"/>
  <c r="AR279" i="4"/>
  <c r="G280" i="4"/>
  <c r="AA280" i="4"/>
  <c r="AB280" i="4"/>
  <c r="AC280" i="4" s="1"/>
  <c r="AE280" i="4"/>
  <c r="AF280" i="4"/>
  <c r="AG280" i="4"/>
  <c r="AF281" i="4"/>
  <c r="AD281" i="4"/>
  <c r="AG281" i="4" s="1"/>
  <c r="AJ280" i="4"/>
  <c r="AK280" i="4" s="1"/>
  <c r="AP280" i="4" s="1"/>
  <c r="AM280" i="4"/>
  <c r="AN280" i="4"/>
  <c r="AO280" i="4"/>
  <c r="AQ280" i="4"/>
  <c r="AR280" i="4"/>
  <c r="G281" i="4"/>
  <c r="AA281" i="4"/>
  <c r="AB281" i="4"/>
  <c r="AC281" i="4"/>
  <c r="AE281" i="4"/>
  <c r="AJ281" i="4"/>
  <c r="AM281" i="4"/>
  <c r="AN281" i="4"/>
  <c r="AO281" i="4"/>
  <c r="AQ281" i="4"/>
  <c r="AR281" i="4"/>
  <c r="G282" i="4"/>
  <c r="AA282" i="4"/>
  <c r="AB282" i="4"/>
  <c r="AC282" i="4" s="1"/>
  <c r="AD282" i="4"/>
  <c r="AG282" i="4" s="1"/>
  <c r="AE282" i="4"/>
  <c r="AF282" i="4"/>
  <c r="AD283" i="4"/>
  <c r="AK283" i="4" s="1"/>
  <c r="AP283" i="4" s="1"/>
  <c r="AG283" i="4"/>
  <c r="AJ282" i="4"/>
  <c r="AM282" i="4"/>
  <c r="AN282" i="4"/>
  <c r="AO282" i="4"/>
  <c r="AQ282" i="4"/>
  <c r="AR282" i="4"/>
  <c r="G283" i="4"/>
  <c r="AA283" i="4"/>
  <c r="AB283" i="4"/>
  <c r="AC283" i="4"/>
  <c r="AE283" i="4"/>
  <c r="AJ283" i="4"/>
  <c r="AM283" i="4"/>
  <c r="AN283" i="4"/>
  <c r="AO283" i="4"/>
  <c r="AQ283" i="4"/>
  <c r="AR283" i="4"/>
  <c r="G284" i="4"/>
  <c r="AA284" i="4"/>
  <c r="AB284" i="4"/>
  <c r="AC284" i="4" s="1"/>
  <c r="AD284" i="4"/>
  <c r="AE284" i="4"/>
  <c r="AF284" i="4"/>
  <c r="AG284" i="4"/>
  <c r="AF285" i="4"/>
  <c r="AG285" i="4"/>
  <c r="AJ284" i="4"/>
  <c r="AK284" i="4" s="1"/>
  <c r="AP284" i="4" s="1"/>
  <c r="AM284" i="4"/>
  <c r="AN284" i="4"/>
  <c r="AO284" i="4"/>
  <c r="AQ284" i="4"/>
  <c r="AR284" i="4"/>
  <c r="G285" i="4"/>
  <c r="AA285" i="4"/>
  <c r="AB285" i="4"/>
  <c r="AC285" i="4" s="1"/>
  <c r="AE285" i="4"/>
  <c r="AJ285" i="4"/>
  <c r="AM285" i="4"/>
  <c r="AN285" i="4"/>
  <c r="AO285" i="4"/>
  <c r="AQ285" i="4"/>
  <c r="AR285" i="4"/>
  <c r="G286" i="4"/>
  <c r="AA286" i="4"/>
  <c r="AB286" i="4"/>
  <c r="AC286" i="4" s="1"/>
  <c r="AE286" i="4"/>
  <c r="AF286" i="4"/>
  <c r="AG286" i="4"/>
  <c r="AF287" i="4"/>
  <c r="AD287" i="4"/>
  <c r="AG287" i="4" s="1"/>
  <c r="AJ286" i="4"/>
  <c r="AM286" i="4"/>
  <c r="AN286" i="4"/>
  <c r="AO286" i="4"/>
  <c r="AQ286" i="4"/>
  <c r="AR286" i="4"/>
  <c r="G287" i="4"/>
  <c r="AA287" i="4"/>
  <c r="AB287" i="4"/>
  <c r="AC287" i="4" s="1"/>
  <c r="AE287" i="4"/>
  <c r="AJ287" i="4"/>
  <c r="AL287" i="4"/>
  <c r="AM287" i="4"/>
  <c r="AN287" i="4"/>
  <c r="AO287" i="4"/>
  <c r="AQ287" i="4"/>
  <c r="AR287" i="4"/>
  <c r="G288" i="4"/>
  <c r="AA288" i="4"/>
  <c r="AB288" i="4"/>
  <c r="AC288" i="4" s="1"/>
  <c r="AD288" i="4"/>
  <c r="AF288" i="4" s="1"/>
  <c r="AE288" i="4"/>
  <c r="AG288" i="4"/>
  <c r="AI288" i="4"/>
  <c r="AJ288" i="4"/>
  <c r="AM288" i="4"/>
  <c r="AN288" i="4"/>
  <c r="AO288" i="4"/>
  <c r="AQ288" i="4"/>
  <c r="AR288" i="4"/>
  <c r="G289" i="4"/>
  <c r="AA289" i="4"/>
  <c r="AB289" i="4"/>
  <c r="AC289" i="4" s="1"/>
  <c r="AD289" i="4"/>
  <c r="AE289" i="4"/>
  <c r="AG289" i="4"/>
  <c r="AF290" i="4"/>
  <c r="AG290" i="4"/>
  <c r="AJ289" i="4"/>
  <c r="AM289" i="4"/>
  <c r="AN289" i="4"/>
  <c r="AO289" i="4"/>
  <c r="AQ289" i="4"/>
  <c r="AR289" i="4"/>
  <c r="G290" i="4"/>
  <c r="AA290" i="4"/>
  <c r="AB290" i="4"/>
  <c r="AC290" i="4"/>
  <c r="AE290" i="4"/>
  <c r="AJ290" i="4"/>
  <c r="AK290" i="4" s="1"/>
  <c r="AP290" i="4" s="1"/>
  <c r="AM290" i="4"/>
  <c r="AN290" i="4"/>
  <c r="AO290" i="4"/>
  <c r="AQ290" i="4"/>
  <c r="AR290" i="4"/>
  <c r="G291" i="4"/>
  <c r="AA291" i="4"/>
  <c r="AB291" i="4"/>
  <c r="AC291" i="4" s="1"/>
  <c r="AE291" i="4"/>
  <c r="AF291" i="4"/>
  <c r="AG291" i="4"/>
  <c r="AF292" i="4"/>
  <c r="AD292" i="4"/>
  <c r="AJ291" i="4"/>
  <c r="AM291" i="4"/>
  <c r="AN291" i="4"/>
  <c r="AO291" i="4"/>
  <c r="AQ291" i="4"/>
  <c r="AR291" i="4"/>
  <c r="G292" i="4"/>
  <c r="AA292" i="4"/>
  <c r="AB292" i="4"/>
  <c r="AC292" i="4" s="1"/>
  <c r="AE292" i="4"/>
  <c r="AJ292" i="4"/>
  <c r="AM292" i="4"/>
  <c r="AN292" i="4"/>
  <c r="AO292" i="4"/>
  <c r="AQ292" i="4"/>
  <c r="AR292" i="4"/>
  <c r="G293" i="4"/>
  <c r="AA293" i="4"/>
  <c r="AB293" i="4"/>
  <c r="AC293" i="4" s="1"/>
  <c r="AD293" i="4"/>
  <c r="AG293" i="4" s="1"/>
  <c r="AE293" i="4"/>
  <c r="AF293" i="4"/>
  <c r="AJ293" i="4"/>
  <c r="AK293" i="4"/>
  <c r="AP293" i="4" s="1"/>
  <c r="AM293" i="4"/>
  <c r="AN293" i="4"/>
  <c r="AO293" i="4"/>
  <c r="AQ293" i="4"/>
  <c r="AR293" i="4"/>
  <c r="G294" i="4"/>
  <c r="AA294" i="4"/>
  <c r="AB294" i="4"/>
  <c r="AC294" i="4" s="1"/>
  <c r="AD294" i="4"/>
  <c r="AG294" i="4" s="1"/>
  <c r="AE294" i="4"/>
  <c r="AF294" i="4"/>
  <c r="AF295" i="4"/>
  <c r="AG295" i="4"/>
  <c r="AJ294" i="4"/>
  <c r="AM294" i="4"/>
  <c r="AN294" i="4"/>
  <c r="AO294" i="4"/>
  <c r="AQ294" i="4"/>
  <c r="AR294" i="4"/>
  <c r="G295" i="4"/>
  <c r="AA295" i="4"/>
  <c r="AB295" i="4"/>
  <c r="AC295" i="4"/>
  <c r="AL295" i="4" s="1"/>
  <c r="AE295" i="4"/>
  <c r="AJ295" i="4"/>
  <c r="AM295" i="4"/>
  <c r="AN295" i="4"/>
  <c r="AO295" i="4"/>
  <c r="AQ295" i="4"/>
  <c r="AR295" i="4"/>
  <c r="G296" i="4"/>
  <c r="AA296" i="4"/>
  <c r="AB296" i="4"/>
  <c r="AC296" i="4" s="1"/>
  <c r="AE296" i="4"/>
  <c r="AF296" i="4"/>
  <c r="AG296" i="4"/>
  <c r="AF297" i="4"/>
  <c r="AD298" i="4"/>
  <c r="AD297" i="4"/>
  <c r="AG297" i="4" s="1"/>
  <c r="AG298" i="4"/>
  <c r="AJ296" i="4"/>
  <c r="AM296" i="4"/>
  <c r="AN296" i="4"/>
  <c r="AO296" i="4"/>
  <c r="AQ296" i="4"/>
  <c r="AR296" i="4"/>
  <c r="G297" i="4"/>
  <c r="AA297" i="4"/>
  <c r="AB297" i="4"/>
  <c r="AC297" i="4" s="1"/>
  <c r="AL297" i="4" s="1"/>
  <c r="AE297" i="4"/>
  <c r="AJ297" i="4"/>
  <c r="AM297" i="4"/>
  <c r="AN297" i="4"/>
  <c r="AO297" i="4"/>
  <c r="AQ297" i="4"/>
  <c r="AR297" i="4"/>
  <c r="G298" i="4"/>
  <c r="AA298" i="4"/>
  <c r="AB298" i="4"/>
  <c r="AC298" i="4"/>
  <c r="AE298" i="4"/>
  <c r="AJ298" i="4"/>
  <c r="AM298" i="4"/>
  <c r="AN298" i="4"/>
  <c r="AO298" i="4"/>
  <c r="AQ298" i="4"/>
  <c r="AR298" i="4"/>
  <c r="G299" i="4"/>
  <c r="AA299" i="4"/>
  <c r="AB299" i="4"/>
  <c r="AC299" i="4"/>
  <c r="AL299" i="4" s="1"/>
  <c r="AD299" i="4"/>
  <c r="AF299" i="4" s="1"/>
  <c r="AE299" i="4"/>
  <c r="AG299" i="4"/>
  <c r="AF304" i="4"/>
  <c r="AD304" i="4"/>
  <c r="AJ299" i="4"/>
  <c r="AM299" i="4"/>
  <c r="AN299" i="4"/>
  <c r="AO299" i="4"/>
  <c r="AQ299" i="4"/>
  <c r="AR299" i="4"/>
  <c r="G300" i="4"/>
  <c r="AA300" i="4"/>
  <c r="AB300" i="4"/>
  <c r="AC300" i="4"/>
  <c r="AD300" i="4"/>
  <c r="AF300" i="4" s="1"/>
  <c r="AE300" i="4"/>
  <c r="AG300" i="4"/>
  <c r="AF303" i="4"/>
  <c r="AD303" i="4"/>
  <c r="AG303" i="4" s="1"/>
  <c r="AJ300" i="4"/>
  <c r="AM300" i="4"/>
  <c r="AN300" i="4"/>
  <c r="AO300" i="4"/>
  <c r="AQ300" i="4"/>
  <c r="AR300" i="4"/>
  <c r="G301" i="4"/>
  <c r="AA301" i="4"/>
  <c r="AB301" i="4"/>
  <c r="AC301" i="4" s="1"/>
  <c r="AD301" i="4"/>
  <c r="AF301" i="4" s="1"/>
  <c r="AE301" i="4"/>
  <c r="AG301" i="4"/>
  <c r="AF302" i="4"/>
  <c r="AD302" i="4"/>
  <c r="AG302" i="4" s="1"/>
  <c r="AJ301" i="4"/>
  <c r="AL301" i="4"/>
  <c r="AM301" i="4"/>
  <c r="AN301" i="4"/>
  <c r="AO301" i="4"/>
  <c r="AQ301" i="4"/>
  <c r="AR301" i="4"/>
  <c r="G302" i="4"/>
  <c r="AA302" i="4"/>
  <c r="AB302" i="4"/>
  <c r="AC302" i="4"/>
  <c r="AE302" i="4"/>
  <c r="AJ302" i="4"/>
  <c r="AM302" i="4"/>
  <c r="AN302" i="4"/>
  <c r="AO302" i="4"/>
  <c r="AQ302" i="4"/>
  <c r="AR302" i="4"/>
  <c r="G303" i="4"/>
  <c r="AA303" i="4"/>
  <c r="AB303" i="4"/>
  <c r="AC303" i="4" s="1"/>
  <c r="AE303" i="4"/>
  <c r="AJ303" i="4"/>
  <c r="AM303" i="4"/>
  <c r="AN303" i="4"/>
  <c r="AO303" i="4"/>
  <c r="AQ303" i="4"/>
  <c r="AR303" i="4"/>
  <c r="G304" i="4"/>
  <c r="AA304" i="4"/>
  <c r="AB304" i="4"/>
  <c r="AC304" i="4" s="1"/>
  <c r="AE304" i="4"/>
  <c r="AJ304" i="4"/>
  <c r="AM304" i="4"/>
  <c r="AN304" i="4"/>
  <c r="AO304" i="4"/>
  <c r="AQ304" i="4"/>
  <c r="AR304" i="4"/>
  <c r="G305" i="4"/>
  <c r="AA305" i="4"/>
  <c r="AB305" i="4"/>
  <c r="AC305" i="4" s="1"/>
  <c r="AD305" i="4"/>
  <c r="AE305" i="4"/>
  <c r="AF305" i="4"/>
  <c r="AG305" i="4"/>
  <c r="AD306" i="4"/>
  <c r="AF306" i="4" s="1"/>
  <c r="AG306" i="4"/>
  <c r="AJ305" i="4"/>
  <c r="AM305" i="4"/>
  <c r="AN305" i="4"/>
  <c r="AO305" i="4"/>
  <c r="AQ305" i="4"/>
  <c r="AR305" i="4"/>
  <c r="G306" i="4"/>
  <c r="AA306" i="4"/>
  <c r="AB306" i="4"/>
  <c r="AC306" i="4"/>
  <c r="AE306" i="4"/>
  <c r="AJ306" i="4"/>
  <c r="AL306" i="4" s="1"/>
  <c r="AM306" i="4"/>
  <c r="AN306" i="4"/>
  <c r="AO306" i="4"/>
  <c r="AQ306" i="4"/>
  <c r="AR306" i="4"/>
  <c r="G307" i="4"/>
  <c r="AA307" i="4"/>
  <c r="AB307" i="4"/>
  <c r="AC307" i="4" s="1"/>
  <c r="AE307" i="4"/>
  <c r="AF307" i="4"/>
  <c r="AG307" i="4"/>
  <c r="AF308" i="4"/>
  <c r="AD308" i="4"/>
  <c r="AG308" i="4" s="1"/>
  <c r="AJ307" i="4"/>
  <c r="AM307" i="4"/>
  <c r="AN307" i="4"/>
  <c r="AO307" i="4"/>
  <c r="AQ307" i="4"/>
  <c r="AR307" i="4"/>
  <c r="G308" i="4"/>
  <c r="AA308" i="4"/>
  <c r="AB308" i="4"/>
  <c r="AC308" i="4" s="1"/>
  <c r="AE308" i="4"/>
  <c r="AJ308" i="4"/>
  <c r="AM308" i="4"/>
  <c r="AN308" i="4"/>
  <c r="AO308" i="4"/>
  <c r="AQ308" i="4"/>
  <c r="AR308" i="4"/>
  <c r="G309" i="4"/>
  <c r="AA309" i="4"/>
  <c r="AB309" i="4"/>
  <c r="AC309" i="4"/>
  <c r="AL309" i="4" s="1"/>
  <c r="AD309" i="4"/>
  <c r="AE309" i="4"/>
  <c r="AF309" i="4"/>
  <c r="AF310" i="4"/>
  <c r="AG310" i="4"/>
  <c r="AJ309" i="4"/>
  <c r="AM309" i="4"/>
  <c r="AN309" i="4"/>
  <c r="AO309" i="4"/>
  <c r="AQ309" i="4"/>
  <c r="AR309" i="4"/>
  <c r="G310" i="4"/>
  <c r="AA310" i="4"/>
  <c r="AB310" i="4"/>
  <c r="AC310" i="4" s="1"/>
  <c r="AL310" i="4" s="1"/>
  <c r="AE310" i="4"/>
  <c r="AJ310" i="4"/>
  <c r="AK310" i="4"/>
  <c r="AP310" i="4" s="1"/>
  <c r="AM310" i="4"/>
  <c r="AN310" i="4"/>
  <c r="AO310" i="4"/>
  <c r="AQ310" i="4"/>
  <c r="AR310" i="4"/>
  <c r="G311" i="4"/>
  <c r="AA311" i="4"/>
  <c r="AB311" i="4"/>
  <c r="AC311" i="4" s="1"/>
  <c r="AD311" i="4"/>
  <c r="AF311" i="4" s="1"/>
  <c r="AE311" i="4"/>
  <c r="AG311" i="4"/>
  <c r="AI311" i="4" s="1"/>
  <c r="AJ311" i="4"/>
  <c r="AM311" i="4"/>
  <c r="AN311" i="4"/>
  <c r="AO311" i="4"/>
  <c r="AQ311" i="4"/>
  <c r="AR311" i="4"/>
  <c r="G312" i="4"/>
  <c r="AA312" i="4"/>
  <c r="AB312" i="4"/>
  <c r="AC312" i="4"/>
  <c r="AE312" i="4"/>
  <c r="AF312" i="4"/>
  <c r="AG312" i="4"/>
  <c r="AF313" i="4"/>
  <c r="AD313" i="4"/>
  <c r="AJ312" i="4"/>
  <c r="AM312" i="4"/>
  <c r="AN312" i="4"/>
  <c r="AO312" i="4"/>
  <c r="AQ312" i="4"/>
  <c r="AR312" i="4"/>
  <c r="G313" i="4"/>
  <c r="AA313" i="4"/>
  <c r="AB313" i="4"/>
  <c r="AC313" i="4" s="1"/>
  <c r="AL313" i="4" s="1"/>
  <c r="AE313" i="4"/>
  <c r="AJ313" i="4"/>
  <c r="AM313" i="4"/>
  <c r="AN313" i="4"/>
  <c r="AO313" i="4"/>
  <c r="AQ313" i="4"/>
  <c r="AR313" i="4"/>
  <c r="G314" i="4"/>
  <c r="AA314" i="4"/>
  <c r="AB314" i="4"/>
  <c r="AC314" i="4" s="1"/>
  <c r="AD314" i="4"/>
  <c r="AG314" i="4" s="1"/>
  <c r="AE314" i="4"/>
  <c r="AF314" i="4"/>
  <c r="AD315" i="4"/>
  <c r="AF315" i="4"/>
  <c r="AG315" i="4"/>
  <c r="AJ314" i="4"/>
  <c r="AM314" i="4"/>
  <c r="AN314" i="4"/>
  <c r="AO314" i="4"/>
  <c r="AQ314" i="4"/>
  <c r="AR314" i="4"/>
  <c r="G315" i="4"/>
  <c r="AA315" i="4"/>
  <c r="AB315" i="4"/>
  <c r="AC315" i="4" s="1"/>
  <c r="AE315" i="4"/>
  <c r="AJ315" i="4"/>
  <c r="AM315" i="4"/>
  <c r="AN315" i="4"/>
  <c r="AO315" i="4"/>
  <c r="AQ315" i="4"/>
  <c r="AR315" i="4"/>
  <c r="G316" i="4"/>
  <c r="AA316" i="4"/>
  <c r="AB316" i="4"/>
  <c r="AC316" i="4" s="1"/>
  <c r="AD316" i="4"/>
  <c r="AF316" i="4" s="1"/>
  <c r="AE316" i="4"/>
  <c r="AG316" i="4"/>
  <c r="AF318" i="4"/>
  <c r="AD318" i="4"/>
  <c r="AG318" i="4" s="1"/>
  <c r="AJ316" i="4"/>
  <c r="AM316" i="4"/>
  <c r="AN316" i="4"/>
  <c r="AO316" i="4"/>
  <c r="AQ316" i="4"/>
  <c r="AR316" i="4"/>
  <c r="G317" i="4"/>
  <c r="AA317" i="4"/>
  <c r="AB317" i="4"/>
  <c r="AC317" i="4" s="1"/>
  <c r="AD317" i="4"/>
  <c r="AF317" i="4" s="1"/>
  <c r="AE317" i="4"/>
  <c r="AG317" i="4"/>
  <c r="AJ317" i="4"/>
  <c r="AM317" i="4"/>
  <c r="AN317" i="4"/>
  <c r="AO317" i="4"/>
  <c r="AQ317" i="4"/>
  <c r="AR317" i="4"/>
  <c r="G318" i="4"/>
  <c r="AA318" i="4"/>
  <c r="AB318" i="4"/>
  <c r="AC318" i="4" s="1"/>
  <c r="AE318" i="4"/>
  <c r="AJ318" i="4"/>
  <c r="AM318" i="4"/>
  <c r="AN318" i="4"/>
  <c r="AO318" i="4"/>
  <c r="AQ318" i="4"/>
  <c r="AR318" i="4"/>
  <c r="G319" i="4"/>
  <c r="AA319" i="4"/>
  <c r="AB319" i="4"/>
  <c r="AC319" i="4" s="1"/>
  <c r="AE319" i="4"/>
  <c r="AF319" i="4"/>
  <c r="AG319" i="4"/>
  <c r="AF320" i="4"/>
  <c r="AD320" i="4"/>
  <c r="AG320" i="4"/>
  <c r="AJ319" i="4"/>
  <c r="AK319" i="4" s="1"/>
  <c r="AP319" i="4" s="1"/>
  <c r="AM319" i="4"/>
  <c r="AN319" i="4"/>
  <c r="AO319" i="4"/>
  <c r="AQ319" i="4"/>
  <c r="AR319" i="4"/>
  <c r="G320" i="4"/>
  <c r="AA320" i="4"/>
  <c r="AB320" i="4"/>
  <c r="AC320" i="4" s="1"/>
  <c r="AE320" i="4"/>
  <c r="AJ320" i="4"/>
  <c r="AK320" i="4" s="1"/>
  <c r="AP320" i="4" s="1"/>
  <c r="AM320" i="4"/>
  <c r="AN320" i="4"/>
  <c r="AO320" i="4"/>
  <c r="AQ320" i="4"/>
  <c r="AR320" i="4"/>
  <c r="G321" i="4"/>
  <c r="AA321" i="4"/>
  <c r="AB321" i="4"/>
  <c r="AC321" i="4" s="1"/>
  <c r="AD321" i="4"/>
  <c r="AE321" i="4"/>
  <c r="AF321" i="4"/>
  <c r="AG321" i="4"/>
  <c r="AD322" i="4"/>
  <c r="AF322" i="4" s="1"/>
  <c r="AG322" i="4"/>
  <c r="AJ321" i="4"/>
  <c r="AM321" i="4"/>
  <c r="AN321" i="4"/>
  <c r="AO321" i="4"/>
  <c r="AQ321" i="4"/>
  <c r="AR321" i="4"/>
  <c r="G322" i="4"/>
  <c r="AA322" i="4"/>
  <c r="AB322" i="4"/>
  <c r="AC322" i="4" s="1"/>
  <c r="AE322" i="4"/>
  <c r="AJ322" i="4"/>
  <c r="AK322" i="4"/>
  <c r="AP322" i="4" s="1"/>
  <c r="AM322" i="4"/>
  <c r="AN322" i="4"/>
  <c r="AO322" i="4"/>
  <c r="AQ322" i="4"/>
  <c r="AR322" i="4"/>
  <c r="G323" i="4"/>
  <c r="AA323" i="4"/>
  <c r="AB323" i="4"/>
  <c r="AC323" i="4"/>
  <c r="AD323" i="4"/>
  <c r="AE323" i="4"/>
  <c r="AF323" i="4"/>
  <c r="AG323" i="4"/>
  <c r="AF324" i="4"/>
  <c r="AD324" i="4"/>
  <c r="AG324" i="4"/>
  <c r="AJ323" i="4"/>
  <c r="AM323" i="4"/>
  <c r="AN323" i="4"/>
  <c r="AO323" i="4"/>
  <c r="AQ323" i="4"/>
  <c r="AR323" i="4"/>
  <c r="G324" i="4"/>
  <c r="AA324" i="4"/>
  <c r="AB324" i="4"/>
  <c r="AC324" i="4" s="1"/>
  <c r="AE324" i="4"/>
  <c r="AJ324" i="4"/>
  <c r="AK324" i="4" s="1"/>
  <c r="AP324" i="4" s="1"/>
  <c r="AM324" i="4"/>
  <c r="AN324" i="4"/>
  <c r="AO324" i="4"/>
  <c r="AQ324" i="4"/>
  <c r="AR324" i="4"/>
  <c r="G325" i="4"/>
  <c r="AA325" i="4"/>
  <c r="AB325" i="4"/>
  <c r="AC325" i="4" s="1"/>
  <c r="AD325" i="4"/>
  <c r="AE325" i="4"/>
  <c r="AG325" i="4"/>
  <c r="AF326" i="4"/>
  <c r="AG326" i="4"/>
  <c r="AJ325" i="4"/>
  <c r="AL325" i="4"/>
  <c r="AM325" i="4"/>
  <c r="AN325" i="4"/>
  <c r="AO325" i="4"/>
  <c r="AQ325" i="4"/>
  <c r="AR325" i="4"/>
  <c r="G326" i="4"/>
  <c r="AA326" i="4"/>
  <c r="AB326" i="4"/>
  <c r="AC326" i="4" s="1"/>
  <c r="AE326" i="4"/>
  <c r="AJ326" i="4"/>
  <c r="AK326" i="4"/>
  <c r="AP326" i="4" s="1"/>
  <c r="AM326" i="4"/>
  <c r="AN326" i="4"/>
  <c r="AO326" i="4"/>
  <c r="AQ326" i="4"/>
  <c r="AR326" i="4"/>
  <c r="G327" i="4"/>
  <c r="AA327" i="4"/>
  <c r="AB327" i="4"/>
  <c r="AC327" i="4" s="1"/>
  <c r="AD327" i="4"/>
  <c r="AE327" i="4"/>
  <c r="AF327" i="4"/>
  <c r="AG327" i="4"/>
  <c r="AF328" i="4"/>
  <c r="AG328" i="4"/>
  <c r="AJ327" i="4"/>
  <c r="AL327" i="4" s="1"/>
  <c r="AM327" i="4"/>
  <c r="AN327" i="4"/>
  <c r="AO327" i="4"/>
  <c r="AQ327" i="4"/>
  <c r="AR327" i="4"/>
  <c r="G328" i="4"/>
  <c r="AA328" i="4"/>
  <c r="AB328" i="4"/>
  <c r="AC328" i="4" s="1"/>
  <c r="AE328" i="4"/>
  <c r="AJ328" i="4"/>
  <c r="AM328" i="4"/>
  <c r="AN328" i="4"/>
  <c r="AO328" i="4"/>
  <c r="AQ328" i="4"/>
  <c r="AR328" i="4"/>
  <c r="G329" i="4"/>
  <c r="AA329" i="4"/>
  <c r="AB329" i="4"/>
  <c r="AC329" i="4"/>
  <c r="AE329" i="4"/>
  <c r="AF329" i="4"/>
  <c r="AG329" i="4"/>
  <c r="AF334" i="4"/>
  <c r="AD336" i="4"/>
  <c r="AF336" i="4"/>
  <c r="AD334" i="4"/>
  <c r="AG334" i="4" s="1"/>
  <c r="AG336" i="4"/>
  <c r="AJ329" i="4"/>
  <c r="AM329" i="4"/>
  <c r="AN329" i="4"/>
  <c r="AO329" i="4"/>
  <c r="AQ329" i="4"/>
  <c r="AR329" i="4"/>
  <c r="G330" i="4"/>
  <c r="AA330" i="4"/>
  <c r="AB330" i="4"/>
  <c r="AC330" i="4" s="1"/>
  <c r="AE330" i="4"/>
  <c r="AF330" i="4"/>
  <c r="AG330" i="4"/>
  <c r="AF333" i="4"/>
  <c r="AD335" i="4"/>
  <c r="AF335" i="4"/>
  <c r="AD333" i="4"/>
  <c r="AG333" i="4" s="1"/>
  <c r="AG335" i="4"/>
  <c r="AJ330" i="4"/>
  <c r="AK330" i="4" s="1"/>
  <c r="AP330" i="4" s="1"/>
  <c r="AM330" i="4"/>
  <c r="AN330" i="4"/>
  <c r="AO330" i="4"/>
  <c r="AQ330" i="4"/>
  <c r="AR330" i="4"/>
  <c r="G331" i="4"/>
  <c r="AA331" i="4"/>
  <c r="AB331" i="4"/>
  <c r="AC331" i="4"/>
  <c r="AL331" i="4" s="1"/>
  <c r="AE331" i="4"/>
  <c r="AF331" i="4"/>
  <c r="AG331" i="4"/>
  <c r="AJ331" i="4"/>
  <c r="AK331" i="4" s="1"/>
  <c r="AM331" i="4"/>
  <c r="AN331" i="4"/>
  <c r="AO331" i="4"/>
  <c r="AP331" i="4"/>
  <c r="AQ331" i="4"/>
  <c r="AR331" i="4"/>
  <c r="G332" i="4"/>
  <c r="AA332" i="4"/>
  <c r="AB332" i="4"/>
  <c r="AC332" i="4"/>
  <c r="AE332" i="4"/>
  <c r="AF332" i="4"/>
  <c r="AG332" i="4"/>
  <c r="AI332" i="4"/>
  <c r="AJ332" i="4"/>
  <c r="AK332" i="4" s="1"/>
  <c r="AP332" i="4" s="1"/>
  <c r="AM332" i="4"/>
  <c r="AN332" i="4"/>
  <c r="AO332" i="4"/>
  <c r="AQ332" i="4"/>
  <c r="AR332" i="4"/>
  <c r="G333" i="4"/>
  <c r="AA333" i="4"/>
  <c r="AB333" i="4"/>
  <c r="AC333" i="4" s="1"/>
  <c r="AE333" i="4"/>
  <c r="AJ333" i="4"/>
  <c r="AL333" i="4" s="1"/>
  <c r="AM333" i="4"/>
  <c r="AN333" i="4"/>
  <c r="AO333" i="4"/>
  <c r="AQ333" i="4"/>
  <c r="AR333" i="4"/>
  <c r="G334" i="4"/>
  <c r="AA334" i="4"/>
  <c r="AB334" i="4"/>
  <c r="AC334" i="4" s="1"/>
  <c r="AE334" i="4"/>
  <c r="AJ334" i="4"/>
  <c r="AM334" i="4"/>
  <c r="AN334" i="4"/>
  <c r="AO334" i="4"/>
  <c r="AQ334" i="4"/>
  <c r="AR334" i="4"/>
  <c r="G335" i="4"/>
  <c r="AA335" i="4"/>
  <c r="AB335" i="4"/>
  <c r="AC335" i="4"/>
  <c r="AE335" i="4"/>
  <c r="AJ335" i="4"/>
  <c r="AK335" i="4"/>
  <c r="AP335" i="4" s="1"/>
  <c r="AL335" i="4"/>
  <c r="AM335" i="4"/>
  <c r="AN335" i="4"/>
  <c r="AO335" i="4"/>
  <c r="AQ335" i="4"/>
  <c r="AR335" i="4"/>
  <c r="G336" i="4"/>
  <c r="AA336" i="4"/>
  <c r="AB336" i="4"/>
  <c r="AC336" i="4"/>
  <c r="AL336" i="4" s="1"/>
  <c r="AE336" i="4"/>
  <c r="AJ336" i="4"/>
  <c r="AK336" i="4"/>
  <c r="AP336" i="4" s="1"/>
  <c r="AM336" i="4"/>
  <c r="AN336" i="4"/>
  <c r="AO336" i="4"/>
  <c r="AQ336" i="4"/>
  <c r="AR336" i="4"/>
  <c r="G337" i="4"/>
  <c r="AA337" i="4"/>
  <c r="AB337" i="4"/>
  <c r="AC337" i="4" s="1"/>
  <c r="AD337" i="4"/>
  <c r="AK337" i="4" s="1"/>
  <c r="AP337" i="4" s="1"/>
  <c r="AE337" i="4"/>
  <c r="AF337" i="4"/>
  <c r="AG337" i="4"/>
  <c r="AF338" i="4"/>
  <c r="AG338" i="4"/>
  <c r="AJ337" i="4"/>
  <c r="AL337" i="4"/>
  <c r="AM337" i="4"/>
  <c r="AN337" i="4"/>
  <c r="AO337" i="4"/>
  <c r="AQ337" i="4"/>
  <c r="AR337" i="4"/>
  <c r="G338" i="4"/>
  <c r="AA338" i="4"/>
  <c r="AB338" i="4"/>
  <c r="AC338" i="4" s="1"/>
  <c r="AL338" i="4" s="1"/>
  <c r="AE338" i="4"/>
  <c r="AJ338" i="4"/>
  <c r="AM338" i="4"/>
  <c r="AN338" i="4"/>
  <c r="AO338" i="4"/>
  <c r="AQ338" i="4"/>
  <c r="AR338" i="4"/>
  <c r="G339" i="4"/>
  <c r="AA339" i="4"/>
  <c r="AB339" i="4"/>
  <c r="AC339" i="4"/>
  <c r="AE339" i="4"/>
  <c r="AF339" i="4"/>
  <c r="AG339" i="4"/>
  <c r="AF340" i="4"/>
  <c r="AD340" i="4"/>
  <c r="AG340" i="4" s="1"/>
  <c r="AJ339" i="4"/>
  <c r="AK339" i="4" s="1"/>
  <c r="AP339" i="4" s="1"/>
  <c r="AM339" i="4"/>
  <c r="AN339" i="4"/>
  <c r="AO339" i="4"/>
  <c r="AQ339" i="4"/>
  <c r="AR339" i="4"/>
  <c r="G340" i="4"/>
  <c r="AA340" i="4"/>
  <c r="AB340" i="4"/>
  <c r="AC340" i="4"/>
  <c r="AE340" i="4"/>
  <c r="AJ340" i="4"/>
  <c r="AK340" i="4" s="1"/>
  <c r="AP340" i="4" s="1"/>
  <c r="AM340" i="4"/>
  <c r="AN340" i="4"/>
  <c r="AO340" i="4"/>
  <c r="AQ340" i="4"/>
  <c r="AR340" i="4"/>
  <c r="G341" i="4"/>
  <c r="AA341" i="4"/>
  <c r="AB341" i="4"/>
  <c r="AC341" i="4"/>
  <c r="AE341" i="4"/>
  <c r="AF341" i="4"/>
  <c r="AG341" i="4"/>
  <c r="AD342" i="4"/>
  <c r="AF342" i="4"/>
  <c r="AG342" i="4"/>
  <c r="AJ341" i="4"/>
  <c r="AK341" i="4"/>
  <c r="AP341" i="4" s="1"/>
  <c r="AM341" i="4"/>
  <c r="AN341" i="4"/>
  <c r="AO341" i="4"/>
  <c r="AQ341" i="4"/>
  <c r="AR341" i="4"/>
  <c r="G342" i="4"/>
  <c r="AA342" i="4"/>
  <c r="AB342" i="4"/>
  <c r="AC342" i="4"/>
  <c r="AE342" i="4"/>
  <c r="AJ342" i="4"/>
  <c r="AM342" i="4"/>
  <c r="AN342" i="4"/>
  <c r="AO342" i="4"/>
  <c r="AQ342" i="4"/>
  <c r="AR342" i="4"/>
  <c r="G343" i="4"/>
  <c r="AA343" i="4"/>
  <c r="AB343" i="4"/>
  <c r="AC343" i="4"/>
  <c r="AE343" i="4"/>
  <c r="AF343" i="4"/>
  <c r="AG343" i="4"/>
  <c r="AF344" i="4"/>
  <c r="AD344" i="4"/>
  <c r="AJ343" i="4"/>
  <c r="AM343" i="4"/>
  <c r="AN343" i="4"/>
  <c r="AO343" i="4"/>
  <c r="AQ343" i="4"/>
  <c r="AR343" i="4"/>
  <c r="G344" i="4"/>
  <c r="AA344" i="4"/>
  <c r="AB344" i="4"/>
  <c r="AC344" i="4" s="1"/>
  <c r="AE344" i="4"/>
  <c r="AJ344" i="4"/>
  <c r="AM344" i="4"/>
  <c r="AN344" i="4"/>
  <c r="AO344" i="4"/>
  <c r="AQ344" i="4"/>
  <c r="AR344" i="4"/>
  <c r="G345" i="4"/>
  <c r="AA345" i="4"/>
  <c r="AB345" i="4"/>
  <c r="AC345" i="4" s="1"/>
  <c r="AE345" i="4"/>
  <c r="AF345" i="4"/>
  <c r="AG345" i="4"/>
  <c r="AF346" i="4"/>
  <c r="AD347" i="4"/>
  <c r="AF347" i="4"/>
  <c r="AD346" i="4"/>
  <c r="AG346" i="4"/>
  <c r="AG347" i="4"/>
  <c r="AJ345" i="4"/>
  <c r="AK345" i="4" s="1"/>
  <c r="AL345" i="4"/>
  <c r="AM345" i="4"/>
  <c r="AN345" i="4"/>
  <c r="AO345" i="4"/>
  <c r="AP345" i="4"/>
  <c r="AQ345" i="4"/>
  <c r="AR345" i="4"/>
  <c r="G346" i="4"/>
  <c r="AA346" i="4"/>
  <c r="AB346" i="4"/>
  <c r="AC346" i="4" s="1"/>
  <c r="AE346" i="4"/>
  <c r="AJ346" i="4"/>
  <c r="AM346" i="4"/>
  <c r="AN346" i="4"/>
  <c r="AO346" i="4"/>
  <c r="AQ346" i="4"/>
  <c r="AR346" i="4"/>
  <c r="G347" i="4"/>
  <c r="AA347" i="4"/>
  <c r="AB347" i="4"/>
  <c r="AC347" i="4" s="1"/>
  <c r="AE347" i="4"/>
  <c r="AJ347" i="4"/>
  <c r="AL347" i="4"/>
  <c r="AM347" i="4"/>
  <c r="AN347" i="4"/>
  <c r="AO347" i="4"/>
  <c r="AQ347" i="4"/>
  <c r="AR347" i="4"/>
  <c r="G348" i="4"/>
  <c r="AA348" i="4"/>
  <c r="AB348" i="4"/>
  <c r="AC348" i="4" s="1"/>
  <c r="AD348" i="4"/>
  <c r="AE348" i="4"/>
  <c r="AF348" i="4"/>
  <c r="AI349" i="4" s="1"/>
  <c r="AG348" i="4"/>
  <c r="AF349" i="4"/>
  <c r="AD349" i="4"/>
  <c r="AG349" i="4" s="1"/>
  <c r="AI348" i="4"/>
  <c r="AJ348" i="4"/>
  <c r="AM348" i="4"/>
  <c r="AN348" i="4"/>
  <c r="AO348" i="4"/>
  <c r="AQ348" i="4"/>
  <c r="AR348" i="4"/>
  <c r="G349" i="4"/>
  <c r="AA349" i="4"/>
  <c r="AB349" i="4"/>
  <c r="AC349" i="4" s="1"/>
  <c r="AE349" i="4"/>
  <c r="AJ349" i="4"/>
  <c r="AK349" i="4"/>
  <c r="AP349" i="4" s="1"/>
  <c r="AM349" i="4"/>
  <c r="AN349" i="4"/>
  <c r="AO349" i="4"/>
  <c r="AQ349" i="4"/>
  <c r="AR349" i="4"/>
  <c r="G350" i="4"/>
  <c r="AA350" i="4"/>
  <c r="AB350" i="4"/>
  <c r="AC350" i="4"/>
  <c r="AD350" i="4"/>
  <c r="AG350" i="4" s="1"/>
  <c r="AE350" i="4"/>
  <c r="AF350" i="4"/>
  <c r="AF351" i="4"/>
  <c r="AG351" i="4"/>
  <c r="AJ350" i="4"/>
  <c r="AM350" i="4"/>
  <c r="AN350" i="4"/>
  <c r="AO350" i="4"/>
  <c r="AQ350" i="4"/>
  <c r="AR350" i="4"/>
  <c r="G351" i="4"/>
  <c r="AA351" i="4"/>
  <c r="AB351" i="4"/>
  <c r="AC351" i="4" s="1"/>
  <c r="AE351" i="4"/>
  <c r="AJ351" i="4"/>
  <c r="AM351" i="4"/>
  <c r="AN351" i="4"/>
  <c r="AO351" i="4"/>
  <c r="AQ351" i="4"/>
  <c r="AR351" i="4"/>
  <c r="G352" i="4"/>
  <c r="AA352" i="4"/>
  <c r="AB352" i="4"/>
  <c r="AC352" i="4" s="1"/>
  <c r="AL352" i="4" s="1"/>
  <c r="AD352" i="4"/>
  <c r="AE352" i="4"/>
  <c r="AF352" i="4"/>
  <c r="AG352" i="4"/>
  <c r="AD353" i="4"/>
  <c r="AF353" i="4"/>
  <c r="AG353" i="4"/>
  <c r="AJ352" i="4"/>
  <c r="AM352" i="4"/>
  <c r="AN352" i="4"/>
  <c r="AO352" i="4"/>
  <c r="AQ352" i="4"/>
  <c r="AR352" i="4"/>
  <c r="G353" i="4"/>
  <c r="AA353" i="4"/>
  <c r="AB353" i="4"/>
  <c r="AC353" i="4"/>
  <c r="AL353" i="4" s="1"/>
  <c r="AE353" i="4"/>
  <c r="AJ353" i="4"/>
  <c r="AK353" i="4"/>
  <c r="AP353" i="4" s="1"/>
  <c r="AM353" i="4"/>
  <c r="AN353" i="4"/>
  <c r="AO353" i="4"/>
  <c r="AQ353" i="4"/>
  <c r="AR353" i="4"/>
  <c r="G354" i="4"/>
  <c r="AA354" i="4"/>
  <c r="AB354" i="4"/>
  <c r="AC354" i="4" s="1"/>
  <c r="AD354" i="4"/>
  <c r="AF354" i="4" s="1"/>
  <c r="AE354" i="4"/>
  <c r="AG354" i="4"/>
  <c r="AF357" i="4"/>
  <c r="AF358" i="4"/>
  <c r="AD357" i="4"/>
  <c r="AG357" i="4" s="1"/>
  <c r="AG358" i="4"/>
  <c r="AJ354" i="4"/>
  <c r="AM354" i="4"/>
  <c r="AN354" i="4"/>
  <c r="AO354" i="4"/>
  <c r="AQ354" i="4"/>
  <c r="AR354" i="4"/>
  <c r="G355" i="4"/>
  <c r="AA355" i="4"/>
  <c r="AB355" i="4"/>
  <c r="AC355" i="4" s="1"/>
  <c r="AD355" i="4"/>
  <c r="AE355" i="4"/>
  <c r="AF355" i="4"/>
  <c r="AG355" i="4"/>
  <c r="AF356" i="4"/>
  <c r="AF359" i="4"/>
  <c r="AD356" i="4"/>
  <c r="AG356" i="4"/>
  <c r="AG359" i="4"/>
  <c r="AJ355" i="4"/>
  <c r="AM355" i="4"/>
  <c r="AN355" i="4"/>
  <c r="AO355" i="4"/>
  <c r="AQ355" i="4"/>
  <c r="AR355" i="4"/>
  <c r="G356" i="4"/>
  <c r="AA356" i="4"/>
  <c r="AB356" i="4"/>
  <c r="AC356" i="4" s="1"/>
  <c r="AE356" i="4"/>
  <c r="AJ356" i="4"/>
  <c r="AM356" i="4"/>
  <c r="AN356" i="4"/>
  <c r="AO356" i="4"/>
  <c r="AQ356" i="4"/>
  <c r="AR356" i="4"/>
  <c r="G357" i="4"/>
  <c r="AA357" i="4"/>
  <c r="AB357" i="4"/>
  <c r="AC357" i="4" s="1"/>
  <c r="AE357" i="4"/>
  <c r="AJ357" i="4"/>
  <c r="AM357" i="4"/>
  <c r="AN357" i="4"/>
  <c r="AO357" i="4"/>
  <c r="AQ357" i="4"/>
  <c r="AR357" i="4"/>
  <c r="G358" i="4"/>
  <c r="AA358" i="4"/>
  <c r="AB358" i="4"/>
  <c r="AC358" i="4" s="1"/>
  <c r="AL358" i="4" s="1"/>
  <c r="AE358" i="4"/>
  <c r="AJ358" i="4"/>
  <c r="AM358" i="4"/>
  <c r="AN358" i="4"/>
  <c r="AO358" i="4"/>
  <c r="AQ358" i="4"/>
  <c r="AR358" i="4"/>
  <c r="G359" i="4"/>
  <c r="AA359" i="4"/>
  <c r="AB359" i="4"/>
  <c r="AC359" i="4"/>
  <c r="AE359" i="4"/>
  <c r="AJ359" i="4"/>
  <c r="AM359" i="4"/>
  <c r="AN359" i="4"/>
  <c r="AO359" i="4"/>
  <c r="AQ359" i="4"/>
  <c r="AR359" i="4"/>
  <c r="G360" i="4"/>
  <c r="AA360" i="4"/>
  <c r="AB360" i="4"/>
  <c r="AC360" i="4"/>
  <c r="AE360" i="4"/>
  <c r="AF360" i="4"/>
  <c r="AG360" i="4"/>
  <c r="AF361" i="4"/>
  <c r="AD361" i="4"/>
  <c r="AG361" i="4" s="1"/>
  <c r="AJ360" i="4"/>
  <c r="AK360" i="4"/>
  <c r="AP360" i="4" s="1"/>
  <c r="AM360" i="4"/>
  <c r="AN360" i="4"/>
  <c r="AO360" i="4"/>
  <c r="AQ360" i="4"/>
  <c r="AR360" i="4"/>
  <c r="G361" i="4"/>
  <c r="AA361" i="4"/>
  <c r="AB361" i="4"/>
  <c r="AC361" i="4"/>
  <c r="AE361" i="4"/>
  <c r="AJ361" i="4"/>
  <c r="AM361" i="4"/>
  <c r="AN361" i="4"/>
  <c r="AO361" i="4"/>
  <c r="AQ361" i="4"/>
  <c r="AR361" i="4"/>
  <c r="G362" i="4"/>
  <c r="AA362" i="4"/>
  <c r="AB362" i="4"/>
  <c r="AC362" i="4" s="1"/>
  <c r="AD362" i="4"/>
  <c r="AE362" i="4"/>
  <c r="AF362" i="4"/>
  <c r="AJ362" i="4"/>
  <c r="AM362" i="4"/>
  <c r="AN362" i="4"/>
  <c r="AO362" i="4"/>
  <c r="AQ362" i="4"/>
  <c r="AR362" i="4"/>
  <c r="G363" i="4"/>
  <c r="AA363" i="4"/>
  <c r="AB363" i="4"/>
  <c r="AC363" i="4" s="1"/>
  <c r="AE363" i="4"/>
  <c r="AF363" i="4"/>
  <c r="AG363" i="4"/>
  <c r="AF364" i="4"/>
  <c r="AD365" i="4"/>
  <c r="AF365" i="4" s="1"/>
  <c r="AD364" i="4"/>
  <c r="AG365" i="4"/>
  <c r="AJ363" i="4"/>
  <c r="AK363" i="4"/>
  <c r="AP363" i="4" s="1"/>
  <c r="AM363" i="4"/>
  <c r="AN363" i="4"/>
  <c r="AO363" i="4"/>
  <c r="AQ363" i="4"/>
  <c r="AR363" i="4"/>
  <c r="G364" i="4"/>
  <c r="AA364" i="4"/>
  <c r="AB364" i="4"/>
  <c r="AC364" i="4" s="1"/>
  <c r="AE364" i="4"/>
  <c r="AJ364" i="4"/>
  <c r="AM364" i="4"/>
  <c r="AN364" i="4"/>
  <c r="AO364" i="4"/>
  <c r="AQ364" i="4"/>
  <c r="AR364" i="4"/>
  <c r="G365" i="4"/>
  <c r="AA365" i="4"/>
  <c r="AB365" i="4"/>
  <c r="AC365" i="4" s="1"/>
  <c r="AE365" i="4"/>
  <c r="AJ365" i="4"/>
  <c r="AK365" i="4" s="1"/>
  <c r="AP365" i="4" s="1"/>
  <c r="AM365" i="4"/>
  <c r="AN365" i="4"/>
  <c r="AO365" i="4"/>
  <c r="AQ365" i="4"/>
  <c r="AR365" i="4"/>
  <c r="G366" i="4"/>
  <c r="AA366" i="4"/>
  <c r="AB366" i="4"/>
  <c r="AC366" i="4" s="1"/>
  <c r="AD366" i="4"/>
  <c r="AE366" i="4"/>
  <c r="AF366" i="4"/>
  <c r="AI366" i="4" s="1"/>
  <c r="AG366" i="4"/>
  <c r="AJ366" i="4"/>
  <c r="AL366" i="4" s="1"/>
  <c r="AK366" i="4"/>
  <c r="AP366" i="4" s="1"/>
  <c r="AM366" i="4"/>
  <c r="AN366" i="4"/>
  <c r="AO366" i="4"/>
  <c r="AQ366" i="4"/>
  <c r="AR366" i="4"/>
  <c r="G367" i="4"/>
  <c r="AA367" i="4"/>
  <c r="AB367" i="4"/>
  <c r="AC367" i="4" s="1"/>
  <c r="AE367" i="4"/>
  <c r="AF367" i="4"/>
  <c r="AG367" i="4"/>
  <c r="AF368" i="4"/>
  <c r="AD368" i="4"/>
  <c r="AG368" i="4" s="1"/>
  <c r="AJ367" i="4"/>
  <c r="AM367" i="4"/>
  <c r="AN367" i="4"/>
  <c r="AO367" i="4"/>
  <c r="AQ367" i="4"/>
  <c r="AR367" i="4"/>
  <c r="G368" i="4"/>
  <c r="AA368" i="4"/>
  <c r="AB368" i="4"/>
  <c r="AC368" i="4"/>
  <c r="AE368" i="4"/>
  <c r="AJ368" i="4"/>
  <c r="AL368" i="4"/>
  <c r="AM368" i="4"/>
  <c r="AN368" i="4"/>
  <c r="AO368" i="4"/>
  <c r="AQ368" i="4"/>
  <c r="AR368" i="4"/>
  <c r="G369" i="4"/>
  <c r="AA369" i="4"/>
  <c r="AB369" i="4"/>
  <c r="AC369" i="4"/>
  <c r="AL369" i="4" s="1"/>
  <c r="AD369" i="4"/>
  <c r="AE369" i="4"/>
  <c r="AF369" i="4"/>
  <c r="AF370" i="4"/>
  <c r="AD371" i="4"/>
  <c r="AF371" i="4" s="1"/>
  <c r="AG370" i="4"/>
  <c r="AG371" i="4"/>
  <c r="AJ369" i="4"/>
  <c r="AM369" i="4"/>
  <c r="AN369" i="4"/>
  <c r="AO369" i="4"/>
  <c r="AQ369" i="4"/>
  <c r="AR369" i="4"/>
  <c r="G370" i="4"/>
  <c r="AA370" i="4"/>
  <c r="AB370" i="4"/>
  <c r="AC370" i="4" s="1"/>
  <c r="AE370" i="4"/>
  <c r="AJ370" i="4"/>
  <c r="AK370" i="4"/>
  <c r="AP370" i="4" s="1"/>
  <c r="AM370" i="4"/>
  <c r="AN370" i="4"/>
  <c r="AO370" i="4"/>
  <c r="AQ370" i="4"/>
  <c r="AR370" i="4"/>
  <c r="G371" i="4"/>
  <c r="AA371" i="4"/>
  <c r="AB371" i="4"/>
  <c r="AC371" i="4" s="1"/>
  <c r="AE371" i="4"/>
  <c r="AJ371" i="4"/>
  <c r="AK371" i="4"/>
  <c r="AP371" i="4" s="1"/>
  <c r="AM371" i="4"/>
  <c r="AN371" i="4"/>
  <c r="AO371" i="4"/>
  <c r="AQ371" i="4"/>
  <c r="AR371" i="4"/>
  <c r="G372" i="4"/>
  <c r="AA372" i="4"/>
  <c r="AB372" i="4"/>
  <c r="AC372" i="4"/>
  <c r="AL372" i="4" s="1"/>
  <c r="AD372" i="4"/>
  <c r="AE372" i="4"/>
  <c r="AF372" i="4"/>
  <c r="AG372" i="4"/>
  <c r="AF373" i="4"/>
  <c r="AG373" i="4"/>
  <c r="AJ372" i="4"/>
  <c r="AM372" i="4"/>
  <c r="AN372" i="4"/>
  <c r="AO372" i="4"/>
  <c r="AQ372" i="4"/>
  <c r="AR372" i="4"/>
  <c r="G373" i="4"/>
  <c r="AA373" i="4"/>
  <c r="AB373" i="4"/>
  <c r="AC373" i="4" s="1"/>
  <c r="AL373" i="4" s="1"/>
  <c r="AE373" i="4"/>
  <c r="AJ373" i="4"/>
  <c r="AM373" i="4"/>
  <c r="AN373" i="4"/>
  <c r="AO373" i="4"/>
  <c r="AQ373" i="4"/>
  <c r="AR373" i="4"/>
  <c r="G374" i="4"/>
  <c r="AA374" i="4"/>
  <c r="AB374" i="4"/>
  <c r="AC374" i="4" s="1"/>
  <c r="AD374" i="4"/>
  <c r="AG374" i="4" s="1"/>
  <c r="AE374" i="4"/>
  <c r="AF374" i="4"/>
  <c r="AD375" i="4"/>
  <c r="AK375" i="4" s="1"/>
  <c r="AP375" i="4" s="1"/>
  <c r="AG375" i="4"/>
  <c r="AJ374" i="4"/>
  <c r="AK374" i="4" s="1"/>
  <c r="AP374" i="4" s="1"/>
  <c r="AM374" i="4"/>
  <c r="AN374" i="4"/>
  <c r="AO374" i="4"/>
  <c r="AQ374" i="4"/>
  <c r="AR374" i="4"/>
  <c r="G375" i="4"/>
  <c r="AA375" i="4"/>
  <c r="AB375" i="4"/>
  <c r="AC375" i="4" s="1"/>
  <c r="AL375" i="4" s="1"/>
  <c r="AE375" i="4"/>
  <c r="AJ375" i="4"/>
  <c r="AM375" i="4"/>
  <c r="AN375" i="4"/>
  <c r="AO375" i="4"/>
  <c r="AQ375" i="4"/>
  <c r="AR375" i="4"/>
  <c r="G376" i="4"/>
  <c r="AA376" i="4"/>
  <c r="AB376" i="4"/>
  <c r="AC376" i="4" s="1"/>
  <c r="AD376" i="4"/>
  <c r="AE376" i="4"/>
  <c r="AF376" i="4"/>
  <c r="AG376" i="4"/>
  <c r="AF377" i="4"/>
  <c r="AG377" i="4"/>
  <c r="AJ376" i="4"/>
  <c r="AK376" i="4" s="1"/>
  <c r="AP376" i="4" s="1"/>
  <c r="AM376" i="4"/>
  <c r="AN376" i="4"/>
  <c r="AO376" i="4"/>
  <c r="AQ376" i="4"/>
  <c r="AR376" i="4"/>
  <c r="G377" i="4"/>
  <c r="AA377" i="4"/>
  <c r="AB377" i="4"/>
  <c r="AC377" i="4"/>
  <c r="AE377" i="4"/>
  <c r="AJ377" i="4"/>
  <c r="AM377" i="4"/>
  <c r="AN377" i="4"/>
  <c r="AO377" i="4"/>
  <c r="AQ377" i="4"/>
  <c r="AR377" i="4"/>
  <c r="G378" i="4"/>
  <c r="AA378" i="4"/>
  <c r="AB378" i="4"/>
  <c r="AC378" i="4" s="1"/>
  <c r="AE378" i="4"/>
  <c r="AF378" i="4"/>
  <c r="AG378" i="4"/>
  <c r="AJ378" i="4"/>
  <c r="AK378" i="4" s="1"/>
  <c r="AP378" i="4" s="1"/>
  <c r="AM378" i="4"/>
  <c r="AN378" i="4"/>
  <c r="AO378" i="4"/>
  <c r="AQ378" i="4"/>
  <c r="AR378" i="4"/>
  <c r="G379" i="4"/>
  <c r="AA379" i="4"/>
  <c r="AB379" i="4"/>
  <c r="AC379" i="4" s="1"/>
  <c r="AE379" i="4"/>
  <c r="AF379" i="4"/>
  <c r="AG379" i="4"/>
  <c r="AF382" i="4"/>
  <c r="AD383" i="4"/>
  <c r="AK383" i="4" s="1"/>
  <c r="AD382" i="4"/>
  <c r="AG383" i="4"/>
  <c r="AJ379" i="4"/>
  <c r="AK379" i="4"/>
  <c r="AP379" i="4" s="1"/>
  <c r="AM379" i="4"/>
  <c r="AN379" i="4"/>
  <c r="AO379" i="4"/>
  <c r="AQ379" i="4"/>
  <c r="AR379" i="4"/>
  <c r="G380" i="4"/>
  <c r="AA380" i="4"/>
  <c r="AB380" i="4"/>
  <c r="AC380" i="4" s="1"/>
  <c r="AE380" i="4"/>
  <c r="AF380" i="4"/>
  <c r="AG380" i="4"/>
  <c r="AF381" i="4"/>
  <c r="AD381" i="4"/>
  <c r="AG381" i="4" s="1"/>
  <c r="AI380" i="4"/>
  <c r="AJ380" i="4"/>
  <c r="AM380" i="4"/>
  <c r="AN380" i="4"/>
  <c r="AO380" i="4"/>
  <c r="AQ380" i="4"/>
  <c r="AR380" i="4"/>
  <c r="G381" i="4"/>
  <c r="AA381" i="4"/>
  <c r="AB381" i="4"/>
  <c r="AC381" i="4" s="1"/>
  <c r="AE381" i="4"/>
  <c r="AJ381" i="4"/>
  <c r="AK381" i="4" s="1"/>
  <c r="AP381" i="4" s="1"/>
  <c r="AL381" i="4"/>
  <c r="AM381" i="4"/>
  <c r="AN381" i="4"/>
  <c r="AO381" i="4"/>
  <c r="AQ381" i="4"/>
  <c r="AR381" i="4"/>
  <c r="G382" i="4"/>
  <c r="AA382" i="4"/>
  <c r="AB382" i="4"/>
  <c r="AC382" i="4"/>
  <c r="AE382" i="4"/>
  <c r="AJ382" i="4"/>
  <c r="AM382" i="4"/>
  <c r="AN382" i="4"/>
  <c r="AO382" i="4"/>
  <c r="AQ382" i="4"/>
  <c r="AR382" i="4"/>
  <c r="G383" i="4"/>
  <c r="AA383" i="4"/>
  <c r="AB383" i="4"/>
  <c r="AC383" i="4" s="1"/>
  <c r="AE383" i="4"/>
  <c r="AJ383" i="4"/>
  <c r="AM383" i="4"/>
  <c r="AN383" i="4"/>
  <c r="AO383" i="4"/>
  <c r="AP383" i="4"/>
  <c r="AQ383" i="4"/>
  <c r="AR383" i="4"/>
  <c r="G384" i="4"/>
  <c r="AA384" i="4"/>
  <c r="AB384" i="4"/>
  <c r="AC384" i="4" s="1"/>
  <c r="AE384" i="4"/>
  <c r="AF384" i="4"/>
  <c r="AG384" i="4"/>
  <c r="AF385" i="4"/>
  <c r="AD385" i="4"/>
  <c r="AG385" i="4"/>
  <c r="AJ384" i="4"/>
  <c r="AL384" i="4" s="1"/>
  <c r="AM384" i="4"/>
  <c r="AN384" i="4"/>
  <c r="AO384" i="4"/>
  <c r="AQ384" i="4"/>
  <c r="AR384" i="4"/>
  <c r="G385" i="4"/>
  <c r="AA385" i="4"/>
  <c r="AB385" i="4"/>
  <c r="AC385" i="4"/>
  <c r="AE385" i="4"/>
  <c r="AJ385" i="4"/>
  <c r="AK385" i="4" s="1"/>
  <c r="AP385" i="4" s="1"/>
  <c r="AM385" i="4"/>
  <c r="AN385" i="4"/>
  <c r="AO385" i="4"/>
  <c r="AQ385" i="4"/>
  <c r="AR385" i="4"/>
  <c r="G386" i="4"/>
  <c r="AA386" i="4"/>
  <c r="AB386" i="4"/>
  <c r="AC386" i="4" s="1"/>
  <c r="AD386" i="4"/>
  <c r="AG386" i="4" s="1"/>
  <c r="AE386" i="4"/>
  <c r="AF386" i="4"/>
  <c r="AF390" i="4"/>
  <c r="AD391" i="4"/>
  <c r="AF391" i="4" s="1"/>
  <c r="AG390" i="4"/>
  <c r="AG391" i="4"/>
  <c r="AJ386" i="4"/>
  <c r="AL386" i="4"/>
  <c r="AM386" i="4"/>
  <c r="AN386" i="4"/>
  <c r="AO386" i="4"/>
  <c r="AQ386" i="4"/>
  <c r="AR386" i="4"/>
  <c r="G387" i="4"/>
  <c r="AA387" i="4"/>
  <c r="AB387" i="4"/>
  <c r="AC387" i="4" s="1"/>
  <c r="AD387" i="4"/>
  <c r="AE387" i="4"/>
  <c r="AF387" i="4"/>
  <c r="AG387" i="4"/>
  <c r="AF389" i="4"/>
  <c r="AD392" i="4"/>
  <c r="AF392" i="4"/>
  <c r="AG389" i="4"/>
  <c r="AG392" i="4"/>
  <c r="AJ387" i="4"/>
  <c r="AK387" i="4"/>
  <c r="AP387" i="4" s="1"/>
  <c r="AM387" i="4"/>
  <c r="AN387" i="4"/>
  <c r="AO387" i="4"/>
  <c r="AQ387" i="4"/>
  <c r="AR387" i="4"/>
  <c r="G388" i="4"/>
  <c r="AA388" i="4"/>
  <c r="AB388" i="4"/>
  <c r="AC388" i="4" s="1"/>
  <c r="AL388" i="4" s="1"/>
  <c r="AD388" i="4"/>
  <c r="AG388" i="4" s="1"/>
  <c r="AI393" i="4" s="1"/>
  <c r="AE388" i="4"/>
  <c r="AF388" i="4"/>
  <c r="AD393" i="4"/>
  <c r="AF393" i="4" s="1"/>
  <c r="AG393" i="4"/>
  <c r="AJ388" i="4"/>
  <c r="AM388" i="4"/>
  <c r="AN388" i="4"/>
  <c r="AO388" i="4"/>
  <c r="AQ388" i="4"/>
  <c r="AR388" i="4"/>
  <c r="G389" i="4"/>
  <c r="AA389" i="4"/>
  <c r="AB389" i="4"/>
  <c r="AC389" i="4" s="1"/>
  <c r="AE389" i="4"/>
  <c r="AJ389" i="4"/>
  <c r="AK389" i="4" s="1"/>
  <c r="AP389" i="4" s="1"/>
  <c r="AM389" i="4"/>
  <c r="AN389" i="4"/>
  <c r="AO389" i="4"/>
  <c r="AQ389" i="4"/>
  <c r="AR389" i="4"/>
  <c r="G390" i="4"/>
  <c r="AA390" i="4"/>
  <c r="AB390" i="4"/>
  <c r="AC390" i="4" s="1"/>
  <c r="AE390" i="4"/>
  <c r="AJ390" i="4"/>
  <c r="AM390" i="4"/>
  <c r="AN390" i="4"/>
  <c r="AO390" i="4"/>
  <c r="AQ390" i="4"/>
  <c r="AR390" i="4"/>
  <c r="G391" i="4"/>
  <c r="AA391" i="4"/>
  <c r="AB391" i="4"/>
  <c r="AC391" i="4"/>
  <c r="AE391" i="4"/>
  <c r="AJ391" i="4"/>
  <c r="AM391" i="4"/>
  <c r="AN391" i="4"/>
  <c r="AO391" i="4"/>
  <c r="AQ391" i="4"/>
  <c r="AR391" i="4"/>
  <c r="G392" i="4"/>
  <c r="AA392" i="4"/>
  <c r="AB392" i="4"/>
  <c r="AC392" i="4" s="1"/>
  <c r="AE392" i="4"/>
  <c r="AJ392" i="4"/>
  <c r="AM392" i="4"/>
  <c r="AN392" i="4"/>
  <c r="AO392" i="4"/>
  <c r="AQ392" i="4"/>
  <c r="AR392" i="4"/>
  <c r="G393" i="4"/>
  <c r="AA393" i="4"/>
  <c r="AB393" i="4"/>
  <c r="AC393" i="4"/>
  <c r="AE393" i="4"/>
  <c r="AJ393" i="4"/>
  <c r="AM393" i="4"/>
  <c r="AN393" i="4"/>
  <c r="AO393" i="4"/>
  <c r="AQ393" i="4"/>
  <c r="AR393" i="4"/>
  <c r="G394" i="4"/>
  <c r="AA394" i="4"/>
  <c r="AB394" i="4"/>
  <c r="AC394" i="4"/>
  <c r="AD394" i="4"/>
  <c r="AF394" i="4" s="1"/>
  <c r="AE394" i="4"/>
  <c r="AG394" i="4"/>
  <c r="AF398" i="4"/>
  <c r="AF399" i="4"/>
  <c r="AG398" i="4"/>
  <c r="AD399" i="4"/>
  <c r="AG399" i="4" s="1"/>
  <c r="AJ394" i="4"/>
  <c r="AM394" i="4"/>
  <c r="AN394" i="4"/>
  <c r="AO394" i="4"/>
  <c r="AQ394" i="4"/>
  <c r="AR394" i="4"/>
  <c r="G395" i="4"/>
  <c r="AA395" i="4"/>
  <c r="AB395" i="4"/>
  <c r="AC395" i="4"/>
  <c r="AD395" i="4"/>
  <c r="AF395" i="4" s="1"/>
  <c r="AE395" i="4"/>
  <c r="AG395" i="4"/>
  <c r="AF397" i="4"/>
  <c r="AF400" i="4"/>
  <c r="AG397" i="4"/>
  <c r="AD400" i="4"/>
  <c r="AG400" i="4" s="1"/>
  <c r="AJ395" i="4"/>
  <c r="AK395" i="4" s="1"/>
  <c r="AL395" i="4"/>
  <c r="AM395" i="4"/>
  <c r="AN395" i="4"/>
  <c r="AO395" i="4"/>
  <c r="AP395" i="4"/>
  <c r="AQ395" i="4"/>
  <c r="AR395" i="4"/>
  <c r="G396" i="4"/>
  <c r="AA396" i="4"/>
  <c r="AB396" i="4"/>
  <c r="AC396" i="4" s="1"/>
  <c r="AL396" i="4" s="1"/>
  <c r="AE396" i="4"/>
  <c r="AF396" i="4"/>
  <c r="AG396" i="4"/>
  <c r="AF401" i="4"/>
  <c r="AD401" i="4"/>
  <c r="AG401" i="4" s="1"/>
  <c r="AJ396" i="4"/>
  <c r="AK396" i="4" s="1"/>
  <c r="AM396" i="4"/>
  <c r="AN396" i="4"/>
  <c r="AO396" i="4"/>
  <c r="AP396" i="4"/>
  <c r="AQ396" i="4"/>
  <c r="AR396" i="4"/>
  <c r="G397" i="4"/>
  <c r="AA397" i="4"/>
  <c r="AB397" i="4"/>
  <c r="AC397" i="4" s="1"/>
  <c r="AE397" i="4"/>
  <c r="AJ397" i="4"/>
  <c r="AM397" i="4"/>
  <c r="AN397" i="4"/>
  <c r="AO397" i="4"/>
  <c r="AQ397" i="4"/>
  <c r="AR397" i="4"/>
  <c r="G398" i="4"/>
  <c r="AA398" i="4"/>
  <c r="AB398" i="4"/>
  <c r="AC398" i="4" s="1"/>
  <c r="AE398" i="4"/>
  <c r="AJ398" i="4"/>
  <c r="AM398" i="4"/>
  <c r="AN398" i="4"/>
  <c r="AO398" i="4"/>
  <c r="AQ398" i="4"/>
  <c r="AR398" i="4"/>
  <c r="G399" i="4"/>
  <c r="AA399" i="4"/>
  <c r="AB399" i="4"/>
  <c r="AC399" i="4" s="1"/>
  <c r="AE399" i="4"/>
  <c r="AJ399" i="4"/>
  <c r="AM399" i="4"/>
  <c r="AN399" i="4"/>
  <c r="AO399" i="4"/>
  <c r="AQ399" i="4"/>
  <c r="AR399" i="4"/>
  <c r="G400" i="4"/>
  <c r="AA400" i="4"/>
  <c r="AB400" i="4"/>
  <c r="AC400" i="4"/>
  <c r="AE400" i="4"/>
  <c r="AJ400" i="4"/>
  <c r="AM400" i="4"/>
  <c r="AN400" i="4"/>
  <c r="AO400" i="4"/>
  <c r="AQ400" i="4"/>
  <c r="AR400" i="4"/>
  <c r="G401" i="4"/>
  <c r="AA401" i="4"/>
  <c r="AB401" i="4"/>
  <c r="AC401" i="4"/>
  <c r="AE401" i="4"/>
  <c r="AJ401" i="4"/>
  <c r="AK401" i="4" s="1"/>
  <c r="AP401" i="4" s="1"/>
  <c r="AM401" i="4"/>
  <c r="AN401" i="4"/>
  <c r="AO401" i="4"/>
  <c r="AQ401" i="4"/>
  <c r="AR401" i="4"/>
  <c r="G402" i="4"/>
  <c r="AA402" i="4"/>
  <c r="AB402" i="4"/>
  <c r="AC402" i="4"/>
  <c r="AD402" i="4"/>
  <c r="AE402" i="4"/>
  <c r="AF402" i="4"/>
  <c r="AG402" i="4"/>
  <c r="AJ402" i="4"/>
  <c r="AM402" i="4"/>
  <c r="AN402" i="4"/>
  <c r="AO402" i="4"/>
  <c r="AQ402" i="4"/>
  <c r="AR402" i="4"/>
  <c r="G403" i="4"/>
  <c r="AA403" i="4"/>
  <c r="AB403" i="4"/>
  <c r="AC403" i="4" s="1"/>
  <c r="AD403" i="4"/>
  <c r="AG403" i="4" s="1"/>
  <c r="AE403" i="4"/>
  <c r="AF403" i="4"/>
  <c r="AF404" i="4"/>
  <c r="AG404" i="4"/>
  <c r="AJ403" i="4"/>
  <c r="AK403" i="4" s="1"/>
  <c r="AP403" i="4" s="1"/>
  <c r="AM403" i="4"/>
  <c r="AN403" i="4"/>
  <c r="AO403" i="4"/>
  <c r="AQ403" i="4"/>
  <c r="AR403" i="4"/>
  <c r="G404" i="4"/>
  <c r="AA404" i="4"/>
  <c r="AB404" i="4"/>
  <c r="AC404" i="4" s="1"/>
  <c r="AL404" i="4" s="1"/>
  <c r="AE404" i="4"/>
  <c r="AJ404" i="4"/>
  <c r="AK404" i="4" s="1"/>
  <c r="AP404" i="4" s="1"/>
  <c r="AM404" i="4"/>
  <c r="AN404" i="4"/>
  <c r="AO404" i="4"/>
  <c r="AQ404" i="4"/>
  <c r="AR404" i="4"/>
  <c r="G405" i="4"/>
  <c r="AA405" i="4"/>
  <c r="AB405" i="4"/>
  <c r="AC405" i="4" s="1"/>
  <c r="AD405" i="4"/>
  <c r="AE405" i="4"/>
  <c r="AF405" i="4"/>
  <c r="AG405" i="4"/>
  <c r="AJ405" i="4"/>
  <c r="AM405" i="4"/>
  <c r="AN405" i="4"/>
  <c r="AO405" i="4"/>
  <c r="AQ405" i="4"/>
  <c r="AR405" i="4"/>
  <c r="G406" i="4"/>
  <c r="AA406" i="4"/>
  <c r="AB406" i="4"/>
  <c r="AC406" i="4" s="1"/>
  <c r="AD406" i="4"/>
  <c r="AE406" i="4"/>
  <c r="AF406" i="4"/>
  <c r="AG406" i="4"/>
  <c r="AF407" i="4"/>
  <c r="AG407" i="4"/>
  <c r="AJ406" i="4"/>
  <c r="AM406" i="4"/>
  <c r="AN406" i="4"/>
  <c r="AO406" i="4"/>
  <c r="AQ406" i="4"/>
  <c r="AR406" i="4"/>
  <c r="G407" i="4"/>
  <c r="AA407" i="4"/>
  <c r="AB407" i="4"/>
  <c r="AC407" i="4"/>
  <c r="AL407" i="4" s="1"/>
  <c r="AE407" i="4"/>
  <c r="AJ407" i="4"/>
  <c r="AK407" i="4"/>
  <c r="AP407" i="4" s="1"/>
  <c r="AM407" i="4"/>
  <c r="AN407" i="4"/>
  <c r="AO407" i="4"/>
  <c r="AQ407" i="4"/>
  <c r="AR407" i="4"/>
  <c r="G408" i="4"/>
  <c r="AA408" i="4"/>
  <c r="AB408" i="4"/>
  <c r="AC408" i="4" s="1"/>
  <c r="AE408" i="4"/>
  <c r="AF408" i="4"/>
  <c r="AG408" i="4"/>
  <c r="AF409" i="4"/>
  <c r="AD409" i="4"/>
  <c r="AG409" i="4"/>
  <c r="AJ408" i="4"/>
  <c r="AK408" i="4"/>
  <c r="AP408" i="4" s="1"/>
  <c r="AL408" i="4"/>
  <c r="AM408" i="4"/>
  <c r="AN408" i="4"/>
  <c r="AO408" i="4"/>
  <c r="AQ408" i="4"/>
  <c r="AR408" i="4"/>
  <c r="G409" i="4"/>
  <c r="AA409" i="4"/>
  <c r="AB409" i="4"/>
  <c r="AC409" i="4" s="1"/>
  <c r="AE409" i="4"/>
  <c r="AJ409" i="4"/>
  <c r="AM409" i="4"/>
  <c r="AN409" i="4"/>
  <c r="AO409" i="4"/>
  <c r="AQ409" i="4"/>
  <c r="AR409" i="4"/>
  <c r="G410" i="4"/>
  <c r="AA410" i="4"/>
  <c r="AB410" i="4"/>
  <c r="AC410" i="4"/>
  <c r="AL410" i="4" s="1"/>
  <c r="AD410" i="4"/>
  <c r="AE410" i="4"/>
  <c r="AF410" i="4"/>
  <c r="AG410" i="4"/>
  <c r="AF411" i="4"/>
  <c r="AG411" i="4"/>
  <c r="AJ410" i="4"/>
  <c r="AK410" i="4"/>
  <c r="AP410" i="4" s="1"/>
  <c r="AM410" i="4"/>
  <c r="AN410" i="4"/>
  <c r="AO410" i="4"/>
  <c r="AQ410" i="4"/>
  <c r="AR410" i="4"/>
  <c r="G411" i="4"/>
  <c r="AA411" i="4"/>
  <c r="AB411" i="4"/>
  <c r="AC411" i="4" s="1"/>
  <c r="AE411" i="4"/>
  <c r="AJ411" i="4"/>
  <c r="AM411" i="4"/>
  <c r="AN411" i="4"/>
  <c r="AO411" i="4"/>
  <c r="AQ411" i="4"/>
  <c r="AR411" i="4"/>
  <c r="G412" i="4"/>
  <c r="AA412" i="4"/>
  <c r="AB412" i="4"/>
  <c r="AC412" i="4"/>
  <c r="AE412" i="4"/>
  <c r="AF412" i="4"/>
  <c r="AG412" i="4"/>
  <c r="AF413" i="4"/>
  <c r="AD413" i="4"/>
  <c r="AG413" i="4"/>
  <c r="AJ412" i="4"/>
  <c r="AK412" i="4" s="1"/>
  <c r="AP412" i="4" s="1"/>
  <c r="AM412" i="4"/>
  <c r="AN412" i="4"/>
  <c r="AO412" i="4"/>
  <c r="AQ412" i="4"/>
  <c r="AR412" i="4"/>
  <c r="G413" i="4"/>
  <c r="AA413" i="4"/>
  <c r="AB413" i="4"/>
  <c r="AC413" i="4" s="1"/>
  <c r="AL413" i="4" s="1"/>
  <c r="AE413" i="4"/>
  <c r="AJ413" i="4"/>
  <c r="AK413" i="4" s="1"/>
  <c r="AP413" i="4" s="1"/>
  <c r="AM413" i="4"/>
  <c r="AN413" i="4"/>
  <c r="AO413" i="4"/>
  <c r="AQ413" i="4"/>
  <c r="AR413" i="4"/>
  <c r="G414" i="4"/>
  <c r="AA414" i="4"/>
  <c r="AB414" i="4"/>
  <c r="AC414" i="4" s="1"/>
  <c r="AL414" i="4" s="1"/>
  <c r="AD414" i="4"/>
  <c r="AG414" i="4" s="1"/>
  <c r="AE414" i="4"/>
  <c r="AF414" i="4"/>
  <c r="AF415" i="4"/>
  <c r="AG415" i="4"/>
  <c r="AJ414" i="4"/>
  <c r="AK414" i="4" s="1"/>
  <c r="AP414" i="4" s="1"/>
  <c r="AM414" i="4"/>
  <c r="AN414" i="4"/>
  <c r="AO414" i="4"/>
  <c r="AQ414" i="4"/>
  <c r="AR414" i="4"/>
  <c r="G415" i="4"/>
  <c r="AA415" i="4"/>
  <c r="AB415" i="4"/>
  <c r="AC415" i="4"/>
  <c r="AE415" i="4"/>
  <c r="AI415" i="4"/>
  <c r="AJ415" i="4"/>
  <c r="AM415" i="4"/>
  <c r="AN415" i="4"/>
  <c r="AO415" i="4"/>
  <c r="AQ415" i="4"/>
  <c r="AR415" i="4"/>
  <c r="G416" i="4"/>
  <c r="AA416" i="4"/>
  <c r="AB416" i="4"/>
  <c r="AC416" i="4" s="1"/>
  <c r="AE416" i="4"/>
  <c r="AF416" i="4"/>
  <c r="AG416" i="4"/>
  <c r="AF417" i="4"/>
  <c r="AD417" i="4"/>
  <c r="AG417" i="4" s="1"/>
  <c r="AJ416" i="4"/>
  <c r="AM416" i="4"/>
  <c r="AN416" i="4"/>
  <c r="AO416" i="4"/>
  <c r="AQ416" i="4"/>
  <c r="AR416" i="4"/>
  <c r="G417" i="4"/>
  <c r="AA417" i="4"/>
  <c r="AB417" i="4"/>
  <c r="AC417" i="4"/>
  <c r="AL417" i="4" s="1"/>
  <c r="AE417" i="4"/>
  <c r="AJ417" i="4"/>
  <c r="AK417" i="4"/>
  <c r="AP417" i="4" s="1"/>
  <c r="AM417" i="4"/>
  <c r="AN417" i="4"/>
  <c r="AO417" i="4"/>
  <c r="AQ417" i="4"/>
  <c r="AR417" i="4"/>
  <c r="G418" i="4"/>
  <c r="AA418" i="4"/>
  <c r="AB418" i="4"/>
  <c r="AC418" i="4"/>
  <c r="AL418" i="4" s="1"/>
  <c r="AD418" i="4"/>
  <c r="AK418" i="4" s="1"/>
  <c r="AE418" i="4"/>
  <c r="AF418" i="4"/>
  <c r="AG418" i="4"/>
  <c r="AF419" i="4"/>
  <c r="AG419" i="4"/>
  <c r="AJ418" i="4"/>
  <c r="AM418" i="4"/>
  <c r="AN418" i="4"/>
  <c r="AO418" i="4"/>
  <c r="AP418" i="4"/>
  <c r="AQ418" i="4"/>
  <c r="AR418" i="4"/>
  <c r="G419" i="4"/>
  <c r="AA419" i="4"/>
  <c r="AB419" i="4"/>
  <c r="AC419" i="4" s="1"/>
  <c r="AL419" i="4" s="1"/>
  <c r="AE419" i="4"/>
  <c r="AJ419" i="4"/>
  <c r="AK419" i="4"/>
  <c r="AP419" i="4" s="1"/>
  <c r="AM419" i="4"/>
  <c r="AN419" i="4"/>
  <c r="AO419" i="4"/>
  <c r="AQ419" i="4"/>
  <c r="AR419" i="4"/>
  <c r="G420" i="4"/>
  <c r="AA420" i="4"/>
  <c r="AB420" i="4"/>
  <c r="AC420" i="4" s="1"/>
  <c r="AE420" i="4"/>
  <c r="AF420" i="4"/>
  <c r="AG420" i="4"/>
  <c r="AI421" i="4" s="1"/>
  <c r="AF421" i="4"/>
  <c r="AD421" i="4"/>
  <c r="AG421" i="4" s="1"/>
  <c r="AJ420" i="4"/>
  <c r="AK420" i="4" s="1"/>
  <c r="AP420" i="4" s="1"/>
  <c r="AM420" i="4"/>
  <c r="AN420" i="4"/>
  <c r="AO420" i="4"/>
  <c r="AQ420" i="4"/>
  <c r="AR420" i="4"/>
  <c r="G421" i="4"/>
  <c r="AA421" i="4"/>
  <c r="AB421" i="4"/>
  <c r="AC421" i="4" s="1"/>
  <c r="AE421" i="4"/>
  <c r="AJ421" i="4"/>
  <c r="AK421" i="4" s="1"/>
  <c r="AP421" i="4" s="1"/>
  <c r="AM421" i="4"/>
  <c r="AN421" i="4"/>
  <c r="AO421" i="4"/>
  <c r="AQ421" i="4"/>
  <c r="AR421" i="4"/>
  <c r="G422" i="4"/>
  <c r="AA422" i="4"/>
  <c r="AB422" i="4"/>
  <c r="AC422" i="4" s="1"/>
  <c r="AD422" i="4"/>
  <c r="AG422" i="4" s="1"/>
  <c r="AE422" i="4"/>
  <c r="AF422" i="4"/>
  <c r="AF423" i="4"/>
  <c r="AG423" i="4"/>
  <c r="AJ422" i="4"/>
  <c r="AM422" i="4"/>
  <c r="AN422" i="4"/>
  <c r="AO422" i="4"/>
  <c r="AQ422" i="4"/>
  <c r="AR422" i="4"/>
  <c r="G423" i="4"/>
  <c r="AA423" i="4"/>
  <c r="AB423" i="4"/>
  <c r="AC423" i="4" s="1"/>
  <c r="AE423" i="4"/>
  <c r="AJ423" i="4"/>
  <c r="AK423" i="4" s="1"/>
  <c r="AP423" i="4" s="1"/>
  <c r="AM423" i="4"/>
  <c r="AN423" i="4"/>
  <c r="AO423" i="4"/>
  <c r="AQ423" i="4"/>
  <c r="AR423" i="4"/>
  <c r="G424" i="4"/>
  <c r="AA424" i="4"/>
  <c r="AB424" i="4"/>
  <c r="AC424" i="4"/>
  <c r="AE424" i="4"/>
  <c r="AF424" i="4"/>
  <c r="AG424" i="4"/>
  <c r="AF425" i="4"/>
  <c r="AD425" i="4"/>
  <c r="AG425" i="4" s="1"/>
  <c r="AJ424" i="4"/>
  <c r="AM424" i="4"/>
  <c r="AN424" i="4"/>
  <c r="AO424" i="4"/>
  <c r="AQ424" i="4"/>
  <c r="AR424" i="4"/>
  <c r="G425" i="4"/>
  <c r="AA425" i="4"/>
  <c r="AB425" i="4"/>
  <c r="AC425" i="4"/>
  <c r="AL425" i="4" s="1"/>
  <c r="AE425" i="4"/>
  <c r="AI425" i="4"/>
  <c r="AJ425" i="4"/>
  <c r="AM425" i="4"/>
  <c r="AN425" i="4"/>
  <c r="AO425" i="4"/>
  <c r="AQ425" i="4"/>
  <c r="AR425" i="4"/>
  <c r="G426" i="4"/>
  <c r="AA426" i="4"/>
  <c r="AB426" i="4"/>
  <c r="AC426" i="4" s="1"/>
  <c r="AL426" i="4" s="1"/>
  <c r="AD426" i="4"/>
  <c r="AK426" i="4" s="1"/>
  <c r="AP426" i="4" s="1"/>
  <c r="AE426" i="4"/>
  <c r="AF426" i="4"/>
  <c r="AF427" i="4"/>
  <c r="AG427" i="4"/>
  <c r="AJ426" i="4"/>
  <c r="AM426" i="4"/>
  <c r="AN426" i="4"/>
  <c r="AO426" i="4"/>
  <c r="AQ426" i="4"/>
  <c r="AR426" i="4"/>
  <c r="G427" i="4"/>
  <c r="AA427" i="4"/>
  <c r="AB427" i="4"/>
  <c r="AC427" i="4" s="1"/>
  <c r="AE427" i="4"/>
  <c r="AJ427" i="4"/>
  <c r="AK427" i="4" s="1"/>
  <c r="AP427" i="4" s="1"/>
  <c r="AM427" i="4"/>
  <c r="AN427" i="4"/>
  <c r="AO427" i="4"/>
  <c r="AQ427" i="4"/>
  <c r="AR427" i="4"/>
  <c r="G428" i="4"/>
  <c r="AA428" i="4"/>
  <c r="AB428" i="4"/>
  <c r="AC428" i="4" s="1"/>
  <c r="AE428" i="4"/>
  <c r="AF428" i="4"/>
  <c r="AG428" i="4"/>
  <c r="AF429" i="4"/>
  <c r="AD429" i="4"/>
  <c r="AG429" i="4"/>
  <c r="AJ428" i="4"/>
  <c r="AM428" i="4"/>
  <c r="AN428" i="4"/>
  <c r="AO428" i="4"/>
  <c r="AQ428" i="4"/>
  <c r="AR428" i="4"/>
  <c r="G429" i="4"/>
  <c r="AA429" i="4"/>
  <c r="AB429" i="4"/>
  <c r="AC429" i="4" s="1"/>
  <c r="AL429" i="4" s="1"/>
  <c r="AE429" i="4"/>
  <c r="AI429" i="4"/>
  <c r="AJ429" i="4"/>
  <c r="AM429" i="4"/>
  <c r="AN429" i="4"/>
  <c r="AO429" i="4"/>
  <c r="AQ429" i="4"/>
  <c r="AR429" i="4"/>
  <c r="G430" i="4"/>
  <c r="AA430" i="4"/>
  <c r="AB430" i="4"/>
  <c r="AC430" i="4" s="1"/>
  <c r="AD430" i="4"/>
  <c r="AG430" i="4" s="1"/>
  <c r="AE430" i="4"/>
  <c r="AF430" i="4"/>
  <c r="AI430" i="4" s="1"/>
  <c r="AJ430" i="4"/>
  <c r="AK430" i="4" s="1"/>
  <c r="AP430" i="4" s="1"/>
  <c r="AM430" i="4"/>
  <c r="AN430" i="4"/>
  <c r="AO430" i="4"/>
  <c r="AQ430" i="4"/>
  <c r="AR430" i="4"/>
  <c r="G431" i="4"/>
  <c r="AA431" i="4"/>
  <c r="AB431" i="4"/>
  <c r="AC431" i="4"/>
  <c r="AD431" i="4"/>
  <c r="AG431" i="4" s="1"/>
  <c r="AI431" i="4" s="1"/>
  <c r="AE431" i="4"/>
  <c r="AF431" i="4"/>
  <c r="AJ431" i="4"/>
  <c r="AM431" i="4"/>
  <c r="AN431" i="4"/>
  <c r="AO431" i="4"/>
  <c r="AQ431" i="4"/>
  <c r="AR431" i="4"/>
  <c r="G432" i="4"/>
  <c r="AA432" i="4"/>
  <c r="AB432" i="4"/>
  <c r="AC432" i="4" s="1"/>
  <c r="AD432" i="4"/>
  <c r="AE432" i="4"/>
  <c r="AF432" i="4"/>
  <c r="AG432" i="4"/>
  <c r="AF433" i="4"/>
  <c r="AG433" i="4"/>
  <c r="AJ432" i="4"/>
  <c r="AK432" i="4" s="1"/>
  <c r="AP432" i="4" s="1"/>
  <c r="AM432" i="4"/>
  <c r="AN432" i="4"/>
  <c r="AO432" i="4"/>
  <c r="AQ432" i="4"/>
  <c r="AR432" i="4"/>
  <c r="G433" i="4"/>
  <c r="AA433" i="4"/>
  <c r="AB433" i="4"/>
  <c r="AC433" i="4"/>
  <c r="AE433" i="4"/>
  <c r="AJ433" i="4"/>
  <c r="AK433" i="4" s="1"/>
  <c r="AP433" i="4" s="1"/>
  <c r="AM433" i="4"/>
  <c r="AN433" i="4"/>
  <c r="AO433" i="4"/>
  <c r="AQ433" i="4"/>
  <c r="AR433" i="4"/>
  <c r="G434" i="4"/>
  <c r="AA434" i="4"/>
  <c r="AB434" i="4"/>
  <c r="AC434" i="4"/>
  <c r="AL434" i="4" s="1"/>
  <c r="AD434" i="4"/>
  <c r="AG434" i="4" s="1"/>
  <c r="AE434" i="4"/>
  <c r="AF434" i="4"/>
  <c r="AJ434" i="4"/>
  <c r="AM434" i="4"/>
  <c r="AN434" i="4"/>
  <c r="AO434" i="4"/>
  <c r="AQ434" i="4"/>
  <c r="AR434" i="4"/>
  <c r="G435" i="4"/>
  <c r="AA435" i="4"/>
  <c r="AB435" i="4"/>
  <c r="AC435" i="4" s="1"/>
  <c r="AD435" i="4"/>
  <c r="AE435" i="4"/>
  <c r="AF435" i="4"/>
  <c r="AG435" i="4"/>
  <c r="AF436" i="4"/>
  <c r="AG436" i="4"/>
  <c r="AI435" i="4"/>
  <c r="AJ435" i="4"/>
  <c r="AK435" i="4" s="1"/>
  <c r="AP435" i="4" s="1"/>
  <c r="AM435" i="4"/>
  <c r="AN435" i="4"/>
  <c r="AO435" i="4"/>
  <c r="AQ435" i="4"/>
  <c r="AR435" i="4"/>
  <c r="G436" i="4"/>
  <c r="AA436" i="4"/>
  <c r="AB436" i="4"/>
  <c r="AC436" i="4" s="1"/>
  <c r="AE436" i="4"/>
  <c r="AJ436" i="4"/>
  <c r="AK436" i="4" s="1"/>
  <c r="AP436" i="4" s="1"/>
  <c r="AM436" i="4"/>
  <c r="AN436" i="4"/>
  <c r="AO436" i="4"/>
  <c r="AQ436" i="4"/>
  <c r="AR436" i="4"/>
  <c r="G437" i="4"/>
  <c r="AA437" i="4"/>
  <c r="AB437" i="4"/>
  <c r="AC437" i="4" s="1"/>
  <c r="AD437" i="4"/>
  <c r="AE437" i="4"/>
  <c r="AF437" i="4"/>
  <c r="AG437" i="4"/>
  <c r="AJ437" i="4"/>
  <c r="AM437" i="4"/>
  <c r="AN437" i="4"/>
  <c r="AO437" i="4"/>
  <c r="AQ437" i="4"/>
  <c r="AR437" i="4"/>
  <c r="G438" i="4"/>
  <c r="AA438" i="4"/>
  <c r="AB438" i="4"/>
  <c r="AC438" i="4" s="1"/>
  <c r="AD438" i="4"/>
  <c r="AG438" i="4" s="1"/>
  <c r="AE438" i="4"/>
  <c r="AF438" i="4"/>
  <c r="AJ438" i="4"/>
  <c r="AM438" i="4"/>
  <c r="AN438" i="4"/>
  <c r="AO438" i="4"/>
  <c r="AQ438" i="4"/>
  <c r="AR438" i="4"/>
  <c r="G439" i="4"/>
  <c r="AA439" i="4"/>
  <c r="AB439" i="4"/>
  <c r="AC439" i="4" s="1"/>
  <c r="AL439" i="4" s="1"/>
  <c r="AD439" i="4"/>
  <c r="AE439" i="4"/>
  <c r="AF439" i="4"/>
  <c r="AJ439" i="4"/>
  <c r="AM439" i="4"/>
  <c r="AN439" i="4"/>
  <c r="AO439" i="4"/>
  <c r="AQ439" i="4"/>
  <c r="AR439" i="4"/>
  <c r="G440" i="4"/>
  <c r="AA440" i="4"/>
  <c r="AB440" i="4"/>
  <c r="AC440" i="4" s="1"/>
  <c r="AD440" i="4"/>
  <c r="AG440" i="4" s="1"/>
  <c r="AE440" i="4"/>
  <c r="AF440" i="4"/>
  <c r="AJ440" i="4"/>
  <c r="AM440" i="4"/>
  <c r="AN440" i="4"/>
  <c r="AO440" i="4"/>
  <c r="AQ440" i="4"/>
  <c r="AR440" i="4"/>
  <c r="G441" i="4"/>
  <c r="AA441" i="4"/>
  <c r="AB441" i="4"/>
  <c r="AC441" i="4" s="1"/>
  <c r="AL441" i="4" s="1"/>
  <c r="AD441" i="4"/>
  <c r="AG441" i="4" s="1"/>
  <c r="AE441" i="4"/>
  <c r="AF441" i="4"/>
  <c r="AF442" i="4"/>
  <c r="AG442" i="4"/>
  <c r="AI442" i="4" s="1"/>
  <c r="AJ441" i="4"/>
  <c r="AK441" i="4" s="1"/>
  <c r="AP441" i="4" s="1"/>
  <c r="AM441" i="4"/>
  <c r="AN441" i="4"/>
  <c r="AO441" i="4"/>
  <c r="AQ441" i="4"/>
  <c r="AR441" i="4"/>
  <c r="G442" i="4"/>
  <c r="AA442" i="4"/>
  <c r="AB442" i="4"/>
  <c r="AC442" i="4" s="1"/>
  <c r="AE442" i="4"/>
  <c r="AJ442" i="4"/>
  <c r="AK442" i="4" s="1"/>
  <c r="AP442" i="4" s="1"/>
  <c r="AM442" i="4"/>
  <c r="AN442" i="4"/>
  <c r="AO442" i="4"/>
  <c r="AQ442" i="4"/>
  <c r="AR442" i="4"/>
  <c r="G443" i="4"/>
  <c r="AA443" i="4"/>
  <c r="AB443" i="4"/>
  <c r="AC443" i="4" s="1"/>
  <c r="AE443" i="4"/>
  <c r="AF443" i="4"/>
  <c r="AG443" i="4"/>
  <c r="AF444" i="4"/>
  <c r="AD444" i="4"/>
  <c r="AG444" i="4"/>
  <c r="AJ443" i="4"/>
  <c r="AK443" i="4" s="1"/>
  <c r="AP443" i="4" s="1"/>
  <c r="AM443" i="4"/>
  <c r="AN443" i="4"/>
  <c r="AO443" i="4"/>
  <c r="AQ443" i="4"/>
  <c r="AR443" i="4"/>
  <c r="G444" i="4"/>
  <c r="AA444" i="4"/>
  <c r="AB444" i="4"/>
  <c r="AC444" i="4" s="1"/>
  <c r="AE444" i="4"/>
  <c r="AJ444" i="4"/>
  <c r="AK444" i="4" s="1"/>
  <c r="AP444" i="4" s="1"/>
  <c r="AL444" i="4"/>
  <c r="AM444" i="4"/>
  <c r="AN444" i="4"/>
  <c r="AO444" i="4"/>
  <c r="AQ444" i="4"/>
  <c r="AR444" i="4"/>
  <c r="G445" i="4"/>
  <c r="AA445" i="4"/>
  <c r="AB445" i="4"/>
  <c r="AC445" i="4" s="1"/>
  <c r="AD445" i="4"/>
  <c r="AE445" i="4"/>
  <c r="AF445" i="4"/>
  <c r="AG445" i="4"/>
  <c r="AJ445" i="4"/>
  <c r="AM445" i="4"/>
  <c r="AN445" i="4"/>
  <c r="AO445" i="4"/>
  <c r="AQ445" i="4"/>
  <c r="AR445" i="4"/>
  <c r="G446" i="4"/>
  <c r="AA446" i="4"/>
  <c r="AB446" i="4"/>
  <c r="AC446" i="4" s="1"/>
  <c r="AD446" i="4"/>
  <c r="AG446" i="4" s="1"/>
  <c r="AE446" i="4"/>
  <c r="AF446" i="4"/>
  <c r="AJ446" i="4"/>
  <c r="AM446" i="4"/>
  <c r="AN446" i="4"/>
  <c r="AO446" i="4"/>
  <c r="AQ446" i="4"/>
  <c r="AR446" i="4"/>
  <c r="G447" i="4"/>
  <c r="AA447" i="4"/>
  <c r="AB447" i="4"/>
  <c r="AC447" i="4" s="1"/>
  <c r="AD447" i="4"/>
  <c r="AG447" i="4" s="1"/>
  <c r="AE447" i="4"/>
  <c r="AF447" i="4"/>
  <c r="AI447" i="4" s="1"/>
  <c r="AJ447" i="4"/>
  <c r="AK447" i="4" s="1"/>
  <c r="AP447" i="4" s="1"/>
  <c r="AM447" i="4"/>
  <c r="AN447" i="4"/>
  <c r="AO447" i="4"/>
  <c r="AQ447" i="4"/>
  <c r="AR447" i="4"/>
  <c r="G448" i="4"/>
  <c r="AA448" i="4"/>
  <c r="AB448" i="4"/>
  <c r="AC448" i="4" s="1"/>
  <c r="AL448" i="4" s="1"/>
  <c r="AD448" i="4"/>
  <c r="AG448" i="4" s="1"/>
  <c r="AE448" i="4"/>
  <c r="AF448" i="4"/>
  <c r="AI449" i="4" s="1"/>
  <c r="AF449" i="4"/>
  <c r="AG449" i="4"/>
  <c r="AJ448" i="4"/>
  <c r="AK448" i="4"/>
  <c r="AP448" i="4" s="1"/>
  <c r="AM448" i="4"/>
  <c r="AN448" i="4"/>
  <c r="AO448" i="4"/>
  <c r="AQ448" i="4"/>
  <c r="AR448" i="4"/>
  <c r="G449" i="4"/>
  <c r="AA449" i="4"/>
  <c r="AB449" i="4"/>
  <c r="AC449" i="4" s="1"/>
  <c r="AE449" i="4"/>
  <c r="AJ449" i="4"/>
  <c r="AM449" i="4"/>
  <c r="AN449" i="4"/>
  <c r="AO449" i="4"/>
  <c r="AQ449" i="4"/>
  <c r="AR449" i="4"/>
  <c r="G450" i="4"/>
  <c r="AA450" i="4"/>
  <c r="AB450" i="4"/>
  <c r="AC450" i="4" s="1"/>
  <c r="AL450" i="4" s="1"/>
  <c r="AD450" i="4"/>
  <c r="AG450" i="4" s="1"/>
  <c r="AE450" i="4"/>
  <c r="AF450" i="4"/>
  <c r="AJ450" i="4"/>
  <c r="AM450" i="4"/>
  <c r="AN450" i="4"/>
  <c r="AO450" i="4"/>
  <c r="AQ450" i="4"/>
  <c r="AR450" i="4"/>
  <c r="G451" i="4"/>
  <c r="AA451" i="4"/>
  <c r="AB451" i="4"/>
  <c r="AC451" i="4"/>
  <c r="AD451" i="4"/>
  <c r="AE451" i="4"/>
  <c r="AF451" i="4"/>
  <c r="AG451" i="4"/>
  <c r="AI451" i="4" s="1"/>
  <c r="AJ451" i="4"/>
  <c r="AK451" i="4" s="1"/>
  <c r="AP451" i="4" s="1"/>
  <c r="AM451" i="4"/>
  <c r="AN451" i="4"/>
  <c r="AO451" i="4"/>
  <c r="AQ451" i="4"/>
  <c r="AR451" i="4"/>
  <c r="G452" i="4"/>
  <c r="AA452" i="4"/>
  <c r="AB452" i="4"/>
  <c r="AC452" i="4" s="1"/>
  <c r="AD452" i="4"/>
  <c r="AG452" i="4" s="1"/>
  <c r="AE452" i="4"/>
  <c r="AF452" i="4"/>
  <c r="AF453" i="4"/>
  <c r="AG453" i="4"/>
  <c r="AJ452" i="4"/>
  <c r="AM452" i="4"/>
  <c r="AN452" i="4"/>
  <c r="AO452" i="4"/>
  <c r="AQ452" i="4"/>
  <c r="AR452" i="4"/>
  <c r="G453" i="4"/>
  <c r="AA453" i="4"/>
  <c r="AB453" i="4"/>
  <c r="AC453" i="4" s="1"/>
  <c r="AE453" i="4"/>
  <c r="AJ453" i="4"/>
  <c r="AK453" i="4" s="1"/>
  <c r="AP453" i="4" s="1"/>
  <c r="AM453" i="4"/>
  <c r="AN453" i="4"/>
  <c r="AO453" i="4"/>
  <c r="AQ453" i="4"/>
  <c r="AR453" i="4"/>
  <c r="G454" i="4"/>
  <c r="AA454" i="4"/>
  <c r="AB454" i="4"/>
  <c r="AC454" i="4" s="1"/>
  <c r="AL454" i="4" s="1"/>
  <c r="AD454" i="4"/>
  <c r="AK454" i="4" s="1"/>
  <c r="AP454" i="4" s="1"/>
  <c r="AE454" i="4"/>
  <c r="AG454" i="4"/>
  <c r="AF455" i="4"/>
  <c r="AF456" i="4"/>
  <c r="AG455" i="4"/>
  <c r="AD456" i="4"/>
  <c r="AG456" i="4" s="1"/>
  <c r="AJ454" i="4"/>
  <c r="AM454" i="4"/>
  <c r="AN454" i="4"/>
  <c r="AO454" i="4"/>
  <c r="AQ454" i="4"/>
  <c r="AR454" i="4"/>
  <c r="G455" i="4"/>
  <c r="AA455" i="4"/>
  <c r="AB455" i="4"/>
  <c r="AC455" i="4" s="1"/>
  <c r="AE455" i="4"/>
  <c r="AJ455" i="4"/>
  <c r="AK455" i="4"/>
  <c r="AP455" i="4" s="1"/>
  <c r="AM455" i="4"/>
  <c r="AN455" i="4"/>
  <c r="AO455" i="4"/>
  <c r="AQ455" i="4"/>
  <c r="AR455" i="4"/>
  <c r="G456" i="4"/>
  <c r="AA456" i="4"/>
  <c r="AB456" i="4"/>
  <c r="AC456" i="4" s="1"/>
  <c r="AE456" i="4"/>
  <c r="AJ456" i="4"/>
  <c r="AM456" i="4"/>
  <c r="AN456" i="4"/>
  <c r="AO456" i="4"/>
  <c r="AQ456" i="4"/>
  <c r="AR456" i="4"/>
  <c r="G457" i="4"/>
  <c r="AA457" i="4"/>
  <c r="AB457" i="4"/>
  <c r="AC457" i="4" s="1"/>
  <c r="AD457" i="4"/>
  <c r="AG457" i="4" s="1"/>
  <c r="AE457" i="4"/>
  <c r="AF457" i="4"/>
  <c r="AD464" i="4"/>
  <c r="AF464" i="4"/>
  <c r="AG464" i="4"/>
  <c r="AJ457" i="4"/>
  <c r="AM457" i="4"/>
  <c r="AN457" i="4"/>
  <c r="AO457" i="4"/>
  <c r="AQ457" i="4"/>
  <c r="AR457" i="4"/>
  <c r="G458" i="4"/>
  <c r="AA458" i="4"/>
  <c r="AB458" i="4"/>
  <c r="AC458" i="4" s="1"/>
  <c r="AL458" i="4" s="1"/>
  <c r="AD458" i="4"/>
  <c r="AE458" i="4"/>
  <c r="AF458" i="4"/>
  <c r="AG458" i="4"/>
  <c r="AD467" i="4"/>
  <c r="AF467" i="4" s="1"/>
  <c r="AG467" i="4"/>
  <c r="AJ458" i="4"/>
  <c r="AK458" i="4"/>
  <c r="AP458" i="4" s="1"/>
  <c r="AM458" i="4"/>
  <c r="AN458" i="4"/>
  <c r="AO458" i="4"/>
  <c r="AQ458" i="4"/>
  <c r="AR458" i="4"/>
  <c r="G459" i="4"/>
  <c r="AA459" i="4"/>
  <c r="AB459" i="4"/>
  <c r="AC459" i="4" s="1"/>
  <c r="AD459" i="4"/>
  <c r="AG459" i="4" s="1"/>
  <c r="AE459" i="4"/>
  <c r="AF459" i="4"/>
  <c r="AD465" i="4"/>
  <c r="AF465" i="4" s="1"/>
  <c r="AG465" i="4"/>
  <c r="AJ459" i="4"/>
  <c r="AM459" i="4"/>
  <c r="AN459" i="4"/>
  <c r="AO459" i="4"/>
  <c r="AQ459" i="4"/>
  <c r="AR459" i="4"/>
  <c r="G460" i="4"/>
  <c r="AA460" i="4"/>
  <c r="AB460" i="4"/>
  <c r="AC460" i="4"/>
  <c r="AL460" i="4" s="1"/>
  <c r="AD460" i="4"/>
  <c r="AK460" i="4" s="1"/>
  <c r="AP460" i="4" s="1"/>
  <c r="AE460" i="4"/>
  <c r="AF460" i="4"/>
  <c r="AD463" i="4"/>
  <c r="AF463" i="4" s="1"/>
  <c r="AG463" i="4"/>
  <c r="AJ460" i="4"/>
  <c r="AM460" i="4"/>
  <c r="AN460" i="4"/>
  <c r="AO460" i="4"/>
  <c r="AQ460" i="4"/>
  <c r="AR460" i="4"/>
  <c r="G461" i="4"/>
  <c r="AA461" i="4"/>
  <c r="AB461" i="4"/>
  <c r="AC461" i="4"/>
  <c r="AD461" i="4"/>
  <c r="AG461" i="4" s="1"/>
  <c r="AE461" i="4"/>
  <c r="AF461" i="4"/>
  <c r="AD462" i="4"/>
  <c r="AF462" i="4" s="1"/>
  <c r="AG462" i="4"/>
  <c r="AJ461" i="4"/>
  <c r="AM461" i="4"/>
  <c r="AN461" i="4"/>
  <c r="AO461" i="4"/>
  <c r="AQ461" i="4"/>
  <c r="AR461" i="4"/>
  <c r="G462" i="4"/>
  <c r="AA462" i="4"/>
  <c r="AB462" i="4"/>
  <c r="AC462" i="4"/>
  <c r="AL462" i="4" s="1"/>
  <c r="AE462" i="4"/>
  <c r="AJ462" i="4"/>
  <c r="AM462" i="4"/>
  <c r="AN462" i="4"/>
  <c r="AO462" i="4"/>
  <c r="AQ462" i="4"/>
  <c r="AR462" i="4"/>
  <c r="G463" i="4"/>
  <c r="AA463" i="4"/>
  <c r="AB463" i="4"/>
  <c r="AC463" i="4" s="1"/>
  <c r="AE463" i="4"/>
  <c r="AJ463" i="4"/>
  <c r="AK463" i="4" s="1"/>
  <c r="AP463" i="4" s="1"/>
  <c r="AM463" i="4"/>
  <c r="AN463" i="4"/>
  <c r="AO463" i="4"/>
  <c r="AQ463" i="4"/>
  <c r="AR463" i="4"/>
  <c r="G464" i="4"/>
  <c r="AA464" i="4"/>
  <c r="AB464" i="4"/>
  <c r="AC464" i="4" s="1"/>
  <c r="AE464" i="4"/>
  <c r="AI464" i="4"/>
  <c r="AJ464" i="4"/>
  <c r="AM464" i="4"/>
  <c r="AN464" i="4"/>
  <c r="AO464" i="4"/>
  <c r="AQ464" i="4"/>
  <c r="AR464" i="4"/>
  <c r="G465" i="4"/>
  <c r="AA465" i="4"/>
  <c r="AB465" i="4"/>
  <c r="AC465" i="4" s="1"/>
  <c r="AE465" i="4"/>
  <c r="AJ465" i="4"/>
  <c r="AK465" i="4"/>
  <c r="AP465" i="4" s="1"/>
  <c r="AM465" i="4"/>
  <c r="AN465" i="4"/>
  <c r="AO465" i="4"/>
  <c r="AQ465" i="4"/>
  <c r="AR465" i="4"/>
  <c r="G466" i="4"/>
  <c r="AA466" i="4"/>
  <c r="AB466" i="4"/>
  <c r="AC466" i="4"/>
  <c r="AD466" i="4"/>
  <c r="AE466" i="4"/>
  <c r="AF466" i="4"/>
  <c r="AI466" i="4" s="1"/>
  <c r="AG466" i="4"/>
  <c r="AJ466" i="4"/>
  <c r="AM466" i="4"/>
  <c r="AN466" i="4"/>
  <c r="AO466" i="4"/>
  <c r="AQ466" i="4"/>
  <c r="AR466" i="4"/>
  <c r="G467" i="4"/>
  <c r="AA467" i="4"/>
  <c r="AB467" i="4"/>
  <c r="AC467" i="4" s="1"/>
  <c r="AE467" i="4"/>
  <c r="AJ467" i="4"/>
  <c r="AM467" i="4"/>
  <c r="AN467" i="4"/>
  <c r="AO467" i="4"/>
  <c r="AQ467" i="4"/>
  <c r="AR467" i="4"/>
  <c r="G468" i="4"/>
  <c r="AA468" i="4"/>
  <c r="AB468" i="4"/>
  <c r="AC468" i="4" s="1"/>
  <c r="AD468" i="4"/>
  <c r="AF468" i="4" s="1"/>
  <c r="AE468" i="4"/>
  <c r="AG468" i="4"/>
  <c r="AF469" i="4"/>
  <c r="AD469" i="4"/>
  <c r="AG469" i="4" s="1"/>
  <c r="AJ468" i="4"/>
  <c r="AK468" i="4" s="1"/>
  <c r="AP468" i="4" s="1"/>
  <c r="AM468" i="4"/>
  <c r="AN468" i="4"/>
  <c r="AO468" i="4"/>
  <c r="AQ468" i="4"/>
  <c r="AR468" i="4"/>
  <c r="G469" i="4"/>
  <c r="AA469" i="4"/>
  <c r="AB469" i="4"/>
  <c r="AC469" i="4" s="1"/>
  <c r="AE469" i="4"/>
  <c r="AJ469" i="4"/>
  <c r="AM469" i="4"/>
  <c r="AN469" i="4"/>
  <c r="AO469" i="4"/>
  <c r="AQ469" i="4"/>
  <c r="AR469" i="4"/>
  <c r="G470" i="4"/>
  <c r="AA470" i="4"/>
  <c r="AB470" i="4"/>
  <c r="AC470" i="4" s="1"/>
  <c r="AD470" i="4"/>
  <c r="AF470" i="4" s="1"/>
  <c r="AI470" i="4" s="1"/>
  <c r="AE470" i="4"/>
  <c r="AG470" i="4"/>
  <c r="AJ470" i="4"/>
  <c r="AM470" i="4"/>
  <c r="AN470" i="4"/>
  <c r="AO470" i="4"/>
  <c r="AQ470" i="4" s="1"/>
  <c r="AR470" i="4"/>
  <c r="G471" i="4"/>
  <c r="AA471" i="4"/>
  <c r="AB471" i="4"/>
  <c r="AC471" i="4" s="1"/>
  <c r="AD471" i="4"/>
  <c r="AG471" i="4" s="1"/>
  <c r="AE471" i="4"/>
  <c r="AF471" i="4"/>
  <c r="AJ471" i="4"/>
  <c r="AM471" i="4"/>
  <c r="AN471" i="4"/>
  <c r="AO471" i="4"/>
  <c r="AQ471" i="4"/>
  <c r="AR471" i="4"/>
  <c r="G472" i="4"/>
  <c r="AA472" i="4"/>
  <c r="AB472" i="4"/>
  <c r="AC472" i="4" s="1"/>
  <c r="AD472" i="4"/>
  <c r="AF472" i="4" s="1"/>
  <c r="AE472" i="4"/>
  <c r="AG472" i="4"/>
  <c r="AJ472" i="4"/>
  <c r="AK472" i="4"/>
  <c r="AM472" i="4"/>
  <c r="AN472" i="4"/>
  <c r="AO472" i="4"/>
  <c r="AP472" i="4"/>
  <c r="AQ472" i="4"/>
  <c r="AR472" i="4"/>
  <c r="G473" i="4"/>
  <c r="AA473" i="4"/>
  <c r="AB473" i="4"/>
  <c r="AC473" i="4"/>
  <c r="AL473" i="4" s="1"/>
  <c r="AD473" i="4"/>
  <c r="AF473" i="4" s="1"/>
  <c r="AE473" i="4"/>
  <c r="AG473" i="4"/>
  <c r="AJ473" i="4"/>
  <c r="AM473" i="4"/>
  <c r="AN473" i="4"/>
  <c r="AO473" i="4"/>
  <c r="AQ473" i="4" s="1"/>
  <c r="AR473" i="4"/>
  <c r="G474" i="4"/>
  <c r="AA474" i="4"/>
  <c r="AB474" i="4"/>
  <c r="AC474" i="4"/>
  <c r="AL474" i="4" s="1"/>
  <c r="AD474" i="4"/>
  <c r="AG474" i="4" s="1"/>
  <c r="AE474" i="4"/>
  <c r="AF474" i="4"/>
  <c r="AJ474" i="4"/>
  <c r="AM474" i="4"/>
  <c r="AN474" i="4"/>
  <c r="AO474" i="4"/>
  <c r="AQ474" i="4"/>
  <c r="AR474" i="4"/>
  <c r="G475" i="4"/>
  <c r="AA475" i="4"/>
  <c r="AB475" i="4"/>
  <c r="AC475" i="4"/>
  <c r="AD475" i="4"/>
  <c r="AE475" i="4" s="1"/>
  <c r="AF475" i="4"/>
  <c r="AG475" i="4"/>
  <c r="AJ475" i="4"/>
  <c r="AK475" i="4" s="1"/>
  <c r="AP475" i="4" s="1"/>
  <c r="AM475" i="4"/>
  <c r="AN475" i="4"/>
  <c r="AO475" i="4"/>
  <c r="AQ475" i="4"/>
  <c r="AR475" i="4"/>
  <c r="G476" i="4"/>
  <c r="AA476" i="4"/>
  <c r="AB476" i="4"/>
  <c r="AC476" i="4" s="1"/>
  <c r="AD476" i="4"/>
  <c r="AF476" i="4"/>
  <c r="AG476" i="4"/>
  <c r="AJ476" i="4"/>
  <c r="AM476" i="4"/>
  <c r="AN476" i="4"/>
  <c r="AO476" i="4"/>
  <c r="AQ476" i="4"/>
  <c r="AR476" i="4"/>
  <c r="G477" i="4"/>
  <c r="AA477" i="4"/>
  <c r="AB477" i="4"/>
  <c r="AC477" i="4" s="1"/>
  <c r="AD477" i="4"/>
  <c r="AG477" i="4" s="1"/>
  <c r="AE477" i="4"/>
  <c r="AF477" i="4"/>
  <c r="AI477" i="4" s="1"/>
  <c r="AJ477" i="4"/>
  <c r="AM477" i="4"/>
  <c r="AN477" i="4"/>
  <c r="AO477" i="4"/>
  <c r="AQ477" i="4" s="1"/>
  <c r="AR477" i="4"/>
  <c r="G478" i="4"/>
  <c r="AA478" i="4"/>
  <c r="AB478" i="4"/>
  <c r="AC478" i="4"/>
  <c r="AL478" i="4" s="1"/>
  <c r="AE478" i="4"/>
  <c r="AF478" i="4"/>
  <c r="AI478" i="4" s="1"/>
  <c r="AG478" i="4"/>
  <c r="AJ478" i="4"/>
  <c r="AK478" i="4"/>
  <c r="AP478" i="4" s="1"/>
  <c r="AM478" i="4"/>
  <c r="AN478" i="4"/>
  <c r="AO478" i="4"/>
  <c r="AQ478" i="4" s="1"/>
  <c r="AR478" i="4"/>
  <c r="G479" i="4"/>
  <c r="AA479" i="4"/>
  <c r="AB479" i="4"/>
  <c r="AC479" i="4" s="1"/>
  <c r="AD479" i="4"/>
  <c r="AE479" i="4" s="1"/>
  <c r="AF479" i="4"/>
  <c r="AG479" i="4"/>
  <c r="AI479" i="4"/>
  <c r="AJ479" i="4"/>
  <c r="AL479" i="4"/>
  <c r="AM479" i="4"/>
  <c r="AN479" i="4"/>
  <c r="AO479" i="4"/>
  <c r="AQ479" i="4" s="1"/>
  <c r="AR479" i="4"/>
  <c r="G480" i="4"/>
  <c r="AA480" i="4"/>
  <c r="AB480" i="4"/>
  <c r="AC480" i="4" s="1"/>
  <c r="AL480" i="4" s="1"/>
  <c r="AD480" i="4"/>
  <c r="AE480" i="4" s="1"/>
  <c r="AF480" i="4"/>
  <c r="AI480" i="4" s="1"/>
  <c r="AG480" i="4"/>
  <c r="AJ480" i="4"/>
  <c r="AK480" i="4" s="1"/>
  <c r="AP480" i="4" s="1"/>
  <c r="AM480" i="4"/>
  <c r="AN480" i="4"/>
  <c r="AO480" i="4"/>
  <c r="AQ480" i="4" s="1"/>
  <c r="AR480" i="4"/>
  <c r="G481" i="4"/>
  <c r="AA481" i="4"/>
  <c r="AB481" i="4"/>
  <c r="AC481" i="4" s="1"/>
  <c r="AD481" i="4"/>
  <c r="AE481" i="4" s="1"/>
  <c r="AF481" i="4"/>
  <c r="AI481" i="4" s="1"/>
  <c r="AG481" i="4"/>
  <c r="AJ481" i="4"/>
  <c r="AK481" i="4" s="1"/>
  <c r="AP481" i="4" s="1"/>
  <c r="AM481" i="4"/>
  <c r="AN481" i="4"/>
  <c r="AO481" i="4"/>
  <c r="AQ481" i="4" s="1"/>
  <c r="AR481" i="4"/>
  <c r="G482" i="4"/>
  <c r="AA482" i="4"/>
  <c r="AB482" i="4"/>
  <c r="AC482" i="4"/>
  <c r="AD482" i="4"/>
  <c r="AF482" i="4"/>
  <c r="AI482" i="4" s="1"/>
  <c r="AG482" i="4"/>
  <c r="AJ482" i="4"/>
  <c r="AL482" i="4"/>
  <c r="AM482" i="4"/>
  <c r="AN482" i="4"/>
  <c r="AO482" i="4"/>
  <c r="AQ482" i="4" s="1"/>
  <c r="AR482" i="4"/>
  <c r="G483" i="4"/>
  <c r="AA483" i="4"/>
  <c r="AB483" i="4"/>
  <c r="AC483" i="4" s="1"/>
  <c r="AD483" i="4"/>
  <c r="AF483" i="4"/>
  <c r="AG483" i="4"/>
  <c r="AJ483" i="4"/>
  <c r="AM483" i="4"/>
  <c r="AN483" i="4"/>
  <c r="AO483" i="4"/>
  <c r="AQ483" i="4" s="1"/>
  <c r="AR483" i="4"/>
  <c r="G484" i="4"/>
  <c r="AA484" i="4"/>
  <c r="AB484" i="4"/>
  <c r="AC484" i="4" s="1"/>
  <c r="AL484" i="4" s="1"/>
  <c r="AD484" i="4"/>
  <c r="AE484" i="4"/>
  <c r="AF484" i="4"/>
  <c r="AG484" i="4"/>
  <c r="AI484" i="4" s="1"/>
  <c r="AJ484" i="4"/>
  <c r="AK484" i="4"/>
  <c r="AM484" i="4"/>
  <c r="AN484" i="4"/>
  <c r="AO484" i="4"/>
  <c r="AQ484" i="4" s="1"/>
  <c r="AP484" i="4"/>
  <c r="AR484" i="4"/>
  <c r="G485" i="4"/>
  <c r="AA485" i="4"/>
  <c r="AB485" i="4"/>
  <c r="AC485" i="4" s="1"/>
  <c r="AD485" i="4"/>
  <c r="AK485" i="4" s="1"/>
  <c r="AP485" i="4" s="1"/>
  <c r="AE485" i="4"/>
  <c r="AF485" i="4"/>
  <c r="AG485" i="4"/>
  <c r="AI485" i="4"/>
  <c r="AJ485" i="4"/>
  <c r="AL485" i="4" s="1"/>
  <c r="AM485" i="4"/>
  <c r="AN485" i="4"/>
  <c r="AO485" i="4"/>
  <c r="AQ485" i="4" s="1"/>
  <c r="AR485" i="4"/>
  <c r="G486" i="4"/>
  <c r="AA486" i="4"/>
  <c r="AB486" i="4"/>
  <c r="AC486" i="4" s="1"/>
  <c r="AL486" i="4" s="1"/>
  <c r="AD486" i="4"/>
  <c r="AE486" i="4"/>
  <c r="AF486" i="4"/>
  <c r="AG486" i="4"/>
  <c r="AJ486" i="4"/>
  <c r="AM486" i="4"/>
  <c r="AN486" i="4"/>
  <c r="AO486" i="4"/>
  <c r="AQ486" i="4" s="1"/>
  <c r="AR486" i="4"/>
  <c r="G487" i="4"/>
  <c r="AA487" i="4"/>
  <c r="AB487" i="4"/>
  <c r="AC487" i="4" s="1"/>
  <c r="AD487" i="4"/>
  <c r="AE487" i="4" s="1"/>
  <c r="AF487" i="4"/>
  <c r="AG487" i="4"/>
  <c r="AJ487" i="4"/>
  <c r="AM487" i="4"/>
  <c r="AN487" i="4"/>
  <c r="AO487" i="4"/>
  <c r="AQ487" i="4" s="1"/>
  <c r="AR487" i="4"/>
  <c r="G488" i="4"/>
  <c r="AA488" i="4"/>
  <c r="AB488" i="4"/>
  <c r="AC488" i="4" s="1"/>
  <c r="AD488" i="4"/>
  <c r="AF488" i="4"/>
  <c r="AG488" i="4"/>
  <c r="AJ488" i="4"/>
  <c r="AM488" i="4"/>
  <c r="AN488" i="4"/>
  <c r="AO488" i="4"/>
  <c r="AQ488" i="4"/>
  <c r="AR488" i="4"/>
  <c r="G489" i="4"/>
  <c r="AA489" i="4"/>
  <c r="AB489" i="4"/>
  <c r="AC489" i="4" s="1"/>
  <c r="AL489" i="4" s="1"/>
  <c r="AD489" i="4"/>
  <c r="AE489" i="4" s="1"/>
  <c r="AF489" i="4"/>
  <c r="AI489" i="4" s="1"/>
  <c r="AG489" i="4"/>
  <c r="AJ489" i="4"/>
  <c r="AK489" i="4"/>
  <c r="AP489" i="4" s="1"/>
  <c r="AM489" i="4"/>
  <c r="AN489" i="4"/>
  <c r="AO489" i="4"/>
  <c r="AQ489" i="4" s="1"/>
  <c r="AR489" i="4"/>
  <c r="G490" i="4"/>
  <c r="AA490" i="4"/>
  <c r="AB490" i="4"/>
  <c r="AC490" i="4" s="1"/>
  <c r="AL490" i="4" s="1"/>
  <c r="AD490" i="4"/>
  <c r="AK490" i="4" s="1"/>
  <c r="AP490" i="4" s="1"/>
  <c r="AF490" i="4"/>
  <c r="AG490" i="4"/>
  <c r="AI490" i="4"/>
  <c r="AJ490" i="4"/>
  <c r="AM490" i="4"/>
  <c r="AN490" i="4"/>
  <c r="AO490" i="4"/>
  <c r="AQ490" i="4" s="1"/>
  <c r="AR490" i="4"/>
  <c r="G491" i="4"/>
  <c r="AA491" i="4"/>
  <c r="AB491" i="4"/>
  <c r="AC491" i="4" s="1"/>
  <c r="AD491" i="4"/>
  <c r="AE491" i="4" s="1"/>
  <c r="AF491" i="4"/>
  <c r="AG491" i="4"/>
  <c r="AI491" i="4"/>
  <c r="AJ491" i="4"/>
  <c r="AM491" i="4"/>
  <c r="AN491" i="4"/>
  <c r="AO491" i="4"/>
  <c r="AQ491" i="4" s="1"/>
  <c r="AR491" i="4"/>
  <c r="G492" i="4"/>
  <c r="AA492" i="4"/>
  <c r="AB492" i="4"/>
  <c r="AC492" i="4"/>
  <c r="AL492" i="4" s="1"/>
  <c r="AD492" i="4"/>
  <c r="AE492" i="4" s="1"/>
  <c r="AF492" i="4"/>
  <c r="AG492" i="4"/>
  <c r="AJ492" i="4"/>
  <c r="AK492" i="4"/>
  <c r="AM492" i="4"/>
  <c r="AN492" i="4"/>
  <c r="AO492" i="4"/>
  <c r="AP492" i="4"/>
  <c r="AQ492" i="4"/>
  <c r="AR492" i="4"/>
  <c r="G493" i="4"/>
  <c r="AA493" i="4"/>
  <c r="AB493" i="4"/>
  <c r="AC493" i="4" s="1"/>
  <c r="AL493" i="4" s="1"/>
  <c r="AD493" i="4"/>
  <c r="AE493" i="4" s="1"/>
  <c r="AF493" i="4"/>
  <c r="AG493" i="4"/>
  <c r="AJ493" i="4"/>
  <c r="AM493" i="4"/>
  <c r="AN493" i="4"/>
  <c r="AO493" i="4"/>
  <c r="AQ493" i="4"/>
  <c r="AR493" i="4"/>
  <c r="G494" i="4"/>
  <c r="AA494" i="4"/>
  <c r="AB494" i="4"/>
  <c r="AC494" i="4"/>
  <c r="AD494" i="4"/>
  <c r="AE494" i="4"/>
  <c r="AF494" i="4"/>
  <c r="AI494" i="4" s="1"/>
  <c r="AG494" i="4"/>
  <c r="AJ494" i="4"/>
  <c r="AK494" i="4" s="1"/>
  <c r="AP494" i="4" s="1"/>
  <c r="AM494" i="4"/>
  <c r="AN494" i="4"/>
  <c r="AO494" i="4"/>
  <c r="AQ494" i="4"/>
  <c r="AR494" i="4"/>
  <c r="G495" i="4"/>
  <c r="AA495" i="4"/>
  <c r="AB495" i="4"/>
  <c r="AC495" i="4" s="1"/>
  <c r="AD495" i="4"/>
  <c r="AF495" i="4"/>
  <c r="AI495" i="4" s="1"/>
  <c r="AG495" i="4"/>
  <c r="AJ495" i="4"/>
  <c r="AM495" i="4"/>
  <c r="AN495" i="4"/>
  <c r="AO495" i="4"/>
  <c r="AQ495" i="4"/>
  <c r="AR495" i="4"/>
  <c r="G496" i="4"/>
  <c r="AA496" i="4"/>
  <c r="AB496" i="4"/>
  <c r="AC496" i="4" s="1"/>
  <c r="AD496" i="4"/>
  <c r="AE496" i="4"/>
  <c r="AF496" i="4"/>
  <c r="AG496" i="4"/>
  <c r="AI496" i="4" s="1"/>
  <c r="AJ496" i="4"/>
  <c r="AK496" i="4"/>
  <c r="AP496" i="4" s="1"/>
  <c r="AM496" i="4"/>
  <c r="AN496" i="4"/>
  <c r="AO496" i="4"/>
  <c r="AQ496" i="4" s="1"/>
  <c r="AR496" i="4"/>
  <c r="G497" i="4"/>
  <c r="AA497" i="4"/>
  <c r="AB497" i="4"/>
  <c r="AC497" i="4" s="1"/>
  <c r="AD497" i="4"/>
  <c r="AE497" i="4" s="1"/>
  <c r="AF497" i="4"/>
  <c r="AI497" i="4" s="1"/>
  <c r="AG497" i="4"/>
  <c r="AJ497" i="4"/>
  <c r="AM497" i="4"/>
  <c r="AN497" i="4"/>
  <c r="AO497" i="4"/>
  <c r="AQ497" i="4" s="1"/>
  <c r="AR497" i="4"/>
  <c r="G498" i="4"/>
  <c r="AA498" i="4"/>
  <c r="AB498" i="4"/>
  <c r="AC498" i="4" s="1"/>
  <c r="AL498" i="4" s="1"/>
  <c r="AD498" i="4"/>
  <c r="AK498" i="4" s="1"/>
  <c r="AP498" i="4" s="1"/>
  <c r="AF498" i="4"/>
  <c r="AG498" i="4"/>
  <c r="AJ498" i="4"/>
  <c r="AM498" i="4"/>
  <c r="AN498" i="4"/>
  <c r="AO498" i="4"/>
  <c r="AQ498" i="4" s="1"/>
  <c r="AR498" i="4"/>
  <c r="G499" i="4"/>
  <c r="AA499" i="4"/>
  <c r="AB499" i="4"/>
  <c r="AC499" i="4" s="1"/>
  <c r="AD499" i="4"/>
  <c r="AE499" i="4" s="1"/>
  <c r="AF499" i="4"/>
  <c r="AI499" i="4" s="1"/>
  <c r="AG499" i="4"/>
  <c r="AJ499" i="4"/>
  <c r="AM499" i="4"/>
  <c r="AN499" i="4"/>
  <c r="AO499" i="4"/>
  <c r="AQ499" i="4" s="1"/>
  <c r="AR499" i="4"/>
  <c r="G500" i="4"/>
  <c r="AA500" i="4"/>
  <c r="AB500" i="4"/>
  <c r="AC500" i="4" s="1"/>
  <c r="AD500" i="4"/>
  <c r="AF500" i="4"/>
  <c r="AG500" i="4"/>
  <c r="AJ500" i="4"/>
  <c r="AM500" i="4"/>
  <c r="AN500" i="4"/>
  <c r="AO500" i="4"/>
  <c r="AQ500" i="4" s="1"/>
  <c r="AR500" i="4"/>
  <c r="G501" i="4"/>
  <c r="AA501" i="4"/>
  <c r="AB501" i="4"/>
  <c r="AC501" i="4" s="1"/>
  <c r="AD501" i="4"/>
  <c r="AE501" i="4" s="1"/>
  <c r="AF501" i="4"/>
  <c r="AG501" i="4"/>
  <c r="AJ501" i="4"/>
  <c r="AM501" i="4"/>
  <c r="AN501" i="4"/>
  <c r="AO501" i="4"/>
  <c r="AQ501" i="4" s="1"/>
  <c r="AR501" i="4"/>
  <c r="G502" i="4"/>
  <c r="AA502" i="4"/>
  <c r="AB502" i="4"/>
  <c r="AC502" i="4" s="1"/>
  <c r="AD502" i="4"/>
  <c r="AE502" i="4"/>
  <c r="AF502" i="4"/>
  <c r="AG502" i="4"/>
  <c r="AJ502" i="4"/>
  <c r="AM502" i="4"/>
  <c r="AN502" i="4"/>
  <c r="AO502" i="4"/>
  <c r="AQ502" i="4" s="1"/>
  <c r="AR502" i="4"/>
  <c r="G503" i="4"/>
  <c r="AA503" i="4"/>
  <c r="AB503" i="4"/>
  <c r="AC503" i="4" s="1"/>
  <c r="AD503" i="4"/>
  <c r="AE503" i="4" s="1"/>
  <c r="AF503" i="4"/>
  <c r="AG503" i="4"/>
  <c r="AI503" i="4"/>
  <c r="AJ503" i="4"/>
  <c r="AK503" i="4" s="1"/>
  <c r="AP503" i="4" s="1"/>
  <c r="AM503" i="4"/>
  <c r="AN503" i="4"/>
  <c r="AO503" i="4"/>
  <c r="AQ503" i="4"/>
  <c r="AR503" i="4"/>
  <c r="G504" i="4"/>
  <c r="AA504" i="4"/>
  <c r="AB504" i="4"/>
  <c r="AC504" i="4"/>
  <c r="AL504" i="4" s="1"/>
  <c r="AD504" i="4"/>
  <c r="AF504" i="4"/>
  <c r="AI504" i="4" s="1"/>
  <c r="AG504" i="4"/>
  <c r="AJ504" i="4"/>
  <c r="AM504" i="4"/>
  <c r="AN504" i="4"/>
  <c r="AO504" i="4"/>
  <c r="AQ504" i="4" s="1"/>
  <c r="AR504" i="4"/>
  <c r="G505" i="4"/>
  <c r="AA505" i="4"/>
  <c r="AB505" i="4"/>
  <c r="AC505" i="4" s="1"/>
  <c r="AD505" i="4"/>
  <c r="AE505" i="4" s="1"/>
  <c r="AF505" i="4"/>
  <c r="AG505" i="4"/>
  <c r="AJ505" i="4"/>
  <c r="AM505" i="4"/>
  <c r="AN505" i="4"/>
  <c r="AO505" i="4"/>
  <c r="AQ505" i="4"/>
  <c r="AR505" i="4"/>
  <c r="G506" i="4"/>
  <c r="AA506" i="4"/>
  <c r="AB506" i="4"/>
  <c r="AC506" i="4" s="1"/>
  <c r="AL506" i="4" s="1"/>
  <c r="AD506" i="4"/>
  <c r="AE506" i="4"/>
  <c r="AF506" i="4"/>
  <c r="AI506" i="4" s="1"/>
  <c r="AG506" i="4"/>
  <c r="AJ506" i="4"/>
  <c r="AK506" i="4" s="1"/>
  <c r="AP506" i="4" s="1"/>
  <c r="AM506" i="4"/>
  <c r="AN506" i="4"/>
  <c r="AO506" i="4"/>
  <c r="AQ506" i="4" s="1"/>
  <c r="AR506" i="4"/>
  <c r="G507" i="4"/>
  <c r="AA507" i="4"/>
  <c r="AB507" i="4"/>
  <c r="AC507" i="4" s="1"/>
  <c r="AD507" i="4"/>
  <c r="AE507" i="4"/>
  <c r="AF507" i="4"/>
  <c r="AG507" i="4"/>
  <c r="AI507" i="4"/>
  <c r="AJ507" i="4"/>
  <c r="AM507" i="4"/>
  <c r="AN507" i="4"/>
  <c r="AO507" i="4"/>
  <c r="AQ507" i="4" s="1"/>
  <c r="AR507" i="4"/>
  <c r="G508" i="4"/>
  <c r="AA508" i="4"/>
  <c r="AB508" i="4"/>
  <c r="AC508" i="4" s="1"/>
  <c r="AL508" i="4" s="1"/>
  <c r="AD508" i="4"/>
  <c r="AE508" i="4"/>
  <c r="AF508" i="4"/>
  <c r="AG508" i="4"/>
  <c r="AI508" i="4" s="1"/>
  <c r="AJ508" i="4"/>
  <c r="AK508" i="4"/>
  <c r="AP508" i="4" s="1"/>
  <c r="AM508" i="4"/>
  <c r="AN508" i="4"/>
  <c r="AO508" i="4"/>
  <c r="AQ508" i="4" s="1"/>
  <c r="AR508" i="4"/>
  <c r="G509" i="4"/>
  <c r="AA509" i="4"/>
  <c r="AB509" i="4"/>
  <c r="AC509" i="4" s="1"/>
  <c r="AD509" i="4"/>
  <c r="AE509" i="4"/>
  <c r="AF509" i="4"/>
  <c r="AG509" i="4"/>
  <c r="AI509" i="4" s="1"/>
  <c r="AJ509" i="4"/>
  <c r="AM509" i="4"/>
  <c r="AN509" i="4"/>
  <c r="AO509" i="4"/>
  <c r="AQ509" i="4" s="1"/>
  <c r="AR509" i="4"/>
  <c r="G510" i="4"/>
  <c r="AA510" i="4"/>
  <c r="AB510" i="4"/>
  <c r="AC510" i="4" s="1"/>
  <c r="AL510" i="4" s="1"/>
  <c r="AD510" i="4"/>
  <c r="AK510" i="4" s="1"/>
  <c r="AP510" i="4" s="1"/>
  <c r="AF510" i="4"/>
  <c r="AG510" i="4"/>
  <c r="AI510" i="4"/>
  <c r="AJ510" i="4"/>
  <c r="AM510" i="4"/>
  <c r="AN510" i="4"/>
  <c r="AO510" i="4"/>
  <c r="AQ510" i="4"/>
  <c r="AR510" i="4"/>
  <c r="G511" i="4"/>
  <c r="AA511" i="4"/>
  <c r="AB511" i="4"/>
  <c r="AC511" i="4" s="1"/>
  <c r="AD511" i="4"/>
  <c r="AE511" i="4" s="1"/>
  <c r="AF511" i="4"/>
  <c r="AG511" i="4"/>
  <c r="AI511" i="4" s="1"/>
  <c r="AJ511" i="4"/>
  <c r="AM511" i="4"/>
  <c r="AN511" i="4"/>
  <c r="AO511" i="4"/>
  <c r="AQ511" i="4"/>
  <c r="AR511" i="4"/>
  <c r="G512" i="4"/>
  <c r="AA512" i="4"/>
  <c r="AB512" i="4"/>
  <c r="AC512" i="4" s="1"/>
  <c r="AL512" i="4" s="1"/>
  <c r="AD512" i="4"/>
  <c r="AK512" i="4" s="1"/>
  <c r="AP512" i="4" s="1"/>
  <c r="AF512" i="4"/>
  <c r="AG512" i="4"/>
  <c r="AJ512" i="4"/>
  <c r="AM512" i="4"/>
  <c r="AN512" i="4"/>
  <c r="AO512" i="4"/>
  <c r="AQ512" i="4"/>
  <c r="AR512" i="4"/>
  <c r="G513" i="4"/>
  <c r="AA513" i="4"/>
  <c r="AB513" i="4"/>
  <c r="AC513" i="4" s="1"/>
  <c r="AD513" i="4"/>
  <c r="AE513" i="4" s="1"/>
  <c r="AF513" i="4"/>
  <c r="AG513" i="4"/>
  <c r="AJ513" i="4"/>
  <c r="AM513" i="4"/>
  <c r="AN513" i="4"/>
  <c r="AO513" i="4"/>
  <c r="AQ513" i="4" s="1"/>
  <c r="AR513" i="4"/>
  <c r="G514" i="4"/>
  <c r="AA514" i="4"/>
  <c r="AB514" i="4"/>
  <c r="AC514" i="4" s="1"/>
  <c r="AL514" i="4" s="1"/>
  <c r="AD514" i="4"/>
  <c r="AF514" i="4"/>
  <c r="AG514" i="4"/>
  <c r="AI514" i="4"/>
  <c r="AJ514" i="4"/>
  <c r="AM514" i="4"/>
  <c r="AN514" i="4"/>
  <c r="AO514" i="4"/>
  <c r="AQ514" i="4"/>
  <c r="AR514" i="4"/>
  <c r="G515" i="4"/>
  <c r="AA515" i="4"/>
  <c r="AB515" i="4"/>
  <c r="AC515" i="4" s="1"/>
  <c r="AD515" i="4"/>
  <c r="AE515" i="4" s="1"/>
  <c r="AF515" i="4"/>
  <c r="AG515" i="4"/>
  <c r="AJ515" i="4"/>
  <c r="AL515" i="4"/>
  <c r="AM515" i="4"/>
  <c r="AN515" i="4"/>
  <c r="AO515" i="4"/>
  <c r="AQ515" i="4" s="1"/>
  <c r="AR515" i="4"/>
  <c r="G516" i="4"/>
  <c r="AA516" i="4"/>
  <c r="AB516" i="4"/>
  <c r="AC516" i="4" s="1"/>
  <c r="AD516" i="4"/>
  <c r="AE516" i="4" s="1"/>
  <c r="AF516" i="4"/>
  <c r="AG516" i="4"/>
  <c r="AI516" i="4" s="1"/>
  <c r="AJ516" i="4"/>
  <c r="AK516" i="4" s="1"/>
  <c r="AP516" i="4" s="1"/>
  <c r="AM516" i="4"/>
  <c r="AN516" i="4"/>
  <c r="AO516" i="4"/>
  <c r="AQ516" i="4" s="1"/>
  <c r="AR516" i="4"/>
  <c r="G517" i="4"/>
  <c r="AA517" i="4"/>
  <c r="AB517" i="4"/>
  <c r="AC517" i="4" s="1"/>
  <c r="AL517" i="4" s="1"/>
  <c r="AD517" i="4"/>
  <c r="AF517" i="4"/>
  <c r="AG517" i="4"/>
  <c r="AJ517" i="4"/>
  <c r="AM517" i="4"/>
  <c r="AN517" i="4"/>
  <c r="AO517" i="4"/>
  <c r="AQ517" i="4" s="1"/>
  <c r="AR517" i="4"/>
  <c r="G518" i="4"/>
  <c r="AA518" i="4"/>
  <c r="AB518" i="4"/>
  <c r="AC518" i="4"/>
  <c r="AL518" i="4" s="1"/>
  <c r="AD518" i="4"/>
  <c r="AE518" i="4"/>
  <c r="AF518" i="4"/>
  <c r="AG518" i="4"/>
  <c r="AI518" i="4"/>
  <c r="AJ518" i="4"/>
  <c r="AK518" i="4" s="1"/>
  <c r="AP518" i="4" s="1"/>
  <c r="AM518" i="4"/>
  <c r="AN518" i="4"/>
  <c r="AO518" i="4"/>
  <c r="AQ518" i="4"/>
  <c r="AR518" i="4"/>
  <c r="G519" i="4"/>
  <c r="AA519" i="4"/>
  <c r="AB519" i="4"/>
  <c r="AC519" i="4" s="1"/>
  <c r="AD519" i="4"/>
  <c r="AF519" i="4"/>
  <c r="AG519" i="4"/>
  <c r="AI519" i="4" s="1"/>
  <c r="AJ519" i="4"/>
  <c r="AM519" i="4"/>
  <c r="AN519" i="4"/>
  <c r="AO519" i="4"/>
  <c r="AQ519" i="4" s="1"/>
  <c r="AR519" i="4"/>
  <c r="G520" i="4"/>
  <c r="AA520" i="4"/>
  <c r="AB520" i="4"/>
  <c r="AC520" i="4" s="1"/>
  <c r="AD520" i="4"/>
  <c r="AE520" i="4" s="1"/>
  <c r="AF520" i="4"/>
  <c r="AG520" i="4"/>
  <c r="AI520" i="4" s="1"/>
  <c r="AJ520" i="4"/>
  <c r="AK520" i="4" s="1"/>
  <c r="AP520" i="4" s="1"/>
  <c r="AM520" i="4"/>
  <c r="AN520" i="4"/>
  <c r="AO520" i="4"/>
  <c r="AQ520" i="4" s="1"/>
  <c r="AR520" i="4"/>
  <c r="G521" i="4"/>
  <c r="AA521" i="4"/>
  <c r="AB521" i="4"/>
  <c r="AC521" i="4" s="1"/>
  <c r="AD521" i="4"/>
  <c r="AE521" i="4"/>
  <c r="AF521" i="4"/>
  <c r="AI521" i="4" s="1"/>
  <c r="AG521" i="4"/>
  <c r="AJ521" i="4"/>
  <c r="AM521" i="4"/>
  <c r="AN521" i="4"/>
  <c r="AO521" i="4"/>
  <c r="AQ521" i="4" s="1"/>
  <c r="AR521" i="4"/>
  <c r="G522" i="4"/>
  <c r="AA522" i="4"/>
  <c r="AB522" i="4"/>
  <c r="AC522" i="4"/>
  <c r="AL522" i="4" s="1"/>
  <c r="AD522" i="4"/>
  <c r="AK522" i="4" s="1"/>
  <c r="AP522" i="4" s="1"/>
  <c r="AF522" i="4"/>
  <c r="AG522" i="4"/>
  <c r="AJ522" i="4"/>
  <c r="AM522" i="4"/>
  <c r="AN522" i="4"/>
  <c r="AO522" i="4"/>
  <c r="AQ522" i="4" s="1"/>
  <c r="AR522" i="4"/>
  <c r="G523" i="4"/>
  <c r="AA523" i="4"/>
  <c r="AB523" i="4"/>
  <c r="AC523" i="4" s="1"/>
  <c r="AD523" i="4"/>
  <c r="AE523" i="4" s="1"/>
  <c r="AF523" i="4"/>
  <c r="AI523" i="4" s="1"/>
  <c r="AG523" i="4"/>
  <c r="AJ523" i="4"/>
  <c r="AM523" i="4"/>
  <c r="AN523" i="4"/>
  <c r="AO523" i="4"/>
  <c r="AQ523" i="4"/>
  <c r="AR523" i="4"/>
  <c r="G524" i="4"/>
  <c r="AA524" i="4"/>
  <c r="AB524" i="4"/>
  <c r="AC524" i="4" s="1"/>
  <c r="AD524" i="4"/>
  <c r="AF524" i="4"/>
  <c r="AI524" i="4" s="1"/>
  <c r="AG524" i="4"/>
  <c r="AJ524" i="4"/>
  <c r="AM524" i="4"/>
  <c r="AN524" i="4"/>
  <c r="AO524" i="4"/>
  <c r="AQ524" i="4" s="1"/>
  <c r="AR524" i="4"/>
  <c r="G525" i="4"/>
  <c r="AA525" i="4"/>
  <c r="AB525" i="4"/>
  <c r="AC525" i="4" s="1"/>
  <c r="AD525" i="4"/>
  <c r="AE525" i="4"/>
  <c r="AF525" i="4"/>
  <c r="AG525" i="4"/>
  <c r="AJ525" i="4"/>
  <c r="AK525" i="4" s="1"/>
  <c r="AP525" i="4" s="1"/>
  <c r="AL525" i="4"/>
  <c r="AM525" i="4"/>
  <c r="AN525" i="4"/>
  <c r="AO525" i="4"/>
  <c r="AQ525" i="4" s="1"/>
  <c r="AR525" i="4"/>
  <c r="G526" i="4"/>
  <c r="AA526" i="4"/>
  <c r="AB526" i="4"/>
  <c r="AC526" i="4" s="1"/>
  <c r="AL526" i="4" s="1"/>
  <c r="AD526" i="4"/>
  <c r="AF526" i="4"/>
  <c r="AI526" i="4" s="1"/>
  <c r="AG526" i="4"/>
  <c r="AJ526" i="4"/>
  <c r="AM526" i="4"/>
  <c r="AN526" i="4"/>
  <c r="AO526" i="4"/>
  <c r="AQ526" i="4" s="1"/>
  <c r="AR526" i="4"/>
  <c r="G527" i="4"/>
  <c r="AA527" i="4"/>
  <c r="AB527" i="4"/>
  <c r="AC527" i="4" s="1"/>
  <c r="AD527" i="4"/>
  <c r="AE527" i="4" s="1"/>
  <c r="AF527" i="4"/>
  <c r="AG527" i="4"/>
  <c r="AI527" i="4"/>
  <c r="AJ527" i="4"/>
  <c r="AL527" i="4"/>
  <c r="AM527" i="4"/>
  <c r="AN527" i="4"/>
  <c r="AO527" i="4"/>
  <c r="AQ527" i="4"/>
  <c r="AR527" i="4"/>
  <c r="G528" i="4"/>
  <c r="AA528" i="4"/>
  <c r="AB528" i="4"/>
  <c r="AC528" i="4" s="1"/>
  <c r="AL528" i="4" s="1"/>
  <c r="AD528" i="4"/>
  <c r="AE528" i="4" s="1"/>
  <c r="AF528" i="4"/>
  <c r="AI528" i="4" s="1"/>
  <c r="AG528" i="4"/>
  <c r="AJ528" i="4"/>
  <c r="AM528" i="4"/>
  <c r="AN528" i="4"/>
  <c r="AO528" i="4"/>
  <c r="AQ528" i="4"/>
  <c r="AR528" i="4"/>
  <c r="G529" i="4"/>
  <c r="AA529" i="4"/>
  <c r="AB529" i="4"/>
  <c r="AC529" i="4" s="1"/>
  <c r="AL529" i="4" s="1"/>
  <c r="AD529" i="4"/>
  <c r="AE529" i="4" s="1"/>
  <c r="AF529" i="4"/>
  <c r="AG529" i="4"/>
  <c r="AJ529" i="4"/>
  <c r="AM529" i="4"/>
  <c r="AN529" i="4"/>
  <c r="AO529" i="4"/>
  <c r="AQ529" i="4"/>
  <c r="AR529" i="4"/>
  <c r="G530" i="4"/>
  <c r="AA530" i="4"/>
  <c r="AB530" i="4"/>
  <c r="AC530" i="4" s="1"/>
  <c r="AD530" i="4"/>
  <c r="AK530" i="4" s="1"/>
  <c r="AP530" i="4" s="1"/>
  <c r="AE530" i="4"/>
  <c r="AF530" i="4"/>
  <c r="AG530" i="4"/>
  <c r="AI530" i="4"/>
  <c r="AJ530" i="4"/>
  <c r="AM530" i="4"/>
  <c r="AN530" i="4"/>
  <c r="AO530" i="4"/>
  <c r="AQ530" i="4"/>
  <c r="AR530" i="4"/>
  <c r="G531" i="4"/>
  <c r="AA531" i="4"/>
  <c r="AB531" i="4"/>
  <c r="AC531" i="4" s="1"/>
  <c r="AL531" i="4" s="1"/>
  <c r="AD531" i="4"/>
  <c r="AK531" i="4" s="1"/>
  <c r="AP531" i="4" s="1"/>
  <c r="AF531" i="4"/>
  <c r="AG531" i="4"/>
  <c r="AJ531" i="4"/>
  <c r="AM531" i="4"/>
  <c r="AN531" i="4"/>
  <c r="AO531" i="4"/>
  <c r="AQ531" i="4"/>
  <c r="AR531" i="4"/>
  <c r="G532" i="4"/>
  <c r="AA532" i="4"/>
  <c r="AB532" i="4"/>
  <c r="AC532" i="4"/>
  <c r="AD532" i="4"/>
  <c r="AE532" i="4"/>
  <c r="AF532" i="4"/>
  <c r="AG532" i="4"/>
  <c r="AJ532" i="4"/>
  <c r="AK532" i="4"/>
  <c r="AP532" i="4" s="1"/>
  <c r="AM532" i="4"/>
  <c r="AN532" i="4"/>
  <c r="AO532" i="4"/>
  <c r="AQ532" i="4" s="1"/>
  <c r="AR532" i="4"/>
  <c r="G533" i="4"/>
  <c r="AA533" i="4"/>
  <c r="AB533" i="4"/>
  <c r="AC533" i="4" s="1"/>
  <c r="AD533" i="4"/>
  <c r="AE533" i="4" s="1"/>
  <c r="AF533" i="4"/>
  <c r="AG533" i="4"/>
  <c r="AJ533" i="4"/>
  <c r="AL533" i="4" s="1"/>
  <c r="AK533" i="4"/>
  <c r="AP533" i="4" s="1"/>
  <c r="AM533" i="4"/>
  <c r="AN533" i="4"/>
  <c r="AO533" i="4"/>
  <c r="AQ533" i="4" s="1"/>
  <c r="AR533" i="4"/>
  <c r="G534" i="4"/>
  <c r="AA534" i="4"/>
  <c r="AB534" i="4"/>
  <c r="AC534" i="4" s="1"/>
  <c r="AD534" i="4"/>
  <c r="AF534" i="4"/>
  <c r="AG534" i="4"/>
  <c r="AI534" i="4"/>
  <c r="AJ534" i="4"/>
  <c r="AM534" i="4"/>
  <c r="AN534" i="4"/>
  <c r="AO534" i="4"/>
  <c r="AQ534" i="4" s="1"/>
  <c r="AR534" i="4"/>
  <c r="G535" i="4"/>
  <c r="AA535" i="4"/>
  <c r="AB535" i="4"/>
  <c r="AC535" i="4" s="1"/>
  <c r="AD535" i="4"/>
  <c r="AE535" i="4" s="1"/>
  <c r="AF535" i="4"/>
  <c r="AG535" i="4"/>
  <c r="AI535" i="4" s="1"/>
  <c r="AJ535" i="4"/>
  <c r="AL535" i="4" s="1"/>
  <c r="AM535" i="4"/>
  <c r="AN535" i="4"/>
  <c r="AO535" i="4"/>
  <c r="AQ535" i="4"/>
  <c r="AR535" i="4"/>
  <c r="G536" i="4"/>
  <c r="AA536" i="4"/>
  <c r="AB536" i="4"/>
  <c r="AC536" i="4" s="1"/>
  <c r="AD536" i="4"/>
  <c r="AE536" i="4"/>
  <c r="AF536" i="4"/>
  <c r="AG536" i="4"/>
  <c r="AJ536" i="4"/>
  <c r="AM536" i="4"/>
  <c r="AN536" i="4"/>
  <c r="AO536" i="4"/>
  <c r="AQ536" i="4"/>
  <c r="AR536" i="4"/>
  <c r="G537" i="4"/>
  <c r="AA537" i="4"/>
  <c r="AB537" i="4"/>
  <c r="AC537" i="4" s="1"/>
  <c r="AD537" i="4"/>
  <c r="AE537" i="4"/>
  <c r="AF537" i="4"/>
  <c r="AG537" i="4"/>
  <c r="AJ537" i="4"/>
  <c r="AM537" i="4"/>
  <c r="AN537" i="4"/>
  <c r="AO537" i="4"/>
  <c r="AQ537" i="4" s="1"/>
  <c r="AR537" i="4"/>
  <c r="G538" i="4"/>
  <c r="AA538" i="4"/>
  <c r="AB538" i="4"/>
  <c r="AC538" i="4" s="1"/>
  <c r="AD538" i="4"/>
  <c r="AF538" i="4"/>
  <c r="AG538" i="4"/>
  <c r="AJ538" i="4"/>
  <c r="AM538" i="4"/>
  <c r="AN538" i="4"/>
  <c r="AO538" i="4"/>
  <c r="AQ538" i="4" s="1"/>
  <c r="AR538" i="4"/>
  <c r="G539" i="4"/>
  <c r="AA539" i="4"/>
  <c r="AB539" i="4"/>
  <c r="AC539" i="4" s="1"/>
  <c r="AL539" i="4" s="1"/>
  <c r="AD539" i="4"/>
  <c r="AE539" i="4" s="1"/>
  <c r="AF539" i="4"/>
  <c r="AG539" i="4"/>
  <c r="AI539" i="4"/>
  <c r="AJ539" i="4"/>
  <c r="AM539" i="4"/>
  <c r="AN539" i="4"/>
  <c r="AO539" i="4"/>
  <c r="AQ539" i="4" s="1"/>
  <c r="AR539" i="4"/>
  <c r="G540" i="4"/>
  <c r="AA540" i="4"/>
  <c r="AB540" i="4"/>
  <c r="AC540" i="4" s="1"/>
  <c r="AD540" i="4"/>
  <c r="AE540" i="4" s="1"/>
  <c r="AF540" i="4"/>
  <c r="AI540" i="4" s="1"/>
  <c r="AG540" i="4"/>
  <c r="AJ540" i="4"/>
  <c r="AM540" i="4"/>
  <c r="AN540" i="4"/>
  <c r="AO540" i="4"/>
  <c r="AQ540" i="4"/>
  <c r="AR540" i="4"/>
  <c r="G541" i="4"/>
  <c r="AA541" i="4"/>
  <c r="AB541" i="4"/>
  <c r="AC541" i="4" s="1"/>
  <c r="AD541" i="4"/>
  <c r="AE541" i="4"/>
  <c r="AF541" i="4"/>
  <c r="AI541" i="4" s="1"/>
  <c r="AG541" i="4"/>
  <c r="AJ541" i="4"/>
  <c r="AM541" i="4"/>
  <c r="AN541" i="4"/>
  <c r="AO541" i="4"/>
  <c r="AQ541" i="4" s="1"/>
  <c r="AR541" i="4"/>
  <c r="G542" i="4"/>
  <c r="AA542" i="4"/>
  <c r="AB542" i="4"/>
  <c r="AC542" i="4"/>
  <c r="AD542" i="4"/>
  <c r="AE542" i="4"/>
  <c r="AF542" i="4"/>
  <c r="AG542" i="4"/>
  <c r="AI542" i="4"/>
  <c r="AJ542" i="4"/>
  <c r="AK542" i="4"/>
  <c r="AP542" i="4" s="1"/>
  <c r="AL542" i="4"/>
  <c r="AM542" i="4"/>
  <c r="AN542" i="4"/>
  <c r="AO542" i="4"/>
  <c r="AQ542" i="4"/>
  <c r="AR542" i="4"/>
  <c r="G543" i="4"/>
  <c r="AA543" i="4"/>
  <c r="AB543" i="4"/>
  <c r="AC543" i="4" s="1"/>
  <c r="AD543" i="4"/>
  <c r="AF543" i="4"/>
  <c r="AG543" i="4"/>
  <c r="AI543" i="4" s="1"/>
  <c r="AJ543" i="4"/>
  <c r="AM543" i="4"/>
  <c r="AN543" i="4"/>
  <c r="AO543" i="4"/>
  <c r="AQ543" i="4"/>
  <c r="AR543" i="4"/>
  <c r="G544" i="4"/>
  <c r="AA544" i="4"/>
  <c r="AB544" i="4"/>
  <c r="AC544" i="4" s="1"/>
  <c r="AD544" i="4"/>
  <c r="AE544" i="4"/>
  <c r="AF544" i="4"/>
  <c r="AG544" i="4"/>
  <c r="AI544" i="4" s="1"/>
  <c r="AJ544" i="4"/>
  <c r="AM544" i="4"/>
  <c r="AN544" i="4"/>
  <c r="AO544" i="4"/>
  <c r="AQ544" i="4" s="1"/>
  <c r="AR544" i="4"/>
  <c r="G545" i="4"/>
  <c r="AA545" i="4"/>
  <c r="AB545" i="4"/>
  <c r="AC545" i="4" s="1"/>
  <c r="AD545" i="4"/>
  <c r="AE545" i="4"/>
  <c r="AF545" i="4"/>
  <c r="AG545" i="4"/>
  <c r="AJ545" i="4"/>
  <c r="AM545" i="4"/>
  <c r="AN545" i="4"/>
  <c r="AO545" i="4"/>
  <c r="AQ545" i="4"/>
  <c r="AR545" i="4"/>
  <c r="G546" i="4"/>
  <c r="AA546" i="4"/>
  <c r="AB546" i="4"/>
  <c r="AC546" i="4"/>
  <c r="AL546" i="4" s="1"/>
  <c r="AD546" i="4"/>
  <c r="AE546" i="4"/>
  <c r="AF546" i="4"/>
  <c r="AG546" i="4"/>
  <c r="AI546" i="4"/>
  <c r="AJ546" i="4"/>
  <c r="AK546" i="4"/>
  <c r="AP546" i="4" s="1"/>
  <c r="AM546" i="4"/>
  <c r="AN546" i="4"/>
  <c r="AO546" i="4"/>
  <c r="AQ546" i="4" s="1"/>
  <c r="AR546" i="4"/>
  <c r="G547" i="4"/>
  <c r="AA547" i="4"/>
  <c r="AB547" i="4"/>
  <c r="AC547" i="4" s="1"/>
  <c r="AL547" i="4" s="1"/>
  <c r="AD547" i="4"/>
  <c r="AE547" i="4" s="1"/>
  <c r="AF547" i="4"/>
  <c r="AG547" i="4"/>
  <c r="AI547" i="4" s="1"/>
  <c r="AJ547" i="4"/>
  <c r="AM547" i="4"/>
  <c r="AN547" i="4"/>
  <c r="AO547" i="4"/>
  <c r="AQ547" i="4" s="1"/>
  <c r="AR547" i="4"/>
  <c r="G548" i="4"/>
  <c r="AA548" i="4"/>
  <c r="AB548" i="4"/>
  <c r="AC548" i="4" s="1"/>
  <c r="AD548" i="4"/>
  <c r="AK548" i="4" s="1"/>
  <c r="AE548" i="4"/>
  <c r="AF548" i="4"/>
  <c r="AG548" i="4"/>
  <c r="AJ548" i="4"/>
  <c r="AM548" i="4"/>
  <c r="AN548" i="4"/>
  <c r="AO548" i="4"/>
  <c r="AP548" i="4"/>
  <c r="AQ548" i="4"/>
  <c r="AR548" i="4"/>
  <c r="G549" i="4"/>
  <c r="AA549" i="4"/>
  <c r="AB549" i="4"/>
  <c r="AC549" i="4" s="1"/>
  <c r="AD549" i="4"/>
  <c r="AE549" i="4"/>
  <c r="AF549" i="4"/>
  <c r="AI549" i="4" s="1"/>
  <c r="AG549" i="4"/>
  <c r="AJ549" i="4"/>
  <c r="AK549" i="4" s="1"/>
  <c r="AP549" i="4" s="1"/>
  <c r="AM549" i="4"/>
  <c r="AN549" i="4"/>
  <c r="AO549" i="4"/>
  <c r="AQ549" i="4" s="1"/>
  <c r="AR549" i="4"/>
  <c r="G550" i="4"/>
  <c r="AA550" i="4"/>
  <c r="AB550" i="4"/>
  <c r="AC550" i="4" s="1"/>
  <c r="AL550" i="4" s="1"/>
  <c r="AD550" i="4"/>
  <c r="AK550" i="4" s="1"/>
  <c r="AP550" i="4" s="1"/>
  <c r="AF550" i="4"/>
  <c r="AI550" i="4" s="1"/>
  <c r="AG550" i="4"/>
  <c r="AJ550" i="4"/>
  <c r="AM550" i="4"/>
  <c r="AN550" i="4"/>
  <c r="AO550" i="4"/>
  <c r="AQ550" i="4"/>
  <c r="AR550" i="4"/>
  <c r="G551" i="4"/>
  <c r="AA551" i="4"/>
  <c r="AB551" i="4"/>
  <c r="AC551" i="4" s="1"/>
  <c r="AD551" i="4"/>
  <c r="AE551" i="4" s="1"/>
  <c r="AF551" i="4"/>
  <c r="AI551" i="4" s="1"/>
  <c r="AG551" i="4"/>
  <c r="AJ551" i="4"/>
  <c r="AL551" i="4" s="1"/>
  <c r="AM551" i="4"/>
  <c r="AN551" i="4"/>
  <c r="AO551" i="4"/>
  <c r="AQ551" i="4"/>
  <c r="AR551" i="4"/>
  <c r="G552" i="4"/>
  <c r="AA552" i="4"/>
  <c r="AB552" i="4"/>
  <c r="AC552" i="4"/>
  <c r="AD552" i="4"/>
  <c r="AE552" i="4" s="1"/>
  <c r="AF552" i="4"/>
  <c r="AG552" i="4"/>
  <c r="AI552" i="4"/>
  <c r="AJ552" i="4"/>
  <c r="AL552" i="4"/>
  <c r="AM552" i="4"/>
  <c r="AN552" i="4"/>
  <c r="AO552" i="4"/>
  <c r="AQ552" i="4"/>
  <c r="AR552" i="4"/>
  <c r="G553" i="4"/>
  <c r="AA553" i="4"/>
  <c r="AB553" i="4"/>
  <c r="AC553" i="4" s="1"/>
  <c r="AD553" i="4"/>
  <c r="AE553" i="4" s="1"/>
  <c r="AF553" i="4"/>
  <c r="AI553" i="4" s="1"/>
  <c r="AG553" i="4"/>
  <c r="AJ553" i="4"/>
  <c r="AM553" i="4"/>
  <c r="AN553" i="4"/>
  <c r="AO553" i="4"/>
  <c r="AQ553" i="4" s="1"/>
  <c r="AR553" i="4"/>
  <c r="G554" i="4"/>
  <c r="AA554" i="4"/>
  <c r="AB554" i="4"/>
  <c r="AC554" i="4" s="1"/>
  <c r="AD554" i="4"/>
  <c r="AK554" i="4" s="1"/>
  <c r="AP554" i="4" s="1"/>
  <c r="AE554" i="4"/>
  <c r="AF554" i="4"/>
  <c r="AI554" i="4" s="1"/>
  <c r="AG554" i="4"/>
  <c r="AJ554" i="4"/>
  <c r="AL554" i="4"/>
  <c r="AM554" i="4"/>
  <c r="AN554" i="4"/>
  <c r="AO554" i="4"/>
  <c r="AQ554" i="4" s="1"/>
  <c r="AR554" i="4"/>
  <c r="G555" i="4"/>
  <c r="AA555" i="4"/>
  <c r="AB555" i="4"/>
  <c r="AC555" i="4" s="1"/>
  <c r="AL555" i="4" s="1"/>
  <c r="AD555" i="4"/>
  <c r="AK555" i="4" s="1"/>
  <c r="AP555" i="4" s="1"/>
  <c r="AF555" i="4"/>
  <c r="AG555" i="4"/>
  <c r="AI555" i="4"/>
  <c r="AJ555" i="4"/>
  <c r="AM555" i="4"/>
  <c r="AN555" i="4"/>
  <c r="AO555" i="4"/>
  <c r="AQ555" i="4" s="1"/>
  <c r="AR555" i="4"/>
  <c r="G556" i="4"/>
  <c r="AA556" i="4"/>
  <c r="AB556" i="4"/>
  <c r="AC556" i="4" s="1"/>
  <c r="AL556" i="4" s="1"/>
  <c r="AD556" i="4"/>
  <c r="AE556" i="4" s="1"/>
  <c r="AF556" i="4"/>
  <c r="AG556" i="4"/>
  <c r="AI556" i="4" s="1"/>
  <c r="AJ556" i="4"/>
  <c r="AM556" i="4"/>
  <c r="AN556" i="4"/>
  <c r="AO556" i="4"/>
  <c r="AQ556" i="4" s="1"/>
  <c r="AR556" i="4"/>
  <c r="G557" i="4"/>
  <c r="AA557" i="4"/>
  <c r="AB557" i="4"/>
  <c r="AC557" i="4" s="1"/>
  <c r="AD557" i="4"/>
  <c r="AE557" i="4"/>
  <c r="AF557" i="4"/>
  <c r="AI557" i="4" s="1"/>
  <c r="AG557" i="4"/>
  <c r="AJ557" i="4"/>
  <c r="AK557" i="4" s="1"/>
  <c r="AP557" i="4" s="1"/>
  <c r="AM557" i="4"/>
  <c r="AN557" i="4"/>
  <c r="AO557" i="4"/>
  <c r="AQ557" i="4" s="1"/>
  <c r="AR557" i="4"/>
  <c r="G558" i="4"/>
  <c r="AA558" i="4"/>
  <c r="AB558" i="4"/>
  <c r="AC558" i="4" s="1"/>
  <c r="AL558" i="4" s="1"/>
  <c r="AD558" i="4"/>
  <c r="AE558" i="4"/>
  <c r="AF558" i="4"/>
  <c r="AG558" i="4"/>
  <c r="AI558" i="4"/>
  <c r="AJ558" i="4"/>
  <c r="AM558" i="4"/>
  <c r="AN558" i="4"/>
  <c r="AO558" i="4"/>
  <c r="AQ558" i="4"/>
  <c r="AR558" i="4"/>
  <c r="G559" i="4"/>
  <c r="AA559" i="4"/>
  <c r="AB559" i="4"/>
  <c r="AC559" i="4" s="1"/>
  <c r="AD559" i="4"/>
  <c r="AE559" i="4" s="1"/>
  <c r="AF559" i="4"/>
  <c r="AG559" i="4"/>
  <c r="AJ559" i="4"/>
  <c r="AK559" i="4"/>
  <c r="AP559" i="4" s="1"/>
  <c r="AL559" i="4"/>
  <c r="AM559" i="4"/>
  <c r="AN559" i="4"/>
  <c r="AO559" i="4"/>
  <c r="AQ559" i="4" s="1"/>
  <c r="AR559" i="4"/>
  <c r="G560" i="4"/>
  <c r="AA560" i="4"/>
  <c r="AB560" i="4"/>
  <c r="AC560" i="4" s="1"/>
  <c r="AD560" i="4"/>
  <c r="AE560" i="4" s="1"/>
  <c r="AF560" i="4"/>
  <c r="AI560" i="4" s="1"/>
  <c r="AG560" i="4"/>
  <c r="AJ560" i="4"/>
  <c r="AM560" i="4"/>
  <c r="AN560" i="4"/>
  <c r="AO560" i="4"/>
  <c r="AQ560" i="4"/>
  <c r="AR560" i="4"/>
  <c r="G561" i="4"/>
  <c r="AA561" i="4"/>
  <c r="AB561" i="4"/>
  <c r="AC561" i="4" s="1"/>
  <c r="AD561" i="4"/>
  <c r="AE561" i="4" s="1"/>
  <c r="AF561" i="4"/>
  <c r="AG561" i="4"/>
  <c r="AJ561" i="4"/>
  <c r="AM561" i="4"/>
  <c r="AN561" i="4"/>
  <c r="AO561" i="4"/>
  <c r="AQ561" i="4"/>
  <c r="AR561" i="4"/>
  <c r="G562" i="4"/>
  <c r="AA562" i="4"/>
  <c r="AB562" i="4"/>
  <c r="AC562" i="4" s="1"/>
  <c r="AD562" i="4"/>
  <c r="AK562" i="4" s="1"/>
  <c r="AP562" i="4" s="1"/>
  <c r="AF562" i="4"/>
  <c r="AI562" i="4" s="1"/>
  <c r="AG562" i="4"/>
  <c r="AJ562" i="4"/>
  <c r="AM562" i="4"/>
  <c r="AN562" i="4"/>
  <c r="AO562" i="4"/>
  <c r="AQ562" i="4" s="1"/>
  <c r="AR562" i="4"/>
  <c r="G563" i="4"/>
  <c r="AA563" i="4"/>
  <c r="AB563" i="4"/>
  <c r="AC563" i="4" s="1"/>
  <c r="AL563" i="4" s="1"/>
  <c r="AD563" i="4"/>
  <c r="AE563" i="4"/>
  <c r="AF563" i="4"/>
  <c r="AI563" i="4" s="1"/>
  <c r="AG563" i="4"/>
  <c r="AJ563" i="4"/>
  <c r="AM563" i="4"/>
  <c r="AN563" i="4"/>
  <c r="AO563" i="4"/>
  <c r="AQ563" i="4" s="1"/>
  <c r="AR563" i="4"/>
  <c r="G564" i="4"/>
  <c r="AA564" i="4"/>
  <c r="AB564" i="4"/>
  <c r="AC564" i="4"/>
  <c r="AL564" i="4" s="1"/>
  <c r="AD564" i="4"/>
  <c r="AE564" i="4" s="1"/>
  <c r="AF564" i="4"/>
  <c r="AG564" i="4"/>
  <c r="AJ564" i="4"/>
  <c r="AM564" i="4"/>
  <c r="AN564" i="4"/>
  <c r="AO564" i="4"/>
  <c r="AQ564" i="4" s="1"/>
  <c r="AR564" i="4"/>
  <c r="G565" i="4"/>
  <c r="AA565" i="4"/>
  <c r="AB565" i="4"/>
  <c r="AC565" i="4"/>
  <c r="AD565" i="4"/>
  <c r="AE565" i="4" s="1"/>
  <c r="AF565" i="4"/>
  <c r="AG565" i="4"/>
  <c r="AI565" i="4" s="1"/>
  <c r="AJ565" i="4"/>
  <c r="AM565" i="4"/>
  <c r="AN565" i="4"/>
  <c r="AO565" i="4"/>
  <c r="AQ565" i="4"/>
  <c r="AR565" i="4"/>
  <c r="G566" i="4"/>
  <c r="AA566" i="4"/>
  <c r="AB566" i="4"/>
  <c r="AC566" i="4" s="1"/>
  <c r="AL566" i="4" s="1"/>
  <c r="AD566" i="4"/>
  <c r="AE566" i="4"/>
  <c r="AF566" i="4"/>
  <c r="AI566" i="4" s="1"/>
  <c r="AG566" i="4"/>
  <c r="AJ566" i="4"/>
  <c r="AK566" i="4" s="1"/>
  <c r="AP566" i="4" s="1"/>
  <c r="AM566" i="4"/>
  <c r="AN566" i="4"/>
  <c r="AO566" i="4"/>
  <c r="AQ566" i="4" s="1"/>
  <c r="AR566" i="4"/>
  <c r="G567" i="4"/>
  <c r="AA567" i="4"/>
  <c r="AB567" i="4"/>
  <c r="AC567" i="4"/>
  <c r="AD567" i="4"/>
  <c r="AE567" i="4" s="1"/>
  <c r="AF567" i="4"/>
  <c r="AI567" i="4" s="1"/>
  <c r="AG567" i="4"/>
  <c r="AJ567" i="4"/>
  <c r="AM567" i="4"/>
  <c r="AN567" i="4"/>
  <c r="AO567" i="4"/>
  <c r="AQ567" i="4"/>
  <c r="AR567" i="4"/>
  <c r="G568" i="4"/>
  <c r="AA568" i="4"/>
  <c r="AB568" i="4"/>
  <c r="AC568" i="4" s="1"/>
  <c r="AL568" i="4" s="1"/>
  <c r="AD568" i="4"/>
  <c r="AE568" i="4" s="1"/>
  <c r="AF568" i="4"/>
  <c r="AI568" i="4" s="1"/>
  <c r="AG568" i="4"/>
  <c r="AJ568" i="4"/>
  <c r="AM568" i="4"/>
  <c r="AN568" i="4"/>
  <c r="AO568" i="4"/>
  <c r="AQ568" i="4" s="1"/>
  <c r="AR568" i="4"/>
  <c r="G569" i="4"/>
  <c r="AA569" i="4"/>
  <c r="AB569" i="4"/>
  <c r="AC569" i="4"/>
  <c r="AD569" i="4"/>
  <c r="AE569" i="4" s="1"/>
  <c r="AF569" i="4"/>
  <c r="AG569" i="4"/>
  <c r="AI569" i="4"/>
  <c r="AJ569" i="4"/>
  <c r="AL569" i="4" s="1"/>
  <c r="AK569" i="4"/>
  <c r="AP569" i="4" s="1"/>
  <c r="AM569" i="4"/>
  <c r="AN569" i="4"/>
  <c r="AO569" i="4"/>
  <c r="AQ569" i="4"/>
  <c r="AR569" i="4"/>
  <c r="G570" i="4"/>
  <c r="AA570" i="4"/>
  <c r="AB570" i="4"/>
  <c r="AC570" i="4"/>
  <c r="AD570" i="4"/>
  <c r="AK570" i="4" s="1"/>
  <c r="AP570" i="4" s="1"/>
  <c r="AE570" i="4"/>
  <c r="AF570" i="4"/>
  <c r="AG570" i="4"/>
  <c r="AJ570" i="4"/>
  <c r="AL570" i="4"/>
  <c r="AM570" i="4"/>
  <c r="AN570" i="4"/>
  <c r="AO570" i="4"/>
  <c r="AQ570" i="4" s="1"/>
  <c r="AR570" i="4"/>
  <c r="G571" i="4"/>
  <c r="AA571" i="4"/>
  <c r="AB571" i="4"/>
  <c r="AC571" i="4"/>
  <c r="AD571" i="4"/>
  <c r="AE571" i="4"/>
  <c r="AF571" i="4"/>
  <c r="AG571" i="4"/>
  <c r="AJ571" i="4"/>
  <c r="AK571" i="4"/>
  <c r="AP571" i="4" s="1"/>
  <c r="AL571" i="4"/>
  <c r="AM571" i="4"/>
  <c r="AN571" i="4"/>
  <c r="AO571" i="4"/>
  <c r="AQ571" i="4" s="1"/>
  <c r="AR571" i="4"/>
  <c r="G572" i="4"/>
  <c r="AA572" i="4"/>
  <c r="AB572" i="4"/>
  <c r="AC572" i="4" s="1"/>
  <c r="AD572" i="4"/>
  <c r="AE572" i="4" s="1"/>
  <c r="AF572" i="4"/>
  <c r="AI572" i="4" s="1"/>
  <c r="AG572" i="4"/>
  <c r="AJ572" i="4"/>
  <c r="AM572" i="4"/>
  <c r="AN572" i="4"/>
  <c r="AO572" i="4"/>
  <c r="AQ572" i="4"/>
  <c r="AR572" i="4"/>
  <c r="G573" i="4"/>
  <c r="AA573" i="4"/>
  <c r="AB573" i="4"/>
  <c r="AC573" i="4" s="1"/>
  <c r="AD573" i="4"/>
  <c r="AE573" i="4" s="1"/>
  <c r="AF573" i="4"/>
  <c r="AG573" i="4"/>
  <c r="AJ573" i="4"/>
  <c r="AK573" i="4" s="1"/>
  <c r="AP573" i="4" s="1"/>
  <c r="AM573" i="4"/>
  <c r="AN573" i="4"/>
  <c r="AO573" i="4"/>
  <c r="AQ573" i="4"/>
  <c r="AR573" i="4"/>
  <c r="G574" i="4"/>
  <c r="AA574" i="4"/>
  <c r="AB574" i="4"/>
  <c r="AC574" i="4" s="1"/>
  <c r="AD574" i="4"/>
  <c r="AF574" i="4"/>
  <c r="AI574" i="4" s="1"/>
  <c r="AG574" i="4"/>
  <c r="AJ574" i="4"/>
  <c r="AM574" i="4"/>
  <c r="AN574" i="4"/>
  <c r="AO574" i="4"/>
  <c r="AQ574" i="4" s="1"/>
  <c r="AR574" i="4"/>
  <c r="G575" i="4"/>
  <c r="AA575" i="4"/>
  <c r="AB575" i="4"/>
  <c r="AC575" i="4" s="1"/>
  <c r="AL575" i="4" s="1"/>
  <c r="AD575" i="4"/>
  <c r="AE575" i="4"/>
  <c r="AF575" i="4"/>
  <c r="AI575" i="4" s="1"/>
  <c r="AG575" i="4"/>
  <c r="AJ575" i="4"/>
  <c r="AM575" i="4"/>
  <c r="AN575" i="4"/>
  <c r="AO575" i="4"/>
  <c r="AQ575" i="4" s="1"/>
  <c r="AR575" i="4"/>
  <c r="G576" i="4"/>
  <c r="AA576" i="4"/>
  <c r="AB576" i="4"/>
  <c r="AC576" i="4"/>
  <c r="AL576" i="4" s="1"/>
  <c r="AD576" i="4"/>
  <c r="AE576" i="4" s="1"/>
  <c r="AF576" i="4"/>
  <c r="AI576" i="4" s="1"/>
  <c r="AG576" i="4"/>
  <c r="AJ576" i="4"/>
  <c r="AM576" i="4"/>
  <c r="AN576" i="4"/>
  <c r="AO576" i="4"/>
  <c r="AQ576" i="4" s="1"/>
  <c r="AR576" i="4"/>
  <c r="G577" i="4"/>
  <c r="AA577" i="4"/>
  <c r="AB577" i="4"/>
  <c r="AC577" i="4"/>
  <c r="AD577" i="4"/>
  <c r="AE577" i="4" s="1"/>
  <c r="AF577" i="4"/>
  <c r="AG577" i="4"/>
  <c r="AI577" i="4" s="1"/>
  <c r="AJ577" i="4"/>
  <c r="AL577" i="4" s="1"/>
  <c r="AM577" i="4"/>
  <c r="AN577" i="4"/>
  <c r="AO577" i="4"/>
  <c r="AQ577" i="4"/>
  <c r="AR577" i="4"/>
  <c r="G578" i="4"/>
  <c r="AA578" i="4"/>
  <c r="AB578" i="4"/>
  <c r="AC578" i="4" s="1"/>
  <c r="AL578" i="4" s="1"/>
  <c r="AD578" i="4"/>
  <c r="AE578" i="4"/>
  <c r="AF578" i="4"/>
  <c r="AI578" i="4" s="1"/>
  <c r="AG578" i="4"/>
  <c r="AJ578" i="4"/>
  <c r="AK578" i="4" s="1"/>
  <c r="AP578" i="4" s="1"/>
  <c r="AM578" i="4"/>
  <c r="AN578" i="4"/>
  <c r="AO578" i="4"/>
  <c r="AQ578" i="4" s="1"/>
  <c r="AR578" i="4"/>
  <c r="G579" i="4"/>
  <c r="AA579" i="4"/>
  <c r="AB579" i="4"/>
  <c r="AC579" i="4"/>
  <c r="AD579" i="4"/>
  <c r="AE579" i="4" s="1"/>
  <c r="AF579" i="4"/>
  <c r="AI579" i="4" s="1"/>
  <c r="AG579" i="4"/>
  <c r="AJ579" i="4"/>
  <c r="AK579" i="4" s="1"/>
  <c r="AP579" i="4" s="1"/>
  <c r="AM579" i="4"/>
  <c r="AN579" i="4"/>
  <c r="AO579" i="4"/>
  <c r="AQ579" i="4"/>
  <c r="AR579" i="4"/>
  <c r="G580" i="4"/>
  <c r="AA580" i="4"/>
  <c r="AB580" i="4"/>
  <c r="AC580" i="4" s="1"/>
  <c r="AL580" i="4" s="1"/>
  <c r="AD580" i="4"/>
  <c r="AE580" i="4" s="1"/>
  <c r="AF580" i="4"/>
  <c r="AG580" i="4"/>
  <c r="AJ580" i="4"/>
  <c r="AK580" i="4" s="1"/>
  <c r="AP580" i="4" s="1"/>
  <c r="AM580" i="4"/>
  <c r="AN580" i="4"/>
  <c r="AO580" i="4"/>
  <c r="AQ580" i="4" s="1"/>
  <c r="AR580" i="4"/>
  <c r="G581" i="4"/>
  <c r="AA581" i="4"/>
  <c r="AB581" i="4"/>
  <c r="AC581" i="4" s="1"/>
  <c r="AD581" i="4"/>
  <c r="AE581" i="4"/>
  <c r="AF581" i="4"/>
  <c r="AG581" i="4"/>
  <c r="AI581" i="4"/>
  <c r="AJ581" i="4"/>
  <c r="AK581" i="4" s="1"/>
  <c r="AP581" i="4" s="1"/>
  <c r="AM581" i="4"/>
  <c r="AN581" i="4"/>
  <c r="AO581" i="4"/>
  <c r="AQ581" i="4" s="1"/>
  <c r="AR581" i="4"/>
  <c r="G582" i="4"/>
  <c r="AA582" i="4"/>
  <c r="AB582" i="4"/>
  <c r="AC582" i="4" s="1"/>
  <c r="AD582" i="4"/>
  <c r="AK582" i="4" s="1"/>
  <c r="AP582" i="4" s="1"/>
  <c r="AE582" i="4"/>
  <c r="AF582" i="4"/>
  <c r="AI582" i="4" s="1"/>
  <c r="AG582" i="4"/>
  <c r="AJ582" i="4"/>
  <c r="AM582" i="4"/>
  <c r="AN582" i="4"/>
  <c r="AO582" i="4"/>
  <c r="AQ582" i="4" s="1"/>
  <c r="AR582" i="4"/>
  <c r="G583" i="4"/>
  <c r="AA583" i="4"/>
  <c r="AB583" i="4"/>
  <c r="AC583" i="4"/>
  <c r="AD583" i="4"/>
  <c r="AE583" i="4" s="1"/>
  <c r="AF583" i="4"/>
  <c r="AG583" i="4"/>
  <c r="AI583" i="4" s="1"/>
  <c r="AJ583" i="4"/>
  <c r="AK583" i="4" s="1"/>
  <c r="AP583" i="4" s="1"/>
  <c r="AM583" i="4"/>
  <c r="AN583" i="4"/>
  <c r="AO583" i="4"/>
  <c r="AQ583" i="4"/>
  <c r="AR583" i="4"/>
  <c r="G584" i="4"/>
  <c r="AA584" i="4"/>
  <c r="AB584" i="4"/>
  <c r="AC584" i="4" s="1"/>
  <c r="AL584" i="4" s="1"/>
  <c r="AD584" i="4"/>
  <c r="AE584" i="4"/>
  <c r="AF584" i="4"/>
  <c r="AG584" i="4"/>
  <c r="AJ584" i="4"/>
  <c r="AK584" i="4" s="1"/>
  <c r="AP584" i="4" s="1"/>
  <c r="AM584" i="4"/>
  <c r="AN584" i="4"/>
  <c r="AO584" i="4"/>
  <c r="AQ584" i="4"/>
  <c r="AR584" i="4"/>
  <c r="G585" i="4"/>
  <c r="AA585" i="4"/>
  <c r="AB585" i="4"/>
  <c r="AC585" i="4"/>
  <c r="AD585" i="4"/>
  <c r="AE585" i="4" s="1"/>
  <c r="AF585" i="4"/>
  <c r="AG585" i="4"/>
  <c r="AJ585" i="4"/>
  <c r="AK585" i="4" s="1"/>
  <c r="AP585" i="4" s="1"/>
  <c r="AM585" i="4"/>
  <c r="AN585" i="4"/>
  <c r="AO585" i="4"/>
  <c r="AQ585" i="4" s="1"/>
  <c r="AR585" i="4"/>
  <c r="G586" i="4"/>
  <c r="AA586" i="4"/>
  <c r="AB586" i="4"/>
  <c r="AC586" i="4" s="1"/>
  <c r="AD586" i="4"/>
  <c r="AE586" i="4" s="1"/>
  <c r="AF586" i="4"/>
  <c r="AG586" i="4"/>
  <c r="AJ586" i="4"/>
  <c r="AM586" i="4"/>
  <c r="AN586" i="4"/>
  <c r="AO586" i="4"/>
  <c r="AQ586" i="4" s="1"/>
  <c r="AR586" i="4"/>
  <c r="G587" i="4"/>
  <c r="AA587" i="4"/>
  <c r="AB587" i="4"/>
  <c r="AC587" i="4" s="1"/>
  <c r="AD587" i="4"/>
  <c r="AE587" i="4"/>
  <c r="AF587" i="4"/>
  <c r="AG587" i="4"/>
  <c r="AI587" i="4" s="1"/>
  <c r="AJ587" i="4"/>
  <c r="AL587" i="4"/>
  <c r="AM587" i="4"/>
  <c r="AN587" i="4"/>
  <c r="AO587" i="4"/>
  <c r="AQ587" i="4" s="1"/>
  <c r="AR587" i="4"/>
  <c r="G588" i="4"/>
  <c r="AA588" i="4"/>
  <c r="AB588" i="4"/>
  <c r="AC588" i="4" s="1"/>
  <c r="AD588" i="4"/>
  <c r="AE588" i="4"/>
  <c r="AF588" i="4"/>
  <c r="AG588" i="4"/>
  <c r="AJ588" i="4"/>
  <c r="AK588" i="4" s="1"/>
  <c r="AP588" i="4" s="1"/>
  <c r="AM588" i="4"/>
  <c r="AN588" i="4"/>
  <c r="AO588" i="4"/>
  <c r="AQ588" i="4" s="1"/>
  <c r="AR588" i="4"/>
  <c r="G589" i="4"/>
  <c r="AA589" i="4"/>
  <c r="AB589" i="4"/>
  <c r="AC589" i="4" s="1"/>
  <c r="AD589" i="4"/>
  <c r="AE589" i="4" s="1"/>
  <c r="AF589" i="4"/>
  <c r="AG589" i="4"/>
  <c r="AJ589" i="4"/>
  <c r="AK589" i="4" s="1"/>
  <c r="AP589" i="4" s="1"/>
  <c r="AM589" i="4"/>
  <c r="AN589" i="4"/>
  <c r="AO589" i="4"/>
  <c r="AQ589" i="4" s="1"/>
  <c r="AR589" i="4"/>
  <c r="G590" i="4"/>
  <c r="AA590" i="4"/>
  <c r="AB590" i="4"/>
  <c r="AC590" i="4" s="1"/>
  <c r="AD590" i="4"/>
  <c r="AE590" i="4" s="1"/>
  <c r="AF590" i="4"/>
  <c r="AI590" i="4" s="1"/>
  <c r="AG590" i="4"/>
  <c r="AJ590" i="4"/>
  <c r="AK590" i="4" s="1"/>
  <c r="AP590" i="4" s="1"/>
  <c r="AM590" i="4"/>
  <c r="AN590" i="4"/>
  <c r="AO590" i="4"/>
  <c r="AQ590" i="4"/>
  <c r="AR590" i="4"/>
  <c r="G591" i="4"/>
  <c r="AA591" i="4"/>
  <c r="AB591" i="4"/>
  <c r="AC591" i="4" s="1"/>
  <c r="AD591" i="4"/>
  <c r="AE591" i="4" s="1"/>
  <c r="AF591" i="4"/>
  <c r="AG591" i="4"/>
  <c r="AJ591" i="4"/>
  <c r="AK591" i="4" s="1"/>
  <c r="AP591" i="4" s="1"/>
  <c r="AM591" i="4"/>
  <c r="AN591" i="4"/>
  <c r="AO591" i="4"/>
  <c r="AQ591" i="4" s="1"/>
  <c r="AR591" i="4"/>
  <c r="G592" i="4"/>
  <c r="AA592" i="4"/>
  <c r="AB592" i="4"/>
  <c r="AC592" i="4" s="1"/>
  <c r="AL592" i="4" s="1"/>
  <c r="AE592" i="4"/>
  <c r="AF592" i="4"/>
  <c r="AG592" i="4"/>
  <c r="AJ592" i="4"/>
  <c r="AK592" i="4" s="1"/>
  <c r="AM592" i="4"/>
  <c r="AN592" i="4"/>
  <c r="AO592" i="4"/>
  <c r="AQ592" i="4" s="1"/>
  <c r="AP592" i="4"/>
  <c r="AR592" i="4"/>
  <c r="G593" i="4"/>
  <c r="AA593" i="4"/>
  <c r="AB593" i="4"/>
  <c r="AC593" i="4" s="1"/>
  <c r="AL593" i="4" s="1"/>
  <c r="AE593" i="4"/>
  <c r="AF593" i="4"/>
  <c r="AI593" i="4" s="1"/>
  <c r="AG593" i="4"/>
  <c r="AJ593" i="4"/>
  <c r="AK593" i="4"/>
  <c r="AP593" i="4" s="1"/>
  <c r="AM593" i="4"/>
  <c r="AN593" i="4"/>
  <c r="AO593" i="4"/>
  <c r="AQ593" i="4" s="1"/>
  <c r="AR593" i="4"/>
  <c r="G594" i="4"/>
  <c r="AA594" i="4"/>
  <c r="AB594" i="4"/>
  <c r="AC594" i="4" s="1"/>
  <c r="AE594" i="4"/>
  <c r="AF594" i="4"/>
  <c r="AG594" i="4"/>
  <c r="AJ594" i="4"/>
  <c r="AK594" i="4" s="1"/>
  <c r="AP594" i="4" s="1"/>
  <c r="AM594" i="4"/>
  <c r="AN594" i="4"/>
  <c r="AO594" i="4"/>
  <c r="AQ594" i="4" s="1"/>
  <c r="AR594" i="4"/>
  <c r="G595" i="4"/>
  <c r="AA595" i="4"/>
  <c r="AB595" i="4"/>
  <c r="AC595" i="4" s="1"/>
  <c r="AE595" i="4"/>
  <c r="AF595" i="4"/>
  <c r="AG595" i="4"/>
  <c r="AJ595" i="4"/>
  <c r="AK595" i="4" s="1"/>
  <c r="AP595" i="4" s="1"/>
  <c r="AM595" i="4"/>
  <c r="AN595" i="4"/>
  <c r="AO595" i="4"/>
  <c r="AQ595" i="4" s="1"/>
  <c r="AR595" i="4"/>
  <c r="G596" i="4"/>
  <c r="AA596" i="4"/>
  <c r="AB596" i="4"/>
  <c r="AC596" i="4" s="1"/>
  <c r="AE596" i="4"/>
  <c r="AF596" i="4"/>
  <c r="AG596" i="4"/>
  <c r="AI596" i="4"/>
  <c r="AJ596" i="4"/>
  <c r="AK596" i="4" s="1"/>
  <c r="AP596" i="4" s="1"/>
  <c r="AM596" i="4"/>
  <c r="AN596" i="4"/>
  <c r="AO596" i="4"/>
  <c r="AQ596" i="4" s="1"/>
  <c r="AR596" i="4"/>
  <c r="G597" i="4"/>
  <c r="AA597" i="4"/>
  <c r="AB597" i="4"/>
  <c r="AC597" i="4" s="1"/>
  <c r="AE597" i="4"/>
  <c r="AF597" i="4"/>
  <c r="AG597" i="4"/>
  <c r="AJ597" i="4"/>
  <c r="AK597" i="4" s="1"/>
  <c r="AP597" i="4" s="1"/>
  <c r="AM597" i="4"/>
  <c r="AN597" i="4"/>
  <c r="AO597" i="4"/>
  <c r="AQ597" i="4" s="1"/>
  <c r="AR597" i="4"/>
  <c r="G598" i="4"/>
  <c r="AA598" i="4"/>
  <c r="AB598" i="4"/>
  <c r="AC598" i="4"/>
  <c r="AE598" i="4"/>
  <c r="AF598" i="4"/>
  <c r="AG598" i="4"/>
  <c r="AI598" i="4"/>
  <c r="AJ598" i="4"/>
  <c r="AL598" i="4" s="1"/>
  <c r="AK598" i="4"/>
  <c r="AP598" i="4" s="1"/>
  <c r="AM598" i="4"/>
  <c r="AN598" i="4"/>
  <c r="AO598" i="4"/>
  <c r="AQ598" i="4"/>
  <c r="AR598" i="4"/>
  <c r="G599" i="4"/>
  <c r="AA599" i="4"/>
  <c r="AB599" i="4"/>
  <c r="AC599" i="4"/>
  <c r="AD599" i="4"/>
  <c r="AF599" i="4" s="1"/>
  <c r="AE599" i="4"/>
  <c r="AG599" i="4"/>
  <c r="AJ599" i="4"/>
  <c r="AM599" i="4"/>
  <c r="AN599" i="4"/>
  <c r="AO599" i="4"/>
  <c r="AQ599" i="4" s="1"/>
  <c r="AR599" i="4"/>
  <c r="G600" i="4"/>
  <c r="AA600" i="4"/>
  <c r="AB600" i="4"/>
  <c r="AC600" i="4"/>
  <c r="AL600" i="4" s="1"/>
  <c r="AD600" i="4"/>
  <c r="AE600" i="4"/>
  <c r="AF600" i="4"/>
  <c r="AI600" i="4" s="1"/>
  <c r="AG600" i="4"/>
  <c r="AJ600" i="4"/>
  <c r="AK600" i="4"/>
  <c r="AP600" i="4" s="1"/>
  <c r="AM600" i="4"/>
  <c r="AN600" i="4"/>
  <c r="AO600" i="4"/>
  <c r="AQ600" i="4"/>
  <c r="AR600" i="4"/>
  <c r="G601" i="4"/>
  <c r="AA601" i="4"/>
  <c r="AB601" i="4"/>
  <c r="AC601" i="4" s="1"/>
  <c r="AD601" i="4"/>
  <c r="AF601" i="4" s="1"/>
  <c r="AE601" i="4"/>
  <c r="AG601" i="4"/>
  <c r="AJ601" i="4"/>
  <c r="AM601" i="4"/>
  <c r="AN601" i="4"/>
  <c r="AO601" i="4"/>
  <c r="AQ601" i="4"/>
  <c r="AR601" i="4"/>
  <c r="G602" i="4"/>
  <c r="AA602" i="4"/>
  <c r="AB602" i="4"/>
  <c r="AC602" i="4"/>
  <c r="AD602" i="4"/>
  <c r="AF602" i="4" s="1"/>
  <c r="AI602" i="4" s="1"/>
  <c r="AE602" i="4"/>
  <c r="AG602" i="4"/>
  <c r="AJ602" i="4"/>
  <c r="AK602" i="4" s="1"/>
  <c r="AP602" i="4" s="1"/>
  <c r="AM602" i="4"/>
  <c r="AN602" i="4"/>
  <c r="AO602" i="4"/>
  <c r="AQ602" i="4" s="1"/>
  <c r="AR602" i="4"/>
  <c r="G603" i="4"/>
  <c r="AA603" i="4"/>
  <c r="AB603" i="4"/>
  <c r="AC603" i="4"/>
  <c r="AD603" i="4"/>
  <c r="AF603" i="4" s="1"/>
  <c r="AI603" i="4" s="1"/>
  <c r="AE603" i="4"/>
  <c r="AG603" i="4"/>
  <c r="AJ603" i="4"/>
  <c r="AK603" i="4" s="1"/>
  <c r="AP603" i="4" s="1"/>
  <c r="AM603" i="4"/>
  <c r="AN603" i="4"/>
  <c r="AO603" i="4"/>
  <c r="AQ603" i="4"/>
  <c r="AR603" i="4"/>
  <c r="G604" i="4"/>
  <c r="AA604" i="4"/>
  <c r="AB604" i="4"/>
  <c r="AC604" i="4"/>
  <c r="AD604" i="4"/>
  <c r="AF604" i="4" s="1"/>
  <c r="AI604" i="4" s="1"/>
  <c r="AE604" i="4"/>
  <c r="AG604" i="4"/>
  <c r="AJ604" i="4"/>
  <c r="AK604" i="4" s="1"/>
  <c r="AP604" i="4" s="1"/>
  <c r="AL604" i="4"/>
  <c r="AM604" i="4"/>
  <c r="AN604" i="4"/>
  <c r="AO604" i="4"/>
  <c r="AQ604" i="4" s="1"/>
  <c r="AR604" i="4"/>
  <c r="G605" i="4"/>
  <c r="AA605" i="4"/>
  <c r="AB605" i="4"/>
  <c r="AC605" i="4" s="1"/>
  <c r="AD605" i="4"/>
  <c r="AF605" i="4" s="1"/>
  <c r="AI605" i="4" s="1"/>
  <c r="AE605" i="4"/>
  <c r="AG605" i="4"/>
  <c r="AJ605" i="4"/>
  <c r="AK605" i="4" s="1"/>
  <c r="AP605" i="4" s="1"/>
  <c r="AM605" i="4"/>
  <c r="AN605" i="4"/>
  <c r="AO605" i="4"/>
  <c r="AQ605" i="4" s="1"/>
  <c r="AR605" i="4"/>
  <c r="G606" i="4"/>
  <c r="AA606" i="4"/>
  <c r="AB606" i="4"/>
  <c r="AC606" i="4" s="1"/>
  <c r="AL606" i="4" s="1"/>
  <c r="AD606" i="4"/>
  <c r="AF606" i="4" s="1"/>
  <c r="AI606" i="4" s="1"/>
  <c r="AE606" i="4"/>
  <c r="AG606" i="4"/>
  <c r="AJ606" i="4"/>
  <c r="AK606" i="4" s="1"/>
  <c r="AP606" i="4" s="1"/>
  <c r="AM606" i="4"/>
  <c r="AN606" i="4"/>
  <c r="AO606" i="4"/>
  <c r="AQ606" i="4"/>
  <c r="AR606" i="4"/>
  <c r="G607" i="4"/>
  <c r="AA607" i="4"/>
  <c r="AB607" i="4"/>
  <c r="AC607" i="4" s="1"/>
  <c r="AD607" i="4"/>
  <c r="AE607" i="4"/>
  <c r="AF607" i="4"/>
  <c r="AG607" i="4"/>
  <c r="AJ607" i="4"/>
  <c r="AM607" i="4"/>
  <c r="AN607" i="4"/>
  <c r="AO607" i="4"/>
  <c r="AQ607" i="4"/>
  <c r="AR607" i="4"/>
  <c r="G608" i="4"/>
  <c r="AA608" i="4"/>
  <c r="AB608" i="4"/>
  <c r="AC608" i="4"/>
  <c r="AD608" i="4"/>
  <c r="AG608" i="4" s="1"/>
  <c r="AE608" i="4"/>
  <c r="AF608" i="4"/>
  <c r="AJ608" i="4"/>
  <c r="AM608" i="4"/>
  <c r="AN608" i="4"/>
  <c r="AO608" i="4"/>
  <c r="AQ608" i="4" s="1"/>
  <c r="AR608" i="4"/>
  <c r="G609" i="4"/>
  <c r="AA609" i="4"/>
  <c r="AB609" i="4"/>
  <c r="AC609" i="4"/>
  <c r="AD609" i="4"/>
  <c r="AG609" i="4" s="1"/>
  <c r="AE609" i="4"/>
  <c r="AF609" i="4"/>
  <c r="AJ609" i="4"/>
  <c r="AK609" i="4"/>
  <c r="AP609" i="4" s="1"/>
  <c r="AM609" i="4"/>
  <c r="AN609" i="4"/>
  <c r="AO609" i="4"/>
  <c r="AQ609" i="4"/>
  <c r="AR609" i="4"/>
  <c r="G610" i="4"/>
  <c r="AA610" i="4"/>
  <c r="AB610" i="4"/>
  <c r="AC610" i="4" s="1"/>
  <c r="AL610" i="4" s="1"/>
  <c r="AD610" i="4"/>
  <c r="AG610" i="4" s="1"/>
  <c r="AI610" i="4" s="1"/>
  <c r="AE610" i="4"/>
  <c r="AF610" i="4"/>
  <c r="AJ610" i="4"/>
  <c r="AM610" i="4"/>
  <c r="AN610" i="4"/>
  <c r="AO610" i="4"/>
  <c r="AQ610" i="4" s="1"/>
  <c r="AR610" i="4"/>
  <c r="G611" i="4"/>
  <c r="AA611" i="4"/>
  <c r="AB611" i="4"/>
  <c r="AC611" i="4" s="1"/>
  <c r="AL611" i="4" s="1"/>
  <c r="AD611" i="4"/>
  <c r="AE611" i="4"/>
  <c r="AF611" i="4"/>
  <c r="AJ611" i="4"/>
  <c r="AM611" i="4"/>
  <c r="AN611" i="4"/>
  <c r="AO611" i="4"/>
  <c r="AQ611" i="4" s="1"/>
  <c r="AR611" i="4"/>
  <c r="G612" i="4"/>
  <c r="AA612" i="4"/>
  <c r="AB612" i="4"/>
  <c r="AC612" i="4"/>
  <c r="AD612" i="4"/>
  <c r="AG612" i="4" s="1"/>
  <c r="AE612" i="4"/>
  <c r="AF612" i="4"/>
  <c r="AJ612" i="4"/>
  <c r="AM612" i="4"/>
  <c r="AN612" i="4"/>
  <c r="AO612" i="4"/>
  <c r="AQ612" i="4" s="1"/>
  <c r="AR612" i="4"/>
  <c r="G613" i="4"/>
  <c r="AA613" i="4"/>
  <c r="AB613" i="4"/>
  <c r="AC613" i="4"/>
  <c r="AL613" i="4" s="1"/>
  <c r="AD613" i="4"/>
  <c r="AG613" i="4" s="1"/>
  <c r="AE613" i="4"/>
  <c r="AF613" i="4"/>
  <c r="AI613" i="4"/>
  <c r="AJ613" i="4"/>
  <c r="AK613" i="4"/>
  <c r="AM613" i="4"/>
  <c r="AN613" i="4"/>
  <c r="AO613" i="4"/>
  <c r="AQ613" i="4" s="1"/>
  <c r="AP613" i="4"/>
  <c r="AR613" i="4"/>
  <c r="G614" i="4"/>
  <c r="AA614" i="4"/>
  <c r="AB614" i="4"/>
  <c r="AC614" i="4" s="1"/>
  <c r="AD614" i="4"/>
  <c r="AG614" i="4" s="1"/>
  <c r="AE614" i="4"/>
  <c r="AF614" i="4"/>
  <c r="AJ614" i="4"/>
  <c r="AK614" i="4" s="1"/>
  <c r="AP614" i="4" s="1"/>
  <c r="AM614" i="4"/>
  <c r="AN614" i="4"/>
  <c r="AO614" i="4"/>
  <c r="AQ614" i="4" s="1"/>
  <c r="AR614" i="4"/>
  <c r="G615" i="4"/>
  <c r="AA615" i="4"/>
  <c r="AB615" i="4"/>
  <c r="AC615" i="4"/>
  <c r="AL615" i="4" s="1"/>
  <c r="AD615" i="4"/>
  <c r="AE615" i="4"/>
  <c r="AF615" i="4"/>
  <c r="AG615" i="4"/>
  <c r="AI615" i="4" s="1"/>
  <c r="AJ615" i="4"/>
  <c r="AK615" i="4" s="1"/>
  <c r="AM615" i="4"/>
  <c r="AN615" i="4"/>
  <c r="AO615" i="4"/>
  <c r="AQ615" i="4" s="1"/>
  <c r="AP615" i="4"/>
  <c r="AR615" i="4"/>
  <c r="G616" i="4"/>
  <c r="AA616" i="4"/>
  <c r="AB616" i="4"/>
  <c r="AC616" i="4" s="1"/>
  <c r="AL616" i="4" s="1"/>
  <c r="AD616" i="4"/>
  <c r="AG616" i="4" s="1"/>
  <c r="AE616" i="4"/>
  <c r="AF616" i="4"/>
  <c r="AJ616" i="4"/>
  <c r="AM616" i="4"/>
  <c r="AN616" i="4"/>
  <c r="AO616" i="4"/>
  <c r="AQ616" i="4" s="1"/>
  <c r="AR616" i="4"/>
  <c r="G617" i="4"/>
  <c r="AA617" i="4"/>
  <c r="AB617" i="4"/>
  <c r="AC617" i="4"/>
  <c r="AL617" i="4" s="1"/>
  <c r="AD617" i="4"/>
  <c r="AG617" i="4" s="1"/>
  <c r="AE617" i="4"/>
  <c r="AF617" i="4"/>
  <c r="AI617" i="4" s="1"/>
  <c r="AJ617" i="4"/>
  <c r="AK617" i="4"/>
  <c r="AP617" i="4" s="1"/>
  <c r="AM617" i="4"/>
  <c r="AN617" i="4"/>
  <c r="AO617" i="4"/>
  <c r="AQ617" i="4" s="1"/>
  <c r="AR617" i="4"/>
  <c r="G618" i="4"/>
  <c r="AA618" i="4"/>
  <c r="AB618" i="4"/>
  <c r="AC618" i="4" s="1"/>
  <c r="AE618" i="4"/>
  <c r="AF618" i="4"/>
  <c r="AG618" i="4"/>
  <c r="AJ618" i="4"/>
  <c r="AK618" i="4"/>
  <c r="AP618" i="4" s="1"/>
  <c r="AM618" i="4"/>
  <c r="AN618" i="4"/>
  <c r="AO618" i="4"/>
  <c r="AQ618" i="4"/>
  <c r="AR618" i="4"/>
  <c r="G619" i="4"/>
  <c r="AA619" i="4"/>
  <c r="AB619" i="4"/>
  <c r="AC619" i="4"/>
  <c r="AD619" i="4"/>
  <c r="AG619" i="4" s="1"/>
  <c r="AE619" i="4"/>
  <c r="AF619" i="4"/>
  <c r="AJ619" i="4"/>
  <c r="AK619" i="4" s="1"/>
  <c r="AP619" i="4" s="1"/>
  <c r="AM619" i="4"/>
  <c r="AN619" i="4"/>
  <c r="AO619" i="4"/>
  <c r="AQ619" i="4"/>
  <c r="AR619" i="4"/>
  <c r="G620" i="4"/>
  <c r="AA620" i="4"/>
  <c r="AB620" i="4"/>
  <c r="AC620" i="4"/>
  <c r="AD620" i="4"/>
  <c r="AG620" i="4" s="1"/>
  <c r="AE620" i="4"/>
  <c r="AF620" i="4"/>
  <c r="AI620" i="4" s="1"/>
  <c r="AJ620" i="4"/>
  <c r="AM620" i="4"/>
  <c r="AN620" i="4"/>
  <c r="AO620" i="4"/>
  <c r="AQ620" i="4"/>
  <c r="AR620" i="4"/>
  <c r="G621" i="4"/>
  <c r="AA621" i="4"/>
  <c r="AB621" i="4"/>
  <c r="AC621" i="4"/>
  <c r="AL621" i="4" s="1"/>
  <c r="AE621" i="4"/>
  <c r="AF621" i="4"/>
  <c r="AG621" i="4"/>
  <c r="AI621" i="4" s="1"/>
  <c r="AJ621" i="4"/>
  <c r="AK621" i="4"/>
  <c r="AP621" i="4" s="1"/>
  <c r="AM621" i="4"/>
  <c r="AN621" i="4"/>
  <c r="AO621" i="4"/>
  <c r="AQ621" i="4"/>
  <c r="AR621" i="4"/>
  <c r="G622" i="4"/>
  <c r="AA622" i="4"/>
  <c r="AB622" i="4"/>
  <c r="AC622" i="4" s="1"/>
  <c r="AL622" i="4" s="1"/>
  <c r="AD622" i="4"/>
  <c r="AF622" i="4" s="1"/>
  <c r="AE622" i="4"/>
  <c r="AG622" i="4"/>
  <c r="AJ622" i="4"/>
  <c r="AM622" i="4"/>
  <c r="AN622" i="4"/>
  <c r="AO622" i="4"/>
  <c r="AQ622" i="4" s="1"/>
  <c r="AR622" i="4"/>
  <c r="G623" i="4"/>
  <c r="AA623" i="4"/>
  <c r="AB623" i="4"/>
  <c r="AC623" i="4" s="1"/>
  <c r="AL623" i="4" s="1"/>
  <c r="AD623" i="4"/>
  <c r="AF623" i="4" s="1"/>
  <c r="AI623" i="4" s="1"/>
  <c r="AE623" i="4"/>
  <c r="AG623" i="4"/>
  <c r="AJ623" i="4"/>
  <c r="AM623" i="4"/>
  <c r="AN623" i="4"/>
  <c r="AO623" i="4"/>
  <c r="AQ623" i="4"/>
  <c r="AR623" i="4"/>
  <c r="G624" i="4"/>
  <c r="AA624" i="4"/>
  <c r="AB624" i="4"/>
  <c r="AC624" i="4" s="1"/>
  <c r="AL624" i="4" s="1"/>
  <c r="AE624" i="4"/>
  <c r="AF624" i="4"/>
  <c r="AG624" i="4"/>
  <c r="AI624" i="4"/>
  <c r="AJ624" i="4"/>
  <c r="AK624" i="4" s="1"/>
  <c r="AP624" i="4" s="1"/>
  <c r="AM624" i="4"/>
  <c r="AN624" i="4"/>
  <c r="AO624" i="4"/>
  <c r="AQ624" i="4" s="1"/>
  <c r="AR624" i="4"/>
  <c r="G625" i="4"/>
  <c r="AA625" i="4"/>
  <c r="AB625" i="4"/>
  <c r="AC625" i="4" s="1"/>
  <c r="AD625" i="4"/>
  <c r="AE625" i="4"/>
  <c r="AF625" i="4"/>
  <c r="AI625" i="4" s="1"/>
  <c r="AG625" i="4"/>
  <c r="AJ625" i="4"/>
  <c r="AK625" i="4" s="1"/>
  <c r="AP625" i="4" s="1"/>
  <c r="AM625" i="4"/>
  <c r="AN625" i="4"/>
  <c r="AO625" i="4"/>
  <c r="AQ625" i="4" s="1"/>
  <c r="AR625" i="4"/>
  <c r="G626" i="4"/>
  <c r="AA626" i="4"/>
  <c r="AB626" i="4"/>
  <c r="AC626" i="4" s="1"/>
  <c r="AL626" i="4" s="1"/>
  <c r="AD626" i="4"/>
  <c r="AG626" i="4" s="1"/>
  <c r="AE626" i="4"/>
  <c r="AF626" i="4"/>
  <c r="AI626" i="4" s="1"/>
  <c r="AJ626" i="4"/>
  <c r="AM626" i="4"/>
  <c r="AN626" i="4"/>
  <c r="AO626" i="4"/>
  <c r="AQ626" i="4" s="1"/>
  <c r="AR626" i="4"/>
  <c r="G627" i="4"/>
  <c r="AA627" i="4"/>
  <c r="AB627" i="4"/>
  <c r="AC627" i="4" s="1"/>
  <c r="AD627" i="4"/>
  <c r="AE627" i="4"/>
  <c r="AF627" i="4"/>
  <c r="AG627" i="4"/>
  <c r="AJ627" i="4"/>
  <c r="AM627" i="4"/>
  <c r="AN627" i="4"/>
  <c r="AO627" i="4"/>
  <c r="AQ627" i="4" s="1"/>
  <c r="AR627" i="4"/>
  <c r="G628" i="4"/>
  <c r="AA628" i="4"/>
  <c r="AB628" i="4"/>
  <c r="AC628" i="4" s="1"/>
  <c r="AL628" i="4" s="1"/>
  <c r="AD628" i="4"/>
  <c r="AF628" i="4" s="1"/>
  <c r="AI628" i="4" s="1"/>
  <c r="AE628" i="4"/>
  <c r="AG628" i="4"/>
  <c r="AJ628" i="4"/>
  <c r="AM628" i="4"/>
  <c r="AN628" i="4"/>
  <c r="AO628" i="4"/>
  <c r="AQ628" i="4" s="1"/>
  <c r="AR628" i="4"/>
  <c r="G629" i="4"/>
  <c r="AA629" i="4"/>
  <c r="AB629" i="4"/>
  <c r="AC629" i="4" s="1"/>
  <c r="AD629" i="4"/>
  <c r="AG629" i="4" s="1"/>
  <c r="AI629" i="4" s="1"/>
  <c r="AE629" i="4"/>
  <c r="AF629" i="4"/>
  <c r="AJ629" i="4"/>
  <c r="AM629" i="4"/>
  <c r="AN629" i="4"/>
  <c r="AO629" i="4"/>
  <c r="AQ629" i="4" s="1"/>
  <c r="AR629" i="4"/>
  <c r="G630" i="4"/>
  <c r="AA630" i="4"/>
  <c r="AB630" i="4"/>
  <c r="AC630" i="4" s="1"/>
  <c r="AE630" i="4"/>
  <c r="AF630" i="4"/>
  <c r="AG630" i="4"/>
  <c r="AJ630" i="4"/>
  <c r="AK630" i="4" s="1"/>
  <c r="AP630" i="4" s="1"/>
  <c r="AM630" i="4"/>
  <c r="AN630" i="4"/>
  <c r="AO630" i="4"/>
  <c r="AQ630" i="4" s="1"/>
  <c r="AR630" i="4"/>
  <c r="G631" i="4"/>
  <c r="AA631" i="4"/>
  <c r="AB631" i="4"/>
  <c r="AC631" i="4"/>
  <c r="AL631" i="4" s="1"/>
  <c r="AE631" i="4"/>
  <c r="AF631" i="4"/>
  <c r="AG631" i="4"/>
  <c r="AI631" i="4" s="1"/>
  <c r="AJ631" i="4"/>
  <c r="AK631" i="4"/>
  <c r="AP631" i="4" s="1"/>
  <c r="AM631" i="4"/>
  <c r="AN631" i="4"/>
  <c r="AO631" i="4"/>
  <c r="AQ631" i="4"/>
  <c r="AR631" i="4"/>
  <c r="G632" i="4"/>
  <c r="AA632" i="4"/>
  <c r="AB632" i="4"/>
  <c r="AC632" i="4" s="1"/>
  <c r="AD632" i="4"/>
  <c r="AG632" i="4" s="1"/>
  <c r="AE632" i="4"/>
  <c r="AF632" i="4"/>
  <c r="AJ632" i="4"/>
  <c r="AM632" i="4"/>
  <c r="AN632" i="4"/>
  <c r="AO632" i="4"/>
  <c r="AQ632" i="4"/>
  <c r="AR632" i="4"/>
  <c r="G633" i="4"/>
  <c r="AA633" i="4"/>
  <c r="AB633" i="4"/>
  <c r="AC633" i="4"/>
  <c r="AD633" i="4"/>
  <c r="AF633" i="4" s="1"/>
  <c r="AE633" i="4"/>
  <c r="AG633" i="4"/>
  <c r="AJ633" i="4"/>
  <c r="AL633" i="4" s="1"/>
  <c r="AK633" i="4"/>
  <c r="AP633" i="4" s="1"/>
  <c r="AM633" i="4"/>
  <c r="AN633" i="4"/>
  <c r="AO633" i="4"/>
  <c r="AQ633" i="4" s="1"/>
  <c r="AR633" i="4"/>
  <c r="G634" i="4"/>
  <c r="AA634" i="4"/>
  <c r="AB634" i="4"/>
  <c r="AC634" i="4" s="1"/>
  <c r="AD634" i="4"/>
  <c r="AK634" i="4" s="1"/>
  <c r="AP634" i="4" s="1"/>
  <c r="AE634" i="4"/>
  <c r="AG634" i="4"/>
  <c r="AJ634" i="4"/>
  <c r="AM634" i="4"/>
  <c r="AN634" i="4"/>
  <c r="AO634" i="4"/>
  <c r="AQ634" i="4" s="1"/>
  <c r="AR634" i="4"/>
  <c r="G635" i="4"/>
  <c r="AA635" i="4"/>
  <c r="AB635" i="4"/>
  <c r="AC635" i="4"/>
  <c r="AD635" i="4"/>
  <c r="AG635" i="4" s="1"/>
  <c r="AI635" i="4" s="1"/>
  <c r="AE635" i="4"/>
  <c r="AF635" i="4"/>
  <c r="AJ635" i="4"/>
  <c r="AL635" i="4"/>
  <c r="AM635" i="4"/>
  <c r="AN635" i="4"/>
  <c r="AO635" i="4"/>
  <c r="AQ635" i="4" s="1"/>
  <c r="AR635" i="4"/>
  <c r="G636" i="4"/>
  <c r="AA636" i="4"/>
  <c r="AB636" i="4"/>
  <c r="AC636" i="4" s="1"/>
  <c r="AD636" i="4"/>
  <c r="AF636" i="4" s="1"/>
  <c r="AE636" i="4"/>
  <c r="AG636" i="4"/>
  <c r="AJ636" i="4"/>
  <c r="AM636" i="4"/>
  <c r="AN636" i="4"/>
  <c r="AO636" i="4"/>
  <c r="AQ636" i="4" s="1"/>
  <c r="AR636" i="4"/>
  <c r="G637" i="4"/>
  <c r="AA637" i="4"/>
  <c r="AB637" i="4"/>
  <c r="AC637" i="4" s="1"/>
  <c r="AL637" i="4" s="1"/>
  <c r="AD637" i="4"/>
  <c r="AF637" i="4" s="1"/>
  <c r="AE637" i="4"/>
  <c r="AG637" i="4"/>
  <c r="AJ637" i="4"/>
  <c r="AM637" i="4"/>
  <c r="AN637" i="4"/>
  <c r="AO637" i="4"/>
  <c r="AQ637" i="4" s="1"/>
  <c r="AR637" i="4"/>
  <c r="G638" i="4"/>
  <c r="AA638" i="4"/>
  <c r="AB638" i="4"/>
  <c r="AC638" i="4" s="1"/>
  <c r="AD638" i="4"/>
  <c r="AK638" i="4" s="1"/>
  <c r="AP638" i="4" s="1"/>
  <c r="AE638" i="4"/>
  <c r="AF638" i="4"/>
  <c r="AJ638" i="4"/>
  <c r="AM638" i="4"/>
  <c r="AN638" i="4"/>
  <c r="AO638" i="4"/>
  <c r="AQ638" i="4" s="1"/>
  <c r="AR638" i="4"/>
  <c r="G639" i="4"/>
  <c r="AA639" i="4"/>
  <c r="AB639" i="4"/>
  <c r="AC639" i="4" s="1"/>
  <c r="AL639" i="4" s="1"/>
  <c r="AD639" i="4"/>
  <c r="AG639" i="4" s="1"/>
  <c r="AE639" i="4"/>
  <c r="AF639" i="4"/>
  <c r="AJ639" i="4"/>
  <c r="AK639" i="4"/>
  <c r="AP639" i="4" s="1"/>
  <c r="AM639" i="4"/>
  <c r="AN639" i="4"/>
  <c r="AO639" i="4"/>
  <c r="AQ639" i="4"/>
  <c r="AR639" i="4"/>
  <c r="G640" i="4"/>
  <c r="AA640" i="4"/>
  <c r="AB640" i="4"/>
  <c r="AC640" i="4" s="1"/>
  <c r="AD640" i="4"/>
  <c r="AF640" i="4" s="1"/>
  <c r="AI640" i="4" s="1"/>
  <c r="AE640" i="4"/>
  <c r="AG640" i="4"/>
  <c r="AJ640" i="4"/>
  <c r="AM640" i="4"/>
  <c r="AN640" i="4"/>
  <c r="AO640" i="4"/>
  <c r="AQ640" i="4"/>
  <c r="AR640" i="4"/>
  <c r="G641" i="4"/>
  <c r="AA641" i="4"/>
  <c r="AB641" i="4"/>
  <c r="AC641" i="4"/>
  <c r="AL641" i="4" s="1"/>
  <c r="AE641" i="4"/>
  <c r="AF641" i="4"/>
  <c r="AI641" i="4" s="1"/>
  <c r="AG641" i="4"/>
  <c r="AJ641" i="4"/>
  <c r="AK641" i="4" s="1"/>
  <c r="AP641" i="4" s="1"/>
  <c r="AM641" i="4"/>
  <c r="AN641" i="4"/>
  <c r="AO641" i="4"/>
  <c r="AQ641" i="4" s="1"/>
  <c r="AR641" i="4"/>
  <c r="G642" i="4"/>
  <c r="AA642" i="4"/>
  <c r="AB642" i="4"/>
  <c r="AC642" i="4"/>
  <c r="AD642" i="4"/>
  <c r="AE642" i="4"/>
  <c r="AF642" i="4"/>
  <c r="AG642" i="4"/>
  <c r="AJ642" i="4"/>
  <c r="AK642" i="4"/>
  <c r="AP642" i="4" s="1"/>
  <c r="AM642" i="4"/>
  <c r="AN642" i="4"/>
  <c r="AO642" i="4"/>
  <c r="AQ642" i="4" s="1"/>
  <c r="AR642" i="4"/>
  <c r="G643" i="4"/>
  <c r="AA643" i="4"/>
  <c r="AB643" i="4"/>
  <c r="AC643" i="4" s="1"/>
  <c r="AD643" i="4"/>
  <c r="AF643" i="4" s="1"/>
  <c r="AE643" i="4"/>
  <c r="AG643" i="4"/>
  <c r="AJ643" i="4"/>
  <c r="AK643" i="4" s="1"/>
  <c r="AP643" i="4" s="1"/>
  <c r="AM643" i="4"/>
  <c r="AN643" i="4"/>
  <c r="AO643" i="4"/>
  <c r="AQ643" i="4" s="1"/>
  <c r="AR643" i="4"/>
  <c r="G644" i="4"/>
  <c r="AA644" i="4"/>
  <c r="AB644" i="4"/>
  <c r="AC644" i="4" s="1"/>
  <c r="AE644" i="4"/>
  <c r="AF644" i="4"/>
  <c r="AG644" i="4"/>
  <c r="AJ644" i="4"/>
  <c r="AK644" i="4" s="1"/>
  <c r="AP644" i="4" s="1"/>
  <c r="AM644" i="4"/>
  <c r="AN644" i="4"/>
  <c r="AO644" i="4"/>
  <c r="AQ644" i="4"/>
  <c r="AR644" i="4"/>
  <c r="C5" i="33"/>
  <c r="G5" i="33" s="1"/>
  <c r="F5" i="33"/>
  <c r="C6" i="33"/>
  <c r="G6" i="33" s="1"/>
  <c r="C7" i="33"/>
  <c r="G7" i="33"/>
  <c r="C8" i="33"/>
  <c r="G8" i="33" s="1"/>
  <c r="C9" i="33"/>
  <c r="G9" i="33"/>
  <c r="C10" i="33"/>
  <c r="G10" i="33"/>
  <c r="C11" i="33"/>
  <c r="G11" i="33" s="1"/>
  <c r="C12" i="33"/>
  <c r="G12" i="33" s="1"/>
  <c r="C13" i="33"/>
  <c r="G13" i="33"/>
  <c r="C14" i="33"/>
  <c r="G14" i="33" s="1"/>
  <c r="C15" i="33"/>
  <c r="G15" i="33"/>
  <c r="C16" i="33"/>
  <c r="G16" i="33"/>
  <c r="C17" i="33"/>
  <c r="G17" i="33" s="1"/>
  <c r="C18" i="33"/>
  <c r="G18" i="33" s="1"/>
  <c r="C19" i="33"/>
  <c r="G19" i="33"/>
  <c r="C20" i="33"/>
  <c r="G20" i="33" s="1"/>
  <c r="C21" i="33"/>
  <c r="G21" i="33"/>
  <c r="C22" i="33"/>
  <c r="G22" i="33"/>
  <c r="C23" i="33"/>
  <c r="G23" i="33" s="1"/>
  <c r="C24" i="33"/>
  <c r="G24" i="33" s="1"/>
  <c r="F11" i="33"/>
  <c r="F6" i="33"/>
  <c r="F7" i="33"/>
  <c r="F8" i="33"/>
  <c r="F9" i="33"/>
  <c r="F10" i="33"/>
  <c r="F12" i="33"/>
  <c r="F13" i="33"/>
  <c r="F14" i="33"/>
  <c r="F15" i="33"/>
  <c r="F16" i="33"/>
  <c r="F17" i="33"/>
  <c r="F18" i="33"/>
  <c r="F19" i="33"/>
  <c r="F20" i="33"/>
  <c r="F21" i="33"/>
  <c r="F22" i="33"/>
  <c r="F23" i="33"/>
  <c r="F24" i="33"/>
  <c r="G5" i="28"/>
  <c r="K5" i="28"/>
  <c r="L5" i="28"/>
  <c r="AK612" i="4" l="1"/>
  <c r="AP612" i="4" s="1"/>
  <c r="AL612" i="4"/>
  <c r="AK528" i="4"/>
  <c r="AP528" i="4" s="1"/>
  <c r="AI639" i="4"/>
  <c r="AK620" i="4"/>
  <c r="AP620" i="4" s="1"/>
  <c r="AL609" i="4"/>
  <c r="AI601" i="4"/>
  <c r="AI636" i="4"/>
  <c r="AI612" i="4"/>
  <c r="AK611" i="4"/>
  <c r="AP611" i="4" s="1"/>
  <c r="AK608" i="4"/>
  <c r="AP608" i="4" s="1"/>
  <c r="AK599" i="4"/>
  <c r="AP599" i="4" s="1"/>
  <c r="AL599" i="4"/>
  <c r="AK543" i="4"/>
  <c r="AP543" i="4" s="1"/>
  <c r="AL521" i="4"/>
  <c r="AK521" i="4"/>
  <c r="AP521" i="4" s="1"/>
  <c r="AK437" i="4"/>
  <c r="AP437" i="4" s="1"/>
  <c r="AL437" i="4"/>
  <c r="AI400" i="4"/>
  <c r="AI395" i="4"/>
  <c r="AI522" i="4"/>
  <c r="AI537" i="4"/>
  <c r="AK519" i="4"/>
  <c r="AP519" i="4" s="1"/>
  <c r="AE519" i="4"/>
  <c r="AK477" i="4"/>
  <c r="AP477" i="4" s="1"/>
  <c r="AL477" i="4"/>
  <c r="AK197" i="4"/>
  <c r="AP197" i="4" s="1"/>
  <c r="AL197" i="4"/>
  <c r="AF157" i="4"/>
  <c r="AK157" i="4"/>
  <c r="AP157" i="4" s="1"/>
  <c r="AI642" i="4"/>
  <c r="AK629" i="4"/>
  <c r="AP629" i="4" s="1"/>
  <c r="AI538" i="4"/>
  <c r="AI515" i="4"/>
  <c r="AL540" i="4"/>
  <c r="AI643" i="4"/>
  <c r="AL643" i="4"/>
  <c r="AI633" i="4"/>
  <c r="AK628" i="4"/>
  <c r="AP628" i="4" s="1"/>
  <c r="AI618" i="4"/>
  <c r="AL603" i="4"/>
  <c r="AI591" i="4"/>
  <c r="AI589" i="4"/>
  <c r="AL585" i="4"/>
  <c r="AK538" i="4"/>
  <c r="AP538" i="4" s="1"/>
  <c r="AL524" i="4"/>
  <c r="AL520" i="4"/>
  <c r="AL497" i="4"/>
  <c r="AK497" i="4"/>
  <c r="AP497" i="4" s="1"/>
  <c r="AK488" i="4"/>
  <c r="AP488" i="4" s="1"/>
  <c r="AE488" i="4"/>
  <c r="AK466" i="4"/>
  <c r="AP466" i="4" s="1"/>
  <c r="AL466" i="4"/>
  <c r="AG382" i="4"/>
  <c r="AK382" i="4"/>
  <c r="AP382" i="4" s="1"/>
  <c r="AG304" i="4"/>
  <c r="AK304" i="4"/>
  <c r="AP304" i="4" s="1"/>
  <c r="AI599" i="4"/>
  <c r="AI632" i="4"/>
  <c r="AK627" i="4"/>
  <c r="AP627" i="4" s="1"/>
  <c r="AK586" i="4"/>
  <c r="AP586" i="4" s="1"/>
  <c r="AL581" i="4"/>
  <c r="AL565" i="4"/>
  <c r="AL538" i="4"/>
  <c r="AL530" i="4"/>
  <c r="AK517" i="4"/>
  <c r="AP517" i="4" s="1"/>
  <c r="AE517" i="4"/>
  <c r="AL516" i="4"/>
  <c r="AK505" i="4"/>
  <c r="AP505" i="4" s="1"/>
  <c r="AE482" i="4"/>
  <c r="AK482" i="4"/>
  <c r="AP482" i="4" s="1"/>
  <c r="AK356" i="4"/>
  <c r="AP356" i="4" s="1"/>
  <c r="AL356" i="4"/>
  <c r="AI355" i="4"/>
  <c r="AL351" i="4"/>
  <c r="AL642" i="4"/>
  <c r="AL596" i="4"/>
  <c r="AK561" i="4"/>
  <c r="AP561" i="4" s="1"/>
  <c r="AL534" i="4"/>
  <c r="AL494" i="4"/>
  <c r="AK471" i="4"/>
  <c r="AP471" i="4" s="1"/>
  <c r="AI469" i="4"/>
  <c r="AI468" i="4"/>
  <c r="AK541" i="4"/>
  <c r="AP541" i="4" s="1"/>
  <c r="AL541" i="4"/>
  <c r="AI644" i="4"/>
  <c r="AK637" i="4"/>
  <c r="AP637" i="4" s="1"/>
  <c r="AI627" i="4"/>
  <c r="AI616" i="4"/>
  <c r="AL605" i="4"/>
  <c r="AK601" i="4"/>
  <c r="AP601" i="4" s="1"/>
  <c r="AI586" i="4"/>
  <c r="AI585" i="4"/>
  <c r="AI573" i="4"/>
  <c r="AI561" i="4"/>
  <c r="AK544" i="4"/>
  <c r="AP544" i="4" s="1"/>
  <c r="AL532" i="4"/>
  <c r="AI330" i="4"/>
  <c r="AI333" i="4"/>
  <c r="AK623" i="4"/>
  <c r="AP623" i="4" s="1"/>
  <c r="AK610" i="4"/>
  <c r="AP610" i="4" s="1"/>
  <c r="AK556" i="4"/>
  <c r="AP556" i="4" s="1"/>
  <c r="AK574" i="4"/>
  <c r="AP574" i="4" s="1"/>
  <c r="AI545" i="4"/>
  <c r="AE504" i="4"/>
  <c r="AK504" i="4"/>
  <c r="AP504" i="4" s="1"/>
  <c r="AI502" i="4"/>
  <c r="AI501" i="4"/>
  <c r="AK500" i="4"/>
  <c r="AP500" i="4" s="1"/>
  <c r="AK367" i="4"/>
  <c r="AP367" i="4" s="1"/>
  <c r="AH367" i="4"/>
  <c r="AL537" i="4"/>
  <c r="AK537" i="4"/>
  <c r="AP537" i="4" s="1"/>
  <c r="AK523" i="4"/>
  <c r="AP523" i="4" s="1"/>
  <c r="AL523" i="4"/>
  <c r="AK635" i="4"/>
  <c r="AP635" i="4" s="1"/>
  <c r="AI637" i="4"/>
  <c r="AL614" i="4"/>
  <c r="AI584" i="4"/>
  <c r="AL572" i="4"/>
  <c r="AL560" i="4"/>
  <c r="AI529" i="4"/>
  <c r="AK527" i="4"/>
  <c r="AP527" i="4" s="1"/>
  <c r="AL500" i="4"/>
  <c r="AI391" i="4"/>
  <c r="AG362" i="4"/>
  <c r="AI362" i="4" s="1"/>
  <c r="AK362" i="4"/>
  <c r="AP362" i="4" s="1"/>
  <c r="AI472" i="4"/>
  <c r="AL469" i="4"/>
  <c r="AK469" i="4"/>
  <c r="AP469" i="4" s="1"/>
  <c r="AG460" i="4"/>
  <c r="AK456" i="4"/>
  <c r="AP456" i="4" s="1"/>
  <c r="AL449" i="4"/>
  <c r="AK428" i="4"/>
  <c r="AP428" i="4" s="1"/>
  <c r="AL428" i="4"/>
  <c r="AK384" i="4"/>
  <c r="AP384" i="4" s="1"/>
  <c r="AK351" i="4"/>
  <c r="AP351" i="4" s="1"/>
  <c r="AL290" i="4"/>
  <c r="AK264" i="4"/>
  <c r="AP264" i="4" s="1"/>
  <c r="AG224" i="4"/>
  <c r="AI224" i="4" s="1"/>
  <c r="AK224" i="4"/>
  <c r="AP224" i="4" s="1"/>
  <c r="AL179" i="4"/>
  <c r="AK164" i="4"/>
  <c r="AP164" i="4" s="1"/>
  <c r="AI513" i="4"/>
  <c r="AL505" i="4"/>
  <c r="AK501" i="4"/>
  <c r="AP501" i="4" s="1"/>
  <c r="AI498" i="4"/>
  <c r="AI410" i="4"/>
  <c r="AI411" i="4"/>
  <c r="AI401" i="4"/>
  <c r="AI396" i="4"/>
  <c r="AI210" i="4"/>
  <c r="AI182" i="4"/>
  <c r="AI183" i="4"/>
  <c r="AI181" i="4"/>
  <c r="AL446" i="4"/>
  <c r="AI428" i="4"/>
  <c r="AK399" i="4"/>
  <c r="AP399" i="4" s="1"/>
  <c r="AL399" i="4"/>
  <c r="AL385" i="4"/>
  <c r="AI360" i="4"/>
  <c r="AL348" i="4"/>
  <c r="AK344" i="4"/>
  <c r="AP344" i="4" s="1"/>
  <c r="AI250" i="4"/>
  <c r="AL239" i="4"/>
  <c r="AK208" i="4"/>
  <c r="AP208" i="4" s="1"/>
  <c r="AI126" i="4"/>
  <c r="AK123" i="4"/>
  <c r="AP123" i="4" s="1"/>
  <c r="AI475" i="4"/>
  <c r="AL463" i="4"/>
  <c r="AK462" i="4"/>
  <c r="AP462" i="4" s="1"/>
  <c r="AI386" i="4"/>
  <c r="AI323" i="4"/>
  <c r="AK285" i="4"/>
  <c r="AP285" i="4" s="1"/>
  <c r="AL285" i="4"/>
  <c r="AI276" i="4"/>
  <c r="AI240" i="4"/>
  <c r="AI189" i="4"/>
  <c r="AI162" i="4"/>
  <c r="AK343" i="4"/>
  <c r="AP343" i="4" s="1"/>
  <c r="AH343" i="4"/>
  <c r="AH193" i="4"/>
  <c r="AK193" i="4"/>
  <c r="AP193" i="4" s="1"/>
  <c r="AK116" i="4"/>
  <c r="AP116" i="4" s="1"/>
  <c r="AL638" i="4"/>
  <c r="AI630" i="4"/>
  <c r="AK626" i="4"/>
  <c r="AP626" i="4" s="1"/>
  <c r="AK616" i="4"/>
  <c r="AP616" i="4" s="1"/>
  <c r="AI597" i="4"/>
  <c r="AI595" i="4"/>
  <c r="AI594" i="4"/>
  <c r="AL586" i="4"/>
  <c r="AI580" i="4"/>
  <c r="AL574" i="4"/>
  <c r="AK567" i="4"/>
  <c r="AP567" i="4" s="1"/>
  <c r="AL562" i="4"/>
  <c r="AL553" i="4"/>
  <c r="AL544" i="4"/>
  <c r="AL543" i="4"/>
  <c r="AK536" i="4"/>
  <c r="AP536" i="4" s="1"/>
  <c r="AI533" i="4"/>
  <c r="AI532" i="4"/>
  <c r="AK502" i="4"/>
  <c r="AP502" i="4" s="1"/>
  <c r="AI483" i="4"/>
  <c r="AK476" i="4"/>
  <c r="AP476" i="4" s="1"/>
  <c r="AK474" i="4"/>
  <c r="AP474" i="4" s="1"/>
  <c r="AL453" i="4"/>
  <c r="AI445" i="4"/>
  <c r="AL436" i="4"/>
  <c r="AG426" i="4"/>
  <c r="AI426" i="4" s="1"/>
  <c r="AI385" i="4"/>
  <c r="AL365" i="4"/>
  <c r="AL363" i="4"/>
  <c r="AI351" i="4"/>
  <c r="AK327" i="4"/>
  <c r="AP327" i="4" s="1"/>
  <c r="AI310" i="4"/>
  <c r="AI309" i="4"/>
  <c r="AL237" i="4"/>
  <c r="AK237" i="4"/>
  <c r="AP237" i="4" s="1"/>
  <c r="AI229" i="4"/>
  <c r="AL212" i="4"/>
  <c r="AG107" i="4"/>
  <c r="AI107" i="4" s="1"/>
  <c r="AK107" i="4"/>
  <c r="AP107" i="4" s="1"/>
  <c r="AI608" i="4"/>
  <c r="AK607" i="4"/>
  <c r="AP607" i="4" s="1"/>
  <c r="AK572" i="4"/>
  <c r="AP572" i="4" s="1"/>
  <c r="AI571" i="4"/>
  <c r="AK560" i="4"/>
  <c r="AP560" i="4" s="1"/>
  <c r="AI559" i="4"/>
  <c r="AL536" i="4"/>
  <c r="AK534" i="4"/>
  <c r="AP534" i="4" s="1"/>
  <c r="AL503" i="4"/>
  <c r="AL502" i="4"/>
  <c r="AL496" i="4"/>
  <c r="AL495" i="4"/>
  <c r="AL476" i="4"/>
  <c r="AI474" i="4"/>
  <c r="AF454" i="4"/>
  <c r="AL451" i="4"/>
  <c r="AI446" i="4"/>
  <c r="AI436" i="4"/>
  <c r="AK424" i="4"/>
  <c r="AP424" i="4" s="1"/>
  <c r="AL424" i="4"/>
  <c r="AL394" i="4"/>
  <c r="AF375" i="4"/>
  <c r="AI374" i="4" s="1"/>
  <c r="AL319" i="4"/>
  <c r="AF283" i="4"/>
  <c r="AI282" i="4" s="1"/>
  <c r="AL280" i="4"/>
  <c r="AL273" i="4"/>
  <c r="AI270" i="4"/>
  <c r="AI241" i="4"/>
  <c r="AL230" i="4"/>
  <c r="AG228" i="4"/>
  <c r="AI228" i="4" s="1"/>
  <c r="AI216" i="4"/>
  <c r="AL213" i="4"/>
  <c r="AG204" i="4"/>
  <c r="AG194" i="4"/>
  <c r="AI195" i="4" s="1"/>
  <c r="AK194" i="4"/>
  <c r="AP194" i="4" s="1"/>
  <c r="AH203" i="4"/>
  <c r="AI203" i="4" s="1"/>
  <c r="AK203" i="4"/>
  <c r="AP203" i="4" s="1"/>
  <c r="AL132" i="4"/>
  <c r="AL483" i="4"/>
  <c r="AI459" i="4"/>
  <c r="AL433" i="4"/>
  <c r="AL281" i="4"/>
  <c r="AL275" i="4"/>
  <c r="AK275" i="4"/>
  <c r="AP275" i="4" s="1"/>
  <c r="AG258" i="4"/>
  <c r="AK258" i="4"/>
  <c r="AP258" i="4" s="1"/>
  <c r="AK169" i="4"/>
  <c r="AP169" i="4" s="1"/>
  <c r="AL169" i="4"/>
  <c r="AI160" i="4"/>
  <c r="AG159" i="4"/>
  <c r="AF117" i="4"/>
  <c r="AI117" i="4" s="1"/>
  <c r="AK117" i="4"/>
  <c r="AP117" i="4" s="1"/>
  <c r="AI548" i="4"/>
  <c r="AI531" i="4"/>
  <c r="AK526" i="4"/>
  <c r="AP526" i="4" s="1"/>
  <c r="AI525" i="4"/>
  <c r="AL519" i="4"/>
  <c r="AK507" i="4"/>
  <c r="AP507" i="4" s="1"/>
  <c r="AK491" i="4"/>
  <c r="AP491" i="4" s="1"/>
  <c r="AL491" i="4"/>
  <c r="AL376" i="4"/>
  <c r="AI375" i="4"/>
  <c r="AI354" i="4"/>
  <c r="AL343" i="4"/>
  <c r="AK316" i="4"/>
  <c r="AP316" i="4" s="1"/>
  <c r="AK309" i="4"/>
  <c r="AP309" i="4" s="1"/>
  <c r="AG309" i="4"/>
  <c r="AL286" i="4"/>
  <c r="AL277" i="4"/>
  <c r="AL272" i="4"/>
  <c r="AH307" i="4"/>
  <c r="AK307" i="4"/>
  <c r="AP307" i="4" s="1"/>
  <c r="AH189" i="4"/>
  <c r="AI187" i="4" s="1"/>
  <c r="AK189" i="4"/>
  <c r="AP189" i="4" s="1"/>
  <c r="AK134" i="4"/>
  <c r="AP134" i="4" s="1"/>
  <c r="AK524" i="4"/>
  <c r="AP524" i="4" s="1"/>
  <c r="AI517" i="4"/>
  <c r="AI492" i="4"/>
  <c r="AK487" i="4"/>
  <c r="AP487" i="4" s="1"/>
  <c r="AL471" i="4"/>
  <c r="AI461" i="4"/>
  <c r="AL443" i="4"/>
  <c r="AL442" i="4"/>
  <c r="AI432" i="4"/>
  <c r="AI341" i="4"/>
  <c r="AI328" i="4"/>
  <c r="AL315" i="4"/>
  <c r="AK315" i="4"/>
  <c r="AP315" i="4" s="1"/>
  <c r="AG292" i="4"/>
  <c r="AK292" i="4"/>
  <c r="AP292" i="4" s="1"/>
  <c r="AL267" i="4"/>
  <c r="AF175" i="4"/>
  <c r="AK175" i="4"/>
  <c r="AP175" i="4" s="1"/>
  <c r="AI173" i="4"/>
  <c r="AL170" i="4"/>
  <c r="AK154" i="4"/>
  <c r="AP154" i="4" s="1"/>
  <c r="AI622" i="4"/>
  <c r="AL620" i="4"/>
  <c r="AI614" i="4"/>
  <c r="AI588" i="4"/>
  <c r="AK587" i="4"/>
  <c r="AP587" i="4" s="1"/>
  <c r="AK575" i="4"/>
  <c r="AP575" i="4" s="1"/>
  <c r="AI570" i="4"/>
  <c r="AI564" i="4"/>
  <c r="AK563" i="4"/>
  <c r="AP563" i="4" s="1"/>
  <c r="AK558" i="4"/>
  <c r="AP558" i="4" s="1"/>
  <c r="AL548" i="4"/>
  <c r="AL545" i="4"/>
  <c r="AK539" i="4"/>
  <c r="AP539" i="4" s="1"/>
  <c r="AK513" i="4"/>
  <c r="AP513" i="4" s="1"/>
  <c r="AL513" i="4"/>
  <c r="AK511" i="4"/>
  <c r="AP511" i="4" s="1"/>
  <c r="AL509" i="4"/>
  <c r="AK499" i="4"/>
  <c r="AP499" i="4" s="1"/>
  <c r="AL499" i="4"/>
  <c r="AI487" i="4"/>
  <c r="AI486" i="4"/>
  <c r="AL481" i="4"/>
  <c r="AI463" i="4"/>
  <c r="AK449" i="4"/>
  <c r="AP449" i="4" s="1"/>
  <c r="AI440" i="4"/>
  <c r="AL411" i="4"/>
  <c r="AL378" i="4"/>
  <c r="AI353" i="4"/>
  <c r="AL323" i="4"/>
  <c r="AK323" i="4"/>
  <c r="AP323" i="4" s="1"/>
  <c r="AK312" i="4"/>
  <c r="AP312" i="4" s="1"/>
  <c r="AI305" i="4"/>
  <c r="AI280" i="4"/>
  <c r="AF222" i="4"/>
  <c r="AI222" i="4" s="1"/>
  <c r="AL167" i="4"/>
  <c r="AL143" i="4"/>
  <c r="AL134" i="4"/>
  <c r="AI412" i="4"/>
  <c r="AI406" i="4"/>
  <c r="AK397" i="4"/>
  <c r="AP397" i="4" s="1"/>
  <c r="AL383" i="4"/>
  <c r="AL379" i="4"/>
  <c r="AK368" i="4"/>
  <c r="AP368" i="4" s="1"/>
  <c r="AL344" i="4"/>
  <c r="AK342" i="4"/>
  <c r="AP342" i="4" s="1"/>
  <c r="AL341" i="4"/>
  <c r="AI337" i="4"/>
  <c r="AI319" i="4"/>
  <c r="AK287" i="4"/>
  <c r="AP287" i="4" s="1"/>
  <c r="AK266" i="4"/>
  <c r="AP266" i="4" s="1"/>
  <c r="AI245" i="4"/>
  <c r="AL243" i="4"/>
  <c r="AI165" i="4"/>
  <c r="AL154" i="4"/>
  <c r="AK373" i="4"/>
  <c r="AP373" i="4" s="1"/>
  <c r="AH373" i="4"/>
  <c r="AI373" i="4" s="1"/>
  <c r="AL123" i="4"/>
  <c r="AL115" i="4"/>
  <c r="AI105" i="4"/>
  <c r="AI104" i="4"/>
  <c r="AI438" i="4"/>
  <c r="AI424" i="4"/>
  <c r="AI420" i="4"/>
  <c r="AL360" i="4"/>
  <c r="AL330" i="4"/>
  <c r="AL326" i="4"/>
  <c r="AK233" i="4"/>
  <c r="AP233" i="4" s="1"/>
  <c r="AL224" i="4"/>
  <c r="AI217" i="4"/>
  <c r="AL215" i="4"/>
  <c r="AK182" i="4"/>
  <c r="AP182" i="4" s="1"/>
  <c r="AK146" i="4"/>
  <c r="AP146" i="4" s="1"/>
  <c r="AK127" i="4"/>
  <c r="AP127" i="4" s="1"/>
  <c r="AI110" i="4"/>
  <c r="AK173" i="4"/>
  <c r="AP173" i="4" s="1"/>
  <c r="AK172" i="4"/>
  <c r="AP172" i="4" s="1"/>
  <c r="AK161" i="4"/>
  <c r="AP161" i="4" s="1"/>
  <c r="AK141" i="4"/>
  <c r="AP141" i="4" s="1"/>
  <c r="AL125" i="4"/>
  <c r="AK101" i="4"/>
  <c r="AP101" i="4" s="1"/>
  <c r="AL332" i="4"/>
  <c r="AI331" i="4"/>
  <c r="AK325" i="4"/>
  <c r="AP325" i="4" s="1"/>
  <c r="AL314" i="4"/>
  <c r="AL293" i="4"/>
  <c r="AK251" i="4"/>
  <c r="AP251" i="4" s="1"/>
  <c r="AF251" i="4"/>
  <c r="AI251" i="4" s="1"/>
  <c r="AL248" i="4"/>
  <c r="AL245" i="4"/>
  <c r="AK205" i="4"/>
  <c r="AP205" i="4" s="1"/>
  <c r="AL196" i="4"/>
  <c r="AL151" i="4"/>
  <c r="AI147" i="4"/>
  <c r="AI139" i="4"/>
  <c r="AL507" i="4"/>
  <c r="AK495" i="4"/>
  <c r="AP495" i="4" s="1"/>
  <c r="AL488" i="4"/>
  <c r="AK486" i="4"/>
  <c r="AP486" i="4" s="1"/>
  <c r="AI473" i="4"/>
  <c r="AL468" i="4"/>
  <c r="AI450" i="4"/>
  <c r="AI437" i="4"/>
  <c r="AK429" i="4"/>
  <c r="AP429" i="4" s="1"/>
  <c r="AI423" i="4"/>
  <c r="AL393" i="4"/>
  <c r="AK372" i="4"/>
  <c r="AP372" i="4" s="1"/>
  <c r="AL359" i="4"/>
  <c r="AK358" i="4"/>
  <c r="AP358" i="4" s="1"/>
  <c r="AI317" i="4"/>
  <c r="AI293" i="4"/>
  <c r="AL292" i="4"/>
  <c r="AL268" i="4"/>
  <c r="AI267" i="4"/>
  <c r="AL251" i="4"/>
  <c r="AI237" i="4"/>
  <c r="AK156" i="4"/>
  <c r="AP156" i="4" s="1"/>
  <c r="AK236" i="4"/>
  <c r="AP236" i="4" s="1"/>
  <c r="AI123" i="4"/>
  <c r="AI70" i="4"/>
  <c r="AL100" i="4"/>
  <c r="AK514" i="4"/>
  <c r="AP514" i="4" s="1"/>
  <c r="AI505" i="4"/>
  <c r="AI493" i="4"/>
  <c r="AK483" i="4"/>
  <c r="AP483" i="4" s="1"/>
  <c r="AL472" i="4"/>
  <c r="AI471" i="4"/>
  <c r="AI441" i="4"/>
  <c r="AK440" i="4"/>
  <c r="AP440" i="4" s="1"/>
  <c r="AL427" i="4"/>
  <c r="AK425" i="4"/>
  <c r="AP425" i="4" s="1"/>
  <c r="AI372" i="4"/>
  <c r="AL364" i="4"/>
  <c r="AK364" i="4"/>
  <c r="AP364" i="4" s="1"/>
  <c r="AK301" i="4"/>
  <c r="AP301" i="4" s="1"/>
  <c r="AK297" i="4"/>
  <c r="AP297" i="4" s="1"/>
  <c r="AK274" i="4"/>
  <c r="AP274" i="4" s="1"/>
  <c r="AI272" i="4"/>
  <c r="AI246" i="4"/>
  <c r="AI242" i="4"/>
  <c r="AL236" i="4"/>
  <c r="AL228" i="4"/>
  <c r="AK219" i="4"/>
  <c r="AP219" i="4" s="1"/>
  <c r="AI215" i="4"/>
  <c r="AL208" i="4"/>
  <c r="AL185" i="4"/>
  <c r="AI184" i="4"/>
  <c r="AK152" i="4"/>
  <c r="AP152" i="4" s="1"/>
  <c r="AL152" i="4"/>
  <c r="AI112" i="4"/>
  <c r="AK91" i="4"/>
  <c r="AP91" i="4" s="1"/>
  <c r="AL91" i="4"/>
  <c r="AL4" i="4"/>
  <c r="AL78" i="4"/>
  <c r="AL69" i="4"/>
  <c r="AK65" i="4"/>
  <c r="AP65" i="4" s="1"/>
  <c r="AK60" i="4"/>
  <c r="AP60" i="4" s="1"/>
  <c r="AI57" i="4"/>
  <c r="AI41" i="4"/>
  <c r="AK37" i="4"/>
  <c r="AP37" i="4" s="1"/>
  <c r="AI30" i="4"/>
  <c r="AF22" i="4"/>
  <c r="AI22" i="4" s="1"/>
  <c r="AI12" i="4"/>
  <c r="AI13" i="4"/>
  <c r="AL88" i="4"/>
  <c r="AI64" i="4"/>
  <c r="AK48" i="4"/>
  <c r="AP48" i="4" s="1"/>
  <c r="AL42" i="4"/>
  <c r="AI39" i="4"/>
  <c r="AI34" i="4"/>
  <c r="AK9" i="4"/>
  <c r="AP9" i="4" s="1"/>
  <c r="AI8" i="4"/>
  <c r="AI10" i="4"/>
  <c r="AL90" i="4"/>
  <c r="AL82" i="4"/>
  <c r="AI75" i="4"/>
  <c r="AL66" i="4"/>
  <c r="AI47" i="4"/>
  <c r="AK43" i="4"/>
  <c r="AP43" i="4" s="1"/>
  <c r="AK34" i="4"/>
  <c r="AP34" i="4" s="1"/>
  <c r="AK33" i="4"/>
  <c r="AP33" i="4" s="1"/>
  <c r="AL30" i="4"/>
  <c r="AK11" i="4"/>
  <c r="AP11" i="4" s="1"/>
  <c r="AL5" i="4"/>
  <c r="AI89" i="4"/>
  <c r="AL71" i="4"/>
  <c r="AK50" i="4"/>
  <c r="AP50" i="4" s="1"/>
  <c r="AI36" i="4"/>
  <c r="AL34" i="4"/>
  <c r="AK23" i="4"/>
  <c r="AP23" i="4" s="1"/>
  <c r="AK20" i="4"/>
  <c r="AP20" i="4" s="1"/>
  <c r="AI99" i="4"/>
  <c r="AK98" i="4"/>
  <c r="AP98" i="4" s="1"/>
  <c r="AI88" i="4"/>
  <c r="AK76" i="4"/>
  <c r="AP76" i="4" s="1"/>
  <c r="AI74" i="4"/>
  <c r="AK70" i="4"/>
  <c r="AP70" i="4" s="1"/>
  <c r="AI69" i="4"/>
  <c r="AK68" i="4"/>
  <c r="AP68" i="4" s="1"/>
  <c r="AL63" i="4"/>
  <c r="AK62" i="4"/>
  <c r="AP62" i="4" s="1"/>
  <c r="AI42" i="4"/>
  <c r="AK41" i="4"/>
  <c r="AP41" i="4" s="1"/>
  <c r="AK35" i="4"/>
  <c r="AP35" i="4" s="1"/>
  <c r="AI32" i="4"/>
  <c r="AI25" i="4"/>
  <c r="AI19" i="4"/>
  <c r="AK4" i="4"/>
  <c r="AP4" i="4" s="1"/>
  <c r="AL87" i="4"/>
  <c r="AI65" i="4"/>
  <c r="AL49" i="4"/>
  <c r="AI45" i="4"/>
  <c r="AI37" i="4"/>
  <c r="AI23" i="4"/>
  <c r="AK405" i="4"/>
  <c r="AP405" i="4" s="1"/>
  <c r="AK391" i="4"/>
  <c r="AP391" i="4" s="1"/>
  <c r="AL371" i="4"/>
  <c r="AK352" i="4"/>
  <c r="AP352" i="4" s="1"/>
  <c r="AK347" i="4"/>
  <c r="AP347" i="4" s="1"/>
  <c r="AK338" i="4"/>
  <c r="AP338" i="4" s="1"/>
  <c r="AI327" i="4"/>
  <c r="AL322" i="4"/>
  <c r="AK299" i="4"/>
  <c r="AP299" i="4" s="1"/>
  <c r="AK268" i="4"/>
  <c r="AP268" i="4" s="1"/>
  <c r="AL256" i="4"/>
  <c r="AI239" i="4"/>
  <c r="AL232" i="4"/>
  <c r="AI220" i="4"/>
  <c r="AK214" i="4"/>
  <c r="AP214" i="4" s="1"/>
  <c r="AK192" i="4"/>
  <c r="AP192" i="4" s="1"/>
  <c r="AL171" i="4"/>
  <c r="AI142" i="4"/>
  <c r="AK131" i="4"/>
  <c r="AP131" i="4" s="1"/>
  <c r="AK111" i="4"/>
  <c r="AP111" i="4" s="1"/>
  <c r="AI102" i="4"/>
  <c r="AK80" i="4"/>
  <c r="AP80" i="4" s="1"/>
  <c r="AI78" i="4"/>
  <c r="AL72" i="4"/>
  <c r="AK46" i="4"/>
  <c r="AP46" i="4" s="1"/>
  <c r="AL44" i="4"/>
  <c r="AI35" i="4"/>
  <c r="AI28" i="4"/>
  <c r="AK27" i="4"/>
  <c r="AP27" i="4" s="1"/>
  <c r="AL21" i="4"/>
  <c r="AK97" i="4"/>
  <c r="AP97" i="4" s="1"/>
  <c r="AK93" i="4"/>
  <c r="AP93" i="4" s="1"/>
  <c r="AK67" i="4"/>
  <c r="AP67" i="4" s="1"/>
  <c r="AL46" i="4"/>
  <c r="AK10" i="4"/>
  <c r="AP10" i="4" s="1"/>
  <c r="AI7" i="4"/>
  <c r="AI5" i="4"/>
  <c r="AI95" i="4"/>
  <c r="AK57" i="4"/>
  <c r="AP57" i="4" s="1"/>
  <c r="AI26" i="4"/>
  <c r="AK12" i="4"/>
  <c r="AP12" i="4" s="1"/>
  <c r="AK92" i="4"/>
  <c r="AP92" i="4" s="1"/>
  <c r="AL79" i="4"/>
  <c r="AI58" i="4"/>
  <c r="AI54" i="4"/>
  <c r="AK52" i="4"/>
  <c r="AP52" i="4" s="1"/>
  <c r="AI43" i="4"/>
  <c r="AI38" i="4"/>
  <c r="AK25" i="4"/>
  <c r="AP25" i="4" s="1"/>
  <c r="AK13" i="4"/>
  <c r="AP13" i="4" s="1"/>
  <c r="AI18" i="4"/>
  <c r="AK7" i="4"/>
  <c r="AP7" i="4" s="1"/>
  <c r="AL84" i="4"/>
  <c r="AK78" i="4"/>
  <c r="AP78" i="4" s="1"/>
  <c r="AK56" i="4"/>
  <c r="AP56" i="4" s="1"/>
  <c r="AK47" i="4"/>
  <c r="AP47" i="4" s="1"/>
  <c r="AL28" i="4"/>
  <c r="AK26" i="4"/>
  <c r="AP26" i="4" s="1"/>
  <c r="AI16" i="4"/>
  <c r="FC225" i="30"/>
  <c r="EZ216" i="30"/>
  <c r="FC127" i="30"/>
  <c r="FC51" i="30"/>
  <c r="EY225" i="30"/>
  <c r="EZ108" i="30"/>
  <c r="EZ159" i="30"/>
  <c r="FC156" i="30"/>
  <c r="EW225" i="30"/>
  <c r="FC173" i="30"/>
  <c r="EY173" i="30"/>
  <c r="EW127" i="30"/>
  <c r="EY146" i="30"/>
  <c r="EY156" i="30"/>
  <c r="EZ175" i="30"/>
  <c r="EZ213" i="30"/>
  <c r="EY127" i="30"/>
  <c r="FC146" i="30"/>
  <c r="EW173" i="30"/>
  <c r="EW156" i="30"/>
  <c r="EZ212" i="30"/>
  <c r="FC208" i="30"/>
  <c r="EY208" i="30"/>
  <c r="EW146" i="30"/>
  <c r="EW208" i="30"/>
  <c r="FC69" i="30"/>
  <c r="FC226" i="30"/>
  <c r="FC187" i="30"/>
  <c r="FC189" i="30"/>
  <c r="EY69" i="30"/>
  <c r="EY226" i="30"/>
  <c r="FC201" i="30"/>
  <c r="EW76" i="30"/>
  <c r="FB76" i="30" s="1"/>
  <c r="EY187" i="30"/>
  <c r="EW189" i="30"/>
  <c r="FC230" i="30"/>
  <c r="EZ210" i="30"/>
  <c r="EW69" i="30"/>
  <c r="EW226" i="30"/>
  <c r="EY201" i="30"/>
  <c r="EW187" i="30"/>
  <c r="EW230" i="30"/>
  <c r="EW201" i="30"/>
  <c r="EZ62" i="30"/>
  <c r="EW205" i="30"/>
  <c r="FB71" i="30"/>
  <c r="FC217" i="30"/>
  <c r="EY217" i="30"/>
  <c r="EW108" i="30"/>
  <c r="EW149" i="30"/>
  <c r="FB149" i="30" s="1"/>
  <c r="FB161" i="30"/>
  <c r="FC119" i="30"/>
  <c r="FC83" i="30"/>
  <c r="FC153" i="30"/>
  <c r="FC105" i="30"/>
  <c r="EY119" i="30"/>
  <c r="FB119" i="30" s="1"/>
  <c r="FC66" i="30"/>
  <c r="EY153" i="30"/>
  <c r="EY105" i="30"/>
  <c r="EY66" i="30"/>
  <c r="FC92" i="30"/>
  <c r="EW153" i="30"/>
  <c r="FB153" i="30" s="1"/>
  <c r="EW105" i="30"/>
  <c r="EY92" i="30"/>
  <c r="EX217" i="30"/>
  <c r="EZ217" i="30" s="1"/>
  <c r="FC94" i="30"/>
  <c r="EW94" i="30"/>
  <c r="EY96" i="30"/>
  <c r="EW135" i="30"/>
  <c r="FC108" i="30"/>
  <c r="EY108" i="30"/>
  <c r="FC149" i="30"/>
  <c r="EX236" i="30"/>
  <c r="EV147" i="30"/>
  <c r="FA147" i="30" s="1"/>
  <c r="FC90" i="30"/>
  <c r="EW136" i="30"/>
  <c r="EY205" i="30"/>
  <c r="EV120" i="30"/>
  <c r="FA120" i="30" s="1"/>
  <c r="EW90" i="30"/>
  <c r="FC158" i="30"/>
  <c r="FB156" i="30"/>
  <c r="EW158" i="30"/>
  <c r="EX160" i="30"/>
  <c r="EY158" i="30"/>
  <c r="FB172" i="30"/>
  <c r="FC244" i="30"/>
  <c r="FC101" i="30"/>
  <c r="FC166" i="30"/>
  <c r="EY101" i="30"/>
  <c r="EY244" i="30"/>
  <c r="FC100" i="30"/>
  <c r="EX103" i="30"/>
  <c r="EW244" i="30"/>
  <c r="EY100" i="30"/>
  <c r="EV92" i="30"/>
  <c r="FA92" i="30" s="1"/>
  <c r="EX135" i="30"/>
  <c r="EW166" i="30"/>
  <c r="EW100" i="30"/>
  <c r="EW121" i="30"/>
  <c r="FC97" i="30"/>
  <c r="EW97" i="30"/>
  <c r="EV149" i="30"/>
  <c r="FA149" i="30" s="1"/>
  <c r="EV206" i="30"/>
  <c r="FA206" i="30" s="1"/>
  <c r="FC56" i="30"/>
  <c r="FC221" i="30"/>
  <c r="FC126" i="30"/>
  <c r="EY198" i="30"/>
  <c r="EW198" i="30"/>
  <c r="FC176" i="30"/>
  <c r="EY56" i="30"/>
  <c r="FB62" i="30"/>
  <c r="EY221" i="30"/>
  <c r="EY126" i="30"/>
  <c r="EV83" i="30"/>
  <c r="FA83" i="30" s="1"/>
  <c r="EV74" i="30"/>
  <c r="EZ74" i="30" s="1"/>
  <c r="FB175" i="30"/>
  <c r="FB173" i="30"/>
  <c r="EY176" i="30"/>
  <c r="FC241" i="30"/>
  <c r="EW56" i="30"/>
  <c r="FC210" i="30"/>
  <c r="EW221" i="30"/>
  <c r="FB137" i="30"/>
  <c r="EY171" i="30"/>
  <c r="EY210" i="30"/>
  <c r="EW171" i="30"/>
  <c r="EW176" i="30"/>
  <c r="EW241" i="30"/>
  <c r="EY51" i="30"/>
  <c r="EW210" i="30"/>
  <c r="EY241" i="30"/>
  <c r="EW51" i="30"/>
  <c r="FC159" i="30"/>
  <c r="FC164" i="30"/>
  <c r="FC206" i="30"/>
  <c r="EY159" i="30"/>
  <c r="EY149" i="30"/>
  <c r="EY113" i="30"/>
  <c r="EY164" i="30"/>
  <c r="FB164" i="30" s="1"/>
  <c r="EY206" i="30"/>
  <c r="FB206" i="30" s="1"/>
  <c r="EW159" i="30"/>
  <c r="EX176" i="30"/>
  <c r="EZ176" i="30" s="1"/>
  <c r="EX221" i="30"/>
  <c r="EZ221" i="30" s="1"/>
  <c r="FC145" i="30"/>
  <c r="EY223" i="30"/>
  <c r="FC196" i="30"/>
  <c r="EW59" i="30"/>
  <c r="EY93" i="30"/>
  <c r="EW93" i="30"/>
  <c r="FC148" i="30"/>
  <c r="EY145" i="30"/>
  <c r="EY121" i="30"/>
  <c r="EY196" i="30"/>
  <c r="FB196" i="30" s="1"/>
  <c r="EV121" i="30"/>
  <c r="FA121" i="30" s="1"/>
  <c r="EV223" i="30"/>
  <c r="FA223" i="30" s="1"/>
  <c r="EX81" i="30"/>
  <c r="EY155" i="30"/>
  <c r="FB244" i="30"/>
  <c r="EV78" i="30"/>
  <c r="FA78" i="30" s="1"/>
  <c r="EW155" i="30"/>
  <c r="EV100" i="30"/>
  <c r="FA100" i="30" s="1"/>
  <c r="EW217" i="30"/>
  <c r="FB217" i="30" s="1"/>
  <c r="FB132" i="30"/>
  <c r="EX98" i="30"/>
  <c r="EX134" i="30"/>
  <c r="FB229" i="30"/>
  <c r="FB166" i="30"/>
  <c r="FC168" i="30"/>
  <c r="FC157" i="30"/>
  <c r="FB201" i="30"/>
  <c r="FB82" i="30"/>
  <c r="FB183" i="30"/>
  <c r="DR80" i="30"/>
  <c r="EV171" i="30"/>
  <c r="FA171" i="30" s="1"/>
  <c r="EV159" i="30"/>
  <c r="FA159" i="30" s="1"/>
  <c r="EY168" i="30"/>
  <c r="FB136" i="30"/>
  <c r="EY157" i="30"/>
  <c r="FB101" i="30"/>
  <c r="EW168" i="30"/>
  <c r="FB208" i="30"/>
  <c r="EW157" i="30"/>
  <c r="FC81" i="30"/>
  <c r="EV207" i="30"/>
  <c r="FA207" i="30" s="1"/>
  <c r="EV119" i="30"/>
  <c r="FA119" i="30" s="1"/>
  <c r="EX112" i="30"/>
  <c r="EZ112" i="30" s="1"/>
  <c r="EY81" i="30"/>
  <c r="FC223" i="30"/>
  <c r="FC59" i="30"/>
  <c r="FC93" i="30"/>
  <c r="FC121" i="30"/>
  <c r="FB202" i="30"/>
  <c r="EW81" i="30"/>
  <c r="FB220" i="30"/>
  <c r="EW223" i="30"/>
  <c r="FB135" i="30"/>
  <c r="EV153" i="30"/>
  <c r="FA153" i="30" s="1"/>
  <c r="EV87" i="30"/>
  <c r="FA87" i="30" s="1"/>
  <c r="EW143" i="30"/>
  <c r="EY68" i="30"/>
  <c r="EW125" i="30"/>
  <c r="FB125" i="30" s="1"/>
  <c r="EW216" i="30"/>
  <c r="FB216" i="30" s="1"/>
  <c r="EX61" i="30"/>
  <c r="EX155" i="30"/>
  <c r="EV196" i="30"/>
  <c r="EZ196" i="30" s="1"/>
  <c r="EV143" i="30"/>
  <c r="FA143" i="30" s="1"/>
  <c r="EW68" i="30"/>
  <c r="FB154" i="30"/>
  <c r="FC239" i="30"/>
  <c r="FC60" i="30"/>
  <c r="FB75" i="30"/>
  <c r="FB74" i="30"/>
  <c r="DP83" i="30"/>
  <c r="EY239" i="30"/>
  <c r="FB239" i="30" s="1"/>
  <c r="EY60" i="30"/>
  <c r="EX227" i="30"/>
  <c r="FB113" i="30"/>
  <c r="EW60" i="30"/>
  <c r="FB111" i="30"/>
  <c r="FB72" i="30"/>
  <c r="FC195" i="30"/>
  <c r="EV94" i="30"/>
  <c r="FA94" i="30" s="1"/>
  <c r="EV66" i="30"/>
  <c r="FA66" i="30" s="1"/>
  <c r="EX174" i="30"/>
  <c r="EV116" i="30"/>
  <c r="EX157" i="30"/>
  <c r="FC53" i="30"/>
  <c r="EX110" i="30"/>
  <c r="EX56" i="30"/>
  <c r="EV181" i="30"/>
  <c r="FA181" i="30" s="1"/>
  <c r="FC245" i="30"/>
  <c r="FC58" i="30"/>
  <c r="EW53" i="30"/>
  <c r="FC215" i="30"/>
  <c r="EY245" i="30"/>
  <c r="FB210" i="30"/>
  <c r="EY58" i="30"/>
  <c r="EY53" i="30"/>
  <c r="EW169" i="30"/>
  <c r="EX158" i="30"/>
  <c r="EZ158" i="30" s="1"/>
  <c r="EV161" i="30"/>
  <c r="FA161" i="30" s="1"/>
  <c r="FC125" i="30"/>
  <c r="EW215" i="30"/>
  <c r="EW245" i="30"/>
  <c r="EW58" i="30"/>
  <c r="EY169" i="30"/>
  <c r="EV93" i="30"/>
  <c r="FA93" i="30" s="1"/>
  <c r="FB69" i="30"/>
  <c r="FC216" i="30"/>
  <c r="EX125" i="30"/>
  <c r="EX245" i="30"/>
  <c r="EV53" i="30"/>
  <c r="EZ53" i="30" s="1"/>
  <c r="EW145" i="30"/>
  <c r="EY67" i="30"/>
  <c r="EY122" i="30"/>
  <c r="EW55" i="30"/>
  <c r="EW148" i="30"/>
  <c r="FC106" i="30"/>
  <c r="EW67" i="30"/>
  <c r="FC233" i="30"/>
  <c r="EW122" i="30"/>
  <c r="FB122" i="30" s="1"/>
  <c r="FC84" i="30"/>
  <c r="FC73" i="30"/>
  <c r="AL74" i="30"/>
  <c r="FC104" i="30"/>
  <c r="FC99" i="30"/>
  <c r="EY104" i="30"/>
  <c r="FB141" i="30"/>
  <c r="EY99" i="30"/>
  <c r="FB176" i="30"/>
  <c r="FB63" i="30"/>
  <c r="EY106" i="30"/>
  <c r="FB120" i="30"/>
  <c r="FC95" i="30"/>
  <c r="FC151" i="30"/>
  <c r="FC167" i="30"/>
  <c r="EY233" i="30"/>
  <c r="FB233" i="30" s="1"/>
  <c r="FB226" i="30"/>
  <c r="EY84" i="30"/>
  <c r="FC152" i="30"/>
  <c r="FB159" i="30"/>
  <c r="DV82" i="30"/>
  <c r="EW73" i="30"/>
  <c r="EW52" i="30"/>
  <c r="EY148" i="30"/>
  <c r="FC54" i="30"/>
  <c r="EW99" i="30"/>
  <c r="EW106" i="30"/>
  <c r="EY95" i="30"/>
  <c r="EY167" i="30"/>
  <c r="EW233" i="30"/>
  <c r="EW84" i="30"/>
  <c r="EY152" i="30"/>
  <c r="EY73" i="30"/>
  <c r="EW104" i="30"/>
  <c r="EY54" i="30"/>
  <c r="FC138" i="30"/>
  <c r="FC89" i="30"/>
  <c r="EW95" i="30"/>
  <c r="EY151" i="30"/>
  <c r="EW167" i="30"/>
  <c r="FC182" i="30"/>
  <c r="FC204" i="30"/>
  <c r="FC96" i="30"/>
  <c r="EW152" i="30"/>
  <c r="EV108" i="30"/>
  <c r="FA108" i="30" s="1"/>
  <c r="EV63" i="30"/>
  <c r="FA63" i="30" s="1"/>
  <c r="EV105" i="30"/>
  <c r="FA105" i="30" s="1"/>
  <c r="EV60" i="30"/>
  <c r="FA60" i="30" s="1"/>
  <c r="EW89" i="30"/>
  <c r="FC224" i="30"/>
  <c r="FC240" i="30"/>
  <c r="EW151" i="30"/>
  <c r="FB151" i="30" s="1"/>
  <c r="EY182" i="30"/>
  <c r="EY204" i="30"/>
  <c r="FC185" i="30"/>
  <c r="FC246" i="30"/>
  <c r="EY52" i="30"/>
  <c r="EW54" i="30"/>
  <c r="EY138" i="30"/>
  <c r="FB59" i="30"/>
  <c r="EW138" i="30"/>
  <c r="EY224" i="30"/>
  <c r="EY240" i="30"/>
  <c r="FB240" i="30" s="1"/>
  <c r="EW182" i="30"/>
  <c r="FB182" i="30" s="1"/>
  <c r="EW204" i="30"/>
  <c r="EY185" i="30"/>
  <c r="FB181" i="30"/>
  <c r="EY246" i="30"/>
  <c r="EW165" i="30"/>
  <c r="FA221" i="30"/>
  <c r="FB146" i="30"/>
  <c r="FB105" i="30"/>
  <c r="EW224" i="30"/>
  <c r="EW240" i="30"/>
  <c r="FC200" i="30"/>
  <c r="EW185" i="30"/>
  <c r="EW246" i="30"/>
  <c r="FB213" i="30"/>
  <c r="FC91" i="30"/>
  <c r="EY165" i="30"/>
  <c r="EY55" i="30"/>
  <c r="EY200" i="30"/>
  <c r="FC117" i="30"/>
  <c r="EY91" i="30"/>
  <c r="FB194" i="30"/>
  <c r="EW200" i="30"/>
  <c r="EY117" i="30"/>
  <c r="FB117" i="30" s="1"/>
  <c r="EW91" i="30"/>
  <c r="FB180" i="30"/>
  <c r="EX52" i="30"/>
  <c r="EX55" i="30"/>
  <c r="EX106" i="30"/>
  <c r="EX95" i="30"/>
  <c r="EX151" i="30"/>
  <c r="EX67" i="30"/>
  <c r="EX182" i="30"/>
  <c r="EX117" i="30"/>
  <c r="EX246" i="30"/>
  <c r="EX91" i="30"/>
  <c r="EX80" i="30"/>
  <c r="EZ80" i="30" s="1"/>
  <c r="EV80" i="30"/>
  <c r="FC80" i="30"/>
  <c r="EX188" i="30"/>
  <c r="EZ188" i="30" s="1"/>
  <c r="EV188" i="30"/>
  <c r="FC188" i="30"/>
  <c r="EX64" i="30"/>
  <c r="EV64" i="30"/>
  <c r="EW64" i="30"/>
  <c r="EX243" i="30"/>
  <c r="EV243" i="30"/>
  <c r="EW243" i="30"/>
  <c r="EX109" i="30"/>
  <c r="FC109" i="30"/>
  <c r="EV109" i="30"/>
  <c r="EW109" i="30"/>
  <c r="EY109" i="30"/>
  <c r="EX228" i="30"/>
  <c r="EZ228" i="30" s="1"/>
  <c r="EV228" i="30"/>
  <c r="EW228" i="30"/>
  <c r="FC228" i="30"/>
  <c r="FB86" i="30"/>
  <c r="FB108" i="30"/>
  <c r="FC243" i="30"/>
  <c r="EW188" i="30"/>
  <c r="FC203" i="30"/>
  <c r="EY188" i="30"/>
  <c r="EX163" i="30"/>
  <c r="EV163" i="30"/>
  <c r="EW163" i="30"/>
  <c r="FB163" i="30" s="1"/>
  <c r="EX71" i="30"/>
  <c r="EV71" i="30"/>
  <c r="EX239" i="30"/>
  <c r="EV239" i="30"/>
  <c r="EX190" i="30"/>
  <c r="EZ190" i="30" s="1"/>
  <c r="EV190" i="30"/>
  <c r="EY190" i="30"/>
  <c r="FB190" i="30" s="1"/>
  <c r="EX118" i="30"/>
  <c r="EZ118" i="30" s="1"/>
  <c r="EV118" i="30"/>
  <c r="EY118" i="30"/>
  <c r="FB118" i="30" s="1"/>
  <c r="FC118" i="30"/>
  <c r="EX131" i="30"/>
  <c r="EV131" i="30"/>
  <c r="EW131" i="30"/>
  <c r="FB131" i="30" s="1"/>
  <c r="EX178" i="30"/>
  <c r="EV178" i="30"/>
  <c r="EY178" i="30"/>
  <c r="FB178" i="30" s="1"/>
  <c r="EX115" i="30"/>
  <c r="EZ115" i="30" s="1"/>
  <c r="EV115" i="30"/>
  <c r="EY115" i="30"/>
  <c r="FB115" i="30" s="1"/>
  <c r="EX193" i="30"/>
  <c r="EZ193" i="30" s="1"/>
  <c r="EW193" i="30"/>
  <c r="EV193" i="30"/>
  <c r="EY193" i="30"/>
  <c r="EX162" i="30"/>
  <c r="EV162" i="30"/>
  <c r="EW162" i="30"/>
  <c r="FB162" i="30" s="1"/>
  <c r="FC162" i="30"/>
  <c r="FB171" i="30"/>
  <c r="EY203" i="30"/>
  <c r="FB203" i="30" s="1"/>
  <c r="FB133" i="30"/>
  <c r="EY243" i="30"/>
  <c r="FC64" i="30"/>
  <c r="FB65" i="30"/>
  <c r="FB174" i="30"/>
  <c r="EY228" i="30"/>
  <c r="EX141" i="30"/>
  <c r="EV141" i="30"/>
  <c r="FB70" i="30"/>
  <c r="FB114" i="30"/>
  <c r="EY64" i="30"/>
  <c r="EX195" i="30"/>
  <c r="EW195" i="30"/>
  <c r="FA176" i="30"/>
  <c r="EX203" i="30"/>
  <c r="EZ203" i="30" s="1"/>
  <c r="EV203" i="30"/>
  <c r="EX59" i="30"/>
  <c r="EZ59" i="30" s="1"/>
  <c r="EV59" i="30"/>
  <c r="EX197" i="30"/>
  <c r="EV197" i="30"/>
  <c r="EY197" i="30"/>
  <c r="EW197" i="30"/>
  <c r="EX154" i="30"/>
  <c r="EZ154" i="30" s="1"/>
  <c r="EV154" i="30"/>
  <c r="EX86" i="30"/>
  <c r="EV86" i="30"/>
  <c r="EX107" i="30"/>
  <c r="EZ107" i="30" s="1"/>
  <c r="EV107" i="30"/>
  <c r="EW107" i="30"/>
  <c r="FB107" i="30" s="1"/>
  <c r="EX77" i="30"/>
  <c r="EV77" i="30"/>
  <c r="EY77" i="30"/>
  <c r="EW77" i="30"/>
  <c r="EX65" i="30"/>
  <c r="EV65" i="30"/>
  <c r="EX218" i="30"/>
  <c r="EZ218" i="30" s="1"/>
  <c r="EV218" i="30"/>
  <c r="EY218" i="30"/>
  <c r="EW218" i="30"/>
  <c r="EX222" i="30"/>
  <c r="EV222" i="30"/>
  <c r="EW222" i="30"/>
  <c r="FB222" i="30" s="1"/>
  <c r="EX140" i="30"/>
  <c r="EV140" i="30"/>
  <c r="FC140" i="30"/>
  <c r="EW140" i="30"/>
  <c r="FB140" i="30" s="1"/>
  <c r="EX79" i="30"/>
  <c r="EZ79" i="30" s="1"/>
  <c r="EV79" i="30"/>
  <c r="EY79" i="30"/>
  <c r="EW79" i="30"/>
  <c r="FB98" i="30"/>
  <c r="EY80" i="30"/>
  <c r="FB150" i="30"/>
  <c r="FB112" i="30"/>
  <c r="EX219" i="30"/>
  <c r="EV219" i="30"/>
  <c r="EY219" i="30"/>
  <c r="EW80" i="30"/>
  <c r="FC218" i="30"/>
  <c r="EX76" i="30"/>
  <c r="FC76" i="30"/>
  <c r="EV76" i="30"/>
  <c r="FB127" i="30"/>
  <c r="EW219" i="30"/>
  <c r="AG101" i="30"/>
  <c r="FB225" i="30"/>
  <c r="DQ84" i="30"/>
  <c r="AE78" i="30"/>
  <c r="FB205" i="30"/>
  <c r="FB110" i="30"/>
  <c r="FB236" i="30"/>
  <c r="EW177" i="30"/>
  <c r="FB177" i="30" s="1"/>
  <c r="EY78" i="30"/>
  <c r="FB78" i="30" s="1"/>
  <c r="FB61" i="30"/>
  <c r="EY89" i="30"/>
  <c r="EY212" i="30"/>
  <c r="FB212" i="30" s="1"/>
  <c r="EW207" i="30"/>
  <c r="FB207" i="30" s="1"/>
  <c r="EY215" i="30"/>
  <c r="FB215" i="30" s="1"/>
  <c r="EY94" i="30"/>
  <c r="FB94" i="30" s="1"/>
  <c r="EY102" i="30"/>
  <c r="FB102" i="30" s="1"/>
  <c r="EY90" i="30"/>
  <c r="FB90" i="30" s="1"/>
  <c r="FB87" i="30"/>
  <c r="FC136" i="30"/>
  <c r="EW66" i="30"/>
  <c r="EY97" i="30"/>
  <c r="FB97" i="30" s="1"/>
  <c r="EW96" i="30"/>
  <c r="EV173" i="30"/>
  <c r="FA173" i="30" s="1"/>
  <c r="EV177" i="30"/>
  <c r="FA177" i="30" s="1"/>
  <c r="EV69" i="30"/>
  <c r="FA69" i="30" s="1"/>
  <c r="EV68" i="30"/>
  <c r="FA68" i="30" s="1"/>
  <c r="EV127" i="30"/>
  <c r="FA127" i="30" s="1"/>
  <c r="EV205" i="30"/>
  <c r="FA205" i="30" s="1"/>
  <c r="EV146" i="30"/>
  <c r="FA146" i="30" s="1"/>
  <c r="EV212" i="30"/>
  <c r="FA212" i="30" s="1"/>
  <c r="EV215" i="30"/>
  <c r="FA215" i="30" s="1"/>
  <c r="EV102" i="30"/>
  <c r="FA102" i="30" s="1"/>
  <c r="EV208" i="30"/>
  <c r="FA208" i="30" s="1"/>
  <c r="EV90" i="30"/>
  <c r="FA90" i="30" s="1"/>
  <c r="EV189" i="30"/>
  <c r="FA189" i="30" s="1"/>
  <c r="EV136" i="30"/>
  <c r="FA136" i="30" s="1"/>
  <c r="EV51" i="30"/>
  <c r="FA51" i="30" s="1"/>
  <c r="EV132" i="30"/>
  <c r="FA132" i="30" s="1"/>
  <c r="EV226" i="30"/>
  <c r="FA226" i="30" s="1"/>
  <c r="EV211" i="30"/>
  <c r="FA211" i="30" s="1"/>
  <c r="EV201" i="30"/>
  <c r="FA201" i="30" s="1"/>
  <c r="EV169" i="30"/>
  <c r="EZ169" i="30" s="1"/>
  <c r="EV156" i="30"/>
  <c r="FA156" i="30" s="1"/>
  <c r="EV72" i="30"/>
  <c r="FA72" i="30" s="1"/>
  <c r="EV225" i="30"/>
  <c r="FA225" i="30" s="1"/>
  <c r="EV82" i="30"/>
  <c r="FA82" i="30" s="1"/>
  <c r="EV187" i="30"/>
  <c r="FA187" i="30" s="1"/>
  <c r="EV150" i="30"/>
  <c r="FA150" i="30" s="1"/>
  <c r="EV230" i="30"/>
  <c r="EZ230" i="30" s="1"/>
  <c r="AJ71" i="30"/>
  <c r="AK71" i="30" s="1"/>
  <c r="EY189" i="30"/>
  <c r="FB189" i="30" s="1"/>
  <c r="FB227" i="30"/>
  <c r="FB134" i="30"/>
  <c r="FA217" i="30"/>
  <c r="FB155" i="30"/>
  <c r="FB232" i="30"/>
  <c r="FB231" i="30"/>
  <c r="FB238" i="30"/>
  <c r="FB123" i="30"/>
  <c r="FC165" i="30"/>
  <c r="FB73" i="30"/>
  <c r="EW126" i="30"/>
  <c r="FB126" i="30" s="1"/>
  <c r="FC116" i="30"/>
  <c r="FC143" i="30"/>
  <c r="EY116" i="30"/>
  <c r="FB116" i="30" s="1"/>
  <c r="FB235" i="30"/>
  <c r="FB88" i="30"/>
  <c r="FB103" i="30"/>
  <c r="FB147" i="30"/>
  <c r="EY83" i="30"/>
  <c r="FB83" i="30" s="1"/>
  <c r="FB191" i="30"/>
  <c r="EW92" i="30"/>
  <c r="FB92" i="30" s="1"/>
  <c r="EY209" i="30"/>
  <c r="FB209" i="30" s="1"/>
  <c r="DR82" i="30"/>
  <c r="DV81" i="30"/>
  <c r="DV80" i="30"/>
  <c r="EY230" i="30"/>
  <c r="FA112" i="30"/>
  <c r="EX116" i="30"/>
  <c r="EZ116" i="30" s="1"/>
  <c r="EY143" i="30"/>
  <c r="FB211" i="30"/>
  <c r="FC205" i="30"/>
  <c r="DT83" i="30"/>
  <c r="FC169" i="30"/>
  <c r="DU86" i="30"/>
  <c r="AL601" i="4"/>
  <c r="AI452" i="4"/>
  <c r="AI453" i="4"/>
  <c r="AL636" i="4"/>
  <c r="AL634" i="4"/>
  <c r="N7" i="33"/>
  <c r="N5" i="33"/>
  <c r="N8" i="33"/>
  <c r="N6" i="33"/>
  <c r="AI619" i="4"/>
  <c r="AL582" i="4"/>
  <c r="AL640" i="4"/>
  <c r="AL632" i="4"/>
  <c r="AL618" i="4"/>
  <c r="AK632" i="4"/>
  <c r="AP632" i="4" s="1"/>
  <c r="AG638" i="4"/>
  <c r="AI638" i="4" s="1"/>
  <c r="AL629" i="4"/>
  <c r="AG611" i="4"/>
  <c r="AK576" i="4"/>
  <c r="AP576" i="4" s="1"/>
  <c r="AK564" i="4"/>
  <c r="AP564" i="4" s="1"/>
  <c r="AK553" i="4"/>
  <c r="AP553" i="4" s="1"/>
  <c r="AK535" i="4"/>
  <c r="AP535" i="4" s="1"/>
  <c r="AK400" i="4"/>
  <c r="AP400" i="4" s="1"/>
  <c r="AL400" i="4"/>
  <c r="AL398" i="4"/>
  <c r="AK398" i="4"/>
  <c r="AP398" i="4" s="1"/>
  <c r="AK640" i="4"/>
  <c r="AP640" i="4" s="1"/>
  <c r="AK636" i="4"/>
  <c r="AP636" i="4" s="1"/>
  <c r="AL627" i="4"/>
  <c r="AL625" i="4"/>
  <c r="AI609" i="4"/>
  <c r="AF634" i="4"/>
  <c r="AI634" i="4" s="1"/>
  <c r="AI611" i="4"/>
  <c r="AL608" i="4"/>
  <c r="AL597" i="4"/>
  <c r="AI592" i="4"/>
  <c r="AL591" i="4"/>
  <c r="AL589" i="4"/>
  <c r="AL573" i="4"/>
  <c r="AL561" i="4"/>
  <c r="AE550" i="4"/>
  <c r="AE524" i="4"/>
  <c r="AI512" i="4"/>
  <c r="AL511" i="4"/>
  <c r="AI500" i="4"/>
  <c r="AK479" i="4"/>
  <c r="AP479" i="4" s="1"/>
  <c r="AI476" i="4"/>
  <c r="AL475" i="4"/>
  <c r="AK450" i="4"/>
  <c r="AP450" i="4" s="1"/>
  <c r="AK446" i="4"/>
  <c r="AP446" i="4" s="1"/>
  <c r="AL430" i="4"/>
  <c r="AL420" i="4"/>
  <c r="AK415" i="4"/>
  <c r="AP415" i="4" s="1"/>
  <c r="AL415" i="4"/>
  <c r="AI407" i="4"/>
  <c r="AF383" i="4"/>
  <c r="AI382" i="4" s="1"/>
  <c r="AL374" i="4"/>
  <c r="AI339" i="4"/>
  <c r="AI340" i="4"/>
  <c r="AL594" i="4"/>
  <c r="AE574" i="4"/>
  <c r="AE562" i="4"/>
  <c r="AK545" i="4"/>
  <c r="AP545" i="4" s="1"/>
  <c r="AE543" i="4"/>
  <c r="AE512" i="4"/>
  <c r="AE500" i="4"/>
  <c r="AE483" i="4"/>
  <c r="AE476" i="4"/>
  <c r="AK461" i="4"/>
  <c r="AP461" i="4" s="1"/>
  <c r="AK459" i="4"/>
  <c r="AP459" i="4" s="1"/>
  <c r="AL459" i="4"/>
  <c r="AI458" i="4"/>
  <c r="AL457" i="4"/>
  <c r="AK457" i="4"/>
  <c r="AP457" i="4" s="1"/>
  <c r="AI443" i="4"/>
  <c r="AI444" i="4"/>
  <c r="AK434" i="4"/>
  <c r="AP434" i="4" s="1"/>
  <c r="AL421" i="4"/>
  <c r="AI389" i="4"/>
  <c r="AI387" i="4"/>
  <c r="AI392" i="4"/>
  <c r="AI338" i="4"/>
  <c r="AI302" i="4"/>
  <c r="AI456" i="4"/>
  <c r="AI454" i="4"/>
  <c r="AI455" i="4"/>
  <c r="AL445" i="4"/>
  <c r="AK445" i="4"/>
  <c r="AP445" i="4" s="1"/>
  <c r="AK438" i="4"/>
  <c r="AP438" i="4" s="1"/>
  <c r="AL438" i="4"/>
  <c r="AK354" i="4"/>
  <c r="AP354" i="4" s="1"/>
  <c r="AL354" i="4"/>
  <c r="AL342" i="4"/>
  <c r="AL321" i="4"/>
  <c r="AK321" i="4"/>
  <c r="AP321" i="4" s="1"/>
  <c r="AK568" i="4"/>
  <c r="AP568" i="4" s="1"/>
  <c r="AK552" i="4"/>
  <c r="AP552" i="4" s="1"/>
  <c r="AE531" i="4"/>
  <c r="AK515" i="4"/>
  <c r="AP515" i="4" s="1"/>
  <c r="AE495" i="4"/>
  <c r="AI457" i="4"/>
  <c r="AK452" i="4"/>
  <c r="AP452" i="4" s="1"/>
  <c r="AL452" i="4"/>
  <c r="AI434" i="4"/>
  <c r="AI427" i="4"/>
  <c r="AK390" i="4"/>
  <c r="AP390" i="4" s="1"/>
  <c r="AL390" i="4"/>
  <c r="AL389" i="4"/>
  <c r="AK380" i="4"/>
  <c r="AP380" i="4" s="1"/>
  <c r="AL380" i="4"/>
  <c r="AK276" i="4"/>
  <c r="AP276" i="4" s="1"/>
  <c r="AL276" i="4"/>
  <c r="AK260" i="4"/>
  <c r="AP260" i="4" s="1"/>
  <c r="AF260" i="4"/>
  <c r="AI258" i="4" s="1"/>
  <c r="AG439" i="4"/>
  <c r="AI439" i="4" s="1"/>
  <c r="AK439" i="4"/>
  <c r="AP439" i="4" s="1"/>
  <c r="AI256" i="4"/>
  <c r="AI257" i="4"/>
  <c r="AI252" i="4"/>
  <c r="AK577" i="4"/>
  <c r="AP577" i="4" s="1"/>
  <c r="AK565" i="4"/>
  <c r="AP565" i="4" s="1"/>
  <c r="AK547" i="4"/>
  <c r="AP547" i="4" s="1"/>
  <c r="AK467" i="4"/>
  <c r="AP467" i="4" s="1"/>
  <c r="AL403" i="4"/>
  <c r="AK392" i="4"/>
  <c r="AP392" i="4" s="1"/>
  <c r="AL392" i="4"/>
  <c r="AK308" i="4"/>
  <c r="AP308" i="4" s="1"/>
  <c r="AL308" i="4"/>
  <c r="AL307" i="4"/>
  <c r="AK294" i="4"/>
  <c r="AP294" i="4" s="1"/>
  <c r="AL294" i="4"/>
  <c r="AK253" i="4"/>
  <c r="AP253" i="4" s="1"/>
  <c r="AL253" i="4"/>
  <c r="AK409" i="4"/>
  <c r="AP409" i="4" s="1"/>
  <c r="AL409" i="4"/>
  <c r="AK350" i="4"/>
  <c r="AP350" i="4" s="1"/>
  <c r="AL350" i="4"/>
  <c r="AI291" i="4"/>
  <c r="AI292" i="4"/>
  <c r="AL630" i="4"/>
  <c r="AL607" i="4"/>
  <c r="AL590" i="4"/>
  <c r="AL588" i="4"/>
  <c r="AL579" i="4"/>
  <c r="AL567" i="4"/>
  <c r="AE538" i="4"/>
  <c r="AE534" i="4"/>
  <c r="AK529" i="4"/>
  <c r="AP529" i="4" s="1"/>
  <c r="AK509" i="4"/>
  <c r="AP509" i="4" s="1"/>
  <c r="AL501" i="4"/>
  <c r="AE498" i="4"/>
  <c r="AK493" i="4"/>
  <c r="AP493" i="4" s="1"/>
  <c r="AL467" i="4"/>
  <c r="AL456" i="4"/>
  <c r="AL440" i="4"/>
  <c r="AI398" i="4"/>
  <c r="AI336" i="4"/>
  <c r="AI329" i="4"/>
  <c r="AK622" i="4"/>
  <c r="AP622" i="4" s="1"/>
  <c r="AE555" i="4"/>
  <c r="AK551" i="4"/>
  <c r="AP551" i="4" s="1"/>
  <c r="AE526" i="4"/>
  <c r="AE522" i="4"/>
  <c r="AE490" i="4"/>
  <c r="AI467" i="4"/>
  <c r="AI462" i="4"/>
  <c r="AI465" i="4"/>
  <c r="AL455" i="4"/>
  <c r="AK361" i="4"/>
  <c r="AP361" i="4" s="1"/>
  <c r="AL361" i="4"/>
  <c r="AK348" i="4"/>
  <c r="AP348" i="4" s="1"/>
  <c r="AI346" i="4"/>
  <c r="AL288" i="4"/>
  <c r="AK288" i="4"/>
  <c r="AP288" i="4" s="1"/>
  <c r="AL557" i="4"/>
  <c r="AE514" i="4"/>
  <c r="AE510" i="4"/>
  <c r="AI448" i="4"/>
  <c r="AL447" i="4"/>
  <c r="AL435" i="4"/>
  <c r="AL423" i="4"/>
  <c r="AI418" i="4"/>
  <c r="AI419" i="4"/>
  <c r="AI403" i="4"/>
  <c r="AI404" i="4"/>
  <c r="AI381" i="4"/>
  <c r="AL355" i="4"/>
  <c r="AK355" i="4"/>
  <c r="AP355" i="4" s="1"/>
  <c r="AG313" i="4"/>
  <c r="AI312" i="4" s="1"/>
  <c r="AK313" i="4"/>
  <c r="AP313" i="4" s="1"/>
  <c r="AK305" i="4"/>
  <c r="AP305" i="4" s="1"/>
  <c r="AL305" i="4"/>
  <c r="AL602" i="4"/>
  <c r="AL583" i="4"/>
  <c r="AL549" i="4"/>
  <c r="AK540" i="4"/>
  <c r="AP540" i="4" s="1"/>
  <c r="AL487" i="4"/>
  <c r="AK473" i="4"/>
  <c r="AP473" i="4" s="1"/>
  <c r="AK422" i="4"/>
  <c r="AP422" i="4" s="1"/>
  <c r="AI408" i="4"/>
  <c r="AK402" i="4"/>
  <c r="AP402" i="4" s="1"/>
  <c r="AL402" i="4"/>
  <c r="AI358" i="4"/>
  <c r="AL349" i="4"/>
  <c r="AI306" i="4"/>
  <c r="AK252" i="4"/>
  <c r="AP252" i="4" s="1"/>
  <c r="AL252" i="4"/>
  <c r="AK231" i="4"/>
  <c r="AP231" i="4" s="1"/>
  <c r="AL231" i="4"/>
  <c r="AK210" i="4"/>
  <c r="AP210" i="4" s="1"/>
  <c r="AL210" i="4"/>
  <c r="AL644" i="4"/>
  <c r="AL619" i="4"/>
  <c r="AI607" i="4"/>
  <c r="AL595" i="4"/>
  <c r="AI536" i="4"/>
  <c r="AI488" i="4"/>
  <c r="AK470" i="4"/>
  <c r="AP470" i="4" s="1"/>
  <c r="AL470" i="4"/>
  <c r="AK464" i="4"/>
  <c r="AP464" i="4" s="1"/>
  <c r="AL464" i="4"/>
  <c r="AK431" i="4"/>
  <c r="AP431" i="4" s="1"/>
  <c r="AL431" i="4"/>
  <c r="AI413" i="4"/>
  <c r="AI376" i="4"/>
  <c r="AI377" i="4"/>
  <c r="AK359" i="4"/>
  <c r="AP359" i="4" s="1"/>
  <c r="AI357" i="4"/>
  <c r="AK302" i="4"/>
  <c r="AP302" i="4" s="1"/>
  <c r="AL302" i="4"/>
  <c r="AI283" i="4"/>
  <c r="AI253" i="4"/>
  <c r="AI255" i="4"/>
  <c r="AL316" i="4"/>
  <c r="AK303" i="4"/>
  <c r="AP303" i="4" s="1"/>
  <c r="AL303" i="4"/>
  <c r="AK261" i="4"/>
  <c r="AP261" i="4" s="1"/>
  <c r="AL261" i="4"/>
  <c r="AG232" i="4"/>
  <c r="AI235" i="4" s="1"/>
  <c r="AK232" i="4"/>
  <c r="AP232" i="4" s="1"/>
  <c r="AL181" i="4"/>
  <c r="AK181" i="4"/>
  <c r="AP181" i="4" s="1"/>
  <c r="AL432" i="4"/>
  <c r="AI409" i="4"/>
  <c r="AG369" i="4"/>
  <c r="AI371" i="4" s="1"/>
  <c r="AK369" i="4"/>
  <c r="AP369" i="4" s="1"/>
  <c r="AL362" i="4"/>
  <c r="AI352" i="4"/>
  <c r="AL329" i="4"/>
  <c r="AK329" i="4"/>
  <c r="AP329" i="4" s="1"/>
  <c r="AF325" i="4"/>
  <c r="AI299" i="4"/>
  <c r="AI304" i="4"/>
  <c r="AK281" i="4"/>
  <c r="AP281" i="4" s="1"/>
  <c r="AI273" i="4"/>
  <c r="AI236" i="4"/>
  <c r="AK211" i="4"/>
  <c r="AP211" i="4" s="1"/>
  <c r="AL211" i="4"/>
  <c r="AL324" i="4"/>
  <c r="AI322" i="4"/>
  <c r="AI321" i="4"/>
  <c r="AK311" i="4"/>
  <c r="AP311" i="4" s="1"/>
  <c r="AL311" i="4"/>
  <c r="AG244" i="4"/>
  <c r="AI244" i="4" s="1"/>
  <c r="AK244" i="4"/>
  <c r="AP244" i="4" s="1"/>
  <c r="AI225" i="4"/>
  <c r="AI202" i="4"/>
  <c r="AI204" i="4"/>
  <c r="AK200" i="4"/>
  <c r="AP200" i="4" s="1"/>
  <c r="AL200" i="4"/>
  <c r="AK199" i="4"/>
  <c r="AP199" i="4" s="1"/>
  <c r="AL199" i="4"/>
  <c r="AK191" i="4"/>
  <c r="AP191" i="4" s="1"/>
  <c r="AL191" i="4"/>
  <c r="AK190" i="4"/>
  <c r="AP190" i="4" s="1"/>
  <c r="AL190" i="4"/>
  <c r="AK416" i="4"/>
  <c r="AP416" i="4" s="1"/>
  <c r="AL416" i="4"/>
  <c r="AI414" i="4"/>
  <c r="AK411" i="4"/>
  <c r="AP411" i="4" s="1"/>
  <c r="AL397" i="4"/>
  <c r="AK393" i="4"/>
  <c r="AP393" i="4" s="1"/>
  <c r="AK386" i="4"/>
  <c r="AP386" i="4" s="1"/>
  <c r="AL367" i="4"/>
  <c r="AL320" i="4"/>
  <c r="AK314" i="4"/>
  <c r="AP314" i="4" s="1"/>
  <c r="AI307" i="4"/>
  <c r="AK306" i="4"/>
  <c r="AP306" i="4" s="1"/>
  <c r="AI281" i="4"/>
  <c r="AL270" i="4"/>
  <c r="AF266" i="4"/>
  <c r="AI264" i="4" s="1"/>
  <c r="AI261" i="4"/>
  <c r="AI263" i="4"/>
  <c r="AK256" i="4"/>
  <c r="AP256" i="4" s="1"/>
  <c r="AK250" i="4"/>
  <c r="AP250" i="4" s="1"/>
  <c r="AL247" i="4"/>
  <c r="AL246" i="4"/>
  <c r="AK238" i="4"/>
  <c r="AP238" i="4" s="1"/>
  <c r="AL238" i="4"/>
  <c r="AI205" i="4"/>
  <c r="AL461" i="4"/>
  <c r="AL422" i="4"/>
  <c r="AL405" i="4"/>
  <c r="AI399" i="4"/>
  <c r="AI394" i="4"/>
  <c r="AI388" i="4"/>
  <c r="AI318" i="4"/>
  <c r="AI316" i="4"/>
  <c r="AI301" i="4"/>
  <c r="AK300" i="4"/>
  <c r="AP300" i="4" s="1"/>
  <c r="AL300" i="4"/>
  <c r="AL284" i="4"/>
  <c r="AL184" i="4"/>
  <c r="AL465" i="4"/>
  <c r="AI460" i="4"/>
  <c r="AI433" i="4"/>
  <c r="AI405" i="4"/>
  <c r="AL391" i="4"/>
  <c r="AL387" i="4"/>
  <c r="AI384" i="4"/>
  <c r="AI378" i="4"/>
  <c r="AK377" i="4"/>
  <c r="AP377" i="4" s="1"/>
  <c r="AL377" i="4"/>
  <c r="AG364" i="4"/>
  <c r="AI365" i="4" s="1"/>
  <c r="AL346" i="4"/>
  <c r="AK346" i="4"/>
  <c r="AP346" i="4" s="1"/>
  <c r="AG344" i="4"/>
  <c r="AL340" i="4"/>
  <c r="AL339" i="4"/>
  <c r="AF289" i="4"/>
  <c r="AK289" i="4"/>
  <c r="AP289" i="4" s="1"/>
  <c r="AK279" i="4"/>
  <c r="AP279" i="4" s="1"/>
  <c r="AL279" i="4"/>
  <c r="AI196" i="4"/>
  <c r="AI197" i="4"/>
  <c r="AI422" i="4"/>
  <c r="AL412" i="4"/>
  <c r="AK394" i="4"/>
  <c r="AP394" i="4" s="1"/>
  <c r="AI368" i="4"/>
  <c r="AI367" i="4"/>
  <c r="AK334" i="4"/>
  <c r="AP334" i="4" s="1"/>
  <c r="AI268" i="4"/>
  <c r="AK217" i="4"/>
  <c r="AP217" i="4" s="1"/>
  <c r="AI199" i="4"/>
  <c r="AI201" i="4"/>
  <c r="AI416" i="4"/>
  <c r="AI417" i="4"/>
  <c r="AL401" i="4"/>
  <c r="AI397" i="4"/>
  <c r="AI359" i="4"/>
  <c r="AL334" i="4"/>
  <c r="AK333" i="4"/>
  <c r="AP333" i="4" s="1"/>
  <c r="AK317" i="4"/>
  <c r="AP317" i="4" s="1"/>
  <c r="AL317" i="4"/>
  <c r="AI315" i="4"/>
  <c r="AI314" i="4"/>
  <c r="AI303" i="4"/>
  <c r="AI300" i="4"/>
  <c r="AK298" i="4"/>
  <c r="AP298" i="4" s="1"/>
  <c r="AF298" i="4"/>
  <c r="AI296" i="4" s="1"/>
  <c r="AG275" i="4"/>
  <c r="AI278" i="4" s="1"/>
  <c r="AL269" i="4"/>
  <c r="AK221" i="4"/>
  <c r="AP221" i="4" s="1"/>
  <c r="AL221" i="4"/>
  <c r="AI218" i="4"/>
  <c r="AF208" i="4"/>
  <c r="AK406" i="4"/>
  <c r="AP406" i="4" s="1"/>
  <c r="AL406" i="4"/>
  <c r="AI334" i="4"/>
  <c r="AK328" i="4"/>
  <c r="AP328" i="4" s="1"/>
  <c r="AL328" i="4"/>
  <c r="AI324" i="4"/>
  <c r="AK318" i="4"/>
  <c r="AP318" i="4" s="1"/>
  <c r="AL318" i="4"/>
  <c r="AK234" i="4"/>
  <c r="AP234" i="4" s="1"/>
  <c r="AL234" i="4"/>
  <c r="AI232" i="4"/>
  <c r="AI190" i="4"/>
  <c r="AI192" i="4"/>
  <c r="AI191" i="4"/>
  <c r="AK188" i="4"/>
  <c r="AP188" i="4" s="1"/>
  <c r="AL188" i="4"/>
  <c r="AK286" i="4"/>
  <c r="AP286" i="4" s="1"/>
  <c r="AH286" i="4"/>
  <c r="AI286" i="4" s="1"/>
  <c r="AK124" i="4"/>
  <c r="AP124" i="4" s="1"/>
  <c r="AI152" i="4"/>
  <c r="AL209" i="4"/>
  <c r="AI207" i="4"/>
  <c r="AI208" i="4"/>
  <c r="AL176" i="4"/>
  <c r="AK176" i="4"/>
  <c r="AP176" i="4" s="1"/>
  <c r="AK295" i="4"/>
  <c r="AP295" i="4" s="1"/>
  <c r="AH295" i="4"/>
  <c r="AI294" i="4" s="1"/>
  <c r="AK125" i="4"/>
  <c r="AP125" i="4" s="1"/>
  <c r="AG125" i="4"/>
  <c r="AI125" i="4" s="1"/>
  <c r="AK120" i="4"/>
  <c r="AP120" i="4" s="1"/>
  <c r="AF120" i="4"/>
  <c r="AL109" i="4"/>
  <c r="AK109" i="4"/>
  <c r="AP109" i="4" s="1"/>
  <c r="AL370" i="4"/>
  <c r="AI347" i="4"/>
  <c r="AI345" i="4"/>
  <c r="AI335" i="4"/>
  <c r="AK296" i="4"/>
  <c r="AP296" i="4" s="1"/>
  <c r="AL296" i="4"/>
  <c r="AI284" i="4"/>
  <c r="AI285" i="4"/>
  <c r="AK263" i="4"/>
  <c r="AP263" i="4" s="1"/>
  <c r="AL263" i="4"/>
  <c r="AL260" i="4"/>
  <c r="AL255" i="4"/>
  <c r="AI247" i="4"/>
  <c r="AI193" i="4"/>
  <c r="AI194" i="4"/>
  <c r="AI188" i="4"/>
  <c r="AK178" i="4"/>
  <c r="AP178" i="4" s="1"/>
  <c r="AG178" i="4"/>
  <c r="AG171" i="4"/>
  <c r="AK171" i="4"/>
  <c r="AP171" i="4" s="1"/>
  <c r="AL166" i="4"/>
  <c r="AK166" i="4"/>
  <c r="AP166" i="4" s="1"/>
  <c r="AI132" i="4"/>
  <c r="AI133" i="4"/>
  <c r="AI134" i="4"/>
  <c r="AI115" i="4"/>
  <c r="AI114" i="4"/>
  <c r="AI402" i="4"/>
  <c r="AK388" i="4"/>
  <c r="AP388" i="4" s="1"/>
  <c r="AI390" i="4"/>
  <c r="AL382" i="4"/>
  <c r="AK357" i="4"/>
  <c r="AP357" i="4" s="1"/>
  <c r="AL357" i="4"/>
  <c r="AI356" i="4"/>
  <c r="AI350" i="4"/>
  <c r="AI313" i="4"/>
  <c r="AI295" i="4"/>
  <c r="AL289" i="4"/>
  <c r="AK282" i="4"/>
  <c r="AP282" i="4" s="1"/>
  <c r="AL282" i="4"/>
  <c r="AK254" i="4"/>
  <c r="AP254" i="4" s="1"/>
  <c r="AL233" i="4"/>
  <c r="AI231" i="4"/>
  <c r="AL222" i="4"/>
  <c r="AI219" i="4"/>
  <c r="AL205" i="4"/>
  <c r="AH158" i="4"/>
  <c r="AI159" i="4" s="1"/>
  <c r="AK158" i="4"/>
  <c r="AP158" i="4" s="1"/>
  <c r="AI124" i="4"/>
  <c r="AI121" i="4"/>
  <c r="AL112" i="4"/>
  <c r="AK110" i="4"/>
  <c r="AP110" i="4" s="1"/>
  <c r="AL110" i="4"/>
  <c r="AI111" i="4"/>
  <c r="AI109" i="4"/>
  <c r="AI128" i="4"/>
  <c r="AG249" i="4"/>
  <c r="AI249" i="4" s="1"/>
  <c r="AK249" i="4"/>
  <c r="AP249" i="4" s="1"/>
  <c r="AI214" i="4"/>
  <c r="AL204" i="4"/>
  <c r="AL201" i="4"/>
  <c r="AL193" i="4"/>
  <c r="AI144" i="4"/>
  <c r="AH167" i="4"/>
  <c r="AI168" i="4" s="1"/>
  <c r="AK167" i="4"/>
  <c r="AP167" i="4" s="1"/>
  <c r="AK291" i="4"/>
  <c r="AP291" i="4" s="1"/>
  <c r="AL291" i="4"/>
  <c r="AI262" i="4"/>
  <c r="AI248" i="4"/>
  <c r="AI230" i="4"/>
  <c r="AI206" i="4"/>
  <c r="AK196" i="4"/>
  <c r="AP196" i="4" s="1"/>
  <c r="AL182" i="4"/>
  <c r="AK174" i="4"/>
  <c r="AP174" i="4" s="1"/>
  <c r="AL174" i="4"/>
  <c r="AL173" i="4"/>
  <c r="AG146" i="4"/>
  <c r="AI146" i="4" s="1"/>
  <c r="AK129" i="4"/>
  <c r="AP129" i="4" s="1"/>
  <c r="AF130" i="4"/>
  <c r="AK130" i="4"/>
  <c r="AP130" i="4" s="1"/>
  <c r="AI163" i="4"/>
  <c r="AI161" i="4"/>
  <c r="AK160" i="4"/>
  <c r="AP160" i="4" s="1"/>
  <c r="AL157" i="4"/>
  <c r="AI151" i="4"/>
  <c r="AK144" i="4"/>
  <c r="AP144" i="4" s="1"/>
  <c r="AL144" i="4"/>
  <c r="AH170" i="4"/>
  <c r="AK170" i="4"/>
  <c r="AP170" i="4" s="1"/>
  <c r="AK126" i="4"/>
  <c r="AP126" i="4" s="1"/>
  <c r="AL126" i="4"/>
  <c r="AK121" i="4"/>
  <c r="AP121" i="4" s="1"/>
  <c r="AL105" i="4"/>
  <c r="AI108" i="4"/>
  <c r="AL104" i="4"/>
  <c r="AK104" i="4"/>
  <c r="AP104" i="4" s="1"/>
  <c r="AI149" i="4"/>
  <c r="AI150" i="4"/>
  <c r="AK122" i="4"/>
  <c r="AP122" i="4" s="1"/>
  <c r="AL122" i="4"/>
  <c r="AI120" i="4"/>
  <c r="AL103" i="4"/>
  <c r="AL304" i="4"/>
  <c r="AL283" i="4"/>
  <c r="AL265" i="4"/>
  <c r="AK257" i="4"/>
  <c r="AP257" i="4" s="1"/>
  <c r="AL257" i="4"/>
  <c r="AG227" i="4"/>
  <c r="AK227" i="4"/>
  <c r="AP227" i="4" s="1"/>
  <c r="AI212" i="4"/>
  <c r="AI213" i="4"/>
  <c r="AI154" i="4"/>
  <c r="AI156" i="4"/>
  <c r="AK147" i="4"/>
  <c r="AP147" i="4" s="1"/>
  <c r="AL147" i="4"/>
  <c r="AI138" i="4"/>
  <c r="AI122" i="4"/>
  <c r="AK118" i="4"/>
  <c r="AP118" i="4" s="1"/>
  <c r="AL118" i="4"/>
  <c r="AI320" i="4"/>
  <c r="AL312" i="4"/>
  <c r="AL298" i="4"/>
  <c r="AI269" i="4"/>
  <c r="AL264" i="4"/>
  <c r="AK259" i="4"/>
  <c r="AP259" i="4" s="1"/>
  <c r="AK245" i="4"/>
  <c r="AP245" i="4" s="1"/>
  <c r="AK229" i="4"/>
  <c r="AP229" i="4" s="1"/>
  <c r="AL229" i="4"/>
  <c r="AK223" i="4"/>
  <c r="AP223" i="4" s="1"/>
  <c r="AL223" i="4"/>
  <c r="AI221" i="4"/>
  <c r="AI209" i="4"/>
  <c r="AI211" i="4"/>
  <c r="AL207" i="4"/>
  <c r="AL153" i="4"/>
  <c r="AL150" i="4"/>
  <c r="AL137" i="4"/>
  <c r="AI135" i="4"/>
  <c r="AI137" i="4"/>
  <c r="AI129" i="4"/>
  <c r="AL127" i="4"/>
  <c r="AK113" i="4"/>
  <c r="AP113" i="4" s="1"/>
  <c r="AI185" i="4"/>
  <c r="AI166" i="4"/>
  <c r="AI157" i="4"/>
  <c r="AI158" i="4"/>
  <c r="AK149" i="4"/>
  <c r="AP149" i="4" s="1"/>
  <c r="AK136" i="4"/>
  <c r="AP136" i="4" s="1"/>
  <c r="AL136" i="4"/>
  <c r="AL133" i="4"/>
  <c r="AI113" i="4"/>
  <c r="AK112" i="4"/>
  <c r="AP112" i="4" s="1"/>
  <c r="AK108" i="4"/>
  <c r="AP108" i="4" s="1"/>
  <c r="AL225" i="4"/>
  <c r="AL220" i="4"/>
  <c r="AI200" i="4"/>
  <c r="AI174" i="4"/>
  <c r="AI172" i="4"/>
  <c r="AK168" i="4"/>
  <c r="AP168" i="4" s="1"/>
  <c r="AI164" i="4"/>
  <c r="AL156" i="4"/>
  <c r="AL149" i="4"/>
  <c r="AL120" i="4"/>
  <c r="AL180" i="4"/>
  <c r="AL168" i="4"/>
  <c r="AL165" i="4"/>
  <c r="AL161" i="4"/>
  <c r="AK155" i="4"/>
  <c r="AP155" i="4" s="1"/>
  <c r="AL155" i="4"/>
  <c r="AI153" i="4"/>
  <c r="AL148" i="4"/>
  <c r="AI145" i="4"/>
  <c r="AL142" i="4"/>
  <c r="AL119" i="4"/>
  <c r="AI186" i="4"/>
  <c r="AK183" i="4"/>
  <c r="AP183" i="4" s="1"/>
  <c r="AL183" i="4"/>
  <c r="AL177" i="4"/>
  <c r="AL164" i="4"/>
  <c r="AI148" i="4"/>
  <c r="AL146" i="4"/>
  <c r="AI143" i="4"/>
  <c r="AL138" i="4"/>
  <c r="AI119" i="4"/>
  <c r="AK115" i="4"/>
  <c r="AP115" i="4" s="1"/>
  <c r="AK114" i="4"/>
  <c r="AP114" i="4" s="1"/>
  <c r="AL114" i="4"/>
  <c r="AK163" i="4"/>
  <c r="AP163" i="4" s="1"/>
  <c r="AL163" i="4"/>
  <c r="AI90" i="4"/>
  <c r="AI55" i="4"/>
  <c r="AI56" i="4"/>
  <c r="AI85" i="4"/>
  <c r="AI81" i="4"/>
  <c r="AI40" i="4"/>
  <c r="AI44" i="4"/>
  <c r="AI361" i="4"/>
  <c r="AI342" i="4"/>
  <c r="AI308" i="4"/>
  <c r="AL108" i="4"/>
  <c r="AI68" i="4"/>
  <c r="AL22" i="4"/>
  <c r="AI101" i="4"/>
  <c r="AI62" i="4"/>
  <c r="AI63" i="4"/>
  <c r="AL102" i="4"/>
  <c r="AI76" i="4"/>
  <c r="AI77" i="4"/>
  <c r="AI100" i="4"/>
  <c r="AI87" i="4"/>
  <c r="AI15" i="4"/>
  <c r="AI9" i="4"/>
  <c r="AI52" i="4"/>
  <c r="AI51" i="4"/>
  <c r="AL31" i="4"/>
  <c r="AI20" i="4"/>
  <c r="AI11" i="4"/>
  <c r="AG83" i="4"/>
  <c r="AI53" i="4"/>
  <c r="AI94" i="4"/>
  <c r="AI86" i="4"/>
  <c r="AL85" i="4"/>
  <c r="AL77" i="4"/>
  <c r="AF67" i="4"/>
  <c r="AI67" i="4" s="1"/>
  <c r="AL65" i="4"/>
  <c r="AL41" i="4"/>
  <c r="AK40" i="4"/>
  <c r="AP40" i="4" s="1"/>
  <c r="AK32" i="4"/>
  <c r="AP32" i="4" s="1"/>
  <c r="AL8" i="4"/>
  <c r="AI79" i="4"/>
  <c r="AI31" i="4"/>
  <c r="AL10" i="4"/>
  <c r="AL9" i="4"/>
  <c r="AK90" i="4"/>
  <c r="AP90" i="4" s="1"/>
  <c r="AL11" i="4"/>
  <c r="AG4" i="4"/>
  <c r="AI14" i="4" s="1"/>
  <c r="AL101" i="30"/>
  <c r="DU84" i="30"/>
  <c r="AJ78" i="30"/>
  <c r="FA74" i="30"/>
  <c r="AK99" i="4"/>
  <c r="AP99" i="4" s="1"/>
  <c r="AL92" i="4"/>
  <c r="AL80" i="4"/>
  <c r="AL76" i="4"/>
  <c r="AK75" i="4"/>
  <c r="AP75" i="4" s="1"/>
  <c r="AL68" i="4"/>
  <c r="AL64" i="4"/>
  <c r="AL56" i="4"/>
  <c r="AL36" i="4"/>
  <c r="AL24" i="4"/>
  <c r="AL20" i="4"/>
  <c r="AL16" i="4"/>
  <c r="AL12" i="4"/>
  <c r="FB223" i="30"/>
  <c r="FB144" i="30"/>
  <c r="AL97" i="4"/>
  <c r="AG96" i="4"/>
  <c r="AI96" i="4" s="1"/>
  <c r="AL89" i="4"/>
  <c r="AI82" i="4"/>
  <c r="AL81" i="4"/>
  <c r="AL73" i="4"/>
  <c r="AI66" i="4"/>
  <c r="AF60" i="4"/>
  <c r="AG48" i="4"/>
  <c r="AI49" i="4" s="1"/>
  <c r="AE70" i="30"/>
  <c r="AF70" i="30" s="1"/>
  <c r="AG74" i="30"/>
  <c r="AI71" i="4"/>
  <c r="AL70" i="4"/>
  <c r="AL62" i="4"/>
  <c r="AL54" i="4"/>
  <c r="AL15" i="4"/>
  <c r="AI73" i="4"/>
  <c r="FB187" i="30"/>
  <c r="FB188" i="30"/>
  <c r="EV242" i="30"/>
  <c r="EW242" i="30"/>
  <c r="EX242" i="30"/>
  <c r="EZ242" i="30" s="1"/>
  <c r="EY242" i="30"/>
  <c r="FC242" i="30"/>
  <c r="AL93" i="4"/>
  <c r="AL57" i="4"/>
  <c r="AL53" i="4"/>
  <c r="AL98" i="4"/>
  <c r="AL94" i="4"/>
  <c r="AL86" i="4"/>
  <c r="AL74" i="4"/>
  <c r="AL58" i="4"/>
  <c r="AL50" i="4"/>
  <c r="AL38" i="4"/>
  <c r="AL26" i="4"/>
  <c r="AL18" i="4"/>
  <c r="AL14" i="4"/>
  <c r="DR81" i="30"/>
  <c r="DQ83" i="30"/>
  <c r="DR83" i="30" s="1"/>
  <c r="DQ86" i="30"/>
  <c r="DU83" i="30"/>
  <c r="EY195" i="30"/>
  <c r="EV172" i="30"/>
  <c r="EZ172" i="30" s="1"/>
  <c r="EV104" i="30"/>
  <c r="EZ104" i="30" s="1"/>
  <c r="EV175" i="30"/>
  <c r="FA175" i="30" s="1"/>
  <c r="EV194" i="30"/>
  <c r="EZ194" i="30" s="1"/>
  <c r="EV54" i="30"/>
  <c r="FA54" i="30" s="1"/>
  <c r="EV198" i="30"/>
  <c r="FA198" i="30" s="1"/>
  <c r="EV97" i="30"/>
  <c r="EZ97" i="30" s="1"/>
  <c r="EV99" i="30"/>
  <c r="FA99" i="30" s="1"/>
  <c r="EV96" i="30"/>
  <c r="EZ96" i="30" s="1"/>
  <c r="EV229" i="30"/>
  <c r="FA229" i="30" s="1"/>
  <c r="EV148" i="30"/>
  <c r="EZ148" i="30" s="1"/>
  <c r="EV166" i="30"/>
  <c r="EZ166" i="30" s="1"/>
  <c r="EV70" i="30"/>
  <c r="EZ70" i="30" s="1"/>
  <c r="EV138" i="30"/>
  <c r="EZ138" i="30" s="1"/>
  <c r="EV133" i="30"/>
  <c r="FA133" i="30" s="1"/>
  <c r="EV101" i="30"/>
  <c r="EZ101" i="30" s="1"/>
  <c r="EV89" i="30"/>
  <c r="FA89" i="30" s="1"/>
  <c r="EV168" i="30"/>
  <c r="FA168" i="30" s="1"/>
  <c r="EV235" i="30"/>
  <c r="FA235" i="30" s="1"/>
  <c r="EV224" i="30"/>
  <c r="EZ224" i="30" s="1"/>
  <c r="EV241" i="30"/>
  <c r="FA241" i="30" s="1"/>
  <c r="EV113" i="30"/>
  <c r="FA113" i="30" s="1"/>
  <c r="EV240" i="30"/>
  <c r="EZ240" i="30" s="1"/>
  <c r="EV232" i="30"/>
  <c r="EZ232" i="30" s="1"/>
  <c r="EV164" i="30"/>
  <c r="EZ164" i="30" s="1"/>
  <c r="EV165" i="30"/>
  <c r="FA165" i="30" s="1"/>
  <c r="EV111" i="30"/>
  <c r="FA111" i="30" s="1"/>
  <c r="EV88" i="30"/>
  <c r="EZ88" i="30" s="1"/>
  <c r="EV145" i="30"/>
  <c r="FA145" i="30" s="1"/>
  <c r="EV238" i="30"/>
  <c r="FA238" i="30" s="1"/>
  <c r="EV114" i="30"/>
  <c r="EZ114" i="30" s="1"/>
  <c r="EV167" i="30"/>
  <c r="EZ167" i="30" s="1"/>
  <c r="EV62" i="30"/>
  <c r="FA62" i="30" s="1"/>
  <c r="EV216" i="30"/>
  <c r="FA216" i="30" s="1"/>
  <c r="EV233" i="30"/>
  <c r="EZ233" i="30" s="1"/>
  <c r="EV210" i="30"/>
  <c r="EV58" i="30"/>
  <c r="EZ58" i="30" s="1"/>
  <c r="EV200" i="30"/>
  <c r="FA200" i="30" s="1"/>
  <c r="EV244" i="30"/>
  <c r="FA244" i="30" s="1"/>
  <c r="EV231" i="30"/>
  <c r="EZ231" i="30" s="1"/>
  <c r="EV204" i="30"/>
  <c r="FA204" i="30" s="1"/>
  <c r="EV202" i="30"/>
  <c r="FA202" i="30" s="1"/>
  <c r="EV126" i="30"/>
  <c r="FA126" i="30" s="1"/>
  <c r="EV122" i="30"/>
  <c r="FA122" i="30" s="1"/>
  <c r="EV75" i="30"/>
  <c r="FA75" i="30" s="1"/>
  <c r="EV137" i="30"/>
  <c r="EZ137" i="30" s="1"/>
  <c r="EV185" i="30"/>
  <c r="EZ185" i="30" s="1"/>
  <c r="EV209" i="30"/>
  <c r="EZ209" i="30" s="1"/>
  <c r="EV191" i="30"/>
  <c r="EZ191" i="30" s="1"/>
  <c r="EV84" i="30"/>
  <c r="EZ84" i="30" s="1"/>
  <c r="EV213" i="30"/>
  <c r="EV220" i="30"/>
  <c r="EZ220" i="30" s="1"/>
  <c r="EV152" i="30"/>
  <c r="EZ152" i="30" s="1"/>
  <c r="EV183" i="30"/>
  <c r="EZ183" i="30" s="1"/>
  <c r="EV123" i="30"/>
  <c r="EZ123" i="30" s="1"/>
  <c r="EV73" i="30"/>
  <c r="EZ73" i="30" s="1"/>
  <c r="EV144" i="30"/>
  <c r="FA144" i="30" s="1"/>
  <c r="EV180" i="30"/>
  <c r="FA180" i="30" s="1"/>
  <c r="EW160" i="30"/>
  <c r="FB160" i="30" s="1"/>
  <c r="EV160" i="30"/>
  <c r="FC160" i="30"/>
  <c r="FA85" i="30"/>
  <c r="G6" i="28"/>
  <c r="K6" i="28"/>
  <c r="L6" i="28"/>
  <c r="S6" i="28"/>
  <c r="AI48" i="4" l="1"/>
  <c r="AI177" i="4"/>
  <c r="AI176" i="4"/>
  <c r="AI175" i="4"/>
  <c r="AI379" i="4"/>
  <c r="AI167" i="4"/>
  <c r="AI383" i="4"/>
  <c r="FA56" i="30"/>
  <c r="EZ56" i="30"/>
  <c r="FA236" i="30"/>
  <c r="EZ236" i="30"/>
  <c r="EZ145" i="30"/>
  <c r="EZ147" i="30"/>
  <c r="EZ187" i="30"/>
  <c r="EZ205" i="30"/>
  <c r="EZ100" i="30"/>
  <c r="EZ171" i="30"/>
  <c r="EZ238" i="30"/>
  <c r="EZ178" i="30"/>
  <c r="EZ239" i="30"/>
  <c r="EZ243" i="30"/>
  <c r="FA117" i="30"/>
  <c r="EZ117" i="30"/>
  <c r="FA110" i="30"/>
  <c r="EZ110" i="30"/>
  <c r="FA227" i="30"/>
  <c r="EZ227" i="30"/>
  <c r="FA155" i="30"/>
  <c r="EZ155" i="30"/>
  <c r="FA81" i="30"/>
  <c r="EZ81" i="30"/>
  <c r="FA135" i="30"/>
  <c r="EZ135" i="30"/>
  <c r="EZ206" i="30"/>
  <c r="EZ127" i="30"/>
  <c r="EZ68" i="30"/>
  <c r="EZ126" i="30"/>
  <c r="EZ165" i="30"/>
  <c r="FA91" i="30"/>
  <c r="EZ91" i="30"/>
  <c r="EZ219" i="30"/>
  <c r="FA182" i="30"/>
  <c r="EZ182" i="30"/>
  <c r="FA245" i="30"/>
  <c r="EZ245" i="30"/>
  <c r="FA61" i="30"/>
  <c r="EZ61" i="30"/>
  <c r="EZ160" i="30"/>
  <c r="EZ241" i="30"/>
  <c r="EZ161" i="30"/>
  <c r="EZ150" i="30"/>
  <c r="EZ177" i="30"/>
  <c r="EZ244" i="30"/>
  <c r="EZ223" i="30"/>
  <c r="EZ113" i="30"/>
  <c r="EZ140" i="30"/>
  <c r="EZ197" i="30"/>
  <c r="EZ141" i="30"/>
  <c r="EZ162" i="30"/>
  <c r="EZ71" i="30"/>
  <c r="FA67" i="30"/>
  <c r="EZ67" i="30"/>
  <c r="FA125" i="30"/>
  <c r="EZ125" i="30"/>
  <c r="FA157" i="30"/>
  <c r="EZ157" i="30"/>
  <c r="EZ89" i="30"/>
  <c r="EZ121" i="30"/>
  <c r="EZ226" i="30"/>
  <c r="EZ82" i="30"/>
  <c r="EZ66" i="30"/>
  <c r="EZ168" i="30"/>
  <c r="FA246" i="30"/>
  <c r="EZ246" i="30"/>
  <c r="EZ77" i="30"/>
  <c r="EZ131" i="30"/>
  <c r="EZ64" i="30"/>
  <c r="FA151" i="30"/>
  <c r="EZ151" i="30"/>
  <c r="FA134" i="30"/>
  <c r="EZ134" i="30"/>
  <c r="EZ87" i="30"/>
  <c r="EZ51" i="30"/>
  <c r="EZ72" i="30"/>
  <c r="EZ119" i="30"/>
  <c r="EZ146" i="30"/>
  <c r="FA95" i="30"/>
  <c r="EZ95" i="30"/>
  <c r="FA174" i="30"/>
  <c r="EZ174" i="30"/>
  <c r="FA98" i="30"/>
  <c r="EZ98" i="30"/>
  <c r="FA103" i="30"/>
  <c r="EZ103" i="30"/>
  <c r="EZ144" i="30"/>
  <c r="EZ60" i="30"/>
  <c r="EZ208" i="30"/>
  <c r="EZ111" i="30"/>
  <c r="EZ201" i="30"/>
  <c r="EZ83" i="30"/>
  <c r="EZ180" i="30"/>
  <c r="EZ229" i="30"/>
  <c r="EZ65" i="30"/>
  <c r="FA196" i="30"/>
  <c r="EZ222" i="30"/>
  <c r="EZ163" i="30"/>
  <c r="FA106" i="30"/>
  <c r="EZ106" i="30"/>
  <c r="EZ54" i="30"/>
  <c r="EZ207" i="30"/>
  <c r="EZ99" i="30"/>
  <c r="EZ211" i="30"/>
  <c r="EZ92" i="30"/>
  <c r="EZ198" i="30"/>
  <c r="EZ181" i="30"/>
  <c r="FA55" i="30"/>
  <c r="EZ55" i="30"/>
  <c r="EZ120" i="30"/>
  <c r="EZ132" i="30"/>
  <c r="EZ235" i="30"/>
  <c r="EZ94" i="30"/>
  <c r="FA52" i="30"/>
  <c r="EZ52" i="30"/>
  <c r="EZ75" i="30"/>
  <c r="EZ63" i="30"/>
  <c r="EZ136" i="30"/>
  <c r="EZ69" i="30"/>
  <c r="EZ133" i="30"/>
  <c r="EZ225" i="30"/>
  <c r="EZ105" i="30"/>
  <c r="EZ76" i="30"/>
  <c r="EZ86" i="30"/>
  <c r="FA158" i="30"/>
  <c r="FB93" i="30"/>
  <c r="EZ204" i="30"/>
  <c r="EZ78" i="30"/>
  <c r="EZ122" i="30"/>
  <c r="EZ90" i="30"/>
  <c r="EZ173" i="30"/>
  <c r="EZ215" i="30"/>
  <c r="EZ149" i="30"/>
  <c r="EZ202" i="30"/>
  <c r="EZ156" i="30"/>
  <c r="FB230" i="30"/>
  <c r="FA195" i="30"/>
  <c r="EZ195" i="30"/>
  <c r="EZ109" i="30"/>
  <c r="EZ93" i="30"/>
  <c r="EZ102" i="30"/>
  <c r="EZ143" i="30"/>
  <c r="EZ153" i="30"/>
  <c r="EZ200" i="30"/>
  <c r="EZ189" i="30"/>
  <c r="FB121" i="30"/>
  <c r="FB241" i="30"/>
  <c r="FB100" i="30"/>
  <c r="FB157" i="30"/>
  <c r="FB158" i="30"/>
  <c r="FB143" i="30"/>
  <c r="FB96" i="30"/>
  <c r="FA188" i="30"/>
  <c r="FB58" i="30"/>
  <c r="FB55" i="30"/>
  <c r="FB104" i="30"/>
  <c r="FB246" i="30"/>
  <c r="FB66" i="30"/>
  <c r="FB53" i="30"/>
  <c r="FB204" i="30"/>
  <c r="FB200" i="30"/>
  <c r="FB221" i="30"/>
  <c r="FB56" i="30"/>
  <c r="FB51" i="30"/>
  <c r="FB198" i="30"/>
  <c r="FB152" i="30"/>
  <c r="FB148" i="30"/>
  <c r="FB81" i="30"/>
  <c r="FA71" i="30"/>
  <c r="FB95" i="30"/>
  <c r="FB99" i="30"/>
  <c r="FA218" i="30"/>
  <c r="FB145" i="30"/>
  <c r="FB52" i="30"/>
  <c r="FA190" i="30"/>
  <c r="FB169" i="30"/>
  <c r="FA53" i="30"/>
  <c r="FB89" i="30"/>
  <c r="DV83" i="30"/>
  <c r="FB245" i="30"/>
  <c r="FA76" i="30"/>
  <c r="FB106" i="30"/>
  <c r="FB168" i="30"/>
  <c r="FA73" i="30"/>
  <c r="FB228" i="30"/>
  <c r="FB91" i="30"/>
  <c r="FB60" i="30"/>
  <c r="FB109" i="30"/>
  <c r="FB84" i="30"/>
  <c r="FA65" i="30"/>
  <c r="FB68" i="30"/>
  <c r="FB185" i="30"/>
  <c r="FB167" i="30"/>
  <c r="FB165" i="30"/>
  <c r="FB224" i="30"/>
  <c r="FA230" i="30"/>
  <c r="FB138" i="30"/>
  <c r="FB54" i="30"/>
  <c r="FB67" i="30"/>
  <c r="FB218" i="30"/>
  <c r="FA107" i="30"/>
  <c r="FA219" i="30"/>
  <c r="FA79" i="30"/>
  <c r="FA154" i="30"/>
  <c r="FB193" i="30"/>
  <c r="FA131" i="30"/>
  <c r="FA169" i="30"/>
  <c r="FA243" i="30"/>
  <c r="FB197" i="30"/>
  <c r="FA163" i="30"/>
  <c r="FB64" i="30"/>
  <c r="FA162" i="30"/>
  <c r="FB77" i="30"/>
  <c r="FA197" i="30"/>
  <c r="FA193" i="30"/>
  <c r="FA140" i="30"/>
  <c r="FB243" i="30"/>
  <c r="FA118" i="30"/>
  <c r="FA64" i="30"/>
  <c r="FB80" i="30"/>
  <c r="FA77" i="30"/>
  <c r="FA228" i="30"/>
  <c r="FA59" i="30"/>
  <c r="FA115" i="30"/>
  <c r="FA116" i="30"/>
  <c r="FA222" i="30"/>
  <c r="FA183" i="30"/>
  <c r="FA141" i="30"/>
  <c r="FA203" i="30"/>
  <c r="FA178" i="30"/>
  <c r="FA239" i="30"/>
  <c r="FB195" i="30"/>
  <c r="FB219" i="30"/>
  <c r="FB79" i="30"/>
  <c r="FA86" i="30"/>
  <c r="FA109" i="30"/>
  <c r="FA80" i="30"/>
  <c r="FA58" i="30"/>
  <c r="FA164" i="30"/>
  <c r="AI271" i="4"/>
  <c r="AI243" i="4"/>
  <c r="FA70" i="30"/>
  <c r="FA210" i="30"/>
  <c r="FA232" i="30"/>
  <c r="FA166" i="30"/>
  <c r="AI97" i="4"/>
  <c r="AI170" i="4"/>
  <c r="AI171" i="4"/>
  <c r="AI169" i="4"/>
  <c r="AI343" i="4"/>
  <c r="AI344" i="4"/>
  <c r="FA96" i="30"/>
  <c r="FA191" i="30"/>
  <c r="FA172" i="30"/>
  <c r="FA185" i="30"/>
  <c r="FA233" i="30"/>
  <c r="FA240" i="30"/>
  <c r="FA148" i="30"/>
  <c r="FA152" i="30"/>
  <c r="AI4" i="4"/>
  <c r="AI178" i="4"/>
  <c r="AI179" i="4"/>
  <c r="AI180" i="4"/>
  <c r="AI369" i="4"/>
  <c r="P6" i="33"/>
  <c r="Q6" i="33" s="1"/>
  <c r="O6" i="33"/>
  <c r="AI370" i="4"/>
  <c r="P8" i="33"/>
  <c r="Q8" i="33" s="1"/>
  <c r="O8" i="33"/>
  <c r="FA137" i="30"/>
  <c r="AI287" i="4"/>
  <c r="AI363" i="4"/>
  <c r="P5" i="33"/>
  <c r="N10" i="33"/>
  <c r="O5" i="33"/>
  <c r="AI364" i="4"/>
  <c r="O7" i="33"/>
  <c r="P7" i="33"/>
  <c r="Q7" i="33" s="1"/>
  <c r="FA97" i="30"/>
  <c r="AI83" i="4"/>
  <c r="AI84" i="4"/>
  <c r="AI260" i="4"/>
  <c r="AI227" i="4"/>
  <c r="AI226" i="4"/>
  <c r="FA114" i="30"/>
  <c r="AI266" i="4"/>
  <c r="AI325" i="4"/>
  <c r="AI326" i="4"/>
  <c r="AI298" i="4"/>
  <c r="FA220" i="30"/>
  <c r="FA231" i="30"/>
  <c r="FA88" i="30"/>
  <c r="FA101" i="30"/>
  <c r="FA194" i="30"/>
  <c r="FA160" i="30"/>
  <c r="AI265" i="4"/>
  <c r="AI275" i="4"/>
  <c r="AI60" i="4"/>
  <c r="AI59" i="4"/>
  <c r="FA209" i="30"/>
  <c r="FA213" i="30"/>
  <c r="FB242" i="30"/>
  <c r="AI297" i="4"/>
  <c r="AI290" i="4"/>
  <c r="AI289" i="4"/>
  <c r="FA167" i="30"/>
  <c r="FA224" i="30"/>
  <c r="FA84" i="30"/>
  <c r="FA138" i="30"/>
  <c r="FA104" i="30"/>
  <c r="FA123" i="30"/>
  <c r="FA242" i="30"/>
  <c r="AI130" i="4"/>
  <c r="AI131" i="4"/>
  <c r="T6" i="28"/>
  <c r="G7" i="28"/>
  <c r="AU9" i="4" s="1"/>
  <c r="K7" i="28"/>
  <c r="L7" i="28"/>
  <c r="T7" i="28"/>
  <c r="E15" i="28"/>
  <c r="FK81" i="30" l="1"/>
  <c r="FK73" i="30"/>
  <c r="FK75" i="30"/>
  <c r="FI102" i="30"/>
  <c r="FP102" i="30" s="1"/>
  <c r="FI105" i="30"/>
  <c r="FN105" i="30" s="1" a="1"/>
  <c r="FN105" i="30" s="1"/>
  <c r="FK95" i="30"/>
  <c r="FI82" i="30"/>
  <c r="FL82" i="30" s="1" a="1"/>
  <c r="FL82" i="30" s="1"/>
  <c r="FK100" i="30"/>
  <c r="FI81" i="30"/>
  <c r="FI79" i="30"/>
  <c r="FK77" i="30"/>
  <c r="FI100" i="30"/>
  <c r="FI72" i="30"/>
  <c r="FI96" i="30"/>
  <c r="FK102" i="30"/>
  <c r="FK96" i="30"/>
  <c r="FK106" i="30"/>
  <c r="FI94" i="30"/>
  <c r="FI76" i="30"/>
  <c r="FI97" i="30"/>
  <c r="FI106" i="30"/>
  <c r="FI86" i="30"/>
  <c r="FK93" i="30"/>
  <c r="FK105" i="30"/>
  <c r="FI78" i="30"/>
  <c r="FK99" i="30"/>
  <c r="FI77" i="30"/>
  <c r="FK101" i="30"/>
  <c r="FK86" i="30"/>
  <c r="FI83" i="30"/>
  <c r="FK104" i="30"/>
  <c r="FI80" i="30"/>
  <c r="FK92" i="30"/>
  <c r="FI74" i="30"/>
  <c r="FI93" i="30"/>
  <c r="FK83" i="30"/>
  <c r="FK82" i="30"/>
  <c r="FK80" i="30"/>
  <c r="FK98" i="30"/>
  <c r="FI101" i="30"/>
  <c r="FI73" i="30"/>
  <c r="FK85" i="30"/>
  <c r="P10" i="33"/>
  <c r="Q10" i="33" s="1"/>
  <c r="Q5" i="33"/>
  <c r="FK94" i="30"/>
  <c r="FK72" i="30"/>
  <c r="FI85" i="30"/>
  <c r="FK78" i="30"/>
  <c r="FK76" i="30"/>
  <c r="FK79" i="30"/>
  <c r="FI99" i="30"/>
  <c r="FI95" i="30"/>
  <c r="FI92" i="30"/>
  <c r="FK74" i="30"/>
  <c r="FK84" i="30"/>
  <c r="FI75" i="30"/>
  <c r="FI104" i="30"/>
  <c r="FI98" i="30"/>
  <c r="FI103" i="30"/>
  <c r="FK97" i="30"/>
  <c r="FI84" i="30"/>
  <c r="FK103" i="30"/>
  <c r="J8" i="28"/>
  <c r="K8" i="28"/>
  <c r="L8" i="28"/>
  <c r="K9" i="28"/>
  <c r="L9" i="28"/>
  <c r="K10" i="28"/>
  <c r="L10" i="28"/>
  <c r="K11" i="28"/>
  <c r="L11" i="28"/>
  <c r="FP105" i="30" l="1"/>
  <c r="FO105" i="30" a="1"/>
  <c r="FO105" i="30" s="1"/>
  <c r="FL105" i="30" a="1"/>
  <c r="FL105" i="30" s="1"/>
  <c r="FO102" i="30" a="1"/>
  <c r="FO102" i="30" s="1"/>
  <c r="FN102" i="30" a="1"/>
  <c r="FN102" i="30" s="1"/>
  <c r="FL102" i="30" a="1"/>
  <c r="FL102" i="30" s="1"/>
  <c r="FP82" i="30"/>
  <c r="FO82" i="30" a="1"/>
  <c r="FO82" i="30" s="1"/>
  <c r="FN82" i="30" a="1"/>
  <c r="FN82" i="30" s="1"/>
  <c r="FP103" i="30"/>
  <c r="FL103" i="30" a="1"/>
  <c r="FL103" i="30" s="1"/>
  <c r="FN103" i="30" a="1"/>
  <c r="FN103" i="30" s="1"/>
  <c r="FO103" i="30" a="1"/>
  <c r="FO103" i="30" s="1"/>
  <c r="FO95" i="30" a="1"/>
  <c r="FO95" i="30" s="1"/>
  <c r="FP95" i="30"/>
  <c r="FL95" i="30" a="1"/>
  <c r="FL95" i="30" s="1"/>
  <c r="FN95" i="30" a="1"/>
  <c r="FN95" i="30" s="1"/>
  <c r="FN75" i="30" a="1"/>
  <c r="FN75" i="30" s="1"/>
  <c r="FL75" i="30" a="1"/>
  <c r="FL75" i="30" s="1"/>
  <c r="FO75" i="30" a="1"/>
  <c r="FO75" i="30" s="1"/>
  <c r="FP75" i="30"/>
  <c r="FO83" i="30" a="1"/>
  <c r="FO83" i="30" s="1"/>
  <c r="FL83" i="30" a="1"/>
  <c r="FL83" i="30" s="1"/>
  <c r="FN83" i="30" a="1"/>
  <c r="FN83" i="30" s="1"/>
  <c r="FP83" i="30"/>
  <c r="FN79" i="30" a="1"/>
  <c r="FN79" i="30" s="1"/>
  <c r="FO79" i="30" a="1"/>
  <c r="FO79" i="30" s="1"/>
  <c r="FL79" i="30" a="1"/>
  <c r="FL79" i="30" s="1"/>
  <c r="FN92" i="30" a="1"/>
  <c r="FN92" i="30" s="1"/>
  <c r="FP92" i="30"/>
  <c r="FO92" i="30" a="1"/>
  <c r="FO92" i="30" s="1"/>
  <c r="FL92" i="30" a="1"/>
  <c r="FL92" i="30" s="1"/>
  <c r="FL73" i="30" a="1"/>
  <c r="FL73" i="30" s="1"/>
  <c r="FN73" i="30" a="1"/>
  <c r="FN73" i="30" s="1"/>
  <c r="FO73" i="30" a="1"/>
  <c r="FO73" i="30" s="1"/>
  <c r="FN81" i="30" a="1"/>
  <c r="FN81" i="30" s="1"/>
  <c r="FP81" i="30"/>
  <c r="FL81" i="30" a="1"/>
  <c r="FL81" i="30" s="1"/>
  <c r="FO81" i="30" a="1"/>
  <c r="FO81" i="30" s="1"/>
  <c r="FO101" i="30" a="1"/>
  <c r="FO101" i="30" s="1"/>
  <c r="FP101" i="30"/>
  <c r="FL101" i="30" a="1"/>
  <c r="FL101" i="30" s="1"/>
  <c r="FN101" i="30" a="1"/>
  <c r="FN101" i="30" s="1"/>
  <c r="FN99" i="30" a="1"/>
  <c r="FN99" i="30" s="1"/>
  <c r="FO99" i="30" a="1"/>
  <c r="FO99" i="30" s="1"/>
  <c r="FP99" i="30"/>
  <c r="FL99" i="30" a="1"/>
  <c r="FL99" i="30" s="1"/>
  <c r="FL77" i="30" a="1"/>
  <c r="FL77" i="30" s="1"/>
  <c r="FN77" i="30" a="1"/>
  <c r="FN77" i="30" s="1"/>
  <c r="FO77" i="30" a="1"/>
  <c r="FO77" i="30" s="1"/>
  <c r="FP77" i="30"/>
  <c r="FP76" i="30"/>
  <c r="FL76" i="30" a="1"/>
  <c r="FL76" i="30" s="1"/>
  <c r="FN76" i="30" a="1"/>
  <c r="FN76" i="30" s="1"/>
  <c r="FO76" i="30" a="1"/>
  <c r="FO76" i="30" s="1"/>
  <c r="FN94" i="30" a="1"/>
  <c r="FN94" i="30" s="1"/>
  <c r="FO94" i="30" a="1"/>
  <c r="FO94" i="30" s="1"/>
  <c r="FP94" i="30"/>
  <c r="FL94" i="30" a="1"/>
  <c r="FL94" i="30" s="1"/>
  <c r="FO84" i="30" a="1"/>
  <c r="FO84" i="30" s="1"/>
  <c r="FP84" i="30"/>
  <c r="FL84" i="30" a="1"/>
  <c r="FL84" i="30" s="1"/>
  <c r="FN84" i="30" a="1"/>
  <c r="FN84" i="30" s="1"/>
  <c r="FO78" i="30" a="1"/>
  <c r="FO78" i="30" s="1"/>
  <c r="FL78" i="30" a="1"/>
  <c r="FL78" i="30" s="1"/>
  <c r="FN78" i="30" a="1"/>
  <c r="FN78" i="30" s="1"/>
  <c r="FP78" i="30"/>
  <c r="FP85" i="30"/>
  <c r="FO85" i="30" a="1"/>
  <c r="FO85" i="30" s="1"/>
  <c r="FL85" i="30" a="1"/>
  <c r="FL85" i="30" s="1"/>
  <c r="FN85" i="30" a="1"/>
  <c r="FN85" i="30" s="1"/>
  <c r="FN98" i="30" a="1"/>
  <c r="FN98" i="30" s="1"/>
  <c r="FO98" i="30" a="1"/>
  <c r="FO98" i="30" s="1"/>
  <c r="FP98" i="30"/>
  <c r="FL98" i="30" a="1"/>
  <c r="FL98" i="30" s="1"/>
  <c r="FO74" i="30" a="1"/>
  <c r="FO74" i="30" s="1"/>
  <c r="FL74" i="30" a="1"/>
  <c r="FL74" i="30" s="1"/>
  <c r="FN74" i="30" a="1"/>
  <c r="FN74" i="30" s="1"/>
  <c r="FP74" i="30"/>
  <c r="FL86" i="30" a="1"/>
  <c r="FL86" i="30" s="1"/>
  <c r="FP86" i="30"/>
  <c r="FO86" i="30" a="1"/>
  <c r="FO86" i="30" s="1"/>
  <c r="FN86" i="30" a="1"/>
  <c r="FN86" i="30" s="1"/>
  <c r="FN96" i="30" a="1"/>
  <c r="FN96" i="30" s="1"/>
  <c r="FO96" i="30" a="1"/>
  <c r="FO96" i="30" s="1"/>
  <c r="FP96" i="30"/>
  <c r="FL96" i="30" a="1"/>
  <c r="FL96" i="30" s="1"/>
  <c r="FN104" i="30" a="1"/>
  <c r="FN104" i="30" s="1"/>
  <c r="FO104" i="30" a="1"/>
  <c r="FO104" i="30" s="1"/>
  <c r="FP104" i="30"/>
  <c r="FL104" i="30" a="1"/>
  <c r="FL104" i="30" s="1"/>
  <c r="FO106" i="30" a="1"/>
  <c r="FO106" i="30" s="1"/>
  <c r="FP106" i="30"/>
  <c r="FL106" i="30" a="1"/>
  <c r="FL106" i="30" s="1"/>
  <c r="FN106" i="30" a="1"/>
  <c r="FN106" i="30" s="1"/>
  <c r="FN72" i="30" a="1"/>
  <c r="FN72" i="30" s="1"/>
  <c r="FO72" i="30" a="1"/>
  <c r="FO72" i="30" s="1"/>
  <c r="FP72" i="30"/>
  <c r="FL72" i="30" a="1"/>
  <c r="FL72" i="30" s="1"/>
  <c r="FP93" i="30"/>
  <c r="FN93" i="30" a="1"/>
  <c r="FN93" i="30" s="1"/>
  <c r="FO93" i="30" a="1"/>
  <c r="FO93" i="30" s="1"/>
  <c r="FL93" i="30" a="1"/>
  <c r="FL93" i="30" s="1"/>
  <c r="FP80" i="30"/>
  <c r="FL80" i="30" a="1"/>
  <c r="FL80" i="30" s="1"/>
  <c r="FN80" i="30" a="1"/>
  <c r="FN80" i="30" s="1"/>
  <c r="FO80" i="30" a="1"/>
  <c r="FO80" i="30" s="1"/>
  <c r="FN97" i="30" a="1"/>
  <c r="FN97" i="30" s="1"/>
  <c r="FO97" i="30" a="1"/>
  <c r="FO97" i="30" s="1"/>
  <c r="FP97" i="30"/>
  <c r="FL97" i="30" a="1"/>
  <c r="FL97" i="30" s="1"/>
  <c r="FN100" i="30" a="1"/>
  <c r="FN100" i="30" s="1"/>
  <c r="FO100" i="30" a="1"/>
  <c r="FO100" i="30" s="1"/>
  <c r="FP100" i="30"/>
  <c r="FL100" i="30" a="1"/>
  <c r="FL100" i="30" s="1"/>
  <c r="K12" i="28"/>
  <c r="L12" i="28"/>
  <c r="J16" i="28"/>
  <c r="R16" i="28"/>
  <c r="K17" i="28"/>
  <c r="L17" i="28"/>
  <c r="K18" i="28"/>
  <c r="L18" i="28"/>
  <c r="K19" i="28"/>
  <c r="L19" i="28"/>
  <c r="J20" i="28"/>
  <c r="K20" i="28"/>
  <c r="L20" i="28"/>
  <c r="K21" i="28"/>
  <c r="L21" i="28"/>
  <c r="K23" i="28"/>
  <c r="L23" i="28"/>
  <c r="K24" i="28"/>
  <c r="L24" i="28"/>
  <c r="J26" i="28"/>
  <c r="K27" i="28"/>
  <c r="L27" i="28"/>
  <c r="K28" i="28"/>
  <c r="L28" i="28"/>
  <c r="R28" i="28"/>
  <c r="K29" i="28"/>
  <c r="L29" i="28"/>
  <c r="J30" i="28"/>
  <c r="K30" i="28"/>
  <c r="L30" i="28"/>
  <c r="K31" i="28"/>
  <c r="L31" i="28"/>
  <c r="K32" i="28"/>
  <c r="L32" i="28"/>
  <c r="K33" i="28"/>
  <c r="L33" i="28"/>
  <c r="K34" i="28"/>
  <c r="L34" i="28"/>
  <c r="J36" i="28"/>
  <c r="K37" i="28"/>
  <c r="L37" i="28"/>
  <c r="K38" i="28"/>
  <c r="L38" i="28"/>
  <c r="R39" i="28"/>
  <c r="J40" i="28"/>
  <c r="K40" i="28"/>
  <c r="L40" i="28"/>
  <c r="K41" i="28"/>
  <c r="L41" i="28"/>
  <c r="K42" i="28"/>
  <c r="L42" i="28"/>
  <c r="K43" i="28"/>
  <c r="L43" i="28"/>
  <c r="K44" i="28"/>
  <c r="L44" i="28"/>
  <c r="E8" i="1"/>
  <c r="A1002" i="7" l="1"/>
  <c r="A1003" i="7"/>
  <c r="A1004" i="7"/>
  <c r="A1005" i="7"/>
  <c r="A1006" i="7"/>
  <c r="A1007" i="7"/>
  <c r="A1008" i="7"/>
  <c r="A1009" i="7"/>
  <c r="A1010" i="7"/>
  <c r="A1011" i="7"/>
  <c r="A1012" i="7"/>
  <c r="A1013" i="7"/>
  <c r="A1014" i="7"/>
  <c r="A1015" i="7"/>
  <c r="A1016" i="7"/>
  <c r="A1017" i="7"/>
  <c r="A1018" i="7"/>
  <c r="A1019" i="7"/>
  <c r="A1020" i="7"/>
  <c r="A1021" i="7"/>
  <c r="A1022" i="7"/>
  <c r="A1023" i="7"/>
  <c r="A1024" i="7"/>
  <c r="A1025" i="7"/>
  <c r="A1026" i="7"/>
  <c r="A1027" i="7"/>
  <c r="A1028" i="7"/>
  <c r="A1029" i="7"/>
  <c r="A1030" i="7"/>
  <c r="A1031" i="7"/>
  <c r="A1032" i="7"/>
  <c r="A1033" i="7"/>
  <c r="A1034" i="7"/>
  <c r="A1035" i="7"/>
  <c r="A1036" i="7"/>
  <c r="A1037" i="7"/>
  <c r="A1038" i="7"/>
  <c r="A1039" i="7"/>
  <c r="A1040" i="7"/>
  <c r="A1041" i="7"/>
  <c r="A1042" i="7"/>
  <c r="A1043" i="7"/>
  <c r="A1044" i="7"/>
  <c r="A1045" i="7"/>
  <c r="A1046" i="7"/>
  <c r="A1047" i="7"/>
  <c r="A1048" i="7"/>
  <c r="A1049" i="7"/>
  <c r="A1050" i="7"/>
  <c r="A1051" i="7"/>
  <c r="A1052" i="7"/>
  <c r="A1053" i="7"/>
  <c r="A1054" i="7"/>
  <c r="A1055" i="7"/>
  <c r="A1056" i="7"/>
  <c r="A1057" i="7"/>
  <c r="A1058" i="7"/>
  <c r="A1059" i="7"/>
  <c r="A1060" i="7"/>
  <c r="A1061" i="7"/>
  <c r="A1062" i="7"/>
  <c r="A1063" i="7"/>
  <c r="A1064" i="7"/>
  <c r="A1065" i="7"/>
  <c r="A1066" i="7"/>
  <c r="A1067" i="7"/>
  <c r="A1068" i="7"/>
  <c r="A1069" i="7"/>
  <c r="A1070" i="7"/>
  <c r="A1071" i="7"/>
  <c r="A1072" i="7"/>
  <c r="A1073" i="7"/>
  <c r="A1074" i="7"/>
  <c r="A1075" i="7"/>
  <c r="A1076" i="7"/>
  <c r="A1077" i="7"/>
  <c r="A1078" i="7"/>
  <c r="A1079" i="7"/>
  <c r="A1080" i="7"/>
  <c r="A1081" i="7"/>
  <c r="A1082" i="7"/>
  <c r="A1083" i="7"/>
  <c r="A1084" i="7"/>
  <c r="A1085" i="7"/>
  <c r="A1086" i="7"/>
  <c r="A1087" i="7"/>
  <c r="A1088" i="7"/>
  <c r="A1089" i="7"/>
  <c r="A1090" i="7"/>
  <c r="A1091" i="7"/>
  <c r="A1092" i="7"/>
  <c r="A1093" i="7"/>
  <c r="A1094" i="7"/>
  <c r="A1095" i="7"/>
  <c r="A1096" i="7"/>
  <c r="A1097" i="7"/>
  <c r="A1098" i="7"/>
  <c r="A1099" i="7"/>
  <c r="A1100" i="7"/>
  <c r="A1101" i="7"/>
  <c r="A1102" i="7"/>
  <c r="A1103" i="7"/>
  <c r="A1104" i="7"/>
  <c r="A1105" i="7"/>
  <c r="A1106" i="7"/>
  <c r="A1107" i="7"/>
  <c r="A1108" i="7"/>
  <c r="A1109" i="7"/>
  <c r="A1110" i="7"/>
  <c r="A1111" i="7"/>
  <c r="A1112" i="7"/>
  <c r="A1113" i="7"/>
  <c r="A1114" i="7"/>
  <c r="A1115" i="7"/>
  <c r="A1116" i="7"/>
  <c r="A1117" i="7"/>
  <c r="A1118" i="7"/>
  <c r="A1119" i="7"/>
  <c r="A1120" i="7"/>
  <c r="A1121" i="7"/>
  <c r="A1122" i="7"/>
  <c r="A1123" i="7"/>
  <c r="A1124" i="7"/>
  <c r="A1125" i="7"/>
  <c r="A1126" i="7"/>
  <c r="A1127" i="7"/>
  <c r="A1128" i="7"/>
  <c r="A1129" i="7"/>
  <c r="A1130" i="7"/>
  <c r="A1131" i="7"/>
  <c r="A1132" i="7"/>
  <c r="A1133" i="7"/>
  <c r="A1134" i="7"/>
  <c r="A1135"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sulta desde Cálculo Caja" type="1" refreshedVersion="8" savePassword="1" background="1" saveData="1">
    <dbPr connection="DRIVER=SQL Server;SERVER=SPPEDBS00024\INSSQLSRVINT01;UID=app_sit_mesa;PWD=4pp_sit_m$2024#;APP=Microsoft Office 2010;WSID=ZXDES29;DATABASE=SIT-INTEGRA" command="select _x000d__x000a_   dbo.RetornarDescripcionPortafolio(oi.CodigoPortafolioSBS) as PORTAFOLIO_x000d__x000a_   ,ISNULL(dbo.FormatDate(oi.FechaOperacion),'') AS FECHA_OPERACION_x000d__x000a_   ,dbo.fn_Obtener_ValorIndicador('CAJBAN',oi.CodigoPortafolioSBS,oi.FechaOperacion,'A') as CAJA_x000d__x000a_   ,dbo.fn_Obtener_ValorIndicador('CTACOB',oi.CodigoPortafolioSBS,oi.FechaOperacion,'A') as CXC_x000d__x000a_   ,dbo.fn_Obtener_ValorIndicador('CTAPAG',oi.CodigoPortafolioSBS,oi.FechaOperacion,'A') as CXP_x000d__x000a_   ,dbo.fn_Obtener_ValorIndicador('VALFON',oi.CodigoPortafolioSBS,oi.FechaOperacion,'A') +_x000d__x000a_    dbo.fn_Obtener_ValorIndicador('CTAPAG',oi.CodigoPortafolioSBS,oi.FechaOperacion,'A') -_x000d__x000a_dbo.fn_Obtener_ValorIndicador('CAJBAN',oi.CodigoPortafolioSBS,oi.FechaOperacion,'A') - _x000d__x000a_    dbo.fn_Obtener_ValorIndicador('CTACOB',oi.CodigoPortafolioSBS,oi.FechaOperacion,'A') as INVERSIONES_x000d__x000a_   ,dbo.fn_Obtener_ValorIndicador('VALFON',oi.CodigoPortafolioSBS,oi.FechaOperacion,'A') as PATRIMONIO_x000d__x000a_from OrdenInversion oi_x000d__x000a_WHERE (oi.FechaOperacion between ? AND ?) and oi.Estado in ('E-EJE','E-CON') and oi.CodigoPortafolioSBS not in (5) group by oi.CodigoPortafolioSBS,oi.FechaOperacion,oi.Estado_x000d__x000a_order by oi.FechaOperacion asc"/>
    <parameters count="2">
      <parameter name="Fecha Desde" sqlType="2" parameterType="cell" refreshOnChange="1" cell="'Cálculo Caja'!$B$1"/>
      <parameter name="Fecha Hasta" sqlType="2" parameterType="cell" refreshOnChange="1" cell="'Cálculo Caja'!$D$1"/>
    </parameters>
  </connection>
  <connection id="2" xr16:uid="{00000000-0015-0000-FFFF-FFFF02000000}" name="Consulta desde Reporte de Valorización de Instrumentos" type="1" refreshedVersion="8" savePassword="1" background="1" saveData="1">
    <dbPr connection="DRIVER=SQL Server;SERVER=SPPEDBS00024\INSSQLSRVINT01;UID=app_sit_mesa;PWD=4pp_sit_m$2024#;APP=Microsoft Office 2010;WSID=ZXDES29;DATABASE=SIT-INTEGRA" command="EXEC dbo.PR_SIT_REP_ValorizacionInstrumento @p_FechaValorizacion=?"/>
    <parameters count="1">
      <parameter name="Fecha Desde" sqlType="2" parameterType="cell" refreshOnChange="1" cell="'Valorización de Instrumentos'!$B$1"/>
    </parameters>
  </connection>
  <connection id="3" xr16:uid="{00000000-0015-0000-FFFF-FFFF04000000}" name="Consulta desde Tipo de Cambio" type="1" refreshedVersion="8" savePassword="1" background="1" saveData="1">
    <dbPr connection="DRIVER=SQL Server;SERVER=SPPEDBS00024\INSSQLSRVINT01;UID=app_sit_mesa;PWD=4pp_sit_m$2024#;APP=Microsoft Office 2010;WSID=ZXDES29;DATABASE=SIT-INTEGRA" command="select _x000d__x000a_    vtc.CodigoMoneda as CODIGO_MONEDA_x000d__x000a_    ,m.Descripcion as NOMBRE_MONEDA_x000d__x000a_    ,dbo.FormatDate(vtc.Fecha) as FECHA_x000d__x000a_    ,vtc.ValorPrimario as VALOR_x000d__x000a_    ,m.CodigoMonedaSBS as CODIGO_MONEDA_SBS_x000d__x000a_    ,m.SinonimoISO as MONEDA_INTERNACIONAL_x000d__x000a_from VectorTipoCambio vtc_x000d__x000a__x0009_inner join Moneda m on vtc.CodigoMoneda = m.CodigoMoneda_x000d__x000a_WHERE (vtc.Fecha between ? AND ?) and vtc.EntidadExt = 'Real'_x000d__x000a_order by vtc.CodigoMoneda,vtc.Fecha"/>
    <parameters count="2">
      <parameter name="Fecha Desde" sqlType="2" parameterType="cell" refreshOnChange="1" cell="'Tipo de Cambio'!$B$1"/>
      <parameter name="Fecha Hasta" sqlType="2" parameterType="cell" refreshOnChange="1" cell="'Tipo de Cambio'!$D$1"/>
    </parameters>
  </connection>
  <connection id="4" xr16:uid="{A01704F1-1242-4C83-8E5A-827A2B960BB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43252A6A-AAF9-441D-A9EF-E986C2F76A83}" name="WorksheetConnection_Reporte de la Huella(Región) 2024.xlsm!Tabla_Consulta_desde_Cálculo_Caja" type="102" refreshedVersion="8" minRefreshableVersion="5">
    <extLst>
      <ext xmlns:x15="http://schemas.microsoft.com/office/spreadsheetml/2010/11/main" uri="{DE250136-89BD-433C-8126-D09CA5730AF9}">
        <x15:connection id="Tabla_Consulta_desde_Cálculo_Caja">
          <x15:rangePr sourceName="_xlcn.WorksheetConnection_ReportedelaHuellaRegión2024.xlsmTabla_Consulta_desde_Cálculo_Caja1"/>
        </x15:connection>
      </ext>
    </extLst>
  </connection>
  <connection id="6" xr16:uid="{2A25BA65-C414-46FD-9029-1229DEC7DB12}" name="WorksheetConnection_Reporte de la Huella(Región) 2024.xlsm!Tabla_Consulta_desde_Reporte_de_Valorización_de_Instrumentos" type="102" refreshedVersion="8" minRefreshableVersion="5">
    <extLst>
      <ext xmlns:x15="http://schemas.microsoft.com/office/spreadsheetml/2010/11/main" uri="{DE250136-89BD-433C-8126-D09CA5730AF9}">
        <x15:connection id="Tabla_Consulta_desde_Reporte_de_Valorización_de_Instrumentos">
          <x15:rangePr sourceName="_xlcn.WorksheetConnection_ReportedelaHuellaRegión2024.xlsmTabla_Consulta_desde_Reporte_de_Valorización_de_Instrumentos1"/>
        </x15:connection>
      </ext>
    </extLst>
  </connection>
  <connection id="7" xr16:uid="{039E05C0-CD28-46DA-89A1-D389E74C7E33}" name="WorksheetConnection_Valorización de Instrumentos!$A$3:$AM$601" type="102" refreshedVersion="8" minRefreshableVersion="5">
    <extLst>
      <ext xmlns:x15="http://schemas.microsoft.com/office/spreadsheetml/2010/11/main" uri="{DE250136-89BD-433C-8126-D09CA5730AF9}">
        <x15:connection id="Range" autoDelete="1">
          <x15:rangePr sourceName="_xlcn.WorksheetConnection_ValorizacióndeInstrumentosA3AM601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<sst xmlns="http://schemas.openxmlformats.org/spreadsheetml/2006/main" count="40089" uniqueCount="6680">
  <si>
    <t>Fecha Desde</t>
  </si>
  <si>
    <t>Fecha Hasta</t>
  </si>
  <si>
    <t>PORTAFOLIO</t>
  </si>
  <si>
    <t>FECHA_OPERACION</t>
  </si>
  <si>
    <t>CAJA</t>
  </si>
  <si>
    <t>CXC</t>
  </si>
  <si>
    <t>CXP</t>
  </si>
  <si>
    <t>PATRIMONIO</t>
  </si>
  <si>
    <t>INVERSIONES</t>
  </si>
  <si>
    <t>IN-FONDO0</t>
  </si>
  <si>
    <t>IN-FONDO2</t>
  </si>
  <si>
    <t>IN-FONDO3</t>
  </si>
  <si>
    <t>IN-FONDO1</t>
  </si>
  <si>
    <t>CODIGO_MONEDA</t>
  </si>
  <si>
    <t>NOMBRE_MONEDA</t>
  </si>
  <si>
    <t>FECHA</t>
  </si>
  <si>
    <t>VALOR</t>
  </si>
  <si>
    <t>CODIGO_MONEDA_SBS</t>
  </si>
  <si>
    <t>MONEDA_INTERNACIONAL</t>
  </si>
  <si>
    <t>AUD</t>
  </si>
  <si>
    <t>DOLARES AUSTRALIANOS</t>
  </si>
  <si>
    <t>B</t>
  </si>
  <si>
    <t>BRL</t>
  </si>
  <si>
    <t>REALES BRASILEROS</t>
  </si>
  <si>
    <t>8</t>
  </si>
  <si>
    <t>CAD</t>
  </si>
  <si>
    <t>DOLARES CANADIENSES</t>
  </si>
  <si>
    <t>7</t>
  </si>
  <si>
    <t>CHF</t>
  </si>
  <si>
    <t>FRANCOS SUIZOS</t>
  </si>
  <si>
    <t>A</t>
  </si>
  <si>
    <t>CLP</t>
  </si>
  <si>
    <t>PESOS CHILENOS</t>
  </si>
  <si>
    <t>C</t>
  </si>
  <si>
    <t>CNH</t>
  </si>
  <si>
    <t>N</t>
  </si>
  <si>
    <t>CNY</t>
  </si>
  <si>
    <t>ONSHORE RENMINBI CHINO</t>
  </si>
  <si>
    <t>J</t>
  </si>
  <si>
    <t>COP</t>
  </si>
  <si>
    <t>PESOS COLOMBIANOS</t>
  </si>
  <si>
    <t>F</t>
  </si>
  <si>
    <t>CZK</t>
  </si>
  <si>
    <t>CORONA CHECA</t>
  </si>
  <si>
    <t>Q</t>
  </si>
  <si>
    <t>DKK</t>
  </si>
  <si>
    <t>CORONA DANESA</t>
  </si>
  <si>
    <t>M</t>
  </si>
  <si>
    <t>DOL</t>
  </si>
  <si>
    <t>DOLARES AMERICANOS</t>
  </si>
  <si>
    <t>2</t>
  </si>
  <si>
    <t>USD</t>
  </si>
  <si>
    <t>EGP</t>
  </si>
  <si>
    <t>LIBRA EGIPCIA</t>
  </si>
  <si>
    <t>V</t>
  </si>
  <si>
    <t>EUR</t>
  </si>
  <si>
    <t>EUROS</t>
  </si>
  <si>
    <t>4</t>
  </si>
  <si>
    <t>GBP</t>
  </si>
  <si>
    <t>LIBRAS ESTERLINAS</t>
  </si>
  <si>
    <t>6</t>
  </si>
  <si>
    <t>HKD</t>
  </si>
  <si>
    <t>DOLAR DE HONG KONG</t>
  </si>
  <si>
    <t>O</t>
  </si>
  <si>
    <t>HUF</t>
  </si>
  <si>
    <t>FORINT HUNGARO</t>
  </si>
  <si>
    <t>P</t>
  </si>
  <si>
    <t>IDR</t>
  </si>
  <si>
    <t>RUPIA INDONESIA</t>
  </si>
  <si>
    <t>L</t>
  </si>
  <si>
    <t>ILS</t>
  </si>
  <si>
    <t>SHEKEL ISRAELI</t>
  </si>
  <si>
    <t>W</t>
  </si>
  <si>
    <t>INR</t>
  </si>
  <si>
    <t>RUPIA INDIA</t>
  </si>
  <si>
    <t>I</t>
  </si>
  <si>
    <t>JPY</t>
  </si>
  <si>
    <t>YENES</t>
  </si>
  <si>
    <t>5</t>
  </si>
  <si>
    <t>KRW</t>
  </si>
  <si>
    <t>WON COREANO</t>
  </si>
  <si>
    <t>Y</t>
  </si>
  <si>
    <t>MXN</t>
  </si>
  <si>
    <t>PESOS MEXICANOS</t>
  </si>
  <si>
    <t>9</t>
  </si>
  <si>
    <t>NOK</t>
  </si>
  <si>
    <t>CORONAS NORUEGAS</t>
  </si>
  <si>
    <t>D</t>
  </si>
  <si>
    <t>NSOL</t>
  </si>
  <si>
    <t>NUEVOS SOLES</t>
  </si>
  <si>
    <t>1</t>
  </si>
  <si>
    <t>PEN</t>
  </si>
  <si>
    <t>NZD</t>
  </si>
  <si>
    <t>DOLARES NEOZELANDESES</t>
  </si>
  <si>
    <t>E</t>
  </si>
  <si>
    <t>PLN</t>
  </si>
  <si>
    <t>ZLOTY POLACO</t>
  </si>
  <si>
    <t>R</t>
  </si>
  <si>
    <t>RON</t>
  </si>
  <si>
    <t>LEU RUMANO</t>
  </si>
  <si>
    <t>S</t>
  </si>
  <si>
    <t>RUB</t>
  </si>
  <si>
    <t>RUBLO RUSO</t>
  </si>
  <si>
    <t>X</t>
  </si>
  <si>
    <t>SEK</t>
  </si>
  <si>
    <t>CORONAS SUECAS</t>
  </si>
  <si>
    <t>G</t>
  </si>
  <si>
    <t>SGD</t>
  </si>
  <si>
    <t>DOLAR DE SINGAPUR</t>
  </si>
  <si>
    <t>K</t>
  </si>
  <si>
    <t>THB</t>
  </si>
  <si>
    <t>BAHT TAILANDES</t>
  </si>
  <si>
    <t>U</t>
  </si>
  <si>
    <t>TRY</t>
  </si>
  <si>
    <t>LIRAS TURCAS</t>
  </si>
  <si>
    <t>H</t>
  </si>
  <si>
    <t>TWD</t>
  </si>
  <si>
    <t>DOLAR DE TAIWAN</t>
  </si>
  <si>
    <t>Z</t>
  </si>
  <si>
    <t>VAC</t>
  </si>
  <si>
    <t>VALOR DE ACTUALIZACION CONSTANTE</t>
  </si>
  <si>
    <t>3</t>
  </si>
  <si>
    <t>-</t>
  </si>
  <si>
    <t>ZAR</t>
  </si>
  <si>
    <t>RAND SUDAFRICANO</t>
  </si>
  <si>
    <t>T</t>
  </si>
  <si>
    <t>Fecha Valoración</t>
  </si>
  <si>
    <t>FechaValoracion</t>
  </si>
  <si>
    <t>TIPO_TITULO</t>
  </si>
  <si>
    <t>GRUPO</t>
  </si>
  <si>
    <t>CODIGO_SBS</t>
  </si>
  <si>
    <t>CODIGO_ISIN</t>
  </si>
  <si>
    <t>TITULO</t>
  </si>
  <si>
    <t>EMISOR</t>
  </si>
  <si>
    <t>Moneda</t>
  </si>
  <si>
    <t>VALOR_UNITARIO</t>
  </si>
  <si>
    <t>VALOR_VECTOR_LOCAL</t>
  </si>
  <si>
    <t>VALOR_VECTOR_ORIGEN</t>
  </si>
  <si>
    <t>CANTIDAD</t>
  </si>
  <si>
    <t>FECHA_VENCIMIENTO</t>
  </si>
  <si>
    <t>DIAS_VENTIMIENTO</t>
  </si>
  <si>
    <t>TIPO_CAMBIO</t>
  </si>
  <si>
    <t>TIPO_RENTA</t>
  </si>
  <si>
    <t>VALOR_VECTOR_LOCAL_T-1</t>
  </si>
  <si>
    <t>VALOR_VECTOR_ORIGEN_T-1</t>
  </si>
  <si>
    <t>GRUPO_ECONOMICO</t>
  </si>
  <si>
    <t>ACTIVO_DEL_EMISOR</t>
  </si>
  <si>
    <t>PASIVO_DEL_EMISOR</t>
  </si>
  <si>
    <t>PASTRIMONIO_DEL_EMISOR</t>
  </si>
  <si>
    <t>DIFERENCIA</t>
  </si>
  <si>
    <t>Column1</t>
  </si>
  <si>
    <t>01</t>
  </si>
  <si>
    <t>BGC</t>
  </si>
  <si>
    <t>PEP01000C0J9</t>
  </si>
  <si>
    <t>1000</t>
  </si>
  <si>
    <t>RENTA FIJA</t>
  </si>
  <si>
    <t/>
  </si>
  <si>
    <t>011000112F42</t>
  </si>
  <si>
    <t>PEP01000C4L7</t>
  </si>
  <si>
    <t>011000313O24</t>
  </si>
  <si>
    <t>011000112G40</t>
  </si>
  <si>
    <t>PEP01000C5H2</t>
  </si>
  <si>
    <t>011000112G31</t>
  </si>
  <si>
    <t>PEP01000C4G7</t>
  </si>
  <si>
    <t>011000112G37</t>
  </si>
  <si>
    <t>PEP01000C2Z1</t>
  </si>
  <si>
    <t>SOBAGO2037</t>
  </si>
  <si>
    <t>011000112G34</t>
  </si>
  <si>
    <t>PEP01000C5G4</t>
  </si>
  <si>
    <t>011000112B29</t>
  </si>
  <si>
    <t>PEP01000C5F6</t>
  </si>
  <si>
    <t>PEP01000C5D1</t>
  </si>
  <si>
    <t>011000112G32</t>
  </si>
  <si>
    <t>PEP01000C5E9</t>
  </si>
  <si>
    <t>SB12AGO32</t>
  </si>
  <si>
    <t>08</t>
  </si>
  <si>
    <t>TEX</t>
  </si>
  <si>
    <t>084006C54248</t>
  </si>
  <si>
    <t>CL0002454248</t>
  </si>
  <si>
    <t>4006</t>
  </si>
  <si>
    <t>4003</t>
  </si>
  <si>
    <t>BRSTNCNTF1P8</t>
  </si>
  <si>
    <t>US105756CB40</t>
  </si>
  <si>
    <t>0840038TF1Q6</t>
  </si>
  <si>
    <t>BRSTNCNTF1Q6</t>
  </si>
  <si>
    <t>08400425BB02</t>
  </si>
  <si>
    <t>US195325BB02</t>
  </si>
  <si>
    <t>4004</t>
  </si>
  <si>
    <t>084005237039</t>
  </si>
  <si>
    <t>XS2280637039</t>
  </si>
  <si>
    <t>4005</t>
  </si>
  <si>
    <t>12</t>
  </si>
  <si>
    <t>GFAL</t>
  </si>
  <si>
    <t>5094</t>
  </si>
  <si>
    <t>1251272LAD57</t>
  </si>
  <si>
    <t>USP0607LAD57</t>
  </si>
  <si>
    <t>1251272LAC74</t>
  </si>
  <si>
    <t>1252802VAC49</t>
  </si>
  <si>
    <t>ISQ</t>
  </si>
  <si>
    <t>USP0R38AAA53</t>
  </si>
  <si>
    <t>USL67359AA48</t>
  </si>
  <si>
    <t>5833</t>
  </si>
  <si>
    <t>15</t>
  </si>
  <si>
    <t>OSX</t>
  </si>
  <si>
    <t>5119</t>
  </si>
  <si>
    <t>1551192KAA99</t>
  </si>
  <si>
    <t>USP1401KAA99</t>
  </si>
  <si>
    <t>15511928AE91</t>
  </si>
  <si>
    <t>USP14008AE91</t>
  </si>
  <si>
    <t>1551192KAB72</t>
  </si>
  <si>
    <t>USP1401KAB72</t>
  </si>
  <si>
    <t>BANORT 6 5/8  P</t>
  </si>
  <si>
    <t>15527829AM84</t>
  </si>
  <si>
    <t>USP16259AM84</t>
  </si>
  <si>
    <t>5278</t>
  </si>
  <si>
    <t>GBBV</t>
  </si>
  <si>
    <t>1551112LAL62</t>
  </si>
  <si>
    <t>5111</t>
  </si>
  <si>
    <t>18</t>
  </si>
  <si>
    <t>BNP</t>
  </si>
  <si>
    <t>182096345816</t>
  </si>
  <si>
    <t>XS0799645816</t>
  </si>
  <si>
    <t>IVPRB 6.45 06/3</t>
  </si>
  <si>
    <t>2096</t>
  </si>
  <si>
    <t>21</t>
  </si>
  <si>
    <t>BSF</t>
  </si>
  <si>
    <t>21015121901U</t>
  </si>
  <si>
    <t>GITC</t>
  </si>
  <si>
    <t>CCOR</t>
  </si>
  <si>
    <t>21003811902A</t>
  </si>
  <si>
    <t>PEP12100D292</t>
  </si>
  <si>
    <t>BIF3BS2A</t>
  </si>
  <si>
    <t>0038</t>
  </si>
  <si>
    <t>GFIE</t>
  </si>
  <si>
    <t>21001811601A</t>
  </si>
  <si>
    <t>PEP12030D010</t>
  </si>
  <si>
    <t>BN1BS1A</t>
  </si>
  <si>
    <t>0018</t>
  </si>
  <si>
    <t>21004211201A</t>
  </si>
  <si>
    <t>0042</t>
  </si>
  <si>
    <t>GBNS</t>
  </si>
  <si>
    <t>0086</t>
  </si>
  <si>
    <t>GFON</t>
  </si>
  <si>
    <t>0011</t>
  </si>
  <si>
    <t>USP13435AD71</t>
  </si>
  <si>
    <t>0003</t>
  </si>
  <si>
    <t>0048</t>
  </si>
  <si>
    <t>21000911501A</t>
  </si>
  <si>
    <t>0009</t>
  </si>
  <si>
    <t>22</t>
  </si>
  <si>
    <t>BEP</t>
  </si>
  <si>
    <t>22210611905U</t>
  </si>
  <si>
    <t>PEP70215M025</t>
  </si>
  <si>
    <t>22211027AA17</t>
  </si>
  <si>
    <t>USP84527AA17</t>
  </si>
  <si>
    <t>22211619AA48</t>
  </si>
  <si>
    <t>USP82169AA48</t>
  </si>
  <si>
    <t>RUTLI 2036</t>
  </si>
  <si>
    <t>2116</t>
  </si>
  <si>
    <t>USP3773QAA24</t>
  </si>
  <si>
    <t>GGRA</t>
  </si>
  <si>
    <t>22212211502U</t>
  </si>
  <si>
    <t>PEP74850M025</t>
  </si>
  <si>
    <t>22212311701A</t>
  </si>
  <si>
    <t>22212511603A</t>
  </si>
  <si>
    <t>PEP71320M030</t>
  </si>
  <si>
    <t>JPLAZ1BC3A</t>
  </si>
  <si>
    <t>2125</t>
  </si>
  <si>
    <t>GACU</t>
  </si>
  <si>
    <t>22212521501A</t>
  </si>
  <si>
    <t>PEP71320M014</t>
  </si>
  <si>
    <t>JPLAZ1BC1A</t>
  </si>
  <si>
    <t>22207130603A</t>
  </si>
  <si>
    <t>PEP72900M038</t>
  </si>
  <si>
    <t>22207130704A</t>
  </si>
  <si>
    <t>PEP72900M046</t>
  </si>
  <si>
    <t>22582511801A</t>
  </si>
  <si>
    <t>PEP73125M049</t>
  </si>
  <si>
    <t>PRIMX2BC1A</t>
  </si>
  <si>
    <t>5825</t>
  </si>
  <si>
    <t>22582811701A</t>
  </si>
  <si>
    <t>PEP73668M014</t>
  </si>
  <si>
    <t>HERME1BC1A</t>
  </si>
  <si>
    <t>5828</t>
  </si>
  <si>
    <t>22583521701U</t>
  </si>
  <si>
    <t>CVL14017HL12</t>
  </si>
  <si>
    <t>BCIR1P1ESA</t>
  </si>
  <si>
    <t>5835</t>
  </si>
  <si>
    <t>22583911801U</t>
  </si>
  <si>
    <t>CVL11000A018</t>
  </si>
  <si>
    <t>22584221801U</t>
  </si>
  <si>
    <t>CVL74200B016</t>
  </si>
  <si>
    <t>INTBC1A</t>
  </si>
  <si>
    <t>5842</t>
  </si>
  <si>
    <t>GITU</t>
  </si>
  <si>
    <t>22585911901A</t>
  </si>
  <si>
    <t>CVL71370PA16</t>
  </si>
  <si>
    <t>22586511901A</t>
  </si>
  <si>
    <t>CVL75840TB14</t>
  </si>
  <si>
    <t>TECSB1P1A</t>
  </si>
  <si>
    <t>5865</t>
  </si>
  <si>
    <t>2011</t>
  </si>
  <si>
    <t>GROM</t>
  </si>
  <si>
    <t>22201111502A</t>
  </si>
  <si>
    <t>PEP21400M064</t>
  </si>
  <si>
    <t>2220111KDW01</t>
  </si>
  <si>
    <t>USP0161KDW01</t>
  </si>
  <si>
    <t>2220082PAA95</t>
  </si>
  <si>
    <t>USP6680PAA95</t>
  </si>
  <si>
    <t>2008</t>
  </si>
  <si>
    <t>GBUE</t>
  </si>
  <si>
    <t>22205111901A</t>
  </si>
  <si>
    <t>PEP23950M017</t>
  </si>
  <si>
    <t>2051</t>
  </si>
  <si>
    <t>GHOC</t>
  </si>
  <si>
    <t>PEP23950M025</t>
  </si>
  <si>
    <t>2304</t>
  </si>
  <si>
    <t>GTEL</t>
  </si>
  <si>
    <t>22230411801A</t>
  </si>
  <si>
    <t>CVL70500T015</t>
  </si>
  <si>
    <t>TDP1PP1A</t>
  </si>
  <si>
    <t>2223041GAR67</t>
  </si>
  <si>
    <t>USP9T36GAR67</t>
  </si>
  <si>
    <t>TELEFO 7 3/8  4</t>
  </si>
  <si>
    <t>22230430719A</t>
  </si>
  <si>
    <t>PEP70500M335</t>
  </si>
  <si>
    <t>TELE4BC19A</t>
  </si>
  <si>
    <t>22230411715A</t>
  </si>
  <si>
    <t>PEP70500M764</t>
  </si>
  <si>
    <t>22230430819C</t>
  </si>
  <si>
    <t>PEP70500M459</t>
  </si>
  <si>
    <t>TELE4BC19C</t>
  </si>
  <si>
    <t>2030</t>
  </si>
  <si>
    <t>GENE</t>
  </si>
  <si>
    <t>2220472BAA19</t>
  </si>
  <si>
    <t>USP7372BAA19</t>
  </si>
  <si>
    <t>2047</t>
  </si>
  <si>
    <t>2061</t>
  </si>
  <si>
    <t>GENG</t>
  </si>
  <si>
    <t>22206111703A</t>
  </si>
  <si>
    <t>2220392TAB19</t>
  </si>
  <si>
    <t>USP6811TAB19</t>
  </si>
  <si>
    <t>MINSUR 4 1/2 10</t>
  </si>
  <si>
    <t>2039</t>
  </si>
  <si>
    <t>22204327AC08</t>
  </si>
  <si>
    <t>USP98047AC08</t>
  </si>
  <si>
    <t>2043</t>
  </si>
  <si>
    <t>GVOL</t>
  </si>
  <si>
    <t>23</t>
  </si>
  <si>
    <t>PCOM</t>
  </si>
  <si>
    <t>25</t>
  </si>
  <si>
    <t>OSF</t>
  </si>
  <si>
    <t>25010512202A</t>
  </si>
  <si>
    <t>25210511701U</t>
  </si>
  <si>
    <t>2105</t>
  </si>
  <si>
    <t>25210511604A</t>
  </si>
  <si>
    <t>PEP16880M023</t>
  </si>
  <si>
    <t>FMV1BC4A</t>
  </si>
  <si>
    <t>25210512006A</t>
  </si>
  <si>
    <t>PEP16880M056</t>
  </si>
  <si>
    <t>25210511905A</t>
  </si>
  <si>
    <t>PEP16880M049</t>
  </si>
  <si>
    <t>FMV1BC5A</t>
  </si>
  <si>
    <t>25517212A018</t>
  </si>
  <si>
    <t>CVL52632A018</t>
  </si>
  <si>
    <t>IFHBH 7 21/32 0</t>
  </si>
  <si>
    <t>5172</t>
  </si>
  <si>
    <t>25517212A026</t>
  </si>
  <si>
    <t>CVL52632A026</t>
  </si>
  <si>
    <t>INTSNO2029</t>
  </si>
  <si>
    <t>25008611209A</t>
  </si>
  <si>
    <t>25008612104A</t>
  </si>
  <si>
    <t>2500021V2B09</t>
  </si>
  <si>
    <t>0002</t>
  </si>
  <si>
    <t>USP5626FAA05</t>
  </si>
  <si>
    <t>0013</t>
  </si>
  <si>
    <t>25000310A109</t>
  </si>
  <si>
    <t>CVL14800A109</t>
  </si>
  <si>
    <t>IBKSNO2026</t>
  </si>
  <si>
    <t>27</t>
  </si>
  <si>
    <t>TCDC</t>
  </si>
  <si>
    <t>2721171IRSM1</t>
  </si>
  <si>
    <t>CVL800707107</t>
  </si>
  <si>
    <t>TITIRSM1</t>
  </si>
  <si>
    <t>2117</t>
  </si>
  <si>
    <t>27211723AD31</t>
  </si>
  <si>
    <t>USP56243AD31</t>
  </si>
  <si>
    <t>2721181IRC1U</t>
  </si>
  <si>
    <t>CVL80070P015</t>
  </si>
  <si>
    <t>INRT4.90</t>
  </si>
  <si>
    <t>2118</t>
  </si>
  <si>
    <t>27211826AB16</t>
  </si>
  <si>
    <t>USP56236AB16</t>
  </si>
  <si>
    <t>274325396355</t>
  </si>
  <si>
    <t>XS0511096355</t>
  </si>
  <si>
    <t>HUASCA 5.2  04/</t>
  </si>
  <si>
    <t>4325</t>
  </si>
  <si>
    <t>274325395894</t>
  </si>
  <si>
    <t>XS0511095894</t>
  </si>
  <si>
    <t>HUASCA 5.2 04/0</t>
  </si>
  <si>
    <t>274329357609</t>
  </si>
  <si>
    <t>XS0601857609</t>
  </si>
  <si>
    <t>2702021ADP1A</t>
  </si>
  <si>
    <t>CVL80050A019</t>
  </si>
  <si>
    <t>BTADP1EU</t>
  </si>
  <si>
    <t>0202</t>
  </si>
  <si>
    <t>2743032NAB38</t>
  </si>
  <si>
    <t>27430325AB80</t>
  </si>
  <si>
    <t>2702011INSC2</t>
  </si>
  <si>
    <t>CVL800703P16</t>
  </si>
  <si>
    <t>INNSCH2E1U</t>
  </si>
  <si>
    <t>0201</t>
  </si>
  <si>
    <t>2702011INS3U</t>
  </si>
  <si>
    <t>CVL800702P33</t>
  </si>
  <si>
    <t>COLPE1P3E</t>
  </si>
  <si>
    <t>2702011IS11A</t>
  </si>
  <si>
    <t>PEP80070F166</t>
  </si>
  <si>
    <t>SINT1TCP1A</t>
  </si>
  <si>
    <t>2702042CA11U</t>
  </si>
  <si>
    <t>CVL80200F308</t>
  </si>
  <si>
    <t>CA11U</t>
  </si>
  <si>
    <t>0204</t>
  </si>
  <si>
    <t>30</t>
  </si>
  <si>
    <t>ACC</t>
  </si>
  <si>
    <t>3021012171A1</t>
  </si>
  <si>
    <t>PAL1801171A1</t>
  </si>
  <si>
    <t>INRETC1</t>
  </si>
  <si>
    <t>2101</t>
  </si>
  <si>
    <t>RENTA VARIABLE</t>
  </si>
  <si>
    <t>302107100001</t>
  </si>
  <si>
    <t>PEP736001004</t>
  </si>
  <si>
    <t>ACC_SOL EFE</t>
  </si>
  <si>
    <t>2107</t>
  </si>
  <si>
    <t>GFER</t>
  </si>
  <si>
    <t>302011100001</t>
  </si>
  <si>
    <t>PEP214001005</t>
  </si>
  <si>
    <t>ACC_SOL ALI</t>
  </si>
  <si>
    <t>302048100001</t>
  </si>
  <si>
    <t>PEP608001108</t>
  </si>
  <si>
    <t>302008100002</t>
  </si>
  <si>
    <t>PEP612001003</t>
  </si>
  <si>
    <t>ACC_SOL</t>
  </si>
  <si>
    <t>302072200001</t>
  </si>
  <si>
    <t>PEP646501002</t>
  </si>
  <si>
    <t>CVERDEC1</t>
  </si>
  <si>
    <t>2072</t>
  </si>
  <si>
    <t>GFRE</t>
  </si>
  <si>
    <t>302002100001</t>
  </si>
  <si>
    <t>PEP761001002</t>
  </si>
  <si>
    <t>ACC_SOL CL</t>
  </si>
  <si>
    <t>2002</t>
  </si>
  <si>
    <t>GUNA</t>
  </si>
  <si>
    <t>300011100001</t>
  </si>
  <si>
    <t>PEP116001004</t>
  </si>
  <si>
    <t>ACC_SOL BCO</t>
  </si>
  <si>
    <t>302051100001</t>
  </si>
  <si>
    <t>PEP239501005</t>
  </si>
  <si>
    <t>ACC_SOL   CP</t>
  </si>
  <si>
    <t>302012200001</t>
  </si>
  <si>
    <t>BMG2519Y1084</t>
  </si>
  <si>
    <t>ACC_DOL BAP</t>
  </si>
  <si>
    <t>2012</t>
  </si>
  <si>
    <t>302032100002</t>
  </si>
  <si>
    <t>PEP700511004</t>
  </si>
  <si>
    <t>ACC_SOL EDEG</t>
  </si>
  <si>
    <t>2032</t>
  </si>
  <si>
    <t>302030100001</t>
  </si>
  <si>
    <t>PEP701011004</t>
  </si>
  <si>
    <t>ACC_SOL EDEL</t>
  </si>
  <si>
    <t>302061100001</t>
  </si>
  <si>
    <t>PEP702101002</t>
  </si>
  <si>
    <t>ACCNLB</t>
  </si>
  <si>
    <t>302029100001</t>
  </si>
  <si>
    <t>PEP736581005</t>
  </si>
  <si>
    <t>ACC_SOL GM</t>
  </si>
  <si>
    <t>2029</t>
  </si>
  <si>
    <t>GB00B1FW5029</t>
  </si>
  <si>
    <t>300013200002</t>
  </si>
  <si>
    <t>PAL2400671A3</t>
  </si>
  <si>
    <t>IFS US</t>
  </si>
  <si>
    <t>302845100002</t>
  </si>
  <si>
    <t>PEP620001003</t>
  </si>
  <si>
    <t>ACC_SOL MILP</t>
  </si>
  <si>
    <t>2845</t>
  </si>
  <si>
    <t>GMIL</t>
  </si>
  <si>
    <t>302043100002</t>
  </si>
  <si>
    <t>PEP648014202</t>
  </si>
  <si>
    <t>ACC_SOL VCM</t>
  </si>
  <si>
    <t>302043100001</t>
  </si>
  <si>
    <t>PEP648011109</t>
  </si>
  <si>
    <t>VOLCANC1A</t>
  </si>
  <si>
    <t>31</t>
  </si>
  <si>
    <t>ACT</t>
  </si>
  <si>
    <t>312025100001</t>
  </si>
  <si>
    <t>PEP294015008</t>
  </si>
  <si>
    <t>ACI_SOL ELCO</t>
  </si>
  <si>
    <t>2025</t>
  </si>
  <si>
    <t>GCOM</t>
  </si>
  <si>
    <t>312039100001</t>
  </si>
  <si>
    <t>PEP622005002</t>
  </si>
  <si>
    <t>ACI_SOL MIN</t>
  </si>
  <si>
    <t>32</t>
  </si>
  <si>
    <t>ADR</t>
  </si>
  <si>
    <t>3221282L1089</t>
  </si>
  <si>
    <t>ADR FOSSAL</t>
  </si>
  <si>
    <t>2128</t>
  </si>
  <si>
    <t>3220082A1040</t>
  </si>
  <si>
    <t>US2044481040</t>
  </si>
  <si>
    <t>ADR_DOL BVN</t>
  </si>
  <si>
    <t>3220512Q1094</t>
  </si>
  <si>
    <t>US15126Q2084</t>
  </si>
  <si>
    <t>CPAC</t>
  </si>
  <si>
    <t>34</t>
  </si>
  <si>
    <t>ACX</t>
  </si>
  <si>
    <t>3458857M1032</t>
  </si>
  <si>
    <t>CA00461M1032</t>
  </si>
  <si>
    <t>ARA CN</t>
  </si>
  <si>
    <t>5885</t>
  </si>
  <si>
    <t>39</t>
  </si>
  <si>
    <t>AEX</t>
  </si>
  <si>
    <t>395833228291</t>
  </si>
  <si>
    <t>LU1701428291</t>
  </si>
  <si>
    <t>NEXA</t>
  </si>
  <si>
    <t>43</t>
  </si>
  <si>
    <t>GDN</t>
  </si>
  <si>
    <t>USP78024AC31</t>
  </si>
  <si>
    <t>US715638AY86</t>
  </si>
  <si>
    <t>431000112G31</t>
  </si>
  <si>
    <t>US715638BE14</t>
  </si>
  <si>
    <t>SOBAGO31 GDN</t>
  </si>
  <si>
    <t>431000112B29</t>
  </si>
  <si>
    <t>USP78024AE96</t>
  </si>
  <si>
    <t>48</t>
  </si>
  <si>
    <t>FMAELL</t>
  </si>
  <si>
    <t>4871412CLPEF</t>
  </si>
  <si>
    <t>7141</t>
  </si>
  <si>
    <t>49</t>
  </si>
  <si>
    <t>FIT</t>
  </si>
  <si>
    <t>4911141MIND1</t>
  </si>
  <si>
    <t>CVL79560FI39</t>
  </si>
  <si>
    <t>1114</t>
  </si>
  <si>
    <t>4974252SCBDC</t>
  </si>
  <si>
    <t>CVL79590GA30</t>
  </si>
  <si>
    <t>7425</t>
  </si>
  <si>
    <t>491105206SI1</t>
  </si>
  <si>
    <t>CVL795509FD6</t>
  </si>
  <si>
    <t>1105</t>
  </si>
  <si>
    <t>51</t>
  </si>
  <si>
    <t>FIV</t>
  </si>
  <si>
    <t>5111142FFOR1</t>
  </si>
  <si>
    <t>CVL79560FI05</t>
  </si>
  <si>
    <t>5111141KFIIP</t>
  </si>
  <si>
    <t>CVL795602F20</t>
  </si>
  <si>
    <t>5111181FDVI1</t>
  </si>
  <si>
    <t>CVL225501V53</t>
  </si>
  <si>
    <t>1118</t>
  </si>
  <si>
    <t>5111302INFAM</t>
  </si>
  <si>
    <t>CVL79610C019</t>
  </si>
  <si>
    <t>1130</t>
  </si>
  <si>
    <t>5111042INF2A</t>
  </si>
  <si>
    <t>CVL79410FH16</t>
  </si>
  <si>
    <t>1104</t>
  </si>
  <si>
    <t>5111042FINM2</t>
  </si>
  <si>
    <t>CVL79410FI80</t>
  </si>
  <si>
    <t>5111042INF1U</t>
  </si>
  <si>
    <t>CVL79410FI15</t>
  </si>
  <si>
    <t>5111022FINR2</t>
  </si>
  <si>
    <t>CVL790409F59</t>
  </si>
  <si>
    <t>5111011CCINM</t>
  </si>
  <si>
    <t>CVL790801F46</t>
  </si>
  <si>
    <t>1101</t>
  </si>
  <si>
    <t>5111072DES1B</t>
  </si>
  <si>
    <t>CVL79010FI43</t>
  </si>
  <si>
    <t>1107</t>
  </si>
  <si>
    <t>5111072DES2B</t>
  </si>
  <si>
    <t>CVL79010FO29</t>
  </si>
  <si>
    <t>5111152FCRET</t>
  </si>
  <si>
    <t>CVL793501F27</t>
  </si>
  <si>
    <t>1115</t>
  </si>
  <si>
    <t>1110</t>
  </si>
  <si>
    <t>5111102FIBR2</t>
  </si>
  <si>
    <t>CVL79033FI61</t>
  </si>
  <si>
    <t>5111102FIBR3</t>
  </si>
  <si>
    <t>CVL79033FI87</t>
  </si>
  <si>
    <t>5111052INFS1</t>
  </si>
  <si>
    <t>CVL79550FD69</t>
  </si>
  <si>
    <t>52</t>
  </si>
  <si>
    <t>FMX</t>
  </si>
  <si>
    <t>5270492F8979</t>
  </si>
  <si>
    <t>LU1305089796</t>
  </si>
  <si>
    <t>7049</t>
  </si>
  <si>
    <t>5270492F3972</t>
  </si>
  <si>
    <t>LU0926439729</t>
  </si>
  <si>
    <t>5270512FGKM4</t>
  </si>
  <si>
    <t>IE00BKZGKM40</t>
  </si>
  <si>
    <t>7051</t>
  </si>
  <si>
    <t>5270512FWZK5</t>
  </si>
  <si>
    <t>IE00BYXWZK58</t>
  </si>
  <si>
    <t>5270942F9527</t>
  </si>
  <si>
    <t>IE0003895277</t>
  </si>
  <si>
    <t>7094</t>
  </si>
  <si>
    <t>5270942FY6L5</t>
  </si>
  <si>
    <t>IE00B0JY6L58</t>
  </si>
  <si>
    <t>5271112E8851</t>
  </si>
  <si>
    <t>US4642888519</t>
  </si>
  <si>
    <t>7111</t>
  </si>
  <si>
    <t>5271112E6400</t>
  </si>
  <si>
    <t>US4642864007</t>
  </si>
  <si>
    <t>5271112EG103</t>
  </si>
  <si>
    <t>US46434G1031</t>
  </si>
  <si>
    <t>5271112EB671</t>
  </si>
  <si>
    <t>US46429B6719</t>
  </si>
  <si>
    <t>5271112EC608</t>
  </si>
  <si>
    <t>US09290C6084</t>
  </si>
  <si>
    <t>5271112E8281</t>
  </si>
  <si>
    <t>US4642882819</t>
  </si>
  <si>
    <t>5271112E8513</t>
  </si>
  <si>
    <t>US4642885135</t>
  </si>
  <si>
    <t>5271112E7234</t>
  </si>
  <si>
    <t>US4642872349</t>
  </si>
  <si>
    <t>5271112E7200</t>
  </si>
  <si>
    <t>US4642872000</t>
  </si>
  <si>
    <t>5271112E7184</t>
  </si>
  <si>
    <t>US4642871846</t>
  </si>
  <si>
    <t>5271112E8182</t>
  </si>
  <si>
    <t>US4642881829</t>
  </si>
  <si>
    <t>5273792E1879</t>
  </si>
  <si>
    <t>US2330518794</t>
  </si>
  <si>
    <t>5273874F4273</t>
  </si>
  <si>
    <t>LU1353442731</t>
  </si>
  <si>
    <t>7387</t>
  </si>
  <si>
    <t>5273882F7240</t>
  </si>
  <si>
    <t>LU0440072402</t>
  </si>
  <si>
    <t>7388</t>
  </si>
  <si>
    <t>5273882F4892</t>
  </si>
  <si>
    <t>LU0398248921</t>
  </si>
  <si>
    <t>5273932EX509</t>
  </si>
  <si>
    <t>US78463X5095</t>
  </si>
  <si>
    <t>5273976E9477</t>
  </si>
  <si>
    <t>LU0846194776</t>
  </si>
  <si>
    <t>5274042EE302</t>
  </si>
  <si>
    <t>US33733E3027</t>
  </si>
  <si>
    <t>5274084F6545</t>
  </si>
  <si>
    <t>LU1240965456</t>
  </si>
  <si>
    <t>7408</t>
  </si>
  <si>
    <t>5274095F6533</t>
  </si>
  <si>
    <t>LU1259265335</t>
  </si>
  <si>
    <t>7409</t>
  </si>
  <si>
    <t>5274104F8932</t>
  </si>
  <si>
    <t>FR0010589325</t>
  </si>
  <si>
    <t>7410</t>
  </si>
  <si>
    <t>5274122F6097</t>
  </si>
  <si>
    <t>IE0002460974</t>
  </si>
  <si>
    <t>7412</t>
  </si>
  <si>
    <t>5274122FK0P9</t>
  </si>
  <si>
    <t>IE00B29K0P99</t>
  </si>
  <si>
    <t>5274186F1948</t>
  </si>
  <si>
    <t>GB00B0119487</t>
  </si>
  <si>
    <t>7418</t>
  </si>
  <si>
    <t>5274244F1260</t>
  </si>
  <si>
    <t>LU1136112601</t>
  </si>
  <si>
    <t>7424</t>
  </si>
  <si>
    <t>5274302F65N6</t>
  </si>
  <si>
    <t>IE00BD065N65</t>
  </si>
  <si>
    <t>7430</t>
  </si>
  <si>
    <t>5274472F3543</t>
  </si>
  <si>
    <t>LU1200235437</t>
  </si>
  <si>
    <t>7447</t>
  </si>
  <si>
    <t>5274492F8555</t>
  </si>
  <si>
    <t>FR0013185550</t>
  </si>
  <si>
    <t>7449</t>
  </si>
  <si>
    <t>5274494F1144</t>
  </si>
  <si>
    <t>FR0013311446</t>
  </si>
  <si>
    <t>5274822F3551</t>
  </si>
  <si>
    <t>CL0002535517</t>
  </si>
  <si>
    <t>7482</t>
  </si>
  <si>
    <t>5274822F3552</t>
  </si>
  <si>
    <t>CL0002535525</t>
  </si>
  <si>
    <t>5275114F0215</t>
  </si>
  <si>
    <t>LU1163202150</t>
  </si>
  <si>
    <t>7511</t>
  </si>
  <si>
    <t>5275122EE800</t>
  </si>
  <si>
    <t>US46138E8003</t>
  </si>
  <si>
    <t>5275522EX192</t>
  </si>
  <si>
    <t>US33734X1928</t>
  </si>
  <si>
    <t>5275552EQ217</t>
  </si>
  <si>
    <t>US46641Q2176</t>
  </si>
  <si>
    <t>GJPM</t>
  </si>
  <si>
    <t>5270472F4576</t>
  </si>
  <si>
    <t>LU1997245763</t>
  </si>
  <si>
    <t>7047</t>
  </si>
  <si>
    <t>5270474F8219</t>
  </si>
  <si>
    <t>LU0852482198</t>
  </si>
  <si>
    <t>5260002EE103</t>
  </si>
  <si>
    <t>US46090E1038</t>
  </si>
  <si>
    <t>5270242F3827</t>
  </si>
  <si>
    <t>US2332038270</t>
  </si>
  <si>
    <t>7024</t>
  </si>
  <si>
    <t>5270465F0075</t>
  </si>
  <si>
    <t>LU0102000758</t>
  </si>
  <si>
    <t>7046</t>
  </si>
  <si>
    <t>5270272F0606</t>
  </si>
  <si>
    <t>LU0622306065</t>
  </si>
  <si>
    <t>7027</t>
  </si>
  <si>
    <t>5270132F4904</t>
  </si>
  <si>
    <t>LU0129464904</t>
  </si>
  <si>
    <t>7013</t>
  </si>
  <si>
    <t>5270802F0077</t>
  </si>
  <si>
    <t>LU1164800770</t>
  </si>
  <si>
    <t>7080</t>
  </si>
  <si>
    <t>5270192F5998</t>
  </si>
  <si>
    <t>LU0106259988</t>
  </si>
  <si>
    <t>7019</t>
  </si>
  <si>
    <t>5260012E5069</t>
  </si>
  <si>
    <t>US81369Y5069</t>
  </si>
  <si>
    <t>6001</t>
  </si>
  <si>
    <t>5260012E1030</t>
  </si>
  <si>
    <t>US78462F1030</t>
  </si>
  <si>
    <t>5260012ER556</t>
  </si>
  <si>
    <t>US78468R5569</t>
  </si>
  <si>
    <t>5270082F8671</t>
  </si>
  <si>
    <t>LU1951186714</t>
  </si>
  <si>
    <t>7008</t>
  </si>
  <si>
    <t>5270652EF494</t>
  </si>
  <si>
    <t>US92189H3003</t>
  </si>
  <si>
    <t>5270172E8413</t>
  </si>
  <si>
    <t>US9229083632</t>
  </si>
  <si>
    <t>53</t>
  </si>
  <si>
    <t>FIAX</t>
  </si>
  <si>
    <t>5358472ASF8G</t>
  </si>
  <si>
    <t>5847</t>
  </si>
  <si>
    <t>5370862TRGL1</t>
  </si>
  <si>
    <t>PRIVATE1</t>
  </si>
  <si>
    <t>PRIVFAATRGL1</t>
  </si>
  <si>
    <t>7086</t>
  </si>
  <si>
    <t>5370904PGD09</t>
  </si>
  <si>
    <t>PARTNERS1</t>
  </si>
  <si>
    <t>PRIVFADPGD09</t>
  </si>
  <si>
    <t>7090</t>
  </si>
  <si>
    <t>5371072PBCR2</t>
  </si>
  <si>
    <t>PINEBRIDGE</t>
  </si>
  <si>
    <t>5371242PAVIL</t>
  </si>
  <si>
    <t>PANTHEON</t>
  </si>
  <si>
    <t>7124</t>
  </si>
  <si>
    <t>5371262AGPII</t>
  </si>
  <si>
    <t>ARCFUNDII</t>
  </si>
  <si>
    <t>PRIVFAEAGPII</t>
  </si>
  <si>
    <t>7126</t>
  </si>
  <si>
    <t>5371332COL6A</t>
  </si>
  <si>
    <t>COLLER</t>
  </si>
  <si>
    <t>PRIVFAECOL6A</t>
  </si>
  <si>
    <t>7133</t>
  </si>
  <si>
    <t>5371362PGS11</t>
  </si>
  <si>
    <t>7136</t>
  </si>
  <si>
    <t>5371484A8AFE</t>
  </si>
  <si>
    <t>APAX VIII</t>
  </si>
  <si>
    <t>PRIVFAEA8AFE</t>
  </si>
  <si>
    <t>7148</t>
  </si>
  <si>
    <t>5372842LCP8F</t>
  </si>
  <si>
    <t>LEXCAPVIIIA</t>
  </si>
  <si>
    <t>7284</t>
  </si>
  <si>
    <t>5373382ACOA3</t>
  </si>
  <si>
    <t>APOLLO</t>
  </si>
  <si>
    <t>PRIVFAEACOA3</t>
  </si>
  <si>
    <t>7338</t>
  </si>
  <si>
    <t>5373542PGS15</t>
  </si>
  <si>
    <t>PGS15</t>
  </si>
  <si>
    <t>7354</t>
  </si>
  <si>
    <t>5373592OPF6F</t>
  </si>
  <si>
    <t>OPF6F</t>
  </si>
  <si>
    <t>OAKPVILP</t>
  </si>
  <si>
    <t>7359</t>
  </si>
  <si>
    <t>5373852ASSIV</t>
  </si>
  <si>
    <t>7385</t>
  </si>
  <si>
    <t>5373892AESS3</t>
  </si>
  <si>
    <t>AESS3</t>
  </si>
  <si>
    <t>AECPIII</t>
  </si>
  <si>
    <t>7389</t>
  </si>
  <si>
    <t>5373962COL7F</t>
  </si>
  <si>
    <t>COL7F</t>
  </si>
  <si>
    <t>7396</t>
  </si>
  <si>
    <t>5374062AIXFE</t>
  </si>
  <si>
    <t>7406</t>
  </si>
  <si>
    <t>5374112KKR12</t>
  </si>
  <si>
    <t>7411</t>
  </si>
  <si>
    <t>5374192HCI4A</t>
  </si>
  <si>
    <t>7419</t>
  </si>
  <si>
    <t>5374204CVC7A</t>
  </si>
  <si>
    <t>7420</t>
  </si>
  <si>
    <t>5374272CRF8B</t>
  </si>
  <si>
    <t>7427</t>
  </si>
  <si>
    <t>5374342CPVII</t>
  </si>
  <si>
    <t>7434</t>
  </si>
  <si>
    <t>5374404P7SCS</t>
  </si>
  <si>
    <t>7440</t>
  </si>
  <si>
    <t>5374414P7SLP</t>
  </si>
  <si>
    <t>7441</t>
  </si>
  <si>
    <t>5374434CEPVF</t>
  </si>
  <si>
    <t>7443</t>
  </si>
  <si>
    <t>5374482LCPIX</t>
  </si>
  <si>
    <t>LCPIX</t>
  </si>
  <si>
    <t>7448</t>
  </si>
  <si>
    <t>5374552HFCP9</t>
  </si>
  <si>
    <t>7455</t>
  </si>
  <si>
    <t>HELF</t>
  </si>
  <si>
    <t>5374632COL8F</t>
  </si>
  <si>
    <t>7463</t>
  </si>
  <si>
    <t>5374652VEP7A</t>
  </si>
  <si>
    <t>7465</t>
  </si>
  <si>
    <t>5374782A10FE</t>
  </si>
  <si>
    <t>7478</t>
  </si>
  <si>
    <t>5374792GIP4F</t>
  </si>
  <si>
    <t>7479</t>
  </si>
  <si>
    <t>5374842BREVI</t>
  </si>
  <si>
    <t>7484</t>
  </si>
  <si>
    <t>5374872ASFCC</t>
  </si>
  <si>
    <t>7487</t>
  </si>
  <si>
    <t>5311082FIEAM</t>
  </si>
  <si>
    <t>CVL79033FI20</t>
  </si>
  <si>
    <t>1108</t>
  </si>
  <si>
    <t>54</t>
  </si>
  <si>
    <t>5460042E8427</t>
  </si>
  <si>
    <t>US4642898427</t>
  </si>
  <si>
    <t>59</t>
  </si>
  <si>
    <t>TDEMEX</t>
  </si>
  <si>
    <t>59509428AQ26</t>
  </si>
  <si>
    <t>US279158AQ26</t>
  </si>
  <si>
    <t>ECOPET 51</t>
  </si>
  <si>
    <t>595132FRAZ03</t>
  </si>
  <si>
    <t>USP9379RAZ03</t>
  </si>
  <si>
    <t>EEPPME8 3/8 11/</t>
  </si>
  <si>
    <t>5132</t>
  </si>
  <si>
    <t>5951322RBC09</t>
  </si>
  <si>
    <t>60</t>
  </si>
  <si>
    <t>DPZ</t>
  </si>
  <si>
    <t>DPZNSOL360</t>
  </si>
  <si>
    <t>63</t>
  </si>
  <si>
    <t>CDLP</t>
  </si>
  <si>
    <t>0103</t>
  </si>
  <si>
    <t>GGSA</t>
  </si>
  <si>
    <t>6B</t>
  </si>
  <si>
    <t>DPZ6B</t>
  </si>
  <si>
    <t>DONDOL360DTV</t>
  </si>
  <si>
    <t>PEP74190M042</t>
  </si>
  <si>
    <t>CL0002172501</t>
  </si>
  <si>
    <t>COL17CT03342</t>
  </si>
  <si>
    <t>COL17CT03490</t>
  </si>
  <si>
    <t>USP3984LAA81</t>
  </si>
  <si>
    <t>1252172VAJ44</t>
  </si>
  <si>
    <t>US84265VAJ44</t>
  </si>
  <si>
    <t>1252172VAE56</t>
  </si>
  <si>
    <t>US84265VAE56</t>
  </si>
  <si>
    <t>US84265VAG05</t>
  </si>
  <si>
    <t>USG42045AC15</t>
  </si>
  <si>
    <t>2009</t>
  </si>
  <si>
    <t>GSEM</t>
  </si>
  <si>
    <t>5271112EG764</t>
  </si>
  <si>
    <t>US46434G7640</t>
  </si>
  <si>
    <t>5273932EY852</t>
  </si>
  <si>
    <t>US81369Y8527</t>
  </si>
  <si>
    <t>5274122FXQQ0</t>
  </si>
  <si>
    <t>IE00BGSXQQ02</t>
  </si>
  <si>
    <t>5270652EF106</t>
  </si>
  <si>
    <t>US92189F1066</t>
  </si>
  <si>
    <t>US279158AE95</t>
  </si>
  <si>
    <t>011000112G33</t>
  </si>
  <si>
    <t>PEP01000C5I0</t>
  </si>
  <si>
    <t>011000112F55</t>
  </si>
  <si>
    <t>PEP01000C4S2</t>
  </si>
  <si>
    <t>084006C39505</t>
  </si>
  <si>
    <t>CL0002839505</t>
  </si>
  <si>
    <t>084009BLWAG2</t>
  </si>
  <si>
    <t>AU000XCLWAG2</t>
  </si>
  <si>
    <t>084009B97495</t>
  </si>
  <si>
    <t>AU0000097495</t>
  </si>
  <si>
    <t>085905521PA1</t>
  </si>
  <si>
    <t>JP1103721PA1</t>
  </si>
  <si>
    <t>0840038TF204</t>
  </si>
  <si>
    <t>BRSTNCNTF204</t>
  </si>
  <si>
    <t>0840038TF212</t>
  </si>
  <si>
    <t>BRSTNCNTF212</t>
  </si>
  <si>
    <t>084004F03813</t>
  </si>
  <si>
    <t>COL17CT03813</t>
  </si>
  <si>
    <t>08400425EM30</t>
  </si>
  <si>
    <t>US195325EM30</t>
  </si>
  <si>
    <t>08400425EL56</t>
  </si>
  <si>
    <t>US195325EL56</t>
  </si>
  <si>
    <t>084004F03862</t>
  </si>
  <si>
    <t>COL17CT03862</t>
  </si>
  <si>
    <t>08400425CU73</t>
  </si>
  <si>
    <t>US195325CU73</t>
  </si>
  <si>
    <t>0840059001D6</t>
  </si>
  <si>
    <t>MX0MGO0001D6</t>
  </si>
  <si>
    <t>0840059000R8</t>
  </si>
  <si>
    <t>MX0MGO0000R8</t>
  </si>
  <si>
    <t>0840059001E4</t>
  </si>
  <si>
    <t>MX0MGO0001E4</t>
  </si>
  <si>
    <t>08400020TT51</t>
  </si>
  <si>
    <t>US912810TT51</t>
  </si>
  <si>
    <t>08400020TP30</t>
  </si>
  <si>
    <t>US912810TP30</t>
  </si>
  <si>
    <t>0840002CHP95</t>
  </si>
  <si>
    <t>US91282CHP95</t>
  </si>
  <si>
    <t>1551192MAB48</t>
  </si>
  <si>
    <t>USP1400MAB48</t>
  </si>
  <si>
    <t>15527829AN67</t>
  </si>
  <si>
    <t>USP16259AN67</t>
  </si>
  <si>
    <t>1552782BAA64</t>
  </si>
  <si>
    <t>USP1S81BAA64</t>
  </si>
  <si>
    <t>1551112LAK89</t>
  </si>
  <si>
    <t>US05968LAK89</t>
  </si>
  <si>
    <t>2100022V2D64</t>
  </si>
  <si>
    <t>US05971V2D64</t>
  </si>
  <si>
    <t>2258402PAC79</t>
  </si>
  <si>
    <t>225917115156</t>
  </si>
  <si>
    <t>XS2693815156</t>
  </si>
  <si>
    <t>23008612302A</t>
  </si>
  <si>
    <t>23200912302A</t>
  </si>
  <si>
    <t>23200912302C</t>
  </si>
  <si>
    <t>23200912303A</t>
  </si>
  <si>
    <t>23200912303B</t>
  </si>
  <si>
    <t>402029100003</t>
  </si>
  <si>
    <t>431000112G33</t>
  </si>
  <si>
    <t>US715638DZ25</t>
  </si>
  <si>
    <t>50</t>
  </si>
  <si>
    <t>FM</t>
  </si>
  <si>
    <t>5076822E0800</t>
  </si>
  <si>
    <t>PEP798008004</t>
  </si>
  <si>
    <t>7682</t>
  </si>
  <si>
    <t>5271112E6822</t>
  </si>
  <si>
    <t>US4642868222</t>
  </si>
  <si>
    <t>5271112E6608</t>
  </si>
  <si>
    <t>US4642866085</t>
  </si>
  <si>
    <t>5271112E7655</t>
  </si>
  <si>
    <t>US4642876555</t>
  </si>
  <si>
    <t>5271112E9131</t>
  </si>
  <si>
    <t>US4642891315</t>
  </si>
  <si>
    <t>5271112E6772</t>
  </si>
  <si>
    <t>US4642867729</t>
  </si>
  <si>
    <t>5271112E7242</t>
  </si>
  <si>
    <t>US4642872422</t>
  </si>
  <si>
    <t>5271112E7440</t>
  </si>
  <si>
    <t>US4642874402</t>
  </si>
  <si>
    <t>5271112E7432</t>
  </si>
  <si>
    <t>US4642874329</t>
  </si>
  <si>
    <t>5274722E7306</t>
  </si>
  <si>
    <t>US5007673065</t>
  </si>
  <si>
    <t>5275152F0769</t>
  </si>
  <si>
    <t>LU1713307699</t>
  </si>
  <si>
    <t>5277192F9LZQ</t>
  </si>
  <si>
    <t>5270012F2664</t>
  </si>
  <si>
    <t>LU0823426647</t>
  </si>
  <si>
    <t>7001</t>
  </si>
  <si>
    <t>5270172FWXN8</t>
  </si>
  <si>
    <t>IE00BKLWXN81</t>
  </si>
  <si>
    <t>5270172FWXM7</t>
  </si>
  <si>
    <t>IE00BKLWXM74</t>
  </si>
  <si>
    <t>59509428AJ82</t>
  </si>
  <si>
    <t>US279158AJ82</t>
  </si>
  <si>
    <t>59509428AS81</t>
  </si>
  <si>
    <t>US279158AS81</t>
  </si>
  <si>
    <t>595132FRAV98</t>
  </si>
  <si>
    <t>5951322RBA43</t>
  </si>
  <si>
    <t>6000022AJ346</t>
  </si>
  <si>
    <t>6000022AJ356</t>
  </si>
  <si>
    <t>6000022AJ357</t>
  </si>
  <si>
    <t>6000022AJ345</t>
  </si>
  <si>
    <t>6001031AJ347</t>
  </si>
  <si>
    <t>6000031AJ350</t>
  </si>
  <si>
    <t>6000111AG188</t>
  </si>
  <si>
    <t>6000091AG262</t>
  </si>
  <si>
    <t>6000031AG259</t>
  </si>
  <si>
    <t>6000091AG316</t>
  </si>
  <si>
    <t>6000031AG315</t>
  </si>
  <si>
    <t>6000031AG406</t>
  </si>
  <si>
    <t>6000381AJ275</t>
  </si>
  <si>
    <t>6000021AJ344</t>
  </si>
  <si>
    <t>6000481AJ137</t>
  </si>
  <si>
    <t>6000091AJ182</t>
  </si>
  <si>
    <t>6000481AJ179</t>
  </si>
  <si>
    <t>6000481AJ200</t>
  </si>
  <si>
    <t>6000031AJ199</t>
  </si>
  <si>
    <t>6000091AJ201</t>
  </si>
  <si>
    <t>6000031AI982</t>
  </si>
  <si>
    <t>6000111AI981</t>
  </si>
  <si>
    <t>6000481AJ052</t>
  </si>
  <si>
    <t>6000031AJ047</t>
  </si>
  <si>
    <t>6000091AJ089</t>
  </si>
  <si>
    <t>6000031AJ141</t>
  </si>
  <si>
    <t>6000111AI730</t>
  </si>
  <si>
    <t>6058361AI729</t>
  </si>
  <si>
    <t>6000091AI943</t>
  </si>
  <si>
    <t>6000111AI941</t>
  </si>
  <si>
    <t>6000221AI984</t>
  </si>
  <si>
    <t>6000481AI983</t>
  </si>
  <si>
    <t>6001031AI128</t>
  </si>
  <si>
    <t>6001031AI409</t>
  </si>
  <si>
    <t>6000481AI408</t>
  </si>
  <si>
    <t>6001031AI733</t>
  </si>
  <si>
    <t>6000481AI732</t>
  </si>
  <si>
    <t>6000031AI731</t>
  </si>
  <si>
    <t>6000111AG819</t>
  </si>
  <si>
    <t>6000111AH111</t>
  </si>
  <si>
    <t>6000111AH545</t>
  </si>
  <si>
    <t>6000111AH715</t>
  </si>
  <si>
    <t>6000111AH860</t>
  </si>
  <si>
    <t>6000111AH885</t>
  </si>
  <si>
    <t>6000091AG405</t>
  </si>
  <si>
    <t>6000091AG441</t>
  </si>
  <si>
    <t>6000091AG515</t>
  </si>
  <si>
    <t>6000091AG603</t>
  </si>
  <si>
    <t>6000111AG742</t>
  </si>
  <si>
    <t>6000111AG739</t>
  </si>
  <si>
    <t>6000381AJ358</t>
  </si>
  <si>
    <t>6000031AJ361</t>
  </si>
  <si>
    <t>6000031AJ360</t>
  </si>
  <si>
    <t>6000031AJ359</t>
  </si>
  <si>
    <t>6001031AJ349</t>
  </si>
  <si>
    <t>6000031AJ352</t>
  </si>
  <si>
    <t>6001031AJ348</t>
  </si>
  <si>
    <t>6000031AJ351</t>
  </si>
  <si>
    <t>63010312302G</t>
  </si>
  <si>
    <t>63010512301A</t>
  </si>
  <si>
    <t>6301051OH253</t>
  </si>
  <si>
    <t>6301051OH246</t>
  </si>
  <si>
    <t>6301051OH238</t>
  </si>
  <si>
    <t>63003812303D</t>
  </si>
  <si>
    <t>63003812303C</t>
  </si>
  <si>
    <t>63004812302H</t>
  </si>
  <si>
    <t>63004812302F</t>
  </si>
  <si>
    <t>6B58502AJ353</t>
  </si>
  <si>
    <t>6B58504AJ355</t>
  </si>
  <si>
    <t>6B58502AJ354</t>
  </si>
  <si>
    <t>6B58504AJ362</t>
  </si>
  <si>
    <t>6B57632AJ363</t>
  </si>
  <si>
    <t>Patrimonio</t>
  </si>
  <si>
    <t>Fechas</t>
  </si>
  <si>
    <t>Mes</t>
  </si>
  <si>
    <t>Año</t>
  </si>
  <si>
    <t>Nombre</t>
  </si>
  <si>
    <t>Client_ID</t>
  </si>
  <si>
    <t>client1</t>
  </si>
  <si>
    <t>client2</t>
  </si>
  <si>
    <t>Valor</t>
  </si>
  <si>
    <t>País</t>
  </si>
  <si>
    <t>Sector</t>
  </si>
  <si>
    <t>EVIC</t>
  </si>
  <si>
    <t>CO2</t>
  </si>
  <si>
    <t>CO2/EVIC</t>
  </si>
  <si>
    <t>ESG</t>
  </si>
  <si>
    <t>Controversia</t>
  </si>
  <si>
    <t>Co2/Sales</t>
  </si>
  <si>
    <t>Gov_pctl</t>
  </si>
  <si>
    <t>Rating</t>
  </si>
  <si>
    <t>CAT</t>
  </si>
  <si>
    <t>DFA US Large Cap Value Portfolio;Institutional</t>
  </si>
  <si>
    <t>FONDOS MUTUOS DEL EXTRANJERO</t>
  </si>
  <si>
    <t>United States of America</t>
  </si>
  <si>
    <t>Equity US</t>
  </si>
  <si>
    <t>ETF_ETY</t>
  </si>
  <si>
    <t>No</t>
  </si>
  <si>
    <t>US</t>
  </si>
  <si>
    <t>RV_EQT</t>
  </si>
  <si>
    <t>BBB</t>
  </si>
  <si>
    <t>DFA US Small Cap Value Portfolio;Institutional</t>
  </si>
  <si>
    <t>US2332038197</t>
  </si>
  <si>
    <t>5270242F3819</t>
  </si>
  <si>
    <t>Equity US Sm&amp;Mid Cap</t>
  </si>
  <si>
    <t>BlackRock Global Allocation Fund;Institutional</t>
  </si>
  <si>
    <t>US09251T5092</t>
  </si>
  <si>
    <t>5271282GALLO</t>
  </si>
  <si>
    <t>Global</t>
  </si>
  <si>
    <t>Mixed Asset USD Flex - Global</t>
  </si>
  <si>
    <t>AA</t>
  </si>
  <si>
    <t>DFA US Small Cap Portfolio;Institutional</t>
  </si>
  <si>
    <t>US2332038437</t>
  </si>
  <si>
    <t>5270242USMALL</t>
  </si>
  <si>
    <t>iShares MSCI United Kingdom ETF</t>
  </si>
  <si>
    <t>US46435G3341</t>
  </si>
  <si>
    <t>5271112E6699</t>
  </si>
  <si>
    <t>United Kingdom</t>
  </si>
  <si>
    <t>Equity UK</t>
  </si>
  <si>
    <t>Construction Materials</t>
  </si>
  <si>
    <t>iShares MSCI Hong Kong ETF</t>
  </si>
  <si>
    <t>US4642868719</t>
  </si>
  <si>
    <t>5271112E6871</t>
  </si>
  <si>
    <t>Hong Kong</t>
  </si>
  <si>
    <t>Equity Hong Kong</t>
  </si>
  <si>
    <t>iShares MSCI Italy ETF</t>
  </si>
  <si>
    <t>US46434G8309</t>
  </si>
  <si>
    <t>5271112E6855</t>
  </si>
  <si>
    <t>Italy</t>
  </si>
  <si>
    <t>Equity Italy</t>
  </si>
  <si>
    <t>iShares MSCI Malaysia ETF</t>
  </si>
  <si>
    <t>US46434G8143</t>
  </si>
  <si>
    <t>5271112MALAS</t>
  </si>
  <si>
    <t>Malaysia</t>
  </si>
  <si>
    <t>Equity Malaysia</t>
  </si>
  <si>
    <t>Retail - Food &amp; Staples</t>
  </si>
  <si>
    <t>iShares MSCI Netherlands ETF</t>
  </si>
  <si>
    <t>US4642868149</t>
  </si>
  <si>
    <t>5271112E6814</t>
  </si>
  <si>
    <t>Netherlands</t>
  </si>
  <si>
    <t>Equity Netherlands</t>
  </si>
  <si>
    <t>iShares MSCI Spain ETF</t>
  </si>
  <si>
    <t>US4642867646</t>
  </si>
  <si>
    <t>5271112E6764</t>
  </si>
  <si>
    <t>Spain</t>
  </si>
  <si>
    <t>Equity Spain</t>
  </si>
  <si>
    <t>iShares MSCI Canada ETF</t>
  </si>
  <si>
    <t>US4642865095</t>
  </si>
  <si>
    <t>5271112CANAD</t>
  </si>
  <si>
    <t>Canada</t>
  </si>
  <si>
    <t>Equity Canada</t>
  </si>
  <si>
    <t>iShares MSCI France ETF</t>
  </si>
  <si>
    <t>US4642867075</t>
  </si>
  <si>
    <t>5271112FRANC</t>
  </si>
  <si>
    <t>France</t>
  </si>
  <si>
    <t>Equity France</t>
  </si>
  <si>
    <t>Banks</t>
  </si>
  <si>
    <t>iShares MSCI Australia ETF</t>
  </si>
  <si>
    <t>US4642861037</t>
  </si>
  <si>
    <t>5271112AUSTR</t>
  </si>
  <si>
    <t>Australia</t>
  </si>
  <si>
    <t>Equity Australia</t>
  </si>
  <si>
    <t>iShares MSCI Germany ETF</t>
  </si>
  <si>
    <t>US4642868065</t>
  </si>
  <si>
    <t>5271112E6806</t>
  </si>
  <si>
    <t>Germany</t>
  </si>
  <si>
    <t>Equity Germany</t>
  </si>
  <si>
    <t>iShares MSCI Mexico ETF</t>
  </si>
  <si>
    <t>Mexico</t>
  </si>
  <si>
    <t>Equity Mexico</t>
  </si>
  <si>
    <t>DFA Emerging Markets Small Cap Portfolio;Inst</t>
  </si>
  <si>
    <t>US2332036118</t>
  </si>
  <si>
    <t>5270242F3611</t>
  </si>
  <si>
    <t>Global Emerging Markets</t>
  </si>
  <si>
    <t>Equity Emerging Mkts Global</t>
  </si>
  <si>
    <t>BB</t>
  </si>
  <si>
    <t>CA</t>
  </si>
  <si>
    <t>Food Products</t>
  </si>
  <si>
    <t>iShares Core S&amp;P 500 ETF</t>
  </si>
  <si>
    <t>iShares Core S&amp;P Small-Cap ETF</t>
  </si>
  <si>
    <t>US4642878049</t>
  </si>
  <si>
    <t>5271112E7804</t>
  </si>
  <si>
    <t>JP</t>
  </si>
  <si>
    <t>iShares Russell 2000 ETF</t>
  </si>
  <si>
    <t>Metals and Mining - Non-Precious Metals</t>
  </si>
  <si>
    <t>Metals and Mining - Precious Metals</t>
  </si>
  <si>
    <t>iShares Russell 1000 Value ETF</t>
  </si>
  <si>
    <t>US4642875987</t>
  </si>
  <si>
    <t>5260022E7598</t>
  </si>
  <si>
    <t>iShares US Healthcare ETF</t>
  </si>
  <si>
    <t>US4642877629</t>
  </si>
  <si>
    <t>5271112EUSHC</t>
  </si>
  <si>
    <t>Equity Sector Healthcare</t>
  </si>
  <si>
    <t>iShares US Financial Services ETF</t>
  </si>
  <si>
    <t>US4642877702</t>
  </si>
  <si>
    <t>5271112E7770</t>
  </si>
  <si>
    <t>Equity Sector Financials</t>
  </si>
  <si>
    <t>iShares Europe ETF</t>
  </si>
  <si>
    <t>US4642878619</t>
  </si>
  <si>
    <t>5271112E7861</t>
  </si>
  <si>
    <t>Europe</t>
  </si>
  <si>
    <t>Equity Europe</t>
  </si>
  <si>
    <t>iShares S&amp;P Small-Cap 600 Value ETF</t>
  </si>
  <si>
    <t>US4642878791</t>
  </si>
  <si>
    <t>5271112SPSMC</t>
  </si>
  <si>
    <t>BR</t>
  </si>
  <si>
    <t>iShares MSCI South Korea ETF</t>
  </si>
  <si>
    <t>Korea</t>
  </si>
  <si>
    <t>Equity Korea</t>
  </si>
  <si>
    <t>iShares MSCI Eurozone ETF</t>
  </si>
  <si>
    <t>iShares MSCI Brazil ETF</t>
  </si>
  <si>
    <t>Brazil</t>
  </si>
  <si>
    <t>Equity Brazil</t>
  </si>
  <si>
    <t>Steel</t>
  </si>
  <si>
    <t>iShares MSCI Taiwan ETF</t>
  </si>
  <si>
    <t>US46434G7723</t>
  </si>
  <si>
    <t>5271112E6731</t>
  </si>
  <si>
    <t>Taiwan</t>
  </si>
  <si>
    <t>Equity Taiwan</t>
  </si>
  <si>
    <t>SPDR Dow Jones Industrial Average ETF Trust</t>
  </si>
  <si>
    <t>US78467X1090</t>
  </si>
  <si>
    <t>5260012EX109</t>
  </si>
  <si>
    <t>MX</t>
  </si>
  <si>
    <t>Materials Select Sector SPDR Fund</t>
  </si>
  <si>
    <t>US81369Y1001</t>
  </si>
  <si>
    <t>5260012EY100</t>
  </si>
  <si>
    <t>Equity Sector Materials</t>
  </si>
  <si>
    <t>Health Care Select Sector SPDR Fund</t>
  </si>
  <si>
    <t>US81369Y2090</t>
  </si>
  <si>
    <t>5260012E2090</t>
  </si>
  <si>
    <t>Consumer Staples Select Sector SPDR Fund</t>
  </si>
  <si>
    <t>US81369Y3080</t>
  </si>
  <si>
    <t>5273932EY308</t>
  </si>
  <si>
    <t>Equity Sector Consumer Staples</t>
  </si>
  <si>
    <t>Intercorp Financial Services Inc.</t>
  </si>
  <si>
    <t>PE</t>
  </si>
  <si>
    <t>Consumer Discretionary Select Sector SPDR Fund</t>
  </si>
  <si>
    <t>US81369Y4070</t>
  </si>
  <si>
    <t>5260012E4070</t>
  </si>
  <si>
    <t>Equity Sector Consumer Discretionary</t>
  </si>
  <si>
    <t>Integrated Oil &amp; Gas</t>
  </si>
  <si>
    <t>Energy Select Sector SPDR Fund</t>
  </si>
  <si>
    <t>Equity Theme - Natural Resources</t>
  </si>
  <si>
    <t>Financial Select Sector SPDR Fund</t>
  </si>
  <si>
    <t>US81369Y6059</t>
  </si>
  <si>
    <t>5260012EY605</t>
  </si>
  <si>
    <t>Industrial Select Sector SPDR Fund</t>
  </si>
  <si>
    <t>US81369Y7040</t>
  </si>
  <si>
    <t>5260012EY704</t>
  </si>
  <si>
    <t>Equity Sector Industrials</t>
  </si>
  <si>
    <t>Technology Select Sector SPDR Fund</t>
  </si>
  <si>
    <t>US81369Y8030</t>
  </si>
  <si>
    <t>5260012EY803</t>
  </si>
  <si>
    <t>Equity Sector Information Tech</t>
  </si>
  <si>
    <t>GB</t>
  </si>
  <si>
    <t>Utilities Select Sector SPDR Fund</t>
  </si>
  <si>
    <t>US81369Y8865</t>
  </si>
  <si>
    <t>5260012E8865</t>
  </si>
  <si>
    <t>Equity Sector Utilities</t>
  </si>
  <si>
    <t>5260012EY886</t>
  </si>
  <si>
    <t>BANCO BBVA PERU SOCIEDAD ANONIMA</t>
  </si>
  <si>
    <t>SPDR S&amp;P 500 ETF Trust</t>
  </si>
  <si>
    <t>PEP11600D037</t>
  </si>
  <si>
    <t>PEP11600D052</t>
  </si>
  <si>
    <t>Vanguard Total Stock Market Index Fund;ETF</t>
  </si>
  <si>
    <t>US9229087690</t>
  </si>
  <si>
    <t>5270172TOMKT</t>
  </si>
  <si>
    <t>Vanguard Value Index Fund;ETF</t>
  </si>
  <si>
    <t>US9229087443</t>
  </si>
  <si>
    <t>5270172E8744</t>
  </si>
  <si>
    <t>iShares Biotechnology ETF</t>
  </si>
  <si>
    <t>US4642875565</t>
  </si>
  <si>
    <t>5271112ISQQQ</t>
  </si>
  <si>
    <t>PEP11600D094</t>
  </si>
  <si>
    <t>PEP11600D102</t>
  </si>
  <si>
    <t>iShares Latin America 40 ETF</t>
  </si>
  <si>
    <t>US4642873909</t>
  </si>
  <si>
    <t>5271112E7390</t>
  </si>
  <si>
    <t>Latin America</t>
  </si>
  <si>
    <t>Equity Emerging Mkts Latin Am</t>
  </si>
  <si>
    <t>PEP11600M186</t>
  </si>
  <si>
    <t>iShares Russell Mid-Cap Value ETF</t>
  </si>
  <si>
    <t>US4642874733</t>
  </si>
  <si>
    <t>5271112USMIV</t>
  </si>
  <si>
    <t>iShares North American Tech-Multimedia Networking</t>
  </si>
  <si>
    <t>US4642875318</t>
  </si>
  <si>
    <t>5271112E7531</t>
  </si>
  <si>
    <t>Equity Sector Communication Services</t>
  </si>
  <si>
    <t>iShares Semiconductor ETF</t>
  </si>
  <si>
    <t>US4642875235</t>
  </si>
  <si>
    <t>5271112E7523</t>
  </si>
  <si>
    <t>iShares Expanded Tech-Software Sector ETF</t>
  </si>
  <si>
    <t>US4642875151</t>
  </si>
  <si>
    <t>5271112E7515</t>
  </si>
  <si>
    <t>iShares MSCI EAFE ETF</t>
  </si>
  <si>
    <t>US4642874659</t>
  </si>
  <si>
    <t>5271112E7465</t>
  </si>
  <si>
    <t>Global Ex US</t>
  </si>
  <si>
    <t>Equity Global ex US</t>
  </si>
  <si>
    <t>iShares MSCI Pacific ex Japan ETF</t>
  </si>
  <si>
    <t>US4642866655</t>
  </si>
  <si>
    <t>5271112E6665</t>
  </si>
  <si>
    <t>Asia Pacific ex Japan</t>
  </si>
  <si>
    <t>Equity Asia Pacific ex Japan</t>
  </si>
  <si>
    <t>iShares Global Energy ETF</t>
  </si>
  <si>
    <t>US4642873412</t>
  </si>
  <si>
    <t>5271112I3412</t>
  </si>
  <si>
    <t>iShares Global Healthcare ETF</t>
  </si>
  <si>
    <t>US4642873255</t>
  </si>
  <si>
    <t>5271112E7325</t>
  </si>
  <si>
    <t>US91912EAA38</t>
  </si>
  <si>
    <t>iShares 1-3 Year Treasury Bond ETF</t>
  </si>
  <si>
    <t>US4642874576</t>
  </si>
  <si>
    <t>5271112E7457</t>
  </si>
  <si>
    <t>Bond USD Government Short Term</t>
  </si>
  <si>
    <t>ETF_SOV</t>
  </si>
  <si>
    <t>iShares 7-10 Year Treasury Bond ETF</t>
  </si>
  <si>
    <t>Bond USD Government</t>
  </si>
  <si>
    <t>iShares 20+ Year Treasury Bond ETF</t>
  </si>
  <si>
    <t>iShares iBoxx $ Inv Grade Corporate Bond ETF</t>
  </si>
  <si>
    <t>Bond USD Corporates</t>
  </si>
  <si>
    <t>Telecommunication Services</t>
  </si>
  <si>
    <t>Federated Hermes Inst High Yield Bond Fd;IS</t>
  </si>
  <si>
    <t>US31420B3006</t>
  </si>
  <si>
    <t>5274002FB300</t>
  </si>
  <si>
    <t>Bond USD High Yield</t>
  </si>
  <si>
    <t>iShares China Large-Cap ETF</t>
  </si>
  <si>
    <t>China</t>
  </si>
  <si>
    <t>Equity China</t>
  </si>
  <si>
    <t>iShares MSCI Emerging Markets ETF</t>
  </si>
  <si>
    <t>Invesco S&amp;P 500 Eql Wght ETF</t>
  </si>
  <si>
    <t>US46137V3574</t>
  </si>
  <si>
    <t>5275122EV357</t>
  </si>
  <si>
    <t>CO</t>
  </si>
  <si>
    <t>Vanguard European Stock Index Fund;ETF</t>
  </si>
  <si>
    <t>US9220428745</t>
  </si>
  <si>
    <t>5270172E2874</t>
  </si>
  <si>
    <t>Vanguard Emerging Markets Stock Index Fund;ETF</t>
  </si>
  <si>
    <t>US9220428588</t>
  </si>
  <si>
    <t>5270172E2858</t>
  </si>
  <si>
    <t>Vanguard Energy Index Fund;ETF</t>
  </si>
  <si>
    <t>US92204A3068</t>
  </si>
  <si>
    <t>5270172ENERG</t>
  </si>
  <si>
    <t>US279158AN94</t>
  </si>
  <si>
    <t>Vanguard Information Technology Index Fund;ETF</t>
  </si>
  <si>
    <t>US92204A7028</t>
  </si>
  <si>
    <t>5270172A7028</t>
  </si>
  <si>
    <t>US279158AP43</t>
  </si>
  <si>
    <t>Vanguard Materials Index Fund;ETF</t>
  </si>
  <si>
    <t>US92204A8018</t>
  </si>
  <si>
    <t>5270172MATER</t>
  </si>
  <si>
    <t>Vanguard Utilities Index Fund;ETF</t>
  </si>
  <si>
    <t>US92204A8760</t>
  </si>
  <si>
    <t>5270172A8760</t>
  </si>
  <si>
    <t>iShares US Transportation ETF</t>
  </si>
  <si>
    <t>US4642871929</t>
  </si>
  <si>
    <t>5271112TRANS</t>
  </si>
  <si>
    <t>iShares TIPS Bond ETF</t>
  </si>
  <si>
    <t>US4642871762</t>
  </si>
  <si>
    <t>5271112E7176</t>
  </si>
  <si>
    <t>Bond USD Inflation Linked</t>
  </si>
  <si>
    <t>Utilities</t>
  </si>
  <si>
    <t>Invesco WilderHill Clean Energy ETF</t>
  </si>
  <si>
    <t>US46137V1347</t>
  </si>
  <si>
    <t>5275122E1347</t>
  </si>
  <si>
    <t>Equity Theme - Alternative Energy</t>
  </si>
  <si>
    <t>5275122EV134</t>
  </si>
  <si>
    <t>US2332034212</t>
  </si>
  <si>
    <t>5270242EMECO</t>
  </si>
  <si>
    <t>Invesco Leisure and Entertainment ETF</t>
  </si>
  <si>
    <t>US46137V7203</t>
  </si>
  <si>
    <t>5275122V7203</t>
  </si>
  <si>
    <t>DFA US Core Equity 1 Portfolio;Institutional</t>
  </si>
  <si>
    <t>US2332034139</t>
  </si>
  <si>
    <t>5270242USACOR</t>
  </si>
  <si>
    <t>US2332033719</t>
  </si>
  <si>
    <t>5270242INTCO</t>
  </si>
  <si>
    <t>iShares US Oil &amp; Gas Exploration &amp; Production ETF</t>
  </si>
  <si>
    <t>iShares US Oil Equipment &amp; Services ETF</t>
  </si>
  <si>
    <t>US4642888444</t>
  </si>
  <si>
    <t>5271112OEQ&amp;S</t>
  </si>
  <si>
    <t>iShares US Medical Devices ETF</t>
  </si>
  <si>
    <t>US4642888105</t>
  </si>
  <si>
    <t>5271112E8810</t>
  </si>
  <si>
    <t>iShares US Regional Banks ETF</t>
  </si>
  <si>
    <t>US4642887784</t>
  </si>
  <si>
    <t>5271112E8778</t>
  </si>
  <si>
    <t>iShares US Home Construction ETF</t>
  </si>
  <si>
    <t>US4642887529</t>
  </si>
  <si>
    <t>5271112E8752</t>
  </si>
  <si>
    <t>SPDR S&amp;P Homebuilders ETF</t>
  </si>
  <si>
    <t>US78464A8889</t>
  </si>
  <si>
    <t>5260012A8889</t>
  </si>
  <si>
    <t>Vanguard Dividend Appreciation Index Fund;ETF</t>
  </si>
  <si>
    <t>US9219088443</t>
  </si>
  <si>
    <t>5270172EDVAP</t>
  </si>
  <si>
    <t>Equity US Income</t>
  </si>
  <si>
    <t>SPDR S&amp;P Biotech ETF</t>
  </si>
  <si>
    <t>US78464A8707</t>
  </si>
  <si>
    <t>5273932EA870</t>
  </si>
  <si>
    <t>VanEck Gold Miners ETF</t>
  </si>
  <si>
    <t>Equity Sector Gold&amp;Prec Metals</t>
  </si>
  <si>
    <t>First Trust Dow Jones Internet Index Fund</t>
  </si>
  <si>
    <t>First Trust NYSE Arca Biotechnology Index Fund</t>
  </si>
  <si>
    <t>US33733E2037</t>
  </si>
  <si>
    <t>5274042US337</t>
  </si>
  <si>
    <t>WisdomTree US LargeCap Dividend Fund</t>
  </si>
  <si>
    <t>US97717W3079</t>
  </si>
  <si>
    <t>5272872W3079</t>
  </si>
  <si>
    <t>WisdomTree Japan Hedged Equity Fund</t>
  </si>
  <si>
    <t>US97717W8516</t>
  </si>
  <si>
    <t>5272872EW851</t>
  </si>
  <si>
    <t>Japan</t>
  </si>
  <si>
    <t>Equity Japan</t>
  </si>
  <si>
    <t>WisdomTree Japan SmallCap Dividend Fund</t>
  </si>
  <si>
    <t>US97717W8367</t>
  </si>
  <si>
    <t>5272872JPSCD</t>
  </si>
  <si>
    <t>Equity Japan Income</t>
  </si>
  <si>
    <t>Vanguard Mid-Cap Growth Index Fund;ETF</t>
  </si>
  <si>
    <t>US9229085389</t>
  </si>
  <si>
    <t>5270172MCGRO</t>
  </si>
  <si>
    <t>CL</t>
  </si>
  <si>
    <t>SPDR S&amp;P Metals &amp; Mining ETF</t>
  </si>
  <si>
    <t>US78464A7550</t>
  </si>
  <si>
    <t>5260012EA755</t>
  </si>
  <si>
    <t>SPDR S&amp;P Oil &amp; Gas Exploration &amp; Production ETF</t>
  </si>
  <si>
    <t>5273932ER556</t>
  </si>
  <si>
    <t>SPDR S&amp;P Retail ETF</t>
  </si>
  <si>
    <t>US78464A7147</t>
  </si>
  <si>
    <t>5260012RETAI</t>
  </si>
  <si>
    <t>SPDR S&amp;P Regional Banking ETF</t>
  </si>
  <si>
    <t>US78464A6982</t>
  </si>
  <si>
    <t>5260012EA698</t>
  </si>
  <si>
    <t>iShares Short Treasury Bond ETF</t>
  </si>
  <si>
    <t>US4642886794</t>
  </si>
  <si>
    <t>5271112E8679</t>
  </si>
  <si>
    <t>Retail - Consumer Discretionary</t>
  </si>
  <si>
    <t>iShares 3-7 Year Treasury Bond ETF</t>
  </si>
  <si>
    <t>US4642886612</t>
  </si>
  <si>
    <t>5271112E8661</t>
  </si>
  <si>
    <t>iShares 10-20 Year Treasury Bond ETF</t>
  </si>
  <si>
    <t>US4642886539</t>
  </si>
  <si>
    <t>5271112E8653</t>
  </si>
  <si>
    <t>Invesco S&amp;P 500 Eql Wght Materials ETF</t>
  </si>
  <si>
    <t>US46137V3160</t>
  </si>
  <si>
    <t>5275122V3160</t>
  </si>
  <si>
    <t>Vanguard FTSE All-World ex US Index Fund;ETF</t>
  </si>
  <si>
    <t>US9220427754</t>
  </si>
  <si>
    <t>5270172AWXUS</t>
  </si>
  <si>
    <t>SPDR Portfolio Emerging Markets ETF</t>
  </si>
  <si>
    <t>5273932EMEQ</t>
  </si>
  <si>
    <t>iShares iBoxx $ High Yield Corporate Bond ETF</t>
  </si>
  <si>
    <t>First Trust Energy AlphaDEX Fund</t>
  </si>
  <si>
    <t>US33734X1274</t>
  </si>
  <si>
    <t>5274042EX127</t>
  </si>
  <si>
    <t>SPDR Bloomberg 1-3 Month T-Bill ETF</t>
  </si>
  <si>
    <t>US78468R6633</t>
  </si>
  <si>
    <t>5273932BILUS</t>
  </si>
  <si>
    <t>VanEck Agribusiness ETF</t>
  </si>
  <si>
    <t>US92189F7006</t>
  </si>
  <si>
    <t>5275512EF700</t>
  </si>
  <si>
    <t>CREDICORP LTD.</t>
  </si>
  <si>
    <t>SPDR Bloomberg High Yield Bond ETF</t>
  </si>
  <si>
    <t>US78468R6229</t>
  </si>
  <si>
    <t>5260012ER622</t>
  </si>
  <si>
    <t>iShares MSCI Chile ETF</t>
  </si>
  <si>
    <t>US4642866408</t>
  </si>
  <si>
    <t>5271112E6640</t>
  </si>
  <si>
    <t>Chile</t>
  </si>
  <si>
    <t>Equity Chile</t>
  </si>
  <si>
    <t>WisdomTree Emerging Markets SmallCap Dividend Fund</t>
  </si>
  <si>
    <t>US97717W2816</t>
  </si>
  <si>
    <t>5272872W2816</t>
  </si>
  <si>
    <t>iShares JPMorgan USD Emerging Markets Bond ETF</t>
  </si>
  <si>
    <t>Bond Emerging Markets Global HC</t>
  </si>
  <si>
    <t>iShares MSCI Emerging Markets Small-Cap ETF</t>
  </si>
  <si>
    <t>US4642864759</t>
  </si>
  <si>
    <t>5271112E6475</t>
  </si>
  <si>
    <t>Restaurants</t>
  </si>
  <si>
    <t>iShares MSCI ACWI ETF</t>
  </si>
  <si>
    <t>US4642882579</t>
  </si>
  <si>
    <t>5271112E8257</t>
  </si>
  <si>
    <t>Equity Global</t>
  </si>
  <si>
    <t>Invesco Solar ETF</t>
  </si>
  <si>
    <t>US46138G7060</t>
  </si>
  <si>
    <t>5275122EG706</t>
  </si>
  <si>
    <t>iShares MSCI All Country Asia ex Japan ETF</t>
  </si>
  <si>
    <t>Vanguard Total World Stock Index Fund;ETF</t>
  </si>
  <si>
    <t>US9220427424</t>
  </si>
  <si>
    <t>5270172E2742</t>
  </si>
  <si>
    <t>SPDR Bloomberg Convertible Securities ETF</t>
  </si>
  <si>
    <t>US78464A3591</t>
  </si>
  <si>
    <t>5273932EA359</t>
  </si>
  <si>
    <t>Bond Convertibles US</t>
  </si>
  <si>
    <t>iShares MSCI Peru and Global Exposure ETF</t>
  </si>
  <si>
    <t>FONDOS MUTUOS DEL EXT - ETF DEL MERCADO LOCAL</t>
  </si>
  <si>
    <t>Peru</t>
  </si>
  <si>
    <t>Equity Emerging Mkts Other</t>
  </si>
  <si>
    <t>VanEck Brazil Small-Cap ETF</t>
  </si>
  <si>
    <t>US92189F8251</t>
  </si>
  <si>
    <t>5270652EF825</t>
  </si>
  <si>
    <t>VanEck Junior Gold Miners ETF</t>
  </si>
  <si>
    <t>US92189F7915</t>
  </si>
  <si>
    <t>5270652EU589</t>
  </si>
  <si>
    <t>Invesco China Technology ETF</t>
  </si>
  <si>
    <t>WisdomTree Europe Hedged Equity Fund</t>
  </si>
  <si>
    <t>US97717X7012</t>
  </si>
  <si>
    <t>5272872EX701</t>
  </si>
  <si>
    <t>iShares MSCI Europe Financials ETF</t>
  </si>
  <si>
    <t>US4642891802</t>
  </si>
  <si>
    <t>5271112E9180</t>
  </si>
  <si>
    <t>5271112EUFIN</t>
  </si>
  <si>
    <t>Global X Copper Miners ETF</t>
  </si>
  <si>
    <t>US37954Y8306</t>
  </si>
  <si>
    <t>5275282EY830</t>
  </si>
  <si>
    <t>iShares MSCI Poland ETF</t>
  </si>
  <si>
    <t>US46429B6065</t>
  </si>
  <si>
    <t>5271112EPOLO</t>
  </si>
  <si>
    <t>Poland</t>
  </si>
  <si>
    <t>Equity Poland</t>
  </si>
  <si>
    <t>iShares MSCI Brazil Small-Cap ETF</t>
  </si>
  <si>
    <t>5271112US464</t>
  </si>
  <si>
    <t>iShares MSCI New Zealand ETF</t>
  </si>
  <si>
    <t>US4642891232</t>
  </si>
  <si>
    <t>5271112NEWZL</t>
  </si>
  <si>
    <t>New Zealand</t>
  </si>
  <si>
    <t>Equity New Zealand</t>
  </si>
  <si>
    <t>5271112G7988</t>
  </si>
  <si>
    <t>Russia</t>
  </si>
  <si>
    <t>Equity Russia</t>
  </si>
  <si>
    <t>VanEck JP Morgan EM Local Currency Bond ETF</t>
  </si>
  <si>
    <t>Bond Emerging Markets Global LC</t>
  </si>
  <si>
    <t>Vanguard 500 Index Fund;ETF</t>
  </si>
  <si>
    <t>Gruma, S.A.B. de C.V.</t>
  </si>
  <si>
    <t>MXP4948K1056</t>
  </si>
  <si>
    <t>Matthews India Fund;Institutional</t>
  </si>
  <si>
    <t>US5771307684</t>
  </si>
  <si>
    <t>5272092MIDNX</t>
  </si>
  <si>
    <t>India</t>
  </si>
  <si>
    <t>Equity India</t>
  </si>
  <si>
    <t>Matthews Japan Fund;Institutional</t>
  </si>
  <si>
    <t>US5771307924</t>
  </si>
  <si>
    <t>5272092F0792</t>
  </si>
  <si>
    <t>Matthews Asia Growth Fund;Institutional</t>
  </si>
  <si>
    <t>US5771307767</t>
  </si>
  <si>
    <t>5272092MIAPX</t>
  </si>
  <si>
    <t>Asia Pacific</t>
  </si>
  <si>
    <t>Equity Asia Pacific</t>
  </si>
  <si>
    <t>Matthews Pacific Tiger Fund;Institutional</t>
  </si>
  <si>
    <t>US5771308344</t>
  </si>
  <si>
    <t>5272092F0834</t>
  </si>
  <si>
    <t>HOCHSCHILD MINING PLC</t>
  </si>
  <si>
    <t>Matthews China Fund;Institutional</t>
  </si>
  <si>
    <t>US5771308187</t>
  </si>
  <si>
    <t>5272092MICFX</t>
  </si>
  <si>
    <t>iShares 0-5 Year TIPS Bond ETF</t>
  </si>
  <si>
    <t>US46429B7477</t>
  </si>
  <si>
    <t>5271112EB747</t>
  </si>
  <si>
    <t>iShares MSCI China ETF</t>
  </si>
  <si>
    <t>MINSUR S.A.</t>
  </si>
  <si>
    <t>SPDR S&amp;P Health Care Equipment ETF</t>
  </si>
  <si>
    <t>US78464A5810</t>
  </si>
  <si>
    <t>5273932EA581</t>
  </si>
  <si>
    <t>Xtrackers MSCI EAFE Hedged Equity ETF</t>
  </si>
  <si>
    <t>US2330512003</t>
  </si>
  <si>
    <t>5273792E1200</t>
  </si>
  <si>
    <t>First Trust Emerging Markets AlphaDEX Fund</t>
  </si>
  <si>
    <t>US33737J1824</t>
  </si>
  <si>
    <t>5274042FEMUS</t>
  </si>
  <si>
    <t>SOUTHERN COPPER CORPORATION</t>
  </si>
  <si>
    <t>US84265V1052</t>
  </si>
  <si>
    <t>First Trust Cloud Computing ETF</t>
  </si>
  <si>
    <t>US84265VAA35</t>
  </si>
  <si>
    <t>iShares MSCI Emerging Markets Min Vol Factor ETF</t>
  </si>
  <si>
    <t>US4642865335</t>
  </si>
  <si>
    <t>5271112E6533</t>
  </si>
  <si>
    <t>iShares JP Morgan EM Local Currency Bond ETF</t>
  </si>
  <si>
    <t>US4642865178</t>
  </si>
  <si>
    <t>5271112E6517</t>
  </si>
  <si>
    <t>Invesco KBW Bank ETF</t>
  </si>
  <si>
    <t>US46138E6288</t>
  </si>
  <si>
    <t>5275122E6288</t>
  </si>
  <si>
    <t>5275122EE628</t>
  </si>
  <si>
    <t>VanEck Semiconductor ETF</t>
  </si>
  <si>
    <t>US92189F6768</t>
  </si>
  <si>
    <t>5270652EF676</t>
  </si>
  <si>
    <t>VanEck Oil Services ETF</t>
  </si>
  <si>
    <t>US92189H6071</t>
  </si>
  <si>
    <t>5270652EF718</t>
  </si>
  <si>
    <t>iShares MSCI Global Metals &amp; Mining Producers ETF</t>
  </si>
  <si>
    <t>US46434G8481</t>
  </si>
  <si>
    <t>5271112EG848</t>
  </si>
  <si>
    <t>iShares MSCI Agriculture Producers ETF</t>
  </si>
  <si>
    <t>US4642863504</t>
  </si>
  <si>
    <t>5271112V3504</t>
  </si>
  <si>
    <t>Unclassified</t>
  </si>
  <si>
    <t>iShares MSCI India ETF</t>
  </si>
  <si>
    <t>US46429B5984</t>
  </si>
  <si>
    <t>5271112EB598</t>
  </si>
  <si>
    <t>5271112INDIA</t>
  </si>
  <si>
    <t>iShares JP Morgan EM High Yield Bond ETF</t>
  </si>
  <si>
    <t>US4642862852</t>
  </si>
  <si>
    <t>5271112EMHYU</t>
  </si>
  <si>
    <t>iShares JP Morgan EM Corporate Bond ETF</t>
  </si>
  <si>
    <t>US4642862514</t>
  </si>
  <si>
    <t>5271112E6251</t>
  </si>
  <si>
    <t>VanEck Fallen Angel High Yield Bond ETF</t>
  </si>
  <si>
    <t>US92189F4375</t>
  </si>
  <si>
    <t>5270652US921</t>
  </si>
  <si>
    <t>Diversified Financials</t>
  </si>
  <si>
    <t>5271112FRONT</t>
  </si>
  <si>
    <t>Equity Frontier Markets</t>
  </si>
  <si>
    <t>WisdomTree China ex-State-Owned Enterprises Fund</t>
  </si>
  <si>
    <t>US97717X7194</t>
  </si>
  <si>
    <t>5272872X7194</t>
  </si>
  <si>
    <t>iShares Core MSCI Emerging Markets ETF</t>
  </si>
  <si>
    <t>BANCOLOMBIA S.A.</t>
  </si>
  <si>
    <t>SPDR Blackstone Senior Loan ETF</t>
  </si>
  <si>
    <t>US78467V6083</t>
  </si>
  <si>
    <t>5260012EV608</t>
  </si>
  <si>
    <t>Loan Participation Funds</t>
  </si>
  <si>
    <t>iShares MSCI USA Value Factor ETF</t>
  </si>
  <si>
    <t>US46432F3881</t>
  </si>
  <si>
    <t>5271112VLUEU</t>
  </si>
  <si>
    <t>Matthews Emerging Markets Small Companies Fd;Instl</t>
  </si>
  <si>
    <t>US5771258671</t>
  </si>
  <si>
    <t>5272092MISMX</t>
  </si>
  <si>
    <t>SPDR Portfolio S&amp;P 600 Small Cap ETF</t>
  </si>
  <si>
    <t>US78468R8530</t>
  </si>
  <si>
    <t>5273932ER853</t>
  </si>
  <si>
    <t>iShares MSCI USA Quality Factor ETF</t>
  </si>
  <si>
    <t>US46432F3394</t>
  </si>
  <si>
    <t>5271112QUALU</t>
  </si>
  <si>
    <t>KraneShares CSI China Internet ETF</t>
  </si>
  <si>
    <t>527472273065</t>
  </si>
  <si>
    <t>WisdomTree US Quality Dividend Growth Fund</t>
  </si>
  <si>
    <t>US97717X6691</t>
  </si>
  <si>
    <t>5272872USDGQ</t>
  </si>
  <si>
    <t>Xtrackers MSCI Europe Hedged Equity ETF</t>
  </si>
  <si>
    <t>US2330518539</t>
  </si>
  <si>
    <t>5273792E1853</t>
  </si>
  <si>
    <t>Xtrackers Hvst CSI 300 China A-Shs ETF</t>
  </si>
  <si>
    <t>Greater China</t>
  </si>
  <si>
    <t>Equity Greater China</t>
  </si>
  <si>
    <t>iShares Currency Hedged MSCI Japan ETF</t>
  </si>
  <si>
    <t>US46434V8862</t>
  </si>
  <si>
    <t>5271112V8862</t>
  </si>
  <si>
    <t>KraneShares Bosera MSCI China A 50 Connect Idx ETF</t>
  </si>
  <si>
    <t>US5007674055</t>
  </si>
  <si>
    <t>5274722K4055</t>
  </si>
  <si>
    <t>iShares Currency Hedged MSCI Eurozone ETF</t>
  </si>
  <si>
    <t>US46434V6395</t>
  </si>
  <si>
    <t>5271112EV639</t>
  </si>
  <si>
    <t>iShares MSCI ACWI Low Carbon Target ETF</t>
  </si>
  <si>
    <t>US46434V4648</t>
  </si>
  <si>
    <t>5271112EV464</t>
  </si>
  <si>
    <t>WisdomTree EM ex-State-Owned Enterprises</t>
  </si>
  <si>
    <t>US97717X5784</t>
  </si>
  <si>
    <t>5272872X5784</t>
  </si>
  <si>
    <t>iShares MSCI Saudi Arabia ETF</t>
  </si>
  <si>
    <t>US46434V4234</t>
  </si>
  <si>
    <t>5271112XA24C</t>
  </si>
  <si>
    <t>Saudi Arabia</t>
  </si>
  <si>
    <t>Equity Saudi Arabia</t>
  </si>
  <si>
    <t>iShares US Equity Factor ETF</t>
  </si>
  <si>
    <t>US46434V2824</t>
  </si>
  <si>
    <t>5271112MULTI</t>
  </si>
  <si>
    <t>iShares Convertible Bond ETF</t>
  </si>
  <si>
    <t>US46435G1022</t>
  </si>
  <si>
    <t>5271112EG102</t>
  </si>
  <si>
    <t>First Trust Nasdaq Cybersecurity ETF</t>
  </si>
  <si>
    <t>US33734X8469</t>
  </si>
  <si>
    <t>5275522EX846</t>
  </si>
  <si>
    <t>iShares Fallen Angels USD Bond ETF</t>
  </si>
  <si>
    <t>US46435G4745</t>
  </si>
  <si>
    <t>5271112EG474</t>
  </si>
  <si>
    <t>iShares MSCI Emerging Markets ex China ETF</t>
  </si>
  <si>
    <t>KraneShares MSCI China Clean Technology Index ETF</t>
  </si>
  <si>
    <t>US5007678502</t>
  </si>
  <si>
    <t>5274722KGRN2</t>
  </si>
  <si>
    <t>KraneShares Electric Vehicles and Future Mobility</t>
  </si>
  <si>
    <t>US5007678270</t>
  </si>
  <si>
    <t>5274722KARS0</t>
  </si>
  <si>
    <t>KraneShares MSCI All China Health Care Index ETF</t>
  </si>
  <si>
    <t>US5007678353</t>
  </si>
  <si>
    <t>5274722KURE3</t>
  </si>
  <si>
    <t>Communication Services Select Sector SPDR Fund</t>
  </si>
  <si>
    <t>JPMorgan BetaBuilders Japan ETF</t>
  </si>
  <si>
    <t>WisdomTree Cloud Computing Fund</t>
  </si>
  <si>
    <t>US97717Y6914</t>
  </si>
  <si>
    <t>5272872US977</t>
  </si>
  <si>
    <t>5274722KFVG8</t>
  </si>
  <si>
    <t>BlackRock World exUS Crbn Transition Readiness ETF</t>
  </si>
  <si>
    <t>BlackRock US Carbon Transition Readiness ETF</t>
  </si>
  <si>
    <t>US09290C5094</t>
  </si>
  <si>
    <t>5271112E5094</t>
  </si>
  <si>
    <t>LU0100600369</t>
  </si>
  <si>
    <t>5274082CHINA</t>
  </si>
  <si>
    <t>Invesco Global Consumer Trends C USD Acc</t>
  </si>
  <si>
    <t>LU0100598878</t>
  </si>
  <si>
    <t>5274082GLEIS</t>
  </si>
  <si>
    <t>Pictet-Japanese Equity Selection-I JPY</t>
  </si>
  <si>
    <t>LU0080998981</t>
  </si>
  <si>
    <t>5270805F9898</t>
  </si>
  <si>
    <t>PIMCO GIS US High Yield Bond Inst USD Acc</t>
  </si>
  <si>
    <t>JPM USD Liquidity LVNAV Institutional Dist</t>
  </si>
  <si>
    <t>LU0103813712</t>
  </si>
  <si>
    <t>5270882F1371</t>
  </si>
  <si>
    <t>Money Market USD</t>
  </si>
  <si>
    <t>PIMCO GIS US High Yield Bond Invr USD Acc</t>
  </si>
  <si>
    <t>IE0005300805</t>
  </si>
  <si>
    <t>5274122USHYB</t>
  </si>
  <si>
    <t>Baillie Gifford Japanese Smaller Companies B Acc</t>
  </si>
  <si>
    <t>GB0006014921</t>
  </si>
  <si>
    <t>5274626JAPSC</t>
  </si>
  <si>
    <t>Equity Japan Sm&amp;Mid Cap</t>
  </si>
  <si>
    <t>Baillie Gifford Pacific B Acc</t>
  </si>
  <si>
    <t>GB0006063233</t>
  </si>
  <si>
    <t>5275336GB000</t>
  </si>
  <si>
    <t>Invesco Asian (UK) Acc</t>
  </si>
  <si>
    <t>GB0033028225</t>
  </si>
  <si>
    <t>5274136F2822</t>
  </si>
  <si>
    <t>UNACEM Corp S.A.A.</t>
  </si>
  <si>
    <t>Invesco European Equity (UK) Acc</t>
  </si>
  <si>
    <t>GB0033028001</t>
  </si>
  <si>
    <t>5274136F2800</t>
  </si>
  <si>
    <t>Europe exc UK</t>
  </si>
  <si>
    <t>Equity Europe ex UK</t>
  </si>
  <si>
    <t>Invesco UK Opportunities (UK) Acc</t>
  </si>
  <si>
    <t>GB0033031153</t>
  </si>
  <si>
    <t>5274136F3115</t>
  </si>
  <si>
    <t>GB0001448785</t>
  </si>
  <si>
    <t>5270856UKEQI</t>
  </si>
  <si>
    <t>Equity UK Income</t>
  </si>
  <si>
    <t>PIMCO GIS StocksPLUS Inst USD Acc</t>
  </si>
  <si>
    <t>IE0002459539</t>
  </si>
  <si>
    <t>5274122STOCK</t>
  </si>
  <si>
    <t>52EDMG4INVES</t>
  </si>
  <si>
    <t>Robeco Global Consumer Trends D EUR</t>
  </si>
  <si>
    <t>LU0187079347</t>
  </si>
  <si>
    <t>5273884CONSU</t>
  </si>
  <si>
    <t>Robeco Chinese Equities D EUR</t>
  </si>
  <si>
    <t>LU0187077309</t>
  </si>
  <si>
    <t>5270264F7309</t>
  </si>
  <si>
    <t>PineBridge Global Dynamic Asset Allocation Y USD</t>
  </si>
  <si>
    <t>IE0007357332</t>
  </si>
  <si>
    <t>5270942F5733</t>
  </si>
  <si>
    <t>Mixed Asset USD Bal - Global</t>
  </si>
  <si>
    <t>Allianz Wachstum Euroland - A - EUR</t>
  </si>
  <si>
    <t>DE0009789842</t>
  </si>
  <si>
    <t>5270474F8984</t>
  </si>
  <si>
    <t>EuroZone</t>
  </si>
  <si>
    <t>Equity EuroZone</t>
  </si>
  <si>
    <t>Concentra - A - EUR</t>
  </si>
  <si>
    <t>DE0008475005</t>
  </si>
  <si>
    <t>5270474ALALE</t>
  </si>
  <si>
    <t>Allianz Wachstum Europa - A - EUR</t>
  </si>
  <si>
    <t>DE0008481821</t>
  </si>
  <si>
    <t>5270474F8182</t>
  </si>
  <si>
    <t>Fidelity Funds - Emerging Markets A-USD</t>
  </si>
  <si>
    <t>LU0048575426</t>
  </si>
  <si>
    <t>527040275426</t>
  </si>
  <si>
    <t>LU0110060430</t>
  </si>
  <si>
    <t>5270404FEUHY</t>
  </si>
  <si>
    <t>Bond Europe High Yield</t>
  </si>
  <si>
    <t>LU0114720955</t>
  </si>
  <si>
    <t>5270404GLOHC</t>
  </si>
  <si>
    <t>Compania de Minas Buenaventura S.A.A.</t>
  </si>
  <si>
    <t>Fidelity Funds - Greater China A-USD</t>
  </si>
  <si>
    <t>LU0048580855</t>
  </si>
  <si>
    <t>5270402F0855</t>
  </si>
  <si>
    <t>Fidelity Funds - Iberia A-EUR-DIS</t>
  </si>
  <si>
    <t>LU0048581077</t>
  </si>
  <si>
    <t>5273874FIBER</t>
  </si>
  <si>
    <t>Iberia</t>
  </si>
  <si>
    <t>Equity Iberia</t>
  </si>
  <si>
    <t>GAM Multibond - Local Emerging Bd-USD C</t>
  </si>
  <si>
    <t>LU0107852435</t>
  </si>
  <si>
    <t>5270182F5243</t>
  </si>
  <si>
    <t>GAM Multistock - Japan Eq-JPY C</t>
  </si>
  <si>
    <t>LU0099405374</t>
  </si>
  <si>
    <t>5270185F0537</t>
  </si>
  <si>
    <t>BNP Paribas Japan Small Cap I Cap</t>
  </si>
  <si>
    <t>Pictet-Digital-I USD</t>
  </si>
  <si>
    <t>LU0101689882</t>
  </si>
  <si>
    <t>5270802PTDIG</t>
  </si>
  <si>
    <t>Media &amp; Entertainment</t>
  </si>
  <si>
    <t>Robeco High Yield Bonds DH EUR</t>
  </si>
  <si>
    <t>LU0085136942</t>
  </si>
  <si>
    <t>5270264F6942</t>
  </si>
  <si>
    <t>Bond Global High Yield EUR</t>
  </si>
  <si>
    <t>Schroder ISF EURO Equity C Acc EUR</t>
  </si>
  <si>
    <t>LU0106235459</t>
  </si>
  <si>
    <t>5270194EUREQ</t>
  </si>
  <si>
    <t>Banco Internacional del Peru S.A.A. - Interbank</t>
  </si>
  <si>
    <t>Schroder ISF Japanese Smaller Companies C Acc JPY</t>
  </si>
  <si>
    <t>LU0106243982</t>
  </si>
  <si>
    <t>5270195F3982</t>
  </si>
  <si>
    <t>PEP14800M015</t>
  </si>
  <si>
    <t>Schroder ISF Japanese Equity C Acc JPY</t>
  </si>
  <si>
    <t>LU0106240533</t>
  </si>
  <si>
    <t>5270195F4053</t>
  </si>
  <si>
    <t>Schroder ISF Asian Opportunities C Acc USD</t>
  </si>
  <si>
    <t>Asia (ex-Japan)</t>
  </si>
  <si>
    <t>USP13435AC98</t>
  </si>
  <si>
    <t>UBS (Lux) Eq Fd - China Opportunity (USD) P-acc</t>
  </si>
  <si>
    <t>LU0067412154</t>
  </si>
  <si>
    <t>5270082F1215</t>
  </si>
  <si>
    <t>Vontobel Fund Emerging Markets Eq B USD Acc</t>
  </si>
  <si>
    <t>LU0040507039</t>
  </si>
  <si>
    <t>5270492F0703</t>
  </si>
  <si>
    <t>527049208755</t>
  </si>
  <si>
    <t>Janus Henderson Continental Eupn I2 EUR</t>
  </si>
  <si>
    <t>LU0113993397</t>
  </si>
  <si>
    <t>5270324F9339</t>
  </si>
  <si>
    <t>INDUSTRIAS PENOLES, S.A.B. DE C.V.</t>
  </si>
  <si>
    <t>USP55409AA77</t>
  </si>
  <si>
    <t>LU0119176310</t>
  </si>
  <si>
    <t>5270254F7631</t>
  </si>
  <si>
    <t>Bond EUR High Yield</t>
  </si>
  <si>
    <t>USP55409AB50</t>
  </si>
  <si>
    <t>Wellington US Research Equity S Acc USD</t>
  </si>
  <si>
    <t>LU0050381036</t>
  </si>
  <si>
    <t>52WELL2USRES</t>
  </si>
  <si>
    <t>USP55409AC34</t>
  </si>
  <si>
    <t>Janus Henderson PanEupn Sm and MdCp I2 EUR</t>
  </si>
  <si>
    <t>LU0113993553</t>
  </si>
  <si>
    <t>5270324JHESC</t>
  </si>
  <si>
    <t>Equity Europe Sm&amp;Mid Cap</t>
  </si>
  <si>
    <t>Schroder ISF Emerging Europe C Acc EUR</t>
  </si>
  <si>
    <t>LU0106820292</t>
  </si>
  <si>
    <t>5270194EMEUR</t>
  </si>
  <si>
    <t>Eastern Europe</t>
  </si>
  <si>
    <t>Equity Emerging Mkts Europe</t>
  </si>
  <si>
    <t>Franklin Mutual European A (acc) USD</t>
  </si>
  <si>
    <t>LU0109981661</t>
  </si>
  <si>
    <t>5270772TEMEU</t>
  </si>
  <si>
    <t>BGF World Healthscience A2 USD</t>
  </si>
  <si>
    <t>LU0122379950</t>
  </si>
  <si>
    <t>5270632F7995</t>
  </si>
  <si>
    <t>GS Eurozone EQ Inc-X Cap EUR</t>
  </si>
  <si>
    <t>LU0127786860</t>
  </si>
  <si>
    <t>5270224F8686</t>
  </si>
  <si>
    <t>Pinebridge Japan Small Cap Equity Y USD</t>
  </si>
  <si>
    <t>IE0030395846</t>
  </si>
  <si>
    <t>5270942F9584</t>
  </si>
  <si>
    <t>CT European Inst Acc EUR</t>
  </si>
  <si>
    <t>GB0030810021</t>
  </si>
  <si>
    <t>5270854F1002</t>
  </si>
  <si>
    <t>LU0132412106</t>
  </si>
  <si>
    <t>527025212106</t>
  </si>
  <si>
    <t>LU0132414144</t>
  </si>
  <si>
    <t>5270252F1414</t>
  </si>
  <si>
    <t>Goldman Sachs Em Markets Debt Pf I USD</t>
  </si>
  <si>
    <t>LU0129914015</t>
  </si>
  <si>
    <t>52GLDS2GEMDB</t>
  </si>
  <si>
    <t>Muzinich Americayield Hedged USD Acc A</t>
  </si>
  <si>
    <t>IE0004347849</t>
  </si>
  <si>
    <t>5270972F4784</t>
  </si>
  <si>
    <t>Pictet-Global Emerging Debt-I USD</t>
  </si>
  <si>
    <t>LU0128469243</t>
  </si>
  <si>
    <t>5270802F6924</t>
  </si>
  <si>
    <t>Pinebridge Japan Small Cap Equity Y3 JPY</t>
  </si>
  <si>
    <t>IE0030395952</t>
  </si>
  <si>
    <t>5270945PBJSC</t>
  </si>
  <si>
    <t>PineBridge Asia ex Japan Small Cap Equity Y USD</t>
  </si>
  <si>
    <t>Equity Asia Pacific Sm&amp;Mid Cap</t>
  </si>
  <si>
    <t>Janus Henderson Global Life Sciences I2 USD</t>
  </si>
  <si>
    <t>IE0002141913</t>
  </si>
  <si>
    <t>5273112F4191</t>
  </si>
  <si>
    <t>Janus Henderson High Yield I1m USD</t>
  </si>
  <si>
    <t>IE0009531710</t>
  </si>
  <si>
    <t>5270282F3171</t>
  </si>
  <si>
    <t>Paper &amp; Forest Products</t>
  </si>
  <si>
    <t>iShares EURO STOXX Banks 30-15 UCITS ETF (DE) Dist</t>
  </si>
  <si>
    <t>DE0006289309</t>
  </si>
  <si>
    <t>5271284E8930</t>
  </si>
  <si>
    <t>Cencosud S.A.</t>
  </si>
  <si>
    <t>CL0000000100</t>
  </si>
  <si>
    <t>DWS Invest ESG Top Euroland FC</t>
  </si>
  <si>
    <t>LU0145647722</t>
  </si>
  <si>
    <t>5270414F7722</t>
  </si>
  <si>
    <t>Vontobel Fund European Equity B EUR Acc</t>
  </si>
  <si>
    <t>LU0153585137</t>
  </si>
  <si>
    <t>527049485137</t>
  </si>
  <si>
    <t>USP2205JAQ33</t>
  </si>
  <si>
    <t>Candriam Equities L Emerging Markets I EUR Cap</t>
  </si>
  <si>
    <t>LU0133355080</t>
  </si>
  <si>
    <t>48CAND4EMKC</t>
  </si>
  <si>
    <t>Fondo Mutuo Alternativo Extranj-Límite Local</t>
  </si>
  <si>
    <t>MSIF Global Convertible Bond Fund I USD Acc</t>
  </si>
  <si>
    <t>LU0149084476</t>
  </si>
  <si>
    <t>52MOST2GCOND</t>
  </si>
  <si>
    <t>Bond Convertibles Global</t>
  </si>
  <si>
    <t>PineBridge Asia ex Japan Equity Class Y USD</t>
  </si>
  <si>
    <t>IE0049168572</t>
  </si>
  <si>
    <t>5270942PB572</t>
  </si>
  <si>
    <t>Schroder ISF European Value C Acc EUR</t>
  </si>
  <si>
    <t>LU0161305759</t>
  </si>
  <si>
    <t>5270194EURVA</t>
  </si>
  <si>
    <t>Goldman Sachs US Fixed Income Pf Base Acc USD</t>
  </si>
  <si>
    <t>LU0234572708</t>
  </si>
  <si>
    <t>52GLDS2GIGUS</t>
  </si>
  <si>
    <t>Bond USD</t>
  </si>
  <si>
    <t>iShares $ Corp Bond UCITS ETF USD Dist</t>
  </si>
  <si>
    <t>IE0032895942</t>
  </si>
  <si>
    <t>5270732E9594</t>
  </si>
  <si>
    <t>Vanguard Japan Stock Index USD Acc</t>
  </si>
  <si>
    <t>IE0007292422</t>
  </si>
  <si>
    <t>5273952JAPIX</t>
  </si>
  <si>
    <t>Aviva Investors Emerging Markets Bond B USD</t>
  </si>
  <si>
    <t>LU0180621863</t>
  </si>
  <si>
    <t>52AVIV2EMMHC</t>
  </si>
  <si>
    <t>Schroder ISF Emerging Asia C Acc USD</t>
  </si>
  <si>
    <t>LU0181496059</t>
  </si>
  <si>
    <t>5270192SCHEC</t>
  </si>
  <si>
    <t>Equity Emerging Mkts Asia</t>
  </si>
  <si>
    <t>PIMCO GIS Emerging Mkts Bd Inst USD Acc</t>
  </si>
  <si>
    <t>IE0030759645</t>
  </si>
  <si>
    <t>5274122EMBFU</t>
  </si>
  <si>
    <t>Templeton Global Bond I (acc) USD</t>
  </si>
  <si>
    <t>LU0181997262</t>
  </si>
  <si>
    <t>5270772F9726</t>
  </si>
  <si>
    <t>Bond Global USD</t>
  </si>
  <si>
    <t>BNP Paribas US Small Cap I Cap</t>
  </si>
  <si>
    <t>LU0823411292</t>
  </si>
  <si>
    <t>5270462USMCP</t>
  </si>
  <si>
    <t>Schroder ISF Global High Yield C Acc USD</t>
  </si>
  <si>
    <t>LU0189893794</t>
  </si>
  <si>
    <t>5270192SCHHY</t>
  </si>
  <si>
    <t>Bond Global High Yield USD</t>
  </si>
  <si>
    <t>GB00B0119B50</t>
  </si>
  <si>
    <t>5274186JPALP</t>
  </si>
  <si>
    <t>Templeton Emerging Markets Bond I (acc) USD</t>
  </si>
  <si>
    <t>LU0195951966</t>
  </si>
  <si>
    <t>5270772F5196</t>
  </si>
  <si>
    <t>Templeton Global Total Return I (acc) USD</t>
  </si>
  <si>
    <t>LU0195953152</t>
  </si>
  <si>
    <t>5270772F5315</t>
  </si>
  <si>
    <t>JPM Japan Equity C Acc USD</t>
  </si>
  <si>
    <t>JPM US Value C Acc USD</t>
  </si>
  <si>
    <t>LU0129463179</t>
  </si>
  <si>
    <t>5270882JPUSV</t>
  </si>
  <si>
    <t>Veritas Asian A USD</t>
  </si>
  <si>
    <t>IE00B02T6L79</t>
  </si>
  <si>
    <t>5274302ASIAN</t>
  </si>
  <si>
    <t>Coca-Cola FEMSA, S.A.B. de C.V.</t>
  </si>
  <si>
    <t>US1912411089</t>
  </si>
  <si>
    <t>Beverages</t>
  </si>
  <si>
    <t>LU0823397798</t>
  </si>
  <si>
    <t>5270464ASEXJ</t>
  </si>
  <si>
    <t>AB FCP I-Emerging Markets Growth Portfolio S1 USD</t>
  </si>
  <si>
    <t>LU0206294794</t>
  </si>
  <si>
    <t>52ALLB2EMGRO</t>
  </si>
  <si>
    <t>JPM Europe Strategic Growth C Acc EUR</t>
  </si>
  <si>
    <t>LU0129443577</t>
  </si>
  <si>
    <t>5270884SGWEU</t>
  </si>
  <si>
    <t>BNY Mellon Emerging Mkts Debt C USD</t>
  </si>
  <si>
    <t>IE00B06YCB08</t>
  </si>
  <si>
    <t>5270062FCB08</t>
  </si>
  <si>
    <t>IE00B04TTX85</t>
  </si>
  <si>
    <t>5274302GLOBE</t>
  </si>
  <si>
    <t>Equity Global Income</t>
  </si>
  <si>
    <t>AIM FIIS US Sh Dur Hg Yld A Cap USD</t>
  </si>
  <si>
    <t>LU0188167505</t>
  </si>
  <si>
    <t>5270432F6750</t>
  </si>
  <si>
    <t>AIM FIIS US Sh Dur Hg Yld B Cap USD</t>
  </si>
  <si>
    <t>LU0211118053</t>
  </si>
  <si>
    <t>5270432USSHY</t>
  </si>
  <si>
    <t>PIMCO GIS Global High Yld Bd Inst USD Acc</t>
  </si>
  <si>
    <t>IE0002420739</t>
  </si>
  <si>
    <t>5274122GD0HY</t>
  </si>
  <si>
    <t>AXA WF Europe Small Cap I Cap EUR</t>
  </si>
  <si>
    <t>LU0184624863</t>
  </si>
  <si>
    <t>5270434F2486</t>
  </si>
  <si>
    <t>MFS Meridian Funds-Emerging Markets Debt I1 USD</t>
  </si>
  <si>
    <t>LU0219455952</t>
  </si>
  <si>
    <t>5270392F5595</t>
  </si>
  <si>
    <t>Janus Henderson Horizon Japanese SmComp I2 USD</t>
  </si>
  <si>
    <t>LU0196036015</t>
  </si>
  <si>
    <t>5274242JPYSC</t>
  </si>
  <si>
    <t>PineBridge India Equity Y USD</t>
  </si>
  <si>
    <t>BNP Paribas China Equity I Cap</t>
  </si>
  <si>
    <t>BNY Mellon Em Mkts Debt Local Curr C USD</t>
  </si>
  <si>
    <t>IE00B11YFN53</t>
  </si>
  <si>
    <t>5270062FFN53</t>
  </si>
  <si>
    <t>LU</t>
  </si>
  <si>
    <t>BNY Mellon Em Mkts Debt Local Curr C EUR</t>
  </si>
  <si>
    <t>IE00B11YFJ18</t>
  </si>
  <si>
    <t>5270064EMDEB</t>
  </si>
  <si>
    <t>LU0231473439</t>
  </si>
  <si>
    <t>5270254F7343</t>
  </si>
  <si>
    <t>Santander Latin American Corporate Bond I</t>
  </si>
  <si>
    <t>LU0363170191</t>
  </si>
  <si>
    <t>52SANT2LATAM</t>
  </si>
  <si>
    <t>Bond Emerging Markets Latin Am</t>
  </si>
  <si>
    <t>LU0231459107</t>
  </si>
  <si>
    <t>5270252F5910</t>
  </si>
  <si>
    <t>LU0231483743</t>
  </si>
  <si>
    <t>5270252F8374</t>
  </si>
  <si>
    <t>PIMCO GIS Glo Invt Grd Crdt E Cl EUR Hgd Acc</t>
  </si>
  <si>
    <t>IE00B11XZ434</t>
  </si>
  <si>
    <t>5274124GBLIG</t>
  </si>
  <si>
    <t>Bond Global Corporates USD</t>
  </si>
  <si>
    <t>AES Andes S.A.</t>
  </si>
  <si>
    <t>JPM Emerging Markets Equity I Acc USD</t>
  </si>
  <si>
    <t>LU0248044025</t>
  </si>
  <si>
    <t>5270882EMIUS</t>
  </si>
  <si>
    <t>JPM Japan Equity I Acc USD</t>
  </si>
  <si>
    <t>LU0248056110</t>
  </si>
  <si>
    <t>5270132F56110</t>
  </si>
  <si>
    <t>JPM Greater China I Acc USD</t>
  </si>
  <si>
    <t>LU0248053877</t>
  </si>
  <si>
    <t>5270882F3877</t>
  </si>
  <si>
    <t>Pictet-Emerging Local Currency Debt-I USD</t>
  </si>
  <si>
    <t>LU0255798018</t>
  </si>
  <si>
    <t>5270802F9801</t>
  </si>
  <si>
    <t>BNP Paribas India Equity I Cap</t>
  </si>
  <si>
    <t>LU0823429237</t>
  </si>
  <si>
    <t>5270462BNPIN</t>
  </si>
  <si>
    <t>Jupiter European Growth I EUR Acc</t>
  </si>
  <si>
    <t>LU0260086037</t>
  </si>
  <si>
    <t>5274564JEURG</t>
  </si>
  <si>
    <t>52JUPI4JEURG</t>
  </si>
  <si>
    <t>BNP Paribas Local Emerging Bd I Cap</t>
  </si>
  <si>
    <t>LU0823386593</t>
  </si>
  <si>
    <t>5270462F0367</t>
  </si>
  <si>
    <t>DWS Invest Global Agribusiness FC</t>
  </si>
  <si>
    <t>LU0273147834</t>
  </si>
  <si>
    <t>5270414F4783</t>
  </si>
  <si>
    <t>Equity Theme - Agribusiness</t>
  </si>
  <si>
    <t>AXA WF US Hg Yld Bds I Cap USD</t>
  </si>
  <si>
    <t>LU0276015889</t>
  </si>
  <si>
    <t>5270432F1588</t>
  </si>
  <si>
    <t>Schroder ISF Indian Equity C Acc USD</t>
  </si>
  <si>
    <t>LU0264410993</t>
  </si>
  <si>
    <t>5270192SCIND</t>
  </si>
  <si>
    <t>Aviva Investors Emerging Markets Loc Cur Bd A EUR</t>
  </si>
  <si>
    <t>LU0273494806</t>
  </si>
  <si>
    <t>52AVIV4EMLC</t>
  </si>
  <si>
    <t>DWS Invest Convertibles USD FCH</t>
  </si>
  <si>
    <t>LU0273179522</t>
  </si>
  <si>
    <t>5270412CONVE</t>
  </si>
  <si>
    <t>Xtrackers MSCI Japan UCITS ETF 1C</t>
  </si>
  <si>
    <t>LU0274209740</t>
  </si>
  <si>
    <t>5273972E0974</t>
  </si>
  <si>
    <t>Alsea, S.A.B. de C.V.</t>
  </si>
  <si>
    <t>Xtrackers DAX UCITS ETF 1C</t>
  </si>
  <si>
    <t>LU0274211480</t>
  </si>
  <si>
    <t>5273974E1148</t>
  </si>
  <si>
    <t>5270296FDJP0</t>
  </si>
  <si>
    <t>LU0278936439</t>
  </si>
  <si>
    <t>5270255M6439</t>
  </si>
  <si>
    <t>LU0278930234</t>
  </si>
  <si>
    <t>5270255A0234</t>
  </si>
  <si>
    <t>America Movil, S.A.B. de C.V.</t>
  </si>
  <si>
    <t>GAM Star China Equity Ord Acc USD</t>
  </si>
  <si>
    <t>IE00B1W3WR42</t>
  </si>
  <si>
    <t>52GAML2CHINA</t>
  </si>
  <si>
    <t>BGF Emerging Markets Bond D2 USD</t>
  </si>
  <si>
    <t>LU0297941386</t>
  </si>
  <si>
    <t>52BRAF2BEMRG</t>
  </si>
  <si>
    <t>ANTOFAGASTA PLC</t>
  </si>
  <si>
    <t>PIMCO GIS Emerging Local Bd Inst USD Acc</t>
  </si>
  <si>
    <t>Ninety One GSF Global Natural Res A Acc USD</t>
  </si>
  <si>
    <t>LU0345780950</t>
  </si>
  <si>
    <t>5276702INGDR</t>
  </si>
  <si>
    <t>Ninety One GSF Global Natural Res I Acc USD</t>
  </si>
  <si>
    <t>LU0345781172</t>
  </si>
  <si>
    <t>5276702F8117</t>
  </si>
  <si>
    <t>LU0231480137</t>
  </si>
  <si>
    <t>5270252F8013</t>
  </si>
  <si>
    <t>AU</t>
  </si>
  <si>
    <t>Fidelity Funds - Iberia Y-ACC-EUR</t>
  </si>
  <si>
    <t>LU0346389850</t>
  </si>
  <si>
    <t>5273874F8985</t>
  </si>
  <si>
    <t>iShares JP Morgan $ EM Bond UCITS ETF USD Dis</t>
  </si>
  <si>
    <t>IE00B2NPKV68</t>
  </si>
  <si>
    <t>5270732EPKV6</t>
  </si>
  <si>
    <t>Equity EuroZone Sm&amp;Mid Cap</t>
  </si>
  <si>
    <t>Berenberg Euro Floating Rate Notes SGB I D</t>
  </si>
  <si>
    <t>LU0321158882</t>
  </si>
  <si>
    <t>5275504BE882</t>
  </si>
  <si>
    <t>Bond EUR Short Term</t>
  </si>
  <si>
    <t>BNP Paribas Europe Small Cap I Cap</t>
  </si>
  <si>
    <t>LU0212179997</t>
  </si>
  <si>
    <t>5270464BPESC</t>
  </si>
  <si>
    <t>Lazard Convertible Europe PC H-EUR</t>
  </si>
  <si>
    <t>FR0010642611</t>
  </si>
  <si>
    <t>5274494CONVE</t>
  </si>
  <si>
    <t>Bond Convertibles Europe</t>
  </si>
  <si>
    <t>FR0010655746</t>
  </si>
  <si>
    <t>5273986E5574</t>
  </si>
  <si>
    <t>Templeton Asian Smaller Companies I (acc) USD</t>
  </si>
  <si>
    <t>LU0390136223</t>
  </si>
  <si>
    <t>5270772T6223</t>
  </si>
  <si>
    <t>MS INVF European High Yield Bd Fd Z EUR</t>
  </si>
  <si>
    <t>LU0360481153</t>
  </si>
  <si>
    <t>52MSIM4EURHY</t>
  </si>
  <si>
    <t>Comgest Growth Japan JPY I Acc</t>
  </si>
  <si>
    <t>IE00BQ1YBP44</t>
  </si>
  <si>
    <t>52COMG5JAPGR</t>
  </si>
  <si>
    <t>Nomura Funds Ireland-US High Yield Bond I USD</t>
  </si>
  <si>
    <t>IE00B3RW8498</t>
  </si>
  <si>
    <t>5273862FW849</t>
  </si>
  <si>
    <t>LU0411709560</t>
  </si>
  <si>
    <t>52BRAF2BRADF</t>
  </si>
  <si>
    <t>BlueBay Financial Capital Bond I EUR</t>
  </si>
  <si>
    <t>Bond Other</t>
  </si>
  <si>
    <t>BlueBay Financial Capital Bond I USD</t>
  </si>
  <si>
    <t>LU1163201939</t>
  </si>
  <si>
    <t>5275112FCBIU</t>
  </si>
  <si>
    <t>Robeco Emerging Stars Equities DL EUR</t>
  </si>
  <si>
    <t>LU0334642401</t>
  </si>
  <si>
    <t>5270264F4240</t>
  </si>
  <si>
    <t>Veritas Global Real Return GBP A</t>
  </si>
  <si>
    <t>IE00B5W1LR97</t>
  </si>
  <si>
    <t>5274306GLORR</t>
  </si>
  <si>
    <t>Alternative Long/Short Equity Global</t>
  </si>
  <si>
    <t>5270222F3349</t>
  </si>
  <si>
    <t>Goldman Sachs EMs CORE? Eq I Acc USD (Close)</t>
  </si>
  <si>
    <t>LU0313358250</t>
  </si>
  <si>
    <t>5270272F5825</t>
  </si>
  <si>
    <t>LU0453818972</t>
  </si>
  <si>
    <t>52BELL2F1897</t>
  </si>
  <si>
    <t>Robeco High Yield Bonds IH USD</t>
  </si>
  <si>
    <t>iShares Core MSCI World UCITS ETF USD (Acc)</t>
  </si>
  <si>
    <t>IE00B4L5Y983</t>
  </si>
  <si>
    <t>5270732E5Y98</t>
  </si>
  <si>
    <t>Banco de Bogota S.A.</t>
  </si>
  <si>
    <t>USP09252AK62</t>
  </si>
  <si>
    <t>iShares Core MSCI Japan IMI UCITS ETF USD Acc</t>
  </si>
  <si>
    <t>IE00B4L5YX21</t>
  </si>
  <si>
    <t>5270732E5YX2</t>
  </si>
  <si>
    <t>iShares Core MSCI EMU UCITS ETF EUR Acc</t>
  </si>
  <si>
    <t>IE00B53QG562</t>
  </si>
  <si>
    <t>5270734EG562</t>
  </si>
  <si>
    <t>5270734EQG56</t>
  </si>
  <si>
    <t>iShares Core EURO STOXX 50 UCITS ETF EUR (Acc)</t>
  </si>
  <si>
    <t>IE00B53L3W79</t>
  </si>
  <si>
    <t>5270734EL3W7</t>
  </si>
  <si>
    <t>Banco de Credito del Peru</t>
  </si>
  <si>
    <t>Ninety One GSF LatAm Corporate Debt I Acc USD</t>
  </si>
  <si>
    <t>LU0492943013</t>
  </si>
  <si>
    <t>5270292F4301</t>
  </si>
  <si>
    <t>Ninety One GSF Latin American Equity I Acc USD</t>
  </si>
  <si>
    <t>LU0492943443</t>
  </si>
  <si>
    <t>5270292LATAM</t>
  </si>
  <si>
    <t>PEP12000D039</t>
  </si>
  <si>
    <t>AB SICAV I-International Health Care Pf S1 USD</t>
  </si>
  <si>
    <t>LU0260062368</t>
  </si>
  <si>
    <t>5270074F6236</t>
  </si>
  <si>
    <t>FTGF Royce US Small Cap Opp Pr Acc USD</t>
  </si>
  <si>
    <t>IE00B23Z8S99</t>
  </si>
  <si>
    <t>5275242LEGGM</t>
  </si>
  <si>
    <t>iShares Core S&amp;P 500 UCITS ETF USD (Acc)</t>
  </si>
  <si>
    <t>IE00B5BMR087</t>
  </si>
  <si>
    <t>5270732EMR08</t>
  </si>
  <si>
    <t>US05971V2C81</t>
  </si>
  <si>
    <t>GS Europe HY-I Cap EUR (HG ii)</t>
  </si>
  <si>
    <t>LU0529383175</t>
  </si>
  <si>
    <t>5270224F8317</t>
  </si>
  <si>
    <t>Goldman Sachs Em Markets Debt Pf I Acc USD</t>
  </si>
  <si>
    <t>LU0234573185</t>
  </si>
  <si>
    <t>5270272F7318</t>
  </si>
  <si>
    <t>GB00B4ZM1M76</t>
  </si>
  <si>
    <t>5276846FM1M7</t>
  </si>
  <si>
    <t>Muzinich Short Duration High Yield Hgd USD Acc A</t>
  </si>
  <si>
    <t>IE00B59XD059</t>
  </si>
  <si>
    <t>5270972FXD05</t>
  </si>
  <si>
    <t>Xtrackers MSCI Japan UCITS ETF 2D HUSD</t>
  </si>
  <si>
    <t>LU0927735406</t>
  </si>
  <si>
    <t>5273972E3540</t>
  </si>
  <si>
    <t>Ninety One GSF Em Mkts LC Dyn Debt I Acc USD</t>
  </si>
  <si>
    <t>LU0565899027</t>
  </si>
  <si>
    <t>5274352INVDY</t>
  </si>
  <si>
    <t>Robeco QI Emerging Conservative Equities I EUR</t>
  </si>
  <si>
    <t>LU0582530498</t>
  </si>
  <si>
    <t>5273884F3049</t>
  </si>
  <si>
    <t>JPM Emerging Markets Small Cap I perf Acc USD</t>
  </si>
  <si>
    <t>LU0318933560</t>
  </si>
  <si>
    <t>5270882F3560</t>
  </si>
  <si>
    <t>Equity Emerging Markets Global Small &amp; Mid-Cap</t>
  </si>
  <si>
    <t>LU0603408385</t>
  </si>
  <si>
    <t>52MSIM2EMERG</t>
  </si>
  <si>
    <t>Bond Emerging Markets Global Corporates</t>
  </si>
  <si>
    <t>Ninety One GSF Em Mkts Corp Debt I Acc USD</t>
  </si>
  <si>
    <t>LU0611395327</t>
  </si>
  <si>
    <t>5270292EMCOD</t>
  </si>
  <si>
    <t>LU0566481197</t>
  </si>
  <si>
    <t>5270252AB197</t>
  </si>
  <si>
    <t>Nordea 1 - Emerging Stars Equity BI EUR</t>
  </si>
  <si>
    <t>LU0602539271</t>
  </si>
  <si>
    <t>52NORD4EMSTR</t>
  </si>
  <si>
    <t>Nordea 1 - Emerging Stars Equity BI USD</t>
  </si>
  <si>
    <t>LU0602539354</t>
  </si>
  <si>
    <t>52NORD2EMSEF</t>
  </si>
  <si>
    <t>Goldman Sachs Em Mkts Corp Bond Pf I Acc USD</t>
  </si>
  <si>
    <t>iShares JPM EM Local Govt Bond UCITS ETF USD D</t>
  </si>
  <si>
    <t>IE00B5M4WH52</t>
  </si>
  <si>
    <t>5270732E4WH5</t>
  </si>
  <si>
    <t>Cementos Pacasmayo S.A.A.</t>
  </si>
  <si>
    <t>JPM Emerging Markets Corporate Bd I Acc USD</t>
  </si>
  <si>
    <t>LU0512128439</t>
  </si>
  <si>
    <t>5253232MECIU</t>
  </si>
  <si>
    <t>5270132MECIU</t>
  </si>
  <si>
    <t>Deutsche Managed Dollar Advisory Accumulate</t>
  </si>
  <si>
    <t>IE00B5N2XQ43</t>
  </si>
  <si>
    <t>5270412DBDOL</t>
  </si>
  <si>
    <t>Robeco Chinese Equities I USD</t>
  </si>
  <si>
    <t>Jupiter European Fund I Class Accumulation</t>
  </si>
  <si>
    <t>GB00B5STJW84</t>
  </si>
  <si>
    <t>5274566EURO</t>
  </si>
  <si>
    <t>52JUPI6EURO</t>
  </si>
  <si>
    <t>LU0607514808</t>
  </si>
  <si>
    <t>5274085INJAD</t>
  </si>
  <si>
    <t>GB00B76V7Q08</t>
  </si>
  <si>
    <t>5275156FV7Q0</t>
  </si>
  <si>
    <t>Finiens Long Term Investment Program UI</t>
  </si>
  <si>
    <t>LU0632028865</t>
  </si>
  <si>
    <t>5275504FI865</t>
  </si>
  <si>
    <t>Mixed Asset EUR Flex - Global</t>
  </si>
  <si>
    <t>iShares USD Asia HY Bond ETF USD</t>
  </si>
  <si>
    <t>SG2D83975482</t>
  </si>
  <si>
    <t>5276932E7548</t>
  </si>
  <si>
    <t>Bond Asia Pacific HC</t>
  </si>
  <si>
    <t>Comgest Growth Europe EUR I Acc</t>
  </si>
  <si>
    <t>IE00B5WN3467</t>
  </si>
  <si>
    <t>52COMG4N3467</t>
  </si>
  <si>
    <t>5273982AEEMF</t>
  </si>
  <si>
    <t>Fidelity Funds - Emerging Markets I-ACC-USD</t>
  </si>
  <si>
    <t>LU0742536872</t>
  </si>
  <si>
    <t>5273872FIDEM</t>
  </si>
  <si>
    <t>Franklin Global Convertible Securities I acc USD</t>
  </si>
  <si>
    <t>LU0727122698</t>
  </si>
  <si>
    <t>5270772F2269</t>
  </si>
  <si>
    <t>LU0721876877</t>
  </si>
  <si>
    <t>5272092MACSM</t>
  </si>
  <si>
    <t>Equity China Small &amp; Mid Cap</t>
  </si>
  <si>
    <t>iShares MSCI ACWI UCITS ETF USD (Acc)</t>
  </si>
  <si>
    <t>IE00B6R52259</t>
  </si>
  <si>
    <t>5270732E5225</t>
  </si>
  <si>
    <t>iShares $ High Yield Corp Bond UCITS ETF USD D</t>
  </si>
  <si>
    <t>IE00B4PY7Y77</t>
  </si>
  <si>
    <t>5270732EY7Y7</t>
  </si>
  <si>
    <t>M&amp;G Global High Yield Bond Sterling R Acc</t>
  </si>
  <si>
    <t>GB00B3ZG2Y18</t>
  </si>
  <si>
    <t>5274376G2Y18</t>
  </si>
  <si>
    <t>Bond Global High Yield GBP</t>
  </si>
  <si>
    <t>5270292F0472</t>
  </si>
  <si>
    <t>Vanguard FTSE All-World UCITS ETF USD Dis</t>
  </si>
  <si>
    <t>IE00B3RBWM25</t>
  </si>
  <si>
    <t>5273952EBMW2</t>
  </si>
  <si>
    <t>Vanguard FTSE Emerging Mkts UCITS ETF USD Dis</t>
  </si>
  <si>
    <t>IE00B3VVMM84</t>
  </si>
  <si>
    <t>5273952EVMM8</t>
  </si>
  <si>
    <t>Vanguard S&amp;P 500 UCITS ETF USD Dis</t>
  </si>
  <si>
    <t>IE00B3XXRP09</t>
  </si>
  <si>
    <t>5273952EXRP0</t>
  </si>
  <si>
    <t>Nordea 1 - Emerging Market Bond BI USD</t>
  </si>
  <si>
    <t>LU0772925789</t>
  </si>
  <si>
    <t>52NORD2EMBBI</t>
  </si>
  <si>
    <t>iShares J.P. Morgan $ EM Corp Bd UCITS ETF USD D</t>
  </si>
  <si>
    <t>IE00B6TLBW47</t>
  </si>
  <si>
    <t>5270732ELBW4</t>
  </si>
  <si>
    <t>LU0636630260</t>
  </si>
  <si>
    <t>5275504GM260</t>
  </si>
  <si>
    <t>52CRSU2EMCHC</t>
  </si>
  <si>
    <t>DWS Invest Euro High Yield Corporates FC</t>
  </si>
  <si>
    <t>LU0616840772</t>
  </si>
  <si>
    <t>5273974EURHY</t>
  </si>
  <si>
    <t>MS INVF Emerging Leaders Equity Z USD</t>
  </si>
  <si>
    <t>LU0815264279</t>
  </si>
  <si>
    <t>52MSIM2CA24X</t>
  </si>
  <si>
    <t>Santander Select Moderate A</t>
  </si>
  <si>
    <t>LU0781563928</t>
  </si>
  <si>
    <t>52SANT4FIOCD</t>
  </si>
  <si>
    <t>Mixed Asset EUR Bal - Global</t>
  </si>
  <si>
    <t>GB00B5TGB445</t>
  </si>
  <si>
    <t>5274566GB445</t>
  </si>
  <si>
    <t>52JUPI6GB445</t>
  </si>
  <si>
    <t>Ashmore SICAV EM Frontier Equity I USD Inc</t>
  </si>
  <si>
    <t>LU0794787092</t>
  </si>
  <si>
    <t>5274142ASHFM</t>
  </si>
  <si>
    <t>Frontier Markets</t>
  </si>
  <si>
    <t>Berenberg Euro Enhanced Liquidity AK I D</t>
  </si>
  <si>
    <t>DE000A1J3N83</t>
  </si>
  <si>
    <t>5275504J3N83</t>
  </si>
  <si>
    <t>Bond EUR</t>
  </si>
  <si>
    <t>GAM Star Continental European Equity Inst Acc EUR</t>
  </si>
  <si>
    <t>IE00B3CTFW21</t>
  </si>
  <si>
    <t>52GAML4ECIEA</t>
  </si>
  <si>
    <t>MainFirst - Em Markets Corp Bond Fund Bal C</t>
  </si>
  <si>
    <t>LU0816909955</t>
  </si>
  <si>
    <t>527474209955</t>
  </si>
  <si>
    <t>Allianz German Equity W-EUR</t>
  </si>
  <si>
    <t>LU0840619489</t>
  </si>
  <si>
    <t>5270474ALLGR</t>
  </si>
  <si>
    <t>EL PUERTO DE LIVERPOOL, S.A.B. DE C.V.</t>
  </si>
  <si>
    <t>Candriam Bonds Emerging Debt Local Cur C EUR C</t>
  </si>
  <si>
    <t>LU0616945282</t>
  </si>
  <si>
    <t>48CAND4EMLCC</t>
  </si>
  <si>
    <t>Schroder ISF China Local Currency Bond C Acc USD</t>
  </si>
  <si>
    <t>LU0845699684</t>
  </si>
  <si>
    <t>5275152LU084</t>
  </si>
  <si>
    <t>Bond CNY</t>
  </si>
  <si>
    <t>Xtrackers MSCI EMU UCITS ETF 1D</t>
  </si>
  <si>
    <t>5273974E9477</t>
  </si>
  <si>
    <t>USP3691NBF61</t>
  </si>
  <si>
    <t>Allianz Euroland Equity Growth WT-EUR</t>
  </si>
  <si>
    <t>LU0635707705</t>
  </si>
  <si>
    <t>52CRSU2GLOAN</t>
  </si>
  <si>
    <t>527497215850</t>
  </si>
  <si>
    <t>5272022F1437</t>
  </si>
  <si>
    <t>LU0886779783</t>
  </si>
  <si>
    <t>5270252ABEEM</t>
  </si>
  <si>
    <t>Vontobel Fund EM Debt I USD Acc</t>
  </si>
  <si>
    <t>Vanguard FTSE Developed Europe UCITS ETF EUR D</t>
  </si>
  <si>
    <t>IE00B945VV12</t>
  </si>
  <si>
    <t>5273956E5VV1</t>
  </si>
  <si>
    <t>Vanguard FTSE Japan UCITS ETF USD Dist</t>
  </si>
  <si>
    <t>IE00B95PGT31</t>
  </si>
  <si>
    <t>5273952EPGT3</t>
  </si>
  <si>
    <t>Robeco Global Consumer Trends I USD</t>
  </si>
  <si>
    <t>LU0936248318</t>
  </si>
  <si>
    <t>5273882RGCTI</t>
  </si>
  <si>
    <t>IE00B99K4563</t>
  </si>
  <si>
    <t>52NBER2EMDHC</t>
  </si>
  <si>
    <t>Janus Henderson China Opportunities I Acc USD</t>
  </si>
  <si>
    <t>GB00B4YXVT80</t>
  </si>
  <si>
    <t>5273112FXVT8</t>
  </si>
  <si>
    <t>Ashmore SICAV EM Corporate Debt I USD Acc</t>
  </si>
  <si>
    <t>LU0860715415</t>
  </si>
  <si>
    <t>52NORT2F1541</t>
  </si>
  <si>
    <t>JPM Global Bond Opportunities I Acc USD</t>
  </si>
  <si>
    <t>LU0867954777</t>
  </si>
  <si>
    <t>5270882JPGLB</t>
  </si>
  <si>
    <t>GBM Fondo de Crecimiento SA de CV FIRV BP</t>
  </si>
  <si>
    <t>MX52GB0W0043</t>
  </si>
  <si>
    <t>52GBMA9FEME</t>
  </si>
  <si>
    <t>Mixed Asset Other Flexible</t>
  </si>
  <si>
    <t>Ashmore SICAV EM Asian High Yield Debt I USD Inc</t>
  </si>
  <si>
    <t>LU0849905665</t>
  </si>
  <si>
    <t>52NORT2F0566</t>
  </si>
  <si>
    <t>Ashmore SICAV EM Local Cur Bd I USD Acc</t>
  </si>
  <si>
    <t>LU0880945901</t>
  </si>
  <si>
    <t>5274142F4590</t>
  </si>
  <si>
    <t>Robeco Asian Stars Equities IL USD</t>
  </si>
  <si>
    <t>LU0963031652</t>
  </si>
  <si>
    <t>5273882RBAST</t>
  </si>
  <si>
    <t>5274972DI16R</t>
  </si>
  <si>
    <t>GAM Star Credit Opportunities (USD) Inst Acc USD</t>
  </si>
  <si>
    <t>IE00B5769310</t>
  </si>
  <si>
    <t>52GAML2USCOF</t>
  </si>
  <si>
    <t>Alternative Credit Focus</t>
  </si>
  <si>
    <t>LU0912262945</t>
  </si>
  <si>
    <t>5270252F6294</t>
  </si>
  <si>
    <t>JPM Asia Growth I Acc USD</t>
  </si>
  <si>
    <t>LU0943624824</t>
  </si>
  <si>
    <t>5270882ALCIA</t>
  </si>
  <si>
    <t>GAM Star Japan Leaders Inst Acc USD</t>
  </si>
  <si>
    <t>IE00B3CTGR43</t>
  </si>
  <si>
    <t>5274532FTGR4</t>
  </si>
  <si>
    <t>Ashmore SICAV EM Debt I USD Acc</t>
  </si>
  <si>
    <t>LU0912263752</t>
  </si>
  <si>
    <t>52NORT2EMDBT</t>
  </si>
  <si>
    <t>JPM Emerging Markets Debt I Acc USD</t>
  </si>
  <si>
    <t>LU0973522674</t>
  </si>
  <si>
    <t>5270882F2267</t>
  </si>
  <si>
    <t>Robeco High Yield Bonds I USD</t>
  </si>
  <si>
    <t>LU0990544842</t>
  </si>
  <si>
    <t>5273882HIGHY</t>
  </si>
  <si>
    <t>GS FrntierMrk Db HC-I Cap USD</t>
  </si>
  <si>
    <t>LU0990547431</t>
  </si>
  <si>
    <t>52702222NNFMD</t>
  </si>
  <si>
    <t>AXA WF US Dynamic Hg Yld Bds I Cap USD</t>
  </si>
  <si>
    <t>LU0998992639</t>
  </si>
  <si>
    <t>5270432AX639</t>
  </si>
  <si>
    <t>LU1003376065</t>
  </si>
  <si>
    <t>52702527606A</t>
  </si>
  <si>
    <t>Jupiter European Growth D GBP Acc</t>
  </si>
  <si>
    <t>LU0946223368</t>
  </si>
  <si>
    <t>5274566EURG</t>
  </si>
  <si>
    <t>52JUPI6EURG</t>
  </si>
  <si>
    <t>Comgest Growth Europe Opps EUR I Acc</t>
  </si>
  <si>
    <t>IE00BHWQNN83</t>
  </si>
  <si>
    <t>52COMG4QNN83</t>
  </si>
  <si>
    <t>Vanguard Eurozone Stock Index USD Acc</t>
  </si>
  <si>
    <t>IE00B02JYG83</t>
  </si>
  <si>
    <t>5273952EUZSI</t>
  </si>
  <si>
    <t>Lord Abbett High Yield I USD Acc</t>
  </si>
  <si>
    <t>IE00BFNWYS31</t>
  </si>
  <si>
    <t>5274852WYS31</t>
  </si>
  <si>
    <t>Comgest Growth Europe Smaller Companies EUR I Acc</t>
  </si>
  <si>
    <t>IE00BHWQNP08</t>
  </si>
  <si>
    <t>52COMG4QNP08</t>
  </si>
  <si>
    <t>52GLOE2GEFFM</t>
  </si>
  <si>
    <t>LU1034951563</t>
  </si>
  <si>
    <t>52EDMG4SPAIN</t>
  </si>
  <si>
    <t>Ashmore SICAV EM Short Duration I USD Acc</t>
  </si>
  <si>
    <t>LU1076333167</t>
  </si>
  <si>
    <t>52NORT2F3316</t>
  </si>
  <si>
    <t>iShares Core MSCI EM IMI UCITS ETF USD Acc</t>
  </si>
  <si>
    <t>IE00BKM4GZ66</t>
  </si>
  <si>
    <t>5270732E4GZ6</t>
  </si>
  <si>
    <t>Grupo Mexico, S.A.B. de C.V.</t>
  </si>
  <si>
    <t>MXP370841019</t>
  </si>
  <si>
    <t>GS Central Europe EQ-I Cap EUR</t>
  </si>
  <si>
    <t>LU1086912554</t>
  </si>
  <si>
    <t>5270224CZCHE</t>
  </si>
  <si>
    <t>LU1102506067</t>
  </si>
  <si>
    <t>5273872F0606</t>
  </si>
  <si>
    <t>Candriam Bonds Euro High Yield Ss EUR D</t>
  </si>
  <si>
    <t>LU1010337324</t>
  </si>
  <si>
    <t>48CAND4EURHY</t>
  </si>
  <si>
    <t>XS0931063779</t>
  </si>
  <si>
    <t>MSIF US High Yield Middle Market Bond Fd Z USD Acc</t>
  </si>
  <si>
    <t>LU1134228409</t>
  </si>
  <si>
    <t>52MSIM2MSUHY</t>
  </si>
  <si>
    <t>LU0675296932</t>
  </si>
  <si>
    <t>5274104AVEUR</t>
  </si>
  <si>
    <t>5270472ALLEM</t>
  </si>
  <si>
    <t>LU1130125799</t>
  </si>
  <si>
    <t>5270252F5799</t>
  </si>
  <si>
    <t>GAM Multistock - Emerging Markets Eq-USD C</t>
  </si>
  <si>
    <t>LU1112790479</t>
  </si>
  <si>
    <t>5270182JBEME</t>
  </si>
  <si>
    <t>iShares Edge MSCI Eu Val Factor UCITS ETF EUR Acc</t>
  </si>
  <si>
    <t>IE00BQN1K901</t>
  </si>
  <si>
    <t>5270734EUVAF</t>
  </si>
  <si>
    <t>Pictet-Chinese Local Currency Debt-I USD</t>
  </si>
  <si>
    <t>Bond Asia Pacific LC</t>
  </si>
  <si>
    <t>IE00BW4NVR20</t>
  </si>
  <si>
    <t>52WELI2NVR20</t>
  </si>
  <si>
    <t>Matthews Asia Fds-Japan I Acc USD</t>
  </si>
  <si>
    <t>LU1220257130</t>
  </si>
  <si>
    <t>5272092F5713</t>
  </si>
  <si>
    <t>52MDOM230822</t>
  </si>
  <si>
    <t>Ninety One GSF All China Equity I Acc USD</t>
  </si>
  <si>
    <t>LU1235249262</t>
  </si>
  <si>
    <t>5274352CHINA</t>
  </si>
  <si>
    <t>LU1079841513</t>
  </si>
  <si>
    <t>5274162E4151</t>
  </si>
  <si>
    <t>Eastspring Investments-Japan Dynamic CJ</t>
  </si>
  <si>
    <t>Nomura Funds Ireland-India Equity Fund I USD</t>
  </si>
  <si>
    <t>IE00B3SHFF36</t>
  </si>
  <si>
    <t>5273862HFF36</t>
  </si>
  <si>
    <t>IE00BYPC7R45</t>
  </si>
  <si>
    <t>52UTII2C7R45</t>
  </si>
  <si>
    <t>IE00BYYTL417</t>
  </si>
  <si>
    <t>52TOKI5JAPEF</t>
  </si>
  <si>
    <t>Invesco Euro Equity S EUR Acc</t>
  </si>
  <si>
    <t>5274084EUROP</t>
  </si>
  <si>
    <t>CSIF (Lux) Equity EMU Small Cap Blue DB EUR</t>
  </si>
  <si>
    <t>LU1268048490</t>
  </si>
  <si>
    <t>5275104LU126</t>
  </si>
  <si>
    <t>Vontobel Fund Emerging Mkts Blend I USD Acc</t>
  </si>
  <si>
    <t>LU1256229680</t>
  </si>
  <si>
    <t>5270492F2968</t>
  </si>
  <si>
    <t>GB00BZ2YND85</t>
  </si>
  <si>
    <t>5274566FYND8</t>
  </si>
  <si>
    <t>5274742MONLA</t>
  </si>
  <si>
    <t>5274692JHR67</t>
  </si>
  <si>
    <t>5274692JHW11</t>
  </si>
  <si>
    <t>iShares S&amp;P 500 Financials Sector UCITS ETF USD A</t>
  </si>
  <si>
    <t>IE00B4JNQZ49</t>
  </si>
  <si>
    <t>5270732ENQZ4</t>
  </si>
  <si>
    <t>LARGO INC.</t>
  </si>
  <si>
    <t>CA5170971017</t>
  </si>
  <si>
    <t>Vontobel Fund EM Corporate Bond I USD Acc</t>
  </si>
  <si>
    <t>iShares Fallen Angels HY Corp Bd UCITS ETF USD D</t>
  </si>
  <si>
    <t>IE00BYM31M36</t>
  </si>
  <si>
    <t>5270732E31M3</t>
  </si>
  <si>
    <t>Fidelity Funds - European Dynamic Gth I-ACC-EUR</t>
  </si>
  <si>
    <t>Lazard Convertible Global PC USD</t>
  </si>
  <si>
    <t>MSIF Asia Opportunity Fund Z USD Acc</t>
  </si>
  <si>
    <t>LU1378878604</t>
  </si>
  <si>
    <t>5275232F8604</t>
  </si>
  <si>
    <t>MS INVF Europe Opportunity I EUR</t>
  </si>
  <si>
    <t>LU1387591560</t>
  </si>
  <si>
    <t>5275234F1560</t>
  </si>
  <si>
    <t>CSIF (Lux) Equity EMU Small Cap Blue QB EUR</t>
  </si>
  <si>
    <t>LU1390246210</t>
  </si>
  <si>
    <t>52CRSU4EURSC</t>
  </si>
  <si>
    <t>Luz del Sur S.A.A.</t>
  </si>
  <si>
    <t>PEP702521001</t>
  </si>
  <si>
    <t>Candriam Bonds Euro High Yield S EUR C</t>
  </si>
  <si>
    <t>LU1432307756</t>
  </si>
  <si>
    <t>48CAND4EHY2</t>
  </si>
  <si>
    <t>LU1432415641</t>
  </si>
  <si>
    <t>5273974EUHY2</t>
  </si>
  <si>
    <t>PEP70252M267</t>
  </si>
  <si>
    <t>PEP70252M275</t>
  </si>
  <si>
    <t>Candriam Equities L Emerging Markets V2 EUR Cap</t>
  </si>
  <si>
    <t>LU1397645281</t>
  </si>
  <si>
    <t>48CAND4EMVCE</t>
  </si>
  <si>
    <t>Bellevue F (Lux) Bellevue Healthcare Strat I USD</t>
  </si>
  <si>
    <t>LU1477742818</t>
  </si>
  <si>
    <t>52BELL2F4281</t>
  </si>
  <si>
    <t>PEP70252M283</t>
  </si>
  <si>
    <t>Candriam Sustainable Equity Emerging Mkt I EUR C</t>
  </si>
  <si>
    <t>LU1434524259</t>
  </si>
  <si>
    <t>5275064CSEEM</t>
  </si>
  <si>
    <t>PEP70252M317</t>
  </si>
  <si>
    <t>FTGF ClearBridgeInfra Val Pr USD Acc</t>
  </si>
  <si>
    <t>IE00BD4GV785</t>
  </si>
  <si>
    <t>5270772FGV78</t>
  </si>
  <si>
    <t>Equity Theme - Infrastructure</t>
  </si>
  <si>
    <t>PEP70252M325</t>
  </si>
  <si>
    <t>DPAM L Bonds Emerging Markets Sust F USD Cap</t>
  </si>
  <si>
    <t>PEP70252M333</t>
  </si>
  <si>
    <t>Robeco Chinese A-share Equities I USD</t>
  </si>
  <si>
    <t>LU1529950328</t>
  </si>
  <si>
    <t>5273882F0328</t>
  </si>
  <si>
    <t>DWS Invest Brazilian Equities IC</t>
  </si>
  <si>
    <t>LU1573968200</t>
  </si>
  <si>
    <t>5270414DBRZE</t>
  </si>
  <si>
    <t>LU1668149443</t>
  </si>
  <si>
    <t>5270404F4944</t>
  </si>
  <si>
    <t>FTGF ClearBridgeInfra Val F USD Acc</t>
  </si>
  <si>
    <t>IE00BYZ6J585</t>
  </si>
  <si>
    <t>52707726J585</t>
  </si>
  <si>
    <t>Candriam Bonds Emerging Markets V2 USD C</t>
  </si>
  <si>
    <t>LU1410485624</t>
  </si>
  <si>
    <t>48CAND2EMBON</t>
  </si>
  <si>
    <t>AXA WF Digital Economy I Cap USD</t>
  </si>
  <si>
    <t>LU1694772994</t>
  </si>
  <si>
    <t>5270432F2994</t>
  </si>
  <si>
    <t>Schroder ISF China A C Acc USD</t>
  </si>
  <si>
    <t>52751520769L</t>
  </si>
  <si>
    <t>5275194BERSC</t>
  </si>
  <si>
    <t>5273662CORP1</t>
  </si>
  <si>
    <t>52MDOM2CORP1</t>
  </si>
  <si>
    <t>LU1683287707</t>
  </si>
  <si>
    <t>5275102CSGDE</t>
  </si>
  <si>
    <t>Edmond de Rothschild Emerging Cred K USD</t>
  </si>
  <si>
    <t>LU1564424452</t>
  </si>
  <si>
    <t>52EDMO224452</t>
  </si>
  <si>
    <t>Lazard Capital Fi SRI SC EUR</t>
  </si>
  <si>
    <t>Vontobel Fund mtx Sust EM Lds G USD Acc</t>
  </si>
  <si>
    <t>LU1767066605</t>
  </si>
  <si>
    <t>5270492F6660</t>
  </si>
  <si>
    <t>LU1670626446</t>
  </si>
  <si>
    <t>5274374MGJAP</t>
  </si>
  <si>
    <t>M&amp;G (Lux) Japan Smaller Companies EUR A Acc</t>
  </si>
  <si>
    <t>LU1670715975</t>
  </si>
  <si>
    <t>5274374JAPSC</t>
  </si>
  <si>
    <t>M&amp;G (Lux) Japan Smaller Companies USD A Acc</t>
  </si>
  <si>
    <t>LU1670715629</t>
  </si>
  <si>
    <t>5274372JAPSC</t>
  </si>
  <si>
    <t>Veritas Asian C USD</t>
  </si>
  <si>
    <t>DWS Invest Latin American Equities FC50</t>
  </si>
  <si>
    <t>LU1796233820</t>
  </si>
  <si>
    <t>5270414DFC5I</t>
  </si>
  <si>
    <t>Invesco Continental Eupn Small Cap Eq S EUR Acc</t>
  </si>
  <si>
    <t>LU1775962480</t>
  </si>
  <si>
    <t>5274134CESEA</t>
  </si>
  <si>
    <t>iShares J.P. Morgan $ EM Corp Bd UCITS ETF USD A</t>
  </si>
  <si>
    <t>IE00BFM6TD65</t>
  </si>
  <si>
    <t>5270732E6TD5</t>
  </si>
  <si>
    <t>Barings EM Local Debt B USD Acc</t>
  </si>
  <si>
    <t>iShares China CNY Bond UCITS ETF USD (Dist)</t>
  </si>
  <si>
    <t>IE00BYPC1H27</t>
  </si>
  <si>
    <t>5270734IE00B</t>
  </si>
  <si>
    <t>Invesco AT1 Capital Bond UCITS ETF Acc</t>
  </si>
  <si>
    <t>IE00BFZPF322</t>
  </si>
  <si>
    <t>5276632EPF32</t>
  </si>
  <si>
    <t>M&amp;G (Lux) Emerging Markets Bd USD Cl Acc</t>
  </si>
  <si>
    <t>LU1797810857</t>
  </si>
  <si>
    <t>5274372L0857</t>
  </si>
  <si>
    <t>M&amp;G (Lux) Global Floating Rate HY USD CI Acc</t>
  </si>
  <si>
    <t>LU1866903385</t>
  </si>
  <si>
    <t>5274372L3385</t>
  </si>
  <si>
    <t>DWS Invest CROCI Euro IC</t>
  </si>
  <si>
    <t>LU1769937829</t>
  </si>
  <si>
    <t>5270414CROCI</t>
  </si>
  <si>
    <t>5273974F3782</t>
  </si>
  <si>
    <t>5275332JJ945</t>
  </si>
  <si>
    <t>Invesco Global Consumer Trends S USD Acc</t>
  </si>
  <si>
    <t>LU1887442066</t>
  </si>
  <si>
    <t>5274082CONST</t>
  </si>
  <si>
    <t>iShares MSCI Brazil UCITS ETF (DE)</t>
  </si>
  <si>
    <t>DE000A0Q4R85</t>
  </si>
  <si>
    <t>5271282EQ4R8</t>
  </si>
  <si>
    <t>LU1866781336</t>
  </si>
  <si>
    <t>5274104AVEAC</t>
  </si>
  <si>
    <t>CT (Lux) European Smaller Companies 2E EUR</t>
  </si>
  <si>
    <t>LU1865158890</t>
  </si>
  <si>
    <t>5270854TSMEQ</t>
  </si>
  <si>
    <t>LU1548499711</t>
  </si>
  <si>
    <t>5270474GAIWT</t>
  </si>
  <si>
    <t>52NBER2FGRM4</t>
  </si>
  <si>
    <t>UBS (Lux) Eq Fd - China Opport (USD) I-A3-acc</t>
  </si>
  <si>
    <t>PIMCO GIS Asia High Yld Bd Inst USD Acc</t>
  </si>
  <si>
    <t>LU1883863851</t>
  </si>
  <si>
    <t>5273982F6385</t>
  </si>
  <si>
    <t>Amundi Funds Global Subordinated Bond - I2 EUR C</t>
  </si>
  <si>
    <t>LU1883334515</t>
  </si>
  <si>
    <t>5273984AGSBI</t>
  </si>
  <si>
    <t>LU2014311232</t>
  </si>
  <si>
    <t>5274082LU201</t>
  </si>
  <si>
    <t>UI Aktia EM Frontier Bond+ I-USD</t>
  </si>
  <si>
    <t>LU1950511193</t>
  </si>
  <si>
    <t>5275502U1193</t>
  </si>
  <si>
    <t>52NORD2EHBPU</t>
  </si>
  <si>
    <t>JPM China A-Share Opportunities I Acc USD</t>
  </si>
  <si>
    <t>LU2055182070</t>
  </si>
  <si>
    <t>5270882LU205</t>
  </si>
  <si>
    <t>UBS (Lux) Equity SICAV All China (USD) I-A3-acc</t>
  </si>
  <si>
    <t>LU2061828062</t>
  </si>
  <si>
    <t>5270082F8062</t>
  </si>
  <si>
    <t>DWS Invest Global Agribusiness IC</t>
  </si>
  <si>
    <t>LU2058011201</t>
  </si>
  <si>
    <t>5270414F1120</t>
  </si>
  <si>
    <t>Vanguard Emerging Markets Bond Investor USD Acc</t>
  </si>
  <si>
    <t>Vanguard Emerging Markets Bond Inst Plus USD Acc</t>
  </si>
  <si>
    <t>Jupiter Pan European Smaller Comp I EUR Acc</t>
  </si>
  <si>
    <t>LU2091609516</t>
  </si>
  <si>
    <t>5274564LA16C</t>
  </si>
  <si>
    <t>52JUPI4LA16C</t>
  </si>
  <si>
    <t>FALABELLA S.A.</t>
  </si>
  <si>
    <t>Candriam Equities L Biotechnology V2 USD C</t>
  </si>
  <si>
    <t>LU2026682919</t>
  </si>
  <si>
    <t>52CAND2CACEL</t>
  </si>
  <si>
    <t>Equity Sector Biotechnology</t>
  </si>
  <si>
    <t>Candriam Equities L Europe Innovation V2 EUR Cap</t>
  </si>
  <si>
    <t>LU2026683131</t>
  </si>
  <si>
    <t>5275064CAELE</t>
  </si>
  <si>
    <t>USP82290AR17</t>
  </si>
  <si>
    <t>BGF World Technology I2 USD</t>
  </si>
  <si>
    <t>LU2134542260</t>
  </si>
  <si>
    <t>5274292E2260</t>
  </si>
  <si>
    <t>Berenberg European Focus Fund I A</t>
  </si>
  <si>
    <t>LU1966825462</t>
  </si>
  <si>
    <t>52751942546L</t>
  </si>
  <si>
    <t>Candriam Sustainable Equity Emerging Mkt I USD C</t>
  </si>
  <si>
    <t>LU1797946594</t>
  </si>
  <si>
    <t>52CAND246594</t>
  </si>
  <si>
    <t>Scotiabank Peru S.A.A.</t>
  </si>
  <si>
    <t>PEP140001004</t>
  </si>
  <si>
    <t>iShares China CNY Bond UCITS ETF USD (Acc)</t>
  </si>
  <si>
    <t>IE00BKPSFD61</t>
  </si>
  <si>
    <t>5270732ESFD6</t>
  </si>
  <si>
    <t>52751946750L</t>
  </si>
  <si>
    <t>Barings EM Sovereign Debt B USD Acc</t>
  </si>
  <si>
    <t>LU1805531933</t>
  </si>
  <si>
    <t>52751023193L</t>
  </si>
  <si>
    <t>Allianz China A Opportunities WT7-USD</t>
  </si>
  <si>
    <t>LU2308715312</t>
  </si>
  <si>
    <t>5270472AGIF2</t>
  </si>
  <si>
    <t>5274852V3A43</t>
  </si>
  <si>
    <t>Ashmore SICAV EM Asian High Yield Debt I USD Acc</t>
  </si>
  <si>
    <t>LU0912264727</t>
  </si>
  <si>
    <t>52NORT2F6472</t>
  </si>
  <si>
    <t>Fondo Mutuo ETF It Now S&amp;P IPSA ESG</t>
  </si>
  <si>
    <t>CL0002682632</t>
  </si>
  <si>
    <t>None</t>
  </si>
  <si>
    <t>GB00BKPQVT86</t>
  </si>
  <si>
    <t>5276846FQVT8</t>
  </si>
  <si>
    <t>Grupo de Inversiones Suramericana S.A.</t>
  </si>
  <si>
    <t>USG42036AB25</t>
  </si>
  <si>
    <t>Volcan Compania Minera S.A.A.</t>
  </si>
  <si>
    <t>FRESNILLO PLC</t>
  </si>
  <si>
    <t>US358070AB61</t>
  </si>
  <si>
    <t>USG371E72B25</t>
  </si>
  <si>
    <t>BBVA Mexico, S.A., Institucion de Banca Multiple, Grupo Financiero BBVA Mexico</t>
  </si>
  <si>
    <t>Minera Mexico, S.A. de C.V.</t>
  </si>
  <si>
    <t>USP6777MAB83</t>
  </si>
  <si>
    <t>Inversiones CMPC S.A.</t>
  </si>
  <si>
    <t>USP58072AL66</t>
  </si>
  <si>
    <t>VALE OVERSEAS LIMITED</t>
  </si>
  <si>
    <t>US91911TAK97</t>
  </si>
  <si>
    <t>CONSORCIO TRANSMANTARO S.A.</t>
  </si>
  <si>
    <t>USP3083SAD73</t>
  </si>
  <si>
    <t>USP3083SAF22</t>
  </si>
  <si>
    <t>SCOTIA SOCIEDAD TITULIZADORA S.A.</t>
  </si>
  <si>
    <t>PEP80200F276</t>
  </si>
  <si>
    <t>Red de Energia del Peru S.A.</t>
  </si>
  <si>
    <t>PEP70310M123</t>
  </si>
  <si>
    <t>PEP70310M131</t>
  </si>
  <si>
    <t>Soberano</t>
  </si>
  <si>
    <t>RF_SOV</t>
  </si>
  <si>
    <t>Grupo Energia Bogota S.A. ESP</t>
  </si>
  <si>
    <t>USP4R53VAB95</t>
  </si>
  <si>
    <t>Republica del Peru</t>
  </si>
  <si>
    <t>PEP01000C1S8</t>
  </si>
  <si>
    <t>PEP01000C4Q6</t>
  </si>
  <si>
    <t>PEP01000C4T0</t>
  </si>
  <si>
    <t>PEP01000C4U8</t>
  </si>
  <si>
    <t>PEP01000C4V6</t>
  </si>
  <si>
    <t>PEP01000CV85</t>
  </si>
  <si>
    <t>US715638AP79</t>
  </si>
  <si>
    <t>US715638AS19</t>
  </si>
  <si>
    <t>US715638AU64</t>
  </si>
  <si>
    <t>US715638BM30</t>
  </si>
  <si>
    <t>US715638BU55</t>
  </si>
  <si>
    <t>US715638DA73</t>
  </si>
  <si>
    <t>US715638DC30</t>
  </si>
  <si>
    <t>US715638DP43</t>
  </si>
  <si>
    <t>US715638DQ26</t>
  </si>
  <si>
    <t>US715638DR09</t>
  </si>
  <si>
    <t>US715638DT64</t>
  </si>
  <si>
    <t>US715638DU38</t>
  </si>
  <si>
    <t>US715638DW93</t>
  </si>
  <si>
    <t>USP87324BE10</t>
  </si>
  <si>
    <t>Commonwealth of Australia</t>
  </si>
  <si>
    <t>AU0000075681</t>
  </si>
  <si>
    <t>AU0000217101</t>
  </si>
  <si>
    <t>AU0000300535</t>
  </si>
  <si>
    <t>Estados Unidos Mexicanos</t>
  </si>
  <si>
    <t>MX0MGO0000B2</t>
  </si>
  <si>
    <t>MX0MGO0000D8</t>
  </si>
  <si>
    <t>MX0MGO0000H9</t>
  </si>
  <si>
    <t>MX0MGO0000J5</t>
  </si>
  <si>
    <t>MX0MGO0000P2</t>
  </si>
  <si>
    <t>MX0MGO0000U2</t>
  </si>
  <si>
    <t>MX0MGO0000Y4</t>
  </si>
  <si>
    <t>US91086QAG38</t>
  </si>
  <si>
    <t>US91086QAS75</t>
  </si>
  <si>
    <t>US91086QAV05</t>
  </si>
  <si>
    <t>US91086QAZ19</t>
  </si>
  <si>
    <t>US91086QBB32</t>
  </si>
  <si>
    <t>US91086QBE70</t>
  </si>
  <si>
    <t>US91086QBF46</t>
  </si>
  <si>
    <t>US91086QBG29</t>
  </si>
  <si>
    <t>US91087BAB62</t>
  </si>
  <si>
    <t>US91087BAD29</t>
  </si>
  <si>
    <t>US91087BAE02</t>
  </si>
  <si>
    <t>US91087BAF76</t>
  </si>
  <si>
    <t>US91087BAG59</t>
  </si>
  <si>
    <t>US91087BAH33</t>
  </si>
  <si>
    <t>US91087BAK61</t>
  </si>
  <si>
    <t>US91087BAL45</t>
  </si>
  <si>
    <t>US91087BAN01</t>
  </si>
  <si>
    <t>US91087BAS97</t>
  </si>
  <si>
    <t>US91087BAX82</t>
  </si>
  <si>
    <t>United Kingdom of Great Britain and Northern Ireland</t>
  </si>
  <si>
    <t>GB00BMBL1D50</t>
  </si>
  <si>
    <t>GB00BPCJD997</t>
  </si>
  <si>
    <t>US912810RH32</t>
  </si>
  <si>
    <t>US912810RK60</t>
  </si>
  <si>
    <t>US912810TD00</t>
  </si>
  <si>
    <t>US912810TE82</t>
  </si>
  <si>
    <t>US912810TF57</t>
  </si>
  <si>
    <t>US912810TJ79</t>
  </si>
  <si>
    <t>US912810TL26</t>
  </si>
  <si>
    <t>US912810TN81</t>
  </si>
  <si>
    <t>US912810TQ13</t>
  </si>
  <si>
    <t>US912810TR95</t>
  </si>
  <si>
    <t>US912810TS78</t>
  </si>
  <si>
    <t>US9128283W81</t>
  </si>
  <si>
    <t>US9128284V99</t>
  </si>
  <si>
    <t>US912828P469</t>
  </si>
  <si>
    <t>US912828ZQ64</t>
  </si>
  <si>
    <t>US91282CGM73</t>
  </si>
  <si>
    <t>US91282CHT18</t>
  </si>
  <si>
    <t>Republica Federativa do Brasil</t>
  </si>
  <si>
    <t>US105756BB58</t>
  </si>
  <si>
    <t>US105756BK57</t>
  </si>
  <si>
    <t>US105756BN96</t>
  </si>
  <si>
    <t>US105756BR01</t>
  </si>
  <si>
    <t>US105756BW95</t>
  </si>
  <si>
    <t>US105756BX78</t>
  </si>
  <si>
    <t>US105756BY51</t>
  </si>
  <si>
    <t>US105756CA66</t>
  </si>
  <si>
    <t>US105756CC23</t>
  </si>
  <si>
    <t>JP1051541NA0</t>
  </si>
  <si>
    <t>JP1051591P70</t>
  </si>
  <si>
    <t>JP1103681NA2</t>
  </si>
  <si>
    <t>JP1400151N57</t>
  </si>
  <si>
    <t>CA135087N266</t>
  </si>
  <si>
    <t>CA135087N837</t>
  </si>
  <si>
    <t>Republica de Colombia</t>
  </si>
  <si>
    <t>COL17CT02625</t>
  </si>
  <si>
    <t>COL17CT02914</t>
  </si>
  <si>
    <t>COL17CT03557</t>
  </si>
  <si>
    <t>COL17CT03615</t>
  </si>
  <si>
    <t>COL17CT03672</t>
  </si>
  <si>
    <t>COL17CT03722</t>
  </si>
  <si>
    <t>COL17CT03771</t>
  </si>
  <si>
    <t>US195325AL92</t>
  </si>
  <si>
    <t>US195325AQ89</t>
  </si>
  <si>
    <t>US195325BM66</t>
  </si>
  <si>
    <t>US195325BR53</t>
  </si>
  <si>
    <t>US195325CX13</t>
  </si>
  <si>
    <t>US195325DL65</t>
  </si>
  <si>
    <t>US195325DP79</t>
  </si>
  <si>
    <t>US195325DQ52</t>
  </si>
  <si>
    <t>US195325DR36</t>
  </si>
  <si>
    <t>US195325DS19</t>
  </si>
  <si>
    <t>US195325DT91</t>
  </si>
  <si>
    <t>US195325DX04</t>
  </si>
  <si>
    <t>US195325DZ51</t>
  </si>
  <si>
    <t>US195325EF88</t>
  </si>
  <si>
    <t>US195325EG61</t>
  </si>
  <si>
    <t>XS0306322065</t>
  </si>
  <si>
    <t>Gobierno de Chile</t>
  </si>
  <si>
    <t>CL0001974774</t>
  </si>
  <si>
    <t>CL0002798016</t>
  </si>
  <si>
    <t>US168863BP27</t>
  </si>
  <si>
    <t>US168863CE60</t>
  </si>
  <si>
    <t>US168863EA21</t>
  </si>
  <si>
    <t>XS0820857422</t>
  </si>
  <si>
    <t>XS0820857778</t>
  </si>
  <si>
    <t>XS0820858669</t>
  </si>
  <si>
    <t>XS0831740138</t>
  </si>
  <si>
    <t>AMBEV S.A.</t>
  </si>
  <si>
    <t>US02319V1035</t>
  </si>
  <si>
    <t>BANCO MERCANTIL DEL NORTE S.A.</t>
  </si>
  <si>
    <t>KY</t>
  </si>
  <si>
    <t>GRUPO AVAL LIMITED</t>
  </si>
  <si>
    <t>PETROBRAS GLOBAL FINANCE B.V.</t>
  </si>
  <si>
    <t>NL</t>
  </si>
  <si>
    <t>US71647NBK46</t>
  </si>
  <si>
    <t>Fenix Power Peru S.A.</t>
  </si>
  <si>
    <t>USP40070AB35</t>
  </si>
  <si>
    <t>InRetail Peru Corp.</t>
  </si>
  <si>
    <t>Fondo MIVIVIENDA S.A.</t>
  </si>
  <si>
    <t>PATRIMONIO EN FIDEICOMISO D.S 093-2002-EF - INRETAIL CONSUMER</t>
  </si>
  <si>
    <t>ENERGIA EOLICA S.A.</t>
  </si>
  <si>
    <t>Nexa Resources S.A.</t>
  </si>
  <si>
    <t>USP98118AA38</t>
  </si>
  <si>
    <t>Suzano Austria GmbH</t>
  </si>
  <si>
    <t>US86964WAH51</t>
  </si>
  <si>
    <t>AT</t>
  </si>
  <si>
    <t>US86964WAJ18</t>
  </si>
  <si>
    <t>US86964WAK80</t>
  </si>
  <si>
    <t>USA8372TAC20</t>
  </si>
  <si>
    <t>Rutas de Lima S.A.C.</t>
  </si>
  <si>
    <t>XS1084504874</t>
  </si>
  <si>
    <t>Braskem Netherlands Finance B.V.</t>
  </si>
  <si>
    <t>USN15516AH53</t>
  </si>
  <si>
    <t>Empresa de Creditos Santander Consumo Peru S.A.</t>
  </si>
  <si>
    <t>Weight</t>
  </si>
  <si>
    <t>Interseguro</t>
  </si>
  <si>
    <t>Pacífico Peruano Suiza</t>
  </si>
  <si>
    <t>21015421101A</t>
  </si>
  <si>
    <t>Casa Andina (Scotia Sociedad Titulizadora)</t>
  </si>
  <si>
    <t>Inversiones Nacionales de Turismo S.A.</t>
  </si>
  <si>
    <t>Orazen</t>
  </si>
  <si>
    <t>Financiera Oh! S.A.</t>
  </si>
  <si>
    <t>Banco Interamericano de Finanzas</t>
  </si>
  <si>
    <t>Crediscotia</t>
  </si>
  <si>
    <t>Falabella Perú</t>
  </si>
  <si>
    <t>COFIDE</t>
  </si>
  <si>
    <t>2100862GAA71</t>
  </si>
  <si>
    <t>Colegios Peruanos - Internacional de Titulos Soc. Titulizadora</t>
  </si>
  <si>
    <t xml:space="preserve">Telefónica del Perú </t>
  </si>
  <si>
    <t>22230411611A</t>
  </si>
  <si>
    <t>Inkia Energy Limited</t>
  </si>
  <si>
    <t>Empresas Públicas Medellin</t>
  </si>
  <si>
    <t>Ferreyros S.A.A.</t>
  </si>
  <si>
    <t>Nexa Perú (Milpo)</t>
  </si>
  <si>
    <t>Sociedad Minera Cerro Verde S.A.A.</t>
  </si>
  <si>
    <t>CO2/Debt(Intensidad)</t>
  </si>
  <si>
    <t>%DebtPub</t>
  </si>
  <si>
    <t>100</t>
  </si>
  <si>
    <t>AT. EN FID. D.LEG- N 861,NO INS. EN LA SMV, DIRIGIDO A INVERS. INSTIT. - INRETAIL SHOPPING MALLS</t>
  </si>
  <si>
    <t>Row Labels</t>
  </si>
  <si>
    <t>Inv MM$</t>
  </si>
  <si>
    <t>F0</t>
  </si>
  <si>
    <t>F1</t>
  </si>
  <si>
    <t>F2</t>
  </si>
  <si>
    <t>F3</t>
  </si>
  <si>
    <t>M (MM$)</t>
  </si>
  <si>
    <t>C02-H</t>
  </si>
  <si>
    <t>Huella</t>
  </si>
  <si>
    <t>Intensidad</t>
  </si>
  <si>
    <t>SBS</t>
  </si>
  <si>
    <t>5376614AIP5B</t>
  </si>
  <si>
    <t>5374914AIP4B</t>
  </si>
  <si>
    <t>5374462SPIF3</t>
  </si>
  <si>
    <t>5374642EQTI4</t>
  </si>
  <si>
    <t>5375254EQTI5</t>
  </si>
  <si>
    <t>5375454IEF5S</t>
  </si>
  <si>
    <t>5375052PGD20</t>
  </si>
  <si>
    <t>5375002NHIP3</t>
  </si>
  <si>
    <t>5374702OSF6F</t>
  </si>
  <si>
    <t>5374802BCDSS</t>
  </si>
  <si>
    <t>5374152CIP6F</t>
  </si>
  <si>
    <t>5374672SPOS8</t>
  </si>
  <si>
    <t>5374232CSOF3</t>
  </si>
  <si>
    <t>5374602CVCII</t>
  </si>
  <si>
    <t>5374224AEPF3</t>
  </si>
  <si>
    <t>5375072PDCO3</t>
  </si>
  <si>
    <t>5373914ICGVI</t>
  </si>
  <si>
    <t>53CIP62FEEDE</t>
  </si>
  <si>
    <t>53GSOC2GSOCS</t>
  </si>
  <si>
    <t>5374442FREO3</t>
  </si>
  <si>
    <t>5374592NBDF3</t>
  </si>
  <si>
    <t>5370964ALT08</t>
  </si>
  <si>
    <t>5370964ALT10</t>
  </si>
  <si>
    <t>5371042HIXCB</t>
  </si>
  <si>
    <t>5371254HIPVI</t>
  </si>
  <si>
    <t>5373572HGPEF</t>
  </si>
  <si>
    <t>5373652HIP7C</t>
  </si>
  <si>
    <t>5374682HLGII</t>
  </si>
  <si>
    <t>53AAAA1AAAAA</t>
  </si>
  <si>
    <t>5375422SCPVO</t>
  </si>
  <si>
    <t>5375272BSGLP</t>
  </si>
  <si>
    <t>5375172CDRXI</t>
  </si>
  <si>
    <t>5374212PGD16</t>
  </si>
  <si>
    <t>5374664CCM7F</t>
  </si>
  <si>
    <t>5375292IPC12</t>
  </si>
  <si>
    <t>5374902IPCXI</t>
  </si>
  <si>
    <t>5374752PGD19</t>
  </si>
  <si>
    <t>5371082CSABF</t>
  </si>
  <si>
    <t>5371592CPSMF</t>
  </si>
  <si>
    <t>5372282ACTG4</t>
  </si>
  <si>
    <t>5372462PGD12</t>
  </si>
  <si>
    <t>5373704BPEVD</t>
  </si>
  <si>
    <t>5373704BPE6C</t>
  </si>
  <si>
    <t>5374954ABF7A</t>
  </si>
  <si>
    <t>5374964IK9SC</t>
  </si>
  <si>
    <t>5372784P6FPC</t>
  </si>
  <si>
    <t>5376622KVCXC</t>
  </si>
  <si>
    <t>5375402GS5SC</t>
  </si>
  <si>
    <t>5375224EQT9S</t>
  </si>
  <si>
    <t>5372784P6SCS</t>
  </si>
  <si>
    <t>5375042TB14A</t>
  </si>
  <si>
    <t>5374312VCIIF</t>
  </si>
  <si>
    <t>5370904PGD16</t>
  </si>
  <si>
    <t>5374712PECPV</t>
  </si>
  <si>
    <t>5374682HALII</t>
  </si>
  <si>
    <t>5374932OHCPV</t>
  </si>
  <si>
    <t>5374832WPGGF</t>
  </si>
  <si>
    <t>5375032FPVIA</t>
  </si>
  <si>
    <t>5374902TB14A</t>
  </si>
  <si>
    <t>5375212CRSFV</t>
  </si>
  <si>
    <t>5375132DSFFX</t>
  </si>
  <si>
    <t>5370562DSVII</t>
  </si>
  <si>
    <t>5370904PGS08</t>
  </si>
  <si>
    <t>5374582PGSF6</t>
  </si>
  <si>
    <t>5370992LCP7O</t>
  </si>
  <si>
    <t>5374052ASF7G</t>
  </si>
  <si>
    <t>5375182CEVFV</t>
  </si>
  <si>
    <t>5374524TSEV8</t>
  </si>
  <si>
    <t>5371912TCRE1</t>
  </si>
  <si>
    <t>5373922TCRE2</t>
  </si>
  <si>
    <t>5374732SPOR7</t>
  </si>
  <si>
    <t>5374322SOIKP</t>
  </si>
  <si>
    <t>5374322SOMAR</t>
  </si>
  <si>
    <t>5374382MRES2</t>
  </si>
  <si>
    <t>5371372PRE17</t>
  </si>
  <si>
    <t>5111041FIDAF</t>
  </si>
  <si>
    <t>5111132INBRO</t>
  </si>
  <si>
    <t>5370552AARCF</t>
  </si>
  <si>
    <t>5111092FMEZZ</t>
  </si>
  <si>
    <t>5111322LATAM</t>
  </si>
  <si>
    <t>5111032LATAM</t>
  </si>
  <si>
    <t>5111092TRANC</t>
  </si>
  <si>
    <t>5111032TRANC</t>
  </si>
  <si>
    <t>5111071DESC1</t>
  </si>
  <si>
    <t>5111071DESC2</t>
  </si>
  <si>
    <t>5111072DCVY1</t>
  </si>
  <si>
    <t>5111152FICP1</t>
  </si>
  <si>
    <t>5111022FINM1</t>
  </si>
  <si>
    <t>5111042FIMRE</t>
  </si>
  <si>
    <t>5111102FIBRC</t>
  </si>
  <si>
    <t>5111151FCIN1</t>
  </si>
  <si>
    <t>5270602F1457</t>
  </si>
  <si>
    <t>5270164F3629</t>
  </si>
  <si>
    <t>5270164F5125</t>
  </si>
  <si>
    <t>5270382F9940</t>
  </si>
  <si>
    <t>5270384EUBON</t>
  </si>
  <si>
    <t>5270384F5073</t>
  </si>
  <si>
    <t>5270854FK5G4</t>
  </si>
  <si>
    <t>52INVE2GLHIC</t>
  </si>
  <si>
    <t>5272184GLBHB</t>
  </si>
  <si>
    <t>5272182GSEHB</t>
  </si>
  <si>
    <t>5270384GBOND</t>
  </si>
  <si>
    <t>5270382STRIN</t>
  </si>
  <si>
    <t>52INVE2FLOAT</t>
  </si>
  <si>
    <t>0840016JD997</t>
  </si>
  <si>
    <t>0840016L1D50</t>
  </si>
  <si>
    <t>084009B17101</t>
  </si>
  <si>
    <t>084009B75681</t>
  </si>
  <si>
    <t>084009B83768</t>
  </si>
  <si>
    <t>08401377N837</t>
  </si>
  <si>
    <t>08401377N266</t>
  </si>
  <si>
    <t>085905591P70</t>
  </si>
  <si>
    <t>085905551N57</t>
  </si>
  <si>
    <t>085905541NA0</t>
  </si>
  <si>
    <t>085905581NA2</t>
  </si>
  <si>
    <t>08400020TN81</t>
  </si>
  <si>
    <t>08400020TQ13</t>
  </si>
  <si>
    <t>0840002CHT18</t>
  </si>
  <si>
    <t>08400020TR95</t>
  </si>
  <si>
    <t>08400020TD00</t>
  </si>
  <si>
    <t>08400020TS78</t>
  </si>
  <si>
    <t>08400020TF57</t>
  </si>
  <si>
    <t>0840002CEP23</t>
  </si>
  <si>
    <t>08400020TL26</t>
  </si>
  <si>
    <t>08400020TJ79</t>
  </si>
  <si>
    <t>08400028ZQ64</t>
  </si>
  <si>
    <t>08400020TE82</t>
  </si>
  <si>
    <t>08400020RH32</t>
  </si>
  <si>
    <t>08400020RJ97</t>
  </si>
  <si>
    <t>08400020RK60</t>
  </si>
  <si>
    <t>08400020RM27</t>
  </si>
  <si>
    <t>08400020RN00</t>
  </si>
  <si>
    <t>08400026AW97</t>
  </si>
  <si>
    <t>08400026BA68</t>
  </si>
  <si>
    <t>08400026BE80</t>
  </si>
  <si>
    <t>08400026BJ77</t>
  </si>
  <si>
    <t>08400026BT59</t>
  </si>
  <si>
    <t>08400026BU23</t>
  </si>
  <si>
    <t>08400026CA59</t>
  </si>
  <si>
    <t>08400026CG20</t>
  </si>
  <si>
    <t>08400026DR75</t>
  </si>
  <si>
    <t>08400026EG02</t>
  </si>
  <si>
    <t>08400028D564</t>
  </si>
  <si>
    <t>08400028G385</t>
  </si>
  <si>
    <t>08400028H292</t>
  </si>
  <si>
    <t>08400028J272</t>
  </si>
  <si>
    <t>08400028K742</t>
  </si>
  <si>
    <t>08400028MW79</t>
  </si>
  <si>
    <t>08400028RH57</t>
  </si>
  <si>
    <t>08400028WJ58</t>
  </si>
  <si>
    <t>08400028XB14</t>
  </si>
  <si>
    <t>08400028VA49</t>
  </si>
  <si>
    <t>084000284N73</t>
  </si>
  <si>
    <t>08400020SF66</t>
  </si>
  <si>
    <t>08400020RT79</t>
  </si>
  <si>
    <t>08400028P469</t>
  </si>
  <si>
    <t>08400028R366</t>
  </si>
  <si>
    <t>084000283W81</t>
  </si>
  <si>
    <t>08400020H789</t>
  </si>
  <si>
    <t>08400020RS96</t>
  </si>
  <si>
    <t>08400020RU43</t>
  </si>
  <si>
    <t>084000284V99</t>
  </si>
  <si>
    <t>5211082FRFLU</t>
  </si>
  <si>
    <t>5273662PASEL</t>
  </si>
  <si>
    <t>52MDOM2PASEL</t>
  </si>
  <si>
    <t>52MAIN209955</t>
  </si>
  <si>
    <t>5275262COMP2</t>
  </si>
  <si>
    <t>5276642FJ177</t>
  </si>
  <si>
    <t>5277012F9LZQ</t>
  </si>
  <si>
    <t>5270582DEUDA</t>
  </si>
  <si>
    <t>1259102NBK46</t>
  </si>
  <si>
    <t>59509428AP43</t>
  </si>
  <si>
    <t>1228462UAF30</t>
  </si>
  <si>
    <t>1228462UAE64</t>
  </si>
  <si>
    <t>1250242TAH68</t>
  </si>
  <si>
    <t>12502526AH53</t>
  </si>
  <si>
    <t>1250302CAA82</t>
  </si>
  <si>
    <t>1250302CAD22</t>
  </si>
  <si>
    <t>1250302TAA72</t>
  </si>
  <si>
    <t>1250842WAQ42</t>
  </si>
  <si>
    <t>12509428AB56</t>
  </si>
  <si>
    <t>12509428AC30</t>
  </si>
  <si>
    <t>59509428AN94</t>
  </si>
  <si>
    <t>59509428AE95</t>
  </si>
  <si>
    <t>12509428AE95</t>
  </si>
  <si>
    <t>12509428AK55</t>
  </si>
  <si>
    <t>12509428AL39</t>
  </si>
  <si>
    <t>1250942PAA95</t>
  </si>
  <si>
    <t>1250942USP43</t>
  </si>
  <si>
    <t>1250942USQ26</t>
  </si>
  <si>
    <t>12509921AA41</t>
  </si>
  <si>
    <t>12518120EAG5</t>
  </si>
  <si>
    <t>12521725SUNA</t>
  </si>
  <si>
    <t>12525628AB42</t>
  </si>
  <si>
    <t>12525628AC25</t>
  </si>
  <si>
    <t>12525628AD08</t>
  </si>
  <si>
    <t>1252802VAA82</t>
  </si>
  <si>
    <t>12529728AA10</t>
  </si>
  <si>
    <t>12535926AA73</t>
  </si>
  <si>
    <t>12537028AA04</t>
  </si>
  <si>
    <t>1253762AAF05</t>
  </si>
  <si>
    <t>1254212AAA53</t>
  </si>
  <si>
    <t>12582329AA30</t>
  </si>
  <si>
    <t>1258232LAA63</t>
  </si>
  <si>
    <t>1550162MAH51</t>
  </si>
  <si>
    <t>1550162MAJ18</t>
  </si>
  <si>
    <t>15502322DN01</t>
  </si>
  <si>
    <t>1550232WAA01</t>
  </si>
  <si>
    <t>1550232WAC66</t>
  </si>
  <si>
    <t>1551192MAA64</t>
  </si>
  <si>
    <t>15511928AD19</t>
  </si>
  <si>
    <t>1551112US059</t>
  </si>
  <si>
    <t>15511128LAA0</t>
  </si>
  <si>
    <t>15511128LAH50</t>
  </si>
  <si>
    <t>15511128LAG77</t>
  </si>
  <si>
    <t>15527829AJ55</t>
  </si>
  <si>
    <t>15527829AA47</t>
  </si>
  <si>
    <t>15527829AH99</t>
  </si>
  <si>
    <t>15528725AC15</t>
  </si>
  <si>
    <t>15528725AA58</t>
  </si>
  <si>
    <t>15528725AB32</t>
  </si>
  <si>
    <t>15529926AB25</t>
  </si>
  <si>
    <t>1553242ZAX44</t>
  </si>
  <si>
    <t>15532622AB63</t>
  </si>
  <si>
    <t>15532622AC47</t>
  </si>
  <si>
    <t>15537120AD31</t>
  </si>
  <si>
    <t>1253042VAB95</t>
  </si>
  <si>
    <t>15539325AD54</t>
  </si>
  <si>
    <t>1558212TAN92</t>
  </si>
  <si>
    <t>1703042VAA82</t>
  </si>
  <si>
    <t>1703042VAB65</t>
  </si>
  <si>
    <t>5755442JAA19</t>
  </si>
  <si>
    <t>5951322EPM29</t>
  </si>
  <si>
    <t>15532622AK62</t>
  </si>
  <si>
    <t>1553782SAG23</t>
  </si>
  <si>
    <t>1553782SAD91</t>
  </si>
  <si>
    <t>1250302CAE05</t>
  </si>
  <si>
    <t>15532622AM29</t>
  </si>
  <si>
    <t>1250242TAK97</t>
  </si>
  <si>
    <t>1250242TAM53</t>
  </si>
  <si>
    <t>1253042VAA13</t>
  </si>
  <si>
    <t>1250342JAE03</t>
  </si>
  <si>
    <t>1250342JAH34</t>
  </si>
  <si>
    <t>1250342JAK62</t>
  </si>
  <si>
    <t>1250342JAQ33</t>
  </si>
  <si>
    <t>12503724WAP0</t>
  </si>
  <si>
    <t>1250742LAA81</t>
  </si>
  <si>
    <t>12507420AA81</t>
  </si>
  <si>
    <t>12507420AG51</t>
  </si>
  <si>
    <t>12507420AR17</t>
  </si>
  <si>
    <t>1250822JAE58</t>
  </si>
  <si>
    <t>1251202HAL70</t>
  </si>
  <si>
    <t>12512927AS04</t>
  </si>
  <si>
    <t>1251812EAK67</t>
  </si>
  <si>
    <t>1251812EAL41</t>
  </si>
  <si>
    <t>1251812EAP54</t>
  </si>
  <si>
    <t>12521725SUNB</t>
  </si>
  <si>
    <t>1252172VAD73</t>
  </si>
  <si>
    <t>1252172VAF22</t>
  </si>
  <si>
    <t>1252172VAG05</t>
  </si>
  <si>
    <t>1258642MAB83</t>
  </si>
  <si>
    <t>12586329AB50</t>
  </si>
  <si>
    <t>12586329AC34</t>
  </si>
  <si>
    <t>12586329AA77</t>
  </si>
  <si>
    <t>12539028AA02</t>
  </si>
  <si>
    <t>1254402NBF61</t>
  </si>
  <si>
    <t>1255202KAA37</t>
  </si>
  <si>
    <t>15527829AB20</t>
  </si>
  <si>
    <t>15527829AK29</t>
  </si>
  <si>
    <t>1553242WAC49</t>
  </si>
  <si>
    <t>1553712BAB53</t>
  </si>
  <si>
    <t>1553782US150</t>
  </si>
  <si>
    <t>1553782SAC19</t>
  </si>
  <si>
    <t>59529429BR86</t>
  </si>
  <si>
    <t>59529429BQ04</t>
  </si>
  <si>
    <t>1250932US358</t>
  </si>
  <si>
    <t>125093272B25</t>
  </si>
  <si>
    <t>1250932FRE23</t>
  </si>
  <si>
    <t>1250242TAP84</t>
  </si>
  <si>
    <t>12535622AL66</t>
  </si>
  <si>
    <t>15532622AL46</t>
  </si>
  <si>
    <t>12SUZA2SUZ32</t>
  </si>
  <si>
    <t>12SUZA2SUZ30</t>
  </si>
  <si>
    <t>1258612WAJ18</t>
  </si>
  <si>
    <t>1258612TAC20</t>
  </si>
  <si>
    <t>1252172VAH87</t>
  </si>
  <si>
    <t>1557372LAA63</t>
  </si>
  <si>
    <t>1250242EAA38</t>
  </si>
  <si>
    <t>08400326BZ27</t>
  </si>
  <si>
    <t>08400326CA66</t>
  </si>
  <si>
    <t>0840032BRA26</t>
  </si>
  <si>
    <t>08400326BR01</t>
  </si>
  <si>
    <t>08400326BK57</t>
  </si>
  <si>
    <t>08400326BB58</t>
  </si>
  <si>
    <t>08400326CB40</t>
  </si>
  <si>
    <t>0840032US105</t>
  </si>
  <si>
    <t>0840032USB40</t>
  </si>
  <si>
    <t>0840032BRA47</t>
  </si>
  <si>
    <t>0840032BRA25</t>
  </si>
  <si>
    <t>0840032BRA23</t>
  </si>
  <si>
    <t>0840032BRA45</t>
  </si>
  <si>
    <t>08400623AV04</t>
  </si>
  <si>
    <t>08400623AW86</t>
  </si>
  <si>
    <t>08400623BN78</t>
  </si>
  <si>
    <t>08400623BP27</t>
  </si>
  <si>
    <t>08400623BW77</t>
  </si>
  <si>
    <t>08400623EA21</t>
  </si>
  <si>
    <t>08400623CE60</t>
  </si>
  <si>
    <t>08400425BM66</t>
  </si>
  <si>
    <t>08400425EF88</t>
  </si>
  <si>
    <t>08400425DS19</t>
  </si>
  <si>
    <t>08400425DP79</t>
  </si>
  <si>
    <t>08400425DR36</t>
  </si>
  <si>
    <t>08400425EG61</t>
  </si>
  <si>
    <t>08400425AL92</t>
  </si>
  <si>
    <t>084004225BK0</t>
  </si>
  <si>
    <t>08400425AQ89</t>
  </si>
  <si>
    <t>08400425AU91</t>
  </si>
  <si>
    <t>08400425BJ38</t>
  </si>
  <si>
    <t>08400425BL83</t>
  </si>
  <si>
    <t>08400425BN40</t>
  </si>
  <si>
    <t>08400425BQ70</t>
  </si>
  <si>
    <t>08400425BR53</t>
  </si>
  <si>
    <t>0840042NHK11</t>
  </si>
  <si>
    <t>08400425DL65</t>
  </si>
  <si>
    <t>08400425DQ52</t>
  </si>
  <si>
    <t>08400425DX04</t>
  </si>
  <si>
    <t>08400425DT91</t>
  </si>
  <si>
    <t>08400425CX13</t>
  </si>
  <si>
    <t>0840052BAS97</t>
  </si>
  <si>
    <t>0840052BAX82</t>
  </si>
  <si>
    <t>08400528AX90</t>
  </si>
  <si>
    <t>0840052BAF76</t>
  </si>
  <si>
    <t>0840052BAH33</t>
  </si>
  <si>
    <t>08400528AY44</t>
  </si>
  <si>
    <t>08400528BA89</t>
  </si>
  <si>
    <t>08400528BD97</t>
  </si>
  <si>
    <t>08400528BN00</t>
  </si>
  <si>
    <t>08400528BX15</t>
  </si>
  <si>
    <t>0840052BAC46</t>
  </si>
  <si>
    <t>0840052QAG38</t>
  </si>
  <si>
    <t>0840052QAJ76</t>
  </si>
  <si>
    <t>0840052QAN88</t>
  </si>
  <si>
    <t>0840052QAS75</t>
  </si>
  <si>
    <t>0840052QAU22</t>
  </si>
  <si>
    <t>0840052QAV05</t>
  </si>
  <si>
    <t>0840052QAW87</t>
  </si>
  <si>
    <t>0840052QAZ19</t>
  </si>
  <si>
    <t>0840052QBA58</t>
  </si>
  <si>
    <t>0840052QBB32</t>
  </si>
  <si>
    <t>0840052QBE70</t>
  </si>
  <si>
    <t>0840052QBF46</t>
  </si>
  <si>
    <t>0840052BAB62</t>
  </si>
  <si>
    <t>0840052BAG59</t>
  </si>
  <si>
    <t>0840052BAD29</t>
  </si>
  <si>
    <t>0840052US910</t>
  </si>
  <si>
    <t>0840052BAK61</t>
  </si>
  <si>
    <t>0840052QBG29</t>
  </si>
  <si>
    <t>0840052BAE02</t>
  </si>
  <si>
    <t>0840052BAN01</t>
  </si>
  <si>
    <t>491105207SI3</t>
  </si>
  <si>
    <t>4974252S2BDC</t>
  </si>
  <si>
    <t>4974252SLBDC</t>
  </si>
  <si>
    <t>4974252SVBDC</t>
  </si>
  <si>
    <t>4911022COABR</t>
  </si>
  <si>
    <t>4911021COMHY</t>
  </si>
  <si>
    <t>4911102LINAE</t>
  </si>
  <si>
    <t>4975141HMCPS</t>
  </si>
  <si>
    <t>4975142HMPDX</t>
  </si>
  <si>
    <t>4975142HMCHY</t>
  </si>
  <si>
    <t>4911182HMCHY</t>
  </si>
  <si>
    <t>18208920902A</t>
  </si>
  <si>
    <t>18208920903A</t>
  </si>
  <si>
    <t>18208920904A</t>
  </si>
  <si>
    <t>20001120901A</t>
  </si>
  <si>
    <t>20002221503U</t>
  </si>
  <si>
    <t>20009821004A</t>
  </si>
  <si>
    <t>20009821205A</t>
  </si>
  <si>
    <t>20009821303A</t>
  </si>
  <si>
    <t>21000220301A</t>
  </si>
  <si>
    <t>21000220301B</t>
  </si>
  <si>
    <t>21000220904A</t>
  </si>
  <si>
    <t>21000220904B</t>
  </si>
  <si>
    <t>21000220904C</t>
  </si>
  <si>
    <t>21000220904D</t>
  </si>
  <si>
    <t>21000320802B</t>
  </si>
  <si>
    <t>21000320906A</t>
  </si>
  <si>
    <t>21000321303A</t>
  </si>
  <si>
    <t>21001120701A</t>
  </si>
  <si>
    <t>21001120702A</t>
  </si>
  <si>
    <t>21001120803A</t>
  </si>
  <si>
    <t>21001121301U</t>
  </si>
  <si>
    <t>21003521503U</t>
  </si>
  <si>
    <t>21003821703C</t>
  </si>
  <si>
    <t>21003820905A</t>
  </si>
  <si>
    <t>21015122003U</t>
  </si>
  <si>
    <t>21015121401U</t>
  </si>
  <si>
    <t>21015121402U</t>
  </si>
  <si>
    <t>21015121902U</t>
  </si>
  <si>
    <t>21015422002A</t>
  </si>
  <si>
    <t>22200221003A</t>
  </si>
  <si>
    <t>22203220808A</t>
  </si>
  <si>
    <t>22203220810A</t>
  </si>
  <si>
    <t>22203220911A</t>
  </si>
  <si>
    <t>22203221004A</t>
  </si>
  <si>
    <t>22203221005A</t>
  </si>
  <si>
    <t>22204721101A</t>
  </si>
  <si>
    <t>22204721202A</t>
  </si>
  <si>
    <t>22205420101B</t>
  </si>
  <si>
    <t>22205420201C</t>
  </si>
  <si>
    <t>22205820405A</t>
  </si>
  <si>
    <t>22205820704A</t>
  </si>
  <si>
    <t>22205820915A</t>
  </si>
  <si>
    <t>22205821017A</t>
  </si>
  <si>
    <t>22205821020A</t>
  </si>
  <si>
    <t>22205821204A</t>
  </si>
  <si>
    <t>22205821303A</t>
  </si>
  <si>
    <t>22205821407A</t>
  </si>
  <si>
    <t>22206120803U</t>
  </si>
  <si>
    <t>22206121006A</t>
  </si>
  <si>
    <t>22207120601A</t>
  </si>
  <si>
    <t>22207120702A</t>
  </si>
  <si>
    <t>22207620601A</t>
  </si>
  <si>
    <t>22207620601B</t>
  </si>
  <si>
    <t>22208820901U</t>
  </si>
  <si>
    <t>22209321001A</t>
  </si>
  <si>
    <t>22209321002A</t>
  </si>
  <si>
    <t>22210821102A</t>
  </si>
  <si>
    <t>22210821102B</t>
  </si>
  <si>
    <t>22212511502A</t>
  </si>
  <si>
    <t>22230420945A</t>
  </si>
  <si>
    <t>25001120704A</t>
  </si>
  <si>
    <t>25008721306A</t>
  </si>
  <si>
    <t>2702022AT01A</t>
  </si>
  <si>
    <t>2702022AT02A</t>
  </si>
  <si>
    <t>2702022H101A</t>
  </si>
  <si>
    <t>2702022H102A</t>
  </si>
  <si>
    <t>2702022H103A</t>
  </si>
  <si>
    <t>2702022H307A</t>
  </si>
  <si>
    <t>2702022H308A</t>
  </si>
  <si>
    <t>2702022H310A</t>
  </si>
  <si>
    <t>27020321301A</t>
  </si>
  <si>
    <t>2702042LR01U</t>
  </si>
  <si>
    <t>2702042TRSU1</t>
  </si>
  <si>
    <t>2702042TRSU2</t>
  </si>
  <si>
    <t>27020422001U</t>
  </si>
  <si>
    <t>2743342RDOR1</t>
  </si>
  <si>
    <t>28000320401A</t>
  </si>
  <si>
    <t>28000320502B</t>
  </si>
  <si>
    <t>28003820702B</t>
  </si>
  <si>
    <t>28003820702C</t>
  </si>
  <si>
    <t>3743332FINF2</t>
  </si>
  <si>
    <t>47020221001J</t>
  </si>
  <si>
    <t>47020221001P</t>
  </si>
  <si>
    <t>47020320701J</t>
  </si>
  <si>
    <t>47020320701P</t>
  </si>
  <si>
    <t>21004921601A</t>
  </si>
  <si>
    <t>22206120904A</t>
  </si>
  <si>
    <t>22203220901A</t>
  </si>
  <si>
    <t>25001121206A</t>
  </si>
  <si>
    <t>23204321701B</t>
  </si>
  <si>
    <t>25003520804A</t>
  </si>
  <si>
    <t>05202922101U</t>
  </si>
  <si>
    <t>1256692LAA47</t>
  </si>
  <si>
    <t>1257382RAD81</t>
  </si>
  <si>
    <t>1257382RAC09</t>
  </si>
  <si>
    <t>165172231857</t>
  </si>
  <si>
    <t>182111238405</t>
  </si>
  <si>
    <t>21000224AB92</t>
  </si>
  <si>
    <t>21000225AA37</t>
  </si>
  <si>
    <t>21000226AD58</t>
  </si>
  <si>
    <t>21000226AE32</t>
  </si>
  <si>
    <t>21000226AG89</t>
  </si>
  <si>
    <t>2100022TAA97</t>
  </si>
  <si>
    <t>2100022TAC53</t>
  </si>
  <si>
    <t>2100022V2C81</t>
  </si>
  <si>
    <t>21000325AA33</t>
  </si>
  <si>
    <t>21000325AD71</t>
  </si>
  <si>
    <t>210003271536</t>
  </si>
  <si>
    <t>25000325AB16</t>
  </si>
  <si>
    <t>25000325AC98</t>
  </si>
  <si>
    <t>2100092TAP23</t>
  </si>
  <si>
    <t>21001126AG98</t>
  </si>
  <si>
    <t>1258742VAA63</t>
  </si>
  <si>
    <t>2220022YAC77</t>
  </si>
  <si>
    <t>2220112KDN02</t>
  </si>
  <si>
    <t>2220392TAA36</t>
  </si>
  <si>
    <t>2220432UAB26</t>
  </si>
  <si>
    <t>22204327AA42</t>
  </si>
  <si>
    <t>22205124PAA7</t>
  </si>
  <si>
    <t>2220552SAF22</t>
  </si>
  <si>
    <t>2220552SAC90</t>
  </si>
  <si>
    <t>2220552SAD73</t>
  </si>
  <si>
    <t>2220642RAG67</t>
  </si>
  <si>
    <t>2220682AAA45</t>
  </si>
  <si>
    <t>2221292BAB38</t>
  </si>
  <si>
    <t>2221292BAC11</t>
  </si>
  <si>
    <t>2220892BAE13</t>
  </si>
  <si>
    <t>22208522AA77</t>
  </si>
  <si>
    <t>22208522AC34</t>
  </si>
  <si>
    <t>22208727AA71</t>
  </si>
  <si>
    <t>2220872RAA51</t>
  </si>
  <si>
    <t>2220882KAB37</t>
  </si>
  <si>
    <t>2220882PAA77</t>
  </si>
  <si>
    <t>22300220AB35</t>
  </si>
  <si>
    <t>22209123AA96</t>
  </si>
  <si>
    <t>22209729AA04</t>
  </si>
  <si>
    <t>22209729AB86</t>
  </si>
  <si>
    <t>22209729AC69</t>
  </si>
  <si>
    <t>22209729AE26</t>
  </si>
  <si>
    <t>22209828AA74</t>
  </si>
  <si>
    <t>22209923AA66</t>
  </si>
  <si>
    <t>2221002CAA73</t>
  </si>
  <si>
    <t>22210623AA63</t>
  </si>
  <si>
    <t>22210728AA11</t>
  </si>
  <si>
    <t>2221092NAC67</t>
  </si>
  <si>
    <t>22211023AA03</t>
  </si>
  <si>
    <t>2221102PAB22</t>
  </si>
  <si>
    <t>22211023AB85</t>
  </si>
  <si>
    <t>2221122GAA69</t>
  </si>
  <si>
    <t>22211323AA51</t>
  </si>
  <si>
    <t>2221192QAA24</t>
  </si>
  <si>
    <t>22284528AA22</t>
  </si>
  <si>
    <t>25000225AG07</t>
  </si>
  <si>
    <t>25000226AC75</t>
  </si>
  <si>
    <t>25000226AH62</t>
  </si>
  <si>
    <t>2500022JCG87</t>
  </si>
  <si>
    <t>2500022JCJ27</t>
  </si>
  <si>
    <t>2500022V2A26</t>
  </si>
  <si>
    <t>8102031ENE4U</t>
  </si>
  <si>
    <t>2500032SAC00</t>
  </si>
  <si>
    <t>2100132IFSPE</t>
  </si>
  <si>
    <t>2500132FAA05</t>
  </si>
  <si>
    <t>25001120AA28</t>
  </si>
  <si>
    <t>25001126AF16</t>
  </si>
  <si>
    <t>25008629AY82</t>
  </si>
  <si>
    <t>2500862GAF68</t>
  </si>
  <si>
    <t>2500862GAK53</t>
  </si>
  <si>
    <t>2500862GAL37</t>
  </si>
  <si>
    <t>250153209291</t>
  </si>
  <si>
    <t>25210529AE34</t>
  </si>
  <si>
    <t>25210529AA12</t>
  </si>
  <si>
    <t>25210529AB94</t>
  </si>
  <si>
    <t>25210529AC77</t>
  </si>
  <si>
    <t>2551722XAB03</t>
  </si>
  <si>
    <t>2551722XAC85</t>
  </si>
  <si>
    <t>27211723AA91</t>
  </si>
  <si>
    <t>27211826AA33</t>
  </si>
  <si>
    <t>2743022PTS11</t>
  </si>
  <si>
    <t>2743022PTS22</t>
  </si>
  <si>
    <t>2743022PTSA1</t>
  </si>
  <si>
    <t>2743022PTSA2</t>
  </si>
  <si>
    <t>27430325AA08</t>
  </si>
  <si>
    <t>2743032NAA54</t>
  </si>
  <si>
    <t>27430522AC59</t>
  </si>
  <si>
    <t>2743052JAC09</t>
  </si>
  <si>
    <t>27430620AA82</t>
  </si>
  <si>
    <t>27430628AA69</t>
  </si>
  <si>
    <t>274308284595</t>
  </si>
  <si>
    <t>2743242PAB16</t>
  </si>
  <si>
    <t>27432729AA53</t>
  </si>
  <si>
    <t>2743282RAA52</t>
  </si>
  <si>
    <t>2743302GAA88</t>
  </si>
  <si>
    <t>274331229698</t>
  </si>
  <si>
    <t>2743352L2ML1</t>
  </si>
  <si>
    <t>27532021AA72</t>
  </si>
  <si>
    <t>275321293727</t>
  </si>
  <si>
    <t>275361279716</t>
  </si>
  <si>
    <t>2753612YAP88</t>
  </si>
  <si>
    <t>25001126AE41</t>
  </si>
  <si>
    <t>2221292BAA54</t>
  </si>
  <si>
    <t>22583927AA16</t>
  </si>
  <si>
    <t>12583328AA38</t>
  </si>
  <si>
    <t>12583329AA48</t>
  </si>
  <si>
    <t>2258402PAB96</t>
  </si>
  <si>
    <t>01100028DU38</t>
  </si>
  <si>
    <t>01100028DW93</t>
  </si>
  <si>
    <t>01100028DP43</t>
  </si>
  <si>
    <t>01100028DQ26</t>
  </si>
  <si>
    <t>01100028DR09</t>
  </si>
  <si>
    <t>011000238AS1</t>
  </si>
  <si>
    <t>011000238AU6</t>
  </si>
  <si>
    <t>01100028AN22</t>
  </si>
  <si>
    <t>01100028DA73</t>
  </si>
  <si>
    <t>01100028AP79</t>
  </si>
  <si>
    <t>01100028AQ52</t>
  </si>
  <si>
    <t>01100028AW21</t>
  </si>
  <si>
    <t>01100028BM30</t>
  </si>
  <si>
    <t>01100028DT64</t>
  </si>
  <si>
    <t>01100028BU55</t>
  </si>
  <si>
    <t>011000481182</t>
  </si>
  <si>
    <t>011000481708</t>
  </si>
  <si>
    <t>5211082FRFML</t>
  </si>
  <si>
    <t>5270582MDLOC</t>
  </si>
  <si>
    <t>1250248VAL22</t>
  </si>
  <si>
    <t>12509981AB24</t>
  </si>
  <si>
    <t>1251818EAN07</t>
  </si>
  <si>
    <t>125392FZAB50</t>
  </si>
  <si>
    <t>15527890A0051</t>
  </si>
  <si>
    <t>155800F0AA25</t>
  </si>
  <si>
    <t>595132FRBB26</t>
  </si>
  <si>
    <t>1250248VAL21</t>
  </si>
  <si>
    <t>595132FRBD81</t>
  </si>
  <si>
    <t>1250308CAC49</t>
  </si>
  <si>
    <t>125037906935</t>
  </si>
  <si>
    <t>125072963779</t>
  </si>
  <si>
    <t>125074C0AB64</t>
  </si>
  <si>
    <t>125272FCAA82</t>
  </si>
  <si>
    <t>12530087AA09</t>
  </si>
  <si>
    <t>15510182CAP8</t>
  </si>
  <si>
    <t>155104920379</t>
  </si>
  <si>
    <t>15510587YBA2</t>
  </si>
  <si>
    <t>155165C9AL46</t>
  </si>
  <si>
    <t>15520186EU29</t>
  </si>
  <si>
    <t>1552018UAR59</t>
  </si>
  <si>
    <t>155310165785</t>
  </si>
  <si>
    <t>155324FWAF79</t>
  </si>
  <si>
    <t>155371F07087</t>
  </si>
  <si>
    <t>1603001DBA17</t>
  </si>
  <si>
    <t>160301123346</t>
  </si>
  <si>
    <t>270300887474</t>
  </si>
  <si>
    <t>294102106139</t>
  </si>
  <si>
    <t>595132FRAB35</t>
  </si>
  <si>
    <t>0840038TF147</t>
  </si>
  <si>
    <t>0840038BRA16</t>
  </si>
  <si>
    <t>08400386BT66</t>
  </si>
  <si>
    <t>0840038TF0N5</t>
  </si>
  <si>
    <t>0840038TF7J0</t>
  </si>
  <si>
    <t>0840038TF1P8</t>
  </si>
  <si>
    <t>0840038TF170</t>
  </si>
  <si>
    <t>0840038TN7S1</t>
  </si>
  <si>
    <t>0840038BRAZ21</t>
  </si>
  <si>
    <t>0840038BRALT</t>
  </si>
  <si>
    <t>0840038BRA22</t>
  </si>
  <si>
    <t>08400386BN96</t>
  </si>
  <si>
    <t>084006C40138</t>
  </si>
  <si>
    <t>084006C74774</t>
  </si>
  <si>
    <t>084006C04540</t>
  </si>
  <si>
    <t>084006C37767</t>
  </si>
  <si>
    <t>084006C52621</t>
  </si>
  <si>
    <t>084006C55640</t>
  </si>
  <si>
    <t>084006C03013</t>
  </si>
  <si>
    <t>084006C55668</t>
  </si>
  <si>
    <t>084006C69331</t>
  </si>
  <si>
    <t>084006C72501</t>
  </si>
  <si>
    <t>084006C56457</t>
  </si>
  <si>
    <t>084006C57422</t>
  </si>
  <si>
    <t>084006C54230</t>
  </si>
  <si>
    <t>084006C20275</t>
  </si>
  <si>
    <t>084006C57349</t>
  </si>
  <si>
    <t>084006C58669</t>
  </si>
  <si>
    <t>084006C57778</t>
  </si>
  <si>
    <t>084006C99166</t>
  </si>
  <si>
    <t>084004F72122</t>
  </si>
  <si>
    <t>084004F58444</t>
  </si>
  <si>
    <t>084004F03771</t>
  </si>
  <si>
    <t>084004F03557</t>
  </si>
  <si>
    <t>084004F03722</t>
  </si>
  <si>
    <t>084004F03615</t>
  </si>
  <si>
    <t>084004F03490</t>
  </si>
  <si>
    <t>084004F03672</t>
  </si>
  <si>
    <t>084004F02625</t>
  </si>
  <si>
    <t>084004F03011</t>
  </si>
  <si>
    <t>084004F22065</t>
  </si>
  <si>
    <t>084004F02302</t>
  </si>
  <si>
    <t>084004F02385</t>
  </si>
  <si>
    <t>084004F03342</t>
  </si>
  <si>
    <t>084004F02864</t>
  </si>
  <si>
    <t>084004F02914</t>
  </si>
  <si>
    <t>084004FCOL28</t>
  </si>
  <si>
    <t>084004F03581</t>
  </si>
  <si>
    <t>5270802F2756</t>
  </si>
  <si>
    <t>5270804F2853</t>
  </si>
  <si>
    <t>52AVIV2EMLC</t>
  </si>
  <si>
    <t>52DTRG2EDMLC</t>
  </si>
  <si>
    <t>084005900015</t>
  </si>
  <si>
    <t>084005900056</t>
  </si>
  <si>
    <t>0840059000B2</t>
  </si>
  <si>
    <t>0840059000CO</t>
  </si>
  <si>
    <t>0840059000D8</t>
  </si>
  <si>
    <t>0840059000U2</t>
  </si>
  <si>
    <t>0840059000F3</t>
  </si>
  <si>
    <t>0840059000G1</t>
  </si>
  <si>
    <t>0840059000H9</t>
  </si>
  <si>
    <t>0840059000J5</t>
  </si>
  <si>
    <t>0840059000L1</t>
  </si>
  <si>
    <t>0840059000N7</t>
  </si>
  <si>
    <t>0840059000P2</t>
  </si>
  <si>
    <t>0840059000Q0</t>
  </si>
  <si>
    <t>084005900GF0</t>
  </si>
  <si>
    <t>084005900OA5</t>
  </si>
  <si>
    <t>084005900M95</t>
  </si>
  <si>
    <t>084005900GL8</t>
  </si>
  <si>
    <t>084005900GV7</t>
  </si>
  <si>
    <t>084005900GW5</t>
  </si>
  <si>
    <t>084005900H43</t>
  </si>
  <si>
    <t>084005900H50</t>
  </si>
  <si>
    <t>084005900HH4</t>
  </si>
  <si>
    <t>084005900HR3</t>
  </si>
  <si>
    <t>084005900JZ2</t>
  </si>
  <si>
    <t>084005900K22</t>
  </si>
  <si>
    <t>084005900KJ4</t>
  </si>
  <si>
    <t>084005900KL0</t>
  </si>
  <si>
    <t>084005900LR5</t>
  </si>
  <si>
    <t>084005900LE3</t>
  </si>
  <si>
    <t>084005900NA7</t>
  </si>
  <si>
    <t>084005900NO8</t>
  </si>
  <si>
    <t>084005900N52</t>
  </si>
  <si>
    <t>0840059MCET2</t>
  </si>
  <si>
    <t>084005900OK4</t>
  </si>
  <si>
    <t>08400590CO78</t>
  </si>
  <si>
    <t>084005900078</t>
  </si>
  <si>
    <t>0840059000Y4</t>
  </si>
  <si>
    <t>084005900M38</t>
  </si>
  <si>
    <t>084005900MQ5</t>
  </si>
  <si>
    <t>084005900MJ0</t>
  </si>
  <si>
    <t>084007XJTJL3</t>
  </si>
  <si>
    <t>4911021PYME1</t>
  </si>
  <si>
    <t>4911021PYMR2</t>
  </si>
  <si>
    <t>4911021PYMR3</t>
  </si>
  <si>
    <t>4911011FCDS1</t>
  </si>
  <si>
    <t>4975142HMCPD</t>
  </si>
  <si>
    <t>4975141HMPSX</t>
  </si>
  <si>
    <t>4975141HMCSY</t>
  </si>
  <si>
    <t>4911181HMCSY</t>
  </si>
  <si>
    <t>094104130111</t>
  </si>
  <si>
    <t>1641031BLA72</t>
  </si>
  <si>
    <t>17030210802A</t>
  </si>
  <si>
    <t>1703021CEA08</t>
  </si>
  <si>
    <t>1703031CHO1A</t>
  </si>
  <si>
    <t>17030510801U</t>
  </si>
  <si>
    <t>17030710M018</t>
  </si>
  <si>
    <t>18210211201U</t>
  </si>
  <si>
    <t>20000210806A</t>
  </si>
  <si>
    <t>20001110902A</t>
  </si>
  <si>
    <t>20001110903A</t>
  </si>
  <si>
    <t>20001111401A</t>
  </si>
  <si>
    <t>20001111601B</t>
  </si>
  <si>
    <t>20001111702A</t>
  </si>
  <si>
    <t>20001111701C</t>
  </si>
  <si>
    <t>25001111802A</t>
  </si>
  <si>
    <t>20003811402B</t>
  </si>
  <si>
    <t>20003811402C</t>
  </si>
  <si>
    <t>21000210701A</t>
  </si>
  <si>
    <t>21000310905A</t>
  </si>
  <si>
    <t>21000311208A</t>
  </si>
  <si>
    <t>21000311302A</t>
  </si>
  <si>
    <t>63000311901A</t>
  </si>
  <si>
    <t>25001111902C</t>
  </si>
  <si>
    <t>21001110701A</t>
  </si>
  <si>
    <t>25001111901D</t>
  </si>
  <si>
    <t>25001111901E</t>
  </si>
  <si>
    <t>25001111901F</t>
  </si>
  <si>
    <t>21003511301A</t>
  </si>
  <si>
    <t>63003511902A</t>
  </si>
  <si>
    <t>21003811903A</t>
  </si>
  <si>
    <t>21004811601A</t>
  </si>
  <si>
    <t>22587612001A</t>
  </si>
  <si>
    <t>22200210701U</t>
  </si>
  <si>
    <t>22200210702U</t>
  </si>
  <si>
    <t>22200210703U</t>
  </si>
  <si>
    <t>22200210906U</t>
  </si>
  <si>
    <t>22200210908U</t>
  </si>
  <si>
    <t>22200211301A</t>
  </si>
  <si>
    <t>22200211302A</t>
  </si>
  <si>
    <t>22200211303A</t>
  </si>
  <si>
    <t>22200910711A</t>
  </si>
  <si>
    <t>22200910711B</t>
  </si>
  <si>
    <t>22200910712A</t>
  </si>
  <si>
    <t>22200910813A</t>
  </si>
  <si>
    <t>22200910915A</t>
  </si>
  <si>
    <t>22200911016U</t>
  </si>
  <si>
    <t>22200911101U</t>
  </si>
  <si>
    <t>22200911102U</t>
  </si>
  <si>
    <t>22200911203U</t>
  </si>
  <si>
    <t>22200911204U</t>
  </si>
  <si>
    <t>22200911205U</t>
  </si>
  <si>
    <t>22200911206U</t>
  </si>
  <si>
    <t>22200911207U</t>
  </si>
  <si>
    <t>22200911308U</t>
  </si>
  <si>
    <t>22200911309U</t>
  </si>
  <si>
    <t>22200911401A</t>
  </si>
  <si>
    <t>22200911403A</t>
  </si>
  <si>
    <t>22200911410U</t>
  </si>
  <si>
    <t>22200911502A</t>
  </si>
  <si>
    <t>22200911604A</t>
  </si>
  <si>
    <t>22200911705A</t>
  </si>
  <si>
    <t>22200911807A</t>
  </si>
  <si>
    <t>22200911908A</t>
  </si>
  <si>
    <t>22200911901A</t>
  </si>
  <si>
    <t>22201110702U</t>
  </si>
  <si>
    <t>22201110903A</t>
  </si>
  <si>
    <t>22201111401A</t>
  </si>
  <si>
    <t>22201111603A</t>
  </si>
  <si>
    <t>22201111604A</t>
  </si>
  <si>
    <t>22201111705A</t>
  </si>
  <si>
    <t>22202110605A</t>
  </si>
  <si>
    <t>22202110706A</t>
  </si>
  <si>
    <t>22202110707A</t>
  </si>
  <si>
    <t>22202110708A</t>
  </si>
  <si>
    <t>22202111402A</t>
  </si>
  <si>
    <t>22202111503A</t>
  </si>
  <si>
    <t>22202111504A</t>
  </si>
  <si>
    <t>22202111505A</t>
  </si>
  <si>
    <t>22203011211A</t>
  </si>
  <si>
    <t>22203012105A</t>
  </si>
  <si>
    <t>22203010503A</t>
  </si>
  <si>
    <t>22203010514U</t>
  </si>
  <si>
    <t>22203010603B</t>
  </si>
  <si>
    <t>22203010605A</t>
  </si>
  <si>
    <t>22203010610U</t>
  </si>
  <si>
    <t>22203010701A</t>
  </si>
  <si>
    <t>22203010718A</t>
  </si>
  <si>
    <t>22203010806A</t>
  </si>
  <si>
    <t>22203010807A</t>
  </si>
  <si>
    <t>22203010913A</t>
  </si>
  <si>
    <t>22203010917A</t>
  </si>
  <si>
    <t>22203011001A</t>
  </si>
  <si>
    <t>22203011001B</t>
  </si>
  <si>
    <t>22203011003A</t>
  </si>
  <si>
    <t>22203011005A</t>
  </si>
  <si>
    <t>22203011104A</t>
  </si>
  <si>
    <t>22203011213A</t>
  </si>
  <si>
    <t>22203011215A</t>
  </si>
  <si>
    <t>22203011301A</t>
  </si>
  <si>
    <t>22203011301B</t>
  </si>
  <si>
    <t>22203011312A</t>
  </si>
  <si>
    <t>222030113A22</t>
  </si>
  <si>
    <t>22203011402A</t>
  </si>
  <si>
    <t>22203011409A</t>
  </si>
  <si>
    <t>22203011410A</t>
  </si>
  <si>
    <t>22203011411A</t>
  </si>
  <si>
    <t>22203011412A</t>
  </si>
  <si>
    <t>22203011517A</t>
  </si>
  <si>
    <t>22203011619A</t>
  </si>
  <si>
    <t>22203011620A</t>
  </si>
  <si>
    <t>22203110701A</t>
  </si>
  <si>
    <t>22203110801B</t>
  </si>
  <si>
    <t>22203111803A</t>
  </si>
  <si>
    <t>22203111501A</t>
  </si>
  <si>
    <t>22203111502A</t>
  </si>
  <si>
    <t>22584111801A</t>
  </si>
  <si>
    <t>22203210701A</t>
  </si>
  <si>
    <t>22203210703A</t>
  </si>
  <si>
    <t>22203210704A</t>
  </si>
  <si>
    <t>22203210809A</t>
  </si>
  <si>
    <t>22205111902A</t>
  </si>
  <si>
    <t>22205811201A</t>
  </si>
  <si>
    <t>22205811301B</t>
  </si>
  <si>
    <t>22206110701U</t>
  </si>
  <si>
    <t>22206110802U</t>
  </si>
  <si>
    <t>22206110905A</t>
  </si>
  <si>
    <t>22206111007A</t>
  </si>
  <si>
    <t>22206111601A</t>
  </si>
  <si>
    <t>22207410703U</t>
  </si>
  <si>
    <t>22207410901U</t>
  </si>
  <si>
    <t>22207410902U</t>
  </si>
  <si>
    <t>22207511001A</t>
  </si>
  <si>
    <t>22207511101B</t>
  </si>
  <si>
    <t>22207511102B</t>
  </si>
  <si>
    <t>22207511201A</t>
  </si>
  <si>
    <t>22207511201B</t>
  </si>
  <si>
    <t>22207511302A</t>
  </si>
  <si>
    <t>22207710702A</t>
  </si>
  <si>
    <t>22583211701A</t>
  </si>
  <si>
    <t>22207711704A</t>
  </si>
  <si>
    <t>22207711705A</t>
  </si>
  <si>
    <t>22208511601A</t>
  </si>
  <si>
    <t>22209211001U</t>
  </si>
  <si>
    <t>22209410613A</t>
  </si>
  <si>
    <t>22209410713B</t>
  </si>
  <si>
    <t>22209911601A</t>
  </si>
  <si>
    <t>22211511401A</t>
  </si>
  <si>
    <t>22211511901A</t>
  </si>
  <si>
    <t>22212011501A</t>
  </si>
  <si>
    <t>22212211501U</t>
  </si>
  <si>
    <t>22212311501A</t>
  </si>
  <si>
    <t>22212311603A</t>
  </si>
  <si>
    <t>22212311603B</t>
  </si>
  <si>
    <t>22212411501A</t>
  </si>
  <si>
    <t>22230411713A</t>
  </si>
  <si>
    <t>22230411816A</t>
  </si>
  <si>
    <t>22230411812B</t>
  </si>
  <si>
    <t>22230411009A</t>
  </si>
  <si>
    <t>22230411009B</t>
  </si>
  <si>
    <t>22230411011A</t>
  </si>
  <si>
    <t>22230411033A</t>
  </si>
  <si>
    <t>22230411111B</t>
  </si>
  <si>
    <t>22230411227A</t>
  </si>
  <si>
    <t>22230510918A</t>
  </si>
  <si>
    <t>22230510918B</t>
  </si>
  <si>
    <t>22230511009A</t>
  </si>
  <si>
    <t>22230511009B</t>
  </si>
  <si>
    <t>22230511011A</t>
  </si>
  <si>
    <t>22230511111B</t>
  </si>
  <si>
    <t>22230511227A</t>
  </si>
  <si>
    <t>22582511601A</t>
  </si>
  <si>
    <t>22582511602A</t>
  </si>
  <si>
    <t>22582511603A</t>
  </si>
  <si>
    <t>22582511802A</t>
  </si>
  <si>
    <t>22582511904A</t>
  </si>
  <si>
    <t>23230411603A</t>
  </si>
  <si>
    <t>25002211901U</t>
  </si>
  <si>
    <t>25000210701A</t>
  </si>
  <si>
    <t>25000210801B</t>
  </si>
  <si>
    <t>25000210803A</t>
  </si>
  <si>
    <t>25000210803B</t>
  </si>
  <si>
    <t>25000210904A</t>
  </si>
  <si>
    <t>25000210904B</t>
  </si>
  <si>
    <t>25000210904C</t>
  </si>
  <si>
    <t>25000210904D</t>
  </si>
  <si>
    <t>25000211110A</t>
  </si>
  <si>
    <t>25000211210B</t>
  </si>
  <si>
    <t>25000211210C</t>
  </si>
  <si>
    <t>25000211601A</t>
  </si>
  <si>
    <t>25000211601B</t>
  </si>
  <si>
    <t>25000211601C</t>
  </si>
  <si>
    <t>25000211701D</t>
  </si>
  <si>
    <t>25000211903C</t>
  </si>
  <si>
    <t>25000910905A</t>
  </si>
  <si>
    <t>25000910905B</t>
  </si>
  <si>
    <t>25000910905C</t>
  </si>
  <si>
    <t>25000911007A</t>
  </si>
  <si>
    <t>25000911008A</t>
  </si>
  <si>
    <t>25000911103A</t>
  </si>
  <si>
    <t>25000911201A</t>
  </si>
  <si>
    <t>25000911201B</t>
  </si>
  <si>
    <t>25000911201C</t>
  </si>
  <si>
    <t>25000911203B</t>
  </si>
  <si>
    <t>25000911205A</t>
  </si>
  <si>
    <t>25000911305B</t>
  </si>
  <si>
    <t>25000911409A</t>
  </si>
  <si>
    <t>25000911409B</t>
  </si>
  <si>
    <t>25000911509C</t>
  </si>
  <si>
    <t>25001110807U</t>
  </si>
  <si>
    <t>25001111001U</t>
  </si>
  <si>
    <t>25001111002A</t>
  </si>
  <si>
    <t>25001111101A</t>
  </si>
  <si>
    <t>25001111102A</t>
  </si>
  <si>
    <t>25001111103A</t>
  </si>
  <si>
    <t>25001111205U</t>
  </si>
  <si>
    <t>25001111601A</t>
  </si>
  <si>
    <t>25001111601B</t>
  </si>
  <si>
    <t>25001111703A</t>
  </si>
  <si>
    <t>25001111602A</t>
  </si>
  <si>
    <t>25003511301A</t>
  </si>
  <si>
    <t>25003511503A</t>
  </si>
  <si>
    <t>25004211102A</t>
  </si>
  <si>
    <t>25004211102B</t>
  </si>
  <si>
    <t>25004211202C</t>
  </si>
  <si>
    <t>25004211304A</t>
  </si>
  <si>
    <t>25004811201A</t>
  </si>
  <si>
    <t>25004811201B</t>
  </si>
  <si>
    <t>25004811202A</t>
  </si>
  <si>
    <t>25004811204A</t>
  </si>
  <si>
    <t>25004811305A</t>
  </si>
  <si>
    <t>25004811305B</t>
  </si>
  <si>
    <t>25004811501A</t>
  </si>
  <si>
    <t>25004811601B</t>
  </si>
  <si>
    <t>25008610708A</t>
  </si>
  <si>
    <t>25008610808B</t>
  </si>
  <si>
    <t>25008610912A</t>
  </si>
  <si>
    <t>25008611001A</t>
  </si>
  <si>
    <t>25008611104A</t>
  </si>
  <si>
    <t>25008611105A</t>
  </si>
  <si>
    <t>25008611210A</t>
  </si>
  <si>
    <t>25008611211A</t>
  </si>
  <si>
    <t>25008611505A</t>
  </si>
  <si>
    <t>25008611610A</t>
  </si>
  <si>
    <t>25008611610B</t>
  </si>
  <si>
    <t>25008611611A</t>
  </si>
  <si>
    <t>23008611901C</t>
  </si>
  <si>
    <t>23008611901B</t>
  </si>
  <si>
    <t>23008611901A</t>
  </si>
  <si>
    <t>25008611901A</t>
  </si>
  <si>
    <t>25008611903A</t>
  </si>
  <si>
    <t>25008711101B</t>
  </si>
  <si>
    <t>25008711102A</t>
  </si>
  <si>
    <t>25008711102B</t>
  </si>
  <si>
    <t>25008711304A</t>
  </si>
  <si>
    <t>25008711407A</t>
  </si>
  <si>
    <t>25008811201U</t>
  </si>
  <si>
    <t>25008811302U</t>
  </si>
  <si>
    <t>25008811303A</t>
  </si>
  <si>
    <t>25008811401A</t>
  </si>
  <si>
    <t>25008811501B</t>
  </si>
  <si>
    <t>25008811602A</t>
  </si>
  <si>
    <t>25008811702B</t>
  </si>
  <si>
    <t>25008811803B</t>
  </si>
  <si>
    <t>63008811901F</t>
  </si>
  <si>
    <t>63008811801B</t>
  </si>
  <si>
    <t>63008811901D</t>
  </si>
  <si>
    <t>63008811901E</t>
  </si>
  <si>
    <t>63008811801L</t>
  </si>
  <si>
    <t>63008811902A</t>
  </si>
  <si>
    <t>25009911201A</t>
  </si>
  <si>
    <t>25009911202A</t>
  </si>
  <si>
    <t>25010411301A</t>
  </si>
  <si>
    <t>25010511701A</t>
  </si>
  <si>
    <t>63010512203A</t>
  </si>
  <si>
    <t>63010511801E</t>
  </si>
  <si>
    <t>63010511802C</t>
  </si>
  <si>
    <t>63010511902E</t>
  </si>
  <si>
    <t>63010511901C</t>
  </si>
  <si>
    <t>63010511902A</t>
  </si>
  <si>
    <t>25210511601A</t>
  </si>
  <si>
    <t>2702011INSC3</t>
  </si>
  <si>
    <t>2702011HCP1U</t>
  </si>
  <si>
    <t>2702021CMR4A</t>
  </si>
  <si>
    <t>2702021IP01U</t>
  </si>
  <si>
    <t>2702021IP02U</t>
  </si>
  <si>
    <t>2702041AP01U</t>
  </si>
  <si>
    <t>2702041CM071</t>
  </si>
  <si>
    <t>2702041MA01U</t>
  </si>
  <si>
    <t>2702041OP01U</t>
  </si>
  <si>
    <t>2721181IRCO1</t>
  </si>
  <si>
    <t>29410110601U</t>
  </si>
  <si>
    <t>29410110901A</t>
  </si>
  <si>
    <t>63000211403A</t>
  </si>
  <si>
    <t>63000211403B</t>
  </si>
  <si>
    <t>63000211403C</t>
  </si>
  <si>
    <t>63001111903A</t>
  </si>
  <si>
    <t>63001111601A</t>
  </si>
  <si>
    <t>63003811401A</t>
  </si>
  <si>
    <t>63003811501C</t>
  </si>
  <si>
    <t>63003811501D</t>
  </si>
  <si>
    <t>63003811902A</t>
  </si>
  <si>
    <t>63004211401D</t>
  </si>
  <si>
    <t>63004211401E</t>
  </si>
  <si>
    <t>63004211901A</t>
  </si>
  <si>
    <t>63004911401A</t>
  </si>
  <si>
    <t>63004911402A</t>
  </si>
  <si>
    <t>63004911603A</t>
  </si>
  <si>
    <t>63004911901A</t>
  </si>
  <si>
    <t>25004911802A</t>
  </si>
  <si>
    <t>63008611503A</t>
  </si>
  <si>
    <t>63008611504A</t>
  </si>
  <si>
    <t>63008611504B</t>
  </si>
  <si>
    <t>63008611805A</t>
  </si>
  <si>
    <t>63008711302A</t>
  </si>
  <si>
    <t>63008811801C</t>
  </si>
  <si>
    <t>63008811203A</t>
  </si>
  <si>
    <t>63008811401A</t>
  </si>
  <si>
    <t>63008811401B</t>
  </si>
  <si>
    <t>63008811501D</t>
  </si>
  <si>
    <t>63008811601F</t>
  </si>
  <si>
    <t>63008811601G</t>
  </si>
  <si>
    <t>63010011302A</t>
  </si>
  <si>
    <t>63010111201B</t>
  </si>
  <si>
    <t>63010211301U</t>
  </si>
  <si>
    <t>63010312202D</t>
  </si>
  <si>
    <t>63010311901D</t>
  </si>
  <si>
    <t>63010311603A</t>
  </si>
  <si>
    <t>63010311703B</t>
  </si>
  <si>
    <t>63010311801B</t>
  </si>
  <si>
    <t>63010311801C</t>
  </si>
  <si>
    <t>25010311801A</t>
  </si>
  <si>
    <t>25010311902A</t>
  </si>
  <si>
    <t>63010511301U</t>
  </si>
  <si>
    <t>63010511401A</t>
  </si>
  <si>
    <t>63010511402A</t>
  </si>
  <si>
    <t>63010511403U</t>
  </si>
  <si>
    <t>63010511501A</t>
  </si>
  <si>
    <t>63010511504A</t>
  </si>
  <si>
    <t>63010511601A</t>
  </si>
  <si>
    <t>63010511601C</t>
  </si>
  <si>
    <t>63010511602A</t>
  </si>
  <si>
    <t>63010511801B</t>
  </si>
  <si>
    <t>63010611806B</t>
  </si>
  <si>
    <t>63010611401A</t>
  </si>
  <si>
    <t>63010611402A</t>
  </si>
  <si>
    <t>63010611404B</t>
  </si>
  <si>
    <t>63010611503A</t>
  </si>
  <si>
    <t>63010611906E</t>
  </si>
  <si>
    <t>63010611906D</t>
  </si>
  <si>
    <t>76230410602D</t>
  </si>
  <si>
    <t>76230410601N</t>
  </si>
  <si>
    <t>22230411031A</t>
  </si>
  <si>
    <t>25009911403A</t>
  </si>
  <si>
    <t>63008811501C</t>
  </si>
  <si>
    <t>21004811101A</t>
  </si>
  <si>
    <t>21004811102A</t>
  </si>
  <si>
    <t>21004811405A</t>
  </si>
  <si>
    <t>21004811405B</t>
  </si>
  <si>
    <t>22203011621A</t>
  </si>
  <si>
    <t>22203011701A</t>
  </si>
  <si>
    <t>22203011802A</t>
  </si>
  <si>
    <t>22203011903A</t>
  </si>
  <si>
    <t>22203011904A</t>
  </si>
  <si>
    <t>22230411711B</t>
  </si>
  <si>
    <t>22230411714A</t>
  </si>
  <si>
    <t>22230411712A</t>
  </si>
  <si>
    <t>63010511601B</t>
  </si>
  <si>
    <t>2702041IPS1U</t>
  </si>
  <si>
    <t>22202110910A</t>
  </si>
  <si>
    <t>22230411129A</t>
  </si>
  <si>
    <t>25008711101A</t>
  </si>
  <si>
    <t>25000211109A</t>
  </si>
  <si>
    <t>63010611504A</t>
  </si>
  <si>
    <t>63010611504B</t>
  </si>
  <si>
    <t>63010611706A</t>
  </si>
  <si>
    <t>63010611704D</t>
  </si>
  <si>
    <t>63010611906C</t>
  </si>
  <si>
    <t>63010511531A</t>
  </si>
  <si>
    <t>25004811403A</t>
  </si>
  <si>
    <t>63008811601H</t>
  </si>
  <si>
    <t>63008811701A</t>
  </si>
  <si>
    <t>63008811701I</t>
  </si>
  <si>
    <t>63008811701K</t>
  </si>
  <si>
    <t>63008811701J</t>
  </si>
  <si>
    <t>63003811401B</t>
  </si>
  <si>
    <t>63003811702A</t>
  </si>
  <si>
    <t>63010511703A</t>
  </si>
  <si>
    <t>63010511702A</t>
  </si>
  <si>
    <t>63010511802D</t>
  </si>
  <si>
    <t>25010511701B</t>
  </si>
  <si>
    <t>25010511702A</t>
  </si>
  <si>
    <t>25010512102A</t>
  </si>
  <si>
    <t>25010511903A</t>
  </si>
  <si>
    <t>63010511702B</t>
  </si>
  <si>
    <t>63010511801D</t>
  </si>
  <si>
    <t>23583411902B</t>
  </si>
  <si>
    <t>23583411701A</t>
  </si>
  <si>
    <t>23583411802A</t>
  </si>
  <si>
    <t>23583411803A</t>
  </si>
  <si>
    <t>23583411904A</t>
  </si>
  <si>
    <t>23583411901B</t>
  </si>
  <si>
    <t>21004812101A</t>
  </si>
  <si>
    <t>21004811701B</t>
  </si>
  <si>
    <t>22206111702A</t>
  </si>
  <si>
    <t>22212311802A</t>
  </si>
  <si>
    <t>2702041CCPN1</t>
  </si>
  <si>
    <t>25010511802B</t>
  </si>
  <si>
    <t>25001111801A</t>
  </si>
  <si>
    <t>25001111801B</t>
  </si>
  <si>
    <t>22206111803B</t>
  </si>
  <si>
    <t>25001111801C</t>
  </si>
  <si>
    <t>25001111802B</t>
  </si>
  <si>
    <t>22210611802U</t>
  </si>
  <si>
    <t>25010411801A</t>
  </si>
  <si>
    <t>22201111801A</t>
  </si>
  <si>
    <t>23201111801A</t>
  </si>
  <si>
    <t>210002162267</t>
  </si>
  <si>
    <t>210002162937</t>
  </si>
  <si>
    <t>222304105SUN</t>
  </si>
  <si>
    <t>2500021JCK99</t>
  </si>
  <si>
    <t>13210519AD50</t>
  </si>
  <si>
    <t>2721171IRSM2</t>
  </si>
  <si>
    <t>274304115N22</t>
  </si>
  <si>
    <t>274307120991</t>
  </si>
  <si>
    <t>560001115G16</t>
  </si>
  <si>
    <t>560001120L16</t>
  </si>
  <si>
    <t>640001109M17</t>
  </si>
  <si>
    <t>640001106F14</t>
  </si>
  <si>
    <t>640001106N14</t>
  </si>
  <si>
    <t>640001107G14</t>
  </si>
  <si>
    <t>640001107S17</t>
  </si>
  <si>
    <t>640001107Y15</t>
  </si>
  <si>
    <t>640001108E15</t>
  </si>
  <si>
    <t>640001108F18</t>
  </si>
  <si>
    <t>640001108M18</t>
  </si>
  <si>
    <t>640001108Y14</t>
  </si>
  <si>
    <t>640001109A15</t>
  </si>
  <si>
    <t>640001109F17</t>
  </si>
  <si>
    <t>640001109L15</t>
  </si>
  <si>
    <t>640001110A14</t>
  </si>
  <si>
    <t>640001110G17</t>
  </si>
  <si>
    <t>640001111D14</t>
  </si>
  <si>
    <t>640001111J15</t>
  </si>
  <si>
    <t>640001111S14</t>
  </si>
  <si>
    <t>640001112F15</t>
  </si>
  <si>
    <t>640001112J14</t>
  </si>
  <si>
    <t>640001113D16</t>
  </si>
  <si>
    <t>640001113M14</t>
  </si>
  <si>
    <t>640001115A14</t>
  </si>
  <si>
    <t>640001115E15</t>
  </si>
  <si>
    <t>640001115O15</t>
  </si>
  <si>
    <t>640001116F17</t>
  </si>
  <si>
    <t>640001116O14</t>
  </si>
  <si>
    <t>640001117G17</t>
  </si>
  <si>
    <t>640001127D16</t>
  </si>
  <si>
    <t>770001105M15</t>
  </si>
  <si>
    <t>640001115D16</t>
  </si>
  <si>
    <t>640001112Y16</t>
  </si>
  <si>
    <t>640001110N16</t>
  </si>
  <si>
    <t>640001106A17</t>
  </si>
  <si>
    <t>640001113L17</t>
  </si>
  <si>
    <t>640001108S16</t>
  </si>
  <si>
    <t>640001112O17</t>
  </si>
  <si>
    <t>640001113O16</t>
  </si>
  <si>
    <t>640001106L17</t>
  </si>
  <si>
    <t>640001105E17</t>
  </si>
  <si>
    <t>640001109E18</t>
  </si>
  <si>
    <t>640001117N16</t>
  </si>
  <si>
    <t>640001113F18</t>
  </si>
  <si>
    <t>640001112A18</t>
  </si>
  <si>
    <t>640001107M17</t>
  </si>
  <si>
    <t>640001115M17</t>
  </si>
  <si>
    <t>640001116Y17</t>
  </si>
  <si>
    <t>640001106J17</t>
  </si>
  <si>
    <t>640001110A17</t>
  </si>
  <si>
    <t>640001117A17</t>
  </si>
  <si>
    <t>640001124A17</t>
  </si>
  <si>
    <t>640001102Y17</t>
  </si>
  <si>
    <t>640001114S17</t>
  </si>
  <si>
    <t>640001112D17</t>
  </si>
  <si>
    <t>640001106F18</t>
  </si>
  <si>
    <t>640001106S18</t>
  </si>
  <si>
    <t>640001108N18</t>
  </si>
  <si>
    <t>011000105Y15</t>
  </si>
  <si>
    <t>011000112F29</t>
  </si>
  <si>
    <t>011000112G17</t>
  </si>
  <si>
    <t>011000112G20</t>
  </si>
  <si>
    <t>011000112G24</t>
  </si>
  <si>
    <t>011000112G26</t>
  </si>
  <si>
    <t>011000112G28</t>
  </si>
  <si>
    <t>011000112S23</t>
  </si>
  <si>
    <t>041000101J14</t>
  </si>
  <si>
    <t>041000104Y14</t>
  </si>
  <si>
    <t>041000104Y16</t>
  </si>
  <si>
    <t>041000113J15</t>
  </si>
  <si>
    <t>041000114F15</t>
  </si>
  <si>
    <t>041000114M15</t>
  </si>
  <si>
    <t>041000114O15</t>
  </si>
  <si>
    <t>041000115N14</t>
  </si>
  <si>
    <t>041000118O14</t>
  </si>
  <si>
    <t>4310001PEB40</t>
  </si>
  <si>
    <t>431000112G20</t>
  </si>
  <si>
    <t>431000112G24</t>
  </si>
  <si>
    <t>431000112G26</t>
  </si>
  <si>
    <t>431000112G28</t>
  </si>
  <si>
    <t>431000112G37</t>
  </si>
  <si>
    <t>4911021CORF1</t>
  </si>
  <si>
    <t>041000118A15</t>
  </si>
  <si>
    <t>041000127L15</t>
  </si>
  <si>
    <t>18210231202U</t>
  </si>
  <si>
    <t>25000331905A</t>
  </si>
  <si>
    <t>21000330803A</t>
  </si>
  <si>
    <t>21001130702A</t>
  </si>
  <si>
    <t>21001130703A</t>
  </si>
  <si>
    <t>21001130804U</t>
  </si>
  <si>
    <t>21001130805U</t>
  </si>
  <si>
    <t>21001130806A</t>
  </si>
  <si>
    <t>21003830904A</t>
  </si>
  <si>
    <t>21003830904B</t>
  </si>
  <si>
    <t>21003831201B</t>
  </si>
  <si>
    <t>22203030411U</t>
  </si>
  <si>
    <t>22203030412U</t>
  </si>
  <si>
    <t>22206430404A</t>
  </si>
  <si>
    <t>22206430506A</t>
  </si>
  <si>
    <t>222116304874</t>
  </si>
  <si>
    <t>222121371023</t>
  </si>
  <si>
    <t>22230430704A</t>
  </si>
  <si>
    <t>22230430712A</t>
  </si>
  <si>
    <t>22230430836B</t>
  </si>
  <si>
    <t>22230430922A</t>
  </si>
  <si>
    <t>2702023IP01U</t>
  </si>
  <si>
    <t>2702033CCH1A</t>
  </si>
  <si>
    <t>2702033CCH2A</t>
  </si>
  <si>
    <t>274310115N24</t>
  </si>
  <si>
    <t>3743261FDINF</t>
  </si>
  <si>
    <t>2702043IPS2U</t>
  </si>
  <si>
    <t>27020230F042</t>
  </si>
  <si>
    <t>011000311D13</t>
  </si>
  <si>
    <t>011000312F18</t>
  </si>
  <si>
    <t>011000312F30</t>
  </si>
  <si>
    <t>011000312F40</t>
  </si>
  <si>
    <t>011000312F54</t>
  </si>
  <si>
    <t>011000312G46</t>
  </si>
  <si>
    <t>011000313J19</t>
  </si>
  <si>
    <t>011000314A16</t>
  </si>
  <si>
    <t>011000330E14</t>
  </si>
  <si>
    <t>011000331E35</t>
  </si>
  <si>
    <t>011000308J16</t>
  </si>
  <si>
    <t>5260012EV107</t>
  </si>
  <si>
    <t>5271112E5105</t>
  </si>
  <si>
    <t>5271112EQ109</t>
  </si>
  <si>
    <t>345878734047</t>
  </si>
  <si>
    <t>345877731120</t>
  </si>
  <si>
    <t>5270652EU100</t>
  </si>
  <si>
    <t>5270222GCONS</t>
  </si>
  <si>
    <t>5270194SCEUR</t>
  </si>
  <si>
    <t>5270292F85G6</t>
  </si>
  <si>
    <t>5273974E3308</t>
  </si>
  <si>
    <t>5273874EURDG</t>
  </si>
  <si>
    <t>5274504EUREQ</t>
  </si>
  <si>
    <t>5271116EEURO</t>
  </si>
  <si>
    <t>52INVE4CESEA</t>
  </si>
  <si>
    <t>5270184JBGER</t>
  </si>
  <si>
    <t>5272872ALEMI</t>
  </si>
  <si>
    <t>5270382PJAPE</t>
  </si>
  <si>
    <t>5271112E8487</t>
  </si>
  <si>
    <t>5275246FLC77</t>
  </si>
  <si>
    <t>52EAIN2JAPEQ</t>
  </si>
  <si>
    <t>52INVE5JAPAN</t>
  </si>
  <si>
    <t>5274245YJPSC</t>
  </si>
  <si>
    <t>5274042USLCP</t>
  </si>
  <si>
    <t>PROXYS2US</t>
  </si>
  <si>
    <t>3452392V1098</t>
  </si>
  <si>
    <t>345432201006</t>
  </si>
  <si>
    <t>345442271068</t>
  </si>
  <si>
    <t>3454772H1068</t>
  </si>
  <si>
    <t>3455112T1051</t>
  </si>
  <si>
    <t>345575241015</t>
  </si>
  <si>
    <t>345576291044</t>
  </si>
  <si>
    <t>3455772Q1040</t>
  </si>
  <si>
    <t>PTCMEF0-II016C-PUT</t>
  </si>
  <si>
    <t>PTCMEF0-II017C-PUT</t>
  </si>
  <si>
    <t>PTCMEF0-II022C-CALL</t>
  </si>
  <si>
    <t>PTCMEF0-II008C-CALL</t>
  </si>
  <si>
    <t>PTCMEF0-II007C-CALL</t>
  </si>
  <si>
    <t>PTCMEF0-II006C-CALL</t>
  </si>
  <si>
    <t>PTCMEF0-II042C-CALL</t>
  </si>
  <si>
    <t>PTCMEF0-II044C-CALL</t>
  </si>
  <si>
    <t>PTCMEF0-II045C-CALL</t>
  </si>
  <si>
    <t>PTCMEF0-II046C-CALL</t>
  </si>
  <si>
    <t>PTCMEF0-II047C-CALL</t>
  </si>
  <si>
    <t>PTCMEF0-II049C-CALL</t>
  </si>
  <si>
    <t>PTCMEF0-II050C-CALL</t>
  </si>
  <si>
    <t>PTCMEF0-II051C-CALL</t>
  </si>
  <si>
    <t>PTCMEF0-II052C-CALL</t>
  </si>
  <si>
    <t>PTCMEF0-II030C-CALL</t>
  </si>
  <si>
    <t>PTCMEF0-II031C-CALL</t>
  </si>
  <si>
    <t>PTCMEF0-II048C-CALL</t>
  </si>
  <si>
    <t>PTCMEF0-II043C-CALL</t>
  </si>
  <si>
    <t>PTCMEF0-II005C-CALL</t>
  </si>
  <si>
    <t>PTCMEF0-II011C-CALL</t>
  </si>
  <si>
    <t>PTCMEF0-II008C-PUT</t>
  </si>
  <si>
    <t>PTCMEF0-II009C-PUT</t>
  </si>
  <si>
    <t>PTCMEF0-II024C-PUT</t>
  </si>
  <si>
    <t>PTCMEF0-II035C-PUT</t>
  </si>
  <si>
    <t>PTCMEF0-II041C-CALL</t>
  </si>
  <si>
    <t>PTCMEF0-II010C-PUT</t>
  </si>
  <si>
    <t>PTCMEF0-II011C-PUT</t>
  </si>
  <si>
    <t>PTCMEF0-II012C-CALL</t>
  </si>
  <si>
    <t>PTCMEF0-II016C-CALL</t>
  </si>
  <si>
    <t>PTCMEF0-II029C-CALL</t>
  </si>
  <si>
    <t>PTCMEF0-II015C-CALL</t>
  </si>
  <si>
    <t>PTCMEF0-II010C-CALL</t>
  </si>
  <si>
    <t>PTCMEF0-II001C-CALL</t>
  </si>
  <si>
    <t>PTCMEF0-II002C-CALL</t>
  </si>
  <si>
    <t>PTCMEF0-II040C-CALL</t>
  </si>
  <si>
    <t>PTCMEF0-II038C-CALL</t>
  </si>
  <si>
    <t>PTCMEF0-II036C-CALL</t>
  </si>
  <si>
    <t>PTCMEF0-II033C-CALL</t>
  </si>
  <si>
    <t>PTCMEF0-II003C-CALL</t>
  </si>
  <si>
    <t>PTCMEF0-II004C-CALL</t>
  </si>
  <si>
    <t>PTCMEF0-II021C-CALL</t>
  </si>
  <si>
    <t>PTCMEF0-II023C-CALL</t>
  </si>
  <si>
    <t>PTCMEF0-II026C-CALL</t>
  </si>
  <si>
    <t>PTCMEF0-II027C-CALL</t>
  </si>
  <si>
    <t>PTCMEF0-II025C-CALL</t>
  </si>
  <si>
    <t>PTCMEF0-II028C-CALL</t>
  </si>
  <si>
    <t>PTCMEF0-II032C-PUT</t>
  </si>
  <si>
    <t>PTCMEF0-II022C-PUT</t>
  </si>
  <si>
    <t>PTCMEF0-II034C-PUT</t>
  </si>
  <si>
    <t>PTCMEF0-II023C-PUT</t>
  </si>
  <si>
    <t>345071270108</t>
  </si>
  <si>
    <t>345403291080</t>
  </si>
  <si>
    <t>3454922Q1040</t>
  </si>
  <si>
    <t>3454942R1086</t>
  </si>
  <si>
    <t>3455062C8394</t>
  </si>
  <si>
    <t>3455372P1005</t>
  </si>
  <si>
    <t>3456662H1059</t>
  </si>
  <si>
    <t>3454562G1076</t>
  </si>
  <si>
    <t>3455482K1088</t>
  </si>
  <si>
    <t>3455562C1018</t>
  </si>
  <si>
    <t>3455882SQD29</t>
  </si>
  <si>
    <t>3456802G1085</t>
  </si>
  <si>
    <t>345214221022</t>
  </si>
  <si>
    <t>345315201095</t>
  </si>
  <si>
    <t>3453172W1062</t>
  </si>
  <si>
    <t>3455982A1025</t>
  </si>
  <si>
    <t>345708261066</t>
  </si>
  <si>
    <t>34505125R102</t>
  </si>
  <si>
    <t>345426231005</t>
  </si>
  <si>
    <t>345499251036</t>
  </si>
  <si>
    <t>5260002E1043</t>
  </si>
  <si>
    <t>5273932EMERG</t>
  </si>
  <si>
    <t>5273984A9676</t>
  </si>
  <si>
    <t>PTCMEF0-II039C-CALL</t>
  </si>
  <si>
    <t>PTCMEF0-II037C-CALL</t>
  </si>
  <si>
    <t>PTCMEF0-II017C-CALL</t>
  </si>
  <si>
    <t>PTCMEF0-II019C-CALL</t>
  </si>
  <si>
    <t>PTCMEF0-II013C-CALL</t>
  </si>
  <si>
    <t>PTCMEF0-II020C-CALL</t>
  </si>
  <si>
    <t>PTCMEF0-II024C-CALL</t>
  </si>
  <si>
    <t>52INVE4ASEQT</t>
  </si>
  <si>
    <t>5270772TEMKO</t>
  </si>
  <si>
    <t>5272092KOREA</t>
  </si>
  <si>
    <t>5271112SINGA</t>
  </si>
  <si>
    <t>PTCMEF0-II018C-CALL</t>
  </si>
  <si>
    <t>PTCMEF0-II014C-CALL</t>
  </si>
  <si>
    <t>5270224EMEUR</t>
  </si>
  <si>
    <t>5270802PRUSI</t>
  </si>
  <si>
    <t>5270652EU506</t>
  </si>
  <si>
    <t>5270464F4267</t>
  </si>
  <si>
    <t>527023418073</t>
  </si>
  <si>
    <t>3401558CNOR0</t>
  </si>
  <si>
    <t>3350222V1035</t>
  </si>
  <si>
    <t>3458308CNOR2</t>
  </si>
  <si>
    <t>3457848CNOR3</t>
  </si>
  <si>
    <t>3457938CNOR1</t>
  </si>
  <si>
    <t>345206231073</t>
  </si>
  <si>
    <t>5270652EU613</t>
  </si>
  <si>
    <t>3453438CNOR8</t>
  </si>
  <si>
    <t>335082271050</t>
  </si>
  <si>
    <t>3350242A2099</t>
  </si>
  <si>
    <t>3350162A2201</t>
  </si>
  <si>
    <t>3351152A3100</t>
  </si>
  <si>
    <t>345115C00423</t>
  </si>
  <si>
    <t>345034C00100</t>
  </si>
  <si>
    <t>345074C0F108</t>
  </si>
  <si>
    <t>3351632F1049</t>
  </si>
  <si>
    <t>335158201064</t>
  </si>
  <si>
    <t>3352482H1059</t>
  </si>
  <si>
    <t>3354462G1004</t>
  </si>
  <si>
    <t>455289F00017</t>
  </si>
  <si>
    <t>3452567U2065</t>
  </si>
  <si>
    <t>3351112L1026</t>
  </si>
  <si>
    <t>3352872W1018</t>
  </si>
  <si>
    <t>455324F00076</t>
  </si>
  <si>
    <t>5273662MES44</t>
  </si>
  <si>
    <t>52MDOM2MES44</t>
  </si>
  <si>
    <t>4A7482254332</t>
  </si>
  <si>
    <t>5274822MSCLA</t>
  </si>
  <si>
    <t>3454129K1056</t>
  </si>
  <si>
    <t>335447291064</t>
  </si>
  <si>
    <t>345824900038</t>
  </si>
  <si>
    <t>335073241108</t>
  </si>
  <si>
    <t>345420900005</t>
  </si>
  <si>
    <t>3455719M0003</t>
  </si>
  <si>
    <t>335407208898</t>
  </si>
  <si>
    <t>345407911567</t>
  </si>
  <si>
    <t>345205941019</t>
  </si>
  <si>
    <t>345217200001</t>
  </si>
  <si>
    <t>345438950007</t>
  </si>
  <si>
    <t>3353732C1053</t>
  </si>
  <si>
    <t>345119911014</t>
  </si>
  <si>
    <t>345296261054</t>
  </si>
  <si>
    <t>3020111OALIC</t>
  </si>
  <si>
    <t>312011100001</t>
  </si>
  <si>
    <t>312026100001</t>
  </si>
  <si>
    <t>302059100001</t>
  </si>
  <si>
    <t>302082600001</t>
  </si>
  <si>
    <t>402059100001</t>
  </si>
  <si>
    <t>300009100001</t>
  </si>
  <si>
    <t>300013200001</t>
  </si>
  <si>
    <t>4B2029100001</t>
  </si>
  <si>
    <t>402029200001</t>
  </si>
  <si>
    <t>402029100002</t>
  </si>
  <si>
    <t>312034100001</t>
  </si>
  <si>
    <t>312051100001</t>
  </si>
  <si>
    <t>3220292P2083</t>
  </si>
  <si>
    <t>302048100002</t>
  </si>
  <si>
    <t>302057100001</t>
  </si>
  <si>
    <t>3958792W1068</t>
  </si>
  <si>
    <t>3958797W1068</t>
  </si>
  <si>
    <t>402057100003</t>
  </si>
  <si>
    <t>4020571CS002</t>
  </si>
  <si>
    <t>3020836W5029</t>
  </si>
  <si>
    <t>4A2083600001</t>
  </si>
  <si>
    <t>302128100001</t>
  </si>
  <si>
    <t>302068100001</t>
  </si>
  <si>
    <t>302009100001</t>
  </si>
  <si>
    <t>345020242204</t>
  </si>
  <si>
    <t>345129271014</t>
  </si>
  <si>
    <t>345325741052</t>
  </si>
  <si>
    <t>345387251017</t>
  </si>
  <si>
    <t>3454532P1012</t>
  </si>
  <si>
    <t>345508251012</t>
  </si>
  <si>
    <t>3456722P1012</t>
  </si>
  <si>
    <t>PROXYS2ENER</t>
  </si>
  <si>
    <t>345260291016</t>
  </si>
  <si>
    <t>345219261017</t>
  </si>
  <si>
    <t>345220271086</t>
  </si>
  <si>
    <t>345318241075</t>
  </si>
  <si>
    <t>5270652EU191</t>
  </si>
  <si>
    <t>3453652C1036</t>
  </si>
  <si>
    <t>FTCMEF0-WNU3</t>
  </si>
  <si>
    <t>FTCMEF0-UXYU3</t>
  </si>
  <si>
    <t>FTCMEF0-WNZ3</t>
  </si>
  <si>
    <t>FTCMEF0-UXYZ3</t>
  </si>
  <si>
    <t>FTCMEF0-FVU3</t>
  </si>
  <si>
    <t>FTCMEF0-FVM3</t>
  </si>
  <si>
    <t>FTCMEF0-USM3</t>
  </si>
  <si>
    <t>FTCMEF0-UXYM3</t>
  </si>
  <si>
    <t>FTCMEF0-UXYH3</t>
  </si>
  <si>
    <t>FTCMEF0-UXYZ2</t>
  </si>
  <si>
    <t>FTCMEF0-UXYZ1</t>
  </si>
  <si>
    <t>FTCMEF0-UXYH1</t>
  </si>
  <si>
    <t>FTCMEF0-FVZ1</t>
  </si>
  <si>
    <t>FTCMEF0-FVH2</t>
  </si>
  <si>
    <t>FTCMEF0-FVH4</t>
  </si>
  <si>
    <t>FTCMEF0-WNH4</t>
  </si>
  <si>
    <t>FTCMEF0-WNH2</t>
  </si>
  <si>
    <t>FTCMEF0-UXYH2</t>
  </si>
  <si>
    <t>FTCMEF0-WNH1</t>
  </si>
  <si>
    <t>FTCMEF0-WNZ0</t>
  </si>
  <si>
    <t>FTCMEF0-WNZ1</t>
  </si>
  <si>
    <t>FTCMEF0-UXYZ0</t>
  </si>
  <si>
    <t>FTCMEF0-WNM7</t>
  </si>
  <si>
    <t>FTCMEF0-WNU7</t>
  </si>
  <si>
    <t>FTCMEF0-WNZ7</t>
  </si>
  <si>
    <t>FTCMEF0-WNH8</t>
  </si>
  <si>
    <t>FTCMEF0-TYM8</t>
  </si>
  <si>
    <t>FTCMEF0-TYM9</t>
  </si>
  <si>
    <t>FTCMEF0-UXYU2</t>
  </si>
  <si>
    <t>FTCMEF0-UXYM2</t>
  </si>
  <si>
    <t>FTCMEF0-UXYU1</t>
  </si>
  <si>
    <t>FTCMEF0-UXYM1</t>
  </si>
  <si>
    <t>FTCMEF0-TYU9</t>
  </si>
  <si>
    <t>0840001TS10Y</t>
  </si>
  <si>
    <t>FTCMEF0-TYU8</t>
  </si>
  <si>
    <t>FTCMEF0-US9128284-191218</t>
  </si>
  <si>
    <t>FTCMEF0-TYH9</t>
  </si>
  <si>
    <t>FTCMEF0-TYH0</t>
  </si>
  <si>
    <t>FTCMEF0-UXYM0</t>
  </si>
  <si>
    <t>FTCMEF0-WNZ2</t>
  </si>
  <si>
    <t>Asset Class</t>
  </si>
  <si>
    <t>Rank Rt</t>
  </si>
  <si>
    <t>ALT</t>
  </si>
  <si>
    <t>Riesgos</t>
  </si>
  <si>
    <t>TD</t>
  </si>
  <si>
    <t>GOB</t>
  </si>
  <si>
    <t>BU</t>
  </si>
  <si>
    <t>Categoria</t>
  </si>
  <si>
    <t>Estrategia</t>
  </si>
  <si>
    <t>Cash</t>
  </si>
  <si>
    <t>Global Infrastructure GP IV, L.P.</t>
  </si>
  <si>
    <t xml:space="preserve">PineBridge - Credit Opportunities II </t>
  </si>
  <si>
    <t>Apollo Credit Opportunity III</t>
  </si>
  <si>
    <t>Oaktree Principal Fund VI GP, L.P.</t>
  </si>
  <si>
    <t>ASSF - Operating Manager IV, LP</t>
  </si>
  <si>
    <t>Avenue - Europe Capital Partners III, LLC</t>
  </si>
  <si>
    <t>Pantheon - PASIA VI</t>
  </si>
  <si>
    <t>TRG Rohatyn - LAPEF I</t>
  </si>
  <si>
    <t>Partners - PGD 2009</t>
  </si>
  <si>
    <t>Apax VIII</t>
  </si>
  <si>
    <t>Apax X</t>
  </si>
  <si>
    <t>KKR</t>
  </si>
  <si>
    <t>PAI Europe VII</t>
  </si>
  <si>
    <t xml:space="preserve">Apax IX </t>
  </si>
  <si>
    <t>CVC Capital Partners - VII Limited</t>
  </si>
  <si>
    <t>HarbourVest Co-Investment Fund IV</t>
  </si>
  <si>
    <t>Vista Equity Partners Fund VII GP, L.P.</t>
  </si>
  <si>
    <t>CEP V LUX</t>
  </si>
  <si>
    <t>Carlyle Partners VII</t>
  </si>
  <si>
    <t>Hellman &amp; Friedman</t>
  </si>
  <si>
    <t>PRIVFAELCPIX</t>
  </si>
  <si>
    <t>Coller - Coller VI</t>
  </si>
  <si>
    <t>Coller - Coller VIII</t>
  </si>
  <si>
    <t>Partners - PG Secondary 2011</t>
  </si>
  <si>
    <t>Lexington Partners GP Holdings VIII LLC</t>
  </si>
  <si>
    <t>Partners - PG Secondary 2015</t>
  </si>
  <si>
    <t>Coller</t>
  </si>
  <si>
    <t>ASF Cosmos Co-Invest L.P.</t>
  </si>
  <si>
    <t>ASF VIII GP Limited</t>
  </si>
  <si>
    <t>Carlyle Realty Partners - VIII</t>
  </si>
  <si>
    <t>Blackstone Real Estate Associates Europe VI</t>
  </si>
  <si>
    <t>AC Capitales - Infraestructura</t>
  </si>
  <si>
    <t>AC Capitales - Infraestructura II</t>
  </si>
  <si>
    <t>Sigma- Infraestructura</t>
  </si>
  <si>
    <t>Sura Credicorp Infraestructura</t>
  </si>
  <si>
    <t>LarraínVial - Energía I</t>
  </si>
  <si>
    <t>ARCM - ARC Fund II</t>
  </si>
  <si>
    <t>Carlyle Peru</t>
  </si>
  <si>
    <t>Kandeo - II Private Equity</t>
  </si>
  <si>
    <t>Macrocapitales - Fortaleza</t>
  </si>
  <si>
    <t xml:space="preserve">Faro Capital - Fondo de Inversión Retail </t>
  </si>
  <si>
    <t>Enfoca - Descubridor 1</t>
  </si>
  <si>
    <t>Enfoca - Descubridor 2</t>
  </si>
  <si>
    <t>BCP Fondo Inmobiliario</t>
  </si>
  <si>
    <t>Compass - Inmobiliario B</t>
  </si>
  <si>
    <t>AC Capitales - Inmobiliario II</t>
  </si>
  <si>
    <t>LarraínVial Colliers - Fibra II</t>
  </si>
  <si>
    <t>LarraínVial Colliers - Fibra III</t>
  </si>
  <si>
    <t>W Capital - Fondo Inmobiliario</t>
  </si>
  <si>
    <t>SSGA - Bloomberg Barclays Convertible Securities</t>
  </si>
  <si>
    <t>Lazard - Convertible Global Fund</t>
  </si>
  <si>
    <t>Arcano Fund - European Income Fund, ESG Selection</t>
  </si>
  <si>
    <t>Nomura - US High Yield Bond Fund</t>
  </si>
  <si>
    <t>BlueBay - Financial Capital Bond - E</t>
  </si>
  <si>
    <t>Robeco Luxembourg S.A.</t>
  </si>
  <si>
    <t>Pimco - US High Yield Bond</t>
  </si>
  <si>
    <t>Neuberger Berman - CLO Income Fund</t>
  </si>
  <si>
    <t>Lazard Capital Fi</t>
  </si>
  <si>
    <t>BlackRock - iShares iBoxx $ Investment Grade Corporate Bond ETF</t>
  </si>
  <si>
    <t>Gobierno del Reino Unido</t>
  </si>
  <si>
    <t>Gobierno de Australia</t>
  </si>
  <si>
    <t>BlackRock - iShares -20+ Year Treasury Bond ETF</t>
  </si>
  <si>
    <t>BlackRock - iShares - Tips ETF</t>
  </si>
  <si>
    <t>Gobierno de los Estados Unidos</t>
  </si>
  <si>
    <t>Goldman Sachs - Emerging Markets Corporate Debt</t>
  </si>
  <si>
    <t>Vontobel - Emerging Markets Corporate</t>
  </si>
  <si>
    <t>PIMCO - Asia High Yield Bond Fund</t>
  </si>
  <si>
    <t>Moneda - Latam High Yield</t>
  </si>
  <si>
    <t>Moneda S.A. Administradora General de Fondos - Deuda Latam</t>
  </si>
  <si>
    <t>Petrobras International</t>
  </si>
  <si>
    <t>Ecopetrol</t>
  </si>
  <si>
    <t>Fibria Overseas Finance Ltd.</t>
  </si>
  <si>
    <t>AES Gener SA</t>
  </si>
  <si>
    <t>Grupo Financiero Banorte</t>
  </si>
  <si>
    <t>Banco de Colombia</t>
  </si>
  <si>
    <t>BBVA Bancomer</t>
  </si>
  <si>
    <t>Grupo Aval Acciones y Valores</t>
  </si>
  <si>
    <t>Banco de Bogotá</t>
  </si>
  <si>
    <t>Cencosud</t>
  </si>
  <si>
    <t>SACI Falabella</t>
  </si>
  <si>
    <t>Southern Copper Corporation</t>
  </si>
  <si>
    <t>Comisión Federal de Electricidad</t>
  </si>
  <si>
    <t>Fresnillo PLC</t>
  </si>
  <si>
    <t>Inversiones CMPC</t>
  </si>
  <si>
    <t>Suzano Austria</t>
  </si>
  <si>
    <t>Gobierno de Brasil</t>
  </si>
  <si>
    <t>Gobierno de Colombia</t>
  </si>
  <si>
    <t>Barings - Emerging Markets Sovereign Debt Fund</t>
  </si>
  <si>
    <t>Vanguard - Emerging Markets Bond Fund - I Retail</t>
  </si>
  <si>
    <t>Vanguard - Emerging Markets Bond Fund - II Institutional</t>
  </si>
  <si>
    <t>Vontobel - Emerging Markets Debt</t>
  </si>
  <si>
    <t>Gobierno de Mexico</t>
  </si>
  <si>
    <t>Gobierno de México</t>
  </si>
  <si>
    <t>Sigma - Leasing Operativo</t>
  </si>
  <si>
    <t>BD Capital - Senior Loans C</t>
  </si>
  <si>
    <t xml:space="preserve">Perú LNG </t>
  </si>
  <si>
    <t>Banco Continental</t>
  </si>
  <si>
    <t>Leasing Total</t>
  </si>
  <si>
    <t>Banco de Crédito del Perú</t>
  </si>
  <si>
    <t xml:space="preserve">Banco Internacional del Perú </t>
  </si>
  <si>
    <t>Banco Financiero</t>
  </si>
  <si>
    <t>Cemento Andino</t>
  </si>
  <si>
    <t xml:space="preserve">Edegel </t>
  </si>
  <si>
    <t xml:space="preserve">Red de Energía del Perú </t>
  </si>
  <si>
    <t xml:space="preserve">Concesionario Trasvase Olmos </t>
  </si>
  <si>
    <t xml:space="preserve">Pluspetrol Camisea </t>
  </si>
  <si>
    <t>Pluspetrol Lote 56</t>
  </si>
  <si>
    <t>Jockey Plaza</t>
  </si>
  <si>
    <t>Inca Rail</t>
  </si>
  <si>
    <t xml:space="preserve">Creditítulos Sociedad Titulizadora </t>
  </si>
  <si>
    <t xml:space="preserve">Scotia Sociedad Titulizadora </t>
  </si>
  <si>
    <t>Hoteles Costa del Sol (Scotia Sociedad Titulizadora)</t>
  </si>
  <si>
    <t>Red Dorsal</t>
  </si>
  <si>
    <t>Scotia - Fideicomiso de Infraestructura</t>
  </si>
  <si>
    <t>GNB</t>
  </si>
  <si>
    <t>Energía del Sur</t>
  </si>
  <si>
    <t>Edegel</t>
  </si>
  <si>
    <t>CEMPRO 7 1/8 11/06/23</t>
  </si>
  <si>
    <t>Ocensa</t>
  </si>
  <si>
    <t>IFH Perú Ltd.</t>
  </si>
  <si>
    <t>Reserva Fría Etén</t>
  </si>
  <si>
    <t>Scotiabank Peru</t>
  </si>
  <si>
    <t>AUNA</t>
  </si>
  <si>
    <t>Buenaventura</t>
  </si>
  <si>
    <t>Unión Andina de Cementos</t>
  </si>
  <si>
    <t xml:space="preserve">Alicorp </t>
  </si>
  <si>
    <t>MINSUR</t>
  </si>
  <si>
    <t>Cementos Pacasmayo</t>
  </si>
  <si>
    <t>Consorcio Transmantaro</t>
  </si>
  <si>
    <t>Exalmar</t>
  </si>
  <si>
    <t>Lima Airport Partners</t>
  </si>
  <si>
    <t>Maestro Perú</t>
  </si>
  <si>
    <t>Andino Investment Holding</t>
  </si>
  <si>
    <t>San Miguel Industrias Pet S.A.</t>
  </si>
  <si>
    <t>Cia. Minera Áres</t>
  </si>
  <si>
    <t>Abengoa</t>
  </si>
  <si>
    <t>Grupo ACP Inversiones y Desarrollo</t>
  </si>
  <si>
    <t>Fondo Mi Vivienda</t>
  </si>
  <si>
    <t>Intercorp Perú</t>
  </si>
  <si>
    <t>InRetail Shopping Malls</t>
  </si>
  <si>
    <t>InRetail Consumer</t>
  </si>
  <si>
    <t xml:space="preserve">Peru Enhanced Pass Trough SSCN </t>
  </si>
  <si>
    <t>Interoceanica IV Finance Limited</t>
  </si>
  <si>
    <t>Interoceanica V Finance Limited</t>
  </si>
  <si>
    <t>IIRSA Norte Finance Limited</t>
  </si>
  <si>
    <t>Huascacocha Finance Limited</t>
  </si>
  <si>
    <t>Taboada Finance Limited</t>
  </si>
  <si>
    <t>Continental Trust</t>
  </si>
  <si>
    <t>Continetal Senior Trust</t>
  </si>
  <si>
    <t>Peru Payroll Deduction Finance Limited</t>
  </si>
  <si>
    <t>Interproperties Finance Trust</t>
  </si>
  <si>
    <t>CCR Inc. MT-100 Payment Rights Master Trust</t>
  </si>
  <si>
    <t>InRetail Pharma</t>
  </si>
  <si>
    <t>Nexa Resources</t>
  </si>
  <si>
    <t>Hunt Oil</t>
  </si>
  <si>
    <t>Gobierno Central</t>
  </si>
  <si>
    <t>Moneda - Deuda Latam LCC</t>
  </si>
  <si>
    <t>Barings - Emerging Markets Local Debt Fund</t>
  </si>
  <si>
    <t>VanEck - JPM EM LC Bond ETF</t>
  </si>
  <si>
    <t>Pictet Chinese LC Debt</t>
  </si>
  <si>
    <t>Global Evolution Funds - Frontier Markets Fund</t>
  </si>
  <si>
    <t>Pimco - Emerging Markets Local Bond Fund</t>
  </si>
  <si>
    <t>Degroof - EM  Sustainable Debt</t>
  </si>
  <si>
    <t>Macrocapitales SAFI S.A.</t>
  </si>
  <si>
    <t>Central American Bank for Economic IntegratioN</t>
  </si>
  <si>
    <t>Línea Amarilla S.A.C.</t>
  </si>
  <si>
    <t>Cencosud Perú</t>
  </si>
  <si>
    <t>Compañía Nacional de Chocolates</t>
  </si>
  <si>
    <t>Ripley Corp</t>
  </si>
  <si>
    <t>H2Olmos S.A.</t>
  </si>
  <si>
    <t>Banco de la Nación</t>
  </si>
  <si>
    <t>Mibanco</t>
  </si>
  <si>
    <t>Electro Dunas s.a.a</t>
  </si>
  <si>
    <t xml:space="preserve">Luz del Sur </t>
  </si>
  <si>
    <t>Gloria</t>
  </si>
  <si>
    <t>Edelnor</t>
  </si>
  <si>
    <t>Productos Tissue del Perú</t>
  </si>
  <si>
    <t>Tecsup</t>
  </si>
  <si>
    <t xml:space="preserve">Supermercados Peruanos </t>
  </si>
  <si>
    <t xml:space="preserve">Saga Falabella </t>
  </si>
  <si>
    <t xml:space="preserve">Palmas del Espino </t>
  </si>
  <si>
    <t>Pacifico S.A. Entidad Prestadora de Salud</t>
  </si>
  <si>
    <t>Inmuebles</t>
  </si>
  <si>
    <t>Cineplex</t>
  </si>
  <si>
    <t>IICGSA</t>
  </si>
  <si>
    <t>Norvial</t>
  </si>
  <si>
    <t>Cosapi S.A.</t>
  </si>
  <si>
    <t>Primax</t>
  </si>
  <si>
    <t>Hermes</t>
  </si>
  <si>
    <t>Palo Alto</t>
  </si>
  <si>
    <t>Edyficar</t>
  </si>
  <si>
    <t>Internacional de Titulos Soc. Titulizadora</t>
  </si>
  <si>
    <t>ADP</t>
  </si>
  <si>
    <t>TITIRSM1 - InRetail</t>
  </si>
  <si>
    <t>SINT1INR1U - InRetail</t>
  </si>
  <si>
    <t>Corporación Andina de Fomento</t>
  </si>
  <si>
    <t>Financiera Uno</t>
  </si>
  <si>
    <t>Edpyme Santander Consumo Perú</t>
  </si>
  <si>
    <t>Site del Perú</t>
  </si>
  <si>
    <t>Rutas de Lima</t>
  </si>
  <si>
    <t xml:space="preserve">CRPAO Pen Trust </t>
  </si>
  <si>
    <t>CRPAO Vac Trust</t>
  </si>
  <si>
    <t>BCP-PF Fideicomiso en Infraestructura</t>
  </si>
  <si>
    <t>IPSA - Bonos titulizados</t>
  </si>
  <si>
    <t>Largo Resources</t>
  </si>
  <si>
    <t>Aura Minerals Inc</t>
  </si>
  <si>
    <t>VanEck - Gold Miners ETF</t>
  </si>
  <si>
    <t>Joh Berenberg - European Focus Fund</t>
  </si>
  <si>
    <t>Fidelity - European Dynamic Growth</t>
  </si>
  <si>
    <t>Janus Henderson - Horizon Euroland Fund</t>
  </si>
  <si>
    <t>Allianz - Euroland Equity Growth</t>
  </si>
  <si>
    <t>Invesco  - Euro Equity Fund</t>
  </si>
  <si>
    <t>Man GLG - Continental European Growth</t>
  </si>
  <si>
    <t>BlackRock - iShares Euro Stoxx Banks 30-15 UCITS</t>
  </si>
  <si>
    <t>BlackRock - iShares MSCI Netherlands ETF</t>
  </si>
  <si>
    <t>Groupama - Avenir Euro (Mid Small Caps)</t>
  </si>
  <si>
    <t>JP Morgan - Japan Equity Fund - C</t>
  </si>
  <si>
    <t>BlackRock - iShares MSCI Japan</t>
  </si>
  <si>
    <t>Eastspring - Japan Dynamic Fund</t>
  </si>
  <si>
    <t>JP Morgan - Japan Equity ETF</t>
  </si>
  <si>
    <t>BNP Paribas - Japan Small Caps</t>
  </si>
  <si>
    <t>State Street - S&amp;P 500 ETF</t>
  </si>
  <si>
    <t>Vanguard - S&amp;P 500 ETF</t>
  </si>
  <si>
    <t>DFA - US Large Cap Value</t>
  </si>
  <si>
    <t>State Street - Regional Banks</t>
  </si>
  <si>
    <t>Invesco LLC - US Banks</t>
  </si>
  <si>
    <t>Invesco - Power Shares QQQ</t>
  </si>
  <si>
    <t>State Street - Technology Select Sector</t>
  </si>
  <si>
    <t>SKYY US - First Trust Cloud Computing ETF</t>
  </si>
  <si>
    <t>BlackRock - iShares PHLX Semiconductor ETF</t>
  </si>
  <si>
    <t>BlackRock - iShares Core MSCI Emerging Markets ETF</t>
  </si>
  <si>
    <t>UBS - China Opportunity - A3</t>
  </si>
  <si>
    <t>Schroder - International Selection Fund China A</t>
  </si>
  <si>
    <t>DWS - CSI 300 China-A</t>
  </si>
  <si>
    <t>Allianz - China-A</t>
  </si>
  <si>
    <t>Krane - CSI China Internet Fund</t>
  </si>
  <si>
    <t>BNP Paribas - China Equity Class</t>
  </si>
  <si>
    <t>Robeco - Chinese Equities</t>
  </si>
  <si>
    <t>Schroders - Asian Opportunities</t>
  </si>
  <si>
    <t>Baillie Gifford &amp; Co Ltd - Overseas Growth Funds ICVC - Pacific Fund</t>
  </si>
  <si>
    <t>Veritas - Asian Fund</t>
  </si>
  <si>
    <t>Pinebridge - Asia Ex-Japan Small Caps</t>
  </si>
  <si>
    <t>BlackRock - iShares MSCI India</t>
  </si>
  <si>
    <t>BlackRock - iShares Korea</t>
  </si>
  <si>
    <t>BlackRock - iShares Taiwan</t>
  </si>
  <si>
    <t>BlackRock - iShares MSCI Brazil Small Caps</t>
  </si>
  <si>
    <t>Aclara Resources Inc.</t>
  </si>
  <si>
    <t>Van Eck - El Dorado Peru</t>
  </si>
  <si>
    <t>BlackRock - iShares MSCI Peru</t>
  </si>
  <si>
    <t>Union de Cervecerias Peruanas Backus y Johnston S.A.</t>
  </si>
  <si>
    <t>Inretail Peru Corp</t>
  </si>
  <si>
    <t>Refinería La Pampilla S.A.</t>
  </si>
  <si>
    <t>Intergroup</t>
  </si>
  <si>
    <t>Credicorp LTD.</t>
  </si>
  <si>
    <t>Graña y Montero S.A.A.</t>
  </si>
  <si>
    <t>Cementos Pacasmayo-CM</t>
  </si>
  <si>
    <t>El Comercio</t>
  </si>
  <si>
    <t>Atacocha B</t>
  </si>
  <si>
    <t>Brocal - CM</t>
  </si>
  <si>
    <t>Minsur S.A.</t>
  </si>
  <si>
    <t>Nexa ADR</t>
  </si>
  <si>
    <t>Hocshild Minning Corp.</t>
  </si>
  <si>
    <t>Fossal SA</t>
  </si>
  <si>
    <t>Edelnor S.A.A.</t>
  </si>
  <si>
    <t>Edegel S.A.A.</t>
  </si>
  <si>
    <t>Energía del Sur S.A.</t>
  </si>
  <si>
    <t>Global X - Copper Miners ETF</t>
  </si>
  <si>
    <t>Schlumberger Ltd.</t>
  </si>
  <si>
    <t>Alicorp</t>
  </si>
  <si>
    <t>Aenza</t>
  </si>
  <si>
    <t>Rank_rt</t>
  </si>
  <si>
    <t>RVITD</t>
  </si>
  <si>
    <t>RVLBU</t>
  </si>
  <si>
    <t>RFITD</t>
  </si>
  <si>
    <t>RFIBU</t>
  </si>
  <si>
    <t>RFIGOB</t>
  </si>
  <si>
    <t>RFLBU</t>
  </si>
  <si>
    <t>RFLGOB</t>
  </si>
  <si>
    <t>RVIBU</t>
  </si>
  <si>
    <t>Multifondos</t>
  </si>
  <si>
    <t>Intensidad-M</t>
  </si>
  <si>
    <t>23583412301F</t>
  </si>
  <si>
    <t>23201112303A</t>
  </si>
  <si>
    <t>23008612302B</t>
  </si>
  <si>
    <t>6000111AJ473</t>
  </si>
  <si>
    <t>6000111AJ364</t>
  </si>
  <si>
    <t>6000481AJ370</t>
  </si>
  <si>
    <t>6058361AJ404</t>
  </si>
  <si>
    <t>6000031AJ405</t>
  </si>
  <si>
    <t>63010312302J</t>
  </si>
  <si>
    <t>63004212302A</t>
  </si>
  <si>
    <t>5323</t>
  </si>
  <si>
    <t>5202</t>
  </si>
  <si>
    <t>6000092AJ683</t>
  </si>
  <si>
    <t>6000022AJ675</t>
  </si>
  <si>
    <t>6058862AJ645</t>
  </si>
  <si>
    <t>6058862AJ644</t>
  </si>
  <si>
    <t>6000092AJ684</t>
  </si>
  <si>
    <t>6001031AJ651</t>
  </si>
  <si>
    <t>6000381AJ648</t>
  </si>
  <si>
    <t>6000031AJ654</t>
  </si>
  <si>
    <t>6000381AJ647</t>
  </si>
  <si>
    <t>6000491AJ653</t>
  </si>
  <si>
    <t>6000381AJ646</t>
  </si>
  <si>
    <t>6001031AJ652</t>
  </si>
  <si>
    <t>6000381AJ649</t>
  </si>
  <si>
    <t>6000031AJ682</t>
  </si>
  <si>
    <t>6000021AJ672</t>
  </si>
  <si>
    <t>6001031AJ678</t>
  </si>
  <si>
    <t>6001031AJ676</t>
  </si>
  <si>
    <t>6000031AJ685</t>
  </si>
  <si>
    <t>6001031AJ677</t>
  </si>
  <si>
    <t>6000021AJ671</t>
  </si>
  <si>
    <t>6000381AJ650</t>
  </si>
  <si>
    <t>6000031AJ681</t>
  </si>
  <si>
    <t>6000031AJ680</t>
  </si>
  <si>
    <t>6000021AJ674</t>
  </si>
  <si>
    <t>6000021AJ673</t>
  </si>
  <si>
    <t>6000031AJ679</t>
  </si>
  <si>
    <t>6B52022AJ658</t>
  </si>
  <si>
    <t>6B52022AJ657</t>
  </si>
  <si>
    <t>6B52022AJ659</t>
  </si>
  <si>
    <t>6B53232AJ655</t>
  </si>
  <si>
    <t>6B51022AJ656</t>
  </si>
  <si>
    <t>6B53232AJ692</t>
  </si>
  <si>
    <t>6B52022AJ701</t>
  </si>
  <si>
    <t>6B53232AJ698</t>
  </si>
  <si>
    <t>6B52022AJ700</t>
  </si>
  <si>
    <t>6B52022AJ695</t>
  </si>
  <si>
    <t>6B53232AJ699</t>
  </si>
  <si>
    <t>6B52022AJ668</t>
  </si>
  <si>
    <t>6B53032AJ670</t>
  </si>
  <si>
    <t>6B51022AJ669</t>
  </si>
  <si>
    <t>6B52022AJ697</t>
  </si>
  <si>
    <t>6B53032AJ689</t>
  </si>
  <si>
    <t>6B53232AJ693</t>
  </si>
  <si>
    <t>6B52022AJ696</t>
  </si>
  <si>
    <t>6B53232AJ686</t>
  </si>
  <si>
    <t>6B53232AJ688</t>
  </si>
  <si>
    <t>6B53232AJ691</t>
  </si>
  <si>
    <t>6B53232AJ687</t>
  </si>
  <si>
    <t>6B53032AJ690</t>
  </si>
  <si>
    <t>6B53232AJ664</t>
  </si>
  <si>
    <t>6B53232AJ665</t>
  </si>
  <si>
    <t>6B53232AJ666</t>
  </si>
  <si>
    <t>6B53232AJ667</t>
  </si>
  <si>
    <t>6B52022AJ661</t>
  </si>
  <si>
    <t>6B52022AJ662</t>
  </si>
  <si>
    <t>6B52022AJ663</t>
  </si>
  <si>
    <t>6B53232AJ660</t>
  </si>
  <si>
    <t>6B53032AJ694</t>
  </si>
  <si>
    <t>Alicorp S.A.A.</t>
  </si>
  <si>
    <t>(Multiple Items)</t>
  </si>
  <si>
    <t>2258742VAA63</t>
  </si>
  <si>
    <t>23008612202C</t>
  </si>
  <si>
    <t>23200912201A</t>
  </si>
  <si>
    <t>PEP11100M302</t>
  </si>
  <si>
    <t>PEP11100M310</t>
  </si>
  <si>
    <t>6000092AG363</t>
  </si>
  <si>
    <t>6000222AG368</t>
  </si>
  <si>
    <t>6000032AG367</t>
  </si>
  <si>
    <t>6000222AG362</t>
  </si>
  <si>
    <t>6000092AG360</t>
  </si>
  <si>
    <t>6058862AG381</t>
  </si>
  <si>
    <t>6058862AG387</t>
  </si>
  <si>
    <t>6000222AG388</t>
  </si>
  <si>
    <t>6000092AG380</t>
  </si>
  <si>
    <t>6000222AG382</t>
  </si>
  <si>
    <t>6000092AG386</t>
  </si>
  <si>
    <t>6000481AG384</t>
  </si>
  <si>
    <t>6000381AG385</t>
  </si>
  <si>
    <t>6000021AG383</t>
  </si>
  <si>
    <t>6000481AG390</t>
  </si>
  <si>
    <t>6000021AG378</t>
  </si>
  <si>
    <t>6000481AG379</t>
  </si>
  <si>
    <t>6000021AG389</t>
  </si>
  <si>
    <t>6000021AG377</t>
  </si>
  <si>
    <t>6000481AG361</t>
  </si>
  <si>
    <t>6000481AG359</t>
  </si>
  <si>
    <t>6000091AG358</t>
  </si>
  <si>
    <t>6000021AF903</t>
  </si>
  <si>
    <t>6000021AF967</t>
  </si>
  <si>
    <t>6000031AF430</t>
  </si>
  <si>
    <t>6000381AE293</t>
  </si>
  <si>
    <t>6000221AE294</t>
  </si>
  <si>
    <t>6000881AD418</t>
  </si>
  <si>
    <t>6000381AD337</t>
  </si>
  <si>
    <t>6000111AD327</t>
  </si>
  <si>
    <t>6000091AF429</t>
  </si>
  <si>
    <t>6000481AF443</t>
  </si>
  <si>
    <t>6000021AF747</t>
  </si>
  <si>
    <t>6000091AF758</t>
  </si>
  <si>
    <t>6000111AF779</t>
  </si>
  <si>
    <t>6000021AF866</t>
  </si>
  <si>
    <t>6000381AG366</t>
  </si>
  <si>
    <t>6000031AG365</t>
  </si>
  <si>
    <t>6000481AG364</t>
  </si>
  <si>
    <t>63010012202A</t>
  </si>
  <si>
    <t>63010312202C</t>
  </si>
  <si>
    <t>63010312202E</t>
  </si>
  <si>
    <t>63010412201B</t>
  </si>
  <si>
    <t>63010512202A</t>
  </si>
  <si>
    <t>63010512202B</t>
  </si>
  <si>
    <t>63010512202C</t>
  </si>
  <si>
    <t>63008812202C</t>
  </si>
  <si>
    <t>63004812202A</t>
  </si>
  <si>
    <t>63004812202C</t>
  </si>
  <si>
    <t>6B53232AG369</t>
  </si>
  <si>
    <t>6B57552AG375</t>
  </si>
  <si>
    <t>6B52022AG376</t>
  </si>
  <si>
    <t>6B53232AG373</t>
  </si>
  <si>
    <t>6B58502AG374</t>
  </si>
  <si>
    <t>6B53232AG371</t>
  </si>
  <si>
    <t>6B58504AG370</t>
  </si>
  <si>
    <t>6B53232AG372</t>
  </si>
  <si>
    <t>8102031ENE9U</t>
  </si>
  <si>
    <t>US279158AT64</t>
  </si>
  <si>
    <t>WisdomTree Artificial Intelligence and Innov Fund</t>
  </si>
  <si>
    <t>US97717Y5437</t>
  </si>
  <si>
    <t>5272872Y5437</t>
  </si>
  <si>
    <t>CT UK Equity Income Inst Inc GBP</t>
  </si>
  <si>
    <t>US91911TAR41</t>
  </si>
  <si>
    <t>US91087BAZ31</t>
  </si>
  <si>
    <t>US86964WAF95</t>
  </si>
  <si>
    <t>8102031EN13U</t>
  </si>
  <si>
    <t>Intensidad (Tn.CO2/USD MM)</t>
  </si>
  <si>
    <t>Huella de Carbono (Tn CO2)</t>
  </si>
  <si>
    <t>IE000NG9LZQ6</t>
  </si>
  <si>
    <t>Paso 1</t>
  </si>
  <si>
    <t>Z:\Mesa de Inversiones\Bottom-Up\2 Proceso de Inversión Renta Fija\Corporates - Emisiones\Crédito - BU\3. ESG\9. ESG Manager - MSCI\1.Data Histórica\Dataset\MSCI</t>
  </si>
  <si>
    <t>Paso 2</t>
  </si>
  <si>
    <t>Paso 5</t>
  </si>
  <si>
    <t>Paso 6</t>
  </si>
  <si>
    <t>Alt</t>
  </si>
  <si>
    <t>Portafolio</t>
  </si>
  <si>
    <t>Soberanos</t>
  </si>
  <si>
    <t>ACCIONES EN EL EXTRANJERO</t>
  </si>
  <si>
    <t>33</t>
  </si>
  <si>
    <t>VALOR REP.DERECHO SOBRE ACC. EMP.EXT.</t>
  </si>
  <si>
    <t>BONO SISTEMA FINANCIERO EXTRANJERO</t>
  </si>
  <si>
    <t>ACCIONES DEL CAPITAL SOCIAL</t>
  </si>
  <si>
    <t>OTROS BONOS SISTEMA FINANCIERO</t>
  </si>
  <si>
    <t>BONOS SUBORDINADOS SISTEMA FINANCIERO</t>
  </si>
  <si>
    <t>BONOS DE EMPRESA PRIVADA EXTRANJERA</t>
  </si>
  <si>
    <t>TIT. DEUDA EMITIDOS EMPRESAS PÚBLICAS EXTRAN</t>
  </si>
  <si>
    <t>BONOS DE EMPRESAS PRIVADAS</t>
  </si>
  <si>
    <t>ACCIONES DEL TRABAJO</t>
  </si>
  <si>
    <t>VALOR REP.DERECHO SOBRE ACC. EMP.NAC.</t>
  </si>
  <si>
    <t>TITULOS CON DERECHO CREDITICIO</t>
  </si>
  <si>
    <t>BONOS GOBIERNO CENTRAL DE LA REPUBLICA</t>
  </si>
  <si>
    <t>VAL REP DER CRED SOBRE DEUDA GOB CEN-GDN</t>
  </si>
  <si>
    <t>TIT. DEUDA EMITIDOS POR ESTADOS DEL EXTRANJER</t>
  </si>
  <si>
    <t>0840002CGM73</t>
  </si>
  <si>
    <t>ACCIONES DEL EXTRANJERO</t>
  </si>
  <si>
    <t>12509428AT64</t>
  </si>
  <si>
    <t>US279158AV11</t>
  </si>
  <si>
    <t>59509428AV11</t>
  </si>
  <si>
    <t>USP13435AF20</t>
  </si>
  <si>
    <t>21000325AF20</t>
  </si>
  <si>
    <t>1250242TAR41</t>
  </si>
  <si>
    <t>084009B00535</t>
  </si>
  <si>
    <t>0840052BAZ31</t>
  </si>
  <si>
    <t>08400425DZ51</t>
  </si>
  <si>
    <t>084006C98016</t>
  </si>
  <si>
    <t>12SUZA2WAF95</t>
  </si>
  <si>
    <t>Plus</t>
  </si>
  <si>
    <t>Cuestionario Integra</t>
  </si>
  <si>
    <t>SOV</t>
  </si>
  <si>
    <t>ETF</t>
  </si>
  <si>
    <t>Plus_1</t>
  </si>
  <si>
    <t>Otros ETFs</t>
  </si>
  <si>
    <t>Proxies</t>
  </si>
  <si>
    <t>MSCI</t>
  </si>
  <si>
    <t>Acciones:</t>
  </si>
  <si>
    <t>FUND_FINANCED_CARBON_EMISSIONS</t>
  </si>
  <si>
    <t>FUND_WEIGHTED_AVG_SOV_CARBON_INTEN</t>
  </si>
  <si>
    <t>CARBON_EMISSIONS_EVIC_SCOPE_12_INTEN</t>
  </si>
  <si>
    <t>Soberanos:</t>
  </si>
  <si>
    <t>ETF SOB:</t>
  </si>
  <si>
    <t>ETFs:</t>
  </si>
  <si>
    <t>Portafolio Sin Soberanos</t>
  </si>
  <si>
    <t>1552782BAB48</t>
  </si>
  <si>
    <t>08400326CH10</t>
  </si>
  <si>
    <t>0840038TF238</t>
  </si>
  <si>
    <t>2500021V2F13</t>
  </si>
  <si>
    <t xml:space="preserve"> </t>
  </si>
  <si>
    <t>SB12FEB55</t>
  </si>
  <si>
    <t>SB12AGO40</t>
  </si>
  <si>
    <t>SILAPE2033</t>
  </si>
  <si>
    <t>5917</t>
  </si>
  <si>
    <t>GSL</t>
  </si>
  <si>
    <t>5834</t>
  </si>
  <si>
    <t>GSAN</t>
  </si>
  <si>
    <t>7515</t>
  </si>
  <si>
    <t>7719</t>
  </si>
  <si>
    <t>7065</t>
  </si>
  <si>
    <t>7017</t>
  </si>
  <si>
    <t>ECOPET 45</t>
  </si>
  <si>
    <t>ECOPET 8 7/8 01</t>
  </si>
  <si>
    <t>0049</t>
  </si>
  <si>
    <t>5303</t>
  </si>
  <si>
    <t>TC</t>
  </si>
  <si>
    <t>Sum of Inv MM$</t>
  </si>
  <si>
    <t>Emisiones Financiadas</t>
  </si>
  <si>
    <t xml:space="preserve"> Intensidad</t>
  </si>
  <si>
    <t>Cobertura Total</t>
  </si>
  <si>
    <t>AUM Cubierto</t>
  </si>
  <si>
    <t>AUM Total</t>
  </si>
  <si>
    <t>Porcentaje</t>
  </si>
  <si>
    <t>PPT</t>
  </si>
  <si>
    <t>Data</t>
  </si>
  <si>
    <t>Grand Total</t>
  </si>
  <si>
    <t>(All)</t>
  </si>
  <si>
    <t>Sum of Huella</t>
  </si>
  <si>
    <t>Sum of Intensidad-M</t>
  </si>
  <si>
    <t>Rankeado</t>
  </si>
  <si>
    <t>Otros</t>
  </si>
  <si>
    <t>Perú</t>
  </si>
  <si>
    <t>EEUU</t>
  </si>
  <si>
    <t>Brasil</t>
  </si>
  <si>
    <t>Colombia</t>
  </si>
  <si>
    <t>México</t>
  </si>
  <si>
    <t>UK</t>
  </si>
  <si>
    <t>Total</t>
  </si>
  <si>
    <t>Pacasmayo</t>
  </si>
  <si>
    <t>%</t>
  </si>
  <si>
    <t>Aquí se está considerando los etfs soberanos dentro de TD Y BU, lo que significa que no sumará igual que lo reportado. Ya que ahí, el portafolio sin soberanos (que en teoria deberia ser TD+BU) no incluye a estos etfs</t>
  </si>
  <si>
    <t>Recordar: Hacer historico</t>
  </si>
  <si>
    <t>Instrumento</t>
  </si>
  <si>
    <t>Top de Contribución (XX FECHA)</t>
  </si>
  <si>
    <t>Huella Absoluta</t>
  </si>
  <si>
    <t>Intensity</t>
  </si>
  <si>
    <t>Name</t>
  </si>
  <si>
    <t>Materials</t>
  </si>
  <si>
    <t>Energy</t>
  </si>
  <si>
    <t>Industrials</t>
  </si>
  <si>
    <t>Communication Services</t>
  </si>
  <si>
    <t>Consumer Discretionary</t>
  </si>
  <si>
    <t>Consumer Staples</t>
  </si>
  <si>
    <t>Southern*</t>
  </si>
  <si>
    <t>Sierra Metals</t>
  </si>
  <si>
    <t>Financials</t>
  </si>
  <si>
    <t>San Miguel Industrias</t>
  </si>
  <si>
    <t>RIPLEY CORP</t>
  </si>
  <si>
    <t>PF Colegios Peruanos</t>
  </si>
  <si>
    <t>PetroTal*</t>
  </si>
  <si>
    <t>Petroleos del Peru</t>
  </si>
  <si>
    <t>Pan. Silver Corp*</t>
  </si>
  <si>
    <t>Information Technology</t>
  </si>
  <si>
    <t>Pacifico S.A. (Salud)</t>
  </si>
  <si>
    <t>Orazen*</t>
  </si>
  <si>
    <t>Nexa Resources Perú</t>
  </si>
  <si>
    <t>Nexa Resources Atacocha</t>
  </si>
  <si>
    <t>MMG*</t>
  </si>
  <si>
    <t>Minsur</t>
  </si>
  <si>
    <t>Minera México</t>
  </si>
  <si>
    <t>Mi Vivienda</t>
  </si>
  <si>
    <t>Línea Amarilla</t>
  </si>
  <si>
    <t>Lindley</t>
  </si>
  <si>
    <t>Laureate Edu.*</t>
  </si>
  <si>
    <t>Kallpa Gen.</t>
  </si>
  <si>
    <t>Inversiones Nacionales de Turismo</t>
  </si>
  <si>
    <t>Interconexión*</t>
  </si>
  <si>
    <t>Interbank</t>
  </si>
  <si>
    <t>InRetail Peru</t>
  </si>
  <si>
    <t>Real Estate</t>
  </si>
  <si>
    <t>Industrias Peñoles</t>
  </si>
  <si>
    <t>HOCHSCHILD*</t>
  </si>
  <si>
    <t>Hermes Transportes Blindados S.A.</t>
  </si>
  <si>
    <t>GyM Ferrovias</t>
  </si>
  <si>
    <t>Fossal</t>
  </si>
  <si>
    <t>Fortuna Silver*</t>
  </si>
  <si>
    <t>Finance Trust</t>
  </si>
  <si>
    <t>Fin. OH</t>
  </si>
  <si>
    <t>Fin. Efectiva</t>
  </si>
  <si>
    <t>Fin. Confianza</t>
  </si>
  <si>
    <t xml:space="preserve">Ferreyros </t>
  </si>
  <si>
    <t>Fenix Power</t>
  </si>
  <si>
    <t>Falabella*</t>
  </si>
  <si>
    <t>Engie Ene.</t>
  </si>
  <si>
    <t>Enel Gen.</t>
  </si>
  <si>
    <t>Ene Dist.</t>
  </si>
  <si>
    <t>En_Eólica</t>
  </si>
  <si>
    <t>Emp. Públicas Medellin</t>
  </si>
  <si>
    <t>Emp. Pub. de Liverpool</t>
  </si>
  <si>
    <t>Edpyme Santander Con.</t>
  </si>
  <si>
    <t xml:space="preserve">Duke Energy Inter. Egenor </t>
  </si>
  <si>
    <t>Credicorp*</t>
  </si>
  <si>
    <t>Corp. Azucarera del Perú</t>
  </si>
  <si>
    <t>Corp Aceros Arequipa</t>
  </si>
  <si>
    <t xml:space="preserve">Conc. Trasvase Olmos </t>
  </si>
  <si>
    <t>Compartamos</t>
  </si>
  <si>
    <t>Comision Federal de Electricidad</t>
  </si>
  <si>
    <t>COFIDE**</t>
  </si>
  <si>
    <t>Cerro Verde</t>
  </si>
  <si>
    <t>Casa Grande</t>
  </si>
  <si>
    <t>Casa Andina (Titulizadora)</t>
  </si>
  <si>
    <t>Camposol</t>
  </si>
  <si>
    <t>Calidda*</t>
  </si>
  <si>
    <t>Buenaventura*</t>
  </si>
  <si>
    <t>BLCKRCK CASH-TRSRY-SL AGNCY*</t>
  </si>
  <si>
    <t>Not Classified</t>
  </si>
  <si>
    <t>BlackRock - iShares MSCI Peru*</t>
  </si>
  <si>
    <t>BIF</t>
  </si>
  <si>
    <t>BCP</t>
  </si>
  <si>
    <t>BBVA Sociedad Titulizadora</t>
  </si>
  <si>
    <t>BBVA</t>
  </si>
  <si>
    <t>Banorte</t>
  </si>
  <si>
    <t>Bank of Korea</t>
  </si>
  <si>
    <t>Bancolombia</t>
  </si>
  <si>
    <t>Banco Davivienda</t>
  </si>
  <si>
    <t>Backus</t>
  </si>
  <si>
    <t>B. Santander Perú</t>
  </si>
  <si>
    <t>B. Ripley</t>
  </si>
  <si>
    <t>Aval</t>
  </si>
  <si>
    <t>Health Care</t>
  </si>
  <si>
    <t>Arauco*</t>
  </si>
  <si>
    <t>Alsea</t>
  </si>
  <si>
    <t>AES Andes</t>
  </si>
  <si>
    <t>Aclara Resources</t>
  </si>
  <si>
    <t>Volcan</t>
  </si>
  <si>
    <t>RF</t>
  </si>
  <si>
    <t>RV</t>
  </si>
  <si>
    <t>Metals</t>
  </si>
  <si>
    <t>7512</t>
  </si>
  <si>
    <t>7550</t>
  </si>
  <si>
    <t>5287</t>
  </si>
  <si>
    <t>BRSTNCNTF238</t>
  </si>
  <si>
    <t>BNTNF2035</t>
  </si>
  <si>
    <t>0840002CJJ18</t>
  </si>
  <si>
    <t>US91282CJJ18</t>
  </si>
  <si>
    <t>BBVA 2034</t>
  </si>
  <si>
    <t>21001120AH74</t>
  </si>
  <si>
    <t>USP07760AH74</t>
  </si>
  <si>
    <t>PEP21400M106</t>
  </si>
  <si>
    <t>23583412401G</t>
  </si>
  <si>
    <t>23008612402C</t>
  </si>
  <si>
    <t>US05971V2F13</t>
  </si>
  <si>
    <t>BCP2029</t>
  </si>
  <si>
    <t>5275504F2546</t>
  </si>
  <si>
    <t>ECOPET 2036</t>
  </si>
  <si>
    <t>6000031AL577</t>
  </si>
  <si>
    <t>6000031AL578</t>
  </si>
  <si>
    <t>6000031AL575</t>
  </si>
  <si>
    <t>6000031AL576</t>
  </si>
  <si>
    <t>6000091AL015</t>
  </si>
  <si>
    <t>6000111AL039</t>
  </si>
  <si>
    <t>6000091AL291</t>
  </si>
  <si>
    <t>6000111AL290</t>
  </si>
  <si>
    <t>6000381AJ983</t>
  </si>
  <si>
    <t>6000421AJ989</t>
  </si>
  <si>
    <t>6058861AK144</t>
  </si>
  <si>
    <t>6000421AK236</t>
  </si>
  <si>
    <t>6000111AK365</t>
  </si>
  <si>
    <t>6000111AK526</t>
  </si>
  <si>
    <t>6000091AJ896</t>
  </si>
  <si>
    <t>6000421AJ923</t>
  </si>
  <si>
    <t>6000091AJ925</t>
  </si>
  <si>
    <t>6000491AJ924</t>
  </si>
  <si>
    <t>6000111AJ913</t>
  </si>
  <si>
    <t>6058861AJ998</t>
  </si>
  <si>
    <t>6058861AJ863</t>
  </si>
  <si>
    <t>6000091AJ869</t>
  </si>
  <si>
    <t>6058861AJ883</t>
  </si>
  <si>
    <t>63004912401A</t>
  </si>
  <si>
    <t>GHSB</t>
  </si>
  <si>
    <t>6B53032AL581</t>
  </si>
  <si>
    <t>6B52022AL580</t>
  </si>
  <si>
    <t>6B52022AL579</t>
  </si>
  <si>
    <t>6B58502AL589</t>
  </si>
  <si>
    <t>6B52022AL587</t>
  </si>
  <si>
    <t>6B53032AL586</t>
  </si>
  <si>
    <t>6B53232AL585</t>
  </si>
  <si>
    <t>6B52022AL584</t>
  </si>
  <si>
    <t>6B52022AL583</t>
  </si>
  <si>
    <t>6B53232AL582</t>
  </si>
  <si>
    <t>6B52022AL588</t>
  </si>
  <si>
    <t>6B53232AL605</t>
  </si>
  <si>
    <t>6B53032AL604</t>
  </si>
  <si>
    <t>6B53232AL603</t>
  </si>
  <si>
    <t>6B53232AL602</t>
  </si>
  <si>
    <t>6B57632AL601</t>
  </si>
  <si>
    <t>6B52022AL600</t>
  </si>
  <si>
    <t>6B53232AL608</t>
  </si>
  <si>
    <t>6B52022AL607</t>
  </si>
  <si>
    <t>6B53232AL606</t>
  </si>
  <si>
    <t>6B52022AL592</t>
  </si>
  <si>
    <t>6B52022AL591</t>
  </si>
  <si>
    <t>6B51022AL590</t>
  </si>
  <si>
    <t>6B53232AL598</t>
  </si>
  <si>
    <t>6B53232AL597</t>
  </si>
  <si>
    <t>6B52022AL596</t>
  </si>
  <si>
    <t>6B52022AL595</t>
  </si>
  <si>
    <t>6B51022AL594</t>
  </si>
  <si>
    <t>6B52022AL593</t>
  </si>
  <si>
    <t>6B53232AL599</t>
  </si>
  <si>
    <t>8102031EN14U</t>
  </si>
  <si>
    <t>OFFSHORE RENMINBI CHINO</t>
  </si>
  <si>
    <t>XS2701559440</t>
  </si>
  <si>
    <t>125037959440</t>
  </si>
  <si>
    <t>iShares MBS ETF</t>
  </si>
  <si>
    <t>US4642885887</t>
  </si>
  <si>
    <t>5271112F8588</t>
  </si>
  <si>
    <t>Bond USD Mortgages</t>
  </si>
  <si>
    <t>Invesco NASDAQ 100 ETF</t>
  </si>
  <si>
    <t>US46138G6492</t>
  </si>
  <si>
    <t>5275122EG649</t>
  </si>
  <si>
    <t>5275122EG6492</t>
  </si>
  <si>
    <t>Invesco Greater China Equity C USD Acc</t>
  </si>
  <si>
    <t>Fidelity Funds - European Hi Yld A-EUR</t>
  </si>
  <si>
    <t>abrdn SICAV I - Em Mkts Equity A Acc USD</t>
  </si>
  <si>
    <t>USP1S81BAB48</t>
  </si>
  <si>
    <t>LU0231204701</t>
  </si>
  <si>
    <t>5270772F0470</t>
  </si>
  <si>
    <t>abrdn SICAV I - Asian Smaller Companies A Acc USD</t>
  </si>
  <si>
    <t>abrdn SICAV I - All China Sust Equity A Acc USD</t>
  </si>
  <si>
    <t>abrdn SICAV I - Jpnse Smr Cos Sust Eq A Acc JPY</t>
  </si>
  <si>
    <t>abrdn SICAV I - Jpnse Smr Cos Sust Eq I Acc JPY</t>
  </si>
  <si>
    <t>MX0MGO0001F1</t>
  </si>
  <si>
    <t>0840059001F1</t>
  </si>
  <si>
    <t>US91087BAV27</t>
  </si>
  <si>
    <t>0840052BAV27</t>
  </si>
  <si>
    <t>abrdn SICAV I - Em Mkts Corp Bd I Acc USD</t>
  </si>
  <si>
    <t>US912810TV08</t>
  </si>
  <si>
    <t>08400020TV08</t>
  </si>
  <si>
    <t>US912810TX63</t>
  </si>
  <si>
    <t>08400020TX63</t>
  </si>
  <si>
    <t>Invesco Japanese Equity Advantage C JPY Acc</t>
  </si>
  <si>
    <t>US91282CHX20</t>
  </si>
  <si>
    <t>0840002CHX20</t>
  </si>
  <si>
    <t>US105756CH10</t>
  </si>
  <si>
    <t>abrdn SICAV I - Em Mkts Equity G Acc USD</t>
  </si>
  <si>
    <t>Neuberger Berman EM Dbt Hard Curr USD I Acc</t>
  </si>
  <si>
    <t>abrdn SICAV I - Japanese Sust Equity I Acc hdg USD</t>
  </si>
  <si>
    <t>CL0002886803</t>
  </si>
  <si>
    <t>084006C86803</t>
  </si>
  <si>
    <t>abrdn SICAV I - China A Share Sust Eq I Acc USD</t>
  </si>
  <si>
    <t>DWS Invest Euro High Yield Corporates ID50</t>
  </si>
  <si>
    <t>The Colchester Local Markets Bd I USD Unhgd Acc</t>
  </si>
  <si>
    <t>IE00BQZJ1775</t>
  </si>
  <si>
    <t>Allianz Global Artificial Intelligence WT (EUR)</t>
  </si>
  <si>
    <t>Amundi Funds US High Yield Bond - I2 U C</t>
  </si>
  <si>
    <t>Invesco Emerg Mrkts Loc Dbt S USD Acc</t>
  </si>
  <si>
    <t>Allianz ChinaA-Shares W7 (USD)</t>
  </si>
  <si>
    <t>5275194F2546</t>
  </si>
  <si>
    <t>6B53232AL611</t>
  </si>
  <si>
    <t>6B52022AL610</t>
  </si>
  <si>
    <t>6B52022AL609</t>
  </si>
  <si>
    <t>6B53032AL619</t>
  </si>
  <si>
    <t>6B53232AL617</t>
  </si>
  <si>
    <t>6B53232AL616</t>
  </si>
  <si>
    <t>6B57572AL615</t>
  </si>
  <si>
    <t>6B53232AL614</t>
  </si>
  <si>
    <t>6B53232AL613</t>
  </si>
  <si>
    <t>6B53032AL612</t>
  </si>
  <si>
    <t>6B53232AL618</t>
  </si>
  <si>
    <t>6B53232AL636</t>
  </si>
  <si>
    <t>6B53232AL635</t>
  </si>
  <si>
    <t>6B53232AL634</t>
  </si>
  <si>
    <t>6B53032AL633</t>
  </si>
  <si>
    <t>6B53032AL632</t>
  </si>
  <si>
    <t>6B52022AL631</t>
  </si>
  <si>
    <t>6B53232AL639</t>
  </si>
  <si>
    <t>6B57572AL638</t>
  </si>
  <si>
    <t>6B57632AL637</t>
  </si>
  <si>
    <t>6B52022AL621</t>
  </si>
  <si>
    <t>6B52022AL620</t>
  </si>
  <si>
    <t>6B53032AL630</t>
  </si>
  <si>
    <t>6B53232AL627</t>
  </si>
  <si>
    <t>6B53032AL626</t>
  </si>
  <si>
    <t>6B51022AL625</t>
  </si>
  <si>
    <t>6B52022AL624</t>
  </si>
  <si>
    <t>6B52022AL623</t>
  </si>
  <si>
    <t>6B52022AL622</t>
  </si>
  <si>
    <t>6B53232AL629</t>
  </si>
  <si>
    <t>6B53232AL628</t>
  </si>
  <si>
    <t>Variaciónes</t>
  </si>
  <si>
    <t>Activo</t>
  </si>
  <si>
    <t>Huella (T)</t>
  </si>
  <si>
    <t>MM (T-1)</t>
  </si>
  <si>
    <t>Huella (T-1)</t>
  </si>
  <si>
    <t>MM (T)</t>
  </si>
  <si>
    <t>Var Huella</t>
  </si>
  <si>
    <t>Var MM</t>
  </si>
  <si>
    <t>Disminución</t>
  </si>
  <si>
    <t>Aumento</t>
  </si>
  <si>
    <t>Average of C02-H</t>
  </si>
  <si>
    <t>Var Int</t>
  </si>
  <si>
    <t>Engie</t>
  </si>
  <si>
    <t>5874</t>
  </si>
  <si>
    <t>GENF</t>
  </si>
  <si>
    <t>US34988L5049</t>
  </si>
  <si>
    <t>6000382AI607</t>
  </si>
  <si>
    <t>6000382AI622</t>
  </si>
  <si>
    <t>6000382AI605</t>
  </si>
  <si>
    <t>6000382AI619</t>
  </si>
  <si>
    <t>6000091AI617</t>
  </si>
  <si>
    <t>6000091AI620</t>
  </si>
  <si>
    <t>6000481AI602</t>
  </si>
  <si>
    <t>6000091AI603</t>
  </si>
  <si>
    <t>6000481AI604</t>
  </si>
  <si>
    <t>6000091AI606</t>
  </si>
  <si>
    <t>6000481AI618</t>
  </si>
  <si>
    <t>6000481AI621</t>
  </si>
  <si>
    <t>6B53232AI613</t>
  </si>
  <si>
    <t>6B52022AI625</t>
  </si>
  <si>
    <t>6B53232AI611</t>
  </si>
  <si>
    <t>6B57632AI623</t>
  </si>
  <si>
    <t>6B53232AI612</t>
  </si>
  <si>
    <t>6B57632AI624</t>
  </si>
  <si>
    <t>23583412401H</t>
  </si>
  <si>
    <t>23200912401D</t>
  </si>
  <si>
    <t>PEP70252V094</t>
  </si>
  <si>
    <t>345874294721</t>
  </si>
  <si>
    <t>LU2791994721</t>
  </si>
  <si>
    <t>AUNA US</t>
  </si>
  <si>
    <t>6000022AM237</t>
  </si>
  <si>
    <t>6058362AM267</t>
  </si>
  <si>
    <t>6000091AM269</t>
  </si>
  <si>
    <t>6000091AM270</t>
  </si>
  <si>
    <t>6000021AM236</t>
  </si>
  <si>
    <t>6000091AM271</t>
  </si>
  <si>
    <t>6000021AM235</t>
  </si>
  <si>
    <t>63010412401F</t>
  </si>
  <si>
    <t>63003812401A</t>
  </si>
  <si>
    <t>63008712402J</t>
  </si>
  <si>
    <t>6B58502AM239</t>
  </si>
  <si>
    <t>6B53232AM244</t>
  </si>
  <si>
    <t>6B53232AM247</t>
  </si>
  <si>
    <t>6B53232AM242</t>
  </si>
  <si>
    <t>6B53232AM238</t>
  </si>
  <si>
    <t>6B53232AM243</t>
  </si>
  <si>
    <t>6B53232AM252</t>
  </si>
  <si>
    <t>6B52022AM255</t>
  </si>
  <si>
    <t>6B53232AM291</t>
  </si>
  <si>
    <t>6B52022AM290</t>
  </si>
  <si>
    <t>6B53232AM287</t>
  </si>
  <si>
    <t>6B51022AM286</t>
  </si>
  <si>
    <t>6B53032AM285</t>
  </si>
  <si>
    <t>6B51022AM284</t>
  </si>
  <si>
    <t>6B52022AM254</t>
  </si>
  <si>
    <t>6B53032AM249</t>
  </si>
  <si>
    <t>6B53232AM250</t>
  </si>
  <si>
    <t>6B53232AM256</t>
  </si>
  <si>
    <t>6B52022AM283</t>
  </si>
  <si>
    <t>6B52022AM282</t>
  </si>
  <si>
    <t>6B52022AM289</t>
  </si>
  <si>
    <t>6B53032AM288</t>
  </si>
  <si>
    <t>6B53232AM299</t>
  </si>
  <si>
    <t>6B52022AM298</t>
  </si>
  <si>
    <t>6B53232AM248</t>
  </si>
  <si>
    <t>6B51022AM253</t>
  </si>
  <si>
    <t>6B51022AM251</t>
  </si>
  <si>
    <t>6B51022AM257</t>
  </si>
  <si>
    <t>6B58502AM293</t>
  </si>
  <si>
    <t>6B52022AM292</t>
  </si>
  <si>
    <t>6B52022AM263</t>
  </si>
  <si>
    <t>6B52022AM261</t>
  </si>
  <si>
    <t>6B52022AM265</t>
  </si>
  <si>
    <t>6B52022AM300</t>
  </si>
  <si>
    <t>6B52022AM260</t>
  </si>
  <si>
    <t>6B52022AM259</t>
  </si>
  <si>
    <t>6B52022AM297</t>
  </si>
  <si>
    <t>6B53232AM296</t>
  </si>
  <si>
    <t>6B52022AM295</t>
  </si>
  <si>
    <t>6B52022AM294</t>
  </si>
  <si>
    <t>6B53232AM281</t>
  </si>
  <si>
    <t>6B53232AM280</t>
  </si>
  <si>
    <t>6B57642AM264</t>
  </si>
  <si>
    <t>6B53232AM258</t>
  </si>
  <si>
    <t>6B53232AM266</t>
  </si>
  <si>
    <t>6B53232AM262</t>
  </si>
  <si>
    <t>6B52022AM275</t>
  </si>
  <si>
    <t>6B52022AM274</t>
  </si>
  <si>
    <t>6B53232AM246</t>
  </si>
  <si>
    <t>6B53232AM241</t>
  </si>
  <si>
    <t>6B53032AM240</t>
  </si>
  <si>
    <t>6B52022AM245</t>
  </si>
  <si>
    <t>6B53232AM273</t>
  </si>
  <si>
    <t>6B52022AM272</t>
  </si>
  <si>
    <t>6B52022AM279</t>
  </si>
  <si>
    <t>6B53232AM278</t>
  </si>
  <si>
    <t>6B52022AM277</t>
  </si>
  <si>
    <t>6B52022AM276</t>
  </si>
  <si>
    <t>5275336F1492</t>
  </si>
  <si>
    <t>Banco Santander Mexico, S.A., Institucion de Banca Multiple, Grupo Financiero Santander Mexico</t>
  </si>
  <si>
    <t>COL17CT03748</t>
  </si>
  <si>
    <t>084004F03748</t>
  </si>
  <si>
    <t>BlueBay Emerging Market Bond S USD</t>
  </si>
  <si>
    <t>LU0968466812</t>
  </si>
  <si>
    <t>5275112F6681</t>
  </si>
  <si>
    <t>OssiamShillerBarclaysCAPEUSSecValTR UCITS ETF 1CU</t>
  </si>
  <si>
    <t>Jupiter Asian Income Fund I-Class Acc</t>
  </si>
  <si>
    <t>Amundi IBEX 35 UCITS ETF Acc</t>
  </si>
  <si>
    <t>Commodity &amp; Diversified Chemicals</t>
  </si>
  <si>
    <t>05</t>
  </si>
  <si>
    <t>2024</t>
  </si>
  <si>
    <t>US05968LAN29</t>
  </si>
  <si>
    <t>1551112LAN29</t>
  </si>
  <si>
    <t>Nexa Resources Peru S.A.A.</t>
  </si>
  <si>
    <t>USG0399BAB39</t>
  </si>
  <si>
    <t>1250922BAB39</t>
  </si>
  <si>
    <t>PIMCO 25+ Year Zero Coupon US Treasury Index ETF</t>
  </si>
  <si>
    <t>US72201R8824</t>
  </si>
  <si>
    <t>5277252EG848</t>
  </si>
  <si>
    <t>PEP01000C5J8</t>
  </si>
  <si>
    <t>011000112G39</t>
  </si>
  <si>
    <t>BGF Asian Dragon Fund D2 USD</t>
  </si>
  <si>
    <t>GB00BMGR2809</t>
  </si>
  <si>
    <t>0840016R2809</t>
  </si>
  <si>
    <t>US91282CJN20</t>
  </si>
  <si>
    <t>0840002CJN20</t>
  </si>
  <si>
    <t>abrdn SICAV I - Frontier Mrkts Bd I Acc USD</t>
  </si>
  <si>
    <t>Tokio Marine Japanese Equity Focus Fund I JPY</t>
  </si>
  <si>
    <t>USL67359AB21</t>
  </si>
  <si>
    <t>12583829AB21</t>
  </si>
  <si>
    <t>23200912401E</t>
  </si>
  <si>
    <t>PEP70252V102</t>
  </si>
  <si>
    <t>305923100001</t>
  </si>
  <si>
    <t>PEP746351100</t>
  </si>
  <si>
    <t>IPCHAC1</t>
  </si>
  <si>
    <t>5923</t>
  </si>
  <si>
    <t>305923100002</t>
  </si>
  <si>
    <t>PEP746354203</t>
  </si>
  <si>
    <t>IPCHBC1</t>
  </si>
  <si>
    <t>6000021AM998</t>
  </si>
  <si>
    <t>6000021AM966</t>
  </si>
  <si>
    <t>6000021AM967</t>
  </si>
  <si>
    <t>6000021AM999</t>
  </si>
  <si>
    <t>6000021AM968</t>
  </si>
  <si>
    <t>6000021AN001</t>
  </si>
  <si>
    <t>63003812401B</t>
  </si>
  <si>
    <t>63004912401B</t>
  </si>
  <si>
    <t>63004812402I</t>
  </si>
  <si>
    <t>6B53232AM985</t>
  </si>
  <si>
    <t>6B51022AM984</t>
  </si>
  <si>
    <t>6B52022AM983</t>
  </si>
  <si>
    <t>6B52022AN004</t>
  </si>
  <si>
    <t>6B52022AN003</t>
  </si>
  <si>
    <t>6B53232AM978</t>
  </si>
  <si>
    <t>6B51022AM977</t>
  </si>
  <si>
    <t>6B51022AM976</t>
  </si>
  <si>
    <t>6B52022AM975</t>
  </si>
  <si>
    <t>6B57632AM979</t>
  </si>
  <si>
    <t>6B53232AN009</t>
  </si>
  <si>
    <t>6B53232AN008</t>
  </si>
  <si>
    <t>6B53232AN007</t>
  </si>
  <si>
    <t>6B53232AN006</t>
  </si>
  <si>
    <t>6B57632AN005</t>
  </si>
  <si>
    <t>6B53232AM969</t>
  </si>
  <si>
    <t>6B53232AM974</t>
  </si>
  <si>
    <t>6B52022AM973</t>
  </si>
  <si>
    <t>6B51022AM972</t>
  </si>
  <si>
    <t>6B51022AM971</t>
  </si>
  <si>
    <t>6B53032AM970</t>
  </si>
  <si>
    <t>6B53232AN002</t>
  </si>
  <si>
    <t>6B53232AN019</t>
  </si>
  <si>
    <t>6B53232AN018</t>
  </si>
  <si>
    <t>6B53232AN017</t>
  </si>
  <si>
    <t>6B52022AM992</t>
  </si>
  <si>
    <t>6B53032AM991</t>
  </si>
  <si>
    <t>6B52022AN016</t>
  </si>
  <si>
    <t>6B53032AN015</t>
  </si>
  <si>
    <t>6B52022AM990</t>
  </si>
  <si>
    <t>6B53232AM989</t>
  </si>
  <si>
    <t>6B53232AN011</t>
  </si>
  <si>
    <t>6B52022AN010</t>
  </si>
  <si>
    <t>6B51022AM996</t>
  </si>
  <si>
    <t>6B52022AM995</t>
  </si>
  <si>
    <t>6B51022AM994</t>
  </si>
  <si>
    <t>6B52022AM993</t>
  </si>
  <si>
    <t>6B52022AM982</t>
  </si>
  <si>
    <t>6B52022AM981</t>
  </si>
  <si>
    <t>6B57642AM980</t>
  </si>
  <si>
    <t>6B53232AN014</t>
  </si>
  <si>
    <t>6B53232AN013</t>
  </si>
  <si>
    <t>6B57552AN012</t>
  </si>
  <si>
    <t>6B53232AM988</t>
  </si>
  <si>
    <t>6B53232AM987</t>
  </si>
  <si>
    <t>6B53032AM986</t>
  </si>
  <si>
    <t>Inversiones Portuarias Chancay A</t>
  </si>
  <si>
    <t>Inversiones Portuarias Chancay B</t>
  </si>
  <si>
    <t>BNPP Russia Equity I Cap SUSP</t>
  </si>
  <si>
    <t>LU0823432371</t>
  </si>
  <si>
    <t>Liontrust European Dynamic Fund I Inc</t>
  </si>
  <si>
    <t>US91087BBA70</t>
  </si>
  <si>
    <t>0840052BBA70</t>
  </si>
  <si>
    <t>Robeco Indian Equities D USD</t>
  </si>
  <si>
    <t>LU0571488617</t>
  </si>
  <si>
    <t>5273882F8861</t>
  </si>
  <si>
    <t>US105756CJ75</t>
  </si>
  <si>
    <t>08400326CJ75</t>
  </si>
  <si>
    <t>Jupiter India Select D USD Acc</t>
  </si>
  <si>
    <t>LU0946219929</t>
  </si>
  <si>
    <t>5274562F1992</t>
  </si>
  <si>
    <t>US168863EB04</t>
  </si>
  <si>
    <t>08400623EB04</t>
  </si>
  <si>
    <t>PIMCO GIS Mortgage Opps Inst USD Acc</t>
  </si>
  <si>
    <t>IE00BD38JM62</t>
  </si>
  <si>
    <t>5274122F8JM6</t>
  </si>
  <si>
    <t>DWS Invest Latin American Equities IC</t>
  </si>
  <si>
    <t>LU1571394011</t>
  </si>
  <si>
    <t>5270414F9401</t>
  </si>
  <si>
    <t>Liontrust European Dynamic Fund S Acc</t>
  </si>
  <si>
    <t>SB12G39</t>
  </si>
  <si>
    <t>BCOLO 2034</t>
  </si>
  <si>
    <t>23583412402C</t>
  </si>
  <si>
    <t>PEP16997V265</t>
  </si>
  <si>
    <t>6000091AN092</t>
  </si>
  <si>
    <t>6000111AN201</t>
  </si>
  <si>
    <t>6000031AN202</t>
  </si>
  <si>
    <t>5850</t>
  </si>
  <si>
    <t>VALE S.A.</t>
  </si>
  <si>
    <t>Invesco QQQ Trust, Series 1</t>
  </si>
  <si>
    <t>SPDR S&amp;P Semiconductor ETF</t>
  </si>
  <si>
    <t>US78464A8624</t>
  </si>
  <si>
    <t>5260012EA862</t>
  </si>
  <si>
    <t>XS2793263935</t>
  </si>
  <si>
    <t>125037963935</t>
  </si>
  <si>
    <t>US05971V2H78</t>
  </si>
  <si>
    <t>2100022V2H78</t>
  </si>
  <si>
    <t>Vanguard Extended Duration Treasury Index Fd;ETF</t>
  </si>
  <si>
    <t>US9219107094</t>
  </si>
  <si>
    <t>5270172E0709</t>
  </si>
  <si>
    <t>5275336F6323</t>
  </si>
  <si>
    <t>USP30179BR86</t>
  </si>
  <si>
    <t>USP30179CR77</t>
  </si>
  <si>
    <t>59529429CR77</t>
  </si>
  <si>
    <t>Corporacion Financiera de Desarrollo S.A.</t>
  </si>
  <si>
    <t>PEP11100M245</t>
  </si>
  <si>
    <t>Supranationals &amp; Development Banks</t>
  </si>
  <si>
    <t>PEP11100M252</t>
  </si>
  <si>
    <t>PEP11100M328</t>
  </si>
  <si>
    <t>USP3R94GAK53</t>
  </si>
  <si>
    <t>HSBC GIF Indian Equity IC</t>
  </si>
  <si>
    <t>LU0164881350</t>
  </si>
  <si>
    <t>5276672F8135</t>
  </si>
  <si>
    <t>Empresas Publicas de Medellin E.S.P.</t>
  </si>
  <si>
    <t>USP9379RBA43</t>
  </si>
  <si>
    <t>USP9379RBC09</t>
  </si>
  <si>
    <t>LU0267983889</t>
  </si>
  <si>
    <t>5274082F8388</t>
  </si>
  <si>
    <t>US715638EB48</t>
  </si>
  <si>
    <t>01100028EB48</t>
  </si>
  <si>
    <t>US715638EC21</t>
  </si>
  <si>
    <t>01100028EC21</t>
  </si>
  <si>
    <t>BlueBay Emerging Market Bond I USD</t>
  </si>
  <si>
    <t>LU0225307478</t>
  </si>
  <si>
    <t>5275112F0747</t>
  </si>
  <si>
    <t>AU0000249302</t>
  </si>
  <si>
    <t>084009B49302</t>
  </si>
  <si>
    <t>Groupama Avenir Euro IC</t>
  </si>
  <si>
    <t>5277336FM1M7</t>
  </si>
  <si>
    <t>GB00BQC82C90</t>
  </si>
  <si>
    <t>084001682C90</t>
  </si>
  <si>
    <t>MSIF Em Mkts Corporate Debt Fund Z USD Acc</t>
  </si>
  <si>
    <t>US912810TY47</t>
  </si>
  <si>
    <t>08400020TY47</t>
  </si>
  <si>
    <t>Matthews Asia Funds-China Discovery Fund I Acc USD</t>
  </si>
  <si>
    <t>US91282CJY84</t>
  </si>
  <si>
    <t>0840002CJY84</t>
  </si>
  <si>
    <t>US91282CJZ59</t>
  </si>
  <si>
    <t>0840002CJZ59</t>
  </si>
  <si>
    <t>US91282CKD29</t>
  </si>
  <si>
    <t>0840002CKD29</t>
  </si>
  <si>
    <t>US91282CKQ32</t>
  </si>
  <si>
    <t>0840002CKQ32</t>
  </si>
  <si>
    <t>Jupiter Japan Income Fund I Acc</t>
  </si>
  <si>
    <t>PIMCO GIS Income Inst USD Acc</t>
  </si>
  <si>
    <t>IE00B87KCF77</t>
  </si>
  <si>
    <t>5274122FKCF7</t>
  </si>
  <si>
    <t>BGF Continental European Flexible I2 EUR</t>
  </si>
  <si>
    <t>LU0888974473</t>
  </si>
  <si>
    <t>5274292F7447</t>
  </si>
  <si>
    <t>COL17CT03938</t>
  </si>
  <si>
    <t>084004F03938</t>
  </si>
  <si>
    <t>Lazard Japanese Strategic Equity A Acc JPY</t>
  </si>
  <si>
    <t>IE00B8JGVH80</t>
  </si>
  <si>
    <t>5277285JGVH8</t>
  </si>
  <si>
    <t>EDM International Inversion/Spanish Eq L EUR</t>
  </si>
  <si>
    <t>Republica de Chile</t>
  </si>
  <si>
    <t>5277022F1992</t>
  </si>
  <si>
    <t>Groupama Avenir Europe IC</t>
  </si>
  <si>
    <t>PERU LNG S.R.L.</t>
  </si>
  <si>
    <t>USP7721BAE13</t>
  </si>
  <si>
    <t>Oil &amp; Gas Refining, Marketing, Transportation &amp; Storage</t>
  </si>
  <si>
    <t>Invesco Euro Equity C USD Hgd Acc</t>
  </si>
  <si>
    <t>LU1342486377</t>
  </si>
  <si>
    <t>5274082F8637</t>
  </si>
  <si>
    <t>Petroleos del Peru - Petroperu S.A.</t>
  </si>
  <si>
    <t>USP7808BAA54</t>
  </si>
  <si>
    <t>USP7808BAB38</t>
  </si>
  <si>
    <t>UBS (Lux) Digital Health Equity Fund EB USD</t>
  </si>
  <si>
    <t>Groupama Avenir Europe AC</t>
  </si>
  <si>
    <t>Asset Management &amp; Custody Banks</t>
  </si>
  <si>
    <t>PEP16880M064</t>
  </si>
  <si>
    <t>25210512401A</t>
  </si>
  <si>
    <t>Premier Miton European Opportunities B EUR Acc</t>
  </si>
  <si>
    <t>GB00BMCC1W62</t>
  </si>
  <si>
    <t>5277324FC1W6</t>
  </si>
  <si>
    <t>UBS (Lux) Digital Health Equity Fund MB USD</t>
  </si>
  <si>
    <t>BGF Japan Flexible Equity I2 EUR</t>
  </si>
  <si>
    <t>LU2501015387</t>
  </si>
  <si>
    <t>5274294F1538</t>
  </si>
  <si>
    <t>BBVA MEXICO SA</t>
  </si>
  <si>
    <t>1258612WAK80</t>
  </si>
  <si>
    <t>BBVASM 2038</t>
  </si>
  <si>
    <t>BBVASM 2039</t>
  </si>
  <si>
    <t>AVALCB 4 3/8 02</t>
  </si>
  <si>
    <t>GAVA</t>
  </si>
  <si>
    <t>BCP 5.8 03/10/2</t>
  </si>
  <si>
    <t>PEP73125M031</t>
  </si>
  <si>
    <t>PRIMX1BC3A</t>
  </si>
  <si>
    <t>PEP73125M056</t>
  </si>
  <si>
    <t>PRIMX2BC2A</t>
  </si>
  <si>
    <t>USP5300PAC79</t>
  </si>
  <si>
    <t>5840</t>
  </si>
  <si>
    <t>23583412402D</t>
  </si>
  <si>
    <t>PEP16997V273</t>
  </si>
  <si>
    <t>23008612403A</t>
  </si>
  <si>
    <t>PEP11100V196</t>
  </si>
  <si>
    <t>402029100004</t>
  </si>
  <si>
    <t>PEP736586145</t>
  </si>
  <si>
    <t>7732</t>
  </si>
  <si>
    <t>6058362AP564</t>
  </si>
  <si>
    <t>6000032AP562</t>
  </si>
  <si>
    <t>6000021AP560</t>
  </si>
  <si>
    <t>6000481AP593</t>
  </si>
  <si>
    <t>6000021AP563</t>
  </si>
  <si>
    <t>6000481AP592</t>
  </si>
  <si>
    <t>6000021AP589</t>
  </si>
  <si>
    <t>6000021AP565</t>
  </si>
  <si>
    <t>6000481AP591</t>
  </si>
  <si>
    <t>6000021AP590</t>
  </si>
  <si>
    <t>6001031AN571</t>
  </si>
  <si>
    <t>6001031AO321</t>
  </si>
  <si>
    <t>63010312402M</t>
  </si>
  <si>
    <t>63010612401F</t>
  </si>
  <si>
    <t>63004212402D</t>
  </si>
  <si>
    <t>63000312401A</t>
  </si>
  <si>
    <t>63000312401B</t>
  </si>
  <si>
    <t>6B58502AP573</t>
  </si>
  <si>
    <t>6B53032AP566</t>
  </si>
  <si>
    <t>6B52022AP572</t>
  </si>
  <si>
    <t>6B53232AP569</t>
  </si>
  <si>
    <t>6B52022AP567</t>
  </si>
  <si>
    <t>6B52022AP570</t>
  </si>
  <si>
    <t>6B52022AP598</t>
  </si>
  <si>
    <t>6B52022AP597</t>
  </si>
  <si>
    <t>6B52022AP596</t>
  </si>
  <si>
    <t>6B53032AP595</t>
  </si>
  <si>
    <t>6B52022AP568</t>
  </si>
  <si>
    <t>6B51022AP571</t>
  </si>
  <si>
    <t>6B58502AP602</t>
  </si>
  <si>
    <t>6B58502AP601</t>
  </si>
  <si>
    <t>6B52022AP600</t>
  </si>
  <si>
    <t>6B52022AP599</t>
  </si>
  <si>
    <t>6B52022AP581</t>
  </si>
  <si>
    <t>6B52022AP577</t>
  </si>
  <si>
    <t>6B52022AP575</t>
  </si>
  <si>
    <t>6B52022AP580</t>
  </si>
  <si>
    <t>6B53032AP579</t>
  </si>
  <si>
    <t>6B51022AP574</t>
  </si>
  <si>
    <t>6B53032AP604</t>
  </si>
  <si>
    <t>6B53232AP603</t>
  </si>
  <si>
    <t>6B52022AP576</t>
  </si>
  <si>
    <t>6B57632AP610</t>
  </si>
  <si>
    <t>6B52022AP608</t>
  </si>
  <si>
    <t>6B52022AP607</t>
  </si>
  <si>
    <t>6B52022AP606</t>
  </si>
  <si>
    <t>6B52022AP605</t>
  </si>
  <si>
    <t>6B52022AP582</t>
  </si>
  <si>
    <t>6B53232AP584</t>
  </si>
  <si>
    <t>6B53232AP587</t>
  </si>
  <si>
    <t>6B52022AP583</t>
  </si>
  <si>
    <t>6B52022AP586</t>
  </si>
  <si>
    <t>6B51022AP585</t>
  </si>
  <si>
    <t>6B57642AP615</t>
  </si>
  <si>
    <t>6B52022AP614</t>
  </si>
  <si>
    <t>6B53232AP613</t>
  </si>
  <si>
    <t>6B53232AP612</t>
  </si>
  <si>
    <t>6B53232AP611</t>
  </si>
  <si>
    <t>6B58504AP578</t>
  </si>
  <si>
    <t>6B58504AP609</t>
  </si>
  <si>
    <t>Pimco - GIS Income Fund</t>
  </si>
  <si>
    <t>Invesco - Nasdaq 100 ETF</t>
  </si>
  <si>
    <t>Premier Miton - European Opportunities Fund</t>
  </si>
  <si>
    <t>Vanguard - Extended Duration Treasury ETF</t>
  </si>
  <si>
    <t>sin Sob ni SOV</t>
  </si>
  <si>
    <t>Alts</t>
  </si>
  <si>
    <t>USG4808VAC49</t>
  </si>
  <si>
    <t>PEP66450D056</t>
  </si>
  <si>
    <t>Internacional de Titulos Soc. Titulizadora- Innova</t>
  </si>
  <si>
    <t>Alicorp S.A.</t>
  </si>
  <si>
    <t>AUNA SA</t>
  </si>
  <si>
    <t>Orygen</t>
  </si>
  <si>
    <t>Por Fondo</t>
  </si>
  <si>
    <t>Portafolio + Soberanos</t>
  </si>
  <si>
    <t>084006C48207</t>
  </si>
  <si>
    <t>CL0002948207</t>
  </si>
  <si>
    <t>084006C86989</t>
  </si>
  <si>
    <t>CL0002686989</t>
  </si>
  <si>
    <t>7533</t>
  </si>
  <si>
    <t>5277312FNG56</t>
  </si>
  <si>
    <t>IE00BF4NG566</t>
  </si>
  <si>
    <t>7731</t>
  </si>
  <si>
    <t>6000031AQ128</t>
  </si>
  <si>
    <t>6000021AQ154</t>
  </si>
  <si>
    <t>6000031AQ126</t>
  </si>
  <si>
    <t>6000021AQ155</t>
  </si>
  <si>
    <t>6000031AQ129</t>
  </si>
  <si>
    <t>6000021AQ152</t>
  </si>
  <si>
    <t>6000111AP842</t>
  </si>
  <si>
    <t>6000111AP932</t>
  </si>
  <si>
    <t>6000021AQ056</t>
  </si>
  <si>
    <t>6000481AP618</t>
  </si>
  <si>
    <t>6000031AP814</t>
  </si>
  <si>
    <t>6000031AP617</t>
  </si>
  <si>
    <t>6000091AP644</t>
  </si>
  <si>
    <t>6000481AP643</t>
  </si>
  <si>
    <t>6000031AP693</t>
  </si>
  <si>
    <t>6000031AP764</t>
  </si>
  <si>
    <t>63004212402E</t>
  </si>
  <si>
    <t>6B58504AQ137</t>
  </si>
  <si>
    <t>6B58504AQ166</t>
  </si>
  <si>
    <t>6B53232AQ130</t>
  </si>
  <si>
    <t>6B58502AQ160</t>
  </si>
  <si>
    <t>6B52022AQ159</t>
  </si>
  <si>
    <t>6B53032AQ158</t>
  </si>
  <si>
    <t>6B53032AQ157</t>
  </si>
  <si>
    <t>6B52022AQ135</t>
  </si>
  <si>
    <t>6B52022AQ169</t>
  </si>
  <si>
    <t>6B53232AQ168</t>
  </si>
  <si>
    <t>6B53032AQ148</t>
  </si>
  <si>
    <t>6B53032AQ147</t>
  </si>
  <si>
    <t>6B53232AQ146</t>
  </si>
  <si>
    <t>6B53232AQ145</t>
  </si>
  <si>
    <t>6B58502AQ171</t>
  </si>
  <si>
    <t>6B52022AQ170</t>
  </si>
  <si>
    <t>6B53032AQ162</t>
  </si>
  <si>
    <t>6B52022AQ151</t>
  </si>
  <si>
    <t>6B52022AQ150</t>
  </si>
  <si>
    <t>6B52022AQ149</t>
  </si>
  <si>
    <t>6B53232AQ167</t>
  </si>
  <si>
    <t>6B53032AQ161</t>
  </si>
  <si>
    <t>6B53232AQ138</t>
  </si>
  <si>
    <t>6B58502AQ136</t>
  </si>
  <si>
    <t>6B53232AQ165</t>
  </si>
  <si>
    <t>6B52022AQ164</t>
  </si>
  <si>
    <t>6B53032AQ163</t>
  </si>
  <si>
    <t>6B52022AQ144</t>
  </si>
  <si>
    <t>6B52022AQ143</t>
  </si>
  <si>
    <t>6B53032AQ142</t>
  </si>
  <si>
    <t>6B53232AQ141</t>
  </si>
  <si>
    <t>6B53232AQ140</t>
  </si>
  <si>
    <t>6B53232AQ139</t>
  </si>
  <si>
    <t>6B52022AQ134</t>
  </si>
  <si>
    <t>6B53032AQ133</t>
  </si>
  <si>
    <t>6B53232AQ132</t>
  </si>
  <si>
    <t>6B53232AQ131</t>
  </si>
  <si>
    <t>6B53232AQ156</t>
  </si>
  <si>
    <t>US279158AW93</t>
  </si>
  <si>
    <t>59509428AW93</t>
  </si>
  <si>
    <t>PEP214005006</t>
  </si>
  <si>
    <t>PEP21400M114</t>
  </si>
  <si>
    <t>22201112303A</t>
  </si>
  <si>
    <t>Gas Natural de Lima y Callao S.A.</t>
  </si>
  <si>
    <t>PEP70215M017</t>
  </si>
  <si>
    <t>PEP70252M341</t>
  </si>
  <si>
    <t>22200912402A</t>
  </si>
  <si>
    <t>First Trust RBA Amer Industrial Renaissance ETF</t>
  </si>
  <si>
    <t>US33738R7044</t>
  </si>
  <si>
    <t>5274042ER704</t>
  </si>
  <si>
    <t>Roundhill Magnificent Seven ETF</t>
  </si>
  <si>
    <t>US53656G4982</t>
  </si>
  <si>
    <t>5259252EG498</t>
  </si>
  <si>
    <t>abrdn SICAV I - Euro Hi Yld Bd A Acc EUR</t>
  </si>
  <si>
    <t>abrdn SICAV I - Em Mkts Bd A Acc USD</t>
  </si>
  <si>
    <t>abrdn SICAV I - Euro Hi Yld Bd I Acc EUR</t>
  </si>
  <si>
    <t>abrdn SICAV I - Em Mkts Bd I Acc USD</t>
  </si>
  <si>
    <t>US91282CKT70</t>
  </si>
  <si>
    <t>0840002CKT70</t>
  </si>
  <si>
    <t>UBS Nova (Lux) Global Senior Loan Fund MB USD</t>
  </si>
  <si>
    <t>CL0002935048</t>
  </si>
  <si>
    <t>084006C35048</t>
  </si>
  <si>
    <t>Wellington Emerging Local Debt USD S AccU</t>
  </si>
  <si>
    <t>UTI India Dynamic Equity USD Institutional Acc</t>
  </si>
  <si>
    <t>LarrainVial AM SICAV - Gavekal Latam LC Debt I</t>
  </si>
  <si>
    <t>LU2600586817</t>
  </si>
  <si>
    <t>5274972F8681</t>
  </si>
  <si>
    <t>Ashmore SICAV India Equity I USD Acc</t>
  </si>
  <si>
    <t>LU2614584386</t>
  </si>
  <si>
    <t>5274142F8438</t>
  </si>
  <si>
    <t>Aquí solo van los soberanos directos con huella (todos tienen): Filtros: Portafolio 1,2,3; Huella&gt;0;Plus Sov; Plus_1 Sov</t>
  </si>
  <si>
    <t>Aum</t>
  </si>
  <si>
    <t>Aquí no se consideranan los soberanos ni sus etfs</t>
  </si>
  <si>
    <t>Nuevo Nuevo Metodo Incluyendo Proxies y Alternativos</t>
  </si>
  <si>
    <t>Tablas de Comparación</t>
  </si>
  <si>
    <t>BU Sin Proxies</t>
  </si>
  <si>
    <t>TD Sin Proxies</t>
  </si>
  <si>
    <t>TD Con Proxies</t>
  </si>
  <si>
    <t>Se deberá pegar de la izquierda a su categoría correspondiente</t>
  </si>
  <si>
    <t>Fondo</t>
  </si>
  <si>
    <t>ETF Sobs</t>
  </si>
  <si>
    <t>RF Proxies</t>
  </si>
  <si>
    <t>ETF Sobs Proxies</t>
  </si>
  <si>
    <t>RV Proxies</t>
  </si>
  <si>
    <t xml:space="preserve"> Proxies</t>
  </si>
  <si>
    <t>Los que estan de naranja no tinene referencia para evitar el #ref</t>
  </si>
  <si>
    <t>BU Con Proxies</t>
  </si>
  <si>
    <t>SB12AGO34</t>
  </si>
  <si>
    <t>COLOM 5 06/1</t>
  </si>
  <si>
    <t>1551192MAD04</t>
  </si>
  <si>
    <t>USP1400MAD04</t>
  </si>
  <si>
    <t>BANORT 8 3/8 PE</t>
  </si>
  <si>
    <t>23583412403A</t>
  </si>
  <si>
    <t>PEP16997V281</t>
  </si>
  <si>
    <t>23583412403B</t>
  </si>
  <si>
    <t>PEP16997V299</t>
  </si>
  <si>
    <t>5270432F9263</t>
  </si>
  <si>
    <t>7043</t>
  </si>
  <si>
    <t>US46434G8226</t>
  </si>
  <si>
    <t>7128</t>
  </si>
  <si>
    <t>7386</t>
  </si>
  <si>
    <t>5270272F1107</t>
  </si>
  <si>
    <t>LU0333811072</t>
  </si>
  <si>
    <t>6000091AR171</t>
  </si>
  <si>
    <t>6000021AR169</t>
  </si>
  <si>
    <t>6000021AR191</t>
  </si>
  <si>
    <t>6000091AR192</t>
  </si>
  <si>
    <t>6000021AR170</t>
  </si>
  <si>
    <t>6000091AR193</t>
  </si>
  <si>
    <t>6000021AR168</t>
  </si>
  <si>
    <t>6000091AR194</t>
  </si>
  <si>
    <t>6000031AQ646</t>
  </si>
  <si>
    <t>6000021AQ797</t>
  </si>
  <si>
    <t>6000021AQ981</t>
  </si>
  <si>
    <t>6000481AR018</t>
  </si>
  <si>
    <t>6000031AQ324</t>
  </si>
  <si>
    <t>6000031AQ421</t>
  </si>
  <si>
    <t>6000481AQ555</t>
  </si>
  <si>
    <t>6000111AR017</t>
  </si>
  <si>
    <t>6000491AR016</t>
  </si>
  <si>
    <t>6000021AQ839</t>
  </si>
  <si>
    <t>6000481AQ893</t>
  </si>
  <si>
    <t>6000031AQ888</t>
  </si>
  <si>
    <t>6000481AQ982</t>
  </si>
  <si>
    <t>63004212402F</t>
  </si>
  <si>
    <t>63000312401C</t>
  </si>
  <si>
    <t>6B57646AR186</t>
  </si>
  <si>
    <t>5764</t>
  </si>
  <si>
    <t>6B58506AR207</t>
  </si>
  <si>
    <t>6B51002AR190</t>
  </si>
  <si>
    <t>6B53032AR189</t>
  </si>
  <si>
    <t>6B53232AR188</t>
  </si>
  <si>
    <t>6B57632AR187</t>
  </si>
  <si>
    <t>6B52022AR209</t>
  </si>
  <si>
    <t>6B52022AR199</t>
  </si>
  <si>
    <t>6B52022AR205</t>
  </si>
  <si>
    <t>6B52022AR203</t>
  </si>
  <si>
    <t>6B53032AR202</t>
  </si>
  <si>
    <t>6B52022AR180</t>
  </si>
  <si>
    <t>6B53032AR200</t>
  </si>
  <si>
    <t>6B53232AR201</t>
  </si>
  <si>
    <t>6B53232AR206</t>
  </si>
  <si>
    <t>6B52022AR179</t>
  </si>
  <si>
    <t>6B52022AR178</t>
  </si>
  <si>
    <t>6B53032AR185</t>
  </si>
  <si>
    <t>6B53232AR184</t>
  </si>
  <si>
    <t>6B53232AR183</t>
  </si>
  <si>
    <t>6B53232AR182</t>
  </si>
  <si>
    <t>6B52022AR181</t>
  </si>
  <si>
    <t>6B52022AR175</t>
  </si>
  <si>
    <t>6B58502AR174</t>
  </si>
  <si>
    <t>6B52022AR196</t>
  </si>
  <si>
    <t>6B52022AR197</t>
  </si>
  <si>
    <t>6B52022AR195</t>
  </si>
  <si>
    <t>6B53232AR198</t>
  </si>
  <si>
    <t>6B52022AR208</t>
  </si>
  <si>
    <t>6B53232AR211</t>
  </si>
  <si>
    <t>6B58502AR210</t>
  </si>
  <si>
    <t>6B51002AR173</t>
  </si>
  <si>
    <t>6B53032AR172</t>
  </si>
  <si>
    <t>6B53032AR176</t>
  </si>
  <si>
    <t>6B58504AR177</t>
  </si>
  <si>
    <t>6B58504AR204</t>
  </si>
  <si>
    <t>Ecopetrol S.A.</t>
  </si>
  <si>
    <t>PEP70252M358</t>
  </si>
  <si>
    <t>22200912403A</t>
  </si>
  <si>
    <t>AAA</t>
  </si>
  <si>
    <t>US91911TAS24</t>
  </si>
  <si>
    <t>1250242TAS24</t>
  </si>
  <si>
    <t>USP1507SAL18</t>
  </si>
  <si>
    <t>Man Continental European Growth Prof Acc C GBP</t>
  </si>
  <si>
    <t>Man Japan CoreAlpha Professional Acc C GBP</t>
  </si>
  <si>
    <t>BlueBay Em Mkt Unconstrained Bd S USD</t>
  </si>
  <si>
    <t>LU1932874412</t>
  </si>
  <si>
    <t>5275112F7441</t>
  </si>
  <si>
    <t>Franklin India Fund Class I (acc) USD</t>
  </si>
  <si>
    <t>Goldman Sachs India Equity Pf I Acc USD</t>
  </si>
  <si>
    <t>Bellevue Medtech&amp;Services I USD</t>
  </si>
  <si>
    <t>Schroder Global Healthcare Fund Class Z Acc GBP</t>
  </si>
  <si>
    <t>52NORT2ASHFM</t>
  </si>
  <si>
    <t>M&amp;G (Lux) Japan Fund EUR Class A Accumulation</t>
  </si>
  <si>
    <t>Por qué? Para que todo lo que tenga el mismo denominador.</t>
  </si>
  <si>
    <t>AXA World Funds - US Dynamic High Yield</t>
  </si>
  <si>
    <t>BlackRock - iShares MSCI Brazil UCITS</t>
  </si>
  <si>
    <t>Goldman Sachs - India Equity Portfolio</t>
  </si>
  <si>
    <t>Integra</t>
  </si>
  <si>
    <t>ILF</t>
  </si>
  <si>
    <t>CEMB</t>
  </si>
  <si>
    <t>ACWI</t>
  </si>
  <si>
    <t>AUM</t>
  </si>
  <si>
    <t>EMB</t>
  </si>
  <si>
    <t>Comparable</t>
  </si>
  <si>
    <t>Telefonica del Peru S.A.A.</t>
  </si>
  <si>
    <t>PEP70500M772</t>
  </si>
  <si>
    <t>USP6680PAB78</t>
  </si>
  <si>
    <t>2220082PAB78</t>
  </si>
  <si>
    <t>Banco Internacional del Peru S.A.A.</t>
  </si>
  <si>
    <t>USP13435AG03</t>
  </si>
  <si>
    <t>21000325AG03</t>
  </si>
  <si>
    <t>DFA Emerging Markets Core Equity 2 Portfolio;Inst</t>
  </si>
  <si>
    <t>DFA International Core Equity 2 Portfolio;Inst</t>
  </si>
  <si>
    <t>Banco de Credito e Inversiones</t>
  </si>
  <si>
    <t>USP32133CH47</t>
  </si>
  <si>
    <t>15515123CH47</t>
  </si>
  <si>
    <t>USP3691NBL30</t>
  </si>
  <si>
    <t>1254402NBL30</t>
  </si>
  <si>
    <t>Grupo Televisa, S.A.B.</t>
  </si>
  <si>
    <t>JPMorgan US Quality Factor ETF</t>
  </si>
  <si>
    <t>US46641Q7613</t>
  </si>
  <si>
    <t>5275552EQ761</t>
  </si>
  <si>
    <t>JPMorgan BetaBuilders Europe ETF</t>
  </si>
  <si>
    <t>US46641Q1913</t>
  </si>
  <si>
    <t>5275552EQ191</t>
  </si>
  <si>
    <t>Fidelity Funds - Global Healthcare A-EUR</t>
  </si>
  <si>
    <t>USP2000GAA15</t>
  </si>
  <si>
    <t>1552782GAA15</t>
  </si>
  <si>
    <t>USP6777MAA01</t>
  </si>
  <si>
    <t>1258642MAA01</t>
  </si>
  <si>
    <t>1553782SAL18</t>
  </si>
  <si>
    <t>BNPP Asia ex-Japan Eqty I EUR Cap</t>
  </si>
  <si>
    <t>Veritas Global Equity Income A USD</t>
  </si>
  <si>
    <t>Invesco India Equity Fd A USD AD</t>
  </si>
  <si>
    <t>US715638DF60</t>
  </si>
  <si>
    <t>01100028DF60</t>
  </si>
  <si>
    <t>Invesco S&amp;P 500 UCITS ETF Acc</t>
  </si>
  <si>
    <t>IE00B3YCGJ38</t>
  </si>
  <si>
    <t>5275322ECGJ3</t>
  </si>
  <si>
    <t>US912810UC08</t>
  </si>
  <si>
    <t>08400020UC08</t>
  </si>
  <si>
    <t>HSBC GIF Frontier Markets XC</t>
  </si>
  <si>
    <t>LU0666200935</t>
  </si>
  <si>
    <t>5276672F0093</t>
  </si>
  <si>
    <t>US91282CLK52</t>
  </si>
  <si>
    <t>0840002CLK52</t>
  </si>
  <si>
    <t>US91282CLW90</t>
  </si>
  <si>
    <t>0840002CLW90</t>
  </si>
  <si>
    <t>Berenberg Financial Bonds I D</t>
  </si>
  <si>
    <t>Bond Europe</t>
  </si>
  <si>
    <t>5270952EMDHC</t>
  </si>
  <si>
    <t>Fidelity Funds - Emerging Mkts Eq ESG I-ACC-USD</t>
  </si>
  <si>
    <t>Goldman Sachs Japan Eq Partners Pf I Acc JPY</t>
  </si>
  <si>
    <t>LU1217871059</t>
  </si>
  <si>
    <t>5270275F7105</t>
  </si>
  <si>
    <t>Edmond de Rothschild Big Data N USD</t>
  </si>
  <si>
    <t>LU1244895048</t>
  </si>
  <si>
    <t>5274862F9504</t>
  </si>
  <si>
    <t>Pictet-Robotics-I USD</t>
  </si>
  <si>
    <t>LU1279333329</t>
  </si>
  <si>
    <t>5270802F3332</t>
  </si>
  <si>
    <t>Lazard Capital Fi SRI PVC H-USD</t>
  </si>
  <si>
    <t>FR0013072733</t>
  </si>
  <si>
    <t>5274492F7273</t>
  </si>
  <si>
    <t>Fidelity Funds - Global Healthcare I-ACC-EUR</t>
  </si>
  <si>
    <t>5274862F2445</t>
  </si>
  <si>
    <t>Neuberger Berman CLO Inc USD I Acc</t>
  </si>
  <si>
    <t>BlackRock Advantage Europe Equity D GBP Hdg</t>
  </si>
  <si>
    <t>IE00BG1DFD73</t>
  </si>
  <si>
    <t>5270736FDFD7</t>
  </si>
  <si>
    <t>Neuberger Berman CLO Inc USD I2 Dis</t>
  </si>
  <si>
    <t>IE00BHXGRM40</t>
  </si>
  <si>
    <t>5277312FGRM4</t>
  </si>
  <si>
    <t>India Equities Portfolio Fund II Class J USD</t>
  </si>
  <si>
    <t>IE00BN6Q7C39</t>
  </si>
  <si>
    <t>5275562FQ7C3</t>
  </si>
  <si>
    <t>PEP75455M014</t>
  </si>
  <si>
    <t>SB12AGO33</t>
  </si>
  <si>
    <t>SB12B29</t>
  </si>
  <si>
    <t>BINTPE 6.397 04</t>
  </si>
  <si>
    <t>BUENAV 6.8 02/0</t>
  </si>
  <si>
    <t>23583412503C</t>
  </si>
  <si>
    <t>PEP16997V307</t>
  </si>
  <si>
    <t>ECSCP2CP3C</t>
  </si>
  <si>
    <t>7404</t>
  </si>
  <si>
    <t>5274262F6624</t>
  </si>
  <si>
    <t>LU1034966249</t>
  </si>
  <si>
    <t>7426</t>
  </si>
  <si>
    <t>7472</t>
  </si>
  <si>
    <t>ECOPET 2043</t>
  </si>
  <si>
    <t>ECOPET32</t>
  </si>
  <si>
    <t>6000021AR876</t>
  </si>
  <si>
    <t>6000111AR903</t>
  </si>
  <si>
    <t>6000021AR234</t>
  </si>
  <si>
    <t>6000021AR235</t>
  </si>
  <si>
    <t>6000021AR236</t>
  </si>
  <si>
    <t>6000021AR262</t>
  </si>
  <si>
    <t>6000381AS767</t>
  </si>
  <si>
    <t>6000381AS768</t>
  </si>
  <si>
    <t>6000381AS791</t>
  </si>
  <si>
    <t>6000381AS769</t>
  </si>
  <si>
    <t>6000381AS792</t>
  </si>
  <si>
    <t>6000381AS765</t>
  </si>
  <si>
    <t>6000381AS790</t>
  </si>
  <si>
    <t>6000381AS789</t>
  </si>
  <si>
    <t>6000381AS766</t>
  </si>
  <si>
    <t>6000111AS555</t>
  </si>
  <si>
    <t>6000021AS529</t>
  </si>
  <si>
    <t>6000111AS530</t>
  </si>
  <si>
    <t>6000111AS457</t>
  </si>
  <si>
    <t>6000021AS458</t>
  </si>
  <si>
    <t>6000031AS354</t>
  </si>
  <si>
    <t>6000481AS355</t>
  </si>
  <si>
    <t>6000111AR956</t>
  </si>
  <si>
    <t>6000491AR261</t>
  </si>
  <si>
    <t>6000021AR260</t>
  </si>
  <si>
    <t>6000021AR786</t>
  </si>
  <si>
    <t>6000111AR493</t>
  </si>
  <si>
    <t>6000021AR357</t>
  </si>
  <si>
    <t>6000491AR358</t>
  </si>
  <si>
    <t>63010312503A</t>
  </si>
  <si>
    <t>PEP16820Q269</t>
  </si>
  <si>
    <t>COMPF3CD3A</t>
  </si>
  <si>
    <t>63003812501D</t>
  </si>
  <si>
    <t>PEP12100Q211</t>
  </si>
  <si>
    <t>BIF5CD1D</t>
  </si>
  <si>
    <t>63004212502G</t>
  </si>
  <si>
    <t>PEP16920Q226</t>
  </si>
  <si>
    <t>CSCOT5CD2G</t>
  </si>
  <si>
    <t>6B53232AS770</t>
  </si>
  <si>
    <t>6B57552AS793</t>
  </si>
  <si>
    <t>5755</t>
  </si>
  <si>
    <t>6B52022AS794</t>
  </si>
  <si>
    <t>6B52022AS795</t>
  </si>
  <si>
    <t>6B53232AS796</t>
  </si>
  <si>
    <t>6B53232AS797</t>
  </si>
  <si>
    <t>6B52022AS808</t>
  </si>
  <si>
    <t>6B52022AS809</t>
  </si>
  <si>
    <t>6B53232AS810</t>
  </si>
  <si>
    <t>6B52022AS788</t>
  </si>
  <si>
    <t>6B52022AS787</t>
  </si>
  <si>
    <t>6B53032AS786</t>
  </si>
  <si>
    <t>6B53032AS785</t>
  </si>
  <si>
    <t>6B57642AS807</t>
  </si>
  <si>
    <t>6B53232AS778</t>
  </si>
  <si>
    <t>6B53232AS777</t>
  </si>
  <si>
    <t>6B58502AS800</t>
  </si>
  <si>
    <t>6B52022AS801</t>
  </si>
  <si>
    <t>6B52022AS802</t>
  </si>
  <si>
    <t>6B52022AS803</t>
  </si>
  <si>
    <t>6B53032AS781</t>
  </si>
  <si>
    <t>6B53232AS780</t>
  </si>
  <si>
    <t>6B53232AS779</t>
  </si>
  <si>
    <t>6B53032AS804</t>
  </si>
  <si>
    <t>6B52022AS805</t>
  </si>
  <si>
    <t>6B53232AS806</t>
  </si>
  <si>
    <t>6B52022AS798</t>
  </si>
  <si>
    <t>6B52022AS799</t>
  </si>
  <si>
    <t>6B58502AS784</t>
  </si>
  <si>
    <t>6B52022AS783</t>
  </si>
  <si>
    <t>6B52022AS782</t>
  </si>
  <si>
    <t>6B52022AS776</t>
  </si>
  <si>
    <t>6B52022AS775</t>
  </si>
  <si>
    <t>6B52022AS774</t>
  </si>
  <si>
    <t>6B52022AS773</t>
  </si>
  <si>
    <t>6B53032AS772</t>
  </si>
  <si>
    <t>6B53232AS771</t>
  </si>
  <si>
    <t>Pluz Energía</t>
  </si>
  <si>
    <t>08400425ES00</t>
  </si>
  <si>
    <t>US195325ES00</t>
  </si>
  <si>
    <t>MBONO 2042</t>
  </si>
  <si>
    <t>BEX</t>
  </si>
  <si>
    <t>12583329AC04</t>
  </si>
  <si>
    <t>USL67359AC04</t>
  </si>
  <si>
    <t>NEXA 6.6 04/08/</t>
  </si>
  <si>
    <t>BBVA 2033</t>
  </si>
  <si>
    <t>2100022V2J35</t>
  </si>
  <si>
    <t>US05971V2J35</t>
  </si>
  <si>
    <t>BCP2035</t>
  </si>
  <si>
    <t>2258402PAE36</t>
  </si>
  <si>
    <t>USP5300PAE36</t>
  </si>
  <si>
    <t>HNTOIL2038</t>
  </si>
  <si>
    <t>23583412503D</t>
  </si>
  <si>
    <t>PEP16997V315</t>
  </si>
  <si>
    <t>ECSCP2CP3D</t>
  </si>
  <si>
    <t>23200912503C</t>
  </si>
  <si>
    <t>PEP70252V110</t>
  </si>
  <si>
    <t>LUSUR4CP3C</t>
  </si>
  <si>
    <t>HOC</t>
  </si>
  <si>
    <t>2083</t>
  </si>
  <si>
    <t>5270604F1743</t>
  </si>
  <si>
    <t>LU2343117433</t>
  </si>
  <si>
    <t>7060</t>
  </si>
  <si>
    <t>5271112EB614</t>
  </si>
  <si>
    <t>US46429B6149</t>
  </si>
  <si>
    <t>7393</t>
  </si>
  <si>
    <t>7528</t>
  </si>
  <si>
    <t>7552</t>
  </si>
  <si>
    <t>7684</t>
  </si>
  <si>
    <t>6058862AT669</t>
  </si>
  <si>
    <t>DPZDOL360</t>
  </si>
  <si>
    <t>5886</t>
  </si>
  <si>
    <t>6058862AT675</t>
  </si>
  <si>
    <t>6058862AT674</t>
  </si>
  <si>
    <t>6000381AT666</t>
  </si>
  <si>
    <t>6000381AT696</t>
  </si>
  <si>
    <t>6000381AT695</t>
  </si>
  <si>
    <t>6058361AT677</t>
  </si>
  <si>
    <t>6000381AT676</t>
  </si>
  <si>
    <t>6000381AT697</t>
  </si>
  <si>
    <t>6058361AT673</t>
  </si>
  <si>
    <t>6000381AT672</t>
  </si>
  <si>
    <t>6058361AT671</t>
  </si>
  <si>
    <t>6000381AT670</t>
  </si>
  <si>
    <t>6000111AS974</t>
  </si>
  <si>
    <t>6000091AT010</t>
  </si>
  <si>
    <t>6000091AT027</t>
  </si>
  <si>
    <t>6000111AT355</t>
  </si>
  <si>
    <t>6000111AT399</t>
  </si>
  <si>
    <t>63003812501E</t>
  </si>
  <si>
    <t>PEP12100Q229</t>
  </si>
  <si>
    <t>BIF5CD1E</t>
  </si>
  <si>
    <t>63004912501D</t>
  </si>
  <si>
    <t>PEP16900Q087</t>
  </si>
  <si>
    <t>GNB3CD1D</t>
  </si>
  <si>
    <t>6B52022AT682</t>
  </si>
  <si>
    <t>6B53232AT681</t>
  </si>
  <si>
    <t>6B53232AT680</t>
  </si>
  <si>
    <t>6B53232AT679</t>
  </si>
  <si>
    <t>6B57552AT678</t>
  </si>
  <si>
    <t>6B52022AT703</t>
  </si>
  <si>
    <t>6B53232AT705</t>
  </si>
  <si>
    <t>6B53232AT704</t>
  </si>
  <si>
    <t>6B53032AT684</t>
  </si>
  <si>
    <t>6B53232AT683</t>
  </si>
  <si>
    <t>6B52022AT709</t>
  </si>
  <si>
    <t>6B52022AT708</t>
  </si>
  <si>
    <t>6B53032AT707</t>
  </si>
  <si>
    <t>6B53032AT706</t>
  </si>
  <si>
    <t>6B53232AT711</t>
  </si>
  <si>
    <t>6B52022AT688</t>
  </si>
  <si>
    <t>6B52022AT687</t>
  </si>
  <si>
    <t>6B57652AT686</t>
  </si>
  <si>
    <t>6B53032AT685</t>
  </si>
  <si>
    <t>6B57632AT692</t>
  </si>
  <si>
    <t>6B57652AT690</t>
  </si>
  <si>
    <t>6B53232AT689</t>
  </si>
  <si>
    <t>6B53032AT714</t>
  </si>
  <si>
    <t>6B53032AT713</t>
  </si>
  <si>
    <t>6B53232AT712</t>
  </si>
  <si>
    <t>6B53232AT702</t>
  </si>
  <si>
    <t>6B53232AT701</t>
  </si>
  <si>
    <t>6B53232AT700</t>
  </si>
  <si>
    <t>6B57552AT699</t>
  </si>
  <si>
    <t>6B52022AT693</t>
  </si>
  <si>
    <t>6B57644AT698</t>
  </si>
  <si>
    <t>6B57644AT691</t>
  </si>
  <si>
    <t>6B58504AT710</t>
  </si>
  <si>
    <t>India Small-Cap</t>
  </si>
  <si>
    <t>AIRR US - First Trust American Industrial Rennaisance</t>
  </si>
  <si>
    <t>5275122EE103</t>
  </si>
  <si>
    <t>AENZA S.A.A.</t>
  </si>
  <si>
    <t>Construction &amp; Engineering</t>
  </si>
  <si>
    <t>US00776D2027</t>
  </si>
  <si>
    <t>USP0091FAB50</t>
  </si>
  <si>
    <t>2220292FAB50</t>
  </si>
  <si>
    <t>iShares MSCI India Small-Cap ETF</t>
  </si>
  <si>
    <t>VanEck Digital Transformation ETF</t>
  </si>
  <si>
    <t>US92189H8218</t>
  </si>
  <si>
    <t>5270652EH821</t>
  </si>
  <si>
    <t>GS Gbl SrLoan Lux-I Cap USD (HG i)</t>
  </si>
  <si>
    <t>LU0426533492</t>
  </si>
  <si>
    <t>US91087BAR15</t>
  </si>
  <si>
    <t>0840052BAR15</t>
  </si>
  <si>
    <t>iShares ? High Yield Corp Bond UCITS ETF EUR D</t>
  </si>
  <si>
    <t>IE00B66F4759</t>
  </si>
  <si>
    <t>5270734EF475</t>
  </si>
  <si>
    <t>Nordea 1 Emerging Stainable Stars Equity BI EUR</t>
  </si>
  <si>
    <t>Nordea 1 Emerging Stainable Stars Equity BI USD</t>
  </si>
  <si>
    <t>US912810UD80</t>
  </si>
  <si>
    <t>0840002E6288</t>
  </si>
  <si>
    <t>US912810UE63</t>
  </si>
  <si>
    <t>08400020UE63</t>
  </si>
  <si>
    <t>US912810UG12</t>
  </si>
  <si>
    <t>08400020UG12</t>
  </si>
  <si>
    <t>US91282CMA61</t>
  </si>
  <si>
    <t>0840002CMA61</t>
  </si>
  <si>
    <t>MSIF Emerging Leaders Equity Fund Z USD Acc</t>
  </si>
  <si>
    <t>US195325EA91</t>
  </si>
  <si>
    <t>08400425EA91</t>
  </si>
  <si>
    <t>US195325EQ44</t>
  </si>
  <si>
    <t>08400425EQ44</t>
  </si>
  <si>
    <t>UBS MSCI EMU Small Cap Index Fund EUR I-B acc</t>
  </si>
  <si>
    <t>HSBC US Dollar Liquidity Fund H</t>
  </si>
  <si>
    <t>IE00BYYJHR67</t>
  </si>
  <si>
    <t>HSBC US Dollar Liquidity Fund L</t>
  </si>
  <si>
    <t>IE00BYYJHW11</t>
  </si>
  <si>
    <t>UBS MSCI EMU Small Cap Index Fund EUR I-A acc</t>
  </si>
  <si>
    <t>Candriam Bonds Global High Yield I USD H C</t>
  </si>
  <si>
    <t>LU1599350359</t>
  </si>
  <si>
    <t>52CAND2F5035</t>
  </si>
  <si>
    <t>Invesco India Equity S USD Acc</t>
  </si>
  <si>
    <t>LU1701697515</t>
  </si>
  <si>
    <t>5274082F9751</t>
  </si>
  <si>
    <t>USP1400MAE86</t>
  </si>
  <si>
    <t>1551192MAE86</t>
  </si>
  <si>
    <t>Barings Emerging Markets Local Debt B USD Acc</t>
  </si>
  <si>
    <t>BlackRock Advantage Europe Equity D Acc GBP Hedged</t>
  </si>
  <si>
    <t>BGF World Technology Fund I2 USD</t>
  </si>
  <si>
    <t>5277336FQVT8</t>
  </si>
  <si>
    <t>TREN URBANO DE LIMA S.A.</t>
  </si>
  <si>
    <t>XS1144471023</t>
  </si>
  <si>
    <t xml:space="preserve">Δ abs Huella </t>
  </si>
  <si>
    <t>Δ  % Huella</t>
  </si>
  <si>
    <t>Δ % MM</t>
  </si>
  <si>
    <t>Δ Intensidad</t>
  </si>
  <si>
    <t>Empresa</t>
  </si>
  <si>
    <t>Paso 0</t>
  </si>
  <si>
    <t>Verificar que las siguientes variables a utilizar se encuentran activas.</t>
  </si>
  <si>
    <t>* CARBON_GOVERNMENT_GHG_INTENSITY_KG_PPP_MR</t>
  </si>
  <si>
    <t>* CARBON_EMISSIONS_EVIC_SCOPE_12_INTEN</t>
  </si>
  <si>
    <t>* FUND_WEIGHTED_AVG_CARBON_INTEN</t>
  </si>
  <si>
    <t>Actualizar la data de MSCI en la corrida mensual. En el paso 14 del Excel de actualización MSCI se descarga el Excel "Base MSCI (Sob + ETF + BU)" en la siguiente ruta:</t>
  </si>
  <si>
    <t xml:space="preserve">Luego de verificar que el mes deseado este en la base de datos, ir al sheet "BD(MSCI)" y borrar todo para abajo desde la columna B hasta la V. </t>
  </si>
  <si>
    <t xml:space="preserve">En el mismo rango anterior, copiar la hoja de Base MSCI. </t>
  </si>
  <si>
    <t>PEP16997V257</t>
  </si>
  <si>
    <t>Manual de Actualización de CO2- Huella e Intensidad</t>
  </si>
  <si>
    <t>Resumen:</t>
  </si>
  <si>
    <t>Paso 3</t>
  </si>
  <si>
    <t>En caso haya nuevos emisores, estos saldrán como "#N/A" en la base. Esto significa que se deben añadir en la parametría.</t>
  </si>
  <si>
    <t>Instrucciones:</t>
  </si>
  <si>
    <t>Ir a la pestaña "Valorización de Instrumentos". Esta tiene el querry del SIT con los activos en la cartera a la fecha indicada. Con ello, en la celda B2 se deberá cambiar la fecha a la fecha que uno quiera actualizar. Siguiendo el formato "AÑOMESDIA". Luego, en la columna portafolio, filtrar "IN-FONDO0"</t>
  </si>
  <si>
    <t>Paso 3.1: Actualizando la Parametría</t>
  </si>
  <si>
    <t>Codigo</t>
  </si>
  <si>
    <t>RANKEST</t>
  </si>
  <si>
    <t>A mano</t>
  </si>
  <si>
    <t>1.  Se debe copiar el SBS que aparece en el sheet "Valorización de Instrumentos" del emisor que no se encuentra en la parametría, y pegarlo en el sheet "Parametria".</t>
  </si>
  <si>
    <t>Clasificación</t>
  </si>
  <si>
    <t>Paso 4</t>
  </si>
  <si>
    <t>Ahora toca ver que emisores no cuentan con huella en MSCI. Dado que se borro todo el sheet en "BD(MSCI)" solo quedan aquellos que están correctamente mapeados en MSCI.  Para esto se deberá ir a la columna AJ ("CO2-H") y filtrar para que solo aparezcan los resultados de las empresas con 0. Hay 4 razones por las cuales no tendría huella:</t>
  </si>
  <si>
    <t xml:space="preserve">1) El ISIN que contamos nosotros no coincide con el de MSCI, pero hay una emisión de la misma compañía que sí está mapeada correctamente. Lo que se debe hacer es buscar el nombre de la empresa en BD(MSCI). Copiar su fila, y añadirla debajo de la base con el ISIN y SBS de la emisión no mapeada. </t>
  </si>
  <si>
    <t>4.  Repetir hasta que no hayan más "#N/A". Recomendación aplicar un filtro para "#N/A" en la columna nombre para solo ver los que no cuentan con parametría. También recomiendo, mantener cash en la parte inferior de la parametría para mantener orden.</t>
  </si>
  <si>
    <t>Estas luego el código las agrupa en la columna "CO2/Debt (Intensidad)" en el excel de "Base MSCI (Sob + ETF + BU)"</t>
  </si>
  <si>
    <t>2. La única fila que se debe actualizar de manera manual es la morada. Aquí se debe colocar a que estrategia le corresponde el emisor (BU, TD, GOB y ALT). La mayoría de las acciones de empresas y bonos corporativos corresponden a BU. Los fondos mutuos y ETFs, a TD. Los bonos de gobiernos a GOB. Para Alts, por el momento no debería de haber nuevas emisiones. De igual manera usar como referencia la columna "Grupo" en el sheet de "Valorización de Instrumentos".</t>
  </si>
  <si>
    <t xml:space="preserve">3. Para aquellos que son DPZ y CDLP son categorizados como CASH en la columna morada. </t>
  </si>
  <si>
    <t>(Nuevo)</t>
  </si>
  <si>
    <t xml:space="preserve">4) Finalmente, solo deberían quedar como emisiones sin huella los depósitos a plazo. Estos son considerados cash con lo cual no tienen huella. </t>
  </si>
  <si>
    <t xml:space="preserve">Si no aparece ningún error. Se actualizó correctamente la base de huella de carbono. </t>
  </si>
  <si>
    <r>
      <t xml:space="preserve">3) Si es que sigue sin huella, verificar si esta se encuentra en la pestaña "Perdieron Huella". Hay emisores que recientemente contaban con huella en MSCI; sin embargo, al perder cobertura se les ha retirado. Dado que su intensidad pasada es más exacta que el uso de un proxy, se deberá copiar la intensidad anterior al final de la base. La huella que se utilizará es la que aparece en el reporte de cierre de año anterior. </t>
    </r>
    <r>
      <rPr>
        <sz val="10"/>
        <color rgb="FFC00000"/>
        <rFont val="Trebuchet MS"/>
        <family val="2"/>
      </rPr>
      <t>Regla: Esto solo aplica para un año desde la perdida de huella. Es decir, si se encuentra en el 2025, se aplicará la intensidad que contaba el emisor en el reporte del cierre del 2024. Si es que para la medición de la huella del cierre del 2025 sigue sin contar con huella, se procede a añadirla a la base de proxies.</t>
    </r>
  </si>
  <si>
    <t>El objetivo de la base es medir de manera correcta la huella de carbono del portafolio (Scope 1+2) incluyendo RV, RF, y Alternativos. Obteniendo un porcentaje de cobertura del ~99% en los últimos meses. Este proceso es parte de la actualización mensual de ESG; sin embargo, su reporte se realiza de manera trimestral para el comité de inversiones, Semestral para el comité de riesgos (Reporte de Gestión climática), y para los comités semestrales de inversión (Presentación Inversión Sostenible). La metodología, detallada líneas abajo, consiste en la descarga de la intensidad de carbono (CO2/MM) de la plataforma MSCI (parte del proceso mensual) y multiplicar esta por el monto invertido. Sumando todo se obtiene la huella de carbono del portafolio.</t>
  </si>
  <si>
    <t>2) Si siguen sin aparecer se deberá pegar la base de proxies abajo. Esta se deberá actualizar siguiendo los pasos que se encuentran en el Anexo 2.  Si aún aparecen emisores sin huella esto puede deberse a que o son nuevas emisiones que no tienen huella en MSCI, o son emisiones que han perdido su huella recientemente.  Si es el primer caso estas se deberán añadir a la base de Proxies, y añadir nuevamente los proxies a la pestaña "BD(MSCI)". Si es el segundo caso, seguir con el próximo paso.</t>
  </si>
  <si>
    <t>CARBON_GOVERNMENT_GHG_INTENSITY_KG_PPP_MR</t>
  </si>
  <si>
    <t>Anexos</t>
  </si>
  <si>
    <t>Como se explico previamente la información sobre la huella de carbono se obtiene principalmente de la base de datos de MSCI. Esta se descarga en la actualización mensual de los reportes de ESG. Las variables de interés que capturan la huella de las empresas, bonos, y fondos que tenemos en la cartera son las siguientes:</t>
  </si>
  <si>
    <t>Anexo 1: Factores</t>
  </si>
  <si>
    <t>Anexo 2: Metodología de proxies</t>
  </si>
  <si>
    <t>Para aquellos emisores que no cuenten con huella en MSCI, se ha desarrollado la metodología de proxies.  Esta busca aproximar la intensidad del emisor haciendo uso de un ETF representativo que cuente con huella. El supuesto detrás se basa en que la huella de un ETF representativo debería ser similar a la de una empresa en el sector.</t>
  </si>
  <si>
    <t>Z:\Mesa de Inversiones\Bottom-Up\2 Proceso de Inversión Renta Fija\Corporates - Emisiones\Crédito - BU\3. ESG\9. ESG Manager - MSCI\2. Reportes\Medición Huella de Carbono\Huella Total  (SURA e Integra)\Medición Emisores Sin Huella\2025</t>
  </si>
  <si>
    <t>Cuando, una vez, aplicado el proceso anterior, aun quedan emisores sin huella. Estos deberán ser añadidos en el siguiente Excel.</t>
  </si>
  <si>
    <t>(Dado que la ruta es muy larga, no se podrá abrir en la ruta. Se deberá copiar a una ruta más pequeña/ desktop/ descargas donde sí se pueda ver.)</t>
  </si>
  <si>
    <t>El documento cuenta con los siguientes sheets, uno por cada tipo de estrategia y uno para pegar la base de datos.</t>
  </si>
  <si>
    <t>Los 3 sheets de estrategía siguen la misma estructura, y es ahí donde se deberán pegar los emisores que sigan sin huella al finalizar el proceso de actualización. Se han elegido como proxies a los ETFs sectoriales globales de iShares para las empresas que no cuenten con huella. Mientras que para los fondos alternativos, se han elegido diversos fondos (tambien de iShares) para cada una de las posibles estrategías del fondo y ubicación. Para los fondos de TD, se suele buscar uno comparable que cuente con huella en MSCI.</t>
  </si>
  <si>
    <t>1. Pegar en el sheet correspondiente a su estrategia el nuevo emisor que requiera proxy.  Se requiere llenar la siguiente información: Grupo, Codigo SBS, Codigo ISIN, Asset Class, id_Qest, Nombre. (Toda esta info se saca de la pestaña "Valorización de empresa"). Para las columnas en rosado, se deberá llenar bajo criterio propio. Para la columna "tiene huella" colocar "No" . Para "Sector Empresa" se deberá buscar a que sector pertenece la empresa. Finalmente, para "Proxy" se deberá colocar el nombre completo del proxy que le corresponde. La columna "Intensidad Proxy", solo copiar la formula de arriba.</t>
  </si>
  <si>
    <t>2. Descargar de MSCI, la base de proxies. Esta ya se encuentra creada, en caso se requiera añadir uno adicional modificar la base.</t>
  </si>
  <si>
    <t>Factor:</t>
  </si>
  <si>
    <t>Portafolio:</t>
  </si>
  <si>
    <t>3.Los proxies descargados pegarlos en el sheet "MSCI". Con esto se debería actualizar de manera automatica las intensidades de los proxies en cada uno de los sheets.</t>
  </si>
  <si>
    <r>
      <t xml:space="preserve">4. A la parte derecha de cada uno de los sheets de estrategia se encuentra una replica del view de "BD(MSCI)", copiar y pegar </t>
    </r>
    <r>
      <rPr>
        <sz val="10"/>
        <color rgb="FFEE0000"/>
        <rFont val="Trebuchet MS"/>
        <family val="2"/>
      </rPr>
      <t>DEBAJO</t>
    </r>
    <r>
      <rPr>
        <sz val="10"/>
        <rFont val="Trebuchet MS"/>
        <family val="2"/>
      </rPr>
      <t xml:space="preserve"> de la base de MSCI. </t>
    </r>
  </si>
  <si>
    <t>Ir al sheet "Final", presionar en la tabla pivot y refrescar. Luego, presionar en el botón de actualizar y volver a refrescar.</t>
  </si>
  <si>
    <t>Mixed Asset USD Flexible - Global</t>
  </si>
  <si>
    <t>Aura Minerals Inc.</t>
  </si>
  <si>
    <t>VGG069731120</t>
  </si>
  <si>
    <t>Equity Emerging Markets Global</t>
  </si>
  <si>
    <t>State Street Materials Select Sector SPDR ETF</t>
  </si>
  <si>
    <t>State Street Health Care Select Sector SPDR ETF</t>
  </si>
  <si>
    <t>State Street Cons Staples Sel Sec SPDR Inc ETF</t>
  </si>
  <si>
    <t>State Street Cons Disc Sel Sect SPDR Income ETF</t>
  </si>
  <si>
    <t>State Street Energy Select Sector SPDR ETF</t>
  </si>
  <si>
    <t>State Street Financial Sel Sec SPDR ETF</t>
  </si>
  <si>
    <t>State Street Industrial Select Sector SPDR ETF</t>
  </si>
  <si>
    <t>State Street Technology Select Sector SPDR ETF</t>
  </si>
  <si>
    <t>Equity Sector Information Technology</t>
  </si>
  <si>
    <t>State Street Utilities Select Sector SPDR ETF</t>
  </si>
  <si>
    <t>Integratel Peru S.A.A.</t>
  </si>
  <si>
    <t>Ferreycorp S.A.A</t>
  </si>
  <si>
    <t>Trading Companies &amp; Distributors</t>
  </si>
  <si>
    <t>Equity Emerging Markets Latin America</t>
  </si>
  <si>
    <t>3920836W5029</t>
  </si>
  <si>
    <t>SPDR Portfolio S&amp;P 500 ETF</t>
  </si>
  <si>
    <t>US78464A8541</t>
  </si>
  <si>
    <t>5273932EA854</t>
  </si>
  <si>
    <t>US05890PAC05</t>
  </si>
  <si>
    <t>1551512PAC05</t>
  </si>
  <si>
    <t>State Street SPDR S&amp;P Homebuilders ETF</t>
  </si>
  <si>
    <t>State Street SPDR S&amp;P Biotech ETF</t>
  </si>
  <si>
    <t>USP0161KEA71</t>
  </si>
  <si>
    <t>2220111KEA71</t>
  </si>
  <si>
    <t>Equity Sector Gold &amp; Precious Metals</t>
  </si>
  <si>
    <t>State Street SPDR S&amp;P Metals &amp; Mining ETF</t>
  </si>
  <si>
    <t>State Street SPDR S&amp;P Oil &amp; Gas Expl &amp; Prod ETF</t>
  </si>
  <si>
    <t>State Street PDR S&amp;P Retail ETF</t>
  </si>
  <si>
    <t>State Street SPDR S&amp;P Regional Banking ETF</t>
  </si>
  <si>
    <t>US05971V2K08</t>
  </si>
  <si>
    <t>2100022V2K08</t>
  </si>
  <si>
    <t>iShares 0-1 Year Treasury Bond ETF</t>
  </si>
  <si>
    <t>Cemex, S.A.B. de C.V.</t>
  </si>
  <si>
    <t>USP2253TJW01</t>
  </si>
  <si>
    <t>1254072TJW01</t>
  </si>
  <si>
    <t>State Street SPDR Bloomberg 1-3 Month T-Bill ETF</t>
  </si>
  <si>
    <t>State Street SPDR Bloomberg High Yield Bond ETF</t>
  </si>
  <si>
    <t>iShares MSCI ACWI ex US ETF</t>
  </si>
  <si>
    <t>US4642882405</t>
  </si>
  <si>
    <t>5271112E8240</t>
  </si>
  <si>
    <t>GRUPO NUTRESA S.A.</t>
  </si>
  <si>
    <t>USP4R21KAA49</t>
  </si>
  <si>
    <t>1254342KAA49</t>
  </si>
  <si>
    <t>USP4R21KAB22</t>
  </si>
  <si>
    <t>1254342KAB22</t>
  </si>
  <si>
    <t>Equity Emerging Markets Other</t>
  </si>
  <si>
    <t>Global X MSCI Argentina ETF</t>
  </si>
  <si>
    <t>US37950E2596</t>
  </si>
  <si>
    <t>5275282EE259</t>
  </si>
  <si>
    <t>Argentina</t>
  </si>
  <si>
    <t>Equity Argentina</t>
  </si>
  <si>
    <t>Global X Silver Miners ETF</t>
  </si>
  <si>
    <t>US37954Y8488</t>
  </si>
  <si>
    <t>5275282EY848</t>
  </si>
  <si>
    <t>Global X Uranium ETF</t>
  </si>
  <si>
    <t>US37954Y8710</t>
  </si>
  <si>
    <t>5275282EY871</t>
  </si>
  <si>
    <t>Equity Other</t>
  </si>
  <si>
    <t>VanEck Emerging Markets High Yield Bond ETF</t>
  </si>
  <si>
    <t>US92189F3534</t>
  </si>
  <si>
    <t>5270652EF353</t>
  </si>
  <si>
    <t>5273932EV608</t>
  </si>
  <si>
    <t>Vanguard Emerging Markets Govt Bd Idx;ETF</t>
  </si>
  <si>
    <t>US9219468850</t>
  </si>
  <si>
    <t>5270172E6885</t>
  </si>
  <si>
    <t>iShares Low Carbon Optimized MSCI ACWI ETF</t>
  </si>
  <si>
    <t>State Street Com Svc Sel Sec SPDR ETF</t>
  </si>
  <si>
    <t>Global X Data Center &amp; Digital Infrastructure</t>
  </si>
  <si>
    <t>US37954Y2366</t>
  </si>
  <si>
    <t>5275282EY236</t>
  </si>
  <si>
    <t>iShares World ex US Carbon Trans Rdns Awr Act ETF</t>
  </si>
  <si>
    <t>iShares US Carbon Transition Readiness Awr Act ETF</t>
  </si>
  <si>
    <t>PIMCO Senior Loan Active Exchange-Traded Fund</t>
  </si>
  <si>
    <t>US72201R6273</t>
  </si>
  <si>
    <t>5277252EA854</t>
  </si>
  <si>
    <t>WisdomTree US Quality Growth Fund</t>
  </si>
  <si>
    <t>US97717Y4778</t>
  </si>
  <si>
    <t>5272872EY477</t>
  </si>
  <si>
    <t>Mixed Asset USD Balanced - Global</t>
  </si>
  <si>
    <t>GAM Star (Lux) - Emerging Markets Bond Opps-USD C</t>
  </si>
  <si>
    <t>Vontobel Fund Emerging Markets Eq B USD</t>
  </si>
  <si>
    <t>Wellington US Research Equity USD S AccU</t>
  </si>
  <si>
    <t>Equity Emerging Markets Europe</t>
  </si>
  <si>
    <t>BGF World Healthscience Fund A2 USD</t>
  </si>
  <si>
    <t>Equity Europe Income</t>
  </si>
  <si>
    <t>USP58072BA92</t>
  </si>
  <si>
    <t>12535622BA92</t>
  </si>
  <si>
    <t>CCC</t>
  </si>
  <si>
    <t>Vontobel Fund - European Equity B EUR Acc</t>
  </si>
  <si>
    <t>Credicorp Capital Sociedad Titulizadora S.A.</t>
  </si>
  <si>
    <t>US224939AB41</t>
  </si>
  <si>
    <t>27020219AB41</t>
  </si>
  <si>
    <t>Equity Emerging Markets Asia</t>
  </si>
  <si>
    <t>USP4R53VAC78</t>
  </si>
  <si>
    <t>5953042VAC78</t>
  </si>
  <si>
    <t>Man Japan CoreAlpha Professional Acc C</t>
  </si>
  <si>
    <t>PEP01000C5K6</t>
  </si>
  <si>
    <t>011000112G35</t>
  </si>
  <si>
    <t>Bond Emerging Markets Latin America</t>
  </si>
  <si>
    <t>5270882F56110</t>
  </si>
  <si>
    <t>0110001PEB40</t>
  </si>
  <si>
    <t>Jupiter European Select I EUR Acc</t>
  </si>
  <si>
    <t>US715638FC12</t>
  </si>
  <si>
    <t>01100028FC12</t>
  </si>
  <si>
    <t>US715638FD94</t>
  </si>
  <si>
    <t>01100028FD94</t>
  </si>
  <si>
    <t>Republic of South Africa</t>
  </si>
  <si>
    <t>ZAG000125972</t>
  </si>
  <si>
    <t>084015T25972</t>
  </si>
  <si>
    <t>ZA</t>
  </si>
  <si>
    <t>BGF Emerging Markets Bond Fund D2 USD</t>
  </si>
  <si>
    <t>MSIF European High Yield Bond Fund Z EUR Acc</t>
  </si>
  <si>
    <t>BlueBay Em Mkt Unconstrained Bd I USD</t>
  </si>
  <si>
    <t>LU1167331617</t>
  </si>
  <si>
    <t>5275112F3161</t>
  </si>
  <si>
    <t>US91087BAQ32</t>
  </si>
  <si>
    <t>0840052BAQ32</t>
  </si>
  <si>
    <t>US91087BBC37</t>
  </si>
  <si>
    <t>0840052BBC37</t>
  </si>
  <si>
    <t>US91087BBD10</t>
  </si>
  <si>
    <t>0840052BBD10</t>
  </si>
  <si>
    <t>Jupiter Global Macro Bond Fund I GBP Acc</t>
  </si>
  <si>
    <t>GB00B1XG8G39</t>
  </si>
  <si>
    <t>5274566FG8G3</t>
  </si>
  <si>
    <t>Absolute Return Bond GBP</t>
  </si>
  <si>
    <t>US91087BBE92</t>
  </si>
  <si>
    <t>0840052BBE92</t>
  </si>
  <si>
    <t>US91087BBF67</t>
  </si>
  <si>
    <t>0840052BBF67</t>
  </si>
  <si>
    <t>Equity Emerging Markets Global Sm&amp;Mid Cap</t>
  </si>
  <si>
    <t>JPM Korea Equity I Acc USD</t>
  </si>
  <si>
    <t>LU0301639745</t>
  </si>
  <si>
    <t>5270882F3974</t>
  </si>
  <si>
    <t>Mixed Asset EUR Flexible - Global</t>
  </si>
  <si>
    <t>US912810UK24</t>
  </si>
  <si>
    <t>08400020UK24</t>
  </si>
  <si>
    <t>US912828Z948</t>
  </si>
  <si>
    <t>08400028Z948</t>
  </si>
  <si>
    <t>M&amp;G Global High Yield Bond GBP R Acc</t>
  </si>
  <si>
    <t>Mixed Asset EUR Balanced - Global</t>
  </si>
  <si>
    <t>US91282CMK44</t>
  </si>
  <si>
    <t>0840002CMK44</t>
  </si>
  <si>
    <t>US91282CMM00</t>
  </si>
  <si>
    <t>0840002CMM00</t>
  </si>
  <si>
    <t>US91282CNC19</t>
  </si>
  <si>
    <t>0840002CNC19</t>
  </si>
  <si>
    <t>US91282CNG23</t>
  </si>
  <si>
    <t>0840002CNG23</t>
  </si>
  <si>
    <t>5274812ASHFM</t>
  </si>
  <si>
    <t>US91282CNS60</t>
  </si>
  <si>
    <t>0840002CNS60</t>
  </si>
  <si>
    <t>52GAML4FTFW2</t>
  </si>
  <si>
    <t>Robeco QI Emerging Markets Active Equities I USD</t>
  </si>
  <si>
    <t>LU0858455784</t>
  </si>
  <si>
    <t>5273882F5578</t>
  </si>
  <si>
    <t>US105756CL22</t>
  </si>
  <si>
    <t>08400326CL22</t>
  </si>
  <si>
    <t>Vontobel Fund Emerging Mkts Debt I USD</t>
  </si>
  <si>
    <t>Mixed Asset MXN Flexible</t>
  </si>
  <si>
    <t>COL17CT03995</t>
  </si>
  <si>
    <t>084004F03995</t>
  </si>
  <si>
    <t>5274812EMDBT</t>
  </si>
  <si>
    <t>COL17CT04001</t>
  </si>
  <si>
    <t>084004F04001</t>
  </si>
  <si>
    <t>COL17CT04084</t>
  </si>
  <si>
    <t>084004F04084</t>
  </si>
  <si>
    <t>5277445FGVH8</t>
  </si>
  <si>
    <t>Jupiter European Select D GBP Acc</t>
  </si>
  <si>
    <t>Global Evolution Funds-Frontier Markets I USD</t>
  </si>
  <si>
    <t>US195325EP60</t>
  </si>
  <si>
    <t>084004F5EP60</t>
  </si>
  <si>
    <t>US195325ER27</t>
  </si>
  <si>
    <t>08400425ER27</t>
  </si>
  <si>
    <t>XS3183160236</t>
  </si>
  <si>
    <t>084004460236</t>
  </si>
  <si>
    <t>CL0002187822</t>
  </si>
  <si>
    <t>084006C87822</t>
  </si>
  <si>
    <t>DGC - QIC GCC Equity A-USD</t>
  </si>
  <si>
    <t>LU1121648981</t>
  </si>
  <si>
    <t>5275562F4898</t>
  </si>
  <si>
    <t>GCC</t>
  </si>
  <si>
    <t>Equity GCC</t>
  </si>
  <si>
    <t>Nomura Funds Ireland - India Equity I USD</t>
  </si>
  <si>
    <t>Vontobel Fund Emerging Mkts Blend I USD</t>
  </si>
  <si>
    <t>Vontobel Fd TF Strategic Inc Fd G GBP</t>
  </si>
  <si>
    <t>LU1322871713</t>
  </si>
  <si>
    <t>5270492F7171</t>
  </si>
  <si>
    <t>Bond Global GBP</t>
  </si>
  <si>
    <t>5270496F7171</t>
  </si>
  <si>
    <t>5274172F5035</t>
  </si>
  <si>
    <t>UBS (Lux) Digital Health Eqty Fd I-A1-acc</t>
  </si>
  <si>
    <t>Edmond de Rothschild Emerging Credit K USD</t>
  </si>
  <si>
    <t>Vontobel Fund mtx EM Leaders G USD Acc</t>
  </si>
  <si>
    <t>Candriam Bonds Global High Yield S EUR C</t>
  </si>
  <si>
    <t>LU1797525737</t>
  </si>
  <si>
    <t>5274172FF284</t>
  </si>
  <si>
    <t>5274174FF284</t>
  </si>
  <si>
    <t>Bond Subordinated</t>
  </si>
  <si>
    <t>5274172CACEL</t>
  </si>
  <si>
    <t>PEP16880M072</t>
  </si>
  <si>
    <t>25210512502A</t>
  </si>
  <si>
    <t>BlackRock Global Unconstrained Eq D Acc USD</t>
  </si>
  <si>
    <t>IE00BK70NJ20</t>
  </si>
  <si>
    <t>5270732F0NJ2</t>
  </si>
  <si>
    <t>PEP16880M080</t>
  </si>
  <si>
    <t>25210512503A</t>
  </si>
  <si>
    <t>527417246594</t>
  </si>
  <si>
    <t>UBS (Lux) Digital Health Eqty Fd I-A2-acc</t>
  </si>
  <si>
    <t>Aegon High Yield Global Bond Fund USD X Acc</t>
  </si>
  <si>
    <t>IE00BMC6R191</t>
  </si>
  <si>
    <t>5277402F6R19</t>
  </si>
  <si>
    <t>Invesco NASDAQ-100 Swap UCITS ETF Acc</t>
  </si>
  <si>
    <t>IE00BNRQM384</t>
  </si>
  <si>
    <t>5275322EQM38</t>
  </si>
  <si>
    <t>Vontobel Fund Credit Opportunities I USD</t>
  </si>
  <si>
    <t>LU2416422678</t>
  </si>
  <si>
    <t>5270492F2267</t>
  </si>
  <si>
    <t>Absolute Return Bond USD</t>
  </si>
  <si>
    <t>5274812F6472</t>
  </si>
  <si>
    <t>BGF Japan Flexible Equity Fund I2 EUR</t>
  </si>
  <si>
    <t>Jupiter Global High Yield Bond L USD ACC HSC</t>
  </si>
  <si>
    <t>LU1981108506</t>
  </si>
  <si>
    <t>5277022F0850</t>
  </si>
  <si>
    <t>USP56243AE14</t>
  </si>
  <si>
    <t>27211723AE14</t>
  </si>
  <si>
    <t>DNCA Invest - Alpha Bonds H-WI USD</t>
  </si>
  <si>
    <t>LU2536832368</t>
  </si>
  <si>
    <t>5277512F3236</t>
  </si>
  <si>
    <t>Absolute Return Bond EUR</t>
  </si>
  <si>
    <t>AZ Fd 3 AZ Bd - Frtr Mrkts Dbt A-Inst USD Cap</t>
  </si>
  <si>
    <t>LU2219663098</t>
  </si>
  <si>
    <t>5276802F6309</t>
  </si>
  <si>
    <t>Candriam Bonds Global High Yield SH USD C</t>
  </si>
  <si>
    <t>LU2620728431</t>
  </si>
  <si>
    <t>5274172F2843</t>
  </si>
  <si>
    <t>Invesco Nasdaq 100 Equal Weight UCITS ETF Acc</t>
  </si>
  <si>
    <t>IE000L2SA8K5</t>
  </si>
  <si>
    <t>5275322ESA8K</t>
  </si>
  <si>
    <t>PEP16997M017</t>
  </si>
  <si>
    <t>25583412504A</t>
  </si>
  <si>
    <t>PAPELES COMERCIALES</t>
  </si>
  <si>
    <t>Hudbay Minerals Inc.</t>
  </si>
  <si>
    <t>CA4436281022</t>
  </si>
  <si>
    <t>345445781022</t>
  </si>
  <si>
    <t>395445281022</t>
  </si>
  <si>
    <t>31/12/2025</t>
  </si>
  <si>
    <t>SB12G35</t>
  </si>
  <si>
    <t>CHL2035</t>
  </si>
  <si>
    <t>BTPCL 6 04/01/3</t>
  </si>
  <si>
    <t>BNTNF2027</t>
  </si>
  <si>
    <t>COLTES2046</t>
  </si>
  <si>
    <t>COL2036</t>
  </si>
  <si>
    <t>NUTRE2035</t>
  </si>
  <si>
    <t>5434</t>
  </si>
  <si>
    <t>BBVASM 2035</t>
  </si>
  <si>
    <t>15532427PD99</t>
  </si>
  <si>
    <t>USP0R137PD99</t>
  </si>
  <si>
    <t>DAVIVI2035</t>
  </si>
  <si>
    <t>5324</t>
  </si>
  <si>
    <t>BCICI 7 1/2  PE</t>
  </si>
  <si>
    <t>5151</t>
  </si>
  <si>
    <t>ALI2032</t>
  </si>
  <si>
    <t>22203012504A</t>
  </si>
  <si>
    <t>PEP70101M746</t>
  </si>
  <si>
    <t>PLUZ7BC4A</t>
  </si>
  <si>
    <t>22204726AA03</t>
  </si>
  <si>
    <t>USP73906AA03</t>
  </si>
  <si>
    <t>ORSAPE 6 ¼ 09/1</t>
  </si>
  <si>
    <t>2220091VAC83</t>
  </si>
  <si>
    <t>USP6411VAC83</t>
  </si>
  <si>
    <t>LUZSUR2032</t>
  </si>
  <si>
    <t>23583412501B</t>
  </si>
  <si>
    <t>PEP16997V331</t>
  </si>
  <si>
    <t>ECSCP3CP1B</t>
  </si>
  <si>
    <t>23583412501A</t>
  </si>
  <si>
    <t>PEP16997V323</t>
  </si>
  <si>
    <t>ECSCP3CP1A</t>
  </si>
  <si>
    <t>23583412502A</t>
  </si>
  <si>
    <t>PEP16997V349</t>
  </si>
  <si>
    <t>ECSCP3CP2A</t>
  </si>
  <si>
    <t>23203012501A</t>
  </si>
  <si>
    <t>PEP70101V069</t>
  </si>
  <si>
    <t>PLUZ6PC1A</t>
  </si>
  <si>
    <t>2721171IRSM3</t>
  </si>
  <si>
    <t>CVL800700S24</t>
  </si>
  <si>
    <t>INROCT32</t>
  </si>
  <si>
    <t>INR2032</t>
  </si>
  <si>
    <t>US34988L7029</t>
  </si>
  <si>
    <t>HBM</t>
  </si>
  <si>
    <t>5445</t>
  </si>
  <si>
    <t>5270604F1414</t>
  </si>
  <si>
    <t>LU0646914142</t>
  </si>
  <si>
    <t>7088</t>
  </si>
  <si>
    <t>7751</t>
  </si>
  <si>
    <t>7744</t>
  </si>
  <si>
    <t>ETF PE</t>
  </si>
  <si>
    <t>6004</t>
  </si>
  <si>
    <t>6000032AX864</t>
  </si>
  <si>
    <t>6000032AX863</t>
  </si>
  <si>
    <t>6000031AX831</t>
  </si>
  <si>
    <t>6000091AX829</t>
  </si>
  <si>
    <t>6000871AX862</t>
  </si>
  <si>
    <t>0087</t>
  </si>
  <si>
    <t>6000871AX861</t>
  </si>
  <si>
    <t>6000091AX860</t>
  </si>
  <si>
    <t>6000031AX832</t>
  </si>
  <si>
    <t>6000031AX833</t>
  </si>
  <si>
    <t>6000031AX830</t>
  </si>
  <si>
    <t>6000031AX799</t>
  </si>
  <si>
    <t>6000031AX800</t>
  </si>
  <si>
    <t>6000481AX409</t>
  </si>
  <si>
    <t>6000481AX410</t>
  </si>
  <si>
    <t>6000481AX411</t>
  </si>
  <si>
    <t>6000491AX456</t>
  </si>
  <si>
    <t>6000481AX655</t>
  </si>
  <si>
    <t>6000491AX656</t>
  </si>
  <si>
    <t>6000031AX370</t>
  </si>
  <si>
    <t>6000031AX371</t>
  </si>
  <si>
    <t>6000031AX372</t>
  </si>
  <si>
    <t>6000091AX373</t>
  </si>
  <si>
    <t>6000481AX407</t>
  </si>
  <si>
    <t>6000481AX408</t>
  </si>
  <si>
    <t>6000091AW979</t>
  </si>
  <si>
    <t>6000091AW980</t>
  </si>
  <si>
    <t>6000481AX121</t>
  </si>
  <si>
    <t>6000091AX253</t>
  </si>
  <si>
    <t>6000481AX255</t>
  </si>
  <si>
    <t>6000031AX254</t>
  </si>
  <si>
    <t>6000111AW730</t>
  </si>
  <si>
    <t>6000031AW843</t>
  </si>
  <si>
    <t>6001031AW842</t>
  </si>
  <si>
    <t>6001031AW844</t>
  </si>
  <si>
    <t>6000481AW914</t>
  </si>
  <si>
    <t>6000091AW913</t>
  </si>
  <si>
    <t>6000111AW131</t>
  </si>
  <si>
    <t>6000111AW132</t>
  </si>
  <si>
    <t>6000031AW266</t>
  </si>
  <si>
    <t>6000031AW727</t>
  </si>
  <si>
    <t>6000491AW728</t>
  </si>
  <si>
    <t>6000111AW729</t>
  </si>
  <si>
    <t>6000031AV852</t>
  </si>
  <si>
    <t>6000031AW006</t>
  </si>
  <si>
    <t>6000031AW041</t>
  </si>
  <si>
    <t>6000031AW042</t>
  </si>
  <si>
    <t>6000031AW043</t>
  </si>
  <si>
    <t>6000031AW130</t>
  </si>
  <si>
    <t>6000111AV777</t>
  </si>
  <si>
    <t>6000111AV778</t>
  </si>
  <si>
    <t>6000111AV859</t>
  </si>
  <si>
    <t>6000031AV860</t>
  </si>
  <si>
    <t>6000491AV858</t>
  </si>
  <si>
    <t>6000031AV861</t>
  </si>
  <si>
    <t>6000031AV691</t>
  </si>
  <si>
    <t>6000111AV690</t>
  </si>
  <si>
    <t>6000031AV692</t>
  </si>
  <si>
    <t>6000031AV718</t>
  </si>
  <si>
    <t>6000481AV717</t>
  </si>
  <si>
    <t>6000031AV719</t>
  </si>
  <si>
    <t>6000111AV318</t>
  </si>
  <si>
    <t>6000091AV342</t>
  </si>
  <si>
    <t>6000091AV341</t>
  </si>
  <si>
    <t>6000091AV347</t>
  </si>
  <si>
    <t>6000481AV685</t>
  </si>
  <si>
    <t>6000481AV689</t>
  </si>
  <si>
    <t>6000091AV018</t>
  </si>
  <si>
    <t>6000481AV017</t>
  </si>
  <si>
    <t>6000021AV040</t>
  </si>
  <si>
    <t>6000021AV039</t>
  </si>
  <si>
    <t>6000031AV320</t>
  </si>
  <si>
    <t>6000111AV319</t>
  </si>
  <si>
    <t>6000111AU390</t>
  </si>
  <si>
    <t>6000111AU421</t>
  </si>
  <si>
    <t>6000021AU802</t>
  </si>
  <si>
    <t>6000031AU827</t>
  </si>
  <si>
    <t>6000021AU828</t>
  </si>
  <si>
    <t>6000021AU829</t>
  </si>
  <si>
    <t>6000111AT824</t>
  </si>
  <si>
    <t>6000091AT841</t>
  </si>
  <si>
    <t>6000091AU122</t>
  </si>
  <si>
    <t>6000091AU297</t>
  </si>
  <si>
    <t>6000031AU325</t>
  </si>
  <si>
    <t>6000491AU320</t>
  </si>
  <si>
    <t>63594212503B</t>
  </si>
  <si>
    <t>PEP16820Q277</t>
  </si>
  <si>
    <t>COMPA3CD3B</t>
  </si>
  <si>
    <t>5942</t>
  </si>
  <si>
    <t>63588612504A</t>
  </si>
  <si>
    <t>PEP11700Q037</t>
  </si>
  <si>
    <t>BCIPE1CD4A</t>
  </si>
  <si>
    <t>GBCI</t>
  </si>
  <si>
    <t>63588612501B</t>
  </si>
  <si>
    <t>PEP11700Q029</t>
  </si>
  <si>
    <t>BCIPE1CD1B</t>
  </si>
  <si>
    <t>63003812501H</t>
  </si>
  <si>
    <t>PEP12100Q252</t>
  </si>
  <si>
    <t>BIF5CD1H</t>
  </si>
  <si>
    <t>63003812501F</t>
  </si>
  <si>
    <t>PEP12100Q237</t>
  </si>
  <si>
    <t>BIF5CD1F</t>
  </si>
  <si>
    <t>63003812501G</t>
  </si>
  <si>
    <t>PEP12100Q245</t>
  </si>
  <si>
    <t>BIF5CD1G</t>
  </si>
  <si>
    <t>63004212501B</t>
  </si>
  <si>
    <t>PEP16920Q242</t>
  </si>
  <si>
    <t>SANTC6CD1B</t>
  </si>
  <si>
    <t>63004212501A</t>
  </si>
  <si>
    <t>PEP16920Q234</t>
  </si>
  <si>
    <t>SANTC6CD1A</t>
  </si>
  <si>
    <t>63008612501A</t>
  </si>
  <si>
    <t>PEP11100V204</t>
  </si>
  <si>
    <t>ZCOF5DCP1A</t>
  </si>
  <si>
    <t>63008612504A</t>
  </si>
  <si>
    <t>PEP11100V212</t>
  </si>
  <si>
    <t>SCOF4DCP4A</t>
  </si>
  <si>
    <t>63004912502A</t>
  </si>
  <si>
    <t>PEP16900Q095</t>
  </si>
  <si>
    <t>GNB3CD2A</t>
  </si>
  <si>
    <t>63004912502B</t>
  </si>
  <si>
    <t>PEP16900Q103</t>
  </si>
  <si>
    <t>GNB3CD2B</t>
  </si>
  <si>
    <t>63000312501D</t>
  </si>
  <si>
    <t>PEP14800Q057</t>
  </si>
  <si>
    <t>INTER2CD1D</t>
  </si>
  <si>
    <t>63000312501E</t>
  </si>
  <si>
    <t>PEP14800Q065</t>
  </si>
  <si>
    <t>INTER2CD1E</t>
  </si>
  <si>
    <t>63004812501A</t>
  </si>
  <si>
    <t>PEP13300Q422</t>
  </si>
  <si>
    <t>MIBAN5CD1A</t>
  </si>
  <si>
    <t>6B53232AX855</t>
  </si>
  <si>
    <t>6B53232AX854</t>
  </si>
  <si>
    <t>6B58502AX853</t>
  </si>
  <si>
    <t>6B52022AX859</t>
  </si>
  <si>
    <t>6B52022AX858</t>
  </si>
  <si>
    <t>6B53032AX857</t>
  </si>
  <si>
    <t>6B53232AX856</t>
  </si>
  <si>
    <t>6B53032AX839</t>
  </si>
  <si>
    <t>6B53032AX838</t>
  </si>
  <si>
    <t>6B53232AX837</t>
  </si>
  <si>
    <t>6B53232AX836</t>
  </si>
  <si>
    <t>6B53232AX835</t>
  </si>
  <si>
    <t>6B57552AX834</t>
  </si>
  <si>
    <t>6B52022AX842</t>
  </si>
  <si>
    <t>6B53032AX841</t>
  </si>
  <si>
    <t>6B53032AX840</t>
  </si>
  <si>
    <t>6B53232AX845</t>
  </si>
  <si>
    <t>6B53232AX844</t>
  </si>
  <si>
    <t>6B58502AX843</t>
  </si>
  <si>
    <t>6B52022AX851</t>
  </si>
  <si>
    <t>6B52022AX850</t>
  </si>
  <si>
    <t>6B53032AX849</t>
  </si>
  <si>
    <t>6B53032AX848</t>
  </si>
  <si>
    <t>6B53032AX847</t>
  </si>
  <si>
    <t>6B53232AX846</t>
  </si>
  <si>
    <t>6B52022AX852</t>
  </si>
  <si>
    <t>6B58502AX865</t>
  </si>
  <si>
    <t>6B53032AX876</t>
  </si>
  <si>
    <t>6B52022AX881</t>
  </si>
  <si>
    <t>6B53232AX866</t>
  </si>
  <si>
    <t>6B52022AX890</t>
  </si>
  <si>
    <t>6B53232AX885</t>
  </si>
  <si>
    <t>6B52022AX870</t>
  </si>
  <si>
    <t>6B53232AX873</t>
  </si>
  <si>
    <t>6B53232AX875</t>
  </si>
  <si>
    <t>6B53232AX882</t>
  </si>
  <si>
    <t>6B53032AX886</t>
  </si>
  <si>
    <t>6B52022AX878</t>
  </si>
  <si>
    <t>6B53232AX867</t>
  </si>
  <si>
    <t>6B52022AX871</t>
  </si>
  <si>
    <t>6B53232AX874</t>
  </si>
  <si>
    <t>6B53232AX884</t>
  </si>
  <si>
    <t>6B53032AX889</t>
  </si>
  <si>
    <t>6B53232AX872</t>
  </si>
  <si>
    <t>6B57642AX883</t>
  </si>
  <si>
    <t>6B53032AX888</t>
  </si>
  <si>
    <t>6B52022AX880</t>
  </si>
  <si>
    <t>6B52022AX879</t>
  </si>
  <si>
    <t>6B52022AX891</t>
  </si>
  <si>
    <t>6B53232AX868</t>
  </si>
  <si>
    <t>6B52022AX877</t>
  </si>
  <si>
    <t>6B53032AX887</t>
  </si>
  <si>
    <t>6B53032AX869</t>
  </si>
  <si>
    <t>Banco Davivienda S.A.</t>
  </si>
  <si>
    <t>Volcan B</t>
  </si>
  <si>
    <t>Volcan A</t>
  </si>
  <si>
    <t>Cementos Pacasmayo-ADR</t>
  </si>
  <si>
    <t>Buenaventura ADR</t>
  </si>
  <si>
    <t>Diciembre  2025</t>
  </si>
  <si>
    <t>Renta Variable</t>
  </si>
  <si>
    <t>Renta Fija</t>
  </si>
  <si>
    <t>ETFs y FFMM</t>
  </si>
  <si>
    <t>Efectivo</t>
  </si>
  <si>
    <t>=IF(E802="ALT";LEFT(E802;3);LEFT(E802;3)&amp;F802)</t>
  </si>
  <si>
    <t>Alternativos</t>
  </si>
  <si>
    <t>Grupo Nutresa S.A.</t>
  </si>
  <si>
    <t>Banco de Crédito e Inversiones</t>
  </si>
  <si>
    <t>Pluz Energía Perú S.A.A</t>
  </si>
  <si>
    <t>Puerto Chancay B</t>
  </si>
  <si>
    <t>Puerto Chancay A</t>
  </si>
  <si>
    <t>HudBays Minerals Inc.</t>
  </si>
  <si>
    <t>Vontobel - Credit Opportunities</t>
  </si>
  <si>
    <t>Arcano Fund - European Income Fund - ESG Selection</t>
  </si>
  <si>
    <t>JP Morgan - Korea Equity Fund</t>
  </si>
  <si>
    <t>BlackRock - iShares Convertible Bond ETF</t>
  </si>
  <si>
    <t>Global X - Silvers Miners ETF</t>
  </si>
  <si>
    <t>Global X - Uranium Miners ETF</t>
  </si>
  <si>
    <t>Global X - Argentina ETF</t>
  </si>
  <si>
    <t>Liontrust - Liontrust European Dynamic Fund S</t>
  </si>
  <si>
    <t>DNCA - Alpha Bonds</t>
  </si>
  <si>
    <t>Lazard - Japanese Strategic Equity</t>
  </si>
  <si>
    <t>State Street - S&amp;P Metals &amp; Mining ETF</t>
  </si>
  <si>
    <t>Puerto Chancay</t>
  </si>
  <si>
    <t>ESTO YA NO SE HACE!!!!!!!!! (JALA DIRECTAMENTE DEL PIVOT)</t>
  </si>
  <si>
    <t>BlackRock - iShares Core S&amp;P 500</t>
  </si>
  <si>
    <t>BlackRock - iShares JP Morgan USD EM Bond ETF</t>
  </si>
  <si>
    <t>VanEck Vectors Digital Transformation</t>
  </si>
  <si>
    <t>Emisiones Financiadas Multifondos</t>
  </si>
  <si>
    <t>Intensidad Multifondos (Tn CO2)</t>
  </si>
  <si>
    <t>Unacem</t>
  </si>
  <si>
    <t>Cerro verde</t>
  </si>
  <si>
    <t>Auna</t>
  </si>
  <si>
    <t>AUM (MM$)</t>
  </si>
  <si>
    <t>Metodología Integra</t>
  </si>
  <si>
    <t>Huella (000 Tn)</t>
  </si>
  <si>
    <t>Hochschild</t>
  </si>
  <si>
    <t>Hudbay</t>
  </si>
  <si>
    <t>Ferreycorp</t>
  </si>
  <si>
    <t>Credicorp</t>
  </si>
  <si>
    <t>IFS</t>
  </si>
  <si>
    <t>Patrimonio Integra</t>
  </si>
  <si>
    <t>Huella Tn (Scope 1 y 2)</t>
  </si>
  <si>
    <t>EVIC (USD millones)</t>
  </si>
  <si>
    <t>Top Contributors Dic-25</t>
  </si>
  <si>
    <t>Ejercicio con data SMV - Huella de Carbono</t>
  </si>
  <si>
    <t>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</si>
</sst>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43" formatCode="_-* #,##0.00_-;\-* #,##0.00_-;_-* &quot;-&quot;??_-;_-@_-"/>
    <numFmt numFmtId="164" formatCode="_ * #,##0.00_ ;_ * \-#,##0.00_ ;_ * &quot;-&quot;??_ ;_ @_ "/>
    <numFmt numFmtId="165" formatCode="0.00000%"/>
    <numFmt numFmtId="166" formatCode="_ * #,##0_ ;_ * \-#,##0_ ;_ * &quot;-&quot;??_ ;_ @_ "/>
    <numFmt numFmtId="167" formatCode="dd/mm/yyyy;@"/>
    <numFmt numFmtId="168" formatCode="0.000000%"/>
    <numFmt numFmtId="169" formatCode="_-* #,##0.00000_-;\-* #,##0.00000_-;_-* &quot;-&quot;??_-;_-@_-"/>
    <numFmt numFmtId="170" formatCode="_([$€-2]\ * #.##0.00_);_([$€-2]\ * \(#.##0.00\);_([$€-2]\ * &quot;-&quot;??_)"/>
    <numFmt numFmtId="171" formatCode="_-* #,##0_-;\-* #,##0_-;_-* &quot;-&quot;??_-;_-@_-"/>
    <numFmt numFmtId="172" formatCode="0.0000"/>
    <numFmt numFmtId="173" formatCode="0.0000000000"/>
    <numFmt numFmtId="174" formatCode="0.000%"/>
    <numFmt numFmtId="175" formatCode="0.0%"/>
    <numFmt numFmtId="176" formatCode="_-* #,##0.0000_-;\-* #,##0.0000_-;_-* &quot;-&quot;??_-;_-@_-"/>
    <numFmt numFmtId="177" formatCode="_-* #,##0.000_-;\-* #,##0.000_-;_-* &quot;-&quot;??_-;_-@_-"/>
    <numFmt numFmtId="178" formatCode="0.0"/>
    <numFmt numFmtId="179" formatCode="_-* #,##0.0_-;\-* #,##0.0_-;_-* &quot;-&quot;??_-;_-@_-"/>
  </numFmts>
  <fonts count="41" x14ac:knownFonts="1">
    <font>
      <sz val="11"/>
      <color theme="1"/>
      <name val="Calibri"/>
      <family val="2"/>
      <scheme val="minor"/>
    </font>
    <font>
      <sz val="11"/>
      <color theme="1"/>
      <name val="Calibri"/>
      <family val="2"/>
      <scheme val="minor"/>
    </font>
    <font>
      <b/>
      <sz val="11"/>
      <color theme="1"/>
      <name val="Calibri"/>
      <family val="2"/>
      <scheme val="minor"/>
    </font>
    <font>
      <sz val="8"/>
      <name val="Calibri"/>
      <family val="2"/>
      <scheme val="minor"/>
    </font>
    <font>
      <sz val="10"/>
      <name val="Arial"/>
      <family val="2"/>
    </font>
    <font>
      <sz val="11"/>
      <color rgb="FF000000"/>
      <name val="Calibri"/>
      <family val="2"/>
    </font>
    <font>
      <b/>
      <sz val="11"/>
      <name val="Calibri"/>
      <family val="2"/>
    </font>
    <font>
      <sz val="11"/>
      <color rgb="FFFF0000"/>
      <name val="Calibri"/>
      <family val="2"/>
      <scheme val="minor"/>
    </font>
    <font>
      <b/>
      <sz val="11"/>
      <color rgb="FF000000"/>
      <name val="Calibri"/>
      <family val="2"/>
    </font>
    <font>
      <sz val="11"/>
      <name val="Calibri"/>
      <family val="2"/>
      <scheme val="minor"/>
    </font>
    <font>
      <sz val="11"/>
      <color rgb="FF92D050"/>
      <name val="Calibri"/>
      <family val="2"/>
      <scheme val="minor"/>
    </font>
    <font>
      <sz val="11"/>
      <color theme="0"/>
      <name val="Calibri"/>
      <family val="2"/>
      <scheme val="minor"/>
    </font>
    <font>
      <b/>
      <sz val="11"/>
      <color rgb="FF92D050"/>
      <name val="Calibri"/>
      <family val="2"/>
      <scheme val="minor"/>
    </font>
    <font>
      <b/>
      <sz val="11"/>
      <color theme="4"/>
      <name val="Calibri"/>
      <family val="2"/>
      <scheme val="minor"/>
    </font>
    <font>
      <sz val="11"/>
      <color theme="4"/>
      <name val="Calibri"/>
      <family val="2"/>
      <scheme val="minor"/>
    </font>
    <font>
      <sz val="16"/>
      <color rgb="FFFF0000"/>
      <name val="Calibri"/>
      <family val="2"/>
      <scheme val="minor"/>
    </font>
    <font>
      <sz val="11"/>
      <color theme="9" tint="0.39997558519241921"/>
      <name val="Calibri"/>
      <family val="2"/>
      <scheme val="minor"/>
    </font>
    <font>
      <sz val="11"/>
      <color rgb="FF454545"/>
      <name val="Courier New"/>
      <family val="3"/>
    </font>
    <font>
      <sz val="36"/>
      <color theme="1"/>
      <name val="Calibri"/>
      <family val="2"/>
      <scheme val="minor"/>
    </font>
    <font>
      <b/>
      <sz val="11"/>
      <name val="Calibri"/>
      <family val="2"/>
      <scheme val="minor"/>
    </font>
    <font>
      <sz val="11"/>
      <color rgb="FFFF0000"/>
      <name val="Aharoni"/>
      <charset val="177"/>
    </font>
    <font>
      <sz val="14"/>
      <color theme="1"/>
      <name val="Calibri"/>
      <family val="2"/>
      <scheme val="minor"/>
    </font>
    <font>
      <b/>
      <sz val="14"/>
      <color theme="8"/>
      <name val="Calibri"/>
      <family val="2"/>
      <scheme val="minor"/>
    </font>
    <font>
      <sz val="11"/>
      <color theme="9"/>
      <name val="Calibri"/>
      <family val="2"/>
      <scheme val="minor"/>
    </font>
    <font>
      <sz val="11"/>
      <color rgb="FF002060"/>
      <name val="Calibri"/>
      <family val="2"/>
      <scheme val="minor"/>
    </font>
    <font>
      <sz val="11"/>
      <color rgb="FF7030A0"/>
      <name val="Calibri"/>
      <family val="2"/>
      <scheme val="minor"/>
    </font>
    <font>
      <sz val="11"/>
      <color rgb="FF414042"/>
      <name val="Arial"/>
      <family val="2"/>
    </font>
    <font>
      <b/>
      <sz val="11"/>
      <color theme="1"/>
      <name val="Trebuchet MS"/>
      <family val="2"/>
    </font>
    <font>
      <sz val="28"/>
      <color theme="0"/>
      <name val="Trebuchet MS"/>
      <family val="2"/>
    </font>
    <font>
      <b/>
      <sz val="10"/>
      <color theme="1"/>
      <name val="Trebuchet MS"/>
      <family val="2"/>
    </font>
    <font>
      <sz val="10"/>
      <color theme="1"/>
      <name val="Calibri"/>
      <family val="2"/>
      <scheme val="minor"/>
    </font>
    <font>
      <sz val="10"/>
      <color theme="1"/>
      <name val="Trebuchet MS"/>
      <family val="2"/>
    </font>
    <font>
      <sz val="10"/>
      <color rgb="FFFFFF00"/>
      <name val="Calibri"/>
      <family val="2"/>
      <scheme val="minor"/>
    </font>
    <font>
      <sz val="11"/>
      <color theme="1"/>
      <name val="Trebuchet MS"/>
      <family val="2"/>
    </font>
    <font>
      <sz val="10"/>
      <color rgb="FFC00000"/>
      <name val="Trebuchet MS"/>
      <family val="2"/>
    </font>
    <font>
      <b/>
      <u/>
      <sz val="10"/>
      <color theme="1"/>
      <name val="Trebuchet MS"/>
      <family val="2"/>
    </font>
    <font>
      <sz val="10"/>
      <color theme="0" tint="-0.499984740745262"/>
      <name val="Trebuchet MS"/>
      <family val="2"/>
    </font>
    <font>
      <sz val="10"/>
      <color rgb="FFEE0000"/>
      <name val="Trebuchet MS"/>
      <family val="2"/>
    </font>
    <font>
      <sz val="10"/>
      <name val="Trebuchet MS"/>
      <family val="2"/>
    </font>
    <font>
      <b/>
      <sz val="12"/>
      <color rgb="FFFF0000"/>
      <name val="Calibri"/>
      <family val="2"/>
      <scheme val="minor"/>
    </font>
    <font>
      <b/>
      <sz val="11"/>
      <color theme="0"/>
      <name val="Calibri"/>
      <family val="2"/>
      <scheme val="minor"/>
    </font>
  </fonts>
  <fills count="31">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4" tint="0.79998168889431442"/>
        <bgColor theme="4" tint="0.79998168889431442"/>
      </patternFill>
    </fill>
    <fill>
      <patternFill patternType="solid">
        <fgColor rgb="FF92D050"/>
        <bgColor indexed="64"/>
      </patternFill>
    </fill>
    <fill>
      <patternFill patternType="solid">
        <fgColor theme="2"/>
        <bgColor indexed="64"/>
      </patternFill>
    </fill>
    <fill>
      <patternFill patternType="solid">
        <fgColor theme="0" tint="-0.249977111117893"/>
        <bgColor indexed="64"/>
      </patternFill>
    </fill>
    <fill>
      <patternFill patternType="solid">
        <fgColor theme="1"/>
        <bgColor indexed="64"/>
      </patternFill>
    </fill>
    <fill>
      <patternFill patternType="solid">
        <fgColor rgb="FFFFC000"/>
        <bgColor indexed="64"/>
      </patternFill>
    </fill>
    <fill>
      <patternFill patternType="solid">
        <fgColor theme="0" tint="-0.499984740745262"/>
        <bgColor indexed="64"/>
      </patternFill>
    </fill>
    <fill>
      <patternFill patternType="solid">
        <fgColor theme="7"/>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bgColor indexed="64"/>
      </patternFill>
    </fill>
    <fill>
      <patternFill patternType="solid">
        <fgColor theme="5" tint="0.39997558519241921"/>
        <bgColor indexed="64"/>
      </patternFill>
    </fill>
    <fill>
      <patternFill patternType="solid">
        <fgColor rgb="FFE3F2ED"/>
        <bgColor indexed="64"/>
      </patternFill>
    </fill>
    <fill>
      <patternFill patternType="solid">
        <fgColor rgb="FFD5B8EA"/>
        <bgColor indexed="64"/>
      </patternFill>
    </fill>
    <fill>
      <patternFill patternType="solid">
        <fgColor rgb="FFFF8B8B"/>
        <bgColor indexed="64"/>
      </patternFill>
    </fill>
    <fill>
      <patternFill patternType="solid">
        <fgColor rgb="FF002060"/>
        <bgColor indexed="64"/>
      </patternFill>
    </fill>
    <fill>
      <patternFill patternType="solid">
        <fgColor rgb="FFD4EAF3"/>
        <bgColor indexed="64"/>
      </patternFill>
    </fill>
    <fill>
      <patternFill patternType="solid">
        <fgColor theme="7" tint="0.59999389629810485"/>
        <bgColor indexed="64"/>
      </patternFill>
    </fill>
    <fill>
      <patternFill patternType="solid">
        <fgColor rgb="FFAFC3E6"/>
        <bgColor indexed="64"/>
      </patternFill>
    </fill>
    <fill>
      <patternFill patternType="solid">
        <fgColor theme="9" tint="0.39997558519241921"/>
        <bgColor indexed="64"/>
      </patternFill>
    </fill>
  </fills>
  <borders count="37">
    <border>
      <left/>
      <right/>
      <top/>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BFBFBF"/>
      </left>
      <right style="thin">
        <color rgb="FFBFBFBF"/>
      </right>
      <top/>
      <bottom style="thin">
        <color rgb="FFBFBFBF"/>
      </bottom>
      <diagonal/>
    </border>
    <border>
      <left style="thin">
        <color rgb="FFBFBFBF"/>
      </left>
      <right style="thin">
        <color rgb="FFBFBFBF"/>
      </right>
      <top style="thin">
        <color rgb="FFBFBFBF"/>
      </top>
      <bottom style="thin">
        <color rgb="FFBFBFBF"/>
      </bottom>
      <diagonal/>
    </border>
    <border>
      <left style="thin">
        <color theme="0" tint="-0.499984740745262"/>
      </left>
      <right/>
      <top style="thin">
        <color theme="0" tint="-0.499984740745262"/>
      </top>
      <bottom style="thin">
        <color theme="0" tint="-0.499984740745262"/>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theme="4" tint="0.39997558519241921"/>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FBFBF"/>
      </left>
      <right style="thin">
        <color rgb="FFBFBFBF"/>
      </right>
      <top/>
      <bottom/>
      <diagonal/>
    </border>
  </borders>
  <cellStyleXfs count="133">
    <xf numFmtId="0" fontId="0" fillId="0" borderId="0"/>
    <xf numFmtId="43"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4" fillId="0" borderId="0"/>
    <xf numFmtId="43" fontId="1" fillId="0" borderId="0" applyFont="0" applyFill="0" applyBorder="0" applyAlignment="0" applyProtection="0"/>
    <xf numFmtId="0" fontId="4" fillId="0" borderId="0"/>
    <xf numFmtId="0" fontId="1" fillId="0" borderId="0"/>
    <xf numFmtId="170" fontId="4" fillId="0" borderId="0"/>
    <xf numFmtId="0" fontId="4"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0" fontId="5" fillId="0" borderId="0" applyBorder="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9"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0" fontId="4"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9" fontId="4" fillId="0" borderId="0" applyFont="0" applyFill="0" applyBorder="0" applyAlignment="0" applyProtection="0"/>
    <xf numFmtId="164" fontId="4" fillId="0" borderId="0" applyFont="0" applyFill="0" applyBorder="0" applyAlignment="0" applyProtection="0"/>
    <xf numFmtId="43" fontId="4" fillId="0" borderId="0" applyFont="0" applyFill="0" applyBorder="0" applyAlignment="0" applyProtection="0"/>
  </cellStyleXfs>
  <cellXfs count="273">
    <xf numFmtId="0" fontId="0" fillId="0" borderId="0" xfId="0"/>
    <xf numFmtId="0" fontId="2" fillId="0" borderId="0" xfId="0" applyFont="1"/>
    <xf numFmtId="0" fontId="0" fillId="2" borderId="0" xfId="0" applyFill="1"/>
    <xf numFmtId="0" fontId="0" fillId="2" borderId="0" xfId="0" applyFill="1" applyAlignment="1">
      <alignment horizontal="left" indent="1"/>
    </xf>
    <xf numFmtId="164" fontId="0" fillId="0" borderId="0" xfId="0" applyNumberFormat="1"/>
    <xf numFmtId="164" fontId="0" fillId="0" borderId="0" xfId="3" applyFont="1"/>
    <xf numFmtId="164" fontId="0" fillId="0" borderId="1" xfId="3" applyFont="1" applyBorder="1"/>
    <xf numFmtId="43" fontId="0" fillId="0" borderId="0" xfId="0" applyNumberFormat="1"/>
    <xf numFmtId="165" fontId="0" fillId="0" borderId="0" xfId="4" applyNumberFormat="1" applyFont="1"/>
    <xf numFmtId="10" fontId="0" fillId="0" borderId="0" xfId="0" applyNumberFormat="1"/>
    <xf numFmtId="4" fontId="0" fillId="0" borderId="0" xfId="0" applyNumberFormat="1"/>
    <xf numFmtId="0" fontId="0" fillId="2" borderId="0" xfId="0" applyFill="1" applyAlignment="1">
      <alignment wrapText="1"/>
    </xf>
    <xf numFmtId="0" fontId="2" fillId="2" borderId="0" xfId="0" applyFont="1" applyFill="1"/>
    <xf numFmtId="166" fontId="0" fillId="0" borderId="0" xfId="3" applyNumberFormat="1" applyFont="1"/>
    <xf numFmtId="167" fontId="0" fillId="0" borderId="0" xfId="0" applyNumberFormat="1"/>
    <xf numFmtId="14" fontId="0" fillId="0" borderId="0" xfId="0" applyNumberFormat="1"/>
    <xf numFmtId="0" fontId="0" fillId="3" borderId="0" xfId="0" applyFill="1"/>
    <xf numFmtId="168" fontId="0" fillId="0" borderId="0" xfId="2" applyNumberFormat="1" applyFont="1"/>
    <xf numFmtId="43" fontId="0" fillId="0" borderId="0" xfId="1" applyFont="1"/>
    <xf numFmtId="169" fontId="0" fillId="0" borderId="0" xfId="1" applyNumberFormat="1" applyFont="1"/>
    <xf numFmtId="0" fontId="0" fillId="0" borderId="0" xfId="0" quotePrefix="1"/>
    <xf numFmtId="0" fontId="2" fillId="4" borderId="0" xfId="0" applyFont="1" applyFill="1" applyAlignment="1">
      <alignment horizontal="center" vertical="center"/>
    </xf>
    <xf numFmtId="0" fontId="6" fillId="0" borderId="2" xfId="0" applyFont="1" applyBorder="1" applyAlignment="1">
      <alignment horizontal="center" vertical="top"/>
    </xf>
    <xf numFmtId="0" fontId="7" fillId="0" borderId="0" xfId="0" applyFont="1"/>
    <xf numFmtId="0" fontId="0" fillId="0" borderId="0" xfId="0" pivotButton="1"/>
    <xf numFmtId="0" fontId="0" fillId="0" borderId="0" xfId="0" applyAlignment="1">
      <alignment horizontal="left"/>
    </xf>
    <xf numFmtId="172" fontId="0" fillId="0" borderId="0" xfId="0" applyNumberFormat="1"/>
    <xf numFmtId="0" fontId="8" fillId="7" borderId="4" xfId="0" applyFont="1" applyFill="1" applyBorder="1" applyAlignment="1">
      <alignment horizontal="center"/>
    </xf>
    <xf numFmtId="49" fontId="5" fillId="0" borderId="5" xfId="0" quotePrefix="1" applyNumberFormat="1" applyFont="1" applyBorder="1" applyAlignment="1">
      <alignment horizontal="center"/>
    </xf>
    <xf numFmtId="0" fontId="8" fillId="9" borderId="4" xfId="0" applyFont="1" applyFill="1" applyBorder="1" applyAlignment="1">
      <alignment horizontal="center"/>
    </xf>
    <xf numFmtId="0" fontId="8" fillId="9" borderId="7" xfId="0" applyFont="1" applyFill="1" applyBorder="1" applyAlignment="1">
      <alignment horizontal="center"/>
    </xf>
    <xf numFmtId="0" fontId="5" fillId="10" borderId="6" xfId="0" quotePrefix="1" applyFont="1" applyFill="1" applyBorder="1" applyAlignment="1">
      <alignment horizontal="center"/>
    </xf>
    <xf numFmtId="0" fontId="10" fillId="0" borderId="0" xfId="0" applyFont="1"/>
    <xf numFmtId="0" fontId="7" fillId="3" borderId="0" xfId="0" applyFont="1" applyFill="1"/>
    <xf numFmtId="173" fontId="0" fillId="0" borderId="0" xfId="0" applyNumberFormat="1"/>
    <xf numFmtId="0" fontId="0" fillId="6" borderId="0" xfId="0" applyFill="1"/>
    <xf numFmtId="0" fontId="0" fillId="0" borderId="0" xfId="0" applyAlignment="1">
      <alignment horizontal="left" indent="1"/>
    </xf>
    <xf numFmtId="0" fontId="0" fillId="0" borderId="2" xfId="0" applyBorder="1"/>
    <xf numFmtId="0" fontId="0" fillId="14" borderId="8" xfId="0" applyFill="1" applyBorder="1"/>
    <xf numFmtId="0" fontId="0" fillId="14" borderId="9" xfId="0" applyFill="1" applyBorder="1"/>
    <xf numFmtId="0" fontId="0" fillId="14" borderId="2" xfId="0" applyFill="1" applyBorder="1"/>
    <xf numFmtId="0" fontId="0" fillId="6" borderId="0" xfId="0" applyFill="1" applyAlignment="1">
      <alignment vertical="center" wrapText="1"/>
    </xf>
    <xf numFmtId="0" fontId="0" fillId="6" borderId="0" xfId="0" applyFill="1" applyAlignment="1">
      <alignment vertical="top" wrapText="1"/>
    </xf>
    <xf numFmtId="0" fontId="0" fillId="11" borderId="12" xfId="0" applyFill="1" applyBorder="1"/>
    <xf numFmtId="0" fontId="0" fillId="0" borderId="12" xfId="0" applyBorder="1"/>
    <xf numFmtId="43" fontId="0" fillId="0" borderId="2" xfId="1" applyFont="1" applyBorder="1"/>
    <xf numFmtId="174" fontId="0" fillId="0" borderId="9" xfId="2" applyNumberFormat="1" applyFont="1" applyBorder="1"/>
    <xf numFmtId="43" fontId="0" fillId="0" borderId="8" xfId="0" applyNumberFormat="1" applyBorder="1"/>
    <xf numFmtId="0" fontId="0" fillId="13" borderId="0" xfId="0" applyFill="1"/>
    <xf numFmtId="0" fontId="0" fillId="15" borderId="0" xfId="0" applyFill="1"/>
    <xf numFmtId="9" fontId="0" fillId="0" borderId="0" xfId="2" applyFont="1"/>
    <xf numFmtId="10" fontId="0" fillId="0" borderId="0" xfId="2" applyNumberFormat="1" applyFont="1"/>
    <xf numFmtId="0" fontId="12" fillId="11" borderId="2" xfId="0" applyFont="1" applyFill="1" applyBorder="1"/>
    <xf numFmtId="43" fontId="10" fillId="0" borderId="2" xfId="1" applyFont="1" applyBorder="1"/>
    <xf numFmtId="0" fontId="13" fillId="11" borderId="2" xfId="0" applyFont="1" applyFill="1" applyBorder="1"/>
    <xf numFmtId="43" fontId="14" fillId="0" borderId="2" xfId="1" applyFont="1" applyBorder="1"/>
    <xf numFmtId="0" fontId="12" fillId="11" borderId="13" xfId="0" applyFont="1" applyFill="1"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13" fillId="11" borderId="13" xfId="0" applyFont="1" applyFill="1" applyBorder="1"/>
    <xf numFmtId="0" fontId="9" fillId="0" borderId="21" xfId="0" applyFont="1"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8" xfId="0" applyBorder="1"/>
    <xf numFmtId="0" fontId="0" fillId="0" borderId="11" xfId="0" applyBorder="1"/>
    <xf numFmtId="0" fontId="0" fillId="0" borderId="14" xfId="0" applyBorder="1"/>
    <xf numFmtId="43" fontId="0" fillId="15" borderId="0" xfId="1" applyFont="1" applyFill="1"/>
    <xf numFmtId="9" fontId="0" fillId="15" borderId="0" xfId="2" applyFont="1" applyFill="1"/>
    <xf numFmtId="10" fontId="0" fillId="16" borderId="0" xfId="2" applyNumberFormat="1" applyFont="1" applyFill="1"/>
    <xf numFmtId="0" fontId="0" fillId="17" borderId="0" xfId="0" applyFill="1"/>
    <xf numFmtId="17" fontId="0" fillId="0" borderId="2" xfId="0" applyNumberFormat="1" applyBorder="1"/>
    <xf numFmtId="0" fontId="9" fillId="0" borderId="2" xfId="0" applyFont="1" applyBorder="1"/>
    <xf numFmtId="14" fontId="7" fillId="0" borderId="0" xfId="0" applyNumberFormat="1" applyFont="1"/>
    <xf numFmtId="43" fontId="10" fillId="0" borderId="0" xfId="1" applyFont="1" applyFill="1" applyBorder="1"/>
    <xf numFmtId="10" fontId="0" fillId="0" borderId="0" xfId="2" applyNumberFormat="1" applyFont="1" applyFill="1" applyBorder="1"/>
    <xf numFmtId="10" fontId="10" fillId="0" borderId="0" xfId="2" applyNumberFormat="1" applyFont="1" applyFill="1" applyBorder="1"/>
    <xf numFmtId="0" fontId="0" fillId="0" borderId="27" xfId="0" applyBorder="1"/>
    <xf numFmtId="0" fontId="10" fillId="0" borderId="28" xfId="0" applyFont="1" applyBorder="1"/>
    <xf numFmtId="0" fontId="17" fillId="0" borderId="27" xfId="0" applyFont="1" applyBorder="1"/>
    <xf numFmtId="9" fontId="0" fillId="0" borderId="29" xfId="2" applyFont="1" applyBorder="1" applyAlignment="1">
      <alignment horizontal="center" vertical="center"/>
    </xf>
    <xf numFmtId="171" fontId="0" fillId="0" borderId="29" xfId="1" applyNumberFormat="1" applyFont="1" applyBorder="1" applyAlignment="1">
      <alignment horizontal="center" vertical="center"/>
    </xf>
    <xf numFmtId="171" fontId="0" fillId="0" borderId="28" xfId="1" applyNumberFormat="1" applyFont="1" applyBorder="1" applyAlignment="1">
      <alignment horizontal="center" vertical="center"/>
    </xf>
    <xf numFmtId="171" fontId="0" fillId="0" borderId="29" xfId="0" applyNumberFormat="1" applyBorder="1" applyAlignment="1">
      <alignment horizontal="center" vertical="center"/>
    </xf>
    <xf numFmtId="171" fontId="0" fillId="0" borderId="28" xfId="0" applyNumberFormat="1" applyBorder="1" applyAlignment="1">
      <alignment horizontal="center" vertical="center"/>
    </xf>
    <xf numFmtId="0" fontId="0" fillId="7" borderId="0" xfId="0" applyFill="1" applyAlignment="1">
      <alignment horizontal="center"/>
    </xf>
    <xf numFmtId="0" fontId="0" fillId="7" borderId="0" xfId="0" applyFill="1"/>
    <xf numFmtId="9" fontId="0" fillId="7" borderId="0" xfId="0" applyNumberFormat="1" applyFill="1" applyAlignment="1">
      <alignment horizontal="center" vertical="center"/>
    </xf>
    <xf numFmtId="171" fontId="0" fillId="7" borderId="0" xfId="0" applyNumberFormat="1" applyFill="1" applyAlignment="1">
      <alignment horizontal="center" vertical="center"/>
    </xf>
    <xf numFmtId="0" fontId="11" fillId="0" borderId="0" xfId="0" applyFont="1"/>
    <xf numFmtId="0" fontId="0" fillId="4" borderId="0" xfId="0" applyFill="1"/>
    <xf numFmtId="17" fontId="0" fillId="4" borderId="0" xfId="0" applyNumberFormat="1" applyFill="1"/>
    <xf numFmtId="17" fontId="0" fillId="0" borderId="0" xfId="0" applyNumberFormat="1"/>
    <xf numFmtId="43" fontId="0" fillId="0" borderId="0" xfId="1" applyFont="1" applyFill="1" applyBorder="1"/>
    <xf numFmtId="43" fontId="0" fillId="3" borderId="0" xfId="1" applyFont="1" applyFill="1"/>
    <xf numFmtId="43" fontId="0" fillId="3" borderId="0" xfId="0" applyNumberFormat="1" applyFill="1"/>
    <xf numFmtId="169" fontId="0" fillId="0" borderId="0" xfId="0" applyNumberFormat="1"/>
    <xf numFmtId="174" fontId="0" fillId="0" borderId="0" xfId="2" applyNumberFormat="1" applyFont="1"/>
    <xf numFmtId="0" fontId="10" fillId="18" borderId="0" xfId="0" applyFont="1" applyFill="1"/>
    <xf numFmtId="175" fontId="0" fillId="0" borderId="0" xfId="2" applyNumberFormat="1" applyFont="1"/>
    <xf numFmtId="0" fontId="6" fillId="3" borderId="3" xfId="0" applyFont="1" applyFill="1" applyBorder="1" applyAlignment="1">
      <alignment horizontal="center" vertical="top"/>
    </xf>
    <xf numFmtId="43" fontId="9" fillId="0" borderId="2" xfId="1" applyFont="1" applyBorder="1"/>
    <xf numFmtId="9" fontId="2" fillId="0" borderId="0" xfId="2" applyFont="1"/>
    <xf numFmtId="0" fontId="0" fillId="0" borderId="31" xfId="0" applyBorder="1"/>
    <xf numFmtId="43" fontId="0" fillId="0" borderId="25" xfId="1" applyFont="1" applyBorder="1"/>
    <xf numFmtId="43" fontId="0" fillId="0" borderId="11" xfId="1" applyFont="1" applyBorder="1"/>
    <xf numFmtId="43" fontId="2" fillId="11" borderId="30" xfId="1" applyFont="1" applyFill="1" applyBorder="1"/>
    <xf numFmtId="43" fontId="12" fillId="11" borderId="13" xfId="1" applyFont="1" applyFill="1" applyBorder="1"/>
    <xf numFmtId="0" fontId="9" fillId="0" borderId="0" xfId="0" applyFont="1"/>
    <xf numFmtId="0" fontId="9" fillId="3" borderId="0" xfId="0" applyFont="1" applyFill="1"/>
    <xf numFmtId="0" fontId="0" fillId="0" borderId="0" xfId="0" applyAlignment="1">
      <alignment horizontal="left" indent="2"/>
    </xf>
    <xf numFmtId="171" fontId="9" fillId="0" borderId="10" xfId="1" applyNumberFormat="1" applyFont="1" applyBorder="1"/>
    <xf numFmtId="0" fontId="9" fillId="14" borderId="2" xfId="0" applyFont="1" applyFill="1" applyBorder="1"/>
    <xf numFmtId="0" fontId="9" fillId="0" borderId="10" xfId="0" applyFont="1" applyBorder="1"/>
    <xf numFmtId="171" fontId="9" fillId="8" borderId="8" xfId="1" applyNumberFormat="1" applyFont="1" applyFill="1" applyBorder="1"/>
    <xf numFmtId="171" fontId="9" fillId="8" borderId="10" xfId="1" applyNumberFormat="1" applyFont="1" applyFill="1" applyBorder="1"/>
    <xf numFmtId="0" fontId="19" fillId="14" borderId="2" xfId="0" applyFont="1" applyFill="1" applyBorder="1"/>
    <xf numFmtId="171" fontId="9" fillId="14" borderId="2" xfId="1" applyNumberFormat="1" applyFont="1" applyFill="1" applyBorder="1"/>
    <xf numFmtId="171" fontId="9" fillId="8" borderId="10" xfId="1" applyNumberFormat="1" applyFont="1" applyFill="1" applyBorder="1" applyAlignment="1">
      <alignment horizontal="right"/>
    </xf>
    <xf numFmtId="171" fontId="9" fillId="8" borderId="10" xfId="1" applyNumberFormat="1" applyFont="1" applyFill="1" applyBorder="1" applyAlignment="1">
      <alignment horizontal="left" indent="1"/>
    </xf>
    <xf numFmtId="176" fontId="9" fillId="8" borderId="10" xfId="1" applyNumberFormat="1" applyFont="1" applyFill="1" applyBorder="1"/>
    <xf numFmtId="0" fontId="9" fillId="8" borderId="8" xfId="0" applyFont="1" applyFill="1" applyBorder="1" applyAlignment="1">
      <alignment horizontal="left" indent="1"/>
    </xf>
    <xf numFmtId="0" fontId="9" fillId="8" borderId="10" xfId="0" applyFont="1" applyFill="1" applyBorder="1" applyAlignment="1">
      <alignment horizontal="left" indent="1"/>
    </xf>
    <xf numFmtId="14" fontId="20" fillId="3" borderId="0" xfId="0" applyNumberFormat="1" applyFont="1" applyFill="1"/>
    <xf numFmtId="0" fontId="18" fillId="0" borderId="0" xfId="0" applyFont="1" applyAlignment="1">
      <alignment horizontal="center"/>
    </xf>
    <xf numFmtId="43" fontId="0" fillId="0" borderId="0" xfId="1" applyFont="1" applyFill="1"/>
    <xf numFmtId="0" fontId="23" fillId="0" borderId="0" xfId="0" applyFont="1"/>
    <xf numFmtId="0" fontId="23" fillId="0" borderId="0" xfId="0" applyFont="1" applyAlignment="1">
      <alignment horizontal="left"/>
    </xf>
    <xf numFmtId="0" fontId="18" fillId="0" borderId="0" xfId="0" applyFont="1" applyAlignment="1">
      <alignment horizontal="center" vertical="center"/>
    </xf>
    <xf numFmtId="0" fontId="24" fillId="0" borderId="0" xfId="0" applyFont="1"/>
    <xf numFmtId="43" fontId="0" fillId="21" borderId="0" xfId="0" applyNumberFormat="1" applyFill="1"/>
    <xf numFmtId="43" fontId="25" fillId="0" borderId="0" xfId="1" applyFont="1" applyFill="1"/>
    <xf numFmtId="177" fontId="25" fillId="0" borderId="0" xfId="1" applyNumberFormat="1" applyFont="1" applyFill="1"/>
    <xf numFmtId="0" fontId="2" fillId="3" borderId="0" xfId="0" applyFont="1" applyFill="1"/>
    <xf numFmtId="43" fontId="9" fillId="3" borderId="0" xfId="1" applyFont="1" applyFill="1"/>
    <xf numFmtId="17" fontId="19" fillId="14" borderId="2" xfId="0" quotePrefix="1" applyNumberFormat="1" applyFont="1" applyFill="1" applyBorder="1"/>
    <xf numFmtId="171" fontId="0" fillId="0" borderId="25" xfId="1" applyNumberFormat="1" applyFont="1" applyBorder="1"/>
    <xf numFmtId="171" fontId="0" fillId="0" borderId="11" xfId="1" applyNumberFormat="1" applyFont="1" applyBorder="1"/>
    <xf numFmtId="43" fontId="0" fillId="3" borderId="2" xfId="1" applyFont="1" applyFill="1" applyBorder="1"/>
    <xf numFmtId="0" fontId="17" fillId="22" borderId="27" xfId="0" applyFont="1" applyFill="1" applyBorder="1"/>
    <xf numFmtId="9" fontId="0" fillId="22" borderId="29" xfId="2" applyFont="1" applyFill="1" applyBorder="1" applyAlignment="1">
      <alignment horizontal="center" vertical="center"/>
    </xf>
    <xf numFmtId="171" fontId="0" fillId="22" borderId="29" xfId="1" applyNumberFormat="1" applyFont="1" applyFill="1" applyBorder="1" applyAlignment="1">
      <alignment horizontal="center" vertical="center"/>
    </xf>
    <xf numFmtId="171" fontId="0" fillId="22" borderId="28" xfId="1" applyNumberFormat="1" applyFont="1" applyFill="1" applyBorder="1" applyAlignment="1">
      <alignment horizontal="center" vertical="center"/>
    </xf>
    <xf numFmtId="0" fontId="21" fillId="0" borderId="0" xfId="0" applyFont="1" applyAlignment="1">
      <alignment horizontal="center" wrapText="1"/>
    </xf>
    <xf numFmtId="17" fontId="0" fillId="4" borderId="0" xfId="0" applyNumberFormat="1" applyFill="1" applyAlignment="1">
      <alignment horizontal="center"/>
    </xf>
    <xf numFmtId="171" fontId="0" fillId="0" borderId="0" xfId="0" applyNumberFormat="1"/>
    <xf numFmtId="178" fontId="0" fillId="0" borderId="0" xfId="0" applyNumberFormat="1"/>
    <xf numFmtId="1" fontId="0" fillId="0" borderId="0" xfId="0" applyNumberFormat="1"/>
    <xf numFmtId="43" fontId="0" fillId="12" borderId="0" xfId="1" applyFont="1" applyFill="1"/>
    <xf numFmtId="43" fontId="0" fillId="12" borderId="0" xfId="0" applyNumberFormat="1" applyFill="1"/>
    <xf numFmtId="0" fontId="0" fillId="12" borderId="0" xfId="0" applyFill="1"/>
    <xf numFmtId="171" fontId="0" fillId="0" borderId="0" xfId="1" applyNumberFormat="1" applyFont="1"/>
    <xf numFmtId="3" fontId="26" fillId="0" borderId="0" xfId="0" applyNumberFormat="1" applyFont="1"/>
    <xf numFmtId="0" fontId="0" fillId="0" borderId="0" xfId="0" applyAlignment="1">
      <alignment horizontal="center" vertical="center"/>
    </xf>
    <xf numFmtId="0" fontId="0" fillId="0" borderId="32" xfId="0" applyBorder="1" applyAlignment="1">
      <alignment horizontal="center" vertical="center"/>
    </xf>
    <xf numFmtId="0" fontId="0" fillId="0" borderId="34" xfId="0" applyBorder="1" applyAlignment="1">
      <alignment horizontal="center" vertical="center"/>
    </xf>
    <xf numFmtId="9" fontId="0" fillId="0" borderId="0" xfId="2" applyFont="1" applyFill="1" applyBorder="1" applyAlignment="1">
      <alignment horizontal="center" vertical="center"/>
    </xf>
    <xf numFmtId="0" fontId="0" fillId="0" borderId="31" xfId="0" applyBorder="1" applyAlignment="1">
      <alignment horizontal="center" vertical="center"/>
    </xf>
    <xf numFmtId="9" fontId="0" fillId="0" borderId="31" xfId="2" applyFont="1" applyFill="1" applyBorder="1" applyAlignment="1">
      <alignment horizontal="center" vertical="center"/>
    </xf>
    <xf numFmtId="0" fontId="0" fillId="0" borderId="3" xfId="0" applyBorder="1" applyAlignment="1">
      <alignment horizontal="left" vertical="center"/>
    </xf>
    <xf numFmtId="0" fontId="0" fillId="0" borderId="9" xfId="0" applyBorder="1" applyAlignment="1">
      <alignment horizontal="left" vertical="center"/>
    </xf>
    <xf numFmtId="17" fontId="27" fillId="9" borderId="2" xfId="0" applyNumberFormat="1" applyFont="1" applyFill="1" applyBorder="1" applyAlignment="1">
      <alignment horizontal="left" vertical="center"/>
    </xf>
    <xf numFmtId="0" fontId="27" fillId="9" borderId="29" xfId="0" applyFont="1" applyFill="1" applyBorder="1" applyAlignment="1">
      <alignment horizontal="center" vertical="center"/>
    </xf>
    <xf numFmtId="0" fontId="27" fillId="9" borderId="28" xfId="0" applyFont="1" applyFill="1" applyBorder="1" applyAlignment="1">
      <alignment horizontal="center" vertical="center"/>
    </xf>
    <xf numFmtId="4" fontId="0" fillId="0" borderId="0" xfId="1" applyNumberFormat="1" applyFont="1" applyFill="1" applyBorder="1" applyAlignment="1">
      <alignment horizontal="center" vertical="center"/>
    </xf>
    <xf numFmtId="4" fontId="0" fillId="0" borderId="31" xfId="1" applyNumberFormat="1" applyFont="1" applyFill="1" applyBorder="1" applyAlignment="1">
      <alignment horizontal="center" vertical="center"/>
    </xf>
    <xf numFmtId="0" fontId="27" fillId="9" borderId="27" xfId="0" applyFont="1" applyFill="1" applyBorder="1"/>
    <xf numFmtId="4" fontId="0" fillId="0" borderId="33" xfId="1" applyNumberFormat="1" applyFont="1" applyFill="1" applyBorder="1" applyAlignment="1">
      <alignment horizontal="center" vertical="center"/>
    </xf>
    <xf numFmtId="4" fontId="0" fillId="0" borderId="35" xfId="1" applyNumberFormat="1" applyFont="1" applyFill="1" applyBorder="1" applyAlignment="1">
      <alignment horizontal="center" vertical="center"/>
    </xf>
    <xf numFmtId="0" fontId="0" fillId="25" borderId="3" xfId="0" applyFill="1" applyBorder="1" applyAlignment="1">
      <alignment horizontal="left" vertical="center"/>
    </xf>
    <xf numFmtId="0" fontId="0" fillId="25" borderId="9" xfId="0" applyFill="1" applyBorder="1" applyAlignment="1">
      <alignment horizontal="left" vertical="center"/>
    </xf>
    <xf numFmtId="0" fontId="17" fillId="0" borderId="27" xfId="0" applyFont="1" applyBorder="1" applyAlignment="1">
      <alignment horizontal="left" vertical="center"/>
    </xf>
    <xf numFmtId="43" fontId="9" fillId="0" borderId="0" xfId="1" applyFont="1" applyFill="1"/>
    <xf numFmtId="9" fontId="11" fillId="0" borderId="0" xfId="2" applyFont="1" applyFill="1"/>
    <xf numFmtId="0" fontId="0" fillId="26" borderId="0" xfId="0" applyFill="1"/>
    <xf numFmtId="0" fontId="28" fillId="26" borderId="0" xfId="0" applyFont="1" applyFill="1"/>
    <xf numFmtId="0" fontId="0" fillId="8" borderId="0" xfId="0" applyFill="1"/>
    <xf numFmtId="0" fontId="2" fillId="0" borderId="0" xfId="0" applyFont="1" applyAlignment="1">
      <alignment horizontal="center"/>
    </xf>
    <xf numFmtId="49" fontId="5" fillId="23" borderId="5" xfId="0" quotePrefix="1" applyNumberFormat="1" applyFont="1" applyFill="1" applyBorder="1" applyAlignment="1">
      <alignment horizontal="center"/>
    </xf>
    <xf numFmtId="49" fontId="5" fillId="24" borderId="5" xfId="0" quotePrefix="1" applyNumberFormat="1" applyFont="1" applyFill="1" applyBorder="1" applyAlignment="1">
      <alignment horizontal="center"/>
    </xf>
    <xf numFmtId="49" fontId="5" fillId="27" borderId="5" xfId="0" quotePrefix="1" applyNumberFormat="1" applyFont="1" applyFill="1" applyBorder="1" applyAlignment="1">
      <alignment horizontal="center"/>
    </xf>
    <xf numFmtId="49" fontId="5" fillId="28" borderId="5" xfId="0" quotePrefix="1" applyNumberFormat="1" applyFont="1" applyFill="1" applyBorder="1" applyAlignment="1">
      <alignment horizontal="center"/>
    </xf>
    <xf numFmtId="0" fontId="5" fillId="5" borderId="6" xfId="0" quotePrefix="1" applyFont="1" applyFill="1" applyBorder="1" applyAlignment="1">
      <alignment horizontal="center"/>
    </xf>
    <xf numFmtId="0" fontId="2" fillId="0" borderId="0" xfId="0" applyFont="1" applyAlignment="1">
      <alignment horizontal="center" vertical="top"/>
    </xf>
    <xf numFmtId="0" fontId="6" fillId="0" borderId="0" xfId="0" applyFont="1" applyAlignment="1">
      <alignment horizontal="center" vertical="top"/>
    </xf>
    <xf numFmtId="0" fontId="29" fillId="8" borderId="0" xfId="0" applyFont="1" applyFill="1"/>
    <xf numFmtId="0" fontId="30" fillId="8" borderId="0" xfId="0" applyFont="1" applyFill="1"/>
    <xf numFmtId="0" fontId="31" fillId="6" borderId="0" xfId="0" applyFont="1" applyFill="1" applyAlignment="1">
      <alignment horizontal="left" vertical="top" wrapText="1"/>
    </xf>
    <xf numFmtId="0" fontId="29" fillId="19" borderId="0" xfId="0" applyFont="1" applyFill="1" applyAlignment="1">
      <alignment horizontal="left" wrapText="1"/>
    </xf>
    <xf numFmtId="0" fontId="30" fillId="19" borderId="0" xfId="0" applyFont="1" applyFill="1"/>
    <xf numFmtId="0" fontId="31" fillId="19" borderId="0" xfId="0" applyFont="1" applyFill="1"/>
    <xf numFmtId="0" fontId="31" fillId="19" borderId="0" xfId="0" quotePrefix="1" applyFont="1" applyFill="1" applyAlignment="1">
      <alignment horizontal="left" indent="1"/>
    </xf>
    <xf numFmtId="0" fontId="30" fillId="6" borderId="0" xfId="0" applyFont="1" applyFill="1" applyAlignment="1">
      <alignment horizontal="left" vertical="center" wrapText="1"/>
    </xf>
    <xf numFmtId="0" fontId="29" fillId="6" borderId="0" xfId="0" applyFont="1" applyFill="1" applyAlignment="1">
      <alignment horizontal="left" wrapText="1"/>
    </xf>
    <xf numFmtId="0" fontId="31" fillId="6" borderId="0" xfId="0" applyFont="1" applyFill="1" applyAlignment="1">
      <alignment horizontal="left" vertical="center" wrapText="1"/>
    </xf>
    <xf numFmtId="0" fontId="31" fillId="6" borderId="0" xfId="0" applyFont="1" applyFill="1"/>
    <xf numFmtId="0" fontId="29" fillId="6" borderId="0" xfId="0" applyFont="1" applyFill="1"/>
    <xf numFmtId="0" fontId="30" fillId="6" borderId="0" xfId="0" applyFont="1" applyFill="1"/>
    <xf numFmtId="0" fontId="29" fillId="6" borderId="0" xfId="0" applyFont="1" applyFill="1" applyAlignment="1">
      <alignment horizontal="left" indent="2"/>
    </xf>
    <xf numFmtId="0" fontId="31" fillId="14" borderId="2" xfId="0" applyFont="1" applyFill="1" applyBorder="1"/>
    <xf numFmtId="0" fontId="31" fillId="6" borderId="13" xfId="0" applyFont="1" applyFill="1" applyBorder="1"/>
    <xf numFmtId="0" fontId="31" fillId="6" borderId="33" xfId="0" applyFont="1" applyFill="1" applyBorder="1"/>
    <xf numFmtId="0" fontId="31" fillId="6" borderId="3" xfId="0" applyFont="1" applyFill="1" applyBorder="1"/>
    <xf numFmtId="0" fontId="31" fillId="6" borderId="9" xfId="0" applyFont="1" applyFill="1" applyBorder="1"/>
    <xf numFmtId="0" fontId="31" fillId="6" borderId="31" xfId="0" applyFont="1" applyFill="1" applyBorder="1"/>
    <xf numFmtId="0" fontId="31" fillId="6" borderId="35" xfId="0" applyFont="1" applyFill="1" applyBorder="1"/>
    <xf numFmtId="0" fontId="31" fillId="6" borderId="0" xfId="0" quotePrefix="1" applyFont="1" applyFill="1" applyAlignment="1">
      <alignment wrapText="1"/>
    </xf>
    <xf numFmtId="0" fontId="0" fillId="6" borderId="0" xfId="0" applyFill="1" applyAlignment="1">
      <alignment horizontal="left" wrapText="1"/>
    </xf>
    <xf numFmtId="0" fontId="32" fillId="19" borderId="0" xfId="0" applyFont="1" applyFill="1"/>
    <xf numFmtId="0" fontId="33" fillId="6" borderId="0" xfId="0" applyFont="1" applyFill="1"/>
    <xf numFmtId="0" fontId="31" fillId="6" borderId="0" xfId="0" applyFont="1" applyFill="1" applyAlignment="1">
      <alignment wrapText="1"/>
    </xf>
    <xf numFmtId="0" fontId="29" fillId="6" borderId="0" xfId="0" applyFont="1" applyFill="1" applyAlignment="1">
      <alignment wrapText="1"/>
    </xf>
    <xf numFmtId="0" fontId="35" fillId="6" borderId="0" xfId="0" applyFont="1" applyFill="1"/>
    <xf numFmtId="0" fontId="31" fillId="6" borderId="0" xfId="0" applyFont="1" applyFill="1" applyAlignment="1">
      <alignment vertical="top" wrapText="1"/>
    </xf>
    <xf numFmtId="0" fontId="36" fillId="6" borderId="0" xfId="0" applyFont="1" applyFill="1"/>
    <xf numFmtId="0" fontId="31" fillId="6" borderId="0" xfId="0" applyFont="1" applyFill="1" applyAlignment="1">
      <alignment vertical="top"/>
    </xf>
    <xf numFmtId="0" fontId="9" fillId="28" borderId="0" xfId="0" applyFont="1" applyFill="1"/>
    <xf numFmtId="43" fontId="9" fillId="28" borderId="0" xfId="1" applyFont="1" applyFill="1"/>
    <xf numFmtId="0" fontId="0" fillId="20" borderId="0" xfId="0" applyFill="1"/>
    <xf numFmtId="166" fontId="0" fillId="20" borderId="0" xfId="0" applyNumberFormat="1" applyFill="1"/>
    <xf numFmtId="0" fontId="9" fillId="29" borderId="0" xfId="0" applyFont="1" applyFill="1"/>
    <xf numFmtId="43" fontId="9" fillId="29" borderId="0" xfId="1" applyFont="1" applyFill="1"/>
    <xf numFmtId="0" fontId="0" fillId="29" borderId="0" xfId="0" applyFill="1"/>
    <xf numFmtId="0" fontId="9" fillId="30" borderId="0" xfId="0" applyFont="1" applyFill="1"/>
    <xf numFmtId="0" fontId="0" fillId="30" borderId="0" xfId="0" applyFill="1"/>
    <xf numFmtId="43" fontId="9" fillId="30" borderId="0" xfId="1" applyFont="1" applyFill="1"/>
    <xf numFmtId="9" fontId="0" fillId="0" borderId="0" xfId="0" applyNumberFormat="1"/>
    <xf numFmtId="49" fontId="5" fillId="0" borderId="36" xfId="0" applyNumberFormat="1" applyFont="1" applyBorder="1" applyAlignment="1">
      <alignment horizontal="center"/>
    </xf>
    <xf numFmtId="2" fontId="0" fillId="12" borderId="0" xfId="0" applyNumberFormat="1" applyFill="1"/>
    <xf numFmtId="2" fontId="0" fillId="12" borderId="0" xfId="1" applyNumberFormat="1" applyFont="1" applyFill="1"/>
    <xf numFmtId="0" fontId="40" fillId="26" borderId="2" xfId="0" applyFont="1" applyFill="1" applyBorder="1" applyAlignment="1">
      <alignment horizontal="center"/>
    </xf>
    <xf numFmtId="179" fontId="0" fillId="0" borderId="0" xfId="0" applyNumberFormat="1"/>
    <xf numFmtId="43" fontId="0" fillId="0" borderId="2" xfId="1" applyFont="1" applyBorder="1" applyAlignment="1">
      <alignment horizontal="center"/>
    </xf>
    <xf numFmtId="177" fontId="0" fillId="0" borderId="2" xfId="1" applyNumberFormat="1" applyFont="1" applyBorder="1" applyAlignment="1">
      <alignment horizontal="center"/>
    </xf>
    <xf numFmtId="3" fontId="0" fillId="0" borderId="0" xfId="0" applyNumberFormat="1"/>
    <xf numFmtId="171" fontId="0" fillId="0" borderId="0" xfId="1" applyNumberFormat="1" applyFont="1" applyAlignment="1">
      <alignment horizontal="center" vertical="center"/>
    </xf>
    <xf numFmtId="178" fontId="0" fillId="0" borderId="0" xfId="0" applyNumberFormat="1" applyAlignment="1">
      <alignment horizontal="center" vertical="center"/>
    </xf>
    <xf numFmtId="175" fontId="0" fillId="0" borderId="0" xfId="2" applyNumberFormat="1" applyFont="1" applyAlignment="1">
      <alignment horizontal="center" vertical="center"/>
    </xf>
    <xf numFmtId="43" fontId="0" fillId="0" borderId="0" xfId="0" applyNumberFormat="1" applyAlignment="1">
      <alignment horizontal="center" vertical="center"/>
    </xf>
    <xf numFmtId="43" fontId="0" fillId="0" borderId="0" xfId="1" applyFont="1" applyAlignment="1">
      <alignment horizontal="center" vertical="center"/>
    </xf>
    <xf numFmtId="0" fontId="0" fillId="0" borderId="0" xfId="0" applyAlignment="1">
      <alignment horizontal="left" vertical="center"/>
    </xf>
    <xf numFmtId="1" fontId="0" fillId="0" borderId="0" xfId="0" applyNumberFormat="1" applyAlignment="1">
      <alignment horizontal="center" vertical="center"/>
    </xf>
    <xf numFmtId="9" fontId="0" fillId="0" borderId="0" xfId="2" applyFont="1" applyAlignment="1">
      <alignment horizontal="center" vertical="center"/>
    </xf>
    <xf numFmtId="0" fontId="0" fillId="0" borderId="0" xfId="0" applyAlignment="1">
      <alignment horizontal="center" vertical="center"/>
    </xf>
    <xf numFmtId="0" fontId="31" fillId="6" borderId="0" xfId="0" applyFont="1" applyFill="1" applyAlignment="1">
      <alignment horizontal="left" wrapText="1"/>
    </xf>
    <xf numFmtId="0" fontId="31" fillId="6" borderId="0" xfId="0" applyFont="1" applyFill="1" applyAlignment="1">
      <alignment horizontal="left" vertical="top" wrapText="1"/>
    </xf>
    <xf numFmtId="0" fontId="31" fillId="6" borderId="0" xfId="0" quotePrefix="1" applyFont="1" applyFill="1" applyAlignment="1">
      <alignment horizontal="left" wrapText="1" indent="4"/>
    </xf>
    <xf numFmtId="0" fontId="31" fillId="14" borderId="29" xfId="0" applyFont="1" applyFill="1" applyBorder="1" applyAlignment="1">
      <alignment horizontal="center"/>
    </xf>
    <xf numFmtId="0" fontId="31" fillId="14" borderId="28" xfId="0" applyFont="1" applyFill="1" applyBorder="1" applyAlignment="1">
      <alignment horizontal="center"/>
    </xf>
    <xf numFmtId="0" fontId="31" fillId="6" borderId="0" xfId="0" quotePrefix="1" applyFont="1" applyFill="1" applyAlignment="1">
      <alignment horizontal="left" wrapText="1" indent="3"/>
    </xf>
    <xf numFmtId="0" fontId="36" fillId="6" borderId="0" xfId="0" applyFont="1" applyFill="1" applyAlignment="1">
      <alignment horizontal="left" wrapText="1"/>
    </xf>
    <xf numFmtId="0" fontId="0" fillId="6" borderId="0" xfId="0" applyFill="1" applyAlignment="1">
      <alignment horizontal="left" vertical="top" wrapText="1"/>
    </xf>
    <xf numFmtId="0" fontId="0" fillId="14" borderId="2" xfId="0" applyFill="1" applyBorder="1" applyAlignment="1">
      <alignment horizontal="center"/>
    </xf>
    <xf numFmtId="0" fontId="0" fillId="16" borderId="0" xfId="0" applyFill="1" applyAlignment="1">
      <alignment horizontal="center"/>
    </xf>
    <xf numFmtId="17" fontId="11" fillId="0" borderId="0" xfId="0" applyNumberFormat="1" applyFont="1" applyAlignment="1">
      <alignment horizontal="center"/>
    </xf>
    <xf numFmtId="0" fontId="18" fillId="3" borderId="0" xfId="0" applyFont="1" applyFill="1" applyAlignment="1">
      <alignment horizontal="center" vertical="center"/>
    </xf>
    <xf numFmtId="0" fontId="21" fillId="0" borderId="0" xfId="0" applyFont="1" applyAlignment="1">
      <alignment horizontal="center" wrapText="1"/>
    </xf>
    <xf numFmtId="17" fontId="0" fillId="4" borderId="0" xfId="0" applyNumberFormat="1" applyFill="1" applyAlignment="1">
      <alignment horizontal="center"/>
    </xf>
    <xf numFmtId="0" fontId="22" fillId="21" borderId="0" xfId="0" applyFont="1" applyFill="1" applyAlignment="1">
      <alignment horizontal="center"/>
    </xf>
    <xf numFmtId="17" fontId="15" fillId="3" borderId="0" xfId="2" quotePrefix="1" applyNumberFormat="1" applyFont="1" applyFill="1" applyAlignment="1">
      <alignment horizontal="center"/>
    </xf>
    <xf numFmtId="17" fontId="15" fillId="3" borderId="0" xfId="2" applyNumberFormat="1" applyFont="1" applyFill="1" applyAlignment="1">
      <alignment horizontal="center"/>
    </xf>
    <xf numFmtId="0" fontId="16" fillId="0" borderId="0" xfId="0" applyFont="1" applyAlignment="1">
      <alignment horizontal="center" wrapText="1"/>
    </xf>
    <xf numFmtId="17" fontId="7" fillId="3" borderId="0" xfId="0" applyNumberFormat="1" applyFont="1" applyFill="1" applyAlignment="1">
      <alignment horizontal="center"/>
    </xf>
    <xf numFmtId="0" fontId="39" fillId="28" borderId="0" xfId="0" applyFont="1" applyFill="1" applyAlignment="1">
      <alignment horizontal="center"/>
    </xf>
    <xf numFmtId="17" fontId="7" fillId="3" borderId="0" xfId="1" applyNumberFormat="1" applyFont="1" applyFill="1" applyAlignment="1">
      <alignment horizontal="center"/>
    </xf>
    <xf numFmtId="0" fontId="7" fillId="3" borderId="0" xfId="1" applyNumberFormat="1" applyFont="1" applyFill="1" applyAlignment="1">
      <alignment horizontal="center"/>
    </xf>
    <xf numFmtId="0" fontId="7" fillId="3" borderId="31" xfId="0" applyFont="1" applyFill="1" applyBorder="1" applyAlignment="1">
      <alignment horizontal="center"/>
    </xf>
  </cellXfs>
  <cellStyles count="133">
    <cellStyle name="Cambiar to&amp;do_Estimacion_Ganancias_Perdidas_Casa" xfId="10" xr:uid="{88C7B13D-C678-43D9-B112-F7AAEFD5D8C3}"/>
    <cellStyle name="Comma" xfId="1" builtinId="3"/>
    <cellStyle name="Comma 2" xfId="3" xr:uid="{263BB40A-2AD8-40DF-9D68-AB609DEF8197}"/>
    <cellStyle name="Comma 2 2" xfId="21" xr:uid="{799824E2-1CF6-4E7B-8064-FBD0233BF078}"/>
    <cellStyle name="Comma 2 2 2" xfId="31" xr:uid="{8EA7BB4F-23F6-4419-BCBF-CF6BF8488CAD}"/>
    <cellStyle name="Comma 2 2 2 2" xfId="49" xr:uid="{7A672256-53A1-419D-BE56-F443A5EF21AA}"/>
    <cellStyle name="Comma 2 2 2 2 2" xfId="123" xr:uid="{9C270F90-50A3-4334-9BBD-621F7C3FD9EC}"/>
    <cellStyle name="Comma 2 2 2 2 3" xfId="87" xr:uid="{E8CB4E25-4579-403D-AD0F-B8B99910506C}"/>
    <cellStyle name="Comma 2 2 2 3" xfId="105" xr:uid="{9FE258B7-C856-4917-9B96-554651A6A27A}"/>
    <cellStyle name="Comma 2 2 2 4" xfId="69" xr:uid="{F7DD1459-548F-4FD5-A097-1399DF503163}"/>
    <cellStyle name="Comma 2 2 3" xfId="40" xr:uid="{3FCD6C42-0E92-4EA6-A77B-AFC62394A42C}"/>
    <cellStyle name="Comma 2 2 3 2" xfId="114" xr:uid="{5E7F76B6-6F51-4F05-B4BD-50E2D2875231}"/>
    <cellStyle name="Comma 2 2 3 3" xfId="78" xr:uid="{06D0D92F-7880-48C6-A078-14964D065CE9}"/>
    <cellStyle name="Comma 2 2 4" xfId="96" xr:uid="{00644576-3926-4E28-8513-D0DAE1436E3E}"/>
    <cellStyle name="Comma 2 2 5" xfId="60" xr:uid="{AEF99820-AF07-452C-AA1B-69411E0F646C}"/>
    <cellStyle name="Comma 2 3" xfId="12" xr:uid="{A6AB2117-D989-45DB-8D5B-D3248C3EFE25}"/>
    <cellStyle name="Comma 3" xfId="18" xr:uid="{DF0CB2B4-20C9-48EF-AE23-1EAC28490B8E}"/>
    <cellStyle name="Comma 3 2" xfId="27" xr:uid="{F6519901-D59A-47BC-8EBE-90E14B32B0E5}"/>
    <cellStyle name="Comma 3 2 2" xfId="37" xr:uid="{65303FB3-9DB7-4665-A14C-BE65925F1D7F}"/>
    <cellStyle name="Comma 3 2 2 2" xfId="55" xr:uid="{725BE0B3-D47A-4FEF-BD56-F6E6E66FB848}"/>
    <cellStyle name="Comma 3 2 2 2 2" xfId="129" xr:uid="{D8DDE9F5-1F20-42B4-BCCD-5C88E334EF41}"/>
    <cellStyle name="Comma 3 2 2 2 3" xfId="93" xr:uid="{66B65BF8-B551-477D-A868-FF7532B4D9C2}"/>
    <cellStyle name="Comma 3 2 2 3" xfId="111" xr:uid="{5D8DDC64-9768-4192-B174-D2B175AE3C9A}"/>
    <cellStyle name="Comma 3 2 2 4" xfId="75" xr:uid="{24917974-67EA-4F59-8423-261FD2E9C603}"/>
    <cellStyle name="Comma 3 2 3" xfId="46" xr:uid="{6212B241-798E-442A-ADBE-7B8C59E97C59}"/>
    <cellStyle name="Comma 3 2 3 2" xfId="120" xr:uid="{44C287C9-0B47-43F5-BA63-1A7781294887}"/>
    <cellStyle name="Comma 3 2 3 3" xfId="84" xr:uid="{89890D6A-D135-48C9-86F5-F1ACAD35B93C}"/>
    <cellStyle name="Comma 3 2 4" xfId="102" xr:uid="{A086C447-0E8E-4C0D-8357-670F0E0F8DA5}"/>
    <cellStyle name="Comma 3 2 5" xfId="66" xr:uid="{D4FDE3D2-5712-4ABC-B233-54A34F66B29D}"/>
    <cellStyle name="Comma 3 3" xfId="29" xr:uid="{8B98386C-0599-472D-9FC0-47E889F25600}"/>
    <cellStyle name="Comma 3 3 2" xfId="47" xr:uid="{C737FB76-AA38-42F7-9036-05F46EECB1AC}"/>
    <cellStyle name="Comma 3 3 2 2" xfId="121" xr:uid="{E9C66580-2B11-4B0D-AF38-C58088C37012}"/>
    <cellStyle name="Comma 3 3 2 3" xfId="85" xr:uid="{EE97D045-0C5C-491E-9E3A-29FCBBCD229B}"/>
    <cellStyle name="Comma 3 3 3" xfId="103" xr:uid="{A25A51E5-E6F7-408D-A106-FEFBC29E7A26}"/>
    <cellStyle name="Comma 3 3 4" xfId="67" xr:uid="{CCE64DC3-8E6E-4A02-9D33-BA4CDF06537E}"/>
    <cellStyle name="Comma 3 4" xfId="38" xr:uid="{D2CA9C01-FAFE-44D2-9C92-BA7AA099480F}"/>
    <cellStyle name="Comma 3 4 2" xfId="112" xr:uid="{3CAD2362-4F06-410F-B4AF-42CA05DF2CF3}"/>
    <cellStyle name="Comma 3 4 3" xfId="76" xr:uid="{C46E3A1A-B540-413C-A989-7D18257A7A91}"/>
    <cellStyle name="Comma 3 5" xfId="94" xr:uid="{A62EF714-4C2A-4E34-BB80-146F55D699BF}"/>
    <cellStyle name="Comma 3 6" xfId="58" xr:uid="{FF5DD592-C702-4CC5-AB95-7CFB57E64797}"/>
    <cellStyle name="Comma 3 7" xfId="19" xr:uid="{34E217AA-246C-4DEB-A0A8-C43C6167EF2C}"/>
    <cellStyle name="Comma 4" xfId="131" xr:uid="{EBA00727-ECF1-4B22-B424-42D1409211C9}"/>
    <cellStyle name="Comma 5" xfId="5" xr:uid="{57546A43-C942-4B8A-B306-F37079A280CD}"/>
    <cellStyle name="Millares 10" xfId="7" xr:uid="{452EB2C6-620A-46D3-BE19-960FE5825632}"/>
    <cellStyle name="Millares 10 2" xfId="24" xr:uid="{3D8127F2-1B88-47A3-8654-7C64FCEF37BA}"/>
    <cellStyle name="Millares 10 2 2" xfId="34" xr:uid="{F43787DD-2703-45DB-BD06-2522F84053F5}"/>
    <cellStyle name="Millares 10 2 2 2" xfId="52" xr:uid="{D0A36A38-B11F-4265-B5C6-B9FE1B55B918}"/>
    <cellStyle name="Millares 10 2 2 2 2" xfId="126" xr:uid="{EE810036-9418-4F8D-AD90-C902148E0897}"/>
    <cellStyle name="Millares 10 2 2 2 3" xfId="90" xr:uid="{4C1132BF-2787-4225-A99C-97F1CDB5CE62}"/>
    <cellStyle name="Millares 10 2 2 3" xfId="108" xr:uid="{70DC7864-00FB-4A0C-8ED1-A93B09342E45}"/>
    <cellStyle name="Millares 10 2 2 4" xfId="72" xr:uid="{0E01A260-41B9-4CD6-84ED-AB05FFB9EBD2}"/>
    <cellStyle name="Millares 10 2 3" xfId="43" xr:uid="{16C8794F-0B3B-4A0F-8E28-BDC4C086F44C}"/>
    <cellStyle name="Millares 10 2 3 2" xfId="117" xr:uid="{B13B3F53-3253-49CA-B8DF-81C21BBC9803}"/>
    <cellStyle name="Millares 10 2 3 3" xfId="81" xr:uid="{3BD67A26-DE44-41F2-9CF0-6C122D2B2DFA}"/>
    <cellStyle name="Millares 10 2 4" xfId="99" xr:uid="{0374AB00-3876-4764-BE1B-2AAE5DE49BDD}"/>
    <cellStyle name="Millares 10 2 5" xfId="63" xr:uid="{ED2ADD71-6694-4FBB-B682-5B071E2C62C7}"/>
    <cellStyle name="Millares 2" xfId="13" xr:uid="{70232FB5-07E1-4E31-9440-DBA45422F75D}"/>
    <cellStyle name="Millares 2 2" xfId="22" xr:uid="{DCF844C3-50B1-445F-A83D-073222E84D37}"/>
    <cellStyle name="Millares 2 2 2" xfId="32" xr:uid="{80C464B6-AEFC-4796-89BF-9C30245D122C}"/>
    <cellStyle name="Millares 2 2 2 2" xfId="50" xr:uid="{F7E95058-F6F4-4202-8C70-7A48436883ED}"/>
    <cellStyle name="Millares 2 2 2 2 2" xfId="124" xr:uid="{D6B3260E-7C50-4E68-85BA-B20D0FEB15A2}"/>
    <cellStyle name="Millares 2 2 2 2 3" xfId="88" xr:uid="{0C93CB88-5B67-4F3A-B308-4290F42C516A}"/>
    <cellStyle name="Millares 2 2 2 3" xfId="106" xr:uid="{56EAF690-82BF-4C38-AACC-2B9EB9376B50}"/>
    <cellStyle name="Millares 2 2 2 4" xfId="70" xr:uid="{FFC335C4-6905-4F2D-9723-1D5DF7A1FC67}"/>
    <cellStyle name="Millares 2 2 3" xfId="41" xr:uid="{A5645F28-D94C-4C39-B88A-E601BE6BB3C4}"/>
    <cellStyle name="Millares 2 2 3 2" xfId="115" xr:uid="{3DE179A0-8696-47C8-8C8D-7A4D26F6FFA3}"/>
    <cellStyle name="Millares 2 2 3 3" xfId="79" xr:uid="{C8AC17C1-8921-4C27-8D81-DBAC25D40291}"/>
    <cellStyle name="Millares 2 2 4" xfId="97" xr:uid="{3071B593-6150-40DE-99BE-4647B3352402}"/>
    <cellStyle name="Millares 2 2 5" xfId="61" xr:uid="{9BFD58AF-07A9-4D29-AAF0-8EEABD6D149A}"/>
    <cellStyle name="Millares 2 3" xfId="14" xr:uid="{72230C17-FF13-4257-86AE-C9C213465023}"/>
    <cellStyle name="Millares 2 3 2" xfId="23" xr:uid="{7205205F-F8D9-49CB-BB8B-21167B36F848}"/>
    <cellStyle name="Millares 2 3 2 2" xfId="33" xr:uid="{09E17D8A-3140-43F9-B13F-C66EF636EE40}"/>
    <cellStyle name="Millares 2 3 2 2 2" xfId="51" xr:uid="{94E30F78-2544-4A1B-BD4B-DF9A392F9F4B}"/>
    <cellStyle name="Millares 2 3 2 2 2 2" xfId="125" xr:uid="{5DCD1DC5-A61B-4311-BDC1-B1FD9C53F50C}"/>
    <cellStyle name="Millares 2 3 2 2 2 3" xfId="89" xr:uid="{7E584B4F-9A52-4A15-8631-C671FC0D710E}"/>
    <cellStyle name="Millares 2 3 2 2 3" xfId="107" xr:uid="{6D83D993-75A9-424A-B862-6E7C009E5D8E}"/>
    <cellStyle name="Millares 2 3 2 2 4" xfId="71" xr:uid="{1C02EDC3-5869-4D70-B170-DA78AE514EBC}"/>
    <cellStyle name="Millares 2 3 2 3" xfId="42" xr:uid="{3F3D49D4-E216-4064-BB95-51264BEBDDCC}"/>
    <cellStyle name="Millares 2 3 2 3 2" xfId="116" xr:uid="{D3B86C37-5378-4BA2-B73D-8859C4A49CB5}"/>
    <cellStyle name="Millares 2 3 2 3 3" xfId="80" xr:uid="{313FBFA2-0084-4D58-83AD-9E28F7CB37FA}"/>
    <cellStyle name="Millares 2 3 2 4" xfId="98" xr:uid="{2566E9D9-A2F7-4252-B7D7-C4B728895297}"/>
    <cellStyle name="Millares 2 3 2 5" xfId="62" xr:uid="{159297BA-0D53-4D91-9E02-F32E73AA5539}"/>
    <cellStyle name="Millares 3" xfId="15" xr:uid="{B9924AFA-DE81-4805-9E31-8B846CB517F2}"/>
    <cellStyle name="Millares 3 2" xfId="25" xr:uid="{7E4873E5-CAA7-4132-9F3E-88C36A430FAC}"/>
    <cellStyle name="Millares 3 2 2" xfId="35" xr:uid="{AB94D423-0841-4064-948D-C6C4DA35BD4B}"/>
    <cellStyle name="Millares 3 2 2 2" xfId="53" xr:uid="{3A6B4DBD-327E-4519-81E1-7B7FB382FEE5}"/>
    <cellStyle name="Millares 3 2 2 2 2" xfId="127" xr:uid="{2451A082-178C-42D4-BB77-649DF522AEFD}"/>
    <cellStyle name="Millares 3 2 2 2 3" xfId="91" xr:uid="{CB3C9DD9-2F83-41E4-A9C6-57B225AFE81B}"/>
    <cellStyle name="Millares 3 2 2 3" xfId="109" xr:uid="{21D89C15-F1E6-4816-9150-A7D270C289C7}"/>
    <cellStyle name="Millares 3 2 2 4" xfId="73" xr:uid="{B9CEC602-2838-402B-87A1-A1086497A6F4}"/>
    <cellStyle name="Millares 3 2 3" xfId="44" xr:uid="{A9EE5433-E5F0-45EA-967B-54D797A792BB}"/>
    <cellStyle name="Millares 3 2 3 2" xfId="118" xr:uid="{7CD91A67-4DA9-48B0-986E-25E21184FE4B}"/>
    <cellStyle name="Millares 3 2 3 3" xfId="82" xr:uid="{EF09F1D3-D9C7-42BB-8304-31FA420B51A8}"/>
    <cellStyle name="Millares 3 2 4" xfId="100" xr:uid="{6A1575A7-EF0B-4C34-8EF8-2A1459AF3807}"/>
    <cellStyle name="Millares 3 2 5" xfId="64" xr:uid="{D42160E2-B777-4E00-BFEB-D27CFA5D9F9E}"/>
    <cellStyle name="Millares 4" xfId="20" xr:uid="{B246435E-21EF-4A26-A16D-42829C4BDB84}"/>
    <cellStyle name="Millares 4 2" xfId="30" xr:uid="{675E6945-3C45-47C0-8BF0-314866749704}"/>
    <cellStyle name="Millares 4 2 2" xfId="48" xr:uid="{7A0A6B25-F852-4577-BB0B-4D46F049CEB1}"/>
    <cellStyle name="Millares 4 2 2 2" xfId="122" xr:uid="{7A1EFC89-9C15-44AD-9935-B3E576743E58}"/>
    <cellStyle name="Millares 4 2 2 3" xfId="86" xr:uid="{EB4BE946-5771-4A83-B3D4-FA232D1EF413}"/>
    <cellStyle name="Millares 4 2 3" xfId="104" xr:uid="{B0CAD560-ECC6-4DD8-9185-EF26CE232B0B}"/>
    <cellStyle name="Millares 4 2 4" xfId="68" xr:uid="{D1038FCB-2025-4BCE-8E71-3B20220055F8}"/>
    <cellStyle name="Millares 4 3" xfId="39" xr:uid="{0D567F09-34F5-45FB-82BF-68970860F791}"/>
    <cellStyle name="Millares 4 3 2" xfId="113" xr:uid="{41A1F324-F869-4286-A11C-E9059B2E4790}"/>
    <cellStyle name="Millares 4 3 3" xfId="77" xr:uid="{3D8D9FF5-7B1C-4F3C-8387-9C704B04FD6B}"/>
    <cellStyle name="Millares 4 4" xfId="95" xr:uid="{8ADB5DDF-FF9D-4FE0-A542-1839B17ACD21}"/>
    <cellStyle name="Millares 4 5" xfId="59" xr:uid="{0A186F4B-EF49-4CCA-A51E-C311D9745253}"/>
    <cellStyle name="Millares 7" xfId="16" xr:uid="{509196A1-0BC8-4675-B7ED-6767B673B51B}"/>
    <cellStyle name="Millares 7 2" xfId="26" xr:uid="{1A4FF507-4CCF-4CD2-8789-D017BA571667}"/>
    <cellStyle name="Millares 7 2 2" xfId="36" xr:uid="{2497259E-0009-460F-BCDB-EFFEF4E91F8C}"/>
    <cellStyle name="Millares 7 2 2 2" xfId="54" xr:uid="{9161AC34-D716-442B-BDC4-252A4A6F6841}"/>
    <cellStyle name="Millares 7 2 2 2 2" xfId="128" xr:uid="{04077875-FE8D-4EF1-9856-8CB9AFEE38EE}"/>
    <cellStyle name="Millares 7 2 2 2 3" xfId="92" xr:uid="{D2CD6E09-CB33-4BCA-BA33-D3E0F7EC8897}"/>
    <cellStyle name="Millares 7 2 2 3" xfId="110" xr:uid="{A03F2134-41C5-4F6D-AF1D-EA97D9EA0048}"/>
    <cellStyle name="Millares 7 2 2 4" xfId="74" xr:uid="{B80E8599-B769-48E7-98B4-1CE3BC6409CE}"/>
    <cellStyle name="Millares 7 2 3" xfId="45" xr:uid="{5BEA10B3-E5B7-4001-8F78-5CD869D7C075}"/>
    <cellStyle name="Millares 7 2 3 2" xfId="119" xr:uid="{CBA3478C-525B-4D84-9871-FAEBEF8E3F2C}"/>
    <cellStyle name="Millares 7 2 3 3" xfId="83" xr:uid="{E8972862-505D-4D18-AA0D-1032F5F95264}"/>
    <cellStyle name="Millares 7 2 4" xfId="101" xr:uid="{04651201-E9ED-45D8-9F46-0D5C4CC0236B}"/>
    <cellStyle name="Millares 7 2 5" xfId="65" xr:uid="{858095EB-187A-431B-B74E-B45B73719438}"/>
    <cellStyle name="Millares 7 3" xfId="132" xr:uid="{0BC7357C-5D48-4C58-BB3A-C7076BEBC13D}"/>
    <cellStyle name="Normal" xfId="0" builtinId="0"/>
    <cellStyle name="Normal 10" xfId="8" xr:uid="{03FD36A3-C427-44EF-9567-3127B413D41B}"/>
    <cellStyle name="Normal 2" xfId="6" xr:uid="{BD672CD4-138D-456A-9739-3835A6BFA02F}"/>
    <cellStyle name="Normal 2 2" xfId="11" xr:uid="{5642774B-3C47-40B2-B7CE-8CC4B61061D3}"/>
    <cellStyle name="Normal 3" xfId="9" xr:uid="{B74DA3F1-25D6-430A-9A89-C52E4422D54C}"/>
    <cellStyle name="Normal 3 2" xfId="17" xr:uid="{41D4D327-9278-4F9B-A5C6-557FCF6E9628}"/>
    <cellStyle name="Normal 3 2 2" xfId="57" xr:uid="{1E3856DD-4285-47BC-921A-6195ABBA4CD0}"/>
    <cellStyle name="Normal 4" xfId="56" xr:uid="{D9CB5BD3-F356-4A39-BF26-5567BFD934F6}"/>
    <cellStyle name="Percent" xfId="2" builtinId="5"/>
    <cellStyle name="Percent 2" xfId="4" xr:uid="{D8791384-0E5C-45A0-A9D3-9AC02F3844EA}"/>
    <cellStyle name="Percent 2 2" xfId="130" xr:uid="{264C8380-C45A-42BE-B1E9-C6C87D7C76E2}"/>
    <cellStyle name="Porcentaje 2" xfId="28" xr:uid="{EAC174FC-96E3-4B7A-B21A-0730D52AB3F2}"/>
  </cellStyles>
  <dxfs count="63">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35" formatCode="_-* #,##0.00_-;\-* #,##0.00_-;_-* &quot;-&quot;??_-;_-@_-"/>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none">
          <bgColor auto="1"/>
        </patternFill>
      </fill>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180" formatCode="&quot;No Habia&quot;"/>
    </dxf>
    <dxf>
      <font>
        <color rgb="FF9C0006"/>
      </font>
      <fill>
        <patternFill>
          <bgColor rgb="FFFFC7CE"/>
        </patternFill>
      </fill>
    </dxf>
    <dxf>
      <font>
        <color rgb="FF006100"/>
      </font>
      <fill>
        <patternFill>
          <bgColor rgb="FFC6EFCE"/>
        </patternFill>
      </fill>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3" formatCode="0.0000000000"/>
    </dxf>
    <dxf>
      <numFmt numFmtId="172" formatCode="0.0000"/>
    </dxf>
    <dxf>
      <numFmt numFmtId="172" formatCode="0.0000"/>
    </dxf>
    <dxf>
      <numFmt numFmtId="172" formatCode="0.0000"/>
    </dxf>
    <dxf>
      <numFmt numFmtId="164" formatCode="_ * #,##0.00_ ;_ * \-#,##0.00_ ;_ * &quot;-&quot;??_ ;_ @_ "/>
    </dxf>
    <dxf>
      <font>
        <b val="0"/>
        <i val="0"/>
        <strike val="0"/>
        <condense val="0"/>
        <extend val="0"/>
        <outline val="0"/>
        <shadow val="0"/>
        <u val="none"/>
        <vertAlign val="baseline"/>
        <sz val="11"/>
        <color theme="1"/>
        <name val="Calibri"/>
        <family val="2"/>
        <scheme val="minor"/>
      </font>
      <numFmt numFmtId="168" formatCode="0.000000%"/>
    </dxf>
    <dxf>
      <font>
        <b val="0"/>
        <i val="0"/>
        <strike val="0"/>
        <condense val="0"/>
        <extend val="0"/>
        <outline val="0"/>
        <shadow val="0"/>
        <u val="none"/>
        <vertAlign val="baseline"/>
        <sz val="11"/>
        <color theme="1"/>
        <name val="Calibri"/>
        <family val="2"/>
        <scheme val="minor"/>
      </font>
    </dxf>
    <dxf>
      <numFmt numFmtId="19" formatCode="d/mm/yyyy"/>
    </dxf>
    <dxf>
      <font>
        <b val="0"/>
        <i val="0"/>
        <strike val="0"/>
        <condense val="0"/>
        <extend val="0"/>
        <outline val="0"/>
        <shadow val="0"/>
        <u val="none"/>
        <vertAlign val="baseline"/>
        <sz val="11"/>
        <color theme="1"/>
        <name val="Calibri"/>
        <family val="2"/>
        <scheme val="minor"/>
      </font>
    </dxf>
    <dxf>
      <numFmt numFmtId="0" formatCode="General"/>
    </dxf>
    <dxf>
      <numFmt numFmtId="167" formatCode="dd/mm/yyyy;@"/>
    </dxf>
    <dxf>
      <numFmt numFmtId="35" formatCode="_-* #,##0.00_-;\-* #,##0.00_-;_-* &quot;-&quot;??_-;_-@_-"/>
    </dxf>
    <dxf>
      <numFmt numFmtId="171" formatCode="_-* #,##0_-;\-* #,##0_-;_-* &quot;-&quot;??_-;_-@_-"/>
    </dxf>
    <dxf>
      <numFmt numFmtId="171" formatCode="_-* #,##0_-;\-* #,##0_-;_-* &quot;-&quot;??_-;_-@_-"/>
    </dxf>
    <dxf>
      <numFmt numFmtId="171" formatCode="_-* #,##0_-;\-* #,##0_-;_-* &quot;-&quot;??_-;_-@_-"/>
    </dxf>
    <dxf>
      <numFmt numFmtId="171" formatCode="_-* #,##0_-;\-* #,##0_-;_-* &quot;-&quot;??_-;_-@_-"/>
    </dxf>
    <dxf>
      <numFmt numFmtId="35" formatCode="_-* #,##0.00_-;\-* #,##0.00_-;_-* &quot;-&quot;??_-;_-@_-"/>
    </dxf>
    <dxf>
      <numFmt numFmtId="35" formatCode="_-* #,##0.00_-;\-* #,##0.00_-;_-* &quot;-&quot;??_-;_-@_-"/>
    </dxf>
    <dxf>
      <numFmt numFmtId="171" formatCode="_-* #,##0_-;\-* #,##0_-;_-* &quot;-&quot;??_-;_-@_-"/>
    </dxf>
    <dxf>
      <numFmt numFmtId="171" formatCode="_-* #,##0_-;\-* #,##0_-;_-* &quot;-&quot;??_-;_-@_-"/>
    </dxf>
    <dxf>
      <numFmt numFmtId="171" formatCode="_-* #,##0_-;\-* #,##0_-;_-* &quot;-&quot;??_-;_-@_-"/>
    </dxf>
    <dxf>
      <numFmt numFmtId="171" formatCode="_-* #,##0_-;\-* #,##0_-;_-* &quot;-&quot;??_-;_-@_-"/>
    </dxf>
    <dxf>
      <numFmt numFmtId="35" formatCode="_-* #,##0.00_-;\-* #,##0.00_-;_-* &quot;-&quot;??_-;_-@_-"/>
    </dxf>
  </dxfs>
  <tableStyles count="1" defaultTableStyle="TableStyleMedium2" defaultPivotStyle="PivotStyleLight16">
    <tableStyle name="Invisible" pivot="0" table="0" count="0" xr9:uid="{6D5FA5ED-72A4-4504-BAB1-630DE76406E6}"/>
  </tableStyles>
  <colors>
    <mruColors>
      <color rgb="FFAFC3E6"/>
      <color rgb="FFE3F2ED"/>
      <color rgb="FFFF8B8B"/>
      <color rgb="FFD4EAF3"/>
      <color rgb="FFA1B1F5"/>
      <color rgb="FFD5B8EA"/>
      <color rgb="FFC8E5DC"/>
      <color rgb="FFACD7CA"/>
      <color rgb="FFB7EEFF"/>
      <color rgb="FF516F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connections" Target="connections.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eetMetadata" Target="metadata.xml"/><Relationship Id="rId34" Type="http://schemas.openxmlformats.org/officeDocument/2006/relationships/customXml" Target="../customXml/item1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29" Type="http://schemas.openxmlformats.org/officeDocument/2006/relationships/customXml" Target="../customXml/item6.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10" Type="http://schemas.openxmlformats.org/officeDocument/2006/relationships/worksheet" Target="worksheets/sheet10.xml"/><Relationship Id="rId19" Type="http://schemas.openxmlformats.org/officeDocument/2006/relationships/styles" Target="styles.xml"/><Relationship Id="rId31" Type="http://schemas.openxmlformats.org/officeDocument/2006/relationships/customXml" Target="../customXml/item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10.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11.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12.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13.xml.rels><?xml version="1.0" encoding="UTF-8" standalone="yes"?>
<Relationships xmlns="http://schemas.openxmlformats.org/package/2006/relationships"><Relationship Id="rId1" Type="http://schemas.openxmlformats.org/officeDocument/2006/relationships/themeOverride" Target="../theme/themeOverride9.xml"/></Relationships>
</file>

<file path=xl/charts/_rels/chart1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1" Type="http://schemas.openxmlformats.org/officeDocument/2006/relationships/themeOverride" Target="../theme/themeOverride10.xml"/></Relationships>
</file>

<file path=xl/charts/_rels/chart19.xml.rels><?xml version="1.0" encoding="UTF-8" standalone="yes"?>
<Relationships xmlns="http://schemas.openxmlformats.org/package/2006/relationships"><Relationship Id="rId1" Type="http://schemas.openxmlformats.org/officeDocument/2006/relationships/themeOverride" Target="../theme/themeOverride11.xml"/></Relationships>
</file>

<file path=xl/charts/_rels/chart20.xml.rels><?xml version="1.0" encoding="UTF-8" standalone="yes"?>
<Relationships xmlns="http://schemas.openxmlformats.org/package/2006/relationships"><Relationship Id="rId1" Type="http://schemas.openxmlformats.org/officeDocument/2006/relationships/themeOverride" Target="../theme/themeOverride12.xml"/></Relationships>
</file>

<file path=xl/charts/_rels/chart21.xml.rels><?xml version="1.0" encoding="UTF-8" standalone="yes"?>
<Relationships xmlns="http://schemas.openxmlformats.org/package/2006/relationships"><Relationship Id="rId1" Type="http://schemas.openxmlformats.org/officeDocument/2006/relationships/themeOverride" Target="../theme/themeOverride13.xml"/></Relationships>
</file>

<file path=xl/charts/_rels/chart22.xml.rels><?xml version="1.0" encoding="UTF-8" standalone="yes"?>
<Relationships xmlns="http://schemas.openxmlformats.org/package/2006/relationships"><Relationship Id="rId1" Type="http://schemas.openxmlformats.org/officeDocument/2006/relationships/themeOverride" Target="../theme/themeOverride14.xml"/></Relationships>
</file>

<file path=xl/charts/_rels/chart23.xml.rels><?xml version="1.0" encoding="UTF-8" standalone="yes"?>
<Relationships xmlns="http://schemas.openxmlformats.org/package/2006/relationships"><Relationship Id="rId1" Type="http://schemas.openxmlformats.org/officeDocument/2006/relationships/themeOverride" Target="../theme/themeOverride15.xml"/></Relationships>
</file>

<file path=xl/charts/_rels/chart24.xml.rels><?xml version="1.0" encoding="UTF-8" standalone="yes"?>
<Relationships xmlns="http://schemas.openxmlformats.org/package/2006/relationships"><Relationship Id="rId1" Type="http://schemas.openxmlformats.org/officeDocument/2006/relationships/themeOverride" Target="../theme/themeOverride16.xml"/></Relationships>
</file>

<file path=xl/charts/_rels/chart25.xml.rels><?xml version="1.0" encoding="UTF-8" standalone="yes"?>
<Relationships xmlns="http://schemas.openxmlformats.org/package/2006/relationships"><Relationship Id="rId1" Type="http://schemas.openxmlformats.org/officeDocument/2006/relationships/themeOverride" Target="../theme/themeOverride17.xml"/></Relationships>
</file>

<file path=xl/charts/_rels/chart26.xml.rels><?xml version="1.0" encoding="UTF-8" standalone="yes"?>
<Relationships xmlns="http://schemas.openxmlformats.org/package/2006/relationships"><Relationship Id="rId1" Type="http://schemas.openxmlformats.org/officeDocument/2006/relationships/themeOverride" Target="../theme/themeOverride18.xml"/></Relationships>
</file>

<file path=xl/charts/_rels/chart27.xml.rels><?xml version="1.0" encoding="UTF-8" standalone="yes"?>
<Relationships xmlns="http://schemas.openxmlformats.org/package/2006/relationships"><Relationship Id="rId1" Type="http://schemas.openxmlformats.org/officeDocument/2006/relationships/themeOverride" Target="../theme/themeOverride19.xml"/></Relationships>
</file>

<file path=xl/charts/_rels/chart28.xml.rels><?xml version="1.0" encoding="UTF-8" standalone="yes"?>
<Relationships xmlns="http://schemas.openxmlformats.org/package/2006/relationships"><Relationship Id="rId1" Type="http://schemas.openxmlformats.org/officeDocument/2006/relationships/themeOverride" Target="../theme/themeOverride20.xml"/></Relationships>
</file>

<file path=xl/charts/_rels/chart29.xml.rels><?xml version="1.0" encoding="UTF-8" standalone="yes"?>
<Relationships xmlns="http://schemas.openxmlformats.org/package/2006/relationships"><Relationship Id="rId1" Type="http://schemas.openxmlformats.org/officeDocument/2006/relationships/themeOverride" Target="../theme/themeOverride21.xml"/></Relationships>
</file>

<file path=xl/charts/_rels/chart30.xml.rels><?xml version="1.0" encoding="UTF-8" standalone="yes"?>
<Relationships xmlns="http://schemas.openxmlformats.org/package/2006/relationships"><Relationship Id="rId1" Type="http://schemas.openxmlformats.org/officeDocument/2006/relationships/themeOverride" Target="../theme/themeOverride22.xml"/></Relationships>
</file>

<file path=xl/charts/_rels/chart31.xml.rels><?xml version="1.0" encoding="UTF-8" standalone="yes"?>
<Relationships xmlns="http://schemas.openxmlformats.org/package/2006/relationships"><Relationship Id="rId1" Type="http://schemas.openxmlformats.org/officeDocument/2006/relationships/themeOverride" Target="../theme/themeOverride23.xml"/></Relationships>
</file>

<file path=xl/charts/_rels/chart32.xml.rels><?xml version="1.0" encoding="UTF-8" standalone="yes"?>
<Relationships xmlns="http://schemas.openxmlformats.org/package/2006/relationships"><Relationship Id="rId1" Type="http://schemas.openxmlformats.org/officeDocument/2006/relationships/themeOverride" Target="../theme/themeOverride24.xml"/></Relationships>
</file>

<file path=xl/charts/_rels/chart33.xml.rels><?xml version="1.0" encoding="UTF-8" standalone="yes"?>
<Relationships xmlns="http://schemas.openxmlformats.org/package/2006/relationships"><Relationship Id="rId1" Type="http://schemas.openxmlformats.org/officeDocument/2006/relationships/themeOverride" Target="../theme/themeOverride25.xml"/></Relationships>
</file>

<file path=xl/charts/_rels/chart34.xml.rels><?xml version="1.0" encoding="UTF-8" standalone="yes"?>
<Relationships xmlns="http://schemas.openxmlformats.org/package/2006/relationships"><Relationship Id="rId1" Type="http://schemas.openxmlformats.org/officeDocument/2006/relationships/themeOverride" Target="../theme/themeOverride26.xml"/></Relationships>
</file>

<file path=xl/charts/_rels/chart35.xml.rels><?xml version="1.0" encoding="UTF-8" standalone="yes"?>
<Relationships xmlns="http://schemas.openxmlformats.org/package/2006/relationships"><Relationship Id="rId1" Type="http://schemas.openxmlformats.org/officeDocument/2006/relationships/themeOverride" Target="../theme/themeOverrid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26051294475764492"/>
          <c:y val="6.1129637145872232E-2"/>
          <c:w val="0.94054746127658684"/>
          <c:h val="0.93732574167143801"/>
        </c:manualLayout>
      </c:layout>
      <c:pieChart>
        <c:varyColors val="1"/>
        <c:ser>
          <c:idx val="0"/>
          <c:order val="0"/>
          <c:dPt>
            <c:idx val="0"/>
            <c:bubble3D val="0"/>
            <c:spPr>
              <a:pattFill prst="dashHorz">
                <a:fgClr>
                  <a:srgbClr val="0070C0"/>
                </a:fgClr>
                <a:bgClr>
                  <a:schemeClr val="bg1"/>
                </a:bgClr>
              </a:pattFill>
              <a:ln w="19050">
                <a:solidFill>
                  <a:schemeClr val="lt1"/>
                </a:solidFill>
              </a:ln>
              <a:effectLst/>
            </c:spPr>
            <c:extLst>
              <c:ext xmlns:c16="http://schemas.microsoft.com/office/drawing/2014/chart" uri="{C3380CC4-5D6E-409C-BE32-E72D297353CC}">
                <c16:uniqueId val="{0000003C-A427-4BFD-914D-D58333C418E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3E-A427-4BFD-914D-D58333C418E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40-A427-4BFD-914D-D58333C418E5}"/>
              </c:ext>
            </c:extLst>
          </c:dPt>
          <c:dPt>
            <c:idx val="3"/>
            <c:bubble3D val="0"/>
            <c:spPr>
              <a:gradFill flip="none" rotWithShape="1">
                <a:gsLst>
                  <a:gs pos="0">
                    <a:schemeClr val="accent6">
                      <a:lumMod val="5000"/>
                      <a:lumOff val="95000"/>
                    </a:schemeClr>
                  </a:gs>
                  <a:gs pos="74000">
                    <a:schemeClr val="accent6">
                      <a:lumMod val="45000"/>
                      <a:lumOff val="55000"/>
                    </a:schemeClr>
                  </a:gs>
                  <a:gs pos="83000">
                    <a:schemeClr val="accent6">
                      <a:lumMod val="45000"/>
                      <a:lumOff val="55000"/>
                    </a:schemeClr>
                  </a:gs>
                  <a:gs pos="100000">
                    <a:schemeClr val="accent6">
                      <a:lumMod val="30000"/>
                      <a:lumOff val="70000"/>
                    </a:schemeClr>
                  </a:gs>
                </a:gsLst>
                <a:lin ang="5400000" scaled="1"/>
                <a:tileRect/>
              </a:gradFill>
              <a:ln w="19050">
                <a:solidFill>
                  <a:schemeClr val="lt1"/>
                </a:solidFill>
              </a:ln>
              <a:effectLst/>
            </c:spPr>
            <c:extLst>
              <c:ext xmlns:c16="http://schemas.microsoft.com/office/drawing/2014/chart" uri="{C3380CC4-5D6E-409C-BE32-E72D297353CC}">
                <c16:uniqueId val="{00000042-A427-4BFD-914D-D58333C418E5}"/>
              </c:ext>
            </c:extLst>
          </c:dPt>
          <c:dPt>
            <c:idx val="4"/>
            <c:bubble3D val="0"/>
            <c:spPr>
              <a:pattFill prst="dashHorz">
                <a:fgClr>
                  <a:srgbClr val="3494BA"/>
                </a:fgClr>
                <a:bgClr>
                  <a:schemeClr val="bg1"/>
                </a:bgClr>
              </a:pattFill>
              <a:ln w="19050">
                <a:solidFill>
                  <a:schemeClr val="lt1"/>
                </a:solidFill>
              </a:ln>
              <a:effectLst/>
            </c:spPr>
            <c:extLst>
              <c:ext xmlns:c16="http://schemas.microsoft.com/office/drawing/2014/chart" uri="{C3380CC4-5D6E-409C-BE32-E72D297353CC}">
                <c16:uniqueId val="{00000044-A427-4BFD-914D-D58333C418E5}"/>
              </c:ext>
            </c:extLst>
          </c:dPt>
          <c:dPt>
            <c:idx val="5"/>
            <c:bubble3D val="0"/>
            <c:spPr>
              <a:noFill/>
              <a:ln w="19050">
                <a:solidFill>
                  <a:schemeClr val="lt1"/>
                </a:solidFill>
              </a:ln>
              <a:effectLst/>
            </c:spPr>
            <c:extLst>
              <c:ext xmlns:c16="http://schemas.microsoft.com/office/drawing/2014/chart" uri="{C3380CC4-5D6E-409C-BE32-E72D297353CC}">
                <c16:uniqueId val="{00000046-A427-4BFD-914D-D58333C418E5}"/>
              </c:ext>
            </c:extLst>
          </c:dPt>
          <c:dPt>
            <c:idx val="6"/>
            <c:bubble3D val="0"/>
            <c:spPr>
              <a:pattFill prst="dashHorz">
                <a:fgClr>
                  <a:srgbClr val="0070C0"/>
                </a:fgClr>
                <a:bgClr>
                  <a:schemeClr val="bg1"/>
                </a:bgClr>
              </a:pattFill>
              <a:ln w="19050">
                <a:solidFill>
                  <a:schemeClr val="lt1"/>
                </a:solidFill>
              </a:ln>
              <a:effectLst/>
            </c:spPr>
            <c:extLst>
              <c:ext xmlns:c16="http://schemas.microsoft.com/office/drawing/2014/chart" uri="{C3380CC4-5D6E-409C-BE32-E72D297353CC}">
                <c16:uniqueId val="{00000048-A427-4BFD-914D-D58333C418E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4A-A427-4BFD-914D-D58333C418E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4C-A427-4BFD-914D-D58333C418E5}"/>
              </c:ext>
            </c:extLst>
          </c:dPt>
          <c:dPt>
            <c:idx val="9"/>
            <c:bubble3D val="0"/>
            <c:spPr>
              <a:gradFill flip="none" rotWithShape="1">
                <a:gsLst>
                  <a:gs pos="0">
                    <a:schemeClr val="accent6">
                      <a:lumMod val="5000"/>
                      <a:lumOff val="95000"/>
                    </a:schemeClr>
                  </a:gs>
                  <a:gs pos="74000">
                    <a:schemeClr val="accent6">
                      <a:lumMod val="45000"/>
                      <a:lumOff val="55000"/>
                    </a:schemeClr>
                  </a:gs>
                  <a:gs pos="83000">
                    <a:schemeClr val="accent6">
                      <a:lumMod val="45000"/>
                      <a:lumOff val="55000"/>
                    </a:schemeClr>
                  </a:gs>
                  <a:gs pos="100000">
                    <a:schemeClr val="accent6">
                      <a:lumMod val="30000"/>
                      <a:lumOff val="70000"/>
                    </a:schemeClr>
                  </a:gs>
                </a:gsLst>
                <a:lin ang="5400000" scaled="1"/>
                <a:tileRect/>
              </a:gradFill>
              <a:ln w="19050">
                <a:solidFill>
                  <a:schemeClr val="lt1"/>
                </a:solidFill>
              </a:ln>
              <a:effectLst/>
            </c:spPr>
            <c:extLst>
              <c:ext xmlns:c16="http://schemas.microsoft.com/office/drawing/2014/chart" uri="{C3380CC4-5D6E-409C-BE32-E72D297353CC}">
                <c16:uniqueId val="{0000004E-A427-4BFD-914D-D58333C418E5}"/>
              </c:ext>
            </c:extLst>
          </c:dPt>
          <c:dPt>
            <c:idx val="10"/>
            <c:bubble3D val="0"/>
            <c:spPr>
              <a:pattFill prst="dashHorz">
                <a:fgClr>
                  <a:srgbClr val="3494BA"/>
                </a:fgClr>
                <a:bgClr>
                  <a:schemeClr val="bg1"/>
                </a:bgClr>
              </a:pattFill>
              <a:ln w="19050">
                <a:solidFill>
                  <a:schemeClr val="lt1"/>
                </a:solidFill>
              </a:ln>
              <a:effectLst/>
            </c:spPr>
            <c:extLst>
              <c:ext xmlns:c16="http://schemas.microsoft.com/office/drawing/2014/chart" uri="{C3380CC4-5D6E-409C-BE32-E72D297353CC}">
                <c16:uniqueId val="{00000050-A427-4BFD-914D-D58333C418E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52-A427-4BFD-914D-D58333C418E5}"/>
              </c:ext>
            </c:extLst>
          </c:dPt>
          <c:dPt>
            <c:idx val="12"/>
            <c:bubble3D val="0"/>
            <c:spPr>
              <a:gradFill flip="none" rotWithShape="1">
                <a:gsLst>
                  <a:gs pos="0">
                    <a:schemeClr val="accent6">
                      <a:lumMod val="5000"/>
                      <a:lumOff val="95000"/>
                    </a:schemeClr>
                  </a:gs>
                  <a:gs pos="74000">
                    <a:schemeClr val="accent6">
                      <a:lumMod val="45000"/>
                      <a:lumOff val="55000"/>
                    </a:schemeClr>
                  </a:gs>
                  <a:gs pos="83000">
                    <a:schemeClr val="accent6">
                      <a:lumMod val="45000"/>
                      <a:lumOff val="55000"/>
                    </a:schemeClr>
                  </a:gs>
                  <a:gs pos="100000">
                    <a:schemeClr val="accent6">
                      <a:lumMod val="30000"/>
                      <a:lumOff val="70000"/>
                    </a:schemeClr>
                  </a:gs>
                </a:gsLst>
                <a:lin ang="5400000" scaled="1"/>
                <a:tileRect/>
              </a:gradFill>
              <a:ln w="19050">
                <a:solidFill>
                  <a:schemeClr val="lt1"/>
                </a:solidFill>
              </a:ln>
              <a:effectLst/>
            </c:spPr>
            <c:extLst>
              <c:ext xmlns:c16="http://schemas.microsoft.com/office/drawing/2014/chart" uri="{C3380CC4-5D6E-409C-BE32-E72D297353CC}">
                <c16:uniqueId val="{00000054-A427-4BFD-914D-D58333C418E5}"/>
              </c:ext>
            </c:extLst>
          </c:dPt>
          <c:dPt>
            <c:idx val="13"/>
            <c:bubble3D val="0"/>
            <c:spPr>
              <a:noFill/>
              <a:ln w="19050">
                <a:solidFill>
                  <a:schemeClr val="lt1"/>
                </a:solidFill>
              </a:ln>
              <a:effectLst/>
            </c:spPr>
            <c:extLst>
              <c:ext xmlns:c16="http://schemas.microsoft.com/office/drawing/2014/chart" uri="{C3380CC4-5D6E-409C-BE32-E72D297353CC}">
                <c16:uniqueId val="{00000056-A427-4BFD-914D-D58333C418E5}"/>
              </c:ext>
            </c:extLst>
          </c:dPt>
          <c:dPt>
            <c:idx val="14"/>
            <c:bubble3D val="0"/>
            <c:spPr>
              <a:noFill/>
              <a:ln w="19050">
                <a:solidFill>
                  <a:schemeClr val="lt1"/>
                </a:solidFill>
              </a:ln>
              <a:effectLst/>
            </c:spPr>
            <c:extLst>
              <c:ext xmlns:c16="http://schemas.microsoft.com/office/drawing/2014/chart" uri="{C3380CC4-5D6E-409C-BE32-E72D297353CC}">
                <c16:uniqueId val="{00000058-A427-4BFD-914D-D58333C418E5}"/>
              </c:ext>
            </c:extLst>
          </c:dPt>
          <c:dPt>
            <c:idx val="15"/>
            <c:bubble3D val="0"/>
            <c:spPr>
              <a:gradFill>
                <a:gsLst>
                  <a:gs pos="0">
                    <a:schemeClr val="accent6">
                      <a:lumMod val="0"/>
                      <a:lumOff val="100000"/>
                    </a:schemeClr>
                  </a:gs>
                  <a:gs pos="74000">
                    <a:srgbClr val="AEC2E6"/>
                  </a:gs>
                  <a:gs pos="100000">
                    <a:srgbClr val="AEC2E6"/>
                  </a:gs>
                </a:gsLst>
                <a:path path="circle">
                  <a:fillToRect l="50000" t="-80000" r="50000" b="180000"/>
                </a:path>
              </a:gradFill>
              <a:ln w="19050">
                <a:solidFill>
                  <a:schemeClr val="lt1"/>
                </a:solidFill>
              </a:ln>
              <a:effectLst/>
            </c:spPr>
            <c:extLst>
              <c:ext xmlns:c16="http://schemas.microsoft.com/office/drawing/2014/chart" uri="{C3380CC4-5D6E-409C-BE32-E72D297353CC}">
                <c16:uniqueId val="{0000005A-A427-4BFD-914D-D58333C418E5}"/>
              </c:ext>
            </c:extLst>
          </c:dPt>
          <c:dPt>
            <c:idx val="16"/>
            <c:bubble3D val="0"/>
            <c:spPr>
              <a:pattFill prst="dashHorz">
                <a:fgClr>
                  <a:srgbClr val="3494BA"/>
                </a:fgClr>
                <a:bgClr>
                  <a:schemeClr val="bg1"/>
                </a:bgClr>
              </a:pattFill>
              <a:ln w="19050">
                <a:solidFill>
                  <a:schemeClr val="lt1"/>
                </a:solidFill>
              </a:ln>
              <a:effectLst/>
            </c:spPr>
            <c:extLst>
              <c:ext xmlns:c16="http://schemas.microsoft.com/office/drawing/2014/chart" uri="{C3380CC4-5D6E-409C-BE32-E72D297353CC}">
                <c16:uniqueId val="{0000005C-A427-4BFD-914D-D58333C418E5}"/>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5E-A427-4BFD-914D-D58333C418E5}"/>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60-A427-4BFD-914D-D58333C418E5}"/>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62-A427-4BFD-914D-D58333C418E5}"/>
              </c:ext>
            </c:extLst>
          </c:dPt>
          <c:dPt>
            <c:idx val="20"/>
            <c:bubble3D val="0"/>
            <c:spPr>
              <a:gradFill>
                <a:gsLst>
                  <a:gs pos="0">
                    <a:schemeClr val="accent6">
                      <a:lumMod val="0"/>
                      <a:lumOff val="100000"/>
                    </a:schemeClr>
                  </a:gs>
                  <a:gs pos="74000">
                    <a:srgbClr val="AEC2E6"/>
                  </a:gs>
                  <a:gs pos="100000">
                    <a:srgbClr val="AEC2E6"/>
                  </a:gs>
                </a:gsLst>
                <a:path path="circle">
                  <a:fillToRect l="50000" t="-80000" r="50000" b="180000"/>
                </a:path>
              </a:gradFill>
              <a:ln w="19050">
                <a:solidFill>
                  <a:schemeClr val="lt1"/>
                </a:solidFill>
              </a:ln>
              <a:effectLst/>
            </c:spPr>
            <c:extLst>
              <c:ext xmlns:c16="http://schemas.microsoft.com/office/drawing/2014/chart" uri="{C3380CC4-5D6E-409C-BE32-E72D297353CC}">
                <c16:uniqueId val="{00000064-A427-4BFD-914D-D58333C418E5}"/>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66-A427-4BFD-914D-D58333C418E5}"/>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68-A427-4BFD-914D-D58333C418E5}"/>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6A-A427-4BFD-914D-D58333C418E5}"/>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6C-A427-4BFD-914D-D58333C418E5}"/>
              </c:ext>
            </c:extLst>
          </c:dPt>
          <c:dPt>
            <c:idx val="25"/>
            <c:bubble3D val="0"/>
            <c:spPr>
              <a:noFill/>
              <a:ln w="19050">
                <a:solidFill>
                  <a:schemeClr val="lt1"/>
                </a:solidFill>
              </a:ln>
              <a:effectLst/>
            </c:spPr>
            <c:extLst>
              <c:ext xmlns:c16="http://schemas.microsoft.com/office/drawing/2014/chart" uri="{C3380CC4-5D6E-409C-BE32-E72D297353CC}">
                <c16:uniqueId val="{0000006E-A427-4BFD-914D-D58333C418E5}"/>
              </c:ext>
            </c:extLst>
          </c:dPt>
          <c:dPt>
            <c:idx val="26"/>
            <c:bubble3D val="0"/>
            <c:spPr>
              <a:gradFill flip="none" rotWithShape="1">
                <a:gsLst>
                  <a:gs pos="0">
                    <a:schemeClr val="accent4">
                      <a:lumMod val="5000"/>
                      <a:lumOff val="95000"/>
                    </a:schemeClr>
                  </a:gs>
                  <a:gs pos="24000">
                    <a:schemeClr val="accent4">
                      <a:lumMod val="45000"/>
                      <a:lumOff val="55000"/>
                    </a:schemeClr>
                  </a:gs>
                  <a:gs pos="100000">
                    <a:schemeClr val="accent4">
                      <a:lumMod val="45000"/>
                      <a:lumOff val="55000"/>
                    </a:schemeClr>
                  </a:gs>
                  <a:gs pos="100000">
                    <a:schemeClr val="accent4">
                      <a:lumMod val="30000"/>
                      <a:lumOff val="70000"/>
                    </a:schemeClr>
                  </a:gs>
                </a:gsLst>
                <a:lin ang="5400000" scaled="1"/>
                <a:tileRect/>
              </a:gradFill>
              <a:ln w="19050">
                <a:solidFill>
                  <a:schemeClr val="lt1"/>
                </a:solidFill>
              </a:ln>
              <a:effectLst/>
            </c:spPr>
            <c:extLst>
              <c:ext xmlns:c16="http://schemas.microsoft.com/office/drawing/2014/chart" uri="{C3380CC4-5D6E-409C-BE32-E72D297353CC}">
                <c16:uniqueId val="{00000070-A427-4BFD-914D-D58333C418E5}"/>
              </c:ext>
            </c:extLst>
          </c:dPt>
          <c:dLbls>
            <c:dLbl>
              <c:idx val="1"/>
              <c:delete val="1"/>
              <c:extLst>
                <c:ext xmlns:c15="http://schemas.microsoft.com/office/drawing/2012/chart" uri="{CE6537A1-D6FC-4f65-9D91-7224C49458BB}"/>
                <c:ext xmlns:c16="http://schemas.microsoft.com/office/drawing/2014/chart" uri="{C3380CC4-5D6E-409C-BE32-E72D297353CC}">
                  <c16:uniqueId val="{0000003E-A427-4BFD-914D-D58333C418E5}"/>
                </c:ext>
              </c:extLst>
            </c:dLbl>
            <c:dLbl>
              <c:idx val="2"/>
              <c:delete val="1"/>
              <c:extLst>
                <c:ext xmlns:c15="http://schemas.microsoft.com/office/drawing/2012/chart" uri="{CE6537A1-D6FC-4f65-9D91-7224C49458BB}"/>
                <c:ext xmlns:c16="http://schemas.microsoft.com/office/drawing/2014/chart" uri="{C3380CC4-5D6E-409C-BE32-E72D297353CC}">
                  <c16:uniqueId val="{00000040-A427-4BFD-914D-D58333C418E5}"/>
                </c:ext>
              </c:extLst>
            </c:dLbl>
            <c:dLbl>
              <c:idx val="5"/>
              <c:delete val="1"/>
              <c:extLst>
                <c:ext xmlns:c15="http://schemas.microsoft.com/office/drawing/2012/chart" uri="{CE6537A1-D6FC-4f65-9D91-7224C49458BB}"/>
                <c:ext xmlns:c16="http://schemas.microsoft.com/office/drawing/2014/chart" uri="{C3380CC4-5D6E-409C-BE32-E72D297353CC}">
                  <c16:uniqueId val="{00000046-A427-4BFD-914D-D58333C418E5}"/>
                </c:ext>
              </c:extLst>
            </c:dLbl>
            <c:dLbl>
              <c:idx val="7"/>
              <c:delete val="1"/>
              <c:extLst>
                <c:ext xmlns:c15="http://schemas.microsoft.com/office/drawing/2012/chart" uri="{CE6537A1-D6FC-4f65-9D91-7224C49458BB}"/>
                <c:ext xmlns:c16="http://schemas.microsoft.com/office/drawing/2014/chart" uri="{C3380CC4-5D6E-409C-BE32-E72D297353CC}">
                  <c16:uniqueId val="{0000004A-A427-4BFD-914D-D58333C418E5}"/>
                </c:ext>
              </c:extLst>
            </c:dLbl>
            <c:dLbl>
              <c:idx val="8"/>
              <c:delete val="1"/>
              <c:extLst>
                <c:ext xmlns:c15="http://schemas.microsoft.com/office/drawing/2012/chart" uri="{CE6537A1-D6FC-4f65-9D91-7224C49458BB}"/>
                <c:ext xmlns:c16="http://schemas.microsoft.com/office/drawing/2014/chart" uri="{C3380CC4-5D6E-409C-BE32-E72D297353CC}">
                  <c16:uniqueId val="{0000004C-A427-4BFD-914D-D58333C418E5}"/>
                </c:ext>
              </c:extLst>
            </c:dLbl>
            <c:dLbl>
              <c:idx val="9"/>
              <c:layout>
                <c:manualLayout>
                  <c:x val="-3.751553075221941E-2"/>
                  <c:y val="-5.7961490340776557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4E-A427-4BFD-914D-D58333C418E5}"/>
                </c:ext>
              </c:extLst>
            </c:dLbl>
            <c:dLbl>
              <c:idx val="10"/>
              <c:layout>
                <c:manualLayout>
                  <c:x val="-5.5514286802536499E-2"/>
                  <c:y val="-3.6964395529826097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50-A427-4BFD-914D-D58333C418E5}"/>
                </c:ext>
              </c:extLst>
            </c:dLbl>
            <c:dLbl>
              <c:idx val="11"/>
              <c:delete val="1"/>
              <c:extLst>
                <c:ext xmlns:c15="http://schemas.microsoft.com/office/drawing/2012/chart" uri="{CE6537A1-D6FC-4f65-9D91-7224C49458BB}"/>
                <c:ext xmlns:c16="http://schemas.microsoft.com/office/drawing/2014/chart" uri="{C3380CC4-5D6E-409C-BE32-E72D297353CC}">
                  <c16:uniqueId val="{00000052-A427-4BFD-914D-D58333C418E5}"/>
                </c:ext>
              </c:extLst>
            </c:dLbl>
            <c:dLbl>
              <c:idx val="12"/>
              <c:layout>
                <c:manualLayout>
                  <c:x val="-5.3385250436189602E-3"/>
                  <c:y val="-6.960733467688140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54-A427-4BFD-914D-D58333C418E5}"/>
                </c:ext>
              </c:extLst>
            </c:dLbl>
            <c:dLbl>
              <c:idx val="13"/>
              <c:delete val="1"/>
              <c:extLst>
                <c:ext xmlns:c15="http://schemas.microsoft.com/office/drawing/2012/chart" uri="{CE6537A1-D6FC-4f65-9D91-7224C49458BB}"/>
                <c:ext xmlns:c16="http://schemas.microsoft.com/office/drawing/2014/chart" uri="{C3380CC4-5D6E-409C-BE32-E72D297353CC}">
                  <c16:uniqueId val="{00000056-A427-4BFD-914D-D58333C418E5}"/>
                </c:ext>
              </c:extLst>
            </c:dLbl>
            <c:dLbl>
              <c:idx val="14"/>
              <c:delete val="1"/>
              <c:extLst>
                <c:ext xmlns:c15="http://schemas.microsoft.com/office/drawing/2012/chart" uri="{CE6537A1-D6FC-4f65-9D91-7224C49458BB}"/>
                <c:ext xmlns:c16="http://schemas.microsoft.com/office/drawing/2014/chart" uri="{C3380CC4-5D6E-409C-BE32-E72D297353CC}">
                  <c16:uniqueId val="{00000058-A427-4BFD-914D-D58333C418E5}"/>
                </c:ext>
              </c:extLst>
            </c:dLbl>
            <c:dLbl>
              <c:idx val="17"/>
              <c:delete val="1"/>
              <c:extLst>
                <c:ext xmlns:c15="http://schemas.microsoft.com/office/drawing/2012/chart" uri="{CE6537A1-D6FC-4f65-9D91-7224C49458BB}"/>
                <c:ext xmlns:c16="http://schemas.microsoft.com/office/drawing/2014/chart" uri="{C3380CC4-5D6E-409C-BE32-E72D297353CC}">
                  <c16:uniqueId val="{0000005E-A427-4BFD-914D-D58333C418E5}"/>
                </c:ext>
              </c:extLst>
            </c:dLbl>
            <c:dLbl>
              <c:idx val="18"/>
              <c:delete val="1"/>
              <c:extLst>
                <c:ext xmlns:c15="http://schemas.microsoft.com/office/drawing/2012/chart" uri="{CE6537A1-D6FC-4f65-9D91-7224C49458BB}"/>
                <c:ext xmlns:c16="http://schemas.microsoft.com/office/drawing/2014/chart" uri="{C3380CC4-5D6E-409C-BE32-E72D297353CC}">
                  <c16:uniqueId val="{00000060-A427-4BFD-914D-D58333C418E5}"/>
                </c:ext>
              </c:extLst>
            </c:dLbl>
            <c:dLbl>
              <c:idx val="19"/>
              <c:delete val="1"/>
              <c:extLst>
                <c:ext xmlns:c15="http://schemas.microsoft.com/office/drawing/2012/chart" uri="{CE6537A1-D6FC-4f65-9D91-7224C49458BB}"/>
                <c:ext xmlns:c16="http://schemas.microsoft.com/office/drawing/2014/chart" uri="{C3380CC4-5D6E-409C-BE32-E72D297353CC}">
                  <c16:uniqueId val="{00000062-A427-4BFD-914D-D58333C418E5}"/>
                </c:ext>
              </c:extLst>
            </c:dLbl>
            <c:dLbl>
              <c:idx val="21"/>
              <c:delete val="1"/>
              <c:extLst>
                <c:ext xmlns:c15="http://schemas.microsoft.com/office/drawing/2012/chart" uri="{CE6537A1-D6FC-4f65-9D91-7224C49458BB}"/>
                <c:ext xmlns:c16="http://schemas.microsoft.com/office/drawing/2014/chart" uri="{C3380CC4-5D6E-409C-BE32-E72D297353CC}">
                  <c16:uniqueId val="{00000066-A427-4BFD-914D-D58333C418E5}"/>
                </c:ext>
              </c:extLst>
            </c:dLbl>
            <c:dLbl>
              <c:idx val="22"/>
              <c:delete val="1"/>
              <c:extLst>
                <c:ext xmlns:c15="http://schemas.microsoft.com/office/drawing/2012/chart" uri="{CE6537A1-D6FC-4f65-9D91-7224C49458BB}"/>
                <c:ext xmlns:c16="http://schemas.microsoft.com/office/drawing/2014/chart" uri="{C3380CC4-5D6E-409C-BE32-E72D297353CC}">
                  <c16:uniqueId val="{00000068-A427-4BFD-914D-D58333C418E5}"/>
                </c:ext>
              </c:extLst>
            </c:dLbl>
            <c:dLbl>
              <c:idx val="23"/>
              <c:delete val="1"/>
              <c:extLst>
                <c:ext xmlns:c15="http://schemas.microsoft.com/office/drawing/2012/chart" uri="{CE6537A1-D6FC-4f65-9D91-7224C49458BB}"/>
                <c:ext xmlns:c16="http://schemas.microsoft.com/office/drawing/2014/chart" uri="{C3380CC4-5D6E-409C-BE32-E72D297353CC}">
                  <c16:uniqueId val="{0000006A-A427-4BFD-914D-D58333C418E5}"/>
                </c:ext>
              </c:extLst>
            </c:dLbl>
            <c:dLbl>
              <c:idx val="24"/>
              <c:delete val="1"/>
              <c:extLst>
                <c:ext xmlns:c15="http://schemas.microsoft.com/office/drawing/2012/chart" uri="{CE6537A1-D6FC-4f65-9D91-7224C49458BB}"/>
                <c:ext xmlns:c16="http://schemas.microsoft.com/office/drawing/2014/chart" uri="{C3380CC4-5D6E-409C-BE32-E72D297353CC}">
                  <c16:uniqueId val="{0000006C-A427-4BFD-914D-D58333C418E5}"/>
                </c:ext>
              </c:extLst>
            </c:dLbl>
            <c:dLbl>
              <c:idx val="25"/>
              <c:delete val="1"/>
              <c:extLst>
                <c:ext xmlns:c15="http://schemas.microsoft.com/office/drawing/2012/chart" uri="{CE6537A1-D6FC-4f65-9D91-7224C49458BB}"/>
                <c:ext xmlns:c16="http://schemas.microsoft.com/office/drawing/2014/chart" uri="{C3380CC4-5D6E-409C-BE32-E72D297353CC}">
                  <c16:uniqueId val="{0000006E-A427-4BFD-914D-D58333C418E5}"/>
                </c:ext>
              </c:extLst>
            </c:dLbl>
            <c:dLbl>
              <c:idx val="26"/>
              <c:delete val="1"/>
              <c:extLst>
                <c:ext xmlns:c15="http://schemas.microsoft.com/office/drawing/2012/chart" uri="{CE6537A1-D6FC-4f65-9D91-7224C49458BB}"/>
                <c:ext xmlns:c16="http://schemas.microsoft.com/office/drawing/2014/chart" uri="{C3380CC4-5D6E-409C-BE32-E72D297353CC}">
                  <c16:uniqueId val="{00000070-A427-4BFD-914D-D58333C418E5}"/>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50000"/>
                      </a:schemeClr>
                    </a:solidFill>
                    <a:latin typeface="Trebuchet MS" panose="020B0603020202020204" pitchFamily="34" charset="0"/>
                    <a:ea typeface="+mn-ea"/>
                    <a:cs typeface="+mn-cs"/>
                  </a:defRPr>
                </a:pPr>
                <a:endParaRPr lang="es-PE"/>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Presentacion!$AI$4:$AI$31</c:f>
              <c:strCache>
                <c:ptCount val="28"/>
                <c:pt idx="0">
                  <c:v>MSCI</c:v>
                </c:pt>
                <c:pt idx="1">
                  <c:v>Riesgos</c:v>
                </c:pt>
                <c:pt idx="2">
                  <c:v>No</c:v>
                </c:pt>
                <c:pt idx="3">
                  <c:v>MSCI</c:v>
                </c:pt>
                <c:pt idx="4">
                  <c:v>Riesgos</c:v>
                </c:pt>
                <c:pt idx="5">
                  <c:v>No</c:v>
                </c:pt>
                <c:pt idx="6">
                  <c:v>MSCI</c:v>
                </c:pt>
                <c:pt idx="7">
                  <c:v>Riesgos</c:v>
                </c:pt>
                <c:pt idx="8">
                  <c:v>No</c:v>
                </c:pt>
                <c:pt idx="9">
                  <c:v>MSCI</c:v>
                </c:pt>
                <c:pt idx="10">
                  <c:v>Riesgos</c:v>
                </c:pt>
                <c:pt idx="11">
                  <c:v>No</c:v>
                </c:pt>
                <c:pt idx="12">
                  <c:v>MSCI</c:v>
                </c:pt>
                <c:pt idx="13">
                  <c:v>Riesgos</c:v>
                </c:pt>
                <c:pt idx="14">
                  <c:v>No</c:v>
                </c:pt>
                <c:pt idx="15">
                  <c:v>MSCI</c:v>
                </c:pt>
                <c:pt idx="16">
                  <c:v>Riesgos</c:v>
                </c:pt>
                <c:pt idx="17">
                  <c:v>No</c:v>
                </c:pt>
                <c:pt idx="18">
                  <c:v>MSCI</c:v>
                </c:pt>
                <c:pt idx="19">
                  <c:v>Riesgos</c:v>
                </c:pt>
                <c:pt idx="20">
                  <c:v>No</c:v>
                </c:pt>
                <c:pt idx="21">
                  <c:v>MSCI</c:v>
                </c:pt>
                <c:pt idx="22">
                  <c:v>Riesgos</c:v>
                </c:pt>
                <c:pt idx="23">
                  <c:v>No</c:v>
                </c:pt>
                <c:pt idx="24">
                  <c:v>MSCI</c:v>
                </c:pt>
                <c:pt idx="25">
                  <c:v>Riesgos</c:v>
                </c:pt>
                <c:pt idx="26">
                  <c:v>No</c:v>
                </c:pt>
                <c:pt idx="27">
                  <c:v>Cash</c:v>
                </c:pt>
              </c:strCache>
            </c:strRef>
          </c:cat>
          <c:val>
            <c:numRef>
              <c:f>Presentacion!$AK$4:$AK$31</c:f>
              <c:numCache>
                <c:formatCode>0.00%</c:formatCode>
                <c:ptCount val="28"/>
                <c:pt idx="0">
                  <c:v>0.24426184619635632</c:v>
                </c:pt>
                <c:pt idx="1">
                  <c:v>0</c:v>
                </c:pt>
                <c:pt idx="2">
                  <c:v>0</c:v>
                </c:pt>
                <c:pt idx="3">
                  <c:v>4.3871446844557044E-2</c:v>
                </c:pt>
                <c:pt idx="4">
                  <c:v>0</c:v>
                </c:pt>
                <c:pt idx="5">
                  <c:v>3.4768225716156134E-2</c:v>
                </c:pt>
                <c:pt idx="6">
                  <c:v>3.9692865589651176E-2</c:v>
                </c:pt>
                <c:pt idx="7">
                  <c:v>0</c:v>
                </c:pt>
                <c:pt idx="8">
                  <c:v>0</c:v>
                </c:pt>
                <c:pt idx="9">
                  <c:v>2.7912581313712062E-2</c:v>
                </c:pt>
                <c:pt idx="10">
                  <c:v>0</c:v>
                </c:pt>
                <c:pt idx="11">
                  <c:v>1.616694445404069E-3</c:v>
                </c:pt>
                <c:pt idx="12">
                  <c:v>4.8302374697643084E-2</c:v>
                </c:pt>
                <c:pt idx="13">
                  <c:v>0</c:v>
                </c:pt>
                <c:pt idx="14">
                  <c:v>9.4049356842650315E-3</c:v>
                </c:pt>
                <c:pt idx="15">
                  <c:v>0.15685400018084683</c:v>
                </c:pt>
                <c:pt idx="16">
                  <c:v>0</c:v>
                </c:pt>
                <c:pt idx="17">
                  <c:v>2.1153668380786212E-2</c:v>
                </c:pt>
                <c:pt idx="18">
                  <c:v>0</c:v>
                </c:pt>
                <c:pt idx="19">
                  <c:v>0</c:v>
                </c:pt>
                <c:pt idx="20">
                  <c:v>0</c:v>
                </c:pt>
                <c:pt idx="21">
                  <c:v>0.18979508572626957</c:v>
                </c:pt>
                <c:pt idx="22">
                  <c:v>0</c:v>
                </c:pt>
                <c:pt idx="23">
                  <c:v>1.3788900045660192E-7</c:v>
                </c:pt>
                <c:pt idx="24">
                  <c:v>0</c:v>
                </c:pt>
                <c:pt idx="25">
                  <c:v>0</c:v>
                </c:pt>
                <c:pt idx="26">
                  <c:v>0.15948016098735712</c:v>
                </c:pt>
                <c:pt idx="27">
                  <c:v>1.8611876194370717E-2</c:v>
                </c:pt>
              </c:numCache>
            </c:numRef>
          </c:val>
          <c:extLst>
            <c:ext xmlns:c16="http://schemas.microsoft.com/office/drawing/2014/chart" uri="{C3380CC4-5D6E-409C-BE32-E72D297353CC}">
              <c16:uniqueId val="{00000071-A427-4BFD-914D-D58333C418E5}"/>
            </c:ext>
          </c:extLst>
        </c:ser>
        <c:dLbls>
          <c:dLblPos val="inEnd"/>
          <c:showLegendKey val="0"/>
          <c:showVal val="0"/>
          <c:showCatName val="1"/>
          <c:showSerName val="0"/>
          <c:showPercent val="1"/>
          <c:showBubbleSize val="0"/>
          <c:showLeaderLines val="1"/>
        </c:dLbls>
        <c:firstSliceAng val="0"/>
      </c:pieChart>
    </c:plotArea>
    <c:plotVisOnly val="1"/>
    <c:dispBlanksAs val="gap"/>
    <c:showDLblsOverMax val="0"/>
    <c:extLst/>
  </c:chart>
  <c:spPr>
    <a:noFill/>
    <a:ln w="9525" cap="flat" cmpd="sng" algn="ctr">
      <a:noFill/>
      <a:round/>
    </a:ln>
    <a:effectLst/>
  </c:spPr>
  <c:txPr>
    <a:bodyPr/>
    <a:lstStyle/>
    <a:p>
      <a:pPr>
        <a:defRPr/>
      </a:pPr>
      <a:endParaRPr lang="es-P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gradFill>
              <a:gsLst>
                <a:gs pos="0">
                  <a:schemeClr val="accent2">
                    <a:lumMod val="20000"/>
                    <a:lumOff val="80000"/>
                    <a:shade val="30000"/>
                    <a:satMod val="115000"/>
                  </a:schemeClr>
                </a:gs>
                <a:gs pos="50000">
                  <a:schemeClr val="accent2">
                    <a:lumMod val="20000"/>
                    <a:lumOff val="80000"/>
                    <a:shade val="67500"/>
                    <a:satMod val="115000"/>
                  </a:schemeClr>
                </a:gs>
                <a:gs pos="100000">
                  <a:schemeClr val="accent2">
                    <a:lumMod val="20000"/>
                    <a:lumOff val="80000"/>
                    <a:shade val="100000"/>
                    <a:satMod val="115000"/>
                  </a:schemeClr>
                </a:gs>
              </a:gsLst>
              <a:path path="circle">
                <a:fillToRect l="100000" b="100000"/>
              </a:path>
            </a:gradFill>
          </c:spPr>
          <c:dPt>
            <c:idx val="0"/>
            <c:bubble3D val="0"/>
            <c:spPr>
              <a:gradFill flip="none" rotWithShape="1">
                <a:gsLst>
                  <a:gs pos="100000">
                    <a:srgbClr val="A1C6E7"/>
                  </a:gs>
                  <a:gs pos="60000">
                    <a:srgbClr val="BAD5ED"/>
                  </a:gs>
                  <a:gs pos="24000">
                    <a:srgbClr val="EFF5FB"/>
                  </a:gs>
                </a:gsLst>
                <a:path path="circle">
                  <a:fillToRect t="100000" r="100000"/>
                </a:path>
                <a:tileRect l="-100000" b="-100000"/>
              </a:gradFill>
              <a:ln w="19050">
                <a:solidFill>
                  <a:schemeClr val="lt1"/>
                </a:solidFill>
              </a:ln>
              <a:effectLst/>
            </c:spPr>
            <c:extLst>
              <c:ext xmlns:c16="http://schemas.microsoft.com/office/drawing/2014/chart" uri="{C3380CC4-5D6E-409C-BE32-E72D297353CC}">
                <c16:uniqueId val="{0000002E-2482-4047-8BDE-CCC58CC7DC30}"/>
              </c:ext>
            </c:extLst>
          </c:dPt>
          <c:dPt>
            <c:idx val="1"/>
            <c:bubble3D val="0"/>
            <c:spPr>
              <a:gradFill flip="none" rotWithShape="1">
                <a:gsLst>
                  <a:gs pos="4000">
                    <a:srgbClr val="ECF3FA"/>
                  </a:gs>
                  <a:gs pos="48000">
                    <a:srgbClr val="C4DBF0"/>
                  </a:gs>
                  <a:gs pos="100000">
                    <a:schemeClr val="accent5">
                      <a:lumMod val="60000"/>
                      <a:lumOff val="40000"/>
                    </a:schemeClr>
                  </a:gs>
                </a:gsLst>
                <a:path path="circle">
                  <a:fillToRect r="100000" b="100000"/>
                </a:path>
                <a:tileRect l="-100000" t="-100000"/>
              </a:gradFill>
              <a:ln w="19050">
                <a:solidFill>
                  <a:schemeClr val="lt1"/>
                </a:solidFill>
              </a:ln>
              <a:effectLst/>
            </c:spPr>
            <c:extLst>
              <c:ext xmlns:c16="http://schemas.microsoft.com/office/drawing/2014/chart" uri="{C3380CC4-5D6E-409C-BE32-E72D297353CC}">
                <c16:uniqueId val="{00000030-2482-4047-8BDE-CCC58CC7DC30}"/>
              </c:ext>
            </c:extLst>
          </c:dPt>
          <c:dPt>
            <c:idx val="2"/>
            <c:bubble3D val="0"/>
            <c:spPr>
              <a:gradFill flip="none" rotWithShape="1">
                <a:gsLst>
                  <a:gs pos="0">
                    <a:schemeClr val="accent5">
                      <a:lumMod val="20000"/>
                      <a:lumOff val="80000"/>
                    </a:schemeClr>
                  </a:gs>
                  <a:gs pos="50000">
                    <a:schemeClr val="accent5">
                      <a:lumMod val="40000"/>
                      <a:lumOff val="60000"/>
                    </a:schemeClr>
                  </a:gs>
                  <a:gs pos="100000">
                    <a:schemeClr val="accent5">
                      <a:lumMod val="60000"/>
                      <a:lumOff val="40000"/>
                    </a:schemeClr>
                  </a:gs>
                </a:gsLst>
                <a:path path="circle">
                  <a:fillToRect r="100000" b="100000"/>
                </a:path>
                <a:tileRect l="-100000" t="-100000"/>
              </a:gradFill>
              <a:ln w="19050">
                <a:solidFill>
                  <a:schemeClr val="lt1"/>
                </a:solidFill>
              </a:ln>
              <a:effectLst/>
            </c:spPr>
            <c:extLst>
              <c:ext xmlns:c16="http://schemas.microsoft.com/office/drawing/2014/chart" uri="{C3380CC4-5D6E-409C-BE32-E72D297353CC}">
                <c16:uniqueId val="{00000032-2482-4047-8BDE-CCC58CC7DC30}"/>
              </c:ext>
            </c:extLst>
          </c:dPt>
          <c:dPt>
            <c:idx val="3"/>
            <c:bubble3D val="0"/>
            <c:spPr>
              <a:gradFill flip="none" rotWithShape="1">
                <a:gsLst>
                  <a:gs pos="0">
                    <a:srgbClr val="EAF2FA"/>
                  </a:gs>
                  <a:gs pos="37000">
                    <a:srgbClr val="D8E7F5"/>
                  </a:gs>
                  <a:gs pos="99000">
                    <a:srgbClr val="A1C6E7"/>
                  </a:gs>
                </a:gsLst>
                <a:path path="circle">
                  <a:fillToRect r="100000" b="100000"/>
                </a:path>
                <a:tileRect l="-100000" t="-100000"/>
              </a:gradFill>
              <a:ln w="19050">
                <a:solidFill>
                  <a:schemeClr val="lt1"/>
                </a:solidFill>
              </a:ln>
              <a:effectLst/>
            </c:spPr>
            <c:extLst>
              <c:ext xmlns:c16="http://schemas.microsoft.com/office/drawing/2014/chart" uri="{C3380CC4-5D6E-409C-BE32-E72D297353CC}">
                <c16:uniqueId val="{00000034-2482-4047-8BDE-CCC58CC7DC30}"/>
              </c:ext>
            </c:extLst>
          </c:dPt>
          <c:dPt>
            <c:idx val="4"/>
            <c:bubble3D val="0"/>
            <c:spPr>
              <a:gradFill flip="none" rotWithShape="1">
                <a:gsLst>
                  <a:gs pos="0">
                    <a:srgbClr val="F1F7FB"/>
                  </a:gs>
                  <a:gs pos="100000">
                    <a:srgbClr val="A1C6E7"/>
                  </a:gs>
                </a:gsLst>
                <a:path path="circle">
                  <a:fillToRect r="100000" b="100000"/>
                </a:path>
                <a:tileRect l="-100000" t="-100000"/>
              </a:gradFill>
              <a:ln w="19050">
                <a:solidFill>
                  <a:schemeClr val="lt1"/>
                </a:solidFill>
              </a:ln>
              <a:effectLst/>
            </c:spPr>
            <c:extLst>
              <c:ext xmlns:c16="http://schemas.microsoft.com/office/drawing/2014/chart" uri="{C3380CC4-5D6E-409C-BE32-E72D297353CC}">
                <c16:uniqueId val="{00000036-2482-4047-8BDE-CCC58CC7DC30}"/>
              </c:ext>
            </c:extLst>
          </c:dPt>
          <c:dPt>
            <c:idx val="5"/>
            <c:bubble3D val="0"/>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19050">
                <a:solidFill>
                  <a:schemeClr val="lt1"/>
                </a:solidFill>
              </a:ln>
              <a:effectLst/>
            </c:spPr>
            <c:extLst>
              <c:ext xmlns:c16="http://schemas.microsoft.com/office/drawing/2014/chart" uri="{C3380CC4-5D6E-409C-BE32-E72D297353CC}">
                <c16:uniqueId val="{00000038-2482-4047-8BDE-CCC58CC7DC30}"/>
              </c:ext>
            </c:extLst>
          </c:dPt>
          <c:dPt>
            <c:idx val="6"/>
            <c:bubble3D val="0"/>
            <c:spPr>
              <a:gradFill>
                <a:gsLst>
                  <a:gs pos="95000">
                    <a:srgbClr val="A7BCE3"/>
                  </a:gs>
                  <a:gs pos="59000">
                    <a:srgbClr val="B1C4E7"/>
                  </a:gs>
                  <a:gs pos="0">
                    <a:srgbClr val="E7EDF7"/>
                  </a:gs>
                </a:gsLst>
                <a:path path="circle">
                  <a:fillToRect l="100000" b="100000"/>
                </a:path>
              </a:gradFill>
              <a:ln w="19050">
                <a:solidFill>
                  <a:schemeClr val="lt1"/>
                </a:solidFill>
              </a:ln>
              <a:effectLst/>
            </c:spPr>
            <c:extLst>
              <c:ext xmlns:c16="http://schemas.microsoft.com/office/drawing/2014/chart" uri="{C3380CC4-5D6E-409C-BE32-E72D297353CC}">
                <c16:uniqueId val="{0000003A-2482-4047-8BDE-CCC58CC7DC30}"/>
              </c:ext>
            </c:extLst>
          </c:dPt>
          <c:dPt>
            <c:idx val="7"/>
            <c:bubble3D val="0"/>
            <c:spPr>
              <a:gradFill flip="none" rotWithShape="1">
                <a:gsLst>
                  <a:gs pos="20000">
                    <a:srgbClr val="EBF0F9"/>
                  </a:gs>
                  <a:gs pos="58000">
                    <a:srgbClr val="C3D2ED"/>
                  </a:gs>
                  <a:gs pos="95000">
                    <a:srgbClr val="A7BCE3"/>
                  </a:gs>
                </a:gsLst>
                <a:path path="circle">
                  <a:fillToRect l="100000" b="100000"/>
                </a:path>
                <a:tileRect t="-100000" r="-100000"/>
              </a:gradFill>
              <a:ln w="19050">
                <a:solidFill>
                  <a:schemeClr val="lt1"/>
                </a:solidFill>
              </a:ln>
              <a:effectLst/>
            </c:spPr>
            <c:extLst>
              <c:ext xmlns:c16="http://schemas.microsoft.com/office/drawing/2014/chart" uri="{C3380CC4-5D6E-409C-BE32-E72D297353CC}">
                <c16:uniqueId val="{0000003C-2482-4047-8BDE-CCC58CC7DC30}"/>
              </c:ext>
            </c:extLst>
          </c:dPt>
          <c:dPt>
            <c:idx val="8"/>
            <c:bubble3D val="0"/>
            <c:spPr>
              <a:gradFill flip="none" rotWithShape="1">
                <a:gsLst>
                  <a:gs pos="0">
                    <a:schemeClr val="bg1"/>
                  </a:gs>
                  <a:gs pos="100000">
                    <a:srgbClr val="D2EAE2"/>
                  </a:gs>
                  <a:gs pos="56000">
                    <a:srgbClr val="E3F2ED"/>
                  </a:gs>
                </a:gsLst>
                <a:path path="circle">
                  <a:fillToRect l="100000" t="100000"/>
                </a:path>
                <a:tileRect r="-100000" b="-100000"/>
              </a:gradFill>
              <a:ln w="19050">
                <a:solidFill>
                  <a:schemeClr val="lt1"/>
                </a:solidFill>
              </a:ln>
              <a:effectLst/>
            </c:spPr>
            <c:extLst>
              <c:ext xmlns:c16="http://schemas.microsoft.com/office/drawing/2014/chart" uri="{C3380CC4-5D6E-409C-BE32-E72D297353CC}">
                <c16:uniqueId val="{0000003E-2482-4047-8BDE-CCC58CC7DC30}"/>
              </c:ext>
            </c:extLst>
          </c:dPt>
          <c:dPt>
            <c:idx val="9"/>
            <c:bubble3D val="0"/>
            <c:spPr>
              <a:gradFill flip="none" rotWithShape="1">
                <a:gsLst>
                  <a:gs pos="63000">
                    <a:srgbClr val="D9D9D9"/>
                  </a:gs>
                  <a:gs pos="0">
                    <a:schemeClr val="bg1"/>
                  </a:gs>
                </a:gsLst>
                <a:path path="circle">
                  <a:fillToRect l="100000" t="100000"/>
                </a:path>
                <a:tileRect r="-100000" b="-100000"/>
              </a:gradFill>
              <a:ln w="19050">
                <a:solidFill>
                  <a:schemeClr val="lt1"/>
                </a:solidFill>
              </a:ln>
              <a:effectLst/>
            </c:spPr>
            <c:extLst>
              <c:ext xmlns:c16="http://schemas.microsoft.com/office/drawing/2014/chart" uri="{C3380CC4-5D6E-409C-BE32-E72D297353CC}">
                <c16:uniqueId val="{00000040-2482-4047-8BDE-CCC58CC7DC30}"/>
              </c:ext>
            </c:extLst>
          </c:dPt>
          <c:dLbls>
            <c:dLbl>
              <c:idx val="0"/>
              <c:layout>
                <c:manualLayout>
                  <c:x val="-0.11023193138556116"/>
                  <c:y val="0.21975249000657088"/>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14688280731464759"/>
                      <c:h val="0.15928499390249809"/>
                    </c:manualLayout>
                  </c15:layout>
                </c:ext>
                <c:ext xmlns:c16="http://schemas.microsoft.com/office/drawing/2014/chart" uri="{C3380CC4-5D6E-409C-BE32-E72D297353CC}">
                  <c16:uniqueId val="{0000002E-2482-4047-8BDE-CCC58CC7DC30}"/>
                </c:ext>
              </c:extLst>
            </c:dLbl>
            <c:dLbl>
              <c:idx val="1"/>
              <c:layout>
                <c:manualLayout>
                  <c:x val="-0.12320040140988713"/>
                  <c:y val="-0.10101377592583181"/>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15287145472988106"/>
                      <c:h val="0.13844816272769636"/>
                    </c:manualLayout>
                  </c15:layout>
                </c:ext>
                <c:ext xmlns:c16="http://schemas.microsoft.com/office/drawing/2014/chart" uri="{C3380CC4-5D6E-409C-BE32-E72D297353CC}">
                  <c16:uniqueId val="{00000030-2482-4047-8BDE-CCC58CC7DC30}"/>
                </c:ext>
              </c:extLst>
            </c:dLbl>
            <c:dLbl>
              <c:idx val="2"/>
              <c:layout>
                <c:manualLayout>
                  <c:x val="-8.1052937652038082E-2"/>
                  <c:y val="-8.2347201989412797E-2"/>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1203522875472593"/>
                      <c:h val="0.10806173469418273"/>
                    </c:manualLayout>
                  </c15:layout>
                </c:ext>
                <c:ext xmlns:c16="http://schemas.microsoft.com/office/drawing/2014/chart" uri="{C3380CC4-5D6E-409C-BE32-E72D297353CC}">
                  <c16:uniqueId val="{00000032-2482-4047-8BDE-CCC58CC7DC30}"/>
                </c:ext>
              </c:extLst>
            </c:dLbl>
            <c:dLbl>
              <c:idx val="3"/>
              <c:layout>
                <c:manualLayout>
                  <c:x val="-5.7905184364456561E-2"/>
                  <c:y val="-0.13814645337301598"/>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12287497859335272"/>
                      <c:h val="0.12325494871093955"/>
                    </c:manualLayout>
                  </c15:layout>
                </c:ext>
                <c:ext xmlns:c16="http://schemas.microsoft.com/office/drawing/2014/chart" uri="{C3380CC4-5D6E-409C-BE32-E72D297353CC}">
                  <c16:uniqueId val="{00000034-2482-4047-8BDE-CCC58CC7DC30}"/>
                </c:ext>
              </c:extLst>
            </c:dLbl>
            <c:dLbl>
              <c:idx val="4"/>
              <c:layout>
                <c:manualLayout>
                  <c:x val="-4.7033922941451187E-3"/>
                  <c:y val="-0.10582916666666667"/>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8.0500898388049566E-2"/>
                      <c:h val="0.10109705640974176"/>
                    </c:manualLayout>
                  </c15:layout>
                </c:ext>
                <c:ext xmlns:c16="http://schemas.microsoft.com/office/drawing/2014/chart" uri="{C3380CC4-5D6E-409C-BE32-E72D297353CC}">
                  <c16:uniqueId val="{00000036-2482-4047-8BDE-CCC58CC7DC30}"/>
                </c:ext>
              </c:extLst>
            </c:dLbl>
            <c:dLbl>
              <c:idx val="5"/>
              <c:layout>
                <c:manualLayout>
                  <c:x val="9.9909628554123983E-2"/>
                  <c:y val="-0.17050520833333332"/>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11389550756807314"/>
                      <c:h val="0.10046512768580433"/>
                    </c:manualLayout>
                  </c15:layout>
                </c:ext>
                <c:ext xmlns:c16="http://schemas.microsoft.com/office/drawing/2014/chart" uri="{C3380CC4-5D6E-409C-BE32-E72D297353CC}">
                  <c16:uniqueId val="{00000038-2482-4047-8BDE-CCC58CC7DC30}"/>
                </c:ext>
              </c:extLst>
            </c:dLbl>
            <c:dLbl>
              <c:idx val="6"/>
              <c:delete val="1"/>
              <c:extLst>
                <c:ext xmlns:c15="http://schemas.microsoft.com/office/drawing/2012/chart" uri="{CE6537A1-D6FC-4f65-9D91-7224C49458BB}">
                  <c15:layout>
                    <c:manualLayout>
                      <c:w val="0.1459311726890701"/>
                      <c:h val="0.13085155571931792"/>
                    </c:manualLayout>
                  </c15:layout>
                </c:ext>
                <c:ext xmlns:c16="http://schemas.microsoft.com/office/drawing/2014/chart" uri="{C3380CC4-5D6E-409C-BE32-E72D297353CC}">
                  <c16:uniqueId val="{0000003A-2482-4047-8BDE-CCC58CC7DC30}"/>
                </c:ext>
              </c:extLst>
            </c:dLbl>
            <c:dLbl>
              <c:idx val="7"/>
              <c:showLegendKey val="0"/>
              <c:showVal val="1"/>
              <c:showCatName val="1"/>
              <c:showSerName val="0"/>
              <c:showPercent val="0"/>
              <c:showBubbleSize val="0"/>
              <c:separator>
</c:separator>
              <c:extLst>
                <c:ext xmlns:c15="http://schemas.microsoft.com/office/drawing/2012/chart" uri="{CE6537A1-D6FC-4f65-9D91-7224C49458BB}">
                  <c15:layout>
                    <c:manualLayout>
                      <c:w val="0.11218318162058197"/>
                      <c:h val="0.12325494871093955"/>
                    </c:manualLayout>
                  </c15:layout>
                </c:ext>
                <c:ext xmlns:c16="http://schemas.microsoft.com/office/drawing/2014/chart" uri="{C3380CC4-5D6E-409C-BE32-E72D297353CC}">
                  <c16:uniqueId val="{0000003C-2482-4047-8BDE-CCC58CC7DC30}"/>
                </c:ext>
              </c:extLst>
            </c:dLbl>
            <c:dLbl>
              <c:idx val="8"/>
              <c:showLegendKey val="0"/>
              <c:showVal val="1"/>
              <c:showCatName val="1"/>
              <c:showSerName val="0"/>
              <c:showPercent val="0"/>
              <c:showBubbleSize val="0"/>
              <c:separator>
</c:separator>
              <c:extLst>
                <c:ext xmlns:c15="http://schemas.microsoft.com/office/drawing/2012/chart" uri="{CE6537A1-D6FC-4f65-9D91-7224C49458BB}">
                  <c15:layout>
                    <c:manualLayout>
                      <c:w val="0.1161131213970127"/>
                      <c:h val="0.11144139993907878"/>
                    </c:manualLayout>
                  </c15:layout>
                </c:ext>
                <c:ext xmlns:c16="http://schemas.microsoft.com/office/drawing/2014/chart" uri="{C3380CC4-5D6E-409C-BE32-E72D297353CC}">
                  <c16:uniqueId val="{0000003E-2482-4047-8BDE-CCC58CC7DC30}"/>
                </c:ext>
              </c:extLst>
            </c:dLbl>
            <c:dLbl>
              <c:idx val="9"/>
              <c:layout>
                <c:manualLayout>
                  <c:x val="1.6210587530407616E-2"/>
                  <c:y val="0.10526254126745298"/>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10407125158856685"/>
                      <c:h val="0.11144139993907878"/>
                    </c:manualLayout>
                  </c15:layout>
                </c:ext>
                <c:ext xmlns:c16="http://schemas.microsoft.com/office/drawing/2014/chart" uri="{C3380CC4-5D6E-409C-BE32-E72D297353CC}">
                  <c16:uniqueId val="{00000040-2482-4047-8BDE-CCC58CC7DC30}"/>
                </c:ext>
              </c:extLst>
            </c:dLbl>
            <c:numFmt formatCode="0.0%" sourceLinked="0"/>
            <c:spPr>
              <a:noFill/>
              <a:ln>
                <a:noFill/>
              </a:ln>
              <a:effectLst/>
            </c:spPr>
            <c:txPr>
              <a:bodyPr rot="0" spcFirstLastPara="1" vertOverflow="ellipsis" vert="horz" wrap="square" anchor="ctr" anchorCtr="1"/>
              <a:lstStyle/>
              <a:p>
                <a:pPr>
                  <a:defRPr sz="900" b="1" i="0" u="none" strike="noStrike" kern="1200" baseline="0">
                    <a:solidFill>
                      <a:srgbClr val="686868"/>
                    </a:solidFill>
                    <a:latin typeface="Trebuchet MS" panose="020B0603020202020204" pitchFamily="34" charset="0"/>
                    <a:ea typeface="+mn-ea"/>
                    <a:cs typeface="+mn-cs"/>
                  </a:defRPr>
                </a:pPr>
                <a:endParaRPr lang="es-PE"/>
              </a:p>
            </c:txPr>
            <c:showLegendKey val="0"/>
            <c:showVal val="1"/>
            <c:showCatName val="1"/>
            <c:showSerName val="0"/>
            <c:showPercent val="0"/>
            <c:showBubbleSize val="0"/>
            <c:separator>
</c:separator>
            <c:showLeaderLines val="0"/>
            <c:extLst>
              <c:ext xmlns:c15="http://schemas.microsoft.com/office/drawing/2012/chart" uri="{CE6537A1-D6FC-4f65-9D91-7224C49458BB}"/>
            </c:extLst>
          </c:dLbls>
          <c:cat>
            <c:strRef>
              <c:f>Presentacion!$AB$4:$AB$13</c:f>
              <c:strCache>
                <c:ptCount val="10"/>
                <c:pt idx="0">
                  <c:v>RFLGOB</c:v>
                </c:pt>
                <c:pt idx="1">
                  <c:v>RFLBU</c:v>
                </c:pt>
                <c:pt idx="2">
                  <c:v>RFIGOB</c:v>
                </c:pt>
                <c:pt idx="3">
                  <c:v>RFIBU</c:v>
                </c:pt>
                <c:pt idx="4">
                  <c:v>RFITD</c:v>
                </c:pt>
                <c:pt idx="5">
                  <c:v>RVLBU</c:v>
                </c:pt>
                <c:pt idx="6">
                  <c:v>RVITD</c:v>
                </c:pt>
                <c:pt idx="7">
                  <c:v>ALT</c:v>
                </c:pt>
                <c:pt idx="8">
                  <c:v>Cash</c:v>
                </c:pt>
                <c:pt idx="9">
                  <c:v>=IF(E802="ALT";LEFT(E802;3);LEFT(E802;3)&amp;F802)</c:v>
                </c:pt>
              </c:strCache>
            </c:strRef>
          </c:cat>
          <c:val>
            <c:numRef>
              <c:f>Presentacion!$AC$4:$AC$13</c:f>
              <c:numCache>
                <c:formatCode>0.00%</c:formatCode>
                <c:ptCount val="10"/>
                <c:pt idx="0">
                  <c:v>0.24426184619635632</c:v>
                </c:pt>
                <c:pt idx="1">
                  <c:v>7.8639672560713192E-2</c:v>
                </c:pt>
                <c:pt idx="2">
                  <c:v>2.8185029818395765E-2</c:v>
                </c:pt>
                <c:pt idx="3">
                  <c:v>2.9529275759116128E-2</c:v>
                </c:pt>
                <c:pt idx="4">
                  <c:v>6.9215146153163529E-2</c:v>
                </c:pt>
                <c:pt idx="5">
                  <c:v>0.17860770606538673</c:v>
                </c:pt>
                <c:pt idx="6">
                  <c:v>0.18979522361527004</c:v>
                </c:pt>
                <c:pt idx="7">
                  <c:v>0.15948016098735712</c:v>
                </c:pt>
                <c:pt idx="8">
                  <c:v>1.8611960682701358E-2</c:v>
                </c:pt>
                <c:pt idx="9">
                  <c:v>3.6739781615397664E-3</c:v>
                </c:pt>
              </c:numCache>
            </c:numRef>
          </c:val>
          <c:extLst>
            <c:ext xmlns:c16="http://schemas.microsoft.com/office/drawing/2014/chart" uri="{C3380CC4-5D6E-409C-BE32-E72D297353CC}">
              <c16:uniqueId val="{00000041-2482-4047-8BDE-CCC58CC7DC30}"/>
            </c:ext>
          </c:extLst>
        </c:ser>
        <c:dLbls>
          <c:showLegendKey val="0"/>
          <c:showVal val="1"/>
          <c:showCatName val="1"/>
          <c:showSerName val="0"/>
          <c:showPercent val="0"/>
          <c:showBubbleSize val="0"/>
          <c:showLeaderLines val="0"/>
        </c:dLbls>
        <c:firstSliceAng val="0"/>
      </c:pieChart>
    </c:plotArea>
    <c:plotVisOnly val="1"/>
    <c:dispBlanksAs val="gap"/>
    <c:showDLblsOverMax val="0"/>
    <c:extLst/>
  </c:chart>
  <c:spPr>
    <a:noFill/>
  </c:spPr>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pieChart>
        <c:varyColors val="1"/>
        <c:dLbls>
          <c:showLegendKey val="0"/>
          <c:showVal val="0"/>
          <c:showCatName val="1"/>
          <c:showSerName val="0"/>
          <c:showPercent val="1"/>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8F7-47D9-8A9E-2F7223727BC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8F7-47D9-8A9E-2F7223727BC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8F7-47D9-8A9E-2F7223727BC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8F7-47D9-8A9E-2F7223727BC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8F7-47D9-8A9E-2F7223727BC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8F7-47D9-8A9E-2F7223727BC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8F7-47D9-8A9E-2F7223727BC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8F7-47D9-8A9E-2F7223727BC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8F7-47D9-8A9E-2F7223727BC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8F7-47D9-8A9E-2F7223727BC8}"/>
              </c:ext>
            </c:extLst>
          </c:dPt>
          <c:cat>
            <c:strRef>
              <c:f>Presentacion!$AB$4:$AB$13</c:f>
              <c:strCache>
                <c:ptCount val="10"/>
                <c:pt idx="0">
                  <c:v>RFLGOB</c:v>
                </c:pt>
                <c:pt idx="1">
                  <c:v>RFLBU</c:v>
                </c:pt>
                <c:pt idx="2">
                  <c:v>RFIGOB</c:v>
                </c:pt>
                <c:pt idx="3">
                  <c:v>RFIBU</c:v>
                </c:pt>
                <c:pt idx="4">
                  <c:v>RFITD</c:v>
                </c:pt>
                <c:pt idx="5">
                  <c:v>RVLBU</c:v>
                </c:pt>
                <c:pt idx="6">
                  <c:v>RVITD</c:v>
                </c:pt>
                <c:pt idx="7">
                  <c:v>ALT</c:v>
                </c:pt>
                <c:pt idx="8">
                  <c:v>Cash</c:v>
                </c:pt>
                <c:pt idx="9">
                  <c:v>=IF(E802="ALT";LEFT(E802;3);LEFT(E802;3)&amp;F802)</c:v>
                </c:pt>
              </c:strCache>
            </c:strRef>
          </c:cat>
          <c:val>
            <c:numRef>
              <c:f>Presentacion!$AC$4:$AC$13</c:f>
              <c:numCache>
                <c:formatCode>0.00%</c:formatCode>
                <c:ptCount val="10"/>
                <c:pt idx="0">
                  <c:v>0.24426184619635632</c:v>
                </c:pt>
                <c:pt idx="1">
                  <c:v>7.8639672560713192E-2</c:v>
                </c:pt>
                <c:pt idx="2">
                  <c:v>2.8185029818395765E-2</c:v>
                </c:pt>
                <c:pt idx="3">
                  <c:v>2.9529275759116128E-2</c:v>
                </c:pt>
                <c:pt idx="4">
                  <c:v>6.9215146153163529E-2</c:v>
                </c:pt>
                <c:pt idx="5">
                  <c:v>0.17860770606538673</c:v>
                </c:pt>
                <c:pt idx="6">
                  <c:v>0.18979522361527004</c:v>
                </c:pt>
                <c:pt idx="7">
                  <c:v>0.15948016098735712</c:v>
                </c:pt>
                <c:pt idx="8">
                  <c:v>1.8611960682701358E-2</c:v>
                </c:pt>
                <c:pt idx="9">
                  <c:v>3.6739781615397664E-3</c:v>
                </c:pt>
              </c:numCache>
            </c:numRef>
          </c:val>
          <c:extLst>
            <c:ext xmlns:c16="http://schemas.microsoft.com/office/drawing/2014/chart" uri="{C3380CC4-5D6E-409C-BE32-E72D297353CC}">
              <c16:uniqueId val="{00000000-C5D1-4282-9E2D-E16ABCE4CBAB}"/>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pieChart>
        <c:varyColors val="1"/>
        <c:ser>
          <c:idx val="0"/>
          <c:order val="0"/>
          <c:dLbls>
            <c:spPr>
              <a:noFill/>
              <a:ln>
                <a:noFill/>
              </a:ln>
              <a:effectLst/>
            </c:spPr>
            <c:showLegendKey val="0"/>
            <c:showVal val="1"/>
            <c:showCatName val="1"/>
            <c:showSerName val="0"/>
            <c:showPercent val="0"/>
            <c:showBubbleSize val="0"/>
            <c:showLeaderLines val="1"/>
            <c:extLst>
              <c:ext xmlns:c15="http://schemas.microsoft.com/office/drawing/2012/chart" uri="{CE6537A1-D6FC-4f65-9D91-7224C49458BB}"/>
            </c:extLst>
          </c:dLbls>
          <c:cat>
            <c:strRef>
              <c:f>Presentacion!$AB$4:$AB$13</c:f>
              <c:strCache>
                <c:ptCount val="10"/>
                <c:pt idx="0">
                  <c:v>RFLGOB</c:v>
                </c:pt>
                <c:pt idx="1">
                  <c:v>RFLBU</c:v>
                </c:pt>
                <c:pt idx="2">
                  <c:v>RFIGOB</c:v>
                </c:pt>
                <c:pt idx="3">
                  <c:v>RFIBU</c:v>
                </c:pt>
                <c:pt idx="4">
                  <c:v>RFITD</c:v>
                </c:pt>
                <c:pt idx="5">
                  <c:v>RVLBU</c:v>
                </c:pt>
                <c:pt idx="6">
                  <c:v>RVITD</c:v>
                </c:pt>
                <c:pt idx="7">
                  <c:v>ALT</c:v>
                </c:pt>
                <c:pt idx="8">
                  <c:v>Cash</c:v>
                </c:pt>
                <c:pt idx="9">
                  <c:v>=IF(E802="ALT";LEFT(E802;3);LEFT(E802;3)&amp;F802)</c:v>
                </c:pt>
              </c:strCache>
            </c:strRef>
          </c:cat>
          <c:val>
            <c:numRef>
              <c:f>Presentacion!$AC$4:$AC$13</c:f>
              <c:numCache>
                <c:formatCode>0.00%</c:formatCode>
                <c:ptCount val="10"/>
                <c:pt idx="0">
                  <c:v>0.24426184619635632</c:v>
                </c:pt>
                <c:pt idx="1">
                  <c:v>7.8639672560713192E-2</c:v>
                </c:pt>
                <c:pt idx="2">
                  <c:v>2.8185029818395765E-2</c:v>
                </c:pt>
                <c:pt idx="3">
                  <c:v>2.9529275759116128E-2</c:v>
                </c:pt>
                <c:pt idx="4">
                  <c:v>6.9215146153163529E-2</c:v>
                </c:pt>
                <c:pt idx="5">
                  <c:v>0.17860770606538673</c:v>
                </c:pt>
                <c:pt idx="6">
                  <c:v>0.18979522361527004</c:v>
                </c:pt>
                <c:pt idx="7">
                  <c:v>0.15948016098735712</c:v>
                </c:pt>
                <c:pt idx="8">
                  <c:v>1.8611960682701358E-2</c:v>
                </c:pt>
                <c:pt idx="9">
                  <c:v>3.6739781615397664E-3</c:v>
                </c:pt>
              </c:numCache>
            </c:numRef>
          </c:val>
          <c:extLst>
            <c:ext xmlns:c16="http://schemas.microsoft.com/office/drawing/2014/chart" uri="{C3380CC4-5D6E-409C-BE32-E72D297353CC}">
              <c16:uniqueId val="{00000004-2305-49FD-A588-21ED7CF2188B}"/>
            </c:ext>
          </c:extLst>
        </c:ser>
        <c:dLbls>
          <c:showLegendKey val="0"/>
          <c:showVal val="1"/>
          <c:showCatName val="1"/>
          <c:showSerName val="0"/>
          <c:showPercent val="0"/>
          <c:showBubbleSize val="0"/>
          <c:showLeaderLines val="1"/>
        </c:dLbls>
        <c:firstSliceAng val="0"/>
      </c:pieChart>
    </c:plotArea>
    <c:plotVisOnly val="1"/>
    <c:dispBlanksAs val="gap"/>
    <c:showDLblsOverMax val="0"/>
    <c:extLst/>
  </c:chart>
  <c:spPr>
    <a:noFill/>
  </c:spPr>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Presentacion!$AF$70</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Jun-25</c:v>
              </c:pt>
            </c:strLit>
          </c:cat>
          <c:val>
            <c:numRef>
              <c:f>Presentacion!$AG$70</c:f>
              <c:numCache>
                <c:formatCode>_-* #,##0_-;\-* #,##0_-;_-* "-"??_-;_-@_-</c:formatCode>
                <c:ptCount val="1"/>
                <c:pt idx="0">
                  <c:v>358450.12403448788</c:v>
                </c:pt>
              </c:numCache>
            </c:numRef>
          </c:val>
          <c:extLst>
            <c:ext xmlns:c16="http://schemas.microsoft.com/office/drawing/2014/chart" uri="{C3380CC4-5D6E-409C-BE32-E72D297353CC}">
              <c16:uniqueId val="{00000001-486A-4F83-8E2C-551DBE0BBBD2}"/>
            </c:ext>
          </c:extLst>
        </c:ser>
        <c:ser>
          <c:idx val="1"/>
          <c:order val="1"/>
          <c:tx>
            <c:strRef>
              <c:f>Presentacion!$AF$71</c:f>
              <c:strCache>
                <c:ptCount val="1"/>
                <c:pt idx="0">
                  <c:v>EEUU</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486A-4F83-8E2C-551DBE0BBBD2}"/>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Jun-25</c:v>
              </c:pt>
            </c:strLit>
          </c:cat>
          <c:val>
            <c:numRef>
              <c:f>Presentacion!$AG$71</c:f>
              <c:numCache>
                <c:formatCode>_-* #,##0_-;\-* #,##0_-;_-* "-"??_-;_-@_-</c:formatCode>
                <c:ptCount val="1"/>
                <c:pt idx="0">
                  <c:v>35754.026138894318</c:v>
                </c:pt>
              </c:numCache>
            </c:numRef>
          </c:val>
          <c:extLst>
            <c:ext xmlns:c16="http://schemas.microsoft.com/office/drawing/2014/chart" uri="{C3380CC4-5D6E-409C-BE32-E72D297353CC}">
              <c16:uniqueId val="{00000004-486A-4F83-8E2C-551DBE0BBBD2}"/>
            </c:ext>
          </c:extLst>
        </c:ser>
        <c:ser>
          <c:idx val="2"/>
          <c:order val="2"/>
          <c:tx>
            <c:strRef>
              <c:f>Presentacion!$AF$72</c:f>
              <c:strCache>
                <c:ptCount val="1"/>
                <c:pt idx="0">
                  <c:v>Brasil</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Jun-25</c:v>
              </c:pt>
            </c:strLit>
          </c:cat>
          <c:val>
            <c:numRef>
              <c:f>Presentacion!$AG$72</c:f>
              <c:numCache>
                <c:formatCode>_-* #,##0_-;\-* #,##0_-;_-* "-"??_-;_-@_-</c:formatCode>
                <c:ptCount val="1"/>
                <c:pt idx="0">
                  <c:v>11134.793415603659</c:v>
                </c:pt>
              </c:numCache>
            </c:numRef>
          </c:val>
          <c:extLst>
            <c:ext xmlns:c16="http://schemas.microsoft.com/office/drawing/2014/chart" uri="{C3380CC4-5D6E-409C-BE32-E72D297353CC}">
              <c16:uniqueId val="{00000006-486A-4F83-8E2C-551DBE0BBBD2}"/>
            </c:ext>
          </c:extLst>
        </c:ser>
        <c:ser>
          <c:idx val="3"/>
          <c:order val="3"/>
          <c:tx>
            <c:strRef>
              <c:f>Presentacion!$AF$73</c:f>
              <c:strCache>
                <c:ptCount val="1"/>
                <c:pt idx="0">
                  <c:v>Colombia</c:v>
                </c:pt>
              </c:strCache>
            </c:strRef>
          </c:tx>
          <c:spPr>
            <a:solidFill>
              <a:srgbClr val="61E8FF"/>
            </a:solidFill>
            <a:ln>
              <a:noFill/>
            </a:ln>
            <a:effectLst/>
          </c:spPr>
          <c:invertIfNegative val="0"/>
          <c:dLbls>
            <c:dLbl>
              <c:idx val="0"/>
              <c:layout>
                <c:manualLayout>
                  <c:x val="2.5070284180107858E-3"/>
                  <c:y val="-8.998563120663855E-3"/>
                </c:manualLayout>
              </c:layout>
              <c:tx>
                <c:rich>
                  <a:bodyPr wrap="square" lIns="38100" tIns="19050" rIns="38100" bIns="19050" anchor="ctr">
                    <a:noAutofit/>
                  </a:bodyPr>
                  <a:lstStyle/>
                  <a:p>
                    <a:pPr>
                      <a:defRPr sz="700"/>
                    </a:pPr>
                    <a:r>
                      <a:rPr lang="en-US" sz="700"/>
                      <a:t>Colombia</a:t>
                    </a:r>
                    <a:endParaRPr lang="en-US"/>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8-486A-4F83-8E2C-551DBE0BBBD2}"/>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Jun-25</c:v>
              </c:pt>
            </c:strLit>
          </c:cat>
          <c:val>
            <c:numRef>
              <c:f>Presentacion!$AG$73</c:f>
              <c:numCache>
                <c:formatCode>_-* #,##0_-;\-* #,##0_-;_-* "-"??_-;_-@_-</c:formatCode>
                <c:ptCount val="1"/>
                <c:pt idx="0">
                  <c:v>8002.5234142958961</c:v>
                </c:pt>
              </c:numCache>
            </c:numRef>
          </c:val>
          <c:extLst>
            <c:ext xmlns:c16="http://schemas.microsoft.com/office/drawing/2014/chart" uri="{C3380CC4-5D6E-409C-BE32-E72D297353CC}">
              <c16:uniqueId val="{00000009-486A-4F83-8E2C-551DBE0BBBD2}"/>
            </c:ext>
          </c:extLst>
        </c:ser>
        <c:ser>
          <c:idx val="4"/>
          <c:order val="4"/>
          <c:tx>
            <c:strRef>
              <c:f>Presentacion!$AF$74</c:f>
              <c:strCache>
                <c:ptCount val="1"/>
                <c:pt idx="0">
                  <c:v>Otros</c:v>
                </c:pt>
              </c:strCache>
            </c:strRef>
          </c:tx>
          <c:spPr>
            <a:solidFill>
              <a:srgbClr val="C5F7FF"/>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1"/>
              <c:pt idx="0">
                <c:v>Jun-25</c:v>
              </c:pt>
            </c:strLit>
          </c:cat>
          <c:val>
            <c:numRef>
              <c:f>Presentacion!$AG$74</c:f>
              <c:numCache>
                <c:formatCode>_-* #,##0_-;\-* #,##0_-;_-* "-"??_-;_-@_-</c:formatCode>
                <c:ptCount val="1"/>
                <c:pt idx="0">
                  <c:v>17237.087415729649</c:v>
                </c:pt>
              </c:numCache>
            </c:numRef>
          </c:val>
          <c:extLst>
            <c:ext xmlns:c16="http://schemas.microsoft.com/office/drawing/2014/chart" uri="{C3380CC4-5D6E-409C-BE32-E72D297353CC}">
              <c16:uniqueId val="{0000000B-486A-4F83-8E2C-551DBE0BBBD2}"/>
            </c:ext>
          </c:extLst>
        </c:ser>
        <c:dLbls>
          <c:dLblPos val="ctr"/>
          <c:showLegendKey val="0"/>
          <c:showVal val="1"/>
          <c:showCatName val="0"/>
          <c:showSerName val="0"/>
          <c:showPercent val="0"/>
          <c:showBubbleSize val="0"/>
        </c:dLbls>
        <c:gapWidth val="219"/>
        <c:overlap val="100"/>
        <c:axId val="1038796671"/>
        <c:axId val="11312079"/>
      </c:barChart>
      <c:catAx>
        <c:axId val="1038796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Algn val="ctr"/>
        <c:lblOffset val="100"/>
        <c:noMultiLvlLbl val="0"/>
      </c:catAx>
      <c:valAx>
        <c:axId val="11312079"/>
        <c:scaling>
          <c:orientation val="minMax"/>
          <c:max val="600000"/>
          <c:min val="0"/>
        </c:scaling>
        <c:delete val="1"/>
        <c:axPos val="l"/>
        <c:numFmt formatCode="_-* #,##0_-;\-* #,##0_-;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Presentacion!$AF$97</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Presentacion!$AG$97</c:f>
              <c:numCache>
                <c:formatCode>_(* #,##0.00_);_(* \(#,##0.00\);_(* "-"??_);_(@_)</c:formatCode>
                <c:ptCount val="1"/>
                <c:pt idx="0">
                  <c:v>501921.64739597251</c:v>
                </c:pt>
              </c:numCache>
            </c:numRef>
          </c:val>
          <c:extLst>
            <c:ext xmlns:c16="http://schemas.microsoft.com/office/drawing/2014/chart" uri="{C3380CC4-5D6E-409C-BE32-E72D297353CC}">
              <c16:uniqueId val="{00000001-72E3-4B05-A5DC-3C65291FFD8C}"/>
            </c:ext>
          </c:extLst>
        </c:ser>
        <c:ser>
          <c:idx val="1"/>
          <c:order val="1"/>
          <c:tx>
            <c:strRef>
              <c:f>Presentacion!$AF$98</c:f>
              <c:strCache>
                <c:ptCount val="1"/>
                <c:pt idx="0">
                  <c:v>Brasil</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72E3-4B05-A5DC-3C65291FFD8C}"/>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Presentacion!$AG$98</c:f>
              <c:numCache>
                <c:formatCode>_(* #,##0.00_);_(* \(#,##0.00\);_(* "-"??_);_(@_)</c:formatCode>
                <c:ptCount val="1"/>
                <c:pt idx="0">
                  <c:v>44492.744115973248</c:v>
                </c:pt>
              </c:numCache>
            </c:numRef>
          </c:val>
          <c:extLst>
            <c:ext xmlns:c16="http://schemas.microsoft.com/office/drawing/2014/chart" uri="{C3380CC4-5D6E-409C-BE32-E72D297353CC}">
              <c16:uniqueId val="{00000004-72E3-4B05-A5DC-3C65291FFD8C}"/>
            </c:ext>
          </c:extLst>
        </c:ser>
        <c:ser>
          <c:idx val="2"/>
          <c:order val="2"/>
          <c:tx>
            <c:strRef>
              <c:f>Presentacion!$AF$99</c:f>
              <c:strCache>
                <c:ptCount val="1"/>
                <c:pt idx="0">
                  <c:v>México</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Presentacion!$AG$99</c:f>
              <c:numCache>
                <c:formatCode>_(* #,##0.00_);_(* \(#,##0.00\);_(* "-"??_);_(@_)</c:formatCode>
                <c:ptCount val="1"/>
                <c:pt idx="0">
                  <c:v>13119.422873777647</c:v>
                </c:pt>
              </c:numCache>
            </c:numRef>
          </c:val>
          <c:extLst>
            <c:ext xmlns:c16="http://schemas.microsoft.com/office/drawing/2014/chart" uri="{C3380CC4-5D6E-409C-BE32-E72D297353CC}">
              <c16:uniqueId val="{00000006-72E3-4B05-A5DC-3C65291FFD8C}"/>
            </c:ext>
          </c:extLst>
        </c:ser>
        <c:ser>
          <c:idx val="3"/>
          <c:order val="3"/>
          <c:tx>
            <c:strRef>
              <c:f>Presentacion!$AF$100</c:f>
              <c:strCache>
                <c:ptCount val="1"/>
                <c:pt idx="0">
                  <c:v>Chile</c:v>
                </c:pt>
              </c:strCache>
            </c:strRef>
          </c:tx>
          <c:spPr>
            <a:solidFill>
              <a:srgbClr val="61E8FF"/>
            </a:solidFill>
            <a:ln>
              <a:noFill/>
            </a:ln>
            <a:effectLst/>
          </c:spPr>
          <c:invertIfNegative val="0"/>
          <c:dLbls>
            <c:dLbl>
              <c:idx val="0"/>
              <c:layout>
                <c:manualLayout>
                  <c:x val="2.5070284180107858E-3"/>
                  <c:y val="-8.998563120663855E-3"/>
                </c:manualLayout>
              </c:layout>
              <c:tx>
                <c:rich>
                  <a:bodyPr wrap="square" lIns="38100" tIns="19050" rIns="38100" bIns="19050" anchor="ctr">
                    <a:noAutofit/>
                  </a:bodyPr>
                  <a:lstStyle/>
                  <a:p>
                    <a:pPr>
                      <a:defRPr sz="700"/>
                    </a:pPr>
                    <a:r>
                      <a:rPr lang="en-US" sz="700"/>
                      <a:t>Colombia</a:t>
                    </a:r>
                    <a:endParaRPr lang="en-US"/>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8-72E3-4B05-A5DC-3C65291FFD8C}"/>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Presentacion!$AG$100</c:f>
              <c:numCache>
                <c:formatCode>_(* #,##0.00_);_(* \(#,##0.00\);_(* "-"??_);_(@_)</c:formatCode>
                <c:ptCount val="1"/>
                <c:pt idx="0">
                  <c:v>11290.34338358511</c:v>
                </c:pt>
              </c:numCache>
            </c:numRef>
          </c:val>
          <c:extLst>
            <c:ext xmlns:c16="http://schemas.microsoft.com/office/drawing/2014/chart" uri="{C3380CC4-5D6E-409C-BE32-E72D297353CC}">
              <c16:uniqueId val="{00000009-72E3-4B05-A5DC-3C65291FFD8C}"/>
            </c:ext>
          </c:extLst>
        </c:ser>
        <c:ser>
          <c:idx val="4"/>
          <c:order val="4"/>
          <c:tx>
            <c:strRef>
              <c:f>Presentacion!$AF$101</c:f>
              <c:strCache>
                <c:ptCount val="1"/>
                <c:pt idx="0">
                  <c:v>Otros</c:v>
                </c:pt>
              </c:strCache>
            </c:strRef>
          </c:tx>
          <c:spPr>
            <a:solidFill>
              <a:srgbClr val="C5F7FF"/>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Presentacion!$AD$79</c:f>
              <c:numCache>
                <c:formatCode>mmm\-yy</c:formatCode>
                <c:ptCount val="1"/>
                <c:pt idx="0">
                  <c:v>45992</c:v>
                </c:pt>
              </c:numCache>
            </c:numRef>
          </c:cat>
          <c:val>
            <c:numRef>
              <c:f>Presentacion!$AG$101</c:f>
              <c:numCache>
                <c:formatCode>_(* #,##0.00_);_(* \(#,##0.00\);_(* "-"??_);_(@_)</c:formatCode>
                <c:ptCount val="1"/>
                <c:pt idx="0">
                  <c:v>30613.845746084349</c:v>
                </c:pt>
              </c:numCache>
            </c:numRef>
          </c:val>
          <c:extLst>
            <c:ext xmlns:c16="http://schemas.microsoft.com/office/drawing/2014/chart" uri="{C3380CC4-5D6E-409C-BE32-E72D297353CC}">
              <c16:uniqueId val="{0000000B-72E3-4B05-A5DC-3C65291FFD8C}"/>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max val="600000"/>
          <c:min val="0"/>
        </c:scaling>
        <c:delete val="1"/>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Presentacion!$AK$70</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45809</c:v>
                </c:pt>
              </c:numCache>
            </c:numRef>
          </c:cat>
          <c:val>
            <c:numRef>
              <c:f>Presentacion!$AL$70</c:f>
              <c:numCache>
                <c:formatCode>_(* #,##0.00_);_(* \(#,##0.00\);_(* "-"??_);_(@_)</c:formatCode>
                <c:ptCount val="1"/>
                <c:pt idx="0">
                  <c:v>35.07547754689039</c:v>
                </c:pt>
              </c:numCache>
            </c:numRef>
          </c:val>
          <c:extLst>
            <c:ext xmlns:c16="http://schemas.microsoft.com/office/drawing/2014/chart" uri="{C3380CC4-5D6E-409C-BE32-E72D297353CC}">
              <c16:uniqueId val="{0000000D-0993-41D3-B91C-5F18CC599748}"/>
            </c:ext>
          </c:extLst>
        </c:ser>
        <c:ser>
          <c:idx val="1"/>
          <c:order val="1"/>
          <c:tx>
            <c:strRef>
              <c:f>Presentacion!$AK$71</c:f>
              <c:strCache>
                <c:ptCount val="1"/>
                <c:pt idx="0">
                  <c:v>EEUU</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0993-41D3-B91C-5F18CC599748}"/>
                </c:ext>
              </c:extLst>
            </c:dLbl>
            <c:spPr>
              <a:noFill/>
              <a:ln>
                <a:noFill/>
              </a:ln>
              <a:effectLst/>
            </c:spPr>
            <c:txPr>
              <a:bodyPr wrap="square" lIns="38100" tIns="19050" rIns="38100" bIns="19050" anchor="ctr">
                <a:spAutoFit/>
              </a:bodyPr>
              <a:lstStyle/>
              <a:p>
                <a:pPr>
                  <a:defRPr sz="700"/>
                </a:pPr>
                <a:endParaRPr lang="es-PE"/>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45809</c:v>
                </c:pt>
              </c:numCache>
            </c:numRef>
          </c:cat>
          <c:val>
            <c:numRef>
              <c:f>Presentacion!$AL$71</c:f>
              <c:numCache>
                <c:formatCode>_(* #,##0.00_);_(* \(#,##0.00\);_(* "-"??_);_(@_)</c:formatCode>
                <c:ptCount val="1"/>
                <c:pt idx="0">
                  <c:v>3.4986444611330612</c:v>
                </c:pt>
              </c:numCache>
            </c:numRef>
          </c:val>
          <c:extLst>
            <c:ext xmlns:c16="http://schemas.microsoft.com/office/drawing/2014/chart" uri="{C3380CC4-5D6E-409C-BE32-E72D297353CC}">
              <c16:uniqueId val="{00000010-0993-41D3-B91C-5F18CC599748}"/>
            </c:ext>
          </c:extLst>
        </c:ser>
        <c:ser>
          <c:idx val="2"/>
          <c:order val="2"/>
          <c:tx>
            <c:strRef>
              <c:f>Presentacion!$AK$72</c:f>
              <c:strCache>
                <c:ptCount val="1"/>
                <c:pt idx="0">
                  <c:v>Brasil</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45809</c:v>
                </c:pt>
              </c:numCache>
            </c:numRef>
          </c:cat>
          <c:val>
            <c:numRef>
              <c:f>Presentacion!$AL$72</c:f>
              <c:numCache>
                <c:formatCode>_(* #,##0.00_);_(* \(#,##0.00\);_(* "-"??_);_(@_)</c:formatCode>
                <c:ptCount val="1"/>
                <c:pt idx="0">
                  <c:v>1.089574728116685</c:v>
                </c:pt>
              </c:numCache>
            </c:numRef>
          </c:val>
          <c:extLst>
            <c:ext xmlns:c16="http://schemas.microsoft.com/office/drawing/2014/chart" uri="{C3380CC4-5D6E-409C-BE32-E72D297353CC}">
              <c16:uniqueId val="{00000012-0993-41D3-B91C-5F18CC599748}"/>
            </c:ext>
          </c:extLst>
        </c:ser>
        <c:ser>
          <c:idx val="3"/>
          <c:order val="3"/>
          <c:tx>
            <c:strRef>
              <c:f>Presentacion!$AK$73</c:f>
              <c:strCache>
                <c:ptCount val="1"/>
                <c:pt idx="0">
                  <c:v>Colombia</c:v>
                </c:pt>
              </c:strCache>
            </c:strRef>
          </c:tx>
          <c:spPr>
            <a:solidFill>
              <a:srgbClr val="61E8FF"/>
            </a:solidFill>
            <a:ln>
              <a:noFill/>
            </a:ln>
            <a:effectLst/>
          </c:spPr>
          <c:invertIfNegative val="0"/>
          <c:dLbls>
            <c:dLbl>
              <c:idx val="0"/>
              <c:layout>
                <c:manualLayout>
                  <c:x val="2.5070284180107858E-3"/>
                  <c:y val="-8.998563120663855E-3"/>
                </c:manualLayout>
              </c:layout>
              <c:tx>
                <c:rich>
                  <a:bodyPr wrap="square" lIns="38100" tIns="19050" rIns="38100" bIns="19050" anchor="ctr">
                    <a:noAutofit/>
                  </a:bodyPr>
                  <a:lstStyle/>
                  <a:p>
                    <a:pPr>
                      <a:defRPr sz="700"/>
                    </a:pPr>
                    <a:r>
                      <a:rPr lang="en-US" sz="700"/>
                      <a:t>Colombia</a:t>
                    </a:r>
                    <a:endParaRPr lang="en-US"/>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14-0993-41D3-B91C-5F18CC599748}"/>
                </c:ext>
              </c:extLst>
            </c:dLbl>
            <c:spPr>
              <a:noFill/>
              <a:ln>
                <a:noFill/>
              </a:ln>
              <a:effectLst/>
            </c:spPr>
            <c:txPr>
              <a:bodyPr wrap="square" lIns="38100" tIns="19050" rIns="38100" bIns="19050" anchor="ctr">
                <a:spAutoFit/>
              </a:bodyPr>
              <a:lstStyle/>
              <a:p>
                <a:pPr>
                  <a:defRPr sz="700"/>
                </a:pPr>
                <a:endParaRPr lang="es-PE"/>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45809</c:v>
                </c:pt>
              </c:numCache>
            </c:numRef>
          </c:cat>
          <c:val>
            <c:numRef>
              <c:f>Presentacion!$AL$73</c:f>
              <c:numCache>
                <c:formatCode>_(* #,##0.00_);_(* \(#,##0.00\);_(* "-"??_);_(@_)</c:formatCode>
                <c:ptCount val="1"/>
                <c:pt idx="0">
                  <c:v>0.78307220870034855</c:v>
                </c:pt>
              </c:numCache>
            </c:numRef>
          </c:val>
          <c:extLst>
            <c:ext xmlns:c16="http://schemas.microsoft.com/office/drawing/2014/chart" uri="{C3380CC4-5D6E-409C-BE32-E72D297353CC}">
              <c16:uniqueId val="{00000015-0993-41D3-B91C-5F18CC599748}"/>
            </c:ext>
          </c:extLst>
        </c:ser>
        <c:ser>
          <c:idx val="4"/>
          <c:order val="4"/>
          <c:tx>
            <c:strRef>
              <c:f>Presentacion!$AK$74</c:f>
              <c:strCache>
                <c:ptCount val="1"/>
                <c:pt idx="0">
                  <c:v>Otros</c:v>
                </c:pt>
              </c:strCache>
            </c:strRef>
          </c:tx>
          <c:spPr>
            <a:solidFill>
              <a:srgbClr val="C5F7FF"/>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Presentacion!$AD$52</c:f>
              <c:numCache>
                <c:formatCode>mmm\-yy</c:formatCode>
                <c:ptCount val="1"/>
                <c:pt idx="0">
                  <c:v>45809</c:v>
                </c:pt>
              </c:numCache>
            </c:numRef>
          </c:cat>
          <c:val>
            <c:numRef>
              <c:f>Presentacion!$AL$74</c:f>
              <c:numCache>
                <c:formatCode>_(* #,##0.00_);_(* \(#,##0.00\);_(* "-"??_);_(@_)</c:formatCode>
                <c:ptCount val="1"/>
                <c:pt idx="0">
                  <c:v>1.686703482814373</c:v>
                </c:pt>
              </c:numCache>
            </c:numRef>
          </c:val>
          <c:extLst>
            <c:ext xmlns:c16="http://schemas.microsoft.com/office/drawing/2014/chart" uri="{C3380CC4-5D6E-409C-BE32-E72D297353CC}">
              <c16:uniqueId val="{00000017-0993-41D3-B91C-5F18CC599748}"/>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scaling>
        <c:delete val="1"/>
        <c:axPos val="l"/>
        <c:numFmt formatCode="_(* #,##0.00_);_(* \(#,##0.00\);_(* &quot;-&quot;??_);_(@_)" sourceLinked="1"/>
        <c:majorTickMark val="none"/>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Presentacion!$AK$97</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Presentacion!$AL$97</c:f>
              <c:numCache>
                <c:formatCode>General</c:formatCode>
                <c:ptCount val="1"/>
                <c:pt idx="0">
                  <c:v>46.530533304582853</c:v>
                </c:pt>
              </c:numCache>
            </c:numRef>
          </c:val>
          <c:extLst>
            <c:ext xmlns:c16="http://schemas.microsoft.com/office/drawing/2014/chart" uri="{C3380CC4-5D6E-409C-BE32-E72D297353CC}">
              <c16:uniqueId val="{00000001-7F90-4013-905E-EC83CCDB4094}"/>
            </c:ext>
          </c:extLst>
        </c:ser>
        <c:ser>
          <c:idx val="1"/>
          <c:order val="1"/>
          <c:tx>
            <c:strRef>
              <c:f>Presentacion!$AK$98</c:f>
              <c:strCache>
                <c:ptCount val="1"/>
                <c:pt idx="0">
                  <c:v>Brasil</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7F90-4013-905E-EC83CCDB4094}"/>
                </c:ext>
              </c:extLst>
            </c:dLbl>
            <c:spPr>
              <a:noFill/>
              <a:ln>
                <a:noFill/>
              </a:ln>
              <a:effectLst/>
            </c:spPr>
            <c:txPr>
              <a:bodyPr wrap="square" lIns="38100" tIns="19050" rIns="38100" bIns="19050" anchor="ctr">
                <a:spAutoFit/>
              </a:bodyPr>
              <a:lstStyle/>
              <a:p>
                <a:pPr>
                  <a:defRPr sz="700"/>
                </a:pPr>
                <a:endParaRPr lang="es-PE"/>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Presentacion!$AL$98</c:f>
              <c:numCache>
                <c:formatCode>General</c:formatCode>
                <c:ptCount val="1"/>
                <c:pt idx="0">
                  <c:v>4.1246898248788071</c:v>
                </c:pt>
              </c:numCache>
            </c:numRef>
          </c:val>
          <c:extLst>
            <c:ext xmlns:c16="http://schemas.microsoft.com/office/drawing/2014/chart" uri="{C3380CC4-5D6E-409C-BE32-E72D297353CC}">
              <c16:uniqueId val="{00000004-7F90-4013-905E-EC83CCDB4094}"/>
            </c:ext>
          </c:extLst>
        </c:ser>
        <c:ser>
          <c:idx val="2"/>
          <c:order val="2"/>
          <c:tx>
            <c:strRef>
              <c:f>Presentacion!$AK$99</c:f>
              <c:strCache>
                <c:ptCount val="1"/>
                <c:pt idx="0">
                  <c:v>México</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Presentacion!$AL$99</c:f>
              <c:numCache>
                <c:formatCode>General</c:formatCode>
                <c:ptCount val="1"/>
                <c:pt idx="0">
                  <c:v>1.2162331434245193</c:v>
                </c:pt>
              </c:numCache>
            </c:numRef>
          </c:val>
          <c:extLst>
            <c:ext xmlns:c16="http://schemas.microsoft.com/office/drawing/2014/chart" uri="{C3380CC4-5D6E-409C-BE32-E72D297353CC}">
              <c16:uniqueId val="{00000006-7F90-4013-905E-EC83CCDB4094}"/>
            </c:ext>
          </c:extLst>
        </c:ser>
        <c:ser>
          <c:idx val="3"/>
          <c:order val="3"/>
          <c:tx>
            <c:strRef>
              <c:f>Presentacion!$AK$100</c:f>
              <c:strCache>
                <c:ptCount val="1"/>
                <c:pt idx="0">
                  <c:v>Chile</c:v>
                </c:pt>
              </c:strCache>
            </c:strRef>
          </c:tx>
          <c:spPr>
            <a:solidFill>
              <a:srgbClr val="61E8FF"/>
            </a:solidFill>
            <a:ln>
              <a:noFill/>
            </a:ln>
            <a:effectLst/>
          </c:spPr>
          <c:invertIfNegative val="0"/>
          <c:dLbls>
            <c:dLbl>
              <c:idx val="0"/>
              <c:layout>
                <c:manualLayout>
                  <c:x val="2.5070284180107858E-3"/>
                  <c:y val="-8.998563120663855E-3"/>
                </c:manualLayout>
              </c:layout>
              <c:tx>
                <c:rich>
                  <a:bodyPr wrap="square" lIns="38100" tIns="19050" rIns="38100" bIns="19050" anchor="ctr">
                    <a:noAutofit/>
                  </a:bodyPr>
                  <a:lstStyle/>
                  <a:p>
                    <a:pPr>
                      <a:defRPr sz="700"/>
                    </a:pPr>
                    <a:r>
                      <a:rPr lang="en-US" sz="700"/>
                      <a:t>Colombia</a:t>
                    </a:r>
                    <a:endParaRPr lang="en-US"/>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8-7F90-4013-905E-EC83CCDB4094}"/>
                </c:ext>
              </c:extLst>
            </c:dLbl>
            <c:spPr>
              <a:noFill/>
              <a:ln>
                <a:noFill/>
              </a:ln>
              <a:effectLst/>
            </c:spPr>
            <c:txPr>
              <a:bodyPr wrap="square" lIns="38100" tIns="19050" rIns="38100" bIns="19050" anchor="ctr">
                <a:spAutoFit/>
              </a:bodyPr>
              <a:lstStyle/>
              <a:p>
                <a:pPr>
                  <a:defRPr sz="700"/>
                </a:pPr>
                <a:endParaRPr lang="es-PE"/>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Presentacion!$AL$100</c:f>
              <c:numCache>
                <c:formatCode>General</c:formatCode>
                <c:ptCount val="1"/>
                <c:pt idx="0">
                  <c:v>1.0466687411384583</c:v>
                </c:pt>
              </c:numCache>
            </c:numRef>
          </c:val>
          <c:extLst>
            <c:ext xmlns:c16="http://schemas.microsoft.com/office/drawing/2014/chart" uri="{C3380CC4-5D6E-409C-BE32-E72D297353CC}">
              <c16:uniqueId val="{00000009-7F90-4013-905E-EC83CCDB4094}"/>
            </c:ext>
          </c:extLst>
        </c:ser>
        <c:ser>
          <c:idx val="4"/>
          <c:order val="4"/>
          <c:tx>
            <c:strRef>
              <c:f>Presentacion!$AK$101</c:f>
              <c:strCache>
                <c:ptCount val="1"/>
                <c:pt idx="0">
                  <c:v>Otros</c:v>
                </c:pt>
              </c:strCache>
            </c:strRef>
          </c:tx>
          <c:spPr>
            <a:solidFill>
              <a:srgbClr val="C5F7FF"/>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Presentacion!$AD$79</c:f>
              <c:numCache>
                <c:formatCode>mmm\-yy</c:formatCode>
                <c:ptCount val="1"/>
                <c:pt idx="0">
                  <c:v>45992</c:v>
                </c:pt>
              </c:numCache>
            </c:numRef>
          </c:cat>
          <c:val>
            <c:numRef>
              <c:f>Presentacion!$AL$101</c:f>
              <c:numCache>
                <c:formatCode>General</c:formatCode>
                <c:ptCount val="1"/>
                <c:pt idx="0">
                  <c:v>2.8380496765977199</c:v>
                </c:pt>
              </c:numCache>
            </c:numRef>
          </c:val>
          <c:extLst>
            <c:ext xmlns:c16="http://schemas.microsoft.com/office/drawing/2014/chart" uri="{C3380CC4-5D6E-409C-BE32-E72D297353CC}">
              <c16:uniqueId val="{0000000B-7F90-4013-905E-EC83CCDB4094}"/>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scaling>
        <c:delete val="1"/>
        <c:axPos val="l"/>
        <c:numFmt formatCode="General" sourceLinked="1"/>
        <c:majorTickMark val="none"/>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Presentacion!$AF$70</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Jun-24</c:v>
              </c:pt>
            </c:strLit>
          </c:cat>
          <c:val>
            <c:numRef>
              <c:f>Presentacion!$AG$70</c:f>
              <c:numCache>
                <c:formatCode>_-* #,##0_-;\-* #,##0_-;_-* "-"??_-;_-@_-</c:formatCode>
                <c:ptCount val="1"/>
                <c:pt idx="0">
                  <c:v>358450.12403448788</c:v>
                </c:pt>
              </c:numCache>
            </c:numRef>
          </c:val>
          <c:extLst>
            <c:ext xmlns:c16="http://schemas.microsoft.com/office/drawing/2014/chart" uri="{C3380CC4-5D6E-409C-BE32-E72D297353CC}">
              <c16:uniqueId val="{00000000-4D43-40D3-AB4C-FB2F375EE4DD}"/>
            </c:ext>
          </c:extLst>
        </c:ser>
        <c:ser>
          <c:idx val="1"/>
          <c:order val="1"/>
          <c:tx>
            <c:strRef>
              <c:f>Presentacion!$AF$71</c:f>
              <c:strCache>
                <c:ptCount val="1"/>
                <c:pt idx="0">
                  <c:v>EEUU</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4D43-40D3-AB4C-FB2F375EE4DD}"/>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Jun-24</c:v>
              </c:pt>
            </c:strLit>
          </c:cat>
          <c:val>
            <c:numRef>
              <c:f>Presentacion!$AG$71</c:f>
              <c:numCache>
                <c:formatCode>_-* #,##0_-;\-* #,##0_-;_-* "-"??_-;_-@_-</c:formatCode>
                <c:ptCount val="1"/>
                <c:pt idx="0">
                  <c:v>35754.026138894318</c:v>
                </c:pt>
              </c:numCache>
            </c:numRef>
          </c:val>
          <c:extLst>
            <c:ext xmlns:c16="http://schemas.microsoft.com/office/drawing/2014/chart" uri="{C3380CC4-5D6E-409C-BE32-E72D297353CC}">
              <c16:uniqueId val="{00000002-4D43-40D3-AB4C-FB2F375EE4DD}"/>
            </c:ext>
          </c:extLst>
        </c:ser>
        <c:ser>
          <c:idx val="2"/>
          <c:order val="2"/>
          <c:tx>
            <c:strRef>
              <c:f>Presentacion!$AF$72</c:f>
              <c:strCache>
                <c:ptCount val="1"/>
                <c:pt idx="0">
                  <c:v>Brasil</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Jun-24</c:v>
              </c:pt>
            </c:strLit>
          </c:cat>
          <c:val>
            <c:numRef>
              <c:f>Presentacion!$AG$72</c:f>
              <c:numCache>
                <c:formatCode>_-* #,##0_-;\-* #,##0_-;_-* "-"??_-;_-@_-</c:formatCode>
                <c:ptCount val="1"/>
                <c:pt idx="0">
                  <c:v>11134.793415603659</c:v>
                </c:pt>
              </c:numCache>
            </c:numRef>
          </c:val>
          <c:extLst>
            <c:ext xmlns:c16="http://schemas.microsoft.com/office/drawing/2014/chart" uri="{C3380CC4-5D6E-409C-BE32-E72D297353CC}">
              <c16:uniqueId val="{00000003-4D43-40D3-AB4C-FB2F375EE4DD}"/>
            </c:ext>
          </c:extLst>
        </c:ser>
        <c:ser>
          <c:idx val="3"/>
          <c:order val="3"/>
          <c:tx>
            <c:strRef>
              <c:f>Presentacion!$AF$73</c:f>
              <c:strCache>
                <c:ptCount val="1"/>
                <c:pt idx="0">
                  <c:v>Colombia</c:v>
                </c:pt>
              </c:strCache>
            </c:strRef>
          </c:tx>
          <c:spPr>
            <a:solidFill>
              <a:srgbClr val="61E8FF"/>
            </a:solidFill>
            <a:ln>
              <a:noFill/>
            </a:ln>
            <a:effectLst/>
          </c:spPr>
          <c:invertIfNegative val="0"/>
          <c:dLbls>
            <c:dLbl>
              <c:idx val="0"/>
              <c:layout>
                <c:manualLayout>
                  <c:x val="2.5070284180107858E-3"/>
                  <c:y val="-8.998563120663855E-3"/>
                </c:manualLayout>
              </c:layout>
              <c:tx>
                <c:rich>
                  <a:bodyPr wrap="square" lIns="38100" tIns="19050" rIns="38100" bIns="19050" anchor="ctr">
                    <a:noAutofit/>
                  </a:bodyPr>
                  <a:lstStyle/>
                  <a:p>
                    <a:pPr>
                      <a:defRPr sz="700"/>
                    </a:pPr>
                    <a:r>
                      <a:rPr lang="en-US" sz="700"/>
                      <a:t>Colombia</a:t>
                    </a:r>
                    <a:endParaRPr lang="en-US"/>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4-4D43-40D3-AB4C-FB2F375EE4DD}"/>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Jun-24</c:v>
              </c:pt>
            </c:strLit>
          </c:cat>
          <c:val>
            <c:numRef>
              <c:f>Presentacion!$AG$73</c:f>
              <c:numCache>
                <c:formatCode>_-* #,##0_-;\-* #,##0_-;_-* "-"??_-;_-@_-</c:formatCode>
                <c:ptCount val="1"/>
                <c:pt idx="0">
                  <c:v>8002.5234142958961</c:v>
                </c:pt>
              </c:numCache>
            </c:numRef>
          </c:val>
          <c:extLst>
            <c:ext xmlns:c16="http://schemas.microsoft.com/office/drawing/2014/chart" uri="{C3380CC4-5D6E-409C-BE32-E72D297353CC}">
              <c16:uniqueId val="{00000005-4D43-40D3-AB4C-FB2F375EE4DD}"/>
            </c:ext>
          </c:extLst>
        </c:ser>
        <c:ser>
          <c:idx val="4"/>
          <c:order val="4"/>
          <c:tx>
            <c:strRef>
              <c:f>Presentacion!$AF$74</c:f>
              <c:strCache>
                <c:ptCount val="1"/>
                <c:pt idx="0">
                  <c:v>Otros</c:v>
                </c:pt>
              </c:strCache>
            </c:strRef>
          </c:tx>
          <c:spPr>
            <a:solidFill>
              <a:srgbClr val="C5F7FF"/>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1"/>
              <c:pt idx="0">
                <c:v>Jun-24</c:v>
              </c:pt>
            </c:strLit>
          </c:cat>
          <c:val>
            <c:numRef>
              <c:f>Presentacion!$AG$74</c:f>
              <c:numCache>
                <c:formatCode>_-* #,##0_-;\-* #,##0_-;_-* "-"??_-;_-@_-</c:formatCode>
                <c:ptCount val="1"/>
                <c:pt idx="0">
                  <c:v>17237.087415729649</c:v>
                </c:pt>
              </c:numCache>
            </c:numRef>
          </c:val>
          <c:extLst>
            <c:ext xmlns:c16="http://schemas.microsoft.com/office/drawing/2014/chart" uri="{C3380CC4-5D6E-409C-BE32-E72D297353CC}">
              <c16:uniqueId val="{00000006-4D43-40D3-AB4C-FB2F375EE4DD}"/>
            </c:ext>
          </c:extLst>
        </c:ser>
        <c:dLbls>
          <c:dLblPos val="ctr"/>
          <c:showLegendKey val="0"/>
          <c:showVal val="1"/>
          <c:showCatName val="0"/>
          <c:showSerName val="0"/>
          <c:showPercent val="0"/>
          <c:showBubbleSize val="0"/>
        </c:dLbls>
        <c:gapWidth val="219"/>
        <c:overlap val="100"/>
        <c:axId val="1038796671"/>
        <c:axId val="11312079"/>
      </c:barChart>
      <c:catAx>
        <c:axId val="1038796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Algn val="ctr"/>
        <c:lblOffset val="100"/>
        <c:noMultiLvlLbl val="0"/>
      </c:catAx>
      <c:valAx>
        <c:axId val="11312079"/>
        <c:scaling>
          <c:orientation val="minMax"/>
          <c:max val="600000"/>
          <c:min val="0"/>
        </c:scaling>
        <c:delete val="1"/>
        <c:axPos val="l"/>
        <c:numFmt formatCode="_-* #,##0_-;\-* #,##0_-;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Presentacion!$AK$70</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45809</c:v>
                </c:pt>
              </c:numCache>
            </c:numRef>
          </c:cat>
          <c:val>
            <c:numRef>
              <c:f>Presentacion!$AL$70</c:f>
              <c:numCache>
                <c:formatCode>_(* #,##0.00_);_(* \(#,##0.00\);_(* "-"??_);_(@_)</c:formatCode>
                <c:ptCount val="1"/>
                <c:pt idx="0">
                  <c:v>35.07547754689039</c:v>
                </c:pt>
              </c:numCache>
            </c:numRef>
          </c:val>
          <c:extLst>
            <c:ext xmlns:c16="http://schemas.microsoft.com/office/drawing/2014/chart" uri="{C3380CC4-5D6E-409C-BE32-E72D297353CC}">
              <c16:uniqueId val="{00000000-F644-464C-A335-8897DA89BC7D}"/>
            </c:ext>
          </c:extLst>
        </c:ser>
        <c:ser>
          <c:idx val="1"/>
          <c:order val="1"/>
          <c:tx>
            <c:strRef>
              <c:f>Presentacion!$AK$71</c:f>
              <c:strCache>
                <c:ptCount val="1"/>
                <c:pt idx="0">
                  <c:v>EEUU</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F644-464C-A335-8897DA89BC7D}"/>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45809</c:v>
                </c:pt>
              </c:numCache>
            </c:numRef>
          </c:cat>
          <c:val>
            <c:numRef>
              <c:f>Presentacion!$AL$71</c:f>
              <c:numCache>
                <c:formatCode>_(* #,##0.00_);_(* \(#,##0.00\);_(* "-"??_);_(@_)</c:formatCode>
                <c:ptCount val="1"/>
                <c:pt idx="0">
                  <c:v>3.4986444611330612</c:v>
                </c:pt>
              </c:numCache>
            </c:numRef>
          </c:val>
          <c:extLst>
            <c:ext xmlns:c16="http://schemas.microsoft.com/office/drawing/2014/chart" uri="{C3380CC4-5D6E-409C-BE32-E72D297353CC}">
              <c16:uniqueId val="{00000002-F644-464C-A335-8897DA89BC7D}"/>
            </c:ext>
          </c:extLst>
        </c:ser>
        <c:ser>
          <c:idx val="2"/>
          <c:order val="2"/>
          <c:tx>
            <c:strRef>
              <c:f>Presentacion!$AK$72</c:f>
              <c:strCache>
                <c:ptCount val="1"/>
                <c:pt idx="0">
                  <c:v>Brasil</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45809</c:v>
                </c:pt>
              </c:numCache>
            </c:numRef>
          </c:cat>
          <c:val>
            <c:numRef>
              <c:f>Presentacion!$AL$72</c:f>
              <c:numCache>
                <c:formatCode>_(* #,##0.00_);_(* \(#,##0.00\);_(* "-"??_);_(@_)</c:formatCode>
                <c:ptCount val="1"/>
                <c:pt idx="0">
                  <c:v>1.089574728116685</c:v>
                </c:pt>
              </c:numCache>
            </c:numRef>
          </c:val>
          <c:extLst>
            <c:ext xmlns:c16="http://schemas.microsoft.com/office/drawing/2014/chart" uri="{C3380CC4-5D6E-409C-BE32-E72D297353CC}">
              <c16:uniqueId val="{00000003-F644-464C-A335-8897DA89BC7D}"/>
            </c:ext>
          </c:extLst>
        </c:ser>
        <c:ser>
          <c:idx val="3"/>
          <c:order val="3"/>
          <c:tx>
            <c:strRef>
              <c:f>Presentacion!$AK$73</c:f>
              <c:strCache>
                <c:ptCount val="1"/>
                <c:pt idx="0">
                  <c:v>Colombia</c:v>
                </c:pt>
              </c:strCache>
            </c:strRef>
          </c:tx>
          <c:spPr>
            <a:solidFill>
              <a:srgbClr val="61E8FF"/>
            </a:solidFill>
            <a:ln>
              <a:noFill/>
            </a:ln>
            <a:effectLst/>
          </c:spPr>
          <c:invertIfNegative val="0"/>
          <c:dLbls>
            <c:dLbl>
              <c:idx val="0"/>
              <c:layout>
                <c:manualLayout>
                  <c:x val="2.5070284180107858E-3"/>
                  <c:y val="-8.998563120663855E-3"/>
                </c:manualLayout>
              </c:layout>
              <c:tx>
                <c:rich>
                  <a:bodyPr wrap="square" lIns="38100" tIns="19050" rIns="38100" bIns="19050" anchor="ctr">
                    <a:noAutofit/>
                  </a:bodyPr>
                  <a:lstStyle/>
                  <a:p>
                    <a:pPr>
                      <a:defRPr sz="700"/>
                    </a:pPr>
                    <a:r>
                      <a:rPr lang="en-US" sz="700"/>
                      <a:t>Colombia</a:t>
                    </a:r>
                    <a:endParaRPr lang="en-US"/>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4-F644-464C-A335-8897DA89BC7D}"/>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45809</c:v>
                </c:pt>
              </c:numCache>
            </c:numRef>
          </c:cat>
          <c:val>
            <c:numRef>
              <c:f>Presentacion!$AL$73</c:f>
              <c:numCache>
                <c:formatCode>_(* #,##0.00_);_(* \(#,##0.00\);_(* "-"??_);_(@_)</c:formatCode>
                <c:ptCount val="1"/>
                <c:pt idx="0">
                  <c:v>0.78307220870034855</c:v>
                </c:pt>
              </c:numCache>
            </c:numRef>
          </c:val>
          <c:extLst>
            <c:ext xmlns:c16="http://schemas.microsoft.com/office/drawing/2014/chart" uri="{C3380CC4-5D6E-409C-BE32-E72D297353CC}">
              <c16:uniqueId val="{00000005-F644-464C-A335-8897DA89BC7D}"/>
            </c:ext>
          </c:extLst>
        </c:ser>
        <c:ser>
          <c:idx val="4"/>
          <c:order val="4"/>
          <c:tx>
            <c:strRef>
              <c:f>Presentacion!$AK$74</c:f>
              <c:strCache>
                <c:ptCount val="1"/>
                <c:pt idx="0">
                  <c:v>Otros</c:v>
                </c:pt>
              </c:strCache>
            </c:strRef>
          </c:tx>
          <c:spPr>
            <a:solidFill>
              <a:srgbClr val="C5F7FF"/>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Presentacion!$AD$52</c:f>
              <c:numCache>
                <c:formatCode>mmm\-yy</c:formatCode>
                <c:ptCount val="1"/>
                <c:pt idx="0">
                  <c:v>45809</c:v>
                </c:pt>
              </c:numCache>
            </c:numRef>
          </c:cat>
          <c:val>
            <c:numRef>
              <c:f>Presentacion!$AL$74</c:f>
              <c:numCache>
                <c:formatCode>_(* #,##0.00_);_(* \(#,##0.00\);_(* "-"??_);_(@_)</c:formatCode>
                <c:ptCount val="1"/>
                <c:pt idx="0">
                  <c:v>1.686703482814373</c:v>
                </c:pt>
              </c:numCache>
            </c:numRef>
          </c:val>
          <c:extLst>
            <c:ext xmlns:c16="http://schemas.microsoft.com/office/drawing/2014/chart" uri="{C3380CC4-5D6E-409C-BE32-E72D297353CC}">
              <c16:uniqueId val="{00000006-F644-464C-A335-8897DA89BC7D}"/>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max val="40"/>
          <c:min val="0"/>
        </c:scaling>
        <c:delete val="1"/>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Presentacion!$AF$97</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Presentacion!$AG$97</c:f>
              <c:numCache>
                <c:formatCode>_(* #,##0.00_);_(* \(#,##0.00\);_(* "-"??_);_(@_)</c:formatCode>
                <c:ptCount val="1"/>
                <c:pt idx="0">
                  <c:v>501921.64739597251</c:v>
                </c:pt>
              </c:numCache>
            </c:numRef>
          </c:val>
          <c:extLst>
            <c:ext xmlns:c16="http://schemas.microsoft.com/office/drawing/2014/chart" uri="{C3380CC4-5D6E-409C-BE32-E72D297353CC}">
              <c16:uniqueId val="{00000000-4C7F-42EE-95F9-626796E96A00}"/>
            </c:ext>
          </c:extLst>
        </c:ser>
        <c:ser>
          <c:idx val="1"/>
          <c:order val="1"/>
          <c:tx>
            <c:strRef>
              <c:f>Presentacion!$AF$98</c:f>
              <c:strCache>
                <c:ptCount val="1"/>
                <c:pt idx="0">
                  <c:v>Brasil</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4C7F-42EE-95F9-626796E96A00}"/>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Presentacion!$AG$98</c:f>
              <c:numCache>
                <c:formatCode>_(* #,##0.00_);_(* \(#,##0.00\);_(* "-"??_);_(@_)</c:formatCode>
                <c:ptCount val="1"/>
                <c:pt idx="0">
                  <c:v>44492.744115973248</c:v>
                </c:pt>
              </c:numCache>
            </c:numRef>
          </c:val>
          <c:extLst>
            <c:ext xmlns:c16="http://schemas.microsoft.com/office/drawing/2014/chart" uri="{C3380CC4-5D6E-409C-BE32-E72D297353CC}">
              <c16:uniqueId val="{00000002-4C7F-42EE-95F9-626796E96A00}"/>
            </c:ext>
          </c:extLst>
        </c:ser>
        <c:ser>
          <c:idx val="2"/>
          <c:order val="2"/>
          <c:tx>
            <c:strRef>
              <c:f>Presentacion!$AF$99</c:f>
              <c:strCache>
                <c:ptCount val="1"/>
                <c:pt idx="0">
                  <c:v>México</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Presentacion!$AG$99</c:f>
              <c:numCache>
                <c:formatCode>_(* #,##0.00_);_(* \(#,##0.00\);_(* "-"??_);_(@_)</c:formatCode>
                <c:ptCount val="1"/>
                <c:pt idx="0">
                  <c:v>13119.422873777647</c:v>
                </c:pt>
              </c:numCache>
            </c:numRef>
          </c:val>
          <c:extLst>
            <c:ext xmlns:c16="http://schemas.microsoft.com/office/drawing/2014/chart" uri="{C3380CC4-5D6E-409C-BE32-E72D297353CC}">
              <c16:uniqueId val="{00000003-4C7F-42EE-95F9-626796E96A00}"/>
            </c:ext>
          </c:extLst>
        </c:ser>
        <c:ser>
          <c:idx val="3"/>
          <c:order val="3"/>
          <c:tx>
            <c:strRef>
              <c:f>Presentacion!$AF$100</c:f>
              <c:strCache>
                <c:ptCount val="1"/>
                <c:pt idx="0">
                  <c:v>Chile</c:v>
                </c:pt>
              </c:strCache>
            </c:strRef>
          </c:tx>
          <c:spPr>
            <a:solidFill>
              <a:srgbClr val="61E8FF"/>
            </a:solidFill>
            <a:ln>
              <a:noFill/>
            </a:ln>
            <a:effectLst/>
          </c:spPr>
          <c:invertIfNegative val="0"/>
          <c:dLbls>
            <c:dLbl>
              <c:idx val="0"/>
              <c:layout>
                <c:manualLayout>
                  <c:x val="2.5070284180107858E-3"/>
                  <c:y val="-8.998563120663855E-3"/>
                </c:manualLayout>
              </c:layout>
              <c:tx>
                <c:rich>
                  <a:bodyPr wrap="square" lIns="38100" tIns="19050" rIns="38100" bIns="19050" anchor="ctr">
                    <a:noAutofit/>
                  </a:bodyPr>
                  <a:lstStyle/>
                  <a:p>
                    <a:pPr>
                      <a:defRPr sz="700"/>
                    </a:pPr>
                    <a:r>
                      <a:rPr lang="en-US" sz="700"/>
                      <a:t>Colombia</a:t>
                    </a:r>
                    <a:endParaRPr lang="en-US"/>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4-4C7F-42EE-95F9-626796E96A00}"/>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Presentacion!$AG$100</c:f>
              <c:numCache>
                <c:formatCode>_(* #,##0.00_);_(* \(#,##0.00\);_(* "-"??_);_(@_)</c:formatCode>
                <c:ptCount val="1"/>
                <c:pt idx="0">
                  <c:v>11290.34338358511</c:v>
                </c:pt>
              </c:numCache>
            </c:numRef>
          </c:val>
          <c:extLst>
            <c:ext xmlns:c16="http://schemas.microsoft.com/office/drawing/2014/chart" uri="{C3380CC4-5D6E-409C-BE32-E72D297353CC}">
              <c16:uniqueId val="{00000005-4C7F-42EE-95F9-626796E96A00}"/>
            </c:ext>
          </c:extLst>
        </c:ser>
        <c:ser>
          <c:idx val="4"/>
          <c:order val="4"/>
          <c:tx>
            <c:strRef>
              <c:f>Presentacion!$AF$101</c:f>
              <c:strCache>
                <c:ptCount val="1"/>
                <c:pt idx="0">
                  <c:v>Otros</c:v>
                </c:pt>
              </c:strCache>
            </c:strRef>
          </c:tx>
          <c:spPr>
            <a:solidFill>
              <a:srgbClr val="C5F7FF"/>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Presentacion!$AD$79</c:f>
              <c:numCache>
                <c:formatCode>mmm\-yy</c:formatCode>
                <c:ptCount val="1"/>
                <c:pt idx="0">
                  <c:v>45992</c:v>
                </c:pt>
              </c:numCache>
            </c:numRef>
          </c:cat>
          <c:val>
            <c:numRef>
              <c:f>Presentacion!$AG$101</c:f>
              <c:numCache>
                <c:formatCode>_(* #,##0.00_);_(* \(#,##0.00\);_(* "-"??_);_(@_)</c:formatCode>
                <c:ptCount val="1"/>
                <c:pt idx="0">
                  <c:v>30613.845746084349</c:v>
                </c:pt>
              </c:numCache>
            </c:numRef>
          </c:val>
          <c:extLst>
            <c:ext xmlns:c16="http://schemas.microsoft.com/office/drawing/2014/chart" uri="{C3380CC4-5D6E-409C-BE32-E72D297353CC}">
              <c16:uniqueId val="{00000006-4C7F-42EE-95F9-626796E96A00}"/>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min val="0"/>
        </c:scaling>
        <c:delete val="0"/>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Presentacion!$AK$97</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Presentacion!$AL$97</c:f>
              <c:numCache>
                <c:formatCode>General</c:formatCode>
                <c:ptCount val="1"/>
                <c:pt idx="0">
                  <c:v>46.530533304582853</c:v>
                </c:pt>
              </c:numCache>
            </c:numRef>
          </c:val>
          <c:extLst>
            <c:ext xmlns:c16="http://schemas.microsoft.com/office/drawing/2014/chart" uri="{C3380CC4-5D6E-409C-BE32-E72D297353CC}">
              <c16:uniqueId val="{00000000-4813-49E8-A826-DDBCDD2D204B}"/>
            </c:ext>
          </c:extLst>
        </c:ser>
        <c:ser>
          <c:idx val="1"/>
          <c:order val="1"/>
          <c:tx>
            <c:strRef>
              <c:f>Presentacion!$AK$98</c:f>
              <c:strCache>
                <c:ptCount val="1"/>
                <c:pt idx="0">
                  <c:v>Brasil</c:v>
                </c:pt>
              </c:strCache>
            </c:strRef>
          </c:tx>
          <c:spPr>
            <a:solidFill>
              <a:srgbClr val="00AECB"/>
            </a:solidFill>
            <a:ln>
              <a:noFill/>
            </a:ln>
            <a:effectLst/>
          </c:spPr>
          <c:invertIfNegative val="0"/>
          <c:dLbls>
            <c:dLbl>
              <c:idx val="0"/>
              <c:layout>
                <c:manualLayout>
                  <c:x val="0"/>
                  <c:y val="-4.3587967783608428E-5"/>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4813-49E8-A826-DDBCDD2D204B}"/>
                </c:ext>
              </c:extLst>
            </c:dLbl>
            <c:spPr>
              <a:noFill/>
              <a:ln>
                <a:noFill/>
              </a:ln>
              <a:effectLst/>
            </c:spPr>
            <c:txPr>
              <a:bodyPr wrap="square" lIns="38100" tIns="19050" rIns="38100" bIns="19050" anchor="ctr">
                <a:spAutoFit/>
              </a:bodyPr>
              <a:lstStyle/>
              <a:p>
                <a:pPr>
                  <a:defRPr sz="6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Presentacion!$AL$98</c:f>
              <c:numCache>
                <c:formatCode>General</c:formatCode>
                <c:ptCount val="1"/>
                <c:pt idx="0">
                  <c:v>4.1246898248788071</c:v>
                </c:pt>
              </c:numCache>
            </c:numRef>
          </c:val>
          <c:extLst>
            <c:ext xmlns:c16="http://schemas.microsoft.com/office/drawing/2014/chart" uri="{C3380CC4-5D6E-409C-BE32-E72D297353CC}">
              <c16:uniqueId val="{00000002-4813-49E8-A826-DDBCDD2D204B}"/>
            </c:ext>
          </c:extLst>
        </c:ser>
        <c:ser>
          <c:idx val="2"/>
          <c:order val="2"/>
          <c:tx>
            <c:strRef>
              <c:f>Presentacion!$AK$99</c:f>
              <c:strCache>
                <c:ptCount val="1"/>
                <c:pt idx="0">
                  <c:v>México</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6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Presentacion!$AL$99</c:f>
              <c:numCache>
                <c:formatCode>General</c:formatCode>
                <c:ptCount val="1"/>
                <c:pt idx="0">
                  <c:v>1.2162331434245193</c:v>
                </c:pt>
              </c:numCache>
            </c:numRef>
          </c:val>
          <c:extLst>
            <c:ext xmlns:c16="http://schemas.microsoft.com/office/drawing/2014/chart" uri="{C3380CC4-5D6E-409C-BE32-E72D297353CC}">
              <c16:uniqueId val="{00000003-4813-49E8-A826-DDBCDD2D204B}"/>
            </c:ext>
          </c:extLst>
        </c:ser>
        <c:ser>
          <c:idx val="3"/>
          <c:order val="3"/>
          <c:tx>
            <c:strRef>
              <c:f>Presentacion!$AK$100</c:f>
              <c:strCache>
                <c:ptCount val="1"/>
                <c:pt idx="0">
                  <c:v>Chile</c:v>
                </c:pt>
              </c:strCache>
            </c:strRef>
          </c:tx>
          <c:spPr>
            <a:solidFill>
              <a:srgbClr val="61E8FF"/>
            </a:solidFill>
            <a:ln>
              <a:noFill/>
            </a:ln>
            <a:effectLst/>
          </c:spPr>
          <c:invertIfNegative val="0"/>
          <c:dLbls>
            <c:dLbl>
              <c:idx val="0"/>
              <c:layout>
                <c:manualLayout>
                  <c:x val="2.5069444444444445E-3"/>
                  <c:y val="-2.1171298637772225E-4"/>
                </c:manualLayout>
              </c:layout>
              <c:tx>
                <c:rich>
                  <a:bodyPr wrap="square" lIns="38100" tIns="19050" rIns="38100" bIns="19050" anchor="ctr">
                    <a:noAutofit/>
                  </a:bodyPr>
                  <a:lstStyle/>
                  <a:p>
                    <a:pPr>
                      <a:defRPr sz="600"/>
                    </a:pPr>
                    <a:r>
                      <a:rPr lang="en-US" sz="600"/>
                      <a:t>Colombia</a:t>
                    </a:r>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4-4813-49E8-A826-DDBCDD2D204B}"/>
                </c:ext>
              </c:extLst>
            </c:dLbl>
            <c:spPr>
              <a:noFill/>
              <a:ln>
                <a:noFill/>
              </a:ln>
              <a:effectLst/>
            </c:spPr>
            <c:txPr>
              <a:bodyPr wrap="square" lIns="38100" tIns="19050" rIns="38100" bIns="19050" anchor="ctr">
                <a:spAutoFit/>
              </a:bodyPr>
              <a:lstStyle/>
              <a:p>
                <a:pPr>
                  <a:defRPr sz="6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Presentacion!$AL$100</c:f>
              <c:numCache>
                <c:formatCode>General</c:formatCode>
                <c:ptCount val="1"/>
                <c:pt idx="0">
                  <c:v>1.0466687411384583</c:v>
                </c:pt>
              </c:numCache>
            </c:numRef>
          </c:val>
          <c:extLst>
            <c:ext xmlns:c16="http://schemas.microsoft.com/office/drawing/2014/chart" uri="{C3380CC4-5D6E-409C-BE32-E72D297353CC}">
              <c16:uniqueId val="{00000005-4813-49E8-A826-DDBCDD2D204B}"/>
            </c:ext>
          </c:extLst>
        </c:ser>
        <c:ser>
          <c:idx val="4"/>
          <c:order val="4"/>
          <c:tx>
            <c:strRef>
              <c:f>Presentacion!$AK$101</c:f>
              <c:strCache>
                <c:ptCount val="1"/>
                <c:pt idx="0">
                  <c:v>Otros</c:v>
                </c:pt>
              </c:strCache>
            </c:strRef>
          </c:tx>
          <c:spPr>
            <a:solidFill>
              <a:srgbClr val="C5F7FF"/>
            </a:solidFill>
            <a:ln>
              <a:noFill/>
            </a:ln>
            <a:effectLst/>
          </c:spPr>
          <c:invertIfNegative val="0"/>
          <c:dLbls>
            <c:spPr>
              <a:noFill/>
              <a:ln>
                <a:noFill/>
              </a:ln>
              <a:effectLst/>
            </c:spPr>
            <c:txPr>
              <a:bodyPr wrap="square" lIns="38100" tIns="19050" rIns="38100" bIns="19050" anchor="ctr">
                <a:spAutoFit/>
              </a:bodyPr>
              <a:lstStyle/>
              <a:p>
                <a:pPr>
                  <a:defRPr sz="6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Presentacion!$AD$79</c:f>
              <c:numCache>
                <c:formatCode>mmm\-yy</c:formatCode>
                <c:ptCount val="1"/>
                <c:pt idx="0">
                  <c:v>45992</c:v>
                </c:pt>
              </c:numCache>
            </c:numRef>
          </c:cat>
          <c:val>
            <c:numRef>
              <c:f>Presentacion!$AL$101</c:f>
              <c:numCache>
                <c:formatCode>General</c:formatCode>
                <c:ptCount val="1"/>
                <c:pt idx="0">
                  <c:v>2.8380496765977199</c:v>
                </c:pt>
              </c:numCache>
            </c:numRef>
          </c:val>
          <c:extLst>
            <c:ext xmlns:c16="http://schemas.microsoft.com/office/drawing/2014/chart" uri="{C3380CC4-5D6E-409C-BE32-E72D297353CC}">
              <c16:uniqueId val="{00000006-4813-49E8-A826-DDBCDD2D204B}"/>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scaling>
        <c:delete val="1"/>
        <c:axPos val="l"/>
        <c:numFmt formatCode="General"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803149606299206E-2"/>
          <c:y val="2.8208832929903241E-2"/>
          <c:w val="0.83034566692116907"/>
          <c:h val="0.73086104700012722"/>
        </c:manualLayout>
      </c:layout>
      <c:barChart>
        <c:barDir val="col"/>
        <c:grouping val="stack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Trebuchet MS" panose="020B0603020202020204" pitchFamily="34" charset="0"/>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Jun-24</c:v>
              </c:pt>
              <c:pt idx="1">
                <c:v>Dic-24</c:v>
              </c:pt>
            </c:strLit>
          </c:cat>
          <c:val>
            <c:numRef>
              <c:f>Presentacion!$DP$83:$DQ$83</c:f>
              <c:numCache>
                <c:formatCode>0</c:formatCode>
                <c:ptCount val="2"/>
                <c:pt idx="0">
                  <c:v>716.39853497787578</c:v>
                </c:pt>
                <c:pt idx="1">
                  <c:v>784.32399583905283</c:v>
                </c:pt>
              </c:numCache>
            </c:numRef>
          </c:val>
          <c:extLst>
            <c:ext xmlns:c16="http://schemas.microsoft.com/office/drawing/2014/chart" uri="{C3380CC4-5D6E-409C-BE32-E72D297353CC}">
              <c16:uniqueId val="{00000002-9928-4DE8-AB6E-CB611DEA0236}"/>
            </c:ext>
          </c:extLst>
        </c:ser>
        <c:dLbls>
          <c:dLblPos val="ctr"/>
          <c:showLegendKey val="0"/>
          <c:showVal val="1"/>
          <c:showCatName val="0"/>
          <c:showSerName val="0"/>
          <c:showPercent val="0"/>
          <c:showBubbleSize val="0"/>
        </c:dLbls>
        <c:gapWidth val="25"/>
        <c:overlap val="100"/>
        <c:axId val="98246016"/>
        <c:axId val="98235456"/>
      </c:barChart>
      <c:catAx>
        <c:axId val="98246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2"/>
                </a:solidFill>
                <a:latin typeface="Trebuchet MS" panose="020B0603020202020204" pitchFamily="34" charset="0"/>
                <a:ea typeface="+mn-ea"/>
                <a:cs typeface="+mn-cs"/>
              </a:defRPr>
            </a:pPr>
            <a:endParaRPr lang="es-PE"/>
          </a:p>
        </c:txPr>
        <c:crossAx val="98235456"/>
        <c:crosses val="autoZero"/>
        <c:auto val="1"/>
        <c:lblAlgn val="ctr"/>
        <c:lblOffset val="100"/>
        <c:noMultiLvlLbl val="0"/>
      </c:catAx>
      <c:valAx>
        <c:axId val="98235456"/>
        <c:scaling>
          <c:orientation val="minMax"/>
          <c:max val="800"/>
          <c:min val="500"/>
        </c:scaling>
        <c:delete val="1"/>
        <c:axPos val="l"/>
        <c:numFmt formatCode="0" sourceLinked="1"/>
        <c:majorTickMark val="out"/>
        <c:minorTickMark val="none"/>
        <c:tickLblPos val="nextTo"/>
        <c:crossAx val="9824601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600">
          <a:solidFill>
            <a:schemeClr val="bg1"/>
          </a:solidFill>
          <a:latin typeface="Trebuchet MS" panose="020B0603020202020204" pitchFamily="34" charset="0"/>
        </a:defRPr>
      </a:pPr>
      <a:endParaRPr lang="es-PE"/>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802833889026977E-2"/>
          <c:y val="2.8208168700601055E-2"/>
          <c:w val="0.83034566692116907"/>
          <c:h val="0.82347870604141948"/>
        </c:manualLayout>
      </c:layout>
      <c:barChart>
        <c:barDir val="col"/>
        <c:grouping val="stack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Trebuchet MS" panose="020B0603020202020204" pitchFamily="34" charset="0"/>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Jun-24</c:v>
              </c:pt>
              <c:pt idx="1">
                <c:v>Dic-24</c:v>
              </c:pt>
            </c:strLit>
          </c:cat>
          <c:val>
            <c:numRef>
              <c:f>Presentacion!$DT$83:$DU$83</c:f>
              <c:numCache>
                <c:formatCode>_-* #,##0_-;\-* #,##0_-;_-* "-"??_-;_-@_-</c:formatCode>
                <c:ptCount val="2"/>
                <c:pt idx="0">
                  <c:v>70.101860882112547</c:v>
                </c:pt>
                <c:pt idx="1">
                  <c:v>72.710579428707447</c:v>
                </c:pt>
              </c:numCache>
            </c:numRef>
          </c:val>
          <c:extLst>
            <c:ext xmlns:c16="http://schemas.microsoft.com/office/drawing/2014/chart" uri="{C3380CC4-5D6E-409C-BE32-E72D297353CC}">
              <c16:uniqueId val="{00000003-2F9C-43F3-AE62-4CF4F6C1C45B}"/>
            </c:ext>
          </c:extLst>
        </c:ser>
        <c:dLbls>
          <c:dLblPos val="ctr"/>
          <c:showLegendKey val="0"/>
          <c:showVal val="1"/>
          <c:showCatName val="0"/>
          <c:showSerName val="0"/>
          <c:showPercent val="0"/>
          <c:showBubbleSize val="0"/>
        </c:dLbls>
        <c:gapWidth val="25"/>
        <c:overlap val="100"/>
        <c:axId val="98246016"/>
        <c:axId val="98235456"/>
      </c:barChart>
      <c:catAx>
        <c:axId val="98246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2"/>
                </a:solidFill>
                <a:latin typeface="Trebuchet MS" panose="020B0603020202020204" pitchFamily="34" charset="0"/>
                <a:ea typeface="+mn-ea"/>
                <a:cs typeface="+mn-cs"/>
              </a:defRPr>
            </a:pPr>
            <a:endParaRPr lang="es-PE"/>
          </a:p>
        </c:txPr>
        <c:crossAx val="98235456"/>
        <c:crosses val="autoZero"/>
        <c:auto val="1"/>
        <c:lblAlgn val="ctr"/>
        <c:lblOffset val="100"/>
        <c:noMultiLvlLbl val="0"/>
      </c:catAx>
      <c:valAx>
        <c:axId val="98235456"/>
        <c:scaling>
          <c:orientation val="minMax"/>
          <c:max val="150"/>
        </c:scaling>
        <c:delete val="1"/>
        <c:axPos val="l"/>
        <c:numFmt formatCode="_-* #,##0_-;\-* #,##0_-;_-* &quot;-&quot;??_-;_-@_-" sourceLinked="1"/>
        <c:majorTickMark val="out"/>
        <c:minorTickMark val="none"/>
        <c:tickLblPos val="nextTo"/>
        <c:crossAx val="9824601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600">
          <a:solidFill>
            <a:schemeClr val="bg1"/>
          </a:solidFill>
          <a:latin typeface="Trebuchet MS" panose="020B0603020202020204" pitchFamily="34" charset="0"/>
        </a:defRPr>
      </a:pPr>
      <a:endParaRPr lang="es-PE"/>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802833889026977E-2"/>
          <c:y val="5.0716362050532586E-2"/>
          <c:w val="0.83034566692116907"/>
          <c:h val="0.58267370849905986"/>
        </c:manualLayout>
      </c:layout>
      <c:barChart>
        <c:barDir val="col"/>
        <c:grouping val="stack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Trebuchet MS" panose="020B0603020202020204" pitchFamily="34" charset="0"/>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Jun-24</c:v>
              </c:pt>
              <c:pt idx="1">
                <c:v>Dic-24</c:v>
              </c:pt>
            </c:strLit>
          </c:cat>
          <c:val>
            <c:numRef>
              <c:f>Presentacion!$DT$84:$DU$84</c:f>
              <c:numCache>
                <c:formatCode>0</c:formatCode>
                <c:ptCount val="2"/>
                <c:pt idx="0">
                  <c:v>42.133472427654858</c:v>
                </c:pt>
                <c:pt idx="1">
                  <c:v>55.756174690622359</c:v>
                </c:pt>
              </c:numCache>
            </c:numRef>
          </c:val>
          <c:extLst>
            <c:ext xmlns:c16="http://schemas.microsoft.com/office/drawing/2014/chart" uri="{C3380CC4-5D6E-409C-BE32-E72D297353CC}">
              <c16:uniqueId val="{00000001-4CF7-44CE-92AC-153F259CB389}"/>
            </c:ext>
          </c:extLst>
        </c:ser>
        <c:dLbls>
          <c:dLblPos val="ctr"/>
          <c:showLegendKey val="0"/>
          <c:showVal val="1"/>
          <c:showCatName val="0"/>
          <c:showSerName val="0"/>
          <c:showPercent val="0"/>
          <c:showBubbleSize val="0"/>
        </c:dLbls>
        <c:gapWidth val="25"/>
        <c:overlap val="100"/>
        <c:axId val="98246016"/>
        <c:axId val="98235456"/>
      </c:barChart>
      <c:catAx>
        <c:axId val="98246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2"/>
                </a:solidFill>
                <a:latin typeface="Trebuchet MS" panose="020B0603020202020204" pitchFamily="34" charset="0"/>
                <a:ea typeface="+mn-ea"/>
                <a:cs typeface="+mn-cs"/>
              </a:defRPr>
            </a:pPr>
            <a:endParaRPr lang="es-PE"/>
          </a:p>
        </c:txPr>
        <c:crossAx val="98235456"/>
        <c:crosses val="autoZero"/>
        <c:auto val="1"/>
        <c:lblAlgn val="ctr"/>
        <c:lblOffset val="100"/>
        <c:noMultiLvlLbl val="0"/>
      </c:catAx>
      <c:valAx>
        <c:axId val="98235456"/>
        <c:scaling>
          <c:orientation val="minMax"/>
          <c:max val="100"/>
          <c:min val="0"/>
        </c:scaling>
        <c:delete val="1"/>
        <c:axPos val="l"/>
        <c:numFmt formatCode="0" sourceLinked="1"/>
        <c:majorTickMark val="out"/>
        <c:minorTickMark val="none"/>
        <c:tickLblPos val="nextTo"/>
        <c:crossAx val="9824601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600">
          <a:solidFill>
            <a:schemeClr val="bg1"/>
          </a:solidFill>
          <a:latin typeface="Trebuchet MS" panose="020B0603020202020204" pitchFamily="34" charset="0"/>
        </a:defRPr>
      </a:pPr>
      <a:endParaRPr lang="es-PE"/>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803149606299206E-2"/>
          <c:y val="2.8208832929903241E-2"/>
          <c:w val="0.83034566692116907"/>
          <c:h val="0.73086104700012722"/>
        </c:manualLayout>
      </c:layout>
      <c:barChart>
        <c:barDir val="col"/>
        <c:grouping val="stack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Trebuchet MS" panose="020B0603020202020204" pitchFamily="34" charset="0"/>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Jun-24</c:v>
              </c:pt>
              <c:pt idx="1">
                <c:v>Dic-24</c:v>
              </c:pt>
            </c:strLit>
          </c:cat>
          <c:val>
            <c:numRef>
              <c:f>Presentacion!$DP$84:$DQ$84</c:f>
              <c:numCache>
                <c:formatCode>0</c:formatCode>
                <c:ptCount val="2"/>
                <c:pt idx="0">
                  <c:v>430.57855441901143</c:v>
                </c:pt>
                <c:pt idx="1">
                  <c:v>601.43800351539289</c:v>
                </c:pt>
              </c:numCache>
            </c:numRef>
          </c:val>
          <c:extLst>
            <c:ext xmlns:c16="http://schemas.microsoft.com/office/drawing/2014/chart" uri="{C3380CC4-5D6E-409C-BE32-E72D297353CC}">
              <c16:uniqueId val="{00000003-E333-47DA-87AB-E3F1267C1A69}"/>
            </c:ext>
          </c:extLst>
        </c:ser>
        <c:dLbls>
          <c:dLblPos val="ctr"/>
          <c:showLegendKey val="0"/>
          <c:showVal val="1"/>
          <c:showCatName val="0"/>
          <c:showSerName val="0"/>
          <c:showPercent val="0"/>
          <c:showBubbleSize val="0"/>
        </c:dLbls>
        <c:gapWidth val="25"/>
        <c:overlap val="100"/>
        <c:axId val="98246016"/>
        <c:axId val="98235456"/>
      </c:barChart>
      <c:catAx>
        <c:axId val="98246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2"/>
                </a:solidFill>
                <a:latin typeface="Trebuchet MS" panose="020B0603020202020204" pitchFamily="34" charset="0"/>
                <a:ea typeface="+mn-ea"/>
                <a:cs typeface="+mn-cs"/>
              </a:defRPr>
            </a:pPr>
            <a:endParaRPr lang="es-PE"/>
          </a:p>
        </c:txPr>
        <c:crossAx val="98235456"/>
        <c:crosses val="autoZero"/>
        <c:auto val="1"/>
        <c:lblAlgn val="ctr"/>
        <c:lblOffset val="100"/>
        <c:noMultiLvlLbl val="0"/>
      </c:catAx>
      <c:valAx>
        <c:axId val="98235456"/>
        <c:scaling>
          <c:orientation val="minMax"/>
          <c:max val="700"/>
          <c:min val="100"/>
        </c:scaling>
        <c:delete val="1"/>
        <c:axPos val="l"/>
        <c:numFmt formatCode="0" sourceLinked="1"/>
        <c:majorTickMark val="out"/>
        <c:minorTickMark val="none"/>
        <c:tickLblPos val="nextTo"/>
        <c:crossAx val="98246016"/>
        <c:crosses val="autoZero"/>
        <c:crossBetween val="between"/>
      </c:valAx>
      <c:spPr>
        <a:noFill/>
        <a:ln w="25400">
          <a:noFill/>
        </a:ln>
        <a:effectLst/>
      </c:spPr>
    </c:plotArea>
    <c:plotVisOnly val="1"/>
    <c:dispBlanksAs val="gap"/>
    <c:showDLblsOverMax val="0"/>
    <c:extLst/>
  </c:chart>
  <c:spPr>
    <a:noFill/>
    <a:ln w="9525" cap="flat" cmpd="sng" algn="ctr">
      <a:noFill/>
      <a:round/>
    </a:ln>
    <a:effectLst/>
  </c:spPr>
  <c:txPr>
    <a:bodyPr/>
    <a:lstStyle/>
    <a:p>
      <a:pPr>
        <a:defRPr sz="600">
          <a:solidFill>
            <a:schemeClr val="bg1"/>
          </a:solidFill>
          <a:latin typeface="Trebuchet MS" panose="020B0603020202020204" pitchFamily="34" charset="0"/>
        </a:defRPr>
      </a:pPr>
      <a:endParaRPr lang="es-PE"/>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8237167573024944"/>
          <c:y val="0.47388059701492535"/>
        </c:manualLayout>
      </c:layout>
      <c:overlay val="0"/>
    </c:title>
    <c:autoTitleDeleted val="0"/>
    <c:plotArea>
      <c:layout/>
      <c:barChart>
        <c:barDir val="col"/>
        <c:grouping val="stacked"/>
        <c:varyColors val="0"/>
        <c:ser>
          <c:idx val="0"/>
          <c:order val="0"/>
          <c:tx>
            <c:strRef>
              <c:f>Presentacion!$AF$138</c:f>
              <c:strCache>
                <c:ptCount val="1"/>
                <c:pt idx="0">
                  <c:v>EMB</c:v>
                </c:pt>
              </c:strCache>
            </c:strRef>
          </c:tx>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Presentacion!$AG$138</c:f>
              <c:numCache>
                <c:formatCode>_(* #,##0.00_);_(* \(#,##0.00\);_(* "-"??_);_(@_)</c:formatCode>
                <c:ptCount val="1"/>
                <c:pt idx="0">
                  <c:v>6663637.7142152088</c:v>
                </c:pt>
              </c:numCache>
            </c:numRef>
          </c:val>
          <c:extLst>
            <c:ext xmlns:c16="http://schemas.microsoft.com/office/drawing/2014/chart" uri="{C3380CC4-5D6E-409C-BE32-E72D297353CC}">
              <c16:uniqueId val="{00000000-0A1A-4839-A253-B76ECE93A0C5}"/>
            </c:ext>
          </c:extLst>
        </c:ser>
        <c:dLbls>
          <c:dLblPos val="ctr"/>
          <c:showLegendKey val="0"/>
          <c:showVal val="1"/>
          <c:showCatName val="0"/>
          <c:showSerName val="0"/>
          <c:showPercent val="0"/>
          <c:showBubbleSize val="0"/>
        </c:dLbls>
        <c:gapWidth val="219"/>
        <c:overlap val="100"/>
        <c:axId val="1038796671"/>
        <c:axId val="11312079"/>
      </c:barChart>
      <c:catAx>
        <c:axId val="1038796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Algn val="ctr"/>
        <c:lblOffset val="100"/>
        <c:noMultiLvlLbl val="0"/>
      </c:catAx>
      <c:valAx>
        <c:axId val="11312079"/>
        <c:scaling>
          <c:orientation val="minMax"/>
          <c:max val="600000"/>
          <c:min val="0"/>
        </c:scaling>
        <c:delete val="1"/>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6736764289179835"/>
          <c:y val="0.43340845839473807"/>
        </c:manualLayout>
      </c:layout>
      <c:overlay val="0"/>
    </c:title>
    <c:autoTitleDeleted val="0"/>
    <c:plotArea>
      <c:layout/>
      <c:barChart>
        <c:barDir val="col"/>
        <c:grouping val="stacked"/>
        <c:varyColors val="0"/>
        <c:ser>
          <c:idx val="0"/>
          <c:order val="0"/>
          <c:tx>
            <c:strRef>
              <c:f>Presentacion!$AK$138</c:f>
              <c:strCache>
                <c:ptCount val="1"/>
                <c:pt idx="0">
                  <c:v>EMB</c:v>
                </c:pt>
              </c:strCache>
            </c:strRef>
          </c:tx>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Presentacion!$AL$138</c:f>
              <c:numCache>
                <c:formatCode>_(* #,##0.00_);_(* \(#,##0.00\);_(* "-"??_);_(@_)</c:formatCode>
                <c:ptCount val="1"/>
                <c:pt idx="0">
                  <c:v>401.09930501999997</c:v>
                </c:pt>
              </c:numCache>
            </c:numRef>
          </c:val>
          <c:extLst>
            <c:ext xmlns:c16="http://schemas.microsoft.com/office/drawing/2014/chart" uri="{C3380CC4-5D6E-409C-BE32-E72D297353CC}">
              <c16:uniqueId val="{00000000-F956-4714-AC9A-BDE00C7A15E6}"/>
            </c:ext>
          </c:extLst>
        </c:ser>
        <c:dLbls>
          <c:dLblPos val="ctr"/>
          <c:showLegendKey val="0"/>
          <c:showVal val="1"/>
          <c:showCatName val="0"/>
          <c:showSerName val="0"/>
          <c:showPercent val="0"/>
          <c:showBubbleSize val="0"/>
        </c:dLbls>
        <c:gapWidth val="219"/>
        <c:overlap val="100"/>
        <c:axId val="1038796671"/>
        <c:axId val="11312079"/>
      </c:barChart>
      <c:catAx>
        <c:axId val="1038796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Algn val="ctr"/>
        <c:lblOffset val="100"/>
        <c:noMultiLvlLbl val="0"/>
      </c:catAx>
      <c:valAx>
        <c:axId val="11312079"/>
        <c:scaling>
          <c:orientation val="minMax"/>
          <c:max val="75"/>
        </c:scaling>
        <c:delete val="1"/>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8805555555555558E-2"/>
          <c:y val="0.17879575481914664"/>
          <c:w val="0.92238888888888892"/>
          <c:h val="0.74555988737275292"/>
        </c:manualLayout>
      </c:layout>
      <c:barChart>
        <c:barDir val="col"/>
        <c:grouping val="stacked"/>
        <c:varyColors val="0"/>
        <c:ser>
          <c:idx val="0"/>
          <c:order val="0"/>
          <c:tx>
            <c:strRef>
              <c:f>Presentacion!$DO$105</c:f>
              <c:strCache>
                <c:ptCount val="1"/>
                <c:pt idx="0">
                  <c:v>Materials</c:v>
                </c:pt>
              </c:strCache>
            </c:strRef>
          </c:tx>
          <c:spPr>
            <a:solidFill>
              <a:srgbClr val="E3F2ED"/>
            </a:solidFill>
          </c:spPr>
          <c:invertIfNegative val="0"/>
          <c:dLbls>
            <c:dLbl>
              <c:idx val="1"/>
              <c:tx>
                <c:rich>
                  <a:bodyPr/>
                  <a:lstStyle/>
                  <a:p>
                    <a:fld id="{6BE3EB41-046D-48CF-A408-E6271F1081E5}" type="CELLREF">
                      <a:rPr lang="en-US"/>
                      <a:pPr/>
                      <a:t>[CELLREF]</a:t>
                    </a:fld>
                    <a:endParaRPr lang="es-PE"/>
                  </a:p>
                </c:rich>
              </c:tx>
              <c:showLegendKey val="0"/>
              <c:showVal val="0"/>
              <c:showCatName val="0"/>
              <c:showSerName val="1"/>
              <c:showPercent val="0"/>
              <c:showBubbleSize val="0"/>
              <c:extLst>
                <c:ext xmlns:c15="http://schemas.microsoft.com/office/drawing/2012/chart" uri="{CE6537A1-D6FC-4f65-9D91-7224C49458BB}">
                  <c15:dlblFieldTable>
                    <c15:dlblFTEntry>
                      <c15:txfldGUID>{6BE3EB41-046D-48CF-A408-E6271F1081E5}</c15:txfldGUID>
                      <c15:f>Presentacion!$DU$104</c15:f>
                      <c15:dlblFieldTableCache>
                        <c:ptCount val="1"/>
                        <c:pt idx="0">
                          <c:v>ACWI</c:v>
                        </c:pt>
                      </c15:dlblFieldTableCache>
                    </c15:dlblFTEntry>
                  </c15:dlblFieldTable>
                  <c15:showDataLabelsRange val="0"/>
                </c:ext>
                <c:ext xmlns:c16="http://schemas.microsoft.com/office/drawing/2014/chart" uri="{C3380CC4-5D6E-409C-BE32-E72D297353CC}">
                  <c16:uniqueId val="{00000037-B8A3-45C9-8288-48D73CE9D9A8}"/>
                </c:ext>
              </c:extLst>
            </c:dLbl>
            <c:dLbl>
              <c:idx val="2"/>
              <c:tx>
                <c:rich>
                  <a:bodyPr/>
                  <a:lstStyle/>
                  <a:p>
                    <a:fld id="{852411D2-C37E-4B48-A331-F86130FDC2A6}" type="CELLREF">
                      <a:rPr lang="en-US"/>
                      <a:pPr/>
                      <a:t>[CELLREF]</a:t>
                    </a:fld>
                    <a:endParaRPr lang="es-PE"/>
                  </a:p>
                </c:rich>
              </c:tx>
              <c:showLegendKey val="0"/>
              <c:showVal val="0"/>
              <c:showCatName val="0"/>
              <c:showSerName val="1"/>
              <c:showPercent val="0"/>
              <c:showBubbleSize val="0"/>
              <c:extLst>
                <c:ext xmlns:c15="http://schemas.microsoft.com/office/drawing/2012/chart" uri="{CE6537A1-D6FC-4f65-9D91-7224C49458BB}">
                  <c15:dlblFieldTable>
                    <c15:dlblFTEntry>
                      <c15:txfldGUID>{852411D2-C37E-4B48-A331-F86130FDC2A6}</c15:txfldGUID>
                      <c15:f>Presentacion!$DV$104</c15:f>
                      <c15:dlblFieldTableCache>
                        <c:ptCount val="1"/>
                        <c:pt idx="0">
                          <c:v>ILF</c:v>
                        </c:pt>
                      </c15:dlblFieldTableCache>
                    </c15:dlblFTEntry>
                  </c15:dlblFieldTable>
                  <c15:showDataLabelsRange val="0"/>
                </c:ext>
                <c:ext xmlns:c16="http://schemas.microsoft.com/office/drawing/2014/chart" uri="{C3380CC4-5D6E-409C-BE32-E72D297353CC}">
                  <c16:uniqueId val="{00000038-B8A3-45C9-8288-48D73CE9D9A8}"/>
                </c:ext>
              </c:extLst>
            </c:dLbl>
            <c:dLbl>
              <c:idx val="3"/>
              <c:tx>
                <c:rich>
                  <a:bodyPr/>
                  <a:lstStyle/>
                  <a:p>
                    <a:fld id="{17B16ECF-CAA7-42B8-BC17-14A88B411771}" type="CELLREF">
                      <a:rPr lang="en-US"/>
                      <a:pPr/>
                      <a:t>[CELLREF]</a:t>
                    </a:fld>
                    <a:endParaRPr lang="es-PE"/>
                  </a:p>
                </c:rich>
              </c:tx>
              <c:showLegendKey val="0"/>
              <c:showVal val="0"/>
              <c:showCatName val="0"/>
              <c:showSerName val="1"/>
              <c:showPercent val="0"/>
              <c:showBubbleSize val="0"/>
              <c:extLst>
                <c:ext xmlns:c15="http://schemas.microsoft.com/office/drawing/2012/chart" uri="{CE6537A1-D6FC-4f65-9D91-7224C49458BB}">
                  <c15:dlblFieldTable>
                    <c15:dlblFTEntry>
                      <c15:txfldGUID>{17B16ECF-CAA7-42B8-BC17-14A88B411771}</c15:txfldGUID>
                      <c15:f>Presentacion!$DW$104</c15:f>
                      <c15:dlblFieldTableCache>
                        <c:ptCount val="1"/>
                        <c:pt idx="0">
                          <c:v>CEMB</c:v>
                        </c:pt>
                      </c15:dlblFieldTableCache>
                    </c15:dlblFTEntry>
                  </c15:dlblFieldTable>
                  <c15:showDataLabelsRange val="0"/>
                </c:ext>
                <c:ext xmlns:c16="http://schemas.microsoft.com/office/drawing/2014/chart" uri="{C3380CC4-5D6E-409C-BE32-E72D297353CC}">
                  <c16:uniqueId val="{00000039-B8A3-45C9-8288-48D73CE9D9A8}"/>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Presentacion!$DT$105:$DW$105</c:f>
              <c:numCache>
                <c:formatCode>0.00</c:formatCode>
                <c:ptCount val="4"/>
                <c:pt idx="0" formatCode="_(* #,##0.00_);_(* \(#,##0.00\);_(* &quot;-&quot;??_);_(@_)">
                  <c:v>19.451666915257587</c:v>
                </c:pt>
                <c:pt idx="1">
                  <c:v>39.567476790000001</c:v>
                </c:pt>
                <c:pt idx="2">
                  <c:v>145.75331588</c:v>
                </c:pt>
                <c:pt idx="3" formatCode="General">
                  <c:v>202.57506538000001</c:v>
                </c:pt>
              </c:numCache>
            </c:numRef>
          </c:val>
          <c:extLst>
            <c:ext xmlns:c16="http://schemas.microsoft.com/office/drawing/2014/chart" uri="{C3380CC4-5D6E-409C-BE32-E72D297353CC}">
              <c16:uniqueId val="{00000013-B8A3-45C9-8288-48D73CE9D9A8}"/>
            </c:ext>
          </c:extLst>
        </c:ser>
        <c:ser>
          <c:idx val="1"/>
          <c:order val="1"/>
          <c:tx>
            <c:strRef>
              <c:f>Presentacion!$DO$106</c:f>
              <c:strCache>
                <c:ptCount val="1"/>
                <c:pt idx="0">
                  <c:v>Materials</c:v>
                </c:pt>
              </c:strCache>
            </c:strRef>
          </c:tx>
          <c:invertIfNegative val="0"/>
          <c:dLbls>
            <c:delete val="1"/>
          </c:dLbls>
          <c:val>
            <c:numRef>
              <c:f>Presentacion!$DT$106:$DW$106</c:f>
              <c:numCache>
                <c:formatCode>_(* #,##0.00_);_(* \(#,##0.00\);_(* "-"??_);_(@_)</c:formatCode>
                <c:ptCount val="4"/>
                <c:pt idx="0">
                  <c:v>0</c:v>
                </c:pt>
              </c:numCache>
            </c:numRef>
          </c:val>
          <c:extLst>
            <c:ext xmlns:c16="http://schemas.microsoft.com/office/drawing/2014/chart" uri="{C3380CC4-5D6E-409C-BE32-E72D297353CC}">
              <c16:uniqueId val="{00000015-B8A3-45C9-8288-48D73CE9D9A8}"/>
            </c:ext>
          </c:extLst>
        </c:ser>
        <c:ser>
          <c:idx val="2"/>
          <c:order val="2"/>
          <c:tx>
            <c:strRef>
              <c:f>Presentacion!$DO$107</c:f>
              <c:strCache>
                <c:ptCount val="1"/>
                <c:pt idx="0">
                  <c:v>Utilities</c:v>
                </c:pt>
              </c:strCache>
            </c:strRef>
          </c:tx>
          <c:spPr>
            <a:solidFill>
              <a:srgbClr val="C8E5DC"/>
            </a:solidFill>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17-B8A3-45C9-8288-48D73CE9D9A8}"/>
                </c:ext>
              </c:extLst>
            </c:dLbl>
            <c:dLbl>
              <c:idx val="2"/>
              <c:delete val="1"/>
              <c:extLst>
                <c:ext xmlns:c15="http://schemas.microsoft.com/office/drawing/2012/chart" uri="{CE6537A1-D6FC-4f65-9D91-7224C49458BB}"/>
                <c:ext xmlns:c16="http://schemas.microsoft.com/office/drawing/2014/chart" uri="{C3380CC4-5D6E-409C-BE32-E72D297353CC}">
                  <c16:uniqueId val="{00000036-B8A3-45C9-8288-48D73CE9D9A8}"/>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Presentacion!$DT$107:$DW$107</c:f>
              <c:numCache>
                <c:formatCode>_(* #,##0.00_);_(* \(#,##0.00\);_(* "-"??_);_(@_)</c:formatCode>
                <c:ptCount val="4"/>
                <c:pt idx="0">
                  <c:v>0.13823890373733341</c:v>
                </c:pt>
              </c:numCache>
            </c:numRef>
          </c:val>
          <c:extLst>
            <c:ext xmlns:c16="http://schemas.microsoft.com/office/drawing/2014/chart" uri="{C3380CC4-5D6E-409C-BE32-E72D297353CC}">
              <c16:uniqueId val="{00000018-B8A3-45C9-8288-48D73CE9D9A8}"/>
            </c:ext>
          </c:extLst>
        </c:ser>
        <c:ser>
          <c:idx val="3"/>
          <c:order val="3"/>
          <c:tx>
            <c:strRef>
              <c:f>Presentacion!$DO$108</c:f>
              <c:strCache>
                <c:ptCount val="1"/>
                <c:pt idx="0">
                  <c:v>Utilities</c:v>
                </c:pt>
              </c:strCache>
            </c:strRef>
          </c:tx>
          <c:spPr>
            <a:pattFill prst="wdUpDiag">
              <a:fgClr>
                <a:srgbClr val="C8E5DC"/>
              </a:fgClr>
              <a:bgClr>
                <a:sysClr val="window" lastClr="FFFFFF"/>
              </a:bgClr>
            </a:pattFill>
            <a:ln>
              <a:noFill/>
            </a:ln>
          </c:spPr>
          <c:invertIfNegative val="0"/>
          <c:dLbls>
            <c:delete val="1"/>
          </c:dLbls>
          <c:val>
            <c:numRef>
              <c:f>Presentacion!$DT$108:$DW$108</c:f>
              <c:numCache>
                <c:formatCode>_(* #,##0.00_);_(* \(#,##0.00\);_(* "-"??_);_(@_)</c:formatCode>
                <c:ptCount val="4"/>
                <c:pt idx="0">
                  <c:v>4.8923727821960865</c:v>
                </c:pt>
              </c:numCache>
            </c:numRef>
          </c:val>
          <c:extLst>
            <c:ext xmlns:c16="http://schemas.microsoft.com/office/drawing/2014/chart" uri="{C3380CC4-5D6E-409C-BE32-E72D297353CC}">
              <c16:uniqueId val="{0000001A-B8A3-45C9-8288-48D73CE9D9A8}"/>
            </c:ext>
          </c:extLst>
        </c:ser>
        <c:ser>
          <c:idx val="4"/>
          <c:order val="4"/>
          <c:tx>
            <c:strRef>
              <c:f>Presentacion!$DO$109</c:f>
              <c:strCache>
                <c:ptCount val="1"/>
                <c:pt idx="0">
                  <c:v>Otros</c:v>
                </c:pt>
              </c:strCache>
            </c:strRef>
          </c:tx>
          <c:spPr>
            <a:solidFill>
              <a:srgbClr val="ACD7CA"/>
            </a:solidFill>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1C-B8A3-45C9-8288-48D73CE9D9A8}"/>
                </c:ext>
              </c:extLst>
            </c:dLbl>
            <c:dLbl>
              <c:idx val="2"/>
              <c:delete val="1"/>
              <c:extLst>
                <c:ext xmlns:c15="http://schemas.microsoft.com/office/drawing/2012/chart" uri="{CE6537A1-D6FC-4f65-9D91-7224C49458BB}"/>
                <c:ext xmlns:c16="http://schemas.microsoft.com/office/drawing/2014/chart" uri="{C3380CC4-5D6E-409C-BE32-E72D297353CC}">
                  <c16:uniqueId val="{00000035-B8A3-45C9-8288-48D73CE9D9A8}"/>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Presentacion!$DT$109:$DW$109</c:f>
              <c:numCache>
                <c:formatCode>_(* #,##0.00_);_(* \(#,##0.00\);_(* "-"??_);_(@_)</c:formatCode>
                <c:ptCount val="4"/>
                <c:pt idx="0">
                  <c:v>19.551021771858892</c:v>
                </c:pt>
              </c:numCache>
            </c:numRef>
          </c:val>
          <c:extLst>
            <c:ext xmlns:c16="http://schemas.microsoft.com/office/drawing/2014/chart" uri="{C3380CC4-5D6E-409C-BE32-E72D297353CC}">
              <c16:uniqueId val="{0000001D-B8A3-45C9-8288-48D73CE9D9A8}"/>
            </c:ext>
          </c:extLst>
        </c:ser>
        <c:ser>
          <c:idx val="5"/>
          <c:order val="5"/>
          <c:tx>
            <c:strRef>
              <c:f>Presentacion!$DO$110</c:f>
              <c:strCache>
                <c:ptCount val="1"/>
                <c:pt idx="0">
                  <c:v>Otros</c:v>
                </c:pt>
              </c:strCache>
            </c:strRef>
          </c:tx>
          <c:spPr>
            <a:pattFill prst="wdUpDiag">
              <a:fgClr>
                <a:srgbClr val="ACD7CA"/>
              </a:fgClr>
              <a:bgClr>
                <a:sysClr val="window" lastClr="FFFFFF"/>
              </a:bgClr>
            </a:pattFill>
            <a:ln>
              <a:noFill/>
            </a:ln>
          </c:spPr>
          <c:invertIfNegative val="0"/>
          <c:dLbls>
            <c:delete val="1"/>
          </c:dLbls>
          <c:val>
            <c:numRef>
              <c:f>Presentacion!$DT$110:$DW$110</c:f>
              <c:numCache>
                <c:formatCode>_(* #,##0.00_);_(* \(#,##0.00\);_(* "-"??_);_(@_)</c:formatCode>
                <c:ptCount val="4"/>
                <c:pt idx="0">
                  <c:v>2.7311760922794637</c:v>
                </c:pt>
              </c:numCache>
            </c:numRef>
          </c:val>
          <c:extLst>
            <c:ext xmlns:c16="http://schemas.microsoft.com/office/drawing/2014/chart" uri="{C3380CC4-5D6E-409C-BE32-E72D297353CC}">
              <c16:uniqueId val="{0000001F-B8A3-45C9-8288-48D73CE9D9A8}"/>
            </c:ext>
          </c:extLst>
        </c:ser>
        <c:ser>
          <c:idx val="6"/>
          <c:order val="6"/>
          <c:tx>
            <c:strRef>
              <c:f>Presentacion!$DO$111</c:f>
              <c:strCache>
                <c:ptCount val="1"/>
                <c:pt idx="0">
                  <c:v>RF</c:v>
                </c:pt>
              </c:strCache>
            </c:strRef>
          </c:tx>
          <c:spPr>
            <a:solidFill>
              <a:srgbClr val="B7EEFF"/>
            </a:solidFill>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21-B8A3-45C9-8288-48D73CE9D9A8}"/>
                </c:ext>
              </c:extLst>
            </c:dLbl>
            <c:dLbl>
              <c:idx val="2"/>
              <c:delete val="1"/>
              <c:extLst>
                <c:ext xmlns:c15="http://schemas.microsoft.com/office/drawing/2012/chart" uri="{CE6537A1-D6FC-4f65-9D91-7224C49458BB}"/>
                <c:ext xmlns:c16="http://schemas.microsoft.com/office/drawing/2014/chart" uri="{C3380CC4-5D6E-409C-BE32-E72D297353CC}">
                  <c16:uniqueId val="{00000034-B8A3-45C9-8288-48D73CE9D9A8}"/>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Presentacion!$DT$111:$DW$111</c:f>
              <c:numCache>
                <c:formatCode>_(* #,##0.00_);_(* \(#,##0.00\);_(* "-"??_);_(@_)</c:formatCode>
                <c:ptCount val="4"/>
                <c:pt idx="0">
                  <c:v>4.9054497530160592</c:v>
                </c:pt>
              </c:numCache>
            </c:numRef>
          </c:val>
          <c:extLst>
            <c:ext xmlns:c16="http://schemas.microsoft.com/office/drawing/2014/chart" uri="{C3380CC4-5D6E-409C-BE32-E72D297353CC}">
              <c16:uniqueId val="{00000022-B8A3-45C9-8288-48D73CE9D9A8}"/>
            </c:ext>
          </c:extLst>
        </c:ser>
        <c:ser>
          <c:idx val="7"/>
          <c:order val="7"/>
          <c:tx>
            <c:strRef>
              <c:f>Presentacion!$DO$112</c:f>
              <c:strCache>
                <c:ptCount val="1"/>
                <c:pt idx="0">
                  <c:v>RF Proxies</c:v>
                </c:pt>
              </c:strCache>
            </c:strRef>
          </c:tx>
          <c:spPr>
            <a:pattFill prst="wdUpDiag">
              <a:fgClr>
                <a:srgbClr val="B7EEFF"/>
              </a:fgClr>
              <a:bgClr>
                <a:sysClr val="window" lastClr="FFFFFF"/>
              </a:bgClr>
            </a:pattFill>
            <a:ln>
              <a:noFill/>
            </a:ln>
          </c:spPr>
          <c:invertIfNegative val="0"/>
          <c:dLbls>
            <c:delete val="1"/>
          </c:dLbls>
          <c:val>
            <c:numRef>
              <c:f>Presentacion!$DT$112:$DW$112</c:f>
              <c:numCache>
                <c:formatCode>_(* #,##0.00_);_(* \(#,##0.00\);_(* "-"??_);_(@_)</c:formatCode>
                <c:ptCount val="4"/>
                <c:pt idx="0">
                  <c:v>2.014694722940805</c:v>
                </c:pt>
              </c:numCache>
            </c:numRef>
          </c:val>
          <c:extLst>
            <c:ext xmlns:c16="http://schemas.microsoft.com/office/drawing/2014/chart" uri="{C3380CC4-5D6E-409C-BE32-E72D297353CC}">
              <c16:uniqueId val="{00000024-B8A3-45C9-8288-48D73CE9D9A8}"/>
            </c:ext>
          </c:extLst>
        </c:ser>
        <c:ser>
          <c:idx val="8"/>
          <c:order val="8"/>
          <c:tx>
            <c:strRef>
              <c:f>Presentacion!$DO$113</c:f>
              <c:strCache>
                <c:ptCount val="1"/>
                <c:pt idx="0">
                  <c:v>ETF Sobs</c:v>
                </c:pt>
              </c:strCache>
            </c:strRef>
          </c:tx>
          <c:spPr>
            <a:solidFill>
              <a:srgbClr val="AFC3E6"/>
            </a:solidFill>
          </c:spPr>
          <c:invertIfNegative val="0"/>
          <c:dLbls>
            <c:delete val="1"/>
          </c:dLbls>
          <c:val>
            <c:numRef>
              <c:f>Presentacion!$DT$113:$DW$113</c:f>
              <c:numCache>
                <c:formatCode>_(* #,##0.00_);_(* \(#,##0.00\);_(* "-"??_);_(@_)</c:formatCode>
                <c:ptCount val="4"/>
              </c:numCache>
            </c:numRef>
          </c:val>
          <c:extLst>
            <c:ext xmlns:c16="http://schemas.microsoft.com/office/drawing/2014/chart" uri="{C3380CC4-5D6E-409C-BE32-E72D297353CC}">
              <c16:uniqueId val="{00000026-B8A3-45C9-8288-48D73CE9D9A8}"/>
            </c:ext>
          </c:extLst>
        </c:ser>
        <c:ser>
          <c:idx val="9"/>
          <c:order val="9"/>
          <c:tx>
            <c:strRef>
              <c:f>Presentacion!$DO$114</c:f>
              <c:strCache>
                <c:ptCount val="1"/>
                <c:pt idx="0">
                  <c:v>ETF Sobs Proxies</c:v>
                </c:pt>
              </c:strCache>
            </c:strRef>
          </c:tx>
          <c:invertIfNegative val="0"/>
          <c:dLbls>
            <c:delete val="1"/>
          </c:dLbls>
          <c:val>
            <c:numRef>
              <c:f>Presentacion!$DT$114:$DW$114</c:f>
              <c:numCache>
                <c:formatCode>_(* #,##0.00_);_(* \(#,##0.00\);_(* "-"??_);_(@_)</c:formatCode>
                <c:ptCount val="4"/>
                <c:pt idx="0">
                  <c:v>0</c:v>
                </c:pt>
              </c:numCache>
            </c:numRef>
          </c:val>
          <c:extLst>
            <c:ext xmlns:c16="http://schemas.microsoft.com/office/drawing/2014/chart" uri="{C3380CC4-5D6E-409C-BE32-E72D297353CC}">
              <c16:uniqueId val="{00000028-B8A3-45C9-8288-48D73CE9D9A8}"/>
            </c:ext>
          </c:extLst>
        </c:ser>
        <c:ser>
          <c:idx val="10"/>
          <c:order val="10"/>
          <c:tx>
            <c:strRef>
              <c:f>Presentacion!$DO$115</c:f>
              <c:strCache>
                <c:ptCount val="1"/>
                <c:pt idx="0">
                  <c:v>RV</c:v>
                </c:pt>
              </c:strCache>
            </c:strRef>
          </c:tx>
          <c:spPr>
            <a:solidFill>
              <a:srgbClr val="D4EAF3"/>
            </a:solidFill>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31-B8A3-45C9-8288-48D73CE9D9A8}"/>
                </c:ext>
              </c:extLst>
            </c:dLbl>
            <c:dLbl>
              <c:idx val="2"/>
              <c:delete val="1"/>
              <c:extLst>
                <c:ext xmlns:c15="http://schemas.microsoft.com/office/drawing/2012/chart" uri="{CE6537A1-D6FC-4f65-9D91-7224C49458BB}"/>
                <c:ext xmlns:c16="http://schemas.microsoft.com/office/drawing/2014/chart" uri="{C3380CC4-5D6E-409C-BE32-E72D297353CC}">
                  <c16:uniqueId val="{00000033-B8A3-45C9-8288-48D73CE9D9A8}"/>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Presentacion!$DT$115:$DW$115</c:f>
              <c:numCache>
                <c:formatCode>_(* #,##0.00_);_(* \(#,##0.00\);_(* "-"??_);_(@_)</c:formatCode>
                <c:ptCount val="4"/>
                <c:pt idx="0">
                  <c:v>10.683640858295023</c:v>
                </c:pt>
              </c:numCache>
            </c:numRef>
          </c:val>
          <c:extLst>
            <c:ext xmlns:c16="http://schemas.microsoft.com/office/drawing/2014/chart" uri="{C3380CC4-5D6E-409C-BE32-E72D297353CC}">
              <c16:uniqueId val="{0000002A-B8A3-45C9-8288-48D73CE9D9A8}"/>
            </c:ext>
          </c:extLst>
        </c:ser>
        <c:ser>
          <c:idx val="11"/>
          <c:order val="11"/>
          <c:tx>
            <c:strRef>
              <c:f>Presentacion!$DO$116</c:f>
              <c:strCache>
                <c:ptCount val="1"/>
                <c:pt idx="0">
                  <c:v>RV Proxies</c:v>
                </c:pt>
              </c:strCache>
            </c:strRef>
          </c:tx>
          <c:invertIfNegative val="0"/>
          <c:dLbls>
            <c:delete val="1"/>
          </c:dLbls>
          <c:val>
            <c:numRef>
              <c:f>Presentacion!$DT$116:$DW$116</c:f>
              <c:numCache>
                <c:formatCode>_(* #,##0.00_);_(* \(#,##0.00\);_(* "-"??_);_(@_)</c:formatCode>
                <c:ptCount val="4"/>
                <c:pt idx="0">
                  <c:v>1.6041272588602983E-5</c:v>
                </c:pt>
              </c:numCache>
            </c:numRef>
          </c:val>
          <c:extLst>
            <c:ext xmlns:c16="http://schemas.microsoft.com/office/drawing/2014/chart" uri="{C3380CC4-5D6E-409C-BE32-E72D297353CC}">
              <c16:uniqueId val="{0000002C-B8A3-45C9-8288-48D73CE9D9A8}"/>
            </c:ext>
          </c:extLst>
        </c:ser>
        <c:ser>
          <c:idx val="12"/>
          <c:order val="12"/>
          <c:tx>
            <c:strRef>
              <c:f>Presentacion!$DO$117</c:f>
              <c:strCache>
                <c:ptCount val="1"/>
                <c:pt idx="0">
                  <c:v>Alts</c:v>
                </c:pt>
              </c:strCache>
            </c:strRef>
          </c:tx>
          <c:spPr>
            <a:pattFill prst="wdUpDiag">
              <a:fgClr>
                <a:srgbClr val="516FED"/>
              </a:fgClr>
              <a:bgClr>
                <a:sysClr val="window" lastClr="FFFFFF"/>
              </a:bgClr>
            </a:pattFill>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2E-B8A3-45C9-8288-48D73CE9D9A8}"/>
                </c:ext>
              </c:extLst>
            </c:dLbl>
            <c:dLbl>
              <c:idx val="1"/>
              <c:layout>
                <c:manualLayout>
                  <c:x val="-0.23005189088196726"/>
                  <c:y val="-0.1251111962833788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F-B8A3-45C9-8288-48D73CE9D9A8}"/>
                </c:ext>
              </c:extLst>
            </c:dLbl>
            <c:dLbl>
              <c:idx val="2"/>
              <c:delete val="1"/>
              <c:extLst>
                <c:ext xmlns:c15="http://schemas.microsoft.com/office/drawing/2012/chart" uri="{CE6537A1-D6FC-4f65-9D91-7224C49458BB}"/>
                <c:ext xmlns:c16="http://schemas.microsoft.com/office/drawing/2014/chart" uri="{C3380CC4-5D6E-409C-BE32-E72D297353CC}">
                  <c16:uniqueId val="{00000032-B8A3-45C9-8288-48D73CE9D9A8}"/>
                </c:ext>
              </c:extLst>
            </c:dLbl>
            <c:spPr>
              <a:noFill/>
              <a:ln>
                <a:noFill/>
              </a:ln>
              <a:effectLst/>
            </c:spPr>
            <c:txPr>
              <a:bodyPr/>
              <a:lstStyle/>
              <a:p>
                <a:pPr>
                  <a:defRPr sz="700">
                    <a:highlight>
                      <a:srgbClr val="D4EAF3"/>
                    </a:highlight>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Presentacion!$DT$117:$DW$117</c:f>
              <c:numCache>
                <c:formatCode>_(* #,##0.00_);_(* \(#,##0.00\);_(* "-"??_);_(@_)</c:formatCode>
                <c:ptCount val="4"/>
                <c:pt idx="0">
                  <c:v>8.3423015878536066</c:v>
                </c:pt>
              </c:numCache>
            </c:numRef>
          </c:val>
          <c:extLst>
            <c:ext xmlns:c16="http://schemas.microsoft.com/office/drawing/2014/chart" uri="{C3380CC4-5D6E-409C-BE32-E72D297353CC}">
              <c16:uniqueId val="{00000030-B8A3-45C9-8288-48D73CE9D9A8}"/>
            </c:ext>
          </c:extLst>
        </c:ser>
        <c:dLbls>
          <c:showLegendKey val="0"/>
          <c:showVal val="1"/>
          <c:showCatName val="0"/>
          <c:showSerName val="0"/>
          <c:showPercent val="0"/>
          <c:showBubbleSize val="0"/>
        </c:dLbls>
        <c:gapWidth val="190"/>
        <c:overlap val="100"/>
        <c:axId val="343178255"/>
        <c:axId val="1296126783"/>
      </c:barChart>
      <c:catAx>
        <c:axId val="343178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00">
                <a:solidFill>
                  <a:schemeClr val="bg1"/>
                </a:solidFill>
              </a:defRPr>
            </a:pPr>
            <a:endParaRPr lang="es-PE"/>
          </a:p>
        </c:txPr>
        <c:crossAx val="1296126783"/>
        <c:crosses val="autoZero"/>
        <c:auto val="1"/>
        <c:lblAlgn val="ctr"/>
        <c:lblOffset val="100"/>
        <c:tickLblSkip val="1"/>
        <c:noMultiLvlLbl val="0"/>
      </c:catAx>
      <c:valAx>
        <c:axId val="1296126783"/>
        <c:scaling>
          <c:orientation val="minMax"/>
          <c:max val="200"/>
          <c:min val="0"/>
        </c:scaling>
        <c:delete val="1"/>
        <c:axPos val="l"/>
        <c:numFmt formatCode="_(* #,##0.00_);_(* \(#,##0.00\);_(* &quot;-&quot;??_);_(@_)" sourceLinked="1"/>
        <c:majorTickMark val="out"/>
        <c:minorTickMark val="none"/>
        <c:tickLblPos val="nextTo"/>
        <c:crossAx val="343178255"/>
        <c:crosses val="autoZero"/>
        <c:crossBetween val="between"/>
      </c:valAx>
    </c:plotArea>
    <c:plotVisOnly val="0"/>
    <c:dispBlanksAs val="zero"/>
    <c:showDLblsOverMax val="0"/>
    <c:extLst/>
  </c:chart>
  <c:txPr>
    <a:bodyPr/>
    <a:lstStyle/>
    <a:p>
      <a:pPr>
        <a:defRPr sz="6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7638888888888888E-2"/>
          <c:y val="5.9568480300187618E-2"/>
          <c:w val="0.92238888888888892"/>
          <c:h val="0.71956483218678335"/>
        </c:manualLayout>
      </c:layout>
      <c:barChart>
        <c:barDir val="col"/>
        <c:grouping val="stacked"/>
        <c:varyColors val="0"/>
        <c:ser>
          <c:idx val="0"/>
          <c:order val="0"/>
          <c:tx>
            <c:strRef>
              <c:f>Presentacion!$DO$105</c:f>
              <c:strCache>
                <c:ptCount val="1"/>
                <c:pt idx="0">
                  <c:v>Materials</c:v>
                </c:pt>
              </c:strCache>
            </c:strRef>
          </c:tx>
          <c:spPr>
            <a:solidFill>
              <a:srgbClr val="E3F2ED"/>
            </a:solidFill>
          </c:spPr>
          <c:invertIfNegative val="0"/>
          <c:dLbls>
            <c:dLbl>
              <c:idx val="1"/>
              <c:tx>
                <c:rich>
                  <a:bodyPr/>
                  <a:lstStyle/>
                  <a:p>
                    <a:fld id="{394BBA8E-8A76-4103-B9BD-A9D0596AB9E3}" type="CELLREF">
                      <a:rPr lang="en-US"/>
                      <a:pPr/>
                      <a:t>[CELLREF]</a:t>
                    </a:fld>
                    <a:endParaRPr lang="es-PE"/>
                  </a:p>
                </c:rich>
              </c:tx>
              <c:showLegendKey val="0"/>
              <c:showVal val="0"/>
              <c:showCatName val="0"/>
              <c:showSerName val="1"/>
              <c:showPercent val="0"/>
              <c:showBubbleSize val="0"/>
              <c:extLst>
                <c:ext xmlns:c15="http://schemas.microsoft.com/office/drawing/2012/chart" uri="{CE6537A1-D6FC-4f65-9D91-7224C49458BB}">
                  <c15:dlblFieldTable>
                    <c15:dlblFTEntry>
                      <c15:txfldGUID>{394BBA8E-8A76-4103-B9BD-A9D0596AB9E3}</c15:txfldGUID>
                      <c15:f>Presentacion!$DU$104</c15:f>
                      <c15:dlblFieldTableCache>
                        <c:ptCount val="1"/>
                        <c:pt idx="0">
                          <c:v>ACWI</c:v>
                        </c:pt>
                      </c15:dlblFieldTableCache>
                    </c15:dlblFTEntry>
                  </c15:dlblFieldTable>
                  <c15:showDataLabelsRange val="0"/>
                </c:ext>
                <c:ext xmlns:c16="http://schemas.microsoft.com/office/drawing/2014/chart" uri="{C3380CC4-5D6E-409C-BE32-E72D297353CC}">
                  <c16:uniqueId val="{00000032-4CC6-4282-AB38-394EC9FF7EF5}"/>
                </c:ext>
              </c:extLst>
            </c:dLbl>
            <c:dLbl>
              <c:idx val="2"/>
              <c:tx>
                <c:rich>
                  <a:bodyPr/>
                  <a:lstStyle/>
                  <a:p>
                    <a:fld id="{5734B8AB-E362-4D14-88EF-D682CDBA85EB}" type="CELLREF">
                      <a:rPr lang="en-US"/>
                      <a:pPr/>
                      <a:t>[CELLREF]</a:t>
                    </a:fld>
                    <a:endParaRPr lang="es-PE"/>
                  </a:p>
                </c:rich>
              </c:tx>
              <c:showLegendKey val="0"/>
              <c:showVal val="0"/>
              <c:showCatName val="0"/>
              <c:showSerName val="1"/>
              <c:showPercent val="0"/>
              <c:showBubbleSize val="0"/>
              <c:extLst>
                <c:ext xmlns:c15="http://schemas.microsoft.com/office/drawing/2012/chart" uri="{CE6537A1-D6FC-4f65-9D91-7224C49458BB}">
                  <c15:dlblFieldTable>
                    <c15:dlblFTEntry>
                      <c15:txfldGUID>{5734B8AB-E362-4D14-88EF-D682CDBA85EB}</c15:txfldGUID>
                      <c15:f>Presentacion!$DR$104</c15:f>
                      <c15:dlblFieldTableCache>
                        <c:ptCount val="1"/>
                        <c:pt idx="0">
                          <c:v>ILF</c:v>
                        </c:pt>
                      </c15:dlblFieldTableCache>
                    </c15:dlblFTEntry>
                  </c15:dlblFieldTable>
                  <c15:showDataLabelsRange val="0"/>
                </c:ext>
                <c:ext xmlns:c16="http://schemas.microsoft.com/office/drawing/2014/chart" uri="{C3380CC4-5D6E-409C-BE32-E72D297353CC}">
                  <c16:uniqueId val="{00000034-4CC6-4282-AB38-394EC9FF7EF5}"/>
                </c:ext>
              </c:extLst>
            </c:dLbl>
            <c:dLbl>
              <c:idx val="3"/>
              <c:tx>
                <c:rich>
                  <a:bodyPr/>
                  <a:lstStyle/>
                  <a:p>
                    <a:fld id="{07D63769-C38F-44D2-AE79-5A8DBC1E4E95}" type="CELLREF">
                      <a:rPr lang="en-US"/>
                      <a:pPr/>
                      <a:t>[CELLREF]</a:t>
                    </a:fld>
                    <a:endParaRPr lang="es-PE"/>
                  </a:p>
                </c:rich>
              </c:tx>
              <c:showLegendKey val="0"/>
              <c:showVal val="0"/>
              <c:showCatName val="0"/>
              <c:showSerName val="1"/>
              <c:showPercent val="0"/>
              <c:showBubbleSize val="0"/>
              <c:extLst>
                <c:ext xmlns:c15="http://schemas.microsoft.com/office/drawing/2012/chart" uri="{CE6537A1-D6FC-4f65-9D91-7224C49458BB}">
                  <c15:dlblFieldTable>
                    <c15:dlblFTEntry>
                      <c15:txfldGUID>{07D63769-C38F-44D2-AE79-5A8DBC1E4E95}</c15:txfldGUID>
                      <c15:f>Presentacion!$DS$104</c15:f>
                      <c15:dlblFieldTableCache>
                        <c:ptCount val="1"/>
                        <c:pt idx="0">
                          <c:v>CEMB</c:v>
                        </c:pt>
                      </c15:dlblFieldTableCache>
                    </c15:dlblFTEntry>
                  </c15:dlblFieldTable>
                  <c15:showDataLabelsRange val="0"/>
                </c:ext>
                <c:ext xmlns:c16="http://schemas.microsoft.com/office/drawing/2014/chart" uri="{C3380CC4-5D6E-409C-BE32-E72D297353CC}">
                  <c16:uniqueId val="{0000003F-4CC6-4282-AB38-394EC9FF7EF5}"/>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Presentacion!$DP$105:$DS$105</c:f>
              <c:numCache>
                <c:formatCode>_(* #,##0.00_);_(* \(#,##0.00\);_(* "-"??_);_(@_)</c:formatCode>
                <c:ptCount val="4"/>
                <c:pt idx="0">
                  <c:v>209823.78686259827</c:v>
                </c:pt>
                <c:pt idx="1">
                  <c:v>1043436.5126421928</c:v>
                </c:pt>
                <c:pt idx="2">
                  <c:v>414058.97052778397</c:v>
                </c:pt>
                <c:pt idx="3">
                  <c:v>78541.598505523521</c:v>
                </c:pt>
              </c:numCache>
            </c:numRef>
          </c:val>
          <c:extLst>
            <c:ext xmlns:c16="http://schemas.microsoft.com/office/drawing/2014/chart" uri="{C3380CC4-5D6E-409C-BE32-E72D297353CC}">
              <c16:uniqueId val="{00000013-4CC6-4282-AB38-394EC9FF7EF5}"/>
            </c:ext>
          </c:extLst>
        </c:ser>
        <c:ser>
          <c:idx val="1"/>
          <c:order val="1"/>
          <c:tx>
            <c:strRef>
              <c:f>Presentacion!$DO$106</c:f>
              <c:strCache>
                <c:ptCount val="1"/>
                <c:pt idx="0">
                  <c:v>Materials</c:v>
                </c:pt>
              </c:strCache>
            </c:strRef>
          </c:tx>
          <c:invertIfNegative val="0"/>
          <c:dLbls>
            <c:delete val="1"/>
          </c:dLbls>
          <c:val>
            <c:numRef>
              <c:f>Presentacion!$DP$106:$DS$106</c:f>
              <c:numCache>
                <c:formatCode>General</c:formatCode>
                <c:ptCount val="4"/>
                <c:pt idx="0" formatCode="_(* #,##0.00_);_(* \(#,##0.00\);_(* &quot;-&quot;??_);_(@_)">
                  <c:v>0</c:v>
                </c:pt>
              </c:numCache>
            </c:numRef>
          </c:val>
          <c:extLst>
            <c:ext xmlns:c16="http://schemas.microsoft.com/office/drawing/2014/chart" uri="{C3380CC4-5D6E-409C-BE32-E72D297353CC}">
              <c16:uniqueId val="{00000015-4CC6-4282-AB38-394EC9FF7EF5}"/>
            </c:ext>
          </c:extLst>
        </c:ser>
        <c:ser>
          <c:idx val="2"/>
          <c:order val="2"/>
          <c:tx>
            <c:strRef>
              <c:f>Presentacion!$DO$107</c:f>
              <c:strCache>
                <c:ptCount val="1"/>
                <c:pt idx="0">
                  <c:v>Utilities</c:v>
                </c:pt>
              </c:strCache>
            </c:strRef>
          </c:tx>
          <c:spPr>
            <a:solidFill>
              <a:srgbClr val="C8E5DC"/>
            </a:solidFill>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17-4CC6-4282-AB38-394EC9FF7EF5}"/>
                </c:ext>
              </c:extLst>
            </c:dLbl>
            <c:dLbl>
              <c:idx val="2"/>
              <c:delete val="1"/>
              <c:extLst>
                <c:ext xmlns:c15="http://schemas.microsoft.com/office/drawing/2012/chart" uri="{CE6537A1-D6FC-4f65-9D91-7224C49458BB}"/>
                <c:ext xmlns:c16="http://schemas.microsoft.com/office/drawing/2014/chart" uri="{C3380CC4-5D6E-409C-BE32-E72D297353CC}">
                  <c16:uniqueId val="{00000036-4CC6-4282-AB38-394EC9FF7EF5}"/>
                </c:ext>
              </c:extLst>
            </c:dLbl>
            <c:dLbl>
              <c:idx val="3"/>
              <c:delete val="1"/>
              <c:extLst>
                <c:ext xmlns:c15="http://schemas.microsoft.com/office/drawing/2012/chart" uri="{CE6537A1-D6FC-4f65-9D91-7224C49458BB}"/>
                <c:ext xmlns:c16="http://schemas.microsoft.com/office/drawing/2014/chart" uri="{C3380CC4-5D6E-409C-BE32-E72D297353CC}">
                  <c16:uniqueId val="{0000003C-4CC6-4282-AB38-394EC9FF7EF5}"/>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Presentacion!$DP$107:$DS$107</c:f>
              <c:numCache>
                <c:formatCode>General</c:formatCode>
                <c:ptCount val="4"/>
                <c:pt idx="0" formatCode="_(* #,##0.00_);_(* \(#,##0.00\);_(* &quot;-&quot;??_);_(@_)">
                  <c:v>1491.1735020071608</c:v>
                </c:pt>
              </c:numCache>
            </c:numRef>
          </c:val>
          <c:extLst>
            <c:ext xmlns:c16="http://schemas.microsoft.com/office/drawing/2014/chart" uri="{C3380CC4-5D6E-409C-BE32-E72D297353CC}">
              <c16:uniqueId val="{00000018-4CC6-4282-AB38-394EC9FF7EF5}"/>
            </c:ext>
          </c:extLst>
        </c:ser>
        <c:ser>
          <c:idx val="3"/>
          <c:order val="3"/>
          <c:tx>
            <c:strRef>
              <c:f>Presentacion!$DO$108</c:f>
              <c:strCache>
                <c:ptCount val="1"/>
                <c:pt idx="0">
                  <c:v>Utilities</c:v>
                </c:pt>
              </c:strCache>
            </c:strRef>
          </c:tx>
          <c:spPr>
            <a:pattFill prst="wdUpDiag">
              <a:fgClr>
                <a:srgbClr val="C8E5DC"/>
              </a:fgClr>
              <a:bgClr>
                <a:sysClr val="window" lastClr="FFFFFF"/>
              </a:bgClr>
            </a:pattFill>
            <a:ln>
              <a:noFill/>
            </a:ln>
          </c:spPr>
          <c:invertIfNegative val="0"/>
          <c:dLbls>
            <c:delete val="1"/>
          </c:dLbls>
          <c:val>
            <c:numRef>
              <c:f>Presentacion!$DP$108:$DS$108</c:f>
              <c:numCache>
                <c:formatCode>_(* #,##0.00_);_(* \(#,##0.00\);_(* "-"??_);_(@_)</c:formatCode>
                <c:ptCount val="4"/>
                <c:pt idx="0">
                  <c:v>52773.687128000805</c:v>
                </c:pt>
              </c:numCache>
            </c:numRef>
          </c:val>
          <c:extLst>
            <c:ext xmlns:c16="http://schemas.microsoft.com/office/drawing/2014/chart" uri="{C3380CC4-5D6E-409C-BE32-E72D297353CC}">
              <c16:uniqueId val="{0000001A-4CC6-4282-AB38-394EC9FF7EF5}"/>
            </c:ext>
          </c:extLst>
        </c:ser>
        <c:ser>
          <c:idx val="4"/>
          <c:order val="4"/>
          <c:tx>
            <c:strRef>
              <c:f>Presentacion!$DO$109</c:f>
              <c:strCache>
                <c:ptCount val="1"/>
                <c:pt idx="0">
                  <c:v>Otros</c:v>
                </c:pt>
              </c:strCache>
            </c:strRef>
          </c:tx>
          <c:spPr>
            <a:solidFill>
              <a:srgbClr val="ACD7CA"/>
            </a:solidFill>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1C-4CC6-4282-AB38-394EC9FF7EF5}"/>
                </c:ext>
              </c:extLst>
            </c:dLbl>
            <c:dLbl>
              <c:idx val="2"/>
              <c:delete val="1"/>
              <c:extLst>
                <c:ext xmlns:c15="http://schemas.microsoft.com/office/drawing/2012/chart" uri="{CE6537A1-D6FC-4f65-9D91-7224C49458BB}"/>
                <c:ext xmlns:c16="http://schemas.microsoft.com/office/drawing/2014/chart" uri="{C3380CC4-5D6E-409C-BE32-E72D297353CC}">
                  <c16:uniqueId val="{00000035-4CC6-4282-AB38-394EC9FF7EF5}"/>
                </c:ext>
              </c:extLst>
            </c:dLbl>
            <c:dLbl>
              <c:idx val="3"/>
              <c:delete val="1"/>
              <c:extLst>
                <c:ext xmlns:c15="http://schemas.microsoft.com/office/drawing/2012/chart" uri="{CE6537A1-D6FC-4f65-9D91-7224C49458BB}"/>
                <c:ext xmlns:c16="http://schemas.microsoft.com/office/drawing/2014/chart" uri="{C3380CC4-5D6E-409C-BE32-E72D297353CC}">
                  <c16:uniqueId val="{0000003B-4CC6-4282-AB38-394EC9FF7EF5}"/>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Presentacion!$DP$109:$DS$109</c:f>
              <c:numCache>
                <c:formatCode>_(* #,##0.00_);_(* \(#,##0.00\);_(* "-"??_);_(@_)</c:formatCode>
                <c:ptCount val="4"/>
                <c:pt idx="0">
                  <c:v>210895.52083512075</c:v>
                </c:pt>
              </c:numCache>
            </c:numRef>
          </c:val>
          <c:extLst>
            <c:ext xmlns:c16="http://schemas.microsoft.com/office/drawing/2014/chart" uri="{C3380CC4-5D6E-409C-BE32-E72D297353CC}">
              <c16:uniqueId val="{0000001D-4CC6-4282-AB38-394EC9FF7EF5}"/>
            </c:ext>
          </c:extLst>
        </c:ser>
        <c:ser>
          <c:idx val="5"/>
          <c:order val="5"/>
          <c:tx>
            <c:strRef>
              <c:f>Presentacion!$DO$110</c:f>
              <c:strCache>
                <c:ptCount val="1"/>
                <c:pt idx="0">
                  <c:v>Otros</c:v>
                </c:pt>
              </c:strCache>
            </c:strRef>
          </c:tx>
          <c:spPr>
            <a:pattFill prst="wdUpDiag">
              <a:fgClr>
                <a:srgbClr val="ACD7CA"/>
              </a:fgClr>
              <a:bgClr>
                <a:sysClr val="window" lastClr="FFFFFF"/>
              </a:bgClr>
            </a:pattFill>
            <a:ln>
              <a:noFill/>
            </a:ln>
          </c:spPr>
          <c:invertIfNegative val="0"/>
          <c:dLbls>
            <c:delete val="1"/>
          </c:dLbls>
          <c:val>
            <c:numRef>
              <c:f>Presentacion!$DP$110:$DS$110</c:f>
              <c:numCache>
                <c:formatCode>_(* #,##0.00_);_(* \(#,##0.00\);_(* "-"??_);_(@_)</c:formatCode>
                <c:ptCount val="4"/>
                <c:pt idx="0">
                  <c:v>29461.007777239181</c:v>
                </c:pt>
              </c:numCache>
            </c:numRef>
          </c:val>
          <c:extLst>
            <c:ext xmlns:c16="http://schemas.microsoft.com/office/drawing/2014/chart" uri="{C3380CC4-5D6E-409C-BE32-E72D297353CC}">
              <c16:uniqueId val="{0000001F-4CC6-4282-AB38-394EC9FF7EF5}"/>
            </c:ext>
          </c:extLst>
        </c:ser>
        <c:ser>
          <c:idx val="6"/>
          <c:order val="6"/>
          <c:tx>
            <c:strRef>
              <c:f>Presentacion!$DO$111</c:f>
              <c:strCache>
                <c:ptCount val="1"/>
                <c:pt idx="0">
                  <c:v>RF</c:v>
                </c:pt>
              </c:strCache>
            </c:strRef>
          </c:tx>
          <c:spPr>
            <a:solidFill>
              <a:srgbClr val="B7EEFF"/>
            </a:solidFill>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21-4CC6-4282-AB38-394EC9FF7EF5}"/>
                </c:ext>
              </c:extLst>
            </c:dLbl>
            <c:dLbl>
              <c:idx val="2"/>
              <c:delete val="1"/>
              <c:extLst>
                <c:ext xmlns:c15="http://schemas.microsoft.com/office/drawing/2012/chart" uri="{CE6537A1-D6FC-4f65-9D91-7224C49458BB}"/>
                <c:ext xmlns:c16="http://schemas.microsoft.com/office/drawing/2014/chart" uri="{C3380CC4-5D6E-409C-BE32-E72D297353CC}">
                  <c16:uniqueId val="{00000039-4CC6-4282-AB38-394EC9FF7EF5}"/>
                </c:ext>
              </c:extLst>
            </c:dLbl>
            <c:dLbl>
              <c:idx val="3"/>
              <c:delete val="1"/>
              <c:extLst>
                <c:ext xmlns:c15="http://schemas.microsoft.com/office/drawing/2012/chart" uri="{CE6537A1-D6FC-4f65-9D91-7224C49458BB}"/>
                <c:ext xmlns:c16="http://schemas.microsoft.com/office/drawing/2014/chart" uri="{C3380CC4-5D6E-409C-BE32-E72D297353CC}">
                  <c16:uniqueId val="{0000003D-4CC6-4282-AB38-394EC9FF7EF5}"/>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Presentacion!$DP$111:$DS$111</c:f>
              <c:numCache>
                <c:formatCode>_(* #,##0.00_);_(* \(#,##0.00\);_(* "-"??_);_(@_)</c:formatCode>
                <c:ptCount val="4"/>
                <c:pt idx="0">
                  <c:v>52914.747508588865</c:v>
                </c:pt>
              </c:numCache>
            </c:numRef>
          </c:val>
          <c:extLst>
            <c:ext xmlns:c16="http://schemas.microsoft.com/office/drawing/2014/chart" uri="{C3380CC4-5D6E-409C-BE32-E72D297353CC}">
              <c16:uniqueId val="{00000022-4CC6-4282-AB38-394EC9FF7EF5}"/>
            </c:ext>
          </c:extLst>
        </c:ser>
        <c:ser>
          <c:idx val="7"/>
          <c:order val="7"/>
          <c:tx>
            <c:strRef>
              <c:f>Presentacion!$DO$112</c:f>
              <c:strCache>
                <c:ptCount val="1"/>
                <c:pt idx="0">
                  <c:v>RF Proxies</c:v>
                </c:pt>
              </c:strCache>
            </c:strRef>
          </c:tx>
          <c:spPr>
            <a:pattFill prst="wdUpDiag">
              <a:fgClr>
                <a:srgbClr val="B7EEFF"/>
              </a:fgClr>
              <a:bgClr>
                <a:sysClr val="window" lastClr="FFFFFF"/>
              </a:bgClr>
            </a:pattFill>
            <a:ln>
              <a:noFill/>
            </a:ln>
          </c:spPr>
          <c:invertIfNegative val="0"/>
          <c:dLbls>
            <c:delete val="1"/>
          </c:dLbls>
          <c:val>
            <c:numRef>
              <c:f>Presentacion!$DP$112:$DS$112</c:f>
              <c:numCache>
                <c:formatCode>_(* #,##0.00_);_(* \(#,##0.00\);_(* "-"??_);_(@_)</c:formatCode>
                <c:ptCount val="4"/>
                <c:pt idx="0">
                  <c:v>21732.372756596465</c:v>
                </c:pt>
              </c:numCache>
            </c:numRef>
          </c:val>
          <c:extLst>
            <c:ext xmlns:c16="http://schemas.microsoft.com/office/drawing/2014/chart" uri="{C3380CC4-5D6E-409C-BE32-E72D297353CC}">
              <c16:uniqueId val="{00000024-4CC6-4282-AB38-394EC9FF7EF5}"/>
            </c:ext>
          </c:extLst>
        </c:ser>
        <c:ser>
          <c:idx val="8"/>
          <c:order val="8"/>
          <c:tx>
            <c:strRef>
              <c:f>Presentacion!$DO$113</c:f>
              <c:strCache>
                <c:ptCount val="1"/>
                <c:pt idx="0">
                  <c:v>ETF Sobs</c:v>
                </c:pt>
              </c:strCache>
            </c:strRef>
          </c:tx>
          <c:spPr>
            <a:solidFill>
              <a:srgbClr val="AFC3E6"/>
            </a:solidFill>
          </c:spPr>
          <c:invertIfNegative val="0"/>
          <c:dLbls>
            <c:delete val="1"/>
          </c:dLbls>
          <c:val>
            <c:numRef>
              <c:f>Presentacion!$DP$113:$DS$113</c:f>
              <c:numCache>
                <c:formatCode>_(* #,##0.00_);_(* \(#,##0.00\);_(* "-"??_);_(@_)</c:formatCode>
                <c:ptCount val="4"/>
              </c:numCache>
            </c:numRef>
          </c:val>
          <c:extLst>
            <c:ext xmlns:c16="http://schemas.microsoft.com/office/drawing/2014/chart" uri="{C3380CC4-5D6E-409C-BE32-E72D297353CC}">
              <c16:uniqueId val="{00000026-4CC6-4282-AB38-394EC9FF7EF5}"/>
            </c:ext>
          </c:extLst>
        </c:ser>
        <c:ser>
          <c:idx val="9"/>
          <c:order val="9"/>
          <c:tx>
            <c:strRef>
              <c:f>Presentacion!$DO$114</c:f>
              <c:strCache>
                <c:ptCount val="1"/>
                <c:pt idx="0">
                  <c:v>ETF Sobs Proxies</c:v>
                </c:pt>
              </c:strCache>
            </c:strRef>
          </c:tx>
          <c:invertIfNegative val="0"/>
          <c:dLbls>
            <c:delete val="1"/>
          </c:dLbls>
          <c:val>
            <c:numRef>
              <c:f>Presentacion!$DP$114:$DS$114</c:f>
              <c:numCache>
                <c:formatCode>_(* #,##0.00_);_(* \(#,##0.00\);_(* "-"??_);_(@_)</c:formatCode>
                <c:ptCount val="4"/>
                <c:pt idx="0">
                  <c:v>0</c:v>
                </c:pt>
              </c:numCache>
            </c:numRef>
          </c:val>
          <c:extLst>
            <c:ext xmlns:c16="http://schemas.microsoft.com/office/drawing/2014/chart" uri="{C3380CC4-5D6E-409C-BE32-E72D297353CC}">
              <c16:uniqueId val="{00000028-4CC6-4282-AB38-394EC9FF7EF5}"/>
            </c:ext>
          </c:extLst>
        </c:ser>
        <c:ser>
          <c:idx val="10"/>
          <c:order val="10"/>
          <c:tx>
            <c:strRef>
              <c:f>Presentacion!$DO$115</c:f>
              <c:strCache>
                <c:ptCount val="1"/>
                <c:pt idx="0">
                  <c:v>RV</c:v>
                </c:pt>
              </c:strCache>
            </c:strRef>
          </c:tx>
          <c:spPr>
            <a:solidFill>
              <a:srgbClr val="D4EAF3"/>
            </a:solidFill>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31-4CC6-4282-AB38-394EC9FF7EF5}"/>
                </c:ext>
              </c:extLst>
            </c:dLbl>
            <c:dLbl>
              <c:idx val="2"/>
              <c:delete val="1"/>
              <c:extLst>
                <c:ext xmlns:c15="http://schemas.microsoft.com/office/drawing/2012/chart" uri="{CE6537A1-D6FC-4f65-9D91-7224C49458BB}"/>
                <c:ext xmlns:c16="http://schemas.microsoft.com/office/drawing/2014/chart" uri="{C3380CC4-5D6E-409C-BE32-E72D297353CC}">
                  <c16:uniqueId val="{00000037-4CC6-4282-AB38-394EC9FF7EF5}"/>
                </c:ext>
              </c:extLst>
            </c:dLbl>
            <c:dLbl>
              <c:idx val="3"/>
              <c:delete val="1"/>
              <c:extLst>
                <c:ext xmlns:c15="http://schemas.microsoft.com/office/drawing/2012/chart" uri="{CE6537A1-D6FC-4f65-9D91-7224C49458BB}"/>
                <c:ext xmlns:c16="http://schemas.microsoft.com/office/drawing/2014/chart" uri="{C3380CC4-5D6E-409C-BE32-E72D297353CC}">
                  <c16:uniqueId val="{0000003E-4CC6-4282-AB38-394EC9FF7EF5}"/>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Presentacion!$DP$115:$DS$115</c:f>
              <c:numCache>
                <c:formatCode>_(* #,##0.00_);_(* \(#,##0.00\);_(* "-"??_);_(@_)</c:formatCode>
                <c:ptCount val="4"/>
                <c:pt idx="0">
                  <c:v>115243.69567572138</c:v>
                </c:pt>
              </c:numCache>
            </c:numRef>
          </c:val>
          <c:extLst>
            <c:ext xmlns:c16="http://schemas.microsoft.com/office/drawing/2014/chart" uri="{C3380CC4-5D6E-409C-BE32-E72D297353CC}">
              <c16:uniqueId val="{0000002A-4CC6-4282-AB38-394EC9FF7EF5}"/>
            </c:ext>
          </c:extLst>
        </c:ser>
        <c:ser>
          <c:idx val="11"/>
          <c:order val="11"/>
          <c:tx>
            <c:strRef>
              <c:f>Presentacion!$DO$116</c:f>
              <c:strCache>
                <c:ptCount val="1"/>
                <c:pt idx="0">
                  <c:v>RV Proxies</c:v>
                </c:pt>
              </c:strCache>
            </c:strRef>
          </c:tx>
          <c:invertIfNegative val="0"/>
          <c:dLbls>
            <c:delete val="1"/>
          </c:dLbls>
          <c:val>
            <c:numRef>
              <c:f>Presentacion!$DP$116:$DS$116</c:f>
              <c:numCache>
                <c:formatCode>_(* #,##0.00_);_(* \(#,##0.00\);_(* "-"??_);_(@_)</c:formatCode>
                <c:ptCount val="4"/>
                <c:pt idx="0">
                  <c:v>0.17303609892660451</c:v>
                </c:pt>
              </c:numCache>
            </c:numRef>
          </c:val>
          <c:extLst>
            <c:ext xmlns:c16="http://schemas.microsoft.com/office/drawing/2014/chart" uri="{C3380CC4-5D6E-409C-BE32-E72D297353CC}">
              <c16:uniqueId val="{0000002C-4CC6-4282-AB38-394EC9FF7EF5}"/>
            </c:ext>
          </c:extLst>
        </c:ser>
        <c:ser>
          <c:idx val="12"/>
          <c:order val="12"/>
          <c:tx>
            <c:strRef>
              <c:f>Presentacion!$DO$117</c:f>
              <c:strCache>
                <c:ptCount val="1"/>
                <c:pt idx="0">
                  <c:v>Alts</c:v>
                </c:pt>
              </c:strCache>
            </c:strRef>
          </c:tx>
          <c:spPr>
            <a:pattFill prst="wdUpDiag">
              <a:fgClr>
                <a:srgbClr val="516FED"/>
              </a:fgClr>
              <a:bgClr>
                <a:sysClr val="window" lastClr="FFFFFF"/>
              </a:bgClr>
            </a:pattFill>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2E-4CC6-4282-AB38-394EC9FF7EF5}"/>
                </c:ext>
              </c:extLst>
            </c:dLbl>
            <c:dLbl>
              <c:idx val="1"/>
              <c:layout>
                <c:manualLayout>
                  <c:x val="-0.2334228854588799"/>
                  <c:y val="0.1137023137551887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F-4CC6-4282-AB38-394EC9FF7EF5}"/>
                </c:ext>
              </c:extLst>
            </c:dLbl>
            <c:dLbl>
              <c:idx val="2"/>
              <c:delete val="1"/>
              <c:extLst>
                <c:ext xmlns:c15="http://schemas.microsoft.com/office/drawing/2012/chart" uri="{CE6537A1-D6FC-4f65-9D91-7224C49458BB}"/>
                <c:ext xmlns:c16="http://schemas.microsoft.com/office/drawing/2014/chart" uri="{C3380CC4-5D6E-409C-BE32-E72D297353CC}">
                  <c16:uniqueId val="{00000038-4CC6-4282-AB38-394EC9FF7EF5}"/>
                </c:ext>
              </c:extLst>
            </c:dLbl>
            <c:dLbl>
              <c:idx val="3"/>
              <c:delete val="1"/>
              <c:extLst>
                <c:ext xmlns:c15="http://schemas.microsoft.com/office/drawing/2012/chart" uri="{CE6537A1-D6FC-4f65-9D91-7224C49458BB}"/>
                <c:ext xmlns:c16="http://schemas.microsoft.com/office/drawing/2014/chart" uri="{C3380CC4-5D6E-409C-BE32-E72D297353CC}">
                  <c16:uniqueId val="{0000003A-4CC6-4282-AB38-394EC9FF7EF5}"/>
                </c:ext>
              </c:extLst>
            </c:dLbl>
            <c:spPr>
              <a:noFill/>
              <a:ln>
                <a:noFill/>
              </a:ln>
              <a:effectLst/>
            </c:spPr>
            <c:txPr>
              <a:bodyPr/>
              <a:lstStyle/>
              <a:p>
                <a:pPr>
                  <a:defRPr sz="700">
                    <a:highlight>
                      <a:srgbClr val="D4EAF3"/>
                    </a:highlight>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Presentacion!$DP$117:$DS$117</c:f>
              <c:numCache>
                <c:formatCode>_(* #,##0.00_);_(* \(#,##0.00\);_(* "-"??_);_(@_)</c:formatCode>
                <c:ptCount val="4"/>
                <c:pt idx="0">
                  <c:v>89987.830757081028</c:v>
                </c:pt>
              </c:numCache>
            </c:numRef>
          </c:val>
          <c:extLst>
            <c:ext xmlns:c16="http://schemas.microsoft.com/office/drawing/2014/chart" uri="{C3380CC4-5D6E-409C-BE32-E72D297353CC}">
              <c16:uniqueId val="{00000030-4CC6-4282-AB38-394EC9FF7EF5}"/>
            </c:ext>
          </c:extLst>
        </c:ser>
        <c:dLbls>
          <c:showLegendKey val="0"/>
          <c:showVal val="1"/>
          <c:showCatName val="0"/>
          <c:showSerName val="0"/>
          <c:showPercent val="0"/>
          <c:showBubbleSize val="0"/>
        </c:dLbls>
        <c:gapWidth val="190"/>
        <c:overlap val="100"/>
        <c:axId val="343178255"/>
        <c:axId val="1296126783"/>
      </c:barChart>
      <c:catAx>
        <c:axId val="343178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00">
                <a:solidFill>
                  <a:schemeClr val="bg1"/>
                </a:solidFill>
              </a:defRPr>
            </a:pPr>
            <a:endParaRPr lang="es-PE"/>
          </a:p>
        </c:txPr>
        <c:crossAx val="1296126783"/>
        <c:crosses val="autoZero"/>
        <c:auto val="1"/>
        <c:lblAlgn val="ctr"/>
        <c:lblOffset val="100"/>
        <c:tickLblSkip val="1"/>
        <c:noMultiLvlLbl val="0"/>
      </c:catAx>
      <c:valAx>
        <c:axId val="1296126783"/>
        <c:scaling>
          <c:orientation val="minMax"/>
        </c:scaling>
        <c:delete val="1"/>
        <c:axPos val="l"/>
        <c:numFmt formatCode="_(* #,##0.00_);_(* \(#,##0.00\);_(* &quot;-&quot;??_);_(@_)" sourceLinked="1"/>
        <c:majorTickMark val="none"/>
        <c:minorTickMark val="none"/>
        <c:tickLblPos val="nextTo"/>
        <c:crossAx val="343178255"/>
        <c:crosses val="autoZero"/>
        <c:crossBetween val="between"/>
      </c:valAx>
    </c:plotArea>
    <c:plotVisOnly val="0"/>
    <c:dispBlanksAs val="zero"/>
    <c:showDLblsOverMax val="0"/>
    <c:extLst/>
  </c:chart>
  <c:txPr>
    <a:bodyPr/>
    <a:lstStyle/>
    <a:p>
      <a:pPr>
        <a:defRPr sz="6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Presentacion!$AK$97</c:f>
              <c:strCache>
                <c:ptCount val="1"/>
                <c:pt idx="0">
                  <c:v>Perú</c:v>
                </c:pt>
              </c:strCache>
            </c:strRef>
          </c:tx>
          <c:spPr>
            <a:solidFill>
              <a:schemeClr val="accent1"/>
            </a:solidFill>
            <a:ln>
              <a:noFill/>
            </a:ln>
            <a:effectLst/>
          </c:spPr>
          <c:invertIfNegative val="0"/>
          <c:dLbls>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Presentacion!$AL$97</c:f>
              <c:numCache>
                <c:formatCode>General</c:formatCode>
                <c:ptCount val="1"/>
                <c:pt idx="0">
                  <c:v>46.530533304582853</c:v>
                </c:pt>
              </c:numCache>
            </c:numRef>
          </c:val>
          <c:extLst>
            <c:ext xmlns:c16="http://schemas.microsoft.com/office/drawing/2014/chart" uri="{C3380CC4-5D6E-409C-BE32-E72D297353CC}">
              <c16:uniqueId val="{00000000-2875-4746-AB2D-312AC3228DB9}"/>
            </c:ext>
          </c:extLst>
        </c:ser>
        <c:ser>
          <c:idx val="1"/>
          <c:order val="1"/>
          <c:tx>
            <c:strRef>
              <c:f>Presentacion!$AK$98</c:f>
              <c:strCache>
                <c:ptCount val="1"/>
                <c:pt idx="0">
                  <c:v>Brasil</c:v>
                </c:pt>
              </c:strCache>
            </c:strRef>
          </c:tx>
          <c:spPr>
            <a:solidFill>
              <a:srgbClr val="00AECB"/>
            </a:solidFill>
            <a:ln>
              <a:noFill/>
            </a:ln>
            <a:effectLst/>
          </c:spPr>
          <c:invertIfNegative val="0"/>
          <c:dLbls>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Presentacion!$AL$98</c:f>
              <c:numCache>
                <c:formatCode>General</c:formatCode>
                <c:ptCount val="1"/>
                <c:pt idx="0">
                  <c:v>4.1246898248788071</c:v>
                </c:pt>
              </c:numCache>
            </c:numRef>
          </c:val>
          <c:extLst>
            <c:ext xmlns:c16="http://schemas.microsoft.com/office/drawing/2014/chart" uri="{C3380CC4-5D6E-409C-BE32-E72D297353CC}">
              <c16:uniqueId val="{00000002-2875-4746-AB2D-312AC3228DB9}"/>
            </c:ext>
          </c:extLst>
        </c:ser>
        <c:ser>
          <c:idx val="2"/>
          <c:order val="2"/>
          <c:tx>
            <c:strRef>
              <c:f>Presentacion!$AK$99</c:f>
              <c:strCache>
                <c:ptCount val="1"/>
                <c:pt idx="0">
                  <c:v>México</c:v>
                </c:pt>
              </c:strCache>
            </c:strRef>
          </c:tx>
          <c:spPr>
            <a:solidFill>
              <a:srgbClr val="00C9EA"/>
            </a:solidFill>
            <a:ln>
              <a:noFill/>
            </a:ln>
            <a:effectLst/>
          </c:spPr>
          <c:invertIfNegative val="0"/>
          <c:dLbls>
            <c:dLbl>
              <c:idx val="0"/>
              <c:dLblPos val="ctr"/>
              <c:showLegendKey val="0"/>
              <c:showVal val="0"/>
              <c:showCatName val="0"/>
              <c:showSerName val="1"/>
              <c:showPercent val="0"/>
              <c:showBubbleSize val="0"/>
              <c:extLst>
                <c:ext xmlns:c15="http://schemas.microsoft.com/office/drawing/2012/chart" uri="{CE6537A1-D6FC-4f65-9D91-7224C49458BB}">
                  <c15:layout>
                    <c:manualLayout>
                      <c:w val="0.24474409717483281"/>
                      <c:h val="0.23038939276425896"/>
                    </c:manualLayout>
                  </c15:layout>
                </c:ext>
                <c:ext xmlns:c16="http://schemas.microsoft.com/office/drawing/2014/chart" uri="{C3380CC4-5D6E-409C-BE32-E72D297353CC}">
                  <c16:uniqueId val="{00000008-2875-4746-AB2D-312AC3228DB9}"/>
                </c:ext>
              </c:extLst>
            </c:dLbl>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Presentacion!$AL$99</c:f>
              <c:numCache>
                <c:formatCode>General</c:formatCode>
                <c:ptCount val="1"/>
                <c:pt idx="0">
                  <c:v>1.2162331434245193</c:v>
                </c:pt>
              </c:numCache>
            </c:numRef>
          </c:val>
          <c:extLst>
            <c:ext xmlns:c16="http://schemas.microsoft.com/office/drawing/2014/chart" uri="{C3380CC4-5D6E-409C-BE32-E72D297353CC}">
              <c16:uniqueId val="{00000003-2875-4746-AB2D-312AC3228DB9}"/>
            </c:ext>
          </c:extLst>
        </c:ser>
        <c:ser>
          <c:idx val="3"/>
          <c:order val="3"/>
          <c:tx>
            <c:strRef>
              <c:f>Presentacion!$AK$100</c:f>
              <c:strCache>
                <c:ptCount val="1"/>
                <c:pt idx="0">
                  <c:v>Chile</c:v>
                </c:pt>
              </c:strCache>
            </c:strRef>
          </c:tx>
          <c:spPr>
            <a:solidFill>
              <a:srgbClr val="61E8FF"/>
            </a:solidFill>
            <a:ln>
              <a:noFill/>
            </a:ln>
            <a:effectLst/>
          </c:spPr>
          <c:invertIfNegative val="0"/>
          <c:dLbls>
            <c:dLbl>
              <c:idx val="0"/>
              <c:layout>
                <c:manualLayout>
                  <c:x val="-5.2961795108018205E-17"/>
                  <c:y val="-2.636034242153993E-2"/>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2875-4746-AB2D-312AC3228DB9}"/>
                </c:ext>
              </c:extLst>
            </c:dLbl>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Presentacion!$AL$100</c:f>
              <c:numCache>
                <c:formatCode>General</c:formatCode>
                <c:ptCount val="1"/>
                <c:pt idx="0">
                  <c:v>1.0466687411384583</c:v>
                </c:pt>
              </c:numCache>
            </c:numRef>
          </c:val>
          <c:extLst>
            <c:ext xmlns:c16="http://schemas.microsoft.com/office/drawing/2014/chart" uri="{C3380CC4-5D6E-409C-BE32-E72D297353CC}">
              <c16:uniqueId val="{00000005-2875-4746-AB2D-312AC3228DB9}"/>
            </c:ext>
          </c:extLst>
        </c:ser>
        <c:ser>
          <c:idx val="4"/>
          <c:order val="4"/>
          <c:tx>
            <c:strRef>
              <c:f>Presentacion!$AK$101</c:f>
              <c:strCache>
                <c:ptCount val="1"/>
                <c:pt idx="0">
                  <c:v>Otros</c:v>
                </c:pt>
              </c:strCache>
            </c:strRef>
          </c:tx>
          <c:spPr>
            <a:solidFill>
              <a:srgbClr val="C5F7FF"/>
            </a:solidFill>
            <a:ln>
              <a:noFill/>
            </a:ln>
            <a:effectLst/>
          </c:spPr>
          <c:invertIfNegative val="0"/>
          <c:dLbls>
            <c:dLbl>
              <c:idx val="0"/>
              <c:layout>
                <c:manualLayout>
                  <c:x val="5.777717119330384E-3"/>
                  <c:y val="-6.1507465650259843E-2"/>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2875-4746-AB2D-312AC3228DB9}"/>
                </c:ext>
              </c:extLst>
            </c:dLbl>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Presentacion!$AL$101</c:f>
              <c:numCache>
                <c:formatCode>General</c:formatCode>
                <c:ptCount val="1"/>
                <c:pt idx="0">
                  <c:v>2.8380496765977199</c:v>
                </c:pt>
              </c:numCache>
            </c:numRef>
          </c:val>
          <c:extLst>
            <c:ext xmlns:c16="http://schemas.microsoft.com/office/drawing/2014/chart" uri="{C3380CC4-5D6E-409C-BE32-E72D297353CC}">
              <c16:uniqueId val="{00000006-2875-4746-AB2D-312AC3228DB9}"/>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scaling>
        <c:delete val="1"/>
        <c:axPos val="l"/>
        <c:numFmt formatCode="General"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Presentacion!$AF$70</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Dic-24</c:v>
              </c:pt>
            </c:strLit>
          </c:cat>
          <c:val>
            <c:numRef>
              <c:f>Presentacion!$AG$70</c:f>
              <c:numCache>
                <c:formatCode>_-* #,##0_-;\-* #,##0_-;_-* "-"??_-;_-@_-</c:formatCode>
                <c:ptCount val="1"/>
                <c:pt idx="0">
                  <c:v>358450.12403448788</c:v>
                </c:pt>
              </c:numCache>
            </c:numRef>
          </c:val>
          <c:extLst>
            <c:ext xmlns:c16="http://schemas.microsoft.com/office/drawing/2014/chart" uri="{C3380CC4-5D6E-409C-BE32-E72D297353CC}">
              <c16:uniqueId val="{00000000-5F8E-46EC-8D6C-1F604A38C57E}"/>
            </c:ext>
          </c:extLst>
        </c:ser>
        <c:ser>
          <c:idx val="1"/>
          <c:order val="1"/>
          <c:tx>
            <c:strRef>
              <c:f>Presentacion!$AF$71</c:f>
              <c:strCache>
                <c:ptCount val="1"/>
                <c:pt idx="0">
                  <c:v>EEUU</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5F8E-46EC-8D6C-1F604A38C57E}"/>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Dic-24</c:v>
              </c:pt>
            </c:strLit>
          </c:cat>
          <c:val>
            <c:numRef>
              <c:f>Presentacion!$AG$71</c:f>
              <c:numCache>
                <c:formatCode>_-* #,##0_-;\-* #,##0_-;_-* "-"??_-;_-@_-</c:formatCode>
                <c:ptCount val="1"/>
                <c:pt idx="0">
                  <c:v>35754.026138894318</c:v>
                </c:pt>
              </c:numCache>
            </c:numRef>
          </c:val>
          <c:extLst>
            <c:ext xmlns:c16="http://schemas.microsoft.com/office/drawing/2014/chart" uri="{C3380CC4-5D6E-409C-BE32-E72D297353CC}">
              <c16:uniqueId val="{00000002-5F8E-46EC-8D6C-1F604A38C57E}"/>
            </c:ext>
          </c:extLst>
        </c:ser>
        <c:ser>
          <c:idx val="2"/>
          <c:order val="2"/>
          <c:tx>
            <c:strRef>
              <c:f>Presentacion!$AF$72</c:f>
              <c:strCache>
                <c:ptCount val="1"/>
                <c:pt idx="0">
                  <c:v>Brasil</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Dic-24</c:v>
              </c:pt>
            </c:strLit>
          </c:cat>
          <c:val>
            <c:numRef>
              <c:f>Presentacion!$AG$72</c:f>
              <c:numCache>
                <c:formatCode>_-* #,##0_-;\-* #,##0_-;_-* "-"??_-;_-@_-</c:formatCode>
                <c:ptCount val="1"/>
                <c:pt idx="0">
                  <c:v>11134.793415603659</c:v>
                </c:pt>
              </c:numCache>
            </c:numRef>
          </c:val>
          <c:extLst>
            <c:ext xmlns:c16="http://schemas.microsoft.com/office/drawing/2014/chart" uri="{C3380CC4-5D6E-409C-BE32-E72D297353CC}">
              <c16:uniqueId val="{00000003-5F8E-46EC-8D6C-1F604A38C57E}"/>
            </c:ext>
          </c:extLst>
        </c:ser>
        <c:ser>
          <c:idx val="3"/>
          <c:order val="3"/>
          <c:tx>
            <c:strRef>
              <c:f>Presentacion!$AF$73</c:f>
              <c:strCache>
                <c:ptCount val="1"/>
                <c:pt idx="0">
                  <c:v>Colombia</c:v>
                </c:pt>
              </c:strCache>
            </c:strRef>
          </c:tx>
          <c:spPr>
            <a:solidFill>
              <a:srgbClr val="61E8FF"/>
            </a:solidFill>
            <a:ln>
              <a:noFill/>
            </a:ln>
            <a:effectLst/>
          </c:spPr>
          <c:invertIfNegative val="0"/>
          <c:dLbls>
            <c:dLbl>
              <c:idx val="0"/>
              <c:layout>
                <c:manualLayout>
                  <c:x val="2.5070284180107858E-3"/>
                  <c:y val="-8.998563120663855E-3"/>
                </c:manualLayout>
              </c:layout>
              <c:tx>
                <c:rich>
                  <a:bodyPr wrap="square" lIns="38100" tIns="19050" rIns="38100" bIns="19050" anchor="ctr">
                    <a:noAutofit/>
                  </a:bodyPr>
                  <a:lstStyle/>
                  <a:p>
                    <a:pPr>
                      <a:defRPr sz="700"/>
                    </a:pPr>
                    <a:r>
                      <a:rPr lang="en-US" sz="700"/>
                      <a:t>Colombia</a:t>
                    </a:r>
                    <a:endParaRPr lang="en-US"/>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4-5F8E-46EC-8D6C-1F604A38C57E}"/>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Dic-24</c:v>
              </c:pt>
            </c:strLit>
          </c:cat>
          <c:val>
            <c:numRef>
              <c:f>Presentacion!$AG$73</c:f>
              <c:numCache>
                <c:formatCode>_-* #,##0_-;\-* #,##0_-;_-* "-"??_-;_-@_-</c:formatCode>
                <c:ptCount val="1"/>
                <c:pt idx="0">
                  <c:v>8002.5234142958961</c:v>
                </c:pt>
              </c:numCache>
            </c:numRef>
          </c:val>
          <c:extLst>
            <c:ext xmlns:c16="http://schemas.microsoft.com/office/drawing/2014/chart" uri="{C3380CC4-5D6E-409C-BE32-E72D297353CC}">
              <c16:uniqueId val="{00000005-5F8E-46EC-8D6C-1F604A38C57E}"/>
            </c:ext>
          </c:extLst>
        </c:ser>
        <c:ser>
          <c:idx val="4"/>
          <c:order val="4"/>
          <c:tx>
            <c:strRef>
              <c:f>Presentacion!$AF$74</c:f>
              <c:strCache>
                <c:ptCount val="1"/>
                <c:pt idx="0">
                  <c:v>Otros</c:v>
                </c:pt>
              </c:strCache>
            </c:strRef>
          </c:tx>
          <c:spPr>
            <a:solidFill>
              <a:srgbClr val="C5F7FF"/>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1"/>
              <c:pt idx="0">
                <c:v>Dic-24</c:v>
              </c:pt>
            </c:strLit>
          </c:cat>
          <c:val>
            <c:numRef>
              <c:f>Presentacion!$AG$74</c:f>
              <c:numCache>
                <c:formatCode>_-* #,##0_-;\-* #,##0_-;_-* "-"??_-;_-@_-</c:formatCode>
                <c:ptCount val="1"/>
                <c:pt idx="0">
                  <c:v>17237.087415729649</c:v>
                </c:pt>
              </c:numCache>
            </c:numRef>
          </c:val>
          <c:extLst>
            <c:ext xmlns:c16="http://schemas.microsoft.com/office/drawing/2014/chart" uri="{C3380CC4-5D6E-409C-BE32-E72D297353CC}">
              <c16:uniqueId val="{00000006-5F8E-46EC-8D6C-1F604A38C57E}"/>
            </c:ext>
          </c:extLst>
        </c:ser>
        <c:dLbls>
          <c:dLblPos val="ctr"/>
          <c:showLegendKey val="0"/>
          <c:showVal val="1"/>
          <c:showCatName val="0"/>
          <c:showSerName val="0"/>
          <c:showPercent val="0"/>
          <c:showBubbleSize val="0"/>
        </c:dLbls>
        <c:gapWidth val="219"/>
        <c:overlap val="100"/>
        <c:axId val="1038796671"/>
        <c:axId val="11312079"/>
      </c:barChart>
      <c:catAx>
        <c:axId val="1038796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Algn val="ctr"/>
        <c:lblOffset val="100"/>
        <c:noMultiLvlLbl val="0"/>
      </c:catAx>
      <c:valAx>
        <c:axId val="11312079"/>
        <c:scaling>
          <c:orientation val="minMax"/>
          <c:max val="400000"/>
          <c:min val="0"/>
        </c:scaling>
        <c:delete val="1"/>
        <c:axPos val="l"/>
        <c:numFmt formatCode="_-* #,##0_-;\-* #,##0_-;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Presentacion!$AF$97</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Presentacion!$AG$97</c:f>
              <c:numCache>
                <c:formatCode>_(* #,##0.00_);_(* \(#,##0.00\);_(* "-"??_);_(@_)</c:formatCode>
                <c:ptCount val="1"/>
                <c:pt idx="0">
                  <c:v>501921.64739597251</c:v>
                </c:pt>
              </c:numCache>
            </c:numRef>
          </c:val>
          <c:extLst>
            <c:ext xmlns:c16="http://schemas.microsoft.com/office/drawing/2014/chart" uri="{C3380CC4-5D6E-409C-BE32-E72D297353CC}">
              <c16:uniqueId val="{00000000-291A-4D4E-A6B9-2C7FCB583144}"/>
            </c:ext>
          </c:extLst>
        </c:ser>
        <c:ser>
          <c:idx val="1"/>
          <c:order val="1"/>
          <c:tx>
            <c:strRef>
              <c:f>Presentacion!$AF$98</c:f>
              <c:strCache>
                <c:ptCount val="1"/>
                <c:pt idx="0">
                  <c:v>Brasil</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291A-4D4E-A6B9-2C7FCB583144}"/>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Presentacion!$AG$98</c:f>
              <c:numCache>
                <c:formatCode>_(* #,##0.00_);_(* \(#,##0.00\);_(* "-"??_);_(@_)</c:formatCode>
                <c:ptCount val="1"/>
                <c:pt idx="0">
                  <c:v>44492.744115973248</c:v>
                </c:pt>
              </c:numCache>
            </c:numRef>
          </c:val>
          <c:extLst>
            <c:ext xmlns:c16="http://schemas.microsoft.com/office/drawing/2014/chart" uri="{C3380CC4-5D6E-409C-BE32-E72D297353CC}">
              <c16:uniqueId val="{00000002-291A-4D4E-A6B9-2C7FCB583144}"/>
            </c:ext>
          </c:extLst>
        </c:ser>
        <c:ser>
          <c:idx val="2"/>
          <c:order val="2"/>
          <c:tx>
            <c:strRef>
              <c:f>Presentacion!$AF$99</c:f>
              <c:strCache>
                <c:ptCount val="1"/>
                <c:pt idx="0">
                  <c:v>México</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Presentacion!$AG$99</c:f>
              <c:numCache>
                <c:formatCode>_(* #,##0.00_);_(* \(#,##0.00\);_(* "-"??_);_(@_)</c:formatCode>
                <c:ptCount val="1"/>
                <c:pt idx="0">
                  <c:v>13119.422873777647</c:v>
                </c:pt>
              </c:numCache>
            </c:numRef>
          </c:val>
          <c:extLst>
            <c:ext xmlns:c16="http://schemas.microsoft.com/office/drawing/2014/chart" uri="{C3380CC4-5D6E-409C-BE32-E72D297353CC}">
              <c16:uniqueId val="{00000003-291A-4D4E-A6B9-2C7FCB583144}"/>
            </c:ext>
          </c:extLst>
        </c:ser>
        <c:ser>
          <c:idx val="3"/>
          <c:order val="3"/>
          <c:tx>
            <c:strRef>
              <c:f>Presentacion!$AF$100</c:f>
              <c:strCache>
                <c:ptCount val="1"/>
                <c:pt idx="0">
                  <c:v>Chile</c:v>
                </c:pt>
              </c:strCache>
            </c:strRef>
          </c:tx>
          <c:spPr>
            <a:solidFill>
              <a:srgbClr val="61E8FF"/>
            </a:solidFill>
            <a:ln>
              <a:noFill/>
            </a:ln>
            <a:effectLst/>
          </c:spPr>
          <c:invertIfNegative val="0"/>
          <c:dLbls>
            <c:dLbl>
              <c:idx val="0"/>
              <c:layout>
                <c:manualLayout>
                  <c:x val="2.5070284180107858E-3"/>
                  <c:y val="-8.998563120663855E-3"/>
                </c:manualLayout>
              </c:layout>
              <c:tx>
                <c:rich>
                  <a:bodyPr wrap="square" lIns="38100" tIns="19050" rIns="38100" bIns="19050" anchor="ctr">
                    <a:noAutofit/>
                  </a:bodyPr>
                  <a:lstStyle/>
                  <a:p>
                    <a:pPr>
                      <a:defRPr sz="700"/>
                    </a:pPr>
                    <a:r>
                      <a:rPr lang="en-US" sz="700"/>
                      <a:t>Colombia</a:t>
                    </a:r>
                    <a:endParaRPr lang="en-US"/>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4-291A-4D4E-A6B9-2C7FCB583144}"/>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Presentacion!$AG$100</c:f>
              <c:numCache>
                <c:formatCode>_(* #,##0.00_);_(* \(#,##0.00\);_(* "-"??_);_(@_)</c:formatCode>
                <c:ptCount val="1"/>
                <c:pt idx="0">
                  <c:v>11290.34338358511</c:v>
                </c:pt>
              </c:numCache>
            </c:numRef>
          </c:val>
          <c:extLst>
            <c:ext xmlns:c16="http://schemas.microsoft.com/office/drawing/2014/chart" uri="{C3380CC4-5D6E-409C-BE32-E72D297353CC}">
              <c16:uniqueId val="{00000005-291A-4D4E-A6B9-2C7FCB583144}"/>
            </c:ext>
          </c:extLst>
        </c:ser>
        <c:ser>
          <c:idx val="4"/>
          <c:order val="4"/>
          <c:tx>
            <c:strRef>
              <c:f>Presentacion!$AF$101</c:f>
              <c:strCache>
                <c:ptCount val="1"/>
                <c:pt idx="0">
                  <c:v>Otros</c:v>
                </c:pt>
              </c:strCache>
            </c:strRef>
          </c:tx>
          <c:spPr>
            <a:solidFill>
              <a:srgbClr val="C5F7FF"/>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Presentacion!$AD$79</c:f>
              <c:numCache>
                <c:formatCode>mmm\-yy</c:formatCode>
                <c:ptCount val="1"/>
                <c:pt idx="0">
                  <c:v>45992</c:v>
                </c:pt>
              </c:numCache>
            </c:numRef>
          </c:cat>
          <c:val>
            <c:numRef>
              <c:f>Presentacion!$AG$101</c:f>
              <c:numCache>
                <c:formatCode>_(* #,##0.00_);_(* \(#,##0.00\);_(* "-"??_);_(@_)</c:formatCode>
                <c:ptCount val="1"/>
                <c:pt idx="0">
                  <c:v>30613.845746084349</c:v>
                </c:pt>
              </c:numCache>
            </c:numRef>
          </c:val>
          <c:extLst>
            <c:ext xmlns:c16="http://schemas.microsoft.com/office/drawing/2014/chart" uri="{C3380CC4-5D6E-409C-BE32-E72D297353CC}">
              <c16:uniqueId val="{00000006-291A-4D4E-A6B9-2C7FCB583144}"/>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min val="0"/>
        </c:scaling>
        <c:delete val="1"/>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col"/>
        <c:grouping val="stacked"/>
        <c:varyColors val="0"/>
        <c:ser>
          <c:idx val="0"/>
          <c:order val="0"/>
          <c:tx>
            <c:strRef>
              <c:f>Presentacion!$DO$56</c:f>
              <c:strCache>
                <c:ptCount val="1"/>
                <c:pt idx="0">
                  <c:v>Materials</c:v>
                </c:pt>
              </c:strCache>
            </c:strRef>
          </c:tx>
          <c:spPr>
            <a:solidFill>
              <a:srgbClr val="E3F2ED"/>
            </a:solidFill>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Oct-24</c:v>
              </c:pt>
              <c:pt idx="1">
                <c:v>May-25</c:v>
              </c:pt>
            </c:strLit>
          </c:cat>
          <c:val>
            <c:numRef>
              <c:f>Presentacion!$DP$56:$DQ$56</c:f>
              <c:numCache>
                <c:formatCode>_(* #,##0.00_);_(* \(#,##0.00\);_(* "-"??_);_(@_)</c:formatCode>
                <c:ptCount val="2"/>
                <c:pt idx="0">
                  <c:v>102832.41174163757</c:v>
                </c:pt>
                <c:pt idx="1">
                  <c:v>209823.78686259827</c:v>
                </c:pt>
              </c:numCache>
            </c:numRef>
          </c:val>
          <c:extLst>
            <c:ext xmlns:c16="http://schemas.microsoft.com/office/drawing/2014/chart" uri="{C3380CC4-5D6E-409C-BE32-E72D297353CC}">
              <c16:uniqueId val="{00000000-C544-477A-BAC6-90F82AD0407E}"/>
            </c:ext>
          </c:extLst>
        </c:ser>
        <c:ser>
          <c:idx val="1"/>
          <c:order val="1"/>
          <c:tx>
            <c:strRef>
              <c:f>Presentacion!$DO$57</c:f>
              <c:strCache>
                <c:ptCount val="1"/>
                <c:pt idx="0">
                  <c:v>Materials</c:v>
                </c:pt>
              </c:strCache>
            </c:strRef>
          </c:tx>
          <c:invertIfNegative val="0"/>
          <c:dLbls>
            <c:delete val="1"/>
          </c:dLbls>
          <c:cat>
            <c:strLit>
              <c:ptCount val="2"/>
              <c:pt idx="0">
                <c:v>Oct-24</c:v>
              </c:pt>
              <c:pt idx="1">
                <c:v>May-25</c:v>
              </c:pt>
            </c:strLit>
          </c:cat>
          <c:val>
            <c:numRef>
              <c:f>Presentacion!$DP$57:$DQ$57</c:f>
              <c:numCache>
                <c:formatCode>_(* #,##0.00_);_(* \(#,##0.00\);_(* "-"??_);_(@_)</c:formatCode>
                <c:ptCount val="2"/>
                <c:pt idx="0">
                  <c:v>0</c:v>
                </c:pt>
                <c:pt idx="1">
                  <c:v>0</c:v>
                </c:pt>
              </c:numCache>
            </c:numRef>
          </c:val>
          <c:extLst>
            <c:ext xmlns:c16="http://schemas.microsoft.com/office/drawing/2014/chart" uri="{C3380CC4-5D6E-409C-BE32-E72D297353CC}">
              <c16:uniqueId val="{00000001-C544-477A-BAC6-90F82AD0407E}"/>
            </c:ext>
          </c:extLst>
        </c:ser>
        <c:ser>
          <c:idx val="2"/>
          <c:order val="2"/>
          <c:tx>
            <c:strRef>
              <c:f>Presentacion!$DO$58</c:f>
              <c:strCache>
                <c:ptCount val="1"/>
                <c:pt idx="0">
                  <c:v>Utilities</c:v>
                </c:pt>
              </c:strCache>
            </c:strRef>
          </c:tx>
          <c:spPr>
            <a:solidFill>
              <a:srgbClr val="C8E5DC"/>
            </a:solidFill>
          </c:spPr>
          <c:invertIfNegative val="0"/>
          <c:dLbls>
            <c:dLbl>
              <c:idx val="1"/>
              <c:layout>
                <c:manualLayout>
                  <c:x val="0"/>
                  <c:y val="-1.559672929714690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C544-477A-BAC6-90F82AD0407E}"/>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Oct-24</c:v>
              </c:pt>
              <c:pt idx="1">
                <c:v>May-25</c:v>
              </c:pt>
            </c:strLit>
          </c:cat>
          <c:val>
            <c:numRef>
              <c:f>Presentacion!$DP$58:$DQ$58</c:f>
              <c:numCache>
                <c:formatCode>_(* #,##0.00_);_(* \(#,##0.00\);_(* "-"??_);_(@_)</c:formatCode>
                <c:ptCount val="2"/>
                <c:pt idx="0">
                  <c:v>82386.011004244385</c:v>
                </c:pt>
                <c:pt idx="1">
                  <c:v>1491.1735020071608</c:v>
                </c:pt>
              </c:numCache>
            </c:numRef>
          </c:val>
          <c:extLst>
            <c:ext xmlns:c16="http://schemas.microsoft.com/office/drawing/2014/chart" uri="{C3380CC4-5D6E-409C-BE32-E72D297353CC}">
              <c16:uniqueId val="{00000003-C544-477A-BAC6-90F82AD0407E}"/>
            </c:ext>
          </c:extLst>
        </c:ser>
        <c:ser>
          <c:idx val="3"/>
          <c:order val="3"/>
          <c:tx>
            <c:strRef>
              <c:f>Presentacion!$DO$59</c:f>
              <c:strCache>
                <c:ptCount val="1"/>
                <c:pt idx="0">
                  <c:v>Utilities</c:v>
                </c:pt>
              </c:strCache>
            </c:strRef>
          </c:tx>
          <c:spPr>
            <a:pattFill prst="wdUpDiag">
              <a:fgClr>
                <a:srgbClr val="C8E5DC"/>
              </a:fgClr>
              <a:bgClr>
                <a:sysClr val="window" lastClr="FFFFFF"/>
              </a:bgClr>
            </a:pattFill>
            <a:ln>
              <a:noFill/>
            </a:ln>
          </c:spPr>
          <c:invertIfNegative val="0"/>
          <c:dLbls>
            <c:delete val="1"/>
          </c:dLbls>
          <c:cat>
            <c:strLit>
              <c:ptCount val="2"/>
              <c:pt idx="0">
                <c:v>Oct-24</c:v>
              </c:pt>
              <c:pt idx="1">
                <c:v>May-25</c:v>
              </c:pt>
            </c:strLit>
          </c:cat>
          <c:val>
            <c:numRef>
              <c:f>Presentacion!$DP$59:$DQ$59</c:f>
              <c:numCache>
                <c:formatCode>_(* #,##0.00_);_(* \(#,##0.00\);_(* "-"??_);_(@_)</c:formatCode>
                <c:ptCount val="2"/>
                <c:pt idx="0">
                  <c:v>17171.821094110222</c:v>
                </c:pt>
                <c:pt idx="1">
                  <c:v>52773.687128000805</c:v>
                </c:pt>
              </c:numCache>
            </c:numRef>
          </c:val>
          <c:extLst>
            <c:ext xmlns:c16="http://schemas.microsoft.com/office/drawing/2014/chart" uri="{C3380CC4-5D6E-409C-BE32-E72D297353CC}">
              <c16:uniqueId val="{00000004-C544-477A-BAC6-90F82AD0407E}"/>
            </c:ext>
          </c:extLst>
        </c:ser>
        <c:ser>
          <c:idx val="4"/>
          <c:order val="4"/>
          <c:tx>
            <c:strRef>
              <c:f>Presentacion!$DO$60</c:f>
              <c:strCache>
                <c:ptCount val="1"/>
                <c:pt idx="0">
                  <c:v>Otros</c:v>
                </c:pt>
              </c:strCache>
            </c:strRef>
          </c:tx>
          <c:spPr>
            <a:solidFill>
              <a:srgbClr val="ACD7CA"/>
            </a:solidFill>
          </c:spPr>
          <c:invertIfNegative val="0"/>
          <c:dLbls>
            <c:dLbl>
              <c:idx val="1"/>
              <c:layout>
                <c:manualLayout>
                  <c:x val="-9.6674407761945537E-17"/>
                  <c:y val="-1.559672929714690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C544-477A-BAC6-90F82AD0407E}"/>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Oct-24</c:v>
              </c:pt>
              <c:pt idx="1">
                <c:v>May-25</c:v>
              </c:pt>
            </c:strLit>
          </c:cat>
          <c:val>
            <c:numRef>
              <c:f>Presentacion!$DP$60:$DQ$60</c:f>
              <c:numCache>
                <c:formatCode>_(* #,##0.00_);_(* \(#,##0.00\);_(* "-"??_);_(@_)</c:formatCode>
                <c:ptCount val="2"/>
                <c:pt idx="0">
                  <c:v>232668.75383962266</c:v>
                </c:pt>
                <c:pt idx="1">
                  <c:v>210895.52083512075</c:v>
                </c:pt>
              </c:numCache>
            </c:numRef>
          </c:val>
          <c:extLst>
            <c:ext xmlns:c16="http://schemas.microsoft.com/office/drawing/2014/chart" uri="{C3380CC4-5D6E-409C-BE32-E72D297353CC}">
              <c16:uniqueId val="{00000006-C544-477A-BAC6-90F82AD0407E}"/>
            </c:ext>
          </c:extLst>
        </c:ser>
        <c:ser>
          <c:idx val="5"/>
          <c:order val="5"/>
          <c:tx>
            <c:strRef>
              <c:f>Presentacion!$DO$61</c:f>
              <c:strCache>
                <c:ptCount val="1"/>
                <c:pt idx="0">
                  <c:v>Otros</c:v>
                </c:pt>
              </c:strCache>
            </c:strRef>
          </c:tx>
          <c:spPr>
            <a:pattFill prst="wdUpDiag">
              <a:fgClr>
                <a:srgbClr val="ACD7CA"/>
              </a:fgClr>
              <a:bgClr>
                <a:sysClr val="window" lastClr="FFFFFF"/>
              </a:bgClr>
            </a:pattFill>
            <a:ln>
              <a:noFill/>
            </a:ln>
          </c:spPr>
          <c:invertIfNegative val="0"/>
          <c:dLbls>
            <c:delete val="1"/>
          </c:dLbls>
          <c:cat>
            <c:strLit>
              <c:ptCount val="2"/>
              <c:pt idx="0">
                <c:v>Oct-24</c:v>
              </c:pt>
              <c:pt idx="1">
                <c:v>May-25</c:v>
              </c:pt>
            </c:strLit>
          </c:cat>
          <c:val>
            <c:numRef>
              <c:f>Presentacion!$DP$61:$DQ$61</c:f>
              <c:numCache>
                <c:formatCode>_(* #,##0.00_);_(* \(#,##0.00\);_(* "-"??_);_(@_)</c:formatCode>
                <c:ptCount val="2"/>
                <c:pt idx="0">
                  <c:v>33233.579410976476</c:v>
                </c:pt>
                <c:pt idx="1">
                  <c:v>29461.007777239181</c:v>
                </c:pt>
              </c:numCache>
            </c:numRef>
          </c:val>
          <c:extLst>
            <c:ext xmlns:c16="http://schemas.microsoft.com/office/drawing/2014/chart" uri="{C3380CC4-5D6E-409C-BE32-E72D297353CC}">
              <c16:uniqueId val="{00000007-C544-477A-BAC6-90F82AD0407E}"/>
            </c:ext>
          </c:extLst>
        </c:ser>
        <c:ser>
          <c:idx val="6"/>
          <c:order val="6"/>
          <c:tx>
            <c:strRef>
              <c:f>Presentacion!$DO$62</c:f>
              <c:strCache>
                <c:ptCount val="1"/>
                <c:pt idx="0">
                  <c:v>RF</c:v>
                </c:pt>
              </c:strCache>
            </c:strRef>
          </c:tx>
          <c:spPr>
            <a:solidFill>
              <a:srgbClr val="B7EEFF"/>
            </a:solidFill>
          </c:spPr>
          <c:invertIfNegative val="0"/>
          <c:dLbls>
            <c:dLbl>
              <c:idx val="1"/>
              <c:layout>
                <c:manualLayout>
                  <c:x val="-9.6674407761945537E-17"/>
                  <c:y val="7.5086986778009068E-3"/>
                </c:manualLayout>
              </c:layout>
              <c:spPr>
                <a:noFill/>
                <a:ln>
                  <a:noFill/>
                </a:ln>
                <a:effectLst/>
              </c:spPr>
              <c:txPr>
                <a:bodyPr/>
                <a:lstStyle/>
                <a:p>
                  <a:pPr>
                    <a:defRPr sz="700"/>
                  </a:pPr>
                  <a:endParaRPr lang="es-PE"/>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C544-477A-BAC6-90F82AD0407E}"/>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Oct-24</c:v>
              </c:pt>
              <c:pt idx="1">
                <c:v>May-25</c:v>
              </c:pt>
            </c:strLit>
          </c:cat>
          <c:val>
            <c:numRef>
              <c:f>Presentacion!$DP$62:$DQ$62</c:f>
              <c:numCache>
                <c:formatCode>_(* #,##0.00_);_(* \(#,##0.00\);_(* "-"??_);_(@_)</c:formatCode>
                <c:ptCount val="2"/>
                <c:pt idx="0">
                  <c:v>44669.733336650439</c:v>
                </c:pt>
                <c:pt idx="1">
                  <c:v>52914.747508588865</c:v>
                </c:pt>
              </c:numCache>
            </c:numRef>
          </c:val>
          <c:extLst>
            <c:ext xmlns:c16="http://schemas.microsoft.com/office/drawing/2014/chart" uri="{C3380CC4-5D6E-409C-BE32-E72D297353CC}">
              <c16:uniqueId val="{00000009-C544-477A-BAC6-90F82AD0407E}"/>
            </c:ext>
          </c:extLst>
        </c:ser>
        <c:ser>
          <c:idx val="7"/>
          <c:order val="7"/>
          <c:tx>
            <c:strRef>
              <c:f>Presentacion!$DO$63</c:f>
              <c:strCache>
                <c:ptCount val="1"/>
                <c:pt idx="0">
                  <c:v>RF Proxies</c:v>
                </c:pt>
              </c:strCache>
            </c:strRef>
          </c:tx>
          <c:spPr>
            <a:pattFill prst="wdUpDiag">
              <a:fgClr>
                <a:srgbClr val="B7EEFF"/>
              </a:fgClr>
              <a:bgClr>
                <a:sysClr val="window" lastClr="FFFFFF"/>
              </a:bgClr>
            </a:pattFill>
            <a:ln>
              <a:noFill/>
            </a:ln>
          </c:spPr>
          <c:invertIfNegative val="0"/>
          <c:dLbls>
            <c:delete val="1"/>
          </c:dLbls>
          <c:cat>
            <c:strLit>
              <c:ptCount val="2"/>
              <c:pt idx="0">
                <c:v>Oct-24</c:v>
              </c:pt>
              <c:pt idx="1">
                <c:v>May-25</c:v>
              </c:pt>
            </c:strLit>
          </c:cat>
          <c:val>
            <c:numRef>
              <c:f>Presentacion!$DP$63:$DQ$63</c:f>
              <c:numCache>
                <c:formatCode>_(* #,##0.00_);_(* \(#,##0.00\);_(* "-"??_);_(@_)</c:formatCode>
                <c:ptCount val="2"/>
                <c:pt idx="0">
                  <c:v>36052.688760613491</c:v>
                </c:pt>
                <c:pt idx="1">
                  <c:v>21732.372756596465</c:v>
                </c:pt>
              </c:numCache>
            </c:numRef>
          </c:val>
          <c:extLst>
            <c:ext xmlns:c16="http://schemas.microsoft.com/office/drawing/2014/chart" uri="{C3380CC4-5D6E-409C-BE32-E72D297353CC}">
              <c16:uniqueId val="{0000000A-C544-477A-BAC6-90F82AD0407E}"/>
            </c:ext>
          </c:extLst>
        </c:ser>
        <c:ser>
          <c:idx val="8"/>
          <c:order val="8"/>
          <c:tx>
            <c:strRef>
              <c:f>Presentacion!$DO$64</c:f>
              <c:strCache>
                <c:ptCount val="1"/>
                <c:pt idx="0">
                  <c:v>ETF Sobs</c:v>
                </c:pt>
              </c:strCache>
            </c:strRef>
          </c:tx>
          <c:spPr>
            <a:solidFill>
              <a:srgbClr val="AFC3E6"/>
            </a:solidFill>
          </c:spPr>
          <c:invertIfNegative val="0"/>
          <c:dLbls>
            <c:dLbl>
              <c:idx val="1"/>
              <c:layout>
                <c:manualLayout>
                  <c:x val="2.6366052150804545E-3"/>
                  <c:y val="0"/>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C544-477A-BAC6-90F82AD0407E}"/>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Oct-24</c:v>
              </c:pt>
              <c:pt idx="1">
                <c:v>May-25</c:v>
              </c:pt>
            </c:strLit>
          </c:cat>
          <c:val>
            <c:numRef>
              <c:f>Presentacion!$DP$64:$DQ$64</c:f>
              <c:numCache>
                <c:formatCode>_(* #,##0.00_);_(* \(#,##0.00\);_(* "-"??_);_(@_)</c:formatCode>
                <c:ptCount val="2"/>
              </c:numCache>
            </c:numRef>
          </c:val>
          <c:extLst>
            <c:ext xmlns:c16="http://schemas.microsoft.com/office/drawing/2014/chart" uri="{C3380CC4-5D6E-409C-BE32-E72D297353CC}">
              <c16:uniqueId val="{0000000C-C544-477A-BAC6-90F82AD0407E}"/>
            </c:ext>
          </c:extLst>
        </c:ser>
        <c:ser>
          <c:idx val="9"/>
          <c:order val="9"/>
          <c:tx>
            <c:strRef>
              <c:f>Presentacion!$DO$65</c:f>
              <c:strCache>
                <c:ptCount val="1"/>
                <c:pt idx="0">
                  <c:v>ETF Sobs Proxies</c:v>
                </c:pt>
              </c:strCache>
            </c:strRef>
          </c:tx>
          <c:invertIfNegative val="0"/>
          <c:dLbls>
            <c:delete val="1"/>
          </c:dLbls>
          <c:cat>
            <c:strLit>
              <c:ptCount val="2"/>
              <c:pt idx="0">
                <c:v>Oct-24</c:v>
              </c:pt>
              <c:pt idx="1">
                <c:v>May-25</c:v>
              </c:pt>
            </c:strLit>
          </c:cat>
          <c:val>
            <c:numRef>
              <c:f>Presentacion!$DP$65:$DQ$65</c:f>
              <c:numCache>
                <c:formatCode>_(* #,##0.00_);_(* \(#,##0.00\);_(* "-"??_);_(@_)</c:formatCode>
                <c:ptCount val="2"/>
                <c:pt idx="0">
                  <c:v>0</c:v>
                </c:pt>
                <c:pt idx="1">
                  <c:v>0</c:v>
                </c:pt>
              </c:numCache>
            </c:numRef>
          </c:val>
          <c:extLst>
            <c:ext xmlns:c16="http://schemas.microsoft.com/office/drawing/2014/chart" uri="{C3380CC4-5D6E-409C-BE32-E72D297353CC}">
              <c16:uniqueId val="{0000000D-C544-477A-BAC6-90F82AD0407E}"/>
            </c:ext>
          </c:extLst>
        </c:ser>
        <c:ser>
          <c:idx val="10"/>
          <c:order val="10"/>
          <c:tx>
            <c:strRef>
              <c:f>Presentacion!$DO$66</c:f>
              <c:strCache>
                <c:ptCount val="1"/>
                <c:pt idx="0">
                  <c:v>RV</c:v>
                </c:pt>
              </c:strCache>
            </c:strRef>
          </c:tx>
          <c:spPr>
            <a:solidFill>
              <a:srgbClr val="D4EAF3"/>
            </a:solidFill>
          </c:spPr>
          <c:invertIfNegative val="0"/>
          <c:dLbls>
            <c:dLbl>
              <c:idx val="1"/>
              <c:layout>
                <c:manualLayout>
                  <c:x val="0"/>
                  <c:y val="-7.364880538158234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E-C544-477A-BAC6-90F82AD0407E}"/>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Oct-24</c:v>
              </c:pt>
              <c:pt idx="1">
                <c:v>May-25</c:v>
              </c:pt>
            </c:strLit>
          </c:cat>
          <c:val>
            <c:numRef>
              <c:f>Presentacion!$DP$66:$DQ$66</c:f>
              <c:numCache>
                <c:formatCode>_(* #,##0.00_);_(* \(#,##0.00\);_(* "-"??_);_(@_)</c:formatCode>
                <c:ptCount val="2"/>
                <c:pt idx="0">
                  <c:v>70436.168747780481</c:v>
                </c:pt>
                <c:pt idx="1">
                  <c:v>115243.69567572138</c:v>
                </c:pt>
              </c:numCache>
            </c:numRef>
          </c:val>
          <c:extLst>
            <c:ext xmlns:c16="http://schemas.microsoft.com/office/drawing/2014/chart" uri="{C3380CC4-5D6E-409C-BE32-E72D297353CC}">
              <c16:uniqueId val="{0000000F-C544-477A-BAC6-90F82AD0407E}"/>
            </c:ext>
          </c:extLst>
        </c:ser>
        <c:ser>
          <c:idx val="11"/>
          <c:order val="11"/>
          <c:tx>
            <c:strRef>
              <c:f>Presentacion!$DO$67</c:f>
              <c:strCache>
                <c:ptCount val="1"/>
                <c:pt idx="0">
                  <c:v>RV Proxies</c:v>
                </c:pt>
              </c:strCache>
            </c:strRef>
          </c:tx>
          <c:invertIfNegative val="0"/>
          <c:dLbls>
            <c:delete val="1"/>
          </c:dLbls>
          <c:cat>
            <c:strLit>
              <c:ptCount val="2"/>
              <c:pt idx="0">
                <c:v>Oct-24</c:v>
              </c:pt>
              <c:pt idx="1">
                <c:v>May-25</c:v>
              </c:pt>
            </c:strLit>
          </c:cat>
          <c:val>
            <c:numRef>
              <c:f>Presentacion!$DP$67:$DQ$67</c:f>
              <c:numCache>
                <c:formatCode>_(* #,##0.00_);_(* \(#,##0.00\);_(* "-"??_);_(@_)</c:formatCode>
                <c:ptCount val="2"/>
                <c:pt idx="0">
                  <c:v>2.6029742040577231E-3</c:v>
                </c:pt>
                <c:pt idx="1">
                  <c:v>0.17303609892660451</c:v>
                </c:pt>
              </c:numCache>
            </c:numRef>
          </c:val>
          <c:extLst>
            <c:ext xmlns:c16="http://schemas.microsoft.com/office/drawing/2014/chart" uri="{C3380CC4-5D6E-409C-BE32-E72D297353CC}">
              <c16:uniqueId val="{00000010-C544-477A-BAC6-90F82AD0407E}"/>
            </c:ext>
          </c:extLst>
        </c:ser>
        <c:ser>
          <c:idx val="12"/>
          <c:order val="12"/>
          <c:tx>
            <c:strRef>
              <c:f>Presentacion!$DO$68</c:f>
              <c:strCache>
                <c:ptCount val="1"/>
                <c:pt idx="0">
                  <c:v>Alts</c:v>
                </c:pt>
              </c:strCache>
            </c:strRef>
          </c:tx>
          <c:spPr>
            <a:pattFill prst="wdUpDiag">
              <a:fgClr>
                <a:srgbClr val="516FED"/>
              </a:fgClr>
              <a:bgClr>
                <a:sysClr val="window" lastClr="FFFFFF"/>
              </a:bgClr>
            </a:pattFill>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11-C544-477A-BAC6-90F82AD0407E}"/>
                </c:ext>
              </c:extLst>
            </c:dLbl>
            <c:dLbl>
              <c:idx val="1"/>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2-C544-477A-BAC6-90F82AD0407E}"/>
                </c:ext>
              </c:extLst>
            </c:dLbl>
            <c:spPr>
              <a:noFill/>
              <a:ln>
                <a:noFill/>
              </a:ln>
              <a:effectLst/>
            </c:spPr>
            <c:txPr>
              <a:bodyPr/>
              <a:lstStyle/>
              <a:p>
                <a:pPr>
                  <a:defRPr sz="700">
                    <a:highlight>
                      <a:srgbClr val="D4EAF3"/>
                    </a:highlight>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Lit>
              <c:ptCount val="2"/>
              <c:pt idx="0">
                <c:v>Oct-24</c:v>
              </c:pt>
              <c:pt idx="1">
                <c:v>May-25</c:v>
              </c:pt>
            </c:strLit>
          </c:cat>
          <c:val>
            <c:numRef>
              <c:f>Presentacion!$DP$68:$DQ$68</c:f>
              <c:numCache>
                <c:formatCode>_(* #,##0.00_);_(* \(#,##0.00\);_(* "-"??_);_(@_)</c:formatCode>
                <c:ptCount val="2"/>
                <c:pt idx="0">
                  <c:v>96947.36443926589</c:v>
                </c:pt>
                <c:pt idx="1">
                  <c:v>89987.830757081028</c:v>
                </c:pt>
              </c:numCache>
            </c:numRef>
          </c:val>
          <c:extLst>
            <c:ext xmlns:c16="http://schemas.microsoft.com/office/drawing/2014/chart" uri="{C3380CC4-5D6E-409C-BE32-E72D297353CC}">
              <c16:uniqueId val="{00000013-C544-477A-BAC6-90F82AD0407E}"/>
            </c:ext>
          </c:extLst>
        </c:ser>
        <c:dLbls>
          <c:showLegendKey val="0"/>
          <c:showVal val="1"/>
          <c:showCatName val="0"/>
          <c:showSerName val="0"/>
          <c:showPercent val="0"/>
          <c:showBubbleSize val="0"/>
        </c:dLbls>
        <c:gapWidth val="190"/>
        <c:overlap val="100"/>
        <c:axId val="343178255"/>
        <c:axId val="1296126783"/>
      </c:barChart>
      <c:catAx>
        <c:axId val="343178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000"/>
            </a:pPr>
            <a:endParaRPr lang="es-PE"/>
          </a:p>
        </c:txPr>
        <c:crossAx val="1296126783"/>
        <c:crosses val="autoZero"/>
        <c:auto val="1"/>
        <c:lblAlgn val="ctr"/>
        <c:lblOffset val="100"/>
        <c:tickLblSkip val="1"/>
        <c:noMultiLvlLbl val="0"/>
      </c:catAx>
      <c:valAx>
        <c:axId val="1296126783"/>
        <c:scaling>
          <c:orientation val="minMax"/>
          <c:max val="1100000"/>
        </c:scaling>
        <c:delete val="1"/>
        <c:axPos val="l"/>
        <c:numFmt formatCode="_(* #,##0.00_);_(* \(#,##0.00\);_(* &quot;-&quot;??_);_(@_)" sourceLinked="1"/>
        <c:majorTickMark val="out"/>
        <c:minorTickMark val="none"/>
        <c:tickLblPos val="nextTo"/>
        <c:crossAx val="343178255"/>
        <c:crosses val="autoZero"/>
        <c:crossBetween val="between"/>
      </c:valAx>
    </c:plotArea>
    <c:plotVisOnly val="0"/>
    <c:dispBlanksAs val="zero"/>
    <c:showDLblsOverMax val="0"/>
    <c:extLst>
      <c:ext xmlns:c16r3="http://schemas.microsoft.com/office/drawing/2017/03/chart" uri="{56B9EC1D-385E-4148-901F-78D8002777C0}">
        <c16r3:dataDisplayOptions16>
          <c16r3:dispNaAsBlank val="1"/>
        </c16r3:dataDisplayOptions16>
      </c:ext>
    </c:extLst>
  </c:chart>
  <c:txPr>
    <a:bodyPr/>
    <a:lstStyle/>
    <a:p>
      <a:pPr>
        <a:defRPr sz="6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col"/>
        <c:grouping val="stacked"/>
        <c:varyColors val="0"/>
        <c:ser>
          <c:idx val="0"/>
          <c:order val="0"/>
          <c:tx>
            <c:strRef>
              <c:f>Presentacion!$DO$56</c:f>
              <c:strCache>
                <c:ptCount val="1"/>
                <c:pt idx="0">
                  <c:v>Materials</c:v>
                </c:pt>
              </c:strCache>
            </c:strRef>
          </c:tx>
          <c:spPr>
            <a:solidFill>
              <a:srgbClr val="E3F2ED"/>
            </a:solidFill>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Presentacion!$DT$56:$DU$56</c:f>
              <c:numCache>
                <c:formatCode>_(* #,##0.00_);_(* \(#,##0.00\);_(* "-"??_);_(@_)</c:formatCode>
                <c:ptCount val="2"/>
                <c:pt idx="0" formatCode="_-* #,##0.000_-;\-* #,##0.000_-;_-* &quot;-&quot;??_-;_-@_-">
                  <c:v>10.062476498932281</c:v>
                </c:pt>
                <c:pt idx="1">
                  <c:v>19.451666915257587</c:v>
                </c:pt>
              </c:numCache>
            </c:numRef>
          </c:val>
          <c:extLst>
            <c:ext xmlns:c16="http://schemas.microsoft.com/office/drawing/2014/chart" uri="{C3380CC4-5D6E-409C-BE32-E72D297353CC}">
              <c16:uniqueId val="{00000013-4DA0-4B6C-A404-C41C0D247D73}"/>
            </c:ext>
          </c:extLst>
        </c:ser>
        <c:ser>
          <c:idx val="1"/>
          <c:order val="1"/>
          <c:tx>
            <c:strRef>
              <c:f>Presentacion!$DO$57</c:f>
              <c:strCache>
                <c:ptCount val="1"/>
                <c:pt idx="0">
                  <c:v>Materials</c:v>
                </c:pt>
              </c:strCache>
            </c:strRef>
          </c:tx>
          <c:invertIfNegative val="0"/>
          <c:dLbls>
            <c:delete val="1"/>
          </c:dLbls>
          <c:val>
            <c:numRef>
              <c:f>Presentacion!$DT$57:$DU$57</c:f>
              <c:numCache>
                <c:formatCode>_(* #,##0.00_);_(* \(#,##0.00\);_(* "-"??_);_(@_)</c:formatCode>
                <c:ptCount val="2"/>
                <c:pt idx="0" formatCode="_-* #,##0.000_-;\-* #,##0.000_-;_-* &quot;-&quot;??_-;_-@_-">
                  <c:v>0</c:v>
                </c:pt>
                <c:pt idx="1">
                  <c:v>0</c:v>
                </c:pt>
              </c:numCache>
            </c:numRef>
          </c:val>
          <c:extLst>
            <c:ext xmlns:c16="http://schemas.microsoft.com/office/drawing/2014/chart" uri="{C3380CC4-5D6E-409C-BE32-E72D297353CC}">
              <c16:uniqueId val="{00000015-4DA0-4B6C-A404-C41C0D247D73}"/>
            </c:ext>
          </c:extLst>
        </c:ser>
        <c:ser>
          <c:idx val="2"/>
          <c:order val="2"/>
          <c:tx>
            <c:strRef>
              <c:f>Presentacion!$DO$58</c:f>
              <c:strCache>
                <c:ptCount val="1"/>
                <c:pt idx="0">
                  <c:v>Utilities</c:v>
                </c:pt>
              </c:strCache>
            </c:strRef>
          </c:tx>
          <c:spPr>
            <a:solidFill>
              <a:srgbClr val="C8E5DC"/>
            </a:solidFill>
          </c:spPr>
          <c:invertIfNegative val="0"/>
          <c:dLbls>
            <c:dLbl>
              <c:idx val="1"/>
              <c:layout>
                <c:manualLayout>
                  <c:x val="0"/>
                  <c:y val="-1.559672929714690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7-4DA0-4B6C-A404-C41C0D247D73}"/>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Presentacion!$DT$58:$DU$58</c:f>
              <c:numCache>
                <c:formatCode>_(* #,##0.00_);_(* \(#,##0.00\);_(* "-"??_);_(@_)</c:formatCode>
                <c:ptCount val="2"/>
                <c:pt idx="0" formatCode="_-* #,##0.000_-;\-* #,##0.000_-;_-* &quot;-&quot;??_-;_-@_-">
                  <c:v>8.0617315643032299</c:v>
                </c:pt>
                <c:pt idx="1">
                  <c:v>0.13823890373733341</c:v>
                </c:pt>
              </c:numCache>
            </c:numRef>
          </c:val>
          <c:extLst>
            <c:ext xmlns:c16="http://schemas.microsoft.com/office/drawing/2014/chart" uri="{C3380CC4-5D6E-409C-BE32-E72D297353CC}">
              <c16:uniqueId val="{00000018-4DA0-4B6C-A404-C41C0D247D73}"/>
            </c:ext>
          </c:extLst>
        </c:ser>
        <c:ser>
          <c:idx val="3"/>
          <c:order val="3"/>
          <c:tx>
            <c:strRef>
              <c:f>Presentacion!$DO$59</c:f>
              <c:strCache>
                <c:ptCount val="1"/>
                <c:pt idx="0">
                  <c:v>Utilities</c:v>
                </c:pt>
              </c:strCache>
            </c:strRef>
          </c:tx>
          <c:spPr>
            <a:pattFill prst="wdUpDiag">
              <a:fgClr>
                <a:srgbClr val="C8E5DC"/>
              </a:fgClr>
              <a:bgClr>
                <a:sysClr val="window" lastClr="FFFFFF"/>
              </a:bgClr>
            </a:pattFill>
            <a:ln>
              <a:noFill/>
            </a:ln>
          </c:spPr>
          <c:invertIfNegative val="0"/>
          <c:dLbls>
            <c:delete val="1"/>
          </c:dLbls>
          <c:val>
            <c:numRef>
              <c:f>Presentacion!$DT$59:$DU$59</c:f>
              <c:numCache>
                <c:formatCode>_(* #,##0.00_);_(* \(#,##0.00\);_(* "-"??_);_(@_)</c:formatCode>
                <c:ptCount val="2"/>
                <c:pt idx="0" formatCode="_-* #,##0.000_-;\-* #,##0.000_-;_-* &quot;-&quot;??_-;_-@_-">
                  <c:v>1.6803169669645062</c:v>
                </c:pt>
                <c:pt idx="1">
                  <c:v>4.8923727821960865</c:v>
                </c:pt>
              </c:numCache>
            </c:numRef>
          </c:val>
          <c:extLst>
            <c:ext xmlns:c16="http://schemas.microsoft.com/office/drawing/2014/chart" uri="{C3380CC4-5D6E-409C-BE32-E72D297353CC}">
              <c16:uniqueId val="{0000001A-4DA0-4B6C-A404-C41C0D247D73}"/>
            </c:ext>
          </c:extLst>
        </c:ser>
        <c:ser>
          <c:idx val="4"/>
          <c:order val="4"/>
          <c:tx>
            <c:strRef>
              <c:f>Presentacion!$DO$60</c:f>
              <c:strCache>
                <c:ptCount val="1"/>
                <c:pt idx="0">
                  <c:v>Otros</c:v>
                </c:pt>
              </c:strCache>
            </c:strRef>
          </c:tx>
          <c:spPr>
            <a:solidFill>
              <a:srgbClr val="ACD7CA"/>
            </a:solidFill>
          </c:spPr>
          <c:invertIfNegative val="0"/>
          <c:dLbls>
            <c:dLbl>
              <c:idx val="1"/>
              <c:layout>
                <c:manualLayout>
                  <c:x val="-9.6674407761945537E-17"/>
                  <c:y val="-1.559672929714690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C-4DA0-4B6C-A404-C41C0D247D73}"/>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Presentacion!$DT$60:$DU$60</c:f>
              <c:numCache>
                <c:formatCode>_(* #,##0.00_);_(* \(#,##0.00\);_(* "-"??_);_(@_)</c:formatCode>
                <c:ptCount val="2"/>
                <c:pt idx="0" formatCode="_-* #,##0.000_-;\-* #,##0.000_-;_-* &quot;-&quot;??_-;_-@_-">
                  <c:v>22.767372931302024</c:v>
                </c:pt>
                <c:pt idx="1">
                  <c:v>19.551021771858892</c:v>
                </c:pt>
              </c:numCache>
            </c:numRef>
          </c:val>
          <c:extLst>
            <c:ext xmlns:c16="http://schemas.microsoft.com/office/drawing/2014/chart" uri="{C3380CC4-5D6E-409C-BE32-E72D297353CC}">
              <c16:uniqueId val="{0000001D-4DA0-4B6C-A404-C41C0D247D73}"/>
            </c:ext>
          </c:extLst>
        </c:ser>
        <c:ser>
          <c:idx val="5"/>
          <c:order val="5"/>
          <c:tx>
            <c:strRef>
              <c:f>Presentacion!$DO$61</c:f>
              <c:strCache>
                <c:ptCount val="1"/>
                <c:pt idx="0">
                  <c:v>Otros</c:v>
                </c:pt>
              </c:strCache>
            </c:strRef>
          </c:tx>
          <c:spPr>
            <a:pattFill prst="wdUpDiag">
              <a:fgClr>
                <a:srgbClr val="ACD7CA"/>
              </a:fgClr>
              <a:bgClr>
                <a:sysClr val="window" lastClr="FFFFFF"/>
              </a:bgClr>
            </a:pattFill>
            <a:ln>
              <a:noFill/>
            </a:ln>
          </c:spPr>
          <c:invertIfNegative val="0"/>
          <c:dLbls>
            <c:delete val="1"/>
          </c:dLbls>
          <c:val>
            <c:numRef>
              <c:f>Presentacion!$DT$61:$DU$61</c:f>
              <c:numCache>
                <c:formatCode>_(* #,##0.00_);_(* \(#,##0.00\);_(* "-"??_);_(@_)</c:formatCode>
                <c:ptCount val="2"/>
                <c:pt idx="0" formatCode="_-* #,##0.000_-;\-* #,##0.000_-;_-* &quot;-&quot;??_-;_-@_-">
                  <c:v>3.2520107827340254</c:v>
                </c:pt>
                <c:pt idx="1">
                  <c:v>2.7311760922794637</c:v>
                </c:pt>
              </c:numCache>
            </c:numRef>
          </c:val>
          <c:extLst>
            <c:ext xmlns:c16="http://schemas.microsoft.com/office/drawing/2014/chart" uri="{C3380CC4-5D6E-409C-BE32-E72D297353CC}">
              <c16:uniqueId val="{0000001F-4DA0-4B6C-A404-C41C0D247D73}"/>
            </c:ext>
          </c:extLst>
        </c:ser>
        <c:ser>
          <c:idx val="6"/>
          <c:order val="6"/>
          <c:tx>
            <c:strRef>
              <c:f>Presentacion!$DO$62</c:f>
              <c:strCache>
                <c:ptCount val="1"/>
                <c:pt idx="0">
                  <c:v>RF</c:v>
                </c:pt>
              </c:strCache>
            </c:strRef>
          </c:tx>
          <c:spPr>
            <a:solidFill>
              <a:srgbClr val="B7EEFF"/>
            </a:solidFill>
          </c:spPr>
          <c:invertIfNegative val="0"/>
          <c:dLbls>
            <c:dLbl>
              <c:idx val="1"/>
              <c:layout>
                <c:manualLayout>
                  <c:x val="-9.6674407761945537E-17"/>
                  <c:y val="7.5086986778009068E-3"/>
                </c:manualLayout>
              </c:layout>
              <c:spPr>
                <a:noFill/>
                <a:ln>
                  <a:noFill/>
                </a:ln>
                <a:effectLst/>
              </c:spPr>
              <c:txPr>
                <a:bodyPr/>
                <a:lstStyle/>
                <a:p>
                  <a:pPr>
                    <a:defRPr sz="700"/>
                  </a:pPr>
                  <a:endParaRPr lang="es-PE"/>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1-4DA0-4B6C-A404-C41C0D247D73}"/>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Presentacion!$DT$62:$DU$62</c:f>
              <c:numCache>
                <c:formatCode>_(* #,##0.00_);_(* \(#,##0.00\);_(* "-"??_);_(@_)</c:formatCode>
                <c:ptCount val="2"/>
                <c:pt idx="0" formatCode="_-* #,##0.000_-;\-* #,##0.000_-;_-* &quot;-&quot;??_-;_-@_-">
                  <c:v>4.3710745892349445</c:v>
                </c:pt>
                <c:pt idx="1">
                  <c:v>4.9054497530160592</c:v>
                </c:pt>
              </c:numCache>
            </c:numRef>
          </c:val>
          <c:extLst>
            <c:ext xmlns:c16="http://schemas.microsoft.com/office/drawing/2014/chart" uri="{C3380CC4-5D6E-409C-BE32-E72D297353CC}">
              <c16:uniqueId val="{00000022-4DA0-4B6C-A404-C41C0D247D73}"/>
            </c:ext>
          </c:extLst>
        </c:ser>
        <c:ser>
          <c:idx val="7"/>
          <c:order val="7"/>
          <c:tx>
            <c:strRef>
              <c:f>Presentacion!$DO$63</c:f>
              <c:strCache>
                <c:ptCount val="1"/>
                <c:pt idx="0">
                  <c:v>RF Proxies</c:v>
                </c:pt>
              </c:strCache>
            </c:strRef>
          </c:tx>
          <c:spPr>
            <a:pattFill prst="wdUpDiag">
              <a:fgClr>
                <a:srgbClr val="B7EEFF"/>
              </a:fgClr>
              <a:bgClr>
                <a:sysClr val="window" lastClr="FFFFFF"/>
              </a:bgClr>
            </a:pattFill>
            <a:ln>
              <a:noFill/>
            </a:ln>
          </c:spPr>
          <c:invertIfNegative val="0"/>
          <c:dLbls>
            <c:delete val="1"/>
          </c:dLbls>
          <c:val>
            <c:numRef>
              <c:f>Presentacion!$DT$63:$DU$63</c:f>
              <c:numCache>
                <c:formatCode>_(* #,##0.00_);_(* \(#,##0.00\);_(* "-"??_);_(@_)</c:formatCode>
                <c:ptCount val="2"/>
                <c:pt idx="0" formatCode="_-* #,##0.000_-;\-* #,##0.000_-;_-* &quot;-&quot;??_-;_-@_-">
                  <c:v>3.5278695426152442</c:v>
                </c:pt>
                <c:pt idx="1">
                  <c:v>2.014694722940805</c:v>
                </c:pt>
              </c:numCache>
            </c:numRef>
          </c:val>
          <c:extLst>
            <c:ext xmlns:c16="http://schemas.microsoft.com/office/drawing/2014/chart" uri="{C3380CC4-5D6E-409C-BE32-E72D297353CC}">
              <c16:uniqueId val="{00000024-4DA0-4B6C-A404-C41C0D247D73}"/>
            </c:ext>
          </c:extLst>
        </c:ser>
        <c:ser>
          <c:idx val="8"/>
          <c:order val="8"/>
          <c:tx>
            <c:strRef>
              <c:f>Presentacion!$DO$64</c:f>
              <c:strCache>
                <c:ptCount val="1"/>
                <c:pt idx="0">
                  <c:v>ETF Sobs</c:v>
                </c:pt>
              </c:strCache>
            </c:strRef>
          </c:tx>
          <c:spPr>
            <a:solidFill>
              <a:srgbClr val="AFC3E6"/>
            </a:solidFill>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Presentacion!$DT$64:$DU$64</c:f>
              <c:numCache>
                <c:formatCode>_(* #,##0.00_);_(* \(#,##0.00\);_(* "-"??_);_(@_)</c:formatCode>
                <c:ptCount val="2"/>
              </c:numCache>
            </c:numRef>
          </c:val>
          <c:extLst>
            <c:ext xmlns:c16="http://schemas.microsoft.com/office/drawing/2014/chart" uri="{C3380CC4-5D6E-409C-BE32-E72D297353CC}">
              <c16:uniqueId val="{00000026-4DA0-4B6C-A404-C41C0D247D73}"/>
            </c:ext>
          </c:extLst>
        </c:ser>
        <c:ser>
          <c:idx val="9"/>
          <c:order val="9"/>
          <c:tx>
            <c:strRef>
              <c:f>Presentacion!$DO$65</c:f>
              <c:strCache>
                <c:ptCount val="1"/>
                <c:pt idx="0">
                  <c:v>ETF Sobs Proxies</c:v>
                </c:pt>
              </c:strCache>
            </c:strRef>
          </c:tx>
          <c:invertIfNegative val="0"/>
          <c:dLbls>
            <c:delete val="1"/>
          </c:dLbls>
          <c:val>
            <c:numRef>
              <c:f>Presentacion!$DT$65:$DU$65</c:f>
              <c:numCache>
                <c:formatCode>_(* #,##0.00_);_(* \(#,##0.00\);_(* "-"??_);_(@_)</c:formatCode>
                <c:ptCount val="2"/>
                <c:pt idx="0" formatCode="_-* #,##0.000_-;\-* #,##0.000_-;_-* &quot;-&quot;??_-;_-@_-">
                  <c:v>0</c:v>
                </c:pt>
                <c:pt idx="1">
                  <c:v>0</c:v>
                </c:pt>
              </c:numCache>
            </c:numRef>
          </c:val>
          <c:extLst>
            <c:ext xmlns:c16="http://schemas.microsoft.com/office/drawing/2014/chart" uri="{C3380CC4-5D6E-409C-BE32-E72D297353CC}">
              <c16:uniqueId val="{00000028-4DA0-4B6C-A404-C41C0D247D73}"/>
            </c:ext>
          </c:extLst>
        </c:ser>
        <c:ser>
          <c:idx val="10"/>
          <c:order val="10"/>
          <c:tx>
            <c:strRef>
              <c:f>Presentacion!$DO$66</c:f>
              <c:strCache>
                <c:ptCount val="1"/>
                <c:pt idx="0">
                  <c:v>RV</c:v>
                </c:pt>
              </c:strCache>
            </c:strRef>
          </c:tx>
          <c:spPr>
            <a:solidFill>
              <a:srgbClr val="D4EAF3"/>
            </a:solidFill>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Presentacion!$DT$66:$DU$66</c:f>
              <c:numCache>
                <c:formatCode>_(* #,##0.00_);_(* \(#,##0.00\);_(* "-"??_);_(@_)</c:formatCode>
                <c:ptCount val="2"/>
                <c:pt idx="0" formatCode="_-* #,##0.000_-;\-* #,##0.000_-;_-* &quot;-&quot;??_-;_-@_-">
                  <c:v>6.8924017310817058</c:v>
                </c:pt>
                <c:pt idx="1">
                  <c:v>10.683640858295023</c:v>
                </c:pt>
              </c:numCache>
            </c:numRef>
          </c:val>
          <c:extLst>
            <c:ext xmlns:c16="http://schemas.microsoft.com/office/drawing/2014/chart" uri="{C3380CC4-5D6E-409C-BE32-E72D297353CC}">
              <c16:uniqueId val="{0000002A-4DA0-4B6C-A404-C41C0D247D73}"/>
            </c:ext>
          </c:extLst>
        </c:ser>
        <c:ser>
          <c:idx val="11"/>
          <c:order val="11"/>
          <c:tx>
            <c:strRef>
              <c:f>Presentacion!$DO$67</c:f>
              <c:strCache>
                <c:ptCount val="1"/>
                <c:pt idx="0">
                  <c:v>RV Proxies</c:v>
                </c:pt>
              </c:strCache>
            </c:strRef>
          </c:tx>
          <c:invertIfNegative val="0"/>
          <c:dLbls>
            <c:delete val="1"/>
          </c:dLbls>
          <c:val>
            <c:numRef>
              <c:f>Presentacion!$DT$67:$DU$67</c:f>
              <c:numCache>
                <c:formatCode>_(* #,##0.00_);_(* \(#,##0.00\);_(* "-"??_);_(@_)</c:formatCode>
                <c:ptCount val="2"/>
                <c:pt idx="0" formatCode="_-* #,##0.000_-;\-* #,##0.000_-;_-* &quot;-&quot;??_-;_-@_-">
                  <c:v>2.5470925277397077E-7</c:v>
                </c:pt>
                <c:pt idx="1">
                  <c:v>1.6041272588602983E-5</c:v>
                </c:pt>
              </c:numCache>
            </c:numRef>
          </c:val>
          <c:extLst>
            <c:ext xmlns:c16="http://schemas.microsoft.com/office/drawing/2014/chart" uri="{C3380CC4-5D6E-409C-BE32-E72D297353CC}">
              <c16:uniqueId val="{0000002C-4DA0-4B6C-A404-C41C0D247D73}"/>
            </c:ext>
          </c:extLst>
        </c:ser>
        <c:ser>
          <c:idx val="12"/>
          <c:order val="12"/>
          <c:tx>
            <c:strRef>
              <c:f>Presentacion!$DO$68</c:f>
              <c:strCache>
                <c:ptCount val="1"/>
                <c:pt idx="0">
                  <c:v>Alts</c:v>
                </c:pt>
              </c:strCache>
            </c:strRef>
          </c:tx>
          <c:spPr>
            <a:pattFill prst="wdUpDiag">
              <a:fgClr>
                <a:srgbClr val="516FED"/>
              </a:fgClr>
              <a:bgClr>
                <a:sysClr val="window" lastClr="FFFFFF"/>
              </a:bgClr>
            </a:pattFill>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2E-4DA0-4B6C-A404-C41C0D247D73}"/>
                </c:ext>
              </c:extLst>
            </c:dLbl>
            <c:dLbl>
              <c:idx val="1"/>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F-4DA0-4B6C-A404-C41C0D247D73}"/>
                </c:ext>
              </c:extLst>
            </c:dLbl>
            <c:spPr>
              <a:noFill/>
              <a:ln>
                <a:noFill/>
              </a:ln>
              <a:effectLst/>
            </c:spPr>
            <c:txPr>
              <a:bodyPr/>
              <a:lstStyle/>
              <a:p>
                <a:pPr>
                  <a:defRPr sz="700">
                    <a:highlight>
                      <a:srgbClr val="D4EAF3"/>
                    </a:highlight>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Presentacion!$DT$68:$DU$68</c:f>
              <c:numCache>
                <c:formatCode>_(* #,##0.00_);_(* \(#,##0.00\);_(* "-"??_);_(@_)</c:formatCode>
                <c:ptCount val="2"/>
                <c:pt idx="0" formatCode="_-* #,##0.000_-;\-* #,##0.000_-;_-* &quot;-&quot;??_-;_-@_-">
                  <c:v>9.4866060202353335</c:v>
                </c:pt>
                <c:pt idx="1">
                  <c:v>8.3423015878536066</c:v>
                </c:pt>
              </c:numCache>
            </c:numRef>
          </c:val>
          <c:extLst>
            <c:ext xmlns:c16="http://schemas.microsoft.com/office/drawing/2014/chart" uri="{C3380CC4-5D6E-409C-BE32-E72D297353CC}">
              <c16:uniqueId val="{00000030-4DA0-4B6C-A404-C41C0D247D73}"/>
            </c:ext>
          </c:extLst>
        </c:ser>
        <c:dLbls>
          <c:showLegendKey val="0"/>
          <c:showVal val="1"/>
          <c:showCatName val="0"/>
          <c:showSerName val="0"/>
          <c:showPercent val="0"/>
          <c:showBubbleSize val="0"/>
        </c:dLbls>
        <c:gapWidth val="190"/>
        <c:overlap val="100"/>
        <c:axId val="343178255"/>
        <c:axId val="1296126783"/>
      </c:barChart>
      <c:catAx>
        <c:axId val="343178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000"/>
            </a:pPr>
            <a:endParaRPr lang="es-PE"/>
          </a:p>
        </c:txPr>
        <c:crossAx val="1296126783"/>
        <c:crosses val="autoZero"/>
        <c:auto val="1"/>
        <c:lblAlgn val="ctr"/>
        <c:lblOffset val="100"/>
        <c:tickLblSkip val="1"/>
        <c:noMultiLvlLbl val="0"/>
      </c:catAx>
      <c:valAx>
        <c:axId val="1296126783"/>
        <c:scaling>
          <c:orientation val="minMax"/>
        </c:scaling>
        <c:delete val="1"/>
        <c:axPos val="l"/>
        <c:numFmt formatCode="_-* #,##0.000_-;\-* #,##0.000_-;_-* &quot;-&quot;??_-;_-@_-" sourceLinked="1"/>
        <c:majorTickMark val="none"/>
        <c:minorTickMark val="none"/>
        <c:tickLblPos val="nextTo"/>
        <c:crossAx val="343178255"/>
        <c:crosses val="autoZero"/>
        <c:crossBetween val="between"/>
      </c:valAx>
    </c:plotArea>
    <c:plotVisOnly val="0"/>
    <c:dispBlanksAs val="zero"/>
    <c:showDLblsOverMax val="0"/>
    <c:extLst/>
  </c:chart>
  <c:txPr>
    <a:bodyPr/>
    <a:lstStyle/>
    <a:p>
      <a:pPr>
        <a:defRPr sz="6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5.2723845179844166E-2"/>
          <c:y val="9.5461055715910084E-2"/>
          <c:w val="0.89455230964031163"/>
          <c:h val="0.70855541524534238"/>
        </c:manualLayout>
      </c:layout>
      <c:barChart>
        <c:barDir val="col"/>
        <c:grouping val="stacked"/>
        <c:varyColors val="0"/>
        <c:ser>
          <c:idx val="0"/>
          <c:order val="0"/>
          <c:tx>
            <c:strRef>
              <c:f>Presentacion!$AF$97</c:f>
              <c:strCache>
                <c:ptCount val="1"/>
                <c:pt idx="0">
                  <c:v>Perú</c:v>
                </c:pt>
              </c:strCache>
            </c:strRef>
          </c:tx>
          <c:spPr>
            <a:solidFill>
              <a:schemeClr val="accent1"/>
            </a:solidFill>
            <a:ln>
              <a:noFill/>
            </a:ln>
            <a:effectLst/>
          </c:spPr>
          <c:invertIfNegative val="0"/>
          <c:dLbls>
            <c:spPr>
              <a:noFill/>
              <a:ln>
                <a:noFill/>
              </a:ln>
              <a:effectLst/>
            </c:spPr>
            <c:txPr>
              <a:bodyPr anchorCtr="0"/>
              <a:lstStyle/>
              <a:p>
                <a:pPr algn="ctr">
                  <a:defRPr lang="en-US" sz="700" b="0" i="0" u="none" strike="noStrike" kern="1200" baseline="0">
                    <a:solidFill>
                      <a:srgbClr val="002060"/>
                    </a:solidFill>
                    <a:latin typeface="Trebuchet MS" panose="020B0603020202020204" pitchFamily="34" charset="0"/>
                    <a:ea typeface="+mn-ea"/>
                    <a:cs typeface="+mn-cs"/>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Presentacion!$AG$97</c:f>
              <c:numCache>
                <c:formatCode>_(* #,##0.00_);_(* \(#,##0.00\);_(* "-"??_);_(@_)</c:formatCode>
                <c:ptCount val="1"/>
                <c:pt idx="0">
                  <c:v>501921.64739597251</c:v>
                </c:pt>
              </c:numCache>
            </c:numRef>
          </c:val>
          <c:extLst>
            <c:ext xmlns:c16="http://schemas.microsoft.com/office/drawing/2014/chart" uri="{C3380CC4-5D6E-409C-BE32-E72D297353CC}">
              <c16:uniqueId val="{00000000-E3AA-4351-8E02-E6260CC2E125}"/>
            </c:ext>
          </c:extLst>
        </c:ser>
        <c:ser>
          <c:idx val="1"/>
          <c:order val="1"/>
          <c:tx>
            <c:strRef>
              <c:f>Presentacion!$AF$98</c:f>
              <c:strCache>
                <c:ptCount val="1"/>
                <c:pt idx="0">
                  <c:v>Brasil</c:v>
                </c:pt>
              </c:strCache>
            </c:strRef>
          </c:tx>
          <c:spPr>
            <a:solidFill>
              <a:srgbClr val="00AECB"/>
            </a:solidFill>
            <a:ln>
              <a:noFill/>
            </a:ln>
            <a:effectLst/>
          </c:spPr>
          <c:invertIfNegative val="0"/>
          <c:dLbls>
            <c:dLbl>
              <c:idx val="0"/>
              <c:layout>
                <c:manualLayout>
                  <c:x val="4.7930768345312881E-3"/>
                  <c:y val="8.678277792355382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E3AA-4351-8E02-E6260CC2E125}"/>
                </c:ext>
              </c:extLst>
            </c:dLbl>
            <c:spPr>
              <a:noFill/>
              <a:ln>
                <a:noFill/>
              </a:ln>
              <a:effectLst/>
            </c:spPr>
            <c:txPr>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Presentacion!$AD$79</c:f>
              <c:numCache>
                <c:formatCode>mmm\-yy</c:formatCode>
                <c:ptCount val="1"/>
                <c:pt idx="0">
                  <c:v>45992</c:v>
                </c:pt>
              </c:numCache>
            </c:numRef>
          </c:cat>
          <c:val>
            <c:numRef>
              <c:f>Presentacion!$AG$98</c:f>
              <c:numCache>
                <c:formatCode>_(* #,##0.00_);_(* \(#,##0.00\);_(* "-"??_);_(@_)</c:formatCode>
                <c:ptCount val="1"/>
                <c:pt idx="0">
                  <c:v>44492.744115973248</c:v>
                </c:pt>
              </c:numCache>
            </c:numRef>
          </c:val>
          <c:extLst>
            <c:ext xmlns:c16="http://schemas.microsoft.com/office/drawing/2014/chart" uri="{C3380CC4-5D6E-409C-BE32-E72D297353CC}">
              <c16:uniqueId val="{00000002-E3AA-4351-8E02-E6260CC2E125}"/>
            </c:ext>
          </c:extLst>
        </c:ser>
        <c:ser>
          <c:idx val="2"/>
          <c:order val="2"/>
          <c:tx>
            <c:strRef>
              <c:f>Presentacion!$AF$99</c:f>
              <c:strCache>
                <c:ptCount val="1"/>
                <c:pt idx="0">
                  <c:v>México</c:v>
                </c:pt>
              </c:strCache>
            </c:strRef>
          </c:tx>
          <c:spPr>
            <a:solidFill>
              <a:srgbClr val="00C9EA"/>
            </a:solidFill>
            <a:ln>
              <a:noFill/>
            </a:ln>
            <a:effectLst/>
          </c:spPr>
          <c:invertIfNegative val="0"/>
          <c:dLbls>
            <c:dLbl>
              <c:idx val="0"/>
              <c:layout>
                <c:manualLayout>
                  <c:x val="9.5861536690625328E-3"/>
                  <c:y val="3.4166448001399457E-7"/>
                </c:manualLayout>
              </c:layout>
              <c:dLblPos val="ctr"/>
              <c:showLegendKey val="0"/>
              <c:showVal val="0"/>
              <c:showCatName val="0"/>
              <c:showSerName val="1"/>
              <c:showPercent val="0"/>
              <c:showBubbleSize val="0"/>
              <c:extLst>
                <c:ext xmlns:c15="http://schemas.microsoft.com/office/drawing/2012/chart" uri="{CE6537A1-D6FC-4f65-9D91-7224C49458BB}">
                  <c15:layout>
                    <c:manualLayout>
                      <c:w val="0.23740109561433473"/>
                      <c:h val="0.12340511020729465"/>
                    </c:manualLayout>
                  </c15:layout>
                </c:ext>
                <c:ext xmlns:c16="http://schemas.microsoft.com/office/drawing/2014/chart" uri="{C3380CC4-5D6E-409C-BE32-E72D297353CC}">
                  <c16:uniqueId val="{00000003-E3AA-4351-8E02-E6260CC2E125}"/>
                </c:ext>
              </c:extLst>
            </c:dLbl>
            <c:spPr>
              <a:noFill/>
              <a:ln>
                <a:noFill/>
              </a:ln>
              <a:effectLst/>
            </c:spPr>
            <c:txPr>
              <a:bodyPr anchorCtr="0"/>
              <a:lstStyle/>
              <a:p>
                <a:pPr algn="ctr">
                  <a:defRPr lang="en-US" sz="700" b="0" i="0" u="none" strike="noStrike" kern="1200" baseline="0">
                    <a:solidFill>
                      <a:srgbClr val="002060"/>
                    </a:solidFill>
                    <a:latin typeface="Trebuchet MS" panose="020B0603020202020204" pitchFamily="34" charset="0"/>
                    <a:ea typeface="+mn-ea"/>
                    <a:cs typeface="+mn-cs"/>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Presentacion!$AG$99</c:f>
              <c:numCache>
                <c:formatCode>_(* #,##0.00_);_(* \(#,##0.00\);_(* "-"??_);_(@_)</c:formatCode>
                <c:ptCount val="1"/>
                <c:pt idx="0">
                  <c:v>13119.422873777647</c:v>
                </c:pt>
              </c:numCache>
            </c:numRef>
          </c:val>
          <c:extLst>
            <c:ext xmlns:c16="http://schemas.microsoft.com/office/drawing/2014/chart" uri="{C3380CC4-5D6E-409C-BE32-E72D297353CC}">
              <c16:uniqueId val="{00000004-E3AA-4351-8E02-E6260CC2E125}"/>
            </c:ext>
          </c:extLst>
        </c:ser>
        <c:ser>
          <c:idx val="3"/>
          <c:order val="3"/>
          <c:tx>
            <c:strRef>
              <c:f>Presentacion!$AF$100</c:f>
              <c:strCache>
                <c:ptCount val="1"/>
                <c:pt idx="0">
                  <c:v>Chile</c:v>
                </c:pt>
              </c:strCache>
            </c:strRef>
          </c:tx>
          <c:spPr>
            <a:solidFill>
              <a:srgbClr val="61E8FF"/>
            </a:solidFill>
            <a:ln>
              <a:noFill/>
            </a:ln>
            <a:effectLst/>
          </c:spPr>
          <c:invertIfNegative val="0"/>
          <c:dLbls>
            <c:dLbl>
              <c:idx val="0"/>
              <c:layout>
                <c:manualLayout>
                  <c:x val="9.5861536690625762E-3"/>
                  <c:y val="-8.6782777923555023E-3"/>
                </c:manualLayout>
              </c:layout>
              <c:dLblPos val="ctr"/>
              <c:showLegendKey val="0"/>
              <c:showVal val="0"/>
              <c:showCatName val="0"/>
              <c:showSerName val="1"/>
              <c:showPercent val="0"/>
              <c:showBubbleSize val="0"/>
              <c:extLst>
                <c:ext xmlns:c15="http://schemas.microsoft.com/office/drawing/2012/chart" uri="{CE6537A1-D6FC-4f65-9D91-7224C49458BB}">
                  <c15:layout>
                    <c:manualLayout>
                      <c:w val="0.30543900998431872"/>
                      <c:h val="0.12678963854631331"/>
                    </c:manualLayout>
                  </c15:layout>
                </c:ext>
                <c:ext xmlns:c16="http://schemas.microsoft.com/office/drawing/2014/chart" uri="{C3380CC4-5D6E-409C-BE32-E72D297353CC}">
                  <c16:uniqueId val="{00000005-E3AA-4351-8E02-E6260CC2E125}"/>
                </c:ext>
              </c:extLst>
            </c:dLbl>
            <c:spPr>
              <a:noFill/>
              <a:ln>
                <a:noFill/>
              </a:ln>
              <a:effectLst/>
            </c:spPr>
            <c:txPr>
              <a:bodyPr anchorCtr="0"/>
              <a:lstStyle/>
              <a:p>
                <a:pPr algn="ctr">
                  <a:defRPr lang="en-US" sz="700" b="0" i="0" u="none" strike="noStrike" kern="1200" baseline="0">
                    <a:solidFill>
                      <a:srgbClr val="002060"/>
                    </a:solidFill>
                    <a:latin typeface="Trebuchet MS" panose="020B0603020202020204" pitchFamily="34" charset="0"/>
                    <a:ea typeface="+mn-ea"/>
                    <a:cs typeface="+mn-cs"/>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Presentacion!$AD$79</c:f>
              <c:numCache>
                <c:formatCode>mmm\-yy</c:formatCode>
                <c:ptCount val="1"/>
                <c:pt idx="0">
                  <c:v>45992</c:v>
                </c:pt>
              </c:numCache>
            </c:numRef>
          </c:cat>
          <c:val>
            <c:numRef>
              <c:f>Presentacion!$AG$100</c:f>
              <c:numCache>
                <c:formatCode>_(* #,##0.00_);_(* \(#,##0.00\);_(* "-"??_);_(@_)</c:formatCode>
                <c:ptCount val="1"/>
                <c:pt idx="0">
                  <c:v>11290.34338358511</c:v>
                </c:pt>
              </c:numCache>
            </c:numRef>
          </c:val>
          <c:extLst>
            <c:ext xmlns:c16="http://schemas.microsoft.com/office/drawing/2014/chart" uri="{C3380CC4-5D6E-409C-BE32-E72D297353CC}">
              <c16:uniqueId val="{00000006-E3AA-4351-8E02-E6260CC2E125}"/>
            </c:ext>
          </c:extLst>
        </c:ser>
        <c:ser>
          <c:idx val="4"/>
          <c:order val="4"/>
          <c:tx>
            <c:strRef>
              <c:f>Presentacion!$AF$101</c:f>
              <c:strCache>
                <c:ptCount val="1"/>
                <c:pt idx="0">
                  <c:v>Otros</c:v>
                </c:pt>
              </c:strCache>
            </c:strRef>
          </c:tx>
          <c:spPr>
            <a:solidFill>
              <a:srgbClr val="C5F7FF"/>
            </a:solidFill>
            <a:ln>
              <a:noFill/>
            </a:ln>
            <a:effectLst/>
          </c:spPr>
          <c:invertIfNegative val="0"/>
          <c:dLbls>
            <c:dLbl>
              <c:idx val="0"/>
              <c:layout>
                <c:manualLayout>
                  <c:x val="0"/>
                  <c:y val="-2.6034833377066385E-2"/>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E3AA-4351-8E02-E6260CC2E125}"/>
                </c:ext>
              </c:extLst>
            </c:dLbl>
            <c:spPr>
              <a:noFill/>
              <a:ln>
                <a:noFill/>
              </a:ln>
              <a:effectLst/>
            </c:spPr>
            <c:txPr>
              <a:bodyPr wrap="square" lIns="38100" tIns="19050" rIns="38100" bIns="19050" anchor="ctr">
                <a:spAutoFit/>
              </a:bodyPr>
              <a:lstStyle/>
              <a:p>
                <a:pPr>
                  <a:defRPr sz="6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Presentacion!$AD$79</c:f>
              <c:numCache>
                <c:formatCode>mmm\-yy</c:formatCode>
                <c:ptCount val="1"/>
                <c:pt idx="0">
                  <c:v>45992</c:v>
                </c:pt>
              </c:numCache>
            </c:numRef>
          </c:cat>
          <c:val>
            <c:numRef>
              <c:f>Presentacion!$AG$101</c:f>
              <c:numCache>
                <c:formatCode>_(* #,##0.00_);_(* \(#,##0.00\);_(* "-"??_);_(@_)</c:formatCode>
                <c:ptCount val="1"/>
                <c:pt idx="0">
                  <c:v>30613.845746084349</c:v>
                </c:pt>
              </c:numCache>
            </c:numRef>
          </c:val>
          <c:extLst>
            <c:ext xmlns:c16="http://schemas.microsoft.com/office/drawing/2014/chart" uri="{C3380CC4-5D6E-409C-BE32-E72D297353CC}">
              <c16:uniqueId val="{00000008-E3AA-4351-8E02-E6260CC2E125}"/>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s-PE"/>
          </a:p>
        </c:txPr>
        <c:crossAx val="11312079"/>
        <c:crosses val="autoZero"/>
        <c:auto val="1"/>
        <c:lblOffset val="100"/>
        <c:baseTimeUnit val="days"/>
      </c:dateAx>
      <c:valAx>
        <c:axId val="11312079"/>
        <c:scaling>
          <c:orientation val="minMax"/>
          <c:max val="450000"/>
          <c:min val="0"/>
        </c:scaling>
        <c:delete val="1"/>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sz="9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Presentacion!$AK$70</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45809</c:v>
                </c:pt>
              </c:numCache>
            </c:numRef>
          </c:cat>
          <c:val>
            <c:numRef>
              <c:f>Presentacion!$AL$70</c:f>
              <c:numCache>
                <c:formatCode>_(* #,##0.00_);_(* \(#,##0.00\);_(* "-"??_);_(@_)</c:formatCode>
                <c:ptCount val="1"/>
                <c:pt idx="0">
                  <c:v>35.07547754689039</c:v>
                </c:pt>
              </c:numCache>
            </c:numRef>
          </c:val>
          <c:extLst>
            <c:ext xmlns:c16="http://schemas.microsoft.com/office/drawing/2014/chart" uri="{C3380CC4-5D6E-409C-BE32-E72D297353CC}">
              <c16:uniqueId val="{00000000-1311-4859-8C54-22D797EABCD8}"/>
            </c:ext>
          </c:extLst>
        </c:ser>
        <c:ser>
          <c:idx val="1"/>
          <c:order val="1"/>
          <c:tx>
            <c:strRef>
              <c:f>Presentacion!$AK$71</c:f>
              <c:strCache>
                <c:ptCount val="1"/>
                <c:pt idx="0">
                  <c:v>EEUU</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1311-4859-8C54-22D797EABCD8}"/>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45809</c:v>
                </c:pt>
              </c:numCache>
            </c:numRef>
          </c:cat>
          <c:val>
            <c:numRef>
              <c:f>Presentacion!$AL$71</c:f>
              <c:numCache>
                <c:formatCode>_(* #,##0.00_);_(* \(#,##0.00\);_(* "-"??_);_(@_)</c:formatCode>
                <c:ptCount val="1"/>
                <c:pt idx="0">
                  <c:v>3.4986444611330612</c:v>
                </c:pt>
              </c:numCache>
            </c:numRef>
          </c:val>
          <c:extLst>
            <c:ext xmlns:c16="http://schemas.microsoft.com/office/drawing/2014/chart" uri="{C3380CC4-5D6E-409C-BE32-E72D297353CC}">
              <c16:uniqueId val="{00000002-1311-4859-8C54-22D797EABCD8}"/>
            </c:ext>
          </c:extLst>
        </c:ser>
        <c:ser>
          <c:idx val="2"/>
          <c:order val="2"/>
          <c:tx>
            <c:strRef>
              <c:f>Presentacion!$AK$72</c:f>
              <c:strCache>
                <c:ptCount val="1"/>
                <c:pt idx="0">
                  <c:v>Brasil</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45809</c:v>
                </c:pt>
              </c:numCache>
            </c:numRef>
          </c:cat>
          <c:val>
            <c:numRef>
              <c:f>Presentacion!$AL$72</c:f>
              <c:numCache>
                <c:formatCode>_(* #,##0.00_);_(* \(#,##0.00\);_(* "-"??_);_(@_)</c:formatCode>
                <c:ptCount val="1"/>
                <c:pt idx="0">
                  <c:v>1.089574728116685</c:v>
                </c:pt>
              </c:numCache>
            </c:numRef>
          </c:val>
          <c:extLst>
            <c:ext xmlns:c16="http://schemas.microsoft.com/office/drawing/2014/chart" uri="{C3380CC4-5D6E-409C-BE32-E72D297353CC}">
              <c16:uniqueId val="{00000003-1311-4859-8C54-22D797EABCD8}"/>
            </c:ext>
          </c:extLst>
        </c:ser>
        <c:ser>
          <c:idx val="3"/>
          <c:order val="3"/>
          <c:tx>
            <c:strRef>
              <c:f>Presentacion!$AK$73</c:f>
              <c:strCache>
                <c:ptCount val="1"/>
                <c:pt idx="0">
                  <c:v>Colombia</c:v>
                </c:pt>
              </c:strCache>
            </c:strRef>
          </c:tx>
          <c:spPr>
            <a:solidFill>
              <a:srgbClr val="61E8FF"/>
            </a:solidFill>
            <a:ln>
              <a:noFill/>
            </a:ln>
            <a:effectLst/>
          </c:spPr>
          <c:invertIfNegative val="0"/>
          <c:dLbls>
            <c:dLbl>
              <c:idx val="0"/>
              <c:layout>
                <c:manualLayout>
                  <c:x val="2.5070284180107858E-3"/>
                  <c:y val="-8.998563120663855E-3"/>
                </c:manualLayout>
              </c:layout>
              <c:tx>
                <c:rich>
                  <a:bodyPr wrap="square" lIns="38100" tIns="19050" rIns="38100" bIns="19050" anchor="ctr">
                    <a:noAutofit/>
                  </a:bodyPr>
                  <a:lstStyle/>
                  <a:p>
                    <a:pPr>
                      <a:defRPr sz="700"/>
                    </a:pPr>
                    <a:r>
                      <a:rPr lang="en-US" sz="700"/>
                      <a:t>Colombia</a:t>
                    </a:r>
                    <a:endParaRPr lang="en-US"/>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4-1311-4859-8C54-22D797EABCD8}"/>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45809</c:v>
                </c:pt>
              </c:numCache>
            </c:numRef>
          </c:cat>
          <c:val>
            <c:numRef>
              <c:f>Presentacion!$AL$73</c:f>
              <c:numCache>
                <c:formatCode>_(* #,##0.00_);_(* \(#,##0.00\);_(* "-"??_);_(@_)</c:formatCode>
                <c:ptCount val="1"/>
                <c:pt idx="0">
                  <c:v>0.78307220870034855</c:v>
                </c:pt>
              </c:numCache>
            </c:numRef>
          </c:val>
          <c:extLst>
            <c:ext xmlns:c16="http://schemas.microsoft.com/office/drawing/2014/chart" uri="{C3380CC4-5D6E-409C-BE32-E72D297353CC}">
              <c16:uniqueId val="{00000005-1311-4859-8C54-22D797EABCD8}"/>
            </c:ext>
          </c:extLst>
        </c:ser>
        <c:ser>
          <c:idx val="4"/>
          <c:order val="4"/>
          <c:tx>
            <c:strRef>
              <c:f>Presentacion!$AK$74</c:f>
              <c:strCache>
                <c:ptCount val="1"/>
                <c:pt idx="0">
                  <c:v>Otros</c:v>
                </c:pt>
              </c:strCache>
            </c:strRef>
          </c:tx>
          <c:spPr>
            <a:solidFill>
              <a:srgbClr val="C5F7FF"/>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Presentacion!$AD$52</c:f>
              <c:numCache>
                <c:formatCode>mmm\-yy</c:formatCode>
                <c:ptCount val="1"/>
                <c:pt idx="0">
                  <c:v>45809</c:v>
                </c:pt>
              </c:numCache>
            </c:numRef>
          </c:cat>
          <c:val>
            <c:numRef>
              <c:f>Presentacion!$AL$74</c:f>
              <c:numCache>
                <c:formatCode>_(* #,##0.00_);_(* \(#,##0.00\);_(* "-"??_);_(@_)</c:formatCode>
                <c:ptCount val="1"/>
                <c:pt idx="0">
                  <c:v>1.686703482814373</c:v>
                </c:pt>
              </c:numCache>
            </c:numRef>
          </c:val>
          <c:extLst>
            <c:ext xmlns:c16="http://schemas.microsoft.com/office/drawing/2014/chart" uri="{C3380CC4-5D6E-409C-BE32-E72D297353CC}">
              <c16:uniqueId val="{00000006-1311-4859-8C54-22D797EABCD8}"/>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max val="50"/>
        </c:scaling>
        <c:delete val="1"/>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3.4196450723837694E-2"/>
          <c:y val="0.16488727805475378"/>
          <c:w val="0.94137751304484962"/>
          <c:h val="0.63912919290649861"/>
        </c:manualLayout>
      </c:layout>
      <c:barChart>
        <c:barDir val="col"/>
        <c:grouping val="stacked"/>
        <c:varyColors val="0"/>
        <c:ser>
          <c:idx val="0"/>
          <c:order val="0"/>
          <c:tx>
            <c:strRef>
              <c:f>Presentacion!$AK$97</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Presentacion!$AL$97</c:f>
              <c:numCache>
                <c:formatCode>General</c:formatCode>
                <c:ptCount val="1"/>
                <c:pt idx="0">
                  <c:v>46.530533304582853</c:v>
                </c:pt>
              </c:numCache>
            </c:numRef>
          </c:val>
          <c:extLst>
            <c:ext xmlns:c16="http://schemas.microsoft.com/office/drawing/2014/chart" uri="{C3380CC4-5D6E-409C-BE32-E72D297353CC}">
              <c16:uniqueId val="{00000000-60AC-40BF-967B-ED7064F46999}"/>
            </c:ext>
          </c:extLst>
        </c:ser>
        <c:ser>
          <c:idx val="1"/>
          <c:order val="1"/>
          <c:tx>
            <c:strRef>
              <c:f>Presentacion!$AK$98</c:f>
              <c:strCache>
                <c:ptCount val="1"/>
                <c:pt idx="0">
                  <c:v>Brasil</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60AC-40BF-967B-ED7064F46999}"/>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Presentacion!$AL$98</c:f>
              <c:numCache>
                <c:formatCode>General</c:formatCode>
                <c:ptCount val="1"/>
                <c:pt idx="0">
                  <c:v>4.1246898248788071</c:v>
                </c:pt>
              </c:numCache>
            </c:numRef>
          </c:val>
          <c:extLst>
            <c:ext xmlns:c16="http://schemas.microsoft.com/office/drawing/2014/chart" uri="{C3380CC4-5D6E-409C-BE32-E72D297353CC}">
              <c16:uniqueId val="{00000002-60AC-40BF-967B-ED7064F46999}"/>
            </c:ext>
          </c:extLst>
        </c:ser>
        <c:ser>
          <c:idx val="2"/>
          <c:order val="2"/>
          <c:tx>
            <c:strRef>
              <c:f>Presentacion!$AK$99</c:f>
              <c:strCache>
                <c:ptCount val="1"/>
                <c:pt idx="0">
                  <c:v>México</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Presentacion!$AL$99</c:f>
              <c:numCache>
                <c:formatCode>General</c:formatCode>
                <c:ptCount val="1"/>
                <c:pt idx="0">
                  <c:v>1.2162331434245193</c:v>
                </c:pt>
              </c:numCache>
            </c:numRef>
          </c:val>
          <c:extLst>
            <c:ext xmlns:c16="http://schemas.microsoft.com/office/drawing/2014/chart" uri="{C3380CC4-5D6E-409C-BE32-E72D297353CC}">
              <c16:uniqueId val="{00000003-60AC-40BF-967B-ED7064F46999}"/>
            </c:ext>
          </c:extLst>
        </c:ser>
        <c:ser>
          <c:idx val="3"/>
          <c:order val="3"/>
          <c:tx>
            <c:strRef>
              <c:f>Presentacion!$AK$100</c:f>
              <c:strCache>
                <c:ptCount val="1"/>
                <c:pt idx="0">
                  <c:v>Chile</c:v>
                </c:pt>
              </c:strCache>
            </c:strRef>
          </c:tx>
          <c:spPr>
            <a:solidFill>
              <a:srgbClr val="61E8FF"/>
            </a:solidFill>
            <a:ln>
              <a:noFill/>
            </a:ln>
            <a:effectLst/>
          </c:spPr>
          <c:invertIfNegative val="0"/>
          <c:dLbls>
            <c:dLbl>
              <c:idx val="0"/>
              <c:layout>
                <c:manualLayout>
                  <c:x val="2.5070284180107858E-3"/>
                  <c:y val="-8.998563120663855E-3"/>
                </c:manualLayout>
              </c:layout>
              <c:tx>
                <c:rich>
                  <a:bodyPr wrap="square" lIns="38100" tIns="19050" rIns="38100" bIns="19050" anchor="ctr">
                    <a:noAutofit/>
                  </a:bodyPr>
                  <a:lstStyle/>
                  <a:p>
                    <a:pPr>
                      <a:defRPr sz="700"/>
                    </a:pPr>
                    <a:r>
                      <a:rPr lang="en-US"/>
                      <a:t>Brasil</a:t>
                    </a:r>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4-60AC-40BF-967B-ED7064F46999}"/>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45992</c:v>
                </c:pt>
              </c:numCache>
            </c:numRef>
          </c:cat>
          <c:val>
            <c:numRef>
              <c:f>Presentacion!$AL$100</c:f>
              <c:numCache>
                <c:formatCode>General</c:formatCode>
                <c:ptCount val="1"/>
                <c:pt idx="0">
                  <c:v>1.0466687411384583</c:v>
                </c:pt>
              </c:numCache>
            </c:numRef>
          </c:val>
          <c:extLst>
            <c:ext xmlns:c16="http://schemas.microsoft.com/office/drawing/2014/chart" uri="{C3380CC4-5D6E-409C-BE32-E72D297353CC}">
              <c16:uniqueId val="{00000005-60AC-40BF-967B-ED7064F46999}"/>
            </c:ext>
          </c:extLst>
        </c:ser>
        <c:ser>
          <c:idx val="4"/>
          <c:order val="4"/>
          <c:tx>
            <c:strRef>
              <c:f>Presentacion!$AK$101</c:f>
              <c:strCache>
                <c:ptCount val="1"/>
                <c:pt idx="0">
                  <c:v>Otros</c:v>
                </c:pt>
              </c:strCache>
            </c:strRef>
          </c:tx>
          <c:spPr>
            <a:solidFill>
              <a:srgbClr val="C5F7FF"/>
            </a:solidFill>
            <a:ln>
              <a:noFill/>
            </a:ln>
            <a:effectLst/>
          </c:spPr>
          <c:invertIfNegative val="0"/>
          <c:dLbls>
            <c:dLbl>
              <c:idx val="0"/>
              <c:layout>
                <c:manualLayout>
                  <c:x val="0"/>
                  <c:y val="-1.7356555584710925E-2"/>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60AC-40BF-967B-ED7064F46999}"/>
                </c:ext>
              </c:extLst>
            </c:dLbl>
            <c:spPr>
              <a:noFill/>
              <a:ln>
                <a:noFill/>
              </a:ln>
              <a:effectLst/>
            </c:spPr>
            <c:txPr>
              <a:bodyPr wrap="square" lIns="38100" tIns="19050" rIns="38100" bIns="19050" anchor="ctr">
                <a:spAutoFit/>
              </a:bodyPr>
              <a:lstStyle/>
              <a:p>
                <a:pPr>
                  <a:defRPr sz="6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Presentacion!$AD$79</c:f>
              <c:numCache>
                <c:formatCode>mmm\-yy</c:formatCode>
                <c:ptCount val="1"/>
                <c:pt idx="0">
                  <c:v>45992</c:v>
                </c:pt>
              </c:numCache>
            </c:numRef>
          </c:cat>
          <c:val>
            <c:numRef>
              <c:f>Presentacion!$AL$101</c:f>
              <c:numCache>
                <c:formatCode>General</c:formatCode>
                <c:ptCount val="1"/>
                <c:pt idx="0">
                  <c:v>2.8380496765977199</c:v>
                </c:pt>
              </c:numCache>
            </c:numRef>
          </c:val>
          <c:extLst>
            <c:ext xmlns:c16="http://schemas.microsoft.com/office/drawing/2014/chart" uri="{C3380CC4-5D6E-409C-BE32-E72D297353CC}">
              <c16:uniqueId val="{00000007-60AC-40BF-967B-ED7064F46999}"/>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max val="50"/>
        </c:scaling>
        <c:delete val="1"/>
        <c:axPos val="l"/>
        <c:numFmt formatCode="General"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7638888888888888E-2"/>
          <c:y val="5.9568480300187618E-2"/>
          <c:w val="0.92238888888888892"/>
          <c:h val="0.71956483218678335"/>
        </c:manualLayout>
      </c:layout>
      <c:barChart>
        <c:barDir val="col"/>
        <c:grouping val="stacked"/>
        <c:varyColors val="0"/>
        <c:ser>
          <c:idx val="0"/>
          <c:order val="0"/>
          <c:tx>
            <c:strRef>
              <c:f>Presentacion!$DO$105</c:f>
              <c:strCache>
                <c:ptCount val="1"/>
                <c:pt idx="0">
                  <c:v>Materials</c:v>
                </c:pt>
              </c:strCache>
            </c:strRef>
          </c:tx>
          <c:spPr>
            <a:solidFill>
              <a:srgbClr val="E3F2ED"/>
            </a:solidFill>
          </c:spPr>
          <c:invertIfNegative val="0"/>
          <c:dLbls>
            <c:delete val="1"/>
          </c:dLbls>
          <c:val>
            <c:numRef>
              <c:f>Presentacion!$DT$105:$DW$105</c:f>
              <c:numCache>
                <c:formatCode>0.00</c:formatCode>
                <c:ptCount val="4"/>
                <c:pt idx="0" formatCode="_(* #,##0.00_);_(* \(#,##0.00\);_(* &quot;-&quot;??_);_(@_)">
                  <c:v>19.451666915257587</c:v>
                </c:pt>
                <c:pt idx="1">
                  <c:v>39.567476790000001</c:v>
                </c:pt>
                <c:pt idx="2">
                  <c:v>145.75331588</c:v>
                </c:pt>
                <c:pt idx="3" formatCode="General">
                  <c:v>202.57506538000001</c:v>
                </c:pt>
              </c:numCache>
            </c:numRef>
          </c:val>
          <c:extLst>
            <c:ext xmlns:c16="http://schemas.microsoft.com/office/drawing/2014/chart" uri="{C3380CC4-5D6E-409C-BE32-E72D297353CC}">
              <c16:uniqueId val="{0000000E-206C-4610-A220-F74F7C9EC1F9}"/>
            </c:ext>
          </c:extLst>
        </c:ser>
        <c:ser>
          <c:idx val="1"/>
          <c:order val="1"/>
          <c:tx>
            <c:strRef>
              <c:f>Presentacion!$DO$106</c:f>
              <c:strCache>
                <c:ptCount val="1"/>
                <c:pt idx="0">
                  <c:v>Materials</c:v>
                </c:pt>
              </c:strCache>
            </c:strRef>
          </c:tx>
          <c:invertIfNegative val="0"/>
          <c:dLbls>
            <c:delete val="1"/>
          </c:dLbls>
          <c:val>
            <c:numRef>
              <c:f>Presentacion!$DT$106:$DW$106</c:f>
              <c:numCache>
                <c:formatCode>_(* #,##0.00_);_(* \(#,##0.00\);_(* "-"??_);_(@_)</c:formatCode>
                <c:ptCount val="4"/>
                <c:pt idx="0">
                  <c:v>0</c:v>
                </c:pt>
              </c:numCache>
            </c:numRef>
          </c:val>
          <c:extLst>
            <c:ext xmlns:c16="http://schemas.microsoft.com/office/drawing/2014/chart" uri="{C3380CC4-5D6E-409C-BE32-E72D297353CC}">
              <c16:uniqueId val="{00000010-206C-4610-A220-F74F7C9EC1F9}"/>
            </c:ext>
          </c:extLst>
        </c:ser>
        <c:ser>
          <c:idx val="2"/>
          <c:order val="2"/>
          <c:tx>
            <c:strRef>
              <c:f>Presentacion!$DO$107</c:f>
              <c:strCache>
                <c:ptCount val="1"/>
                <c:pt idx="0">
                  <c:v>Utilities</c:v>
                </c:pt>
              </c:strCache>
            </c:strRef>
          </c:tx>
          <c:spPr>
            <a:solidFill>
              <a:srgbClr val="C8E5DC"/>
            </a:solidFill>
          </c:spPr>
          <c:invertIfNegative val="0"/>
          <c:dLbls>
            <c:delete val="1"/>
          </c:dLbls>
          <c:val>
            <c:numRef>
              <c:f>Presentacion!$DT$107:$DW$107</c:f>
              <c:numCache>
                <c:formatCode>_(* #,##0.00_);_(* \(#,##0.00\);_(* "-"??_);_(@_)</c:formatCode>
                <c:ptCount val="4"/>
                <c:pt idx="0">
                  <c:v>0.13823890373733341</c:v>
                </c:pt>
              </c:numCache>
            </c:numRef>
          </c:val>
          <c:extLst>
            <c:ext xmlns:c16="http://schemas.microsoft.com/office/drawing/2014/chart" uri="{C3380CC4-5D6E-409C-BE32-E72D297353CC}">
              <c16:uniqueId val="{00000012-206C-4610-A220-F74F7C9EC1F9}"/>
            </c:ext>
          </c:extLst>
        </c:ser>
        <c:ser>
          <c:idx val="3"/>
          <c:order val="3"/>
          <c:tx>
            <c:strRef>
              <c:f>Presentacion!$DO$108</c:f>
              <c:strCache>
                <c:ptCount val="1"/>
                <c:pt idx="0">
                  <c:v>Utilities</c:v>
                </c:pt>
              </c:strCache>
            </c:strRef>
          </c:tx>
          <c:spPr>
            <a:pattFill prst="wdUpDiag">
              <a:fgClr>
                <a:srgbClr val="C8E5DC"/>
              </a:fgClr>
              <a:bgClr>
                <a:sysClr val="window" lastClr="FFFFFF"/>
              </a:bgClr>
            </a:pattFill>
            <a:ln>
              <a:noFill/>
            </a:ln>
          </c:spPr>
          <c:invertIfNegative val="0"/>
          <c:dLbls>
            <c:delete val="1"/>
          </c:dLbls>
          <c:val>
            <c:numRef>
              <c:f>Presentacion!$DT$108:$DW$108</c:f>
              <c:numCache>
                <c:formatCode>_(* #,##0.00_);_(* \(#,##0.00\);_(* "-"??_);_(@_)</c:formatCode>
                <c:ptCount val="4"/>
                <c:pt idx="0">
                  <c:v>4.8923727821960865</c:v>
                </c:pt>
              </c:numCache>
            </c:numRef>
          </c:val>
          <c:extLst>
            <c:ext xmlns:c16="http://schemas.microsoft.com/office/drawing/2014/chart" uri="{C3380CC4-5D6E-409C-BE32-E72D297353CC}">
              <c16:uniqueId val="{00000014-206C-4610-A220-F74F7C9EC1F9}"/>
            </c:ext>
          </c:extLst>
        </c:ser>
        <c:ser>
          <c:idx val="4"/>
          <c:order val="4"/>
          <c:tx>
            <c:strRef>
              <c:f>Presentacion!$DO$109</c:f>
              <c:strCache>
                <c:ptCount val="1"/>
                <c:pt idx="0">
                  <c:v>Otros</c:v>
                </c:pt>
              </c:strCache>
            </c:strRef>
          </c:tx>
          <c:spPr>
            <a:solidFill>
              <a:srgbClr val="ACD7CA"/>
            </a:solidFill>
          </c:spPr>
          <c:invertIfNegative val="0"/>
          <c:dLbls>
            <c:delete val="1"/>
          </c:dLbls>
          <c:val>
            <c:numRef>
              <c:f>Presentacion!$DT$109:$DW$109</c:f>
              <c:numCache>
                <c:formatCode>_(* #,##0.00_);_(* \(#,##0.00\);_(* "-"??_);_(@_)</c:formatCode>
                <c:ptCount val="4"/>
                <c:pt idx="0">
                  <c:v>19.551021771858892</c:v>
                </c:pt>
              </c:numCache>
            </c:numRef>
          </c:val>
          <c:extLst>
            <c:ext xmlns:c16="http://schemas.microsoft.com/office/drawing/2014/chart" uri="{C3380CC4-5D6E-409C-BE32-E72D297353CC}">
              <c16:uniqueId val="{00000016-206C-4610-A220-F74F7C9EC1F9}"/>
            </c:ext>
          </c:extLst>
        </c:ser>
        <c:ser>
          <c:idx val="5"/>
          <c:order val="5"/>
          <c:tx>
            <c:strRef>
              <c:f>Presentacion!$DO$110</c:f>
              <c:strCache>
                <c:ptCount val="1"/>
                <c:pt idx="0">
                  <c:v>Otros</c:v>
                </c:pt>
              </c:strCache>
            </c:strRef>
          </c:tx>
          <c:spPr>
            <a:pattFill prst="wdUpDiag">
              <a:fgClr>
                <a:srgbClr val="ACD7CA"/>
              </a:fgClr>
              <a:bgClr>
                <a:sysClr val="window" lastClr="FFFFFF"/>
              </a:bgClr>
            </a:pattFill>
            <a:ln>
              <a:noFill/>
            </a:ln>
          </c:spPr>
          <c:invertIfNegative val="0"/>
          <c:dLbls>
            <c:delete val="1"/>
          </c:dLbls>
          <c:val>
            <c:numRef>
              <c:f>Presentacion!$DT$110:$DW$110</c:f>
              <c:numCache>
                <c:formatCode>_(* #,##0.00_);_(* \(#,##0.00\);_(* "-"??_);_(@_)</c:formatCode>
                <c:ptCount val="4"/>
                <c:pt idx="0">
                  <c:v>2.7311760922794637</c:v>
                </c:pt>
              </c:numCache>
            </c:numRef>
          </c:val>
          <c:extLst>
            <c:ext xmlns:c16="http://schemas.microsoft.com/office/drawing/2014/chart" uri="{C3380CC4-5D6E-409C-BE32-E72D297353CC}">
              <c16:uniqueId val="{00000018-206C-4610-A220-F74F7C9EC1F9}"/>
            </c:ext>
          </c:extLst>
        </c:ser>
        <c:ser>
          <c:idx val="6"/>
          <c:order val="6"/>
          <c:tx>
            <c:strRef>
              <c:f>Presentacion!$DO$111</c:f>
              <c:strCache>
                <c:ptCount val="1"/>
                <c:pt idx="0">
                  <c:v>RF</c:v>
                </c:pt>
              </c:strCache>
            </c:strRef>
          </c:tx>
          <c:spPr>
            <a:solidFill>
              <a:srgbClr val="B7EEFF"/>
            </a:solidFill>
          </c:spPr>
          <c:invertIfNegative val="0"/>
          <c:dLbls>
            <c:delete val="1"/>
          </c:dLbls>
          <c:val>
            <c:numRef>
              <c:f>Presentacion!$DT$111:$DW$111</c:f>
              <c:numCache>
                <c:formatCode>_(* #,##0.00_);_(* \(#,##0.00\);_(* "-"??_);_(@_)</c:formatCode>
                <c:ptCount val="4"/>
                <c:pt idx="0">
                  <c:v>4.9054497530160592</c:v>
                </c:pt>
              </c:numCache>
            </c:numRef>
          </c:val>
          <c:extLst>
            <c:ext xmlns:c16="http://schemas.microsoft.com/office/drawing/2014/chart" uri="{C3380CC4-5D6E-409C-BE32-E72D297353CC}">
              <c16:uniqueId val="{0000001A-206C-4610-A220-F74F7C9EC1F9}"/>
            </c:ext>
          </c:extLst>
        </c:ser>
        <c:ser>
          <c:idx val="7"/>
          <c:order val="7"/>
          <c:tx>
            <c:strRef>
              <c:f>Presentacion!$DO$112</c:f>
              <c:strCache>
                <c:ptCount val="1"/>
                <c:pt idx="0">
                  <c:v>RF Proxies</c:v>
                </c:pt>
              </c:strCache>
            </c:strRef>
          </c:tx>
          <c:spPr>
            <a:pattFill prst="wdUpDiag">
              <a:fgClr>
                <a:srgbClr val="B7EEFF"/>
              </a:fgClr>
              <a:bgClr>
                <a:sysClr val="window" lastClr="FFFFFF"/>
              </a:bgClr>
            </a:pattFill>
            <a:ln>
              <a:noFill/>
            </a:ln>
          </c:spPr>
          <c:invertIfNegative val="0"/>
          <c:dLbls>
            <c:delete val="1"/>
          </c:dLbls>
          <c:val>
            <c:numRef>
              <c:f>Presentacion!$DT$112:$DW$112</c:f>
              <c:numCache>
                <c:formatCode>_(* #,##0.00_);_(* \(#,##0.00\);_(* "-"??_);_(@_)</c:formatCode>
                <c:ptCount val="4"/>
                <c:pt idx="0">
                  <c:v>2.014694722940805</c:v>
                </c:pt>
              </c:numCache>
            </c:numRef>
          </c:val>
          <c:extLst>
            <c:ext xmlns:c16="http://schemas.microsoft.com/office/drawing/2014/chart" uri="{C3380CC4-5D6E-409C-BE32-E72D297353CC}">
              <c16:uniqueId val="{0000001C-206C-4610-A220-F74F7C9EC1F9}"/>
            </c:ext>
          </c:extLst>
        </c:ser>
        <c:ser>
          <c:idx val="8"/>
          <c:order val="8"/>
          <c:tx>
            <c:strRef>
              <c:f>Presentacion!$DO$113</c:f>
              <c:strCache>
                <c:ptCount val="1"/>
                <c:pt idx="0">
                  <c:v>ETF Sobs</c:v>
                </c:pt>
              </c:strCache>
            </c:strRef>
          </c:tx>
          <c:spPr>
            <a:solidFill>
              <a:srgbClr val="AFC3E6"/>
            </a:solidFill>
          </c:spPr>
          <c:invertIfNegative val="0"/>
          <c:dLbls>
            <c:delete val="1"/>
          </c:dLbls>
          <c:val>
            <c:numRef>
              <c:f>Presentacion!$DT$113:$DW$113</c:f>
              <c:numCache>
                <c:formatCode>_(* #,##0.00_);_(* \(#,##0.00\);_(* "-"??_);_(@_)</c:formatCode>
                <c:ptCount val="4"/>
              </c:numCache>
            </c:numRef>
          </c:val>
          <c:extLst>
            <c:ext xmlns:c16="http://schemas.microsoft.com/office/drawing/2014/chart" uri="{C3380CC4-5D6E-409C-BE32-E72D297353CC}">
              <c16:uniqueId val="{0000001E-206C-4610-A220-F74F7C9EC1F9}"/>
            </c:ext>
          </c:extLst>
        </c:ser>
        <c:ser>
          <c:idx val="9"/>
          <c:order val="9"/>
          <c:tx>
            <c:strRef>
              <c:f>Presentacion!$DO$114</c:f>
              <c:strCache>
                <c:ptCount val="1"/>
                <c:pt idx="0">
                  <c:v>ETF Sobs Proxies</c:v>
                </c:pt>
              </c:strCache>
            </c:strRef>
          </c:tx>
          <c:invertIfNegative val="0"/>
          <c:dLbls>
            <c:delete val="1"/>
          </c:dLbls>
          <c:val>
            <c:numRef>
              <c:f>Presentacion!$DT$114:$DW$114</c:f>
              <c:numCache>
                <c:formatCode>_(* #,##0.00_);_(* \(#,##0.00\);_(* "-"??_);_(@_)</c:formatCode>
                <c:ptCount val="4"/>
                <c:pt idx="0">
                  <c:v>0</c:v>
                </c:pt>
              </c:numCache>
            </c:numRef>
          </c:val>
          <c:extLst>
            <c:ext xmlns:c16="http://schemas.microsoft.com/office/drawing/2014/chart" uri="{C3380CC4-5D6E-409C-BE32-E72D297353CC}">
              <c16:uniqueId val="{00000020-206C-4610-A220-F74F7C9EC1F9}"/>
            </c:ext>
          </c:extLst>
        </c:ser>
        <c:ser>
          <c:idx val="10"/>
          <c:order val="10"/>
          <c:tx>
            <c:strRef>
              <c:f>Presentacion!$DO$115</c:f>
              <c:strCache>
                <c:ptCount val="1"/>
                <c:pt idx="0">
                  <c:v>RV</c:v>
                </c:pt>
              </c:strCache>
            </c:strRef>
          </c:tx>
          <c:spPr>
            <a:solidFill>
              <a:srgbClr val="D4EAF3"/>
            </a:solidFill>
          </c:spPr>
          <c:invertIfNegative val="0"/>
          <c:dLbls>
            <c:delete val="1"/>
          </c:dLbls>
          <c:val>
            <c:numRef>
              <c:f>Presentacion!$DT$115:$DW$115</c:f>
              <c:numCache>
                <c:formatCode>_(* #,##0.00_);_(* \(#,##0.00\);_(* "-"??_);_(@_)</c:formatCode>
                <c:ptCount val="4"/>
                <c:pt idx="0">
                  <c:v>10.683640858295023</c:v>
                </c:pt>
              </c:numCache>
            </c:numRef>
          </c:val>
          <c:extLst>
            <c:ext xmlns:c16="http://schemas.microsoft.com/office/drawing/2014/chart" uri="{C3380CC4-5D6E-409C-BE32-E72D297353CC}">
              <c16:uniqueId val="{00000022-206C-4610-A220-F74F7C9EC1F9}"/>
            </c:ext>
          </c:extLst>
        </c:ser>
        <c:ser>
          <c:idx val="11"/>
          <c:order val="11"/>
          <c:tx>
            <c:strRef>
              <c:f>Presentacion!$DO$116</c:f>
              <c:strCache>
                <c:ptCount val="1"/>
                <c:pt idx="0">
                  <c:v>RV Proxies</c:v>
                </c:pt>
              </c:strCache>
            </c:strRef>
          </c:tx>
          <c:invertIfNegative val="0"/>
          <c:dLbls>
            <c:delete val="1"/>
          </c:dLbls>
          <c:val>
            <c:numRef>
              <c:f>Presentacion!$DT$116:$DW$116</c:f>
              <c:numCache>
                <c:formatCode>_(* #,##0.00_);_(* \(#,##0.00\);_(* "-"??_);_(@_)</c:formatCode>
                <c:ptCount val="4"/>
                <c:pt idx="0">
                  <c:v>1.6041272588602983E-5</c:v>
                </c:pt>
              </c:numCache>
            </c:numRef>
          </c:val>
          <c:extLst>
            <c:ext xmlns:c16="http://schemas.microsoft.com/office/drawing/2014/chart" uri="{C3380CC4-5D6E-409C-BE32-E72D297353CC}">
              <c16:uniqueId val="{00000024-206C-4610-A220-F74F7C9EC1F9}"/>
            </c:ext>
          </c:extLst>
        </c:ser>
        <c:ser>
          <c:idx val="12"/>
          <c:order val="12"/>
          <c:tx>
            <c:strRef>
              <c:f>Presentacion!$DO$117</c:f>
              <c:strCache>
                <c:ptCount val="1"/>
                <c:pt idx="0">
                  <c:v>Alts</c:v>
                </c:pt>
              </c:strCache>
            </c:strRef>
          </c:tx>
          <c:spPr>
            <a:pattFill prst="wdUpDiag">
              <a:fgClr>
                <a:srgbClr val="516FED"/>
              </a:fgClr>
              <a:bgClr>
                <a:sysClr val="window" lastClr="FFFFFF"/>
              </a:bgClr>
            </a:pattFill>
          </c:spPr>
          <c:invertIfNegative val="0"/>
          <c:dLbls>
            <c:delete val="1"/>
          </c:dLbls>
          <c:val>
            <c:numRef>
              <c:f>Presentacion!$DT$117:$DW$117</c:f>
              <c:numCache>
                <c:formatCode>_(* #,##0.00_);_(* \(#,##0.00\);_(* "-"??_);_(@_)</c:formatCode>
                <c:ptCount val="4"/>
                <c:pt idx="0">
                  <c:v>8.3423015878536066</c:v>
                </c:pt>
              </c:numCache>
            </c:numRef>
          </c:val>
          <c:extLst>
            <c:ext xmlns:c16="http://schemas.microsoft.com/office/drawing/2014/chart" uri="{C3380CC4-5D6E-409C-BE32-E72D297353CC}">
              <c16:uniqueId val="{00000026-206C-4610-A220-F74F7C9EC1F9}"/>
            </c:ext>
          </c:extLst>
        </c:ser>
        <c:dLbls>
          <c:showLegendKey val="0"/>
          <c:showVal val="1"/>
          <c:showCatName val="0"/>
          <c:showSerName val="0"/>
          <c:showPercent val="0"/>
          <c:showBubbleSize val="0"/>
        </c:dLbls>
        <c:gapWidth val="190"/>
        <c:overlap val="100"/>
        <c:axId val="343178255"/>
        <c:axId val="1296126783"/>
      </c:barChart>
      <c:catAx>
        <c:axId val="343178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00">
                <a:solidFill>
                  <a:schemeClr val="bg1"/>
                </a:solidFill>
              </a:defRPr>
            </a:pPr>
            <a:endParaRPr lang="es-PE"/>
          </a:p>
        </c:txPr>
        <c:crossAx val="1296126783"/>
        <c:crosses val="autoZero"/>
        <c:auto val="1"/>
        <c:lblAlgn val="ctr"/>
        <c:lblOffset val="100"/>
        <c:tickLblSkip val="1"/>
        <c:noMultiLvlLbl val="0"/>
      </c:catAx>
      <c:valAx>
        <c:axId val="1296126783"/>
        <c:scaling>
          <c:orientation val="minMax"/>
        </c:scaling>
        <c:delete val="1"/>
        <c:axPos val="l"/>
        <c:numFmt formatCode="_(* #,##0.00_);_(* \(#,##0.00\);_(* &quot;-&quot;??_);_(@_)" sourceLinked="1"/>
        <c:majorTickMark val="none"/>
        <c:minorTickMark val="none"/>
        <c:tickLblPos val="nextTo"/>
        <c:crossAx val="343178255"/>
        <c:crosses val="autoZero"/>
        <c:crossBetween val="between"/>
      </c:valAx>
    </c:plotArea>
    <c:plotVisOnly val="0"/>
    <c:dispBlanksAs val="zero"/>
    <c:showDLblsOverMax val="0"/>
    <c:extLst/>
  </c:chart>
  <c:txPr>
    <a:bodyPr/>
    <a:lstStyle/>
    <a:p>
      <a:pPr>
        <a:defRPr sz="6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Presentacion!$AK$97</c:f>
              <c:strCache>
                <c:ptCount val="1"/>
                <c:pt idx="0">
                  <c:v>Perú</c:v>
                </c:pt>
              </c:strCache>
            </c:strRef>
          </c:tx>
          <c:spPr>
            <a:solidFill>
              <a:schemeClr val="accent1"/>
            </a:solidFill>
            <a:ln>
              <a:noFill/>
            </a:ln>
            <a:effectLst/>
          </c:spPr>
          <c:invertIfNegative val="0"/>
          <c:dLbls>
            <c:delete val="1"/>
          </c:dLbls>
          <c:cat>
            <c:numRef>
              <c:f>Presentacion!$AD$79</c:f>
              <c:numCache>
                <c:formatCode>mmm\-yy</c:formatCode>
                <c:ptCount val="1"/>
                <c:pt idx="0">
                  <c:v>45992</c:v>
                </c:pt>
              </c:numCache>
            </c:numRef>
          </c:cat>
          <c:val>
            <c:numRef>
              <c:f>Presentacion!$AL$97</c:f>
              <c:numCache>
                <c:formatCode>General</c:formatCode>
                <c:ptCount val="1"/>
                <c:pt idx="0">
                  <c:v>46.530533304582853</c:v>
                </c:pt>
              </c:numCache>
            </c:numRef>
          </c:val>
          <c:extLst>
            <c:ext xmlns:c16="http://schemas.microsoft.com/office/drawing/2014/chart" uri="{C3380CC4-5D6E-409C-BE32-E72D297353CC}">
              <c16:uniqueId val="{00000000-9DA2-4A3B-BB70-D7B9865C10BA}"/>
            </c:ext>
          </c:extLst>
        </c:ser>
        <c:ser>
          <c:idx val="1"/>
          <c:order val="1"/>
          <c:tx>
            <c:strRef>
              <c:f>Presentacion!$AK$98</c:f>
              <c:strCache>
                <c:ptCount val="1"/>
                <c:pt idx="0">
                  <c:v>Brasil</c:v>
                </c:pt>
              </c:strCache>
            </c:strRef>
          </c:tx>
          <c:spPr>
            <a:solidFill>
              <a:srgbClr val="00AECB"/>
            </a:solidFill>
            <a:ln>
              <a:noFill/>
            </a:ln>
            <a:effectLst/>
          </c:spPr>
          <c:invertIfNegative val="0"/>
          <c:dLbls>
            <c:delete val="1"/>
          </c:dLbls>
          <c:cat>
            <c:numRef>
              <c:f>Presentacion!$AD$79</c:f>
              <c:numCache>
                <c:formatCode>mmm\-yy</c:formatCode>
                <c:ptCount val="1"/>
                <c:pt idx="0">
                  <c:v>45992</c:v>
                </c:pt>
              </c:numCache>
            </c:numRef>
          </c:cat>
          <c:val>
            <c:numRef>
              <c:f>Presentacion!$AL$98</c:f>
              <c:numCache>
                <c:formatCode>General</c:formatCode>
                <c:ptCount val="1"/>
                <c:pt idx="0">
                  <c:v>4.1246898248788071</c:v>
                </c:pt>
              </c:numCache>
            </c:numRef>
          </c:val>
          <c:extLst>
            <c:ext xmlns:c16="http://schemas.microsoft.com/office/drawing/2014/chart" uri="{C3380CC4-5D6E-409C-BE32-E72D297353CC}">
              <c16:uniqueId val="{00000001-9DA2-4A3B-BB70-D7B9865C10BA}"/>
            </c:ext>
          </c:extLst>
        </c:ser>
        <c:ser>
          <c:idx val="2"/>
          <c:order val="2"/>
          <c:tx>
            <c:strRef>
              <c:f>Presentacion!$AK$99</c:f>
              <c:strCache>
                <c:ptCount val="1"/>
                <c:pt idx="0">
                  <c:v>México</c:v>
                </c:pt>
              </c:strCache>
            </c:strRef>
          </c:tx>
          <c:spPr>
            <a:solidFill>
              <a:srgbClr val="00C9EA"/>
            </a:solidFill>
            <a:ln>
              <a:noFill/>
            </a:ln>
            <a:effectLst/>
          </c:spPr>
          <c:invertIfNegative val="0"/>
          <c:dLbls>
            <c:delete val="1"/>
          </c:dLbls>
          <c:cat>
            <c:numRef>
              <c:f>Presentacion!$AD$79</c:f>
              <c:numCache>
                <c:formatCode>mmm\-yy</c:formatCode>
                <c:ptCount val="1"/>
                <c:pt idx="0">
                  <c:v>45992</c:v>
                </c:pt>
              </c:numCache>
            </c:numRef>
          </c:cat>
          <c:val>
            <c:numRef>
              <c:f>Presentacion!$AL$99</c:f>
              <c:numCache>
                <c:formatCode>General</c:formatCode>
                <c:ptCount val="1"/>
                <c:pt idx="0">
                  <c:v>1.2162331434245193</c:v>
                </c:pt>
              </c:numCache>
            </c:numRef>
          </c:val>
          <c:extLst>
            <c:ext xmlns:c16="http://schemas.microsoft.com/office/drawing/2014/chart" uri="{C3380CC4-5D6E-409C-BE32-E72D297353CC}">
              <c16:uniqueId val="{00000002-9DA2-4A3B-BB70-D7B9865C10BA}"/>
            </c:ext>
          </c:extLst>
        </c:ser>
        <c:ser>
          <c:idx val="3"/>
          <c:order val="3"/>
          <c:tx>
            <c:strRef>
              <c:f>Presentacion!$AK$100</c:f>
              <c:strCache>
                <c:ptCount val="1"/>
                <c:pt idx="0">
                  <c:v>Chile</c:v>
                </c:pt>
              </c:strCache>
            </c:strRef>
          </c:tx>
          <c:spPr>
            <a:solidFill>
              <a:srgbClr val="61E8FF"/>
            </a:solidFill>
            <a:ln>
              <a:noFill/>
            </a:ln>
            <a:effectLst/>
          </c:spPr>
          <c:invertIfNegative val="0"/>
          <c:dLbls>
            <c:delete val="1"/>
          </c:dLbls>
          <c:cat>
            <c:numRef>
              <c:f>Presentacion!$AD$79</c:f>
              <c:numCache>
                <c:formatCode>mmm\-yy</c:formatCode>
                <c:ptCount val="1"/>
                <c:pt idx="0">
                  <c:v>45992</c:v>
                </c:pt>
              </c:numCache>
            </c:numRef>
          </c:cat>
          <c:val>
            <c:numRef>
              <c:f>Presentacion!$AL$100</c:f>
              <c:numCache>
                <c:formatCode>General</c:formatCode>
                <c:ptCount val="1"/>
                <c:pt idx="0">
                  <c:v>1.0466687411384583</c:v>
                </c:pt>
              </c:numCache>
            </c:numRef>
          </c:val>
          <c:extLst>
            <c:ext xmlns:c16="http://schemas.microsoft.com/office/drawing/2014/chart" uri="{C3380CC4-5D6E-409C-BE32-E72D297353CC}">
              <c16:uniqueId val="{00000003-9DA2-4A3B-BB70-D7B9865C10BA}"/>
            </c:ext>
          </c:extLst>
        </c:ser>
        <c:ser>
          <c:idx val="4"/>
          <c:order val="4"/>
          <c:tx>
            <c:strRef>
              <c:f>Presentacion!$AK$101</c:f>
              <c:strCache>
                <c:ptCount val="1"/>
                <c:pt idx="0">
                  <c:v>Otros</c:v>
                </c:pt>
              </c:strCache>
            </c:strRef>
          </c:tx>
          <c:spPr>
            <a:solidFill>
              <a:srgbClr val="C5F7FF"/>
            </a:solidFill>
            <a:ln>
              <a:noFill/>
            </a:ln>
            <a:effectLst/>
          </c:spPr>
          <c:invertIfNegative val="0"/>
          <c:dLbls>
            <c:delete val="1"/>
          </c:dLbls>
          <c:cat>
            <c:numRef>
              <c:f>Presentacion!$AD$79</c:f>
              <c:numCache>
                <c:formatCode>mmm\-yy</c:formatCode>
                <c:ptCount val="1"/>
                <c:pt idx="0">
                  <c:v>45992</c:v>
                </c:pt>
              </c:numCache>
            </c:numRef>
          </c:cat>
          <c:val>
            <c:numRef>
              <c:f>Presentacion!$AL$101</c:f>
              <c:numCache>
                <c:formatCode>General</c:formatCode>
                <c:ptCount val="1"/>
                <c:pt idx="0">
                  <c:v>2.8380496765977199</c:v>
                </c:pt>
              </c:numCache>
            </c:numRef>
          </c:val>
          <c:extLst>
            <c:ext xmlns:c16="http://schemas.microsoft.com/office/drawing/2014/chart" uri="{C3380CC4-5D6E-409C-BE32-E72D297353CC}">
              <c16:uniqueId val="{00000004-9DA2-4A3B-BB70-D7B9865C10BA}"/>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bg1"/>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max val="140"/>
          <c:min val="0"/>
        </c:scaling>
        <c:delete val="1"/>
        <c:axPos val="l"/>
        <c:numFmt formatCode="General"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6.2933342463247971E-2"/>
          <c:y val="0.15921127043072011"/>
          <c:w val="0.87413331507350411"/>
          <c:h val="0.65607719030413114"/>
        </c:manualLayout>
      </c:layout>
      <c:barChart>
        <c:barDir val="col"/>
        <c:grouping val="stacked"/>
        <c:varyColors val="0"/>
        <c:ser>
          <c:idx val="0"/>
          <c:order val="0"/>
          <c:tx>
            <c:strRef>
              <c:f>Presentacion!$AK$138</c:f>
              <c:strCache>
                <c:ptCount val="1"/>
                <c:pt idx="0">
                  <c:v>EMB</c:v>
                </c:pt>
              </c:strCache>
            </c:strRef>
          </c:tx>
          <c:invertIfNegative val="0"/>
          <c:dLbls>
            <c:delete val="1"/>
          </c:dLbls>
          <c:cat>
            <c:strLit>
              <c:ptCount val="1"/>
              <c:pt idx="0">
                <c:v>Dic-24</c:v>
              </c:pt>
            </c:strLit>
          </c:cat>
          <c:val>
            <c:numRef>
              <c:f>Presentacion!$AL$138</c:f>
              <c:numCache>
                <c:formatCode>_(* #,##0.00_);_(* \(#,##0.00\);_(* "-"??_);_(@_)</c:formatCode>
                <c:ptCount val="1"/>
                <c:pt idx="0">
                  <c:v>401.09930501999997</c:v>
                </c:pt>
              </c:numCache>
            </c:numRef>
          </c:val>
          <c:extLst>
            <c:ext xmlns:c16="http://schemas.microsoft.com/office/drawing/2014/chart" uri="{C3380CC4-5D6E-409C-BE32-E72D297353CC}">
              <c16:uniqueId val="{00000000-1CC1-4AFF-B4F2-F49FCBB2FF68}"/>
            </c:ext>
          </c:extLst>
        </c:ser>
        <c:dLbls>
          <c:dLblPos val="ctr"/>
          <c:showLegendKey val="0"/>
          <c:showVal val="1"/>
          <c:showCatName val="0"/>
          <c:showSerName val="0"/>
          <c:showPercent val="0"/>
          <c:showBubbleSize val="0"/>
        </c:dLbls>
        <c:gapWidth val="219"/>
        <c:overlap val="100"/>
        <c:axId val="1038796671"/>
        <c:axId val="11312079"/>
      </c:barChart>
      <c:catAx>
        <c:axId val="1038796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1"/>
                </a:solidFill>
                <a:latin typeface="Trebuchet MS" panose="020B0603020202020204" pitchFamily="34" charset="0"/>
                <a:ea typeface="+mn-ea"/>
                <a:cs typeface="+mn-cs"/>
              </a:defRPr>
            </a:pPr>
            <a:endParaRPr lang="es-PE"/>
          </a:p>
        </c:txPr>
        <c:crossAx val="11312079"/>
        <c:crosses val="autoZero"/>
        <c:auto val="1"/>
        <c:lblAlgn val="ctr"/>
        <c:lblOffset val="100"/>
        <c:noMultiLvlLbl val="0"/>
      </c:catAx>
      <c:valAx>
        <c:axId val="11312079"/>
        <c:scaling>
          <c:orientation val="minMax"/>
          <c:max val="480"/>
        </c:scaling>
        <c:delete val="1"/>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Presentacion!$AK$138</c:f>
              <c:strCache>
                <c:ptCount val="1"/>
                <c:pt idx="0">
                  <c:v>EMB</c:v>
                </c:pt>
              </c:strCache>
            </c:strRef>
          </c:tx>
          <c:invertIfNegative val="0"/>
          <c:dLbls>
            <c:delete val="1"/>
          </c:dLbls>
          <c:cat>
            <c:numRef>
              <c:f>Presentacion!$AD$79</c:f>
              <c:numCache>
                <c:formatCode>mmm\-yy</c:formatCode>
                <c:ptCount val="1"/>
                <c:pt idx="0">
                  <c:v>45992</c:v>
                </c:pt>
              </c:numCache>
            </c:numRef>
          </c:cat>
          <c:val>
            <c:numRef>
              <c:f>Presentacion!$AL$138</c:f>
              <c:numCache>
                <c:formatCode>_(* #,##0.00_);_(* \(#,##0.00\);_(* "-"??_);_(@_)</c:formatCode>
                <c:ptCount val="1"/>
                <c:pt idx="0">
                  <c:v>401.09930501999997</c:v>
                </c:pt>
              </c:numCache>
            </c:numRef>
          </c:val>
          <c:extLst>
            <c:ext xmlns:c16="http://schemas.microsoft.com/office/drawing/2014/chart" uri="{C3380CC4-5D6E-409C-BE32-E72D297353CC}">
              <c16:uniqueId val="{00000000-A3CA-41D1-A94A-B802265451ED}"/>
            </c:ext>
          </c:extLst>
        </c:ser>
        <c:ser>
          <c:idx val="1"/>
          <c:order val="1"/>
          <c:tx>
            <c:strRef>
              <c:f>Presentacion!$AK$98</c:f>
              <c:strCache>
                <c:ptCount val="1"/>
                <c:pt idx="0">
                  <c:v>Brasil</c:v>
                </c:pt>
              </c:strCache>
            </c:strRef>
          </c:tx>
          <c:spPr>
            <a:solidFill>
              <a:srgbClr val="00AECB"/>
            </a:solidFill>
            <a:ln>
              <a:noFill/>
            </a:ln>
            <a:effectLst/>
          </c:spPr>
          <c:invertIfNegative val="0"/>
          <c:dLbls>
            <c:delete val="1"/>
          </c:dLbls>
          <c:cat>
            <c:numRef>
              <c:f>Presentacion!$AD$79</c:f>
              <c:numCache>
                <c:formatCode>mmm\-yy</c:formatCode>
                <c:ptCount val="1"/>
                <c:pt idx="0">
                  <c:v>45992</c:v>
                </c:pt>
              </c:numCache>
            </c:numRef>
          </c:cat>
          <c:val>
            <c:numRef>
              <c:f>Presentacion!$AL$98</c:f>
              <c:numCache>
                <c:formatCode>General</c:formatCode>
                <c:ptCount val="1"/>
                <c:pt idx="0">
                  <c:v>4.1246898248788071</c:v>
                </c:pt>
              </c:numCache>
            </c:numRef>
          </c:val>
          <c:extLst>
            <c:ext xmlns:c16="http://schemas.microsoft.com/office/drawing/2014/chart" uri="{C3380CC4-5D6E-409C-BE32-E72D297353CC}">
              <c16:uniqueId val="{00000001-A3CA-41D1-A94A-B802265451ED}"/>
            </c:ext>
          </c:extLst>
        </c:ser>
        <c:ser>
          <c:idx val="2"/>
          <c:order val="2"/>
          <c:tx>
            <c:strRef>
              <c:f>Presentacion!$AK$99</c:f>
              <c:strCache>
                <c:ptCount val="1"/>
                <c:pt idx="0">
                  <c:v>México</c:v>
                </c:pt>
              </c:strCache>
            </c:strRef>
          </c:tx>
          <c:spPr>
            <a:solidFill>
              <a:srgbClr val="00C9EA"/>
            </a:solidFill>
            <a:ln>
              <a:noFill/>
            </a:ln>
            <a:effectLst/>
          </c:spPr>
          <c:invertIfNegative val="0"/>
          <c:dLbls>
            <c:delete val="1"/>
          </c:dLbls>
          <c:cat>
            <c:numRef>
              <c:f>Presentacion!$AD$79</c:f>
              <c:numCache>
                <c:formatCode>mmm\-yy</c:formatCode>
                <c:ptCount val="1"/>
                <c:pt idx="0">
                  <c:v>45992</c:v>
                </c:pt>
              </c:numCache>
            </c:numRef>
          </c:cat>
          <c:val>
            <c:numRef>
              <c:f>Presentacion!$AL$99</c:f>
              <c:numCache>
                <c:formatCode>General</c:formatCode>
                <c:ptCount val="1"/>
                <c:pt idx="0">
                  <c:v>1.2162331434245193</c:v>
                </c:pt>
              </c:numCache>
            </c:numRef>
          </c:val>
          <c:extLst>
            <c:ext xmlns:c16="http://schemas.microsoft.com/office/drawing/2014/chart" uri="{C3380CC4-5D6E-409C-BE32-E72D297353CC}">
              <c16:uniqueId val="{00000002-A3CA-41D1-A94A-B802265451ED}"/>
            </c:ext>
          </c:extLst>
        </c:ser>
        <c:ser>
          <c:idx val="3"/>
          <c:order val="3"/>
          <c:tx>
            <c:strRef>
              <c:f>Presentacion!$AK$100</c:f>
              <c:strCache>
                <c:ptCount val="1"/>
                <c:pt idx="0">
                  <c:v>Chile</c:v>
                </c:pt>
              </c:strCache>
            </c:strRef>
          </c:tx>
          <c:spPr>
            <a:solidFill>
              <a:srgbClr val="61E8FF"/>
            </a:solidFill>
            <a:ln>
              <a:noFill/>
            </a:ln>
            <a:effectLst/>
          </c:spPr>
          <c:invertIfNegative val="0"/>
          <c:dLbls>
            <c:delete val="1"/>
          </c:dLbls>
          <c:cat>
            <c:numRef>
              <c:f>Presentacion!$AD$79</c:f>
              <c:numCache>
                <c:formatCode>mmm\-yy</c:formatCode>
                <c:ptCount val="1"/>
                <c:pt idx="0">
                  <c:v>45992</c:v>
                </c:pt>
              </c:numCache>
            </c:numRef>
          </c:cat>
          <c:val>
            <c:numRef>
              <c:f>Presentacion!$AL$100</c:f>
              <c:numCache>
                <c:formatCode>General</c:formatCode>
                <c:ptCount val="1"/>
                <c:pt idx="0">
                  <c:v>1.0466687411384583</c:v>
                </c:pt>
              </c:numCache>
            </c:numRef>
          </c:val>
          <c:extLst>
            <c:ext xmlns:c16="http://schemas.microsoft.com/office/drawing/2014/chart" uri="{C3380CC4-5D6E-409C-BE32-E72D297353CC}">
              <c16:uniqueId val="{00000003-A3CA-41D1-A94A-B802265451ED}"/>
            </c:ext>
          </c:extLst>
        </c:ser>
        <c:ser>
          <c:idx val="4"/>
          <c:order val="4"/>
          <c:tx>
            <c:strRef>
              <c:f>Presentacion!$AK$101</c:f>
              <c:strCache>
                <c:ptCount val="1"/>
                <c:pt idx="0">
                  <c:v>Otros</c:v>
                </c:pt>
              </c:strCache>
            </c:strRef>
          </c:tx>
          <c:spPr>
            <a:solidFill>
              <a:srgbClr val="C5F7FF"/>
            </a:solidFill>
            <a:ln>
              <a:noFill/>
            </a:ln>
            <a:effectLst/>
          </c:spPr>
          <c:invertIfNegative val="0"/>
          <c:dLbls>
            <c:delete val="1"/>
          </c:dLbls>
          <c:cat>
            <c:numRef>
              <c:f>Presentacion!$AD$79</c:f>
              <c:numCache>
                <c:formatCode>mmm\-yy</c:formatCode>
                <c:ptCount val="1"/>
                <c:pt idx="0">
                  <c:v>45992</c:v>
                </c:pt>
              </c:numCache>
            </c:numRef>
          </c:cat>
          <c:val>
            <c:numRef>
              <c:f>Presentacion!$AL$101</c:f>
              <c:numCache>
                <c:formatCode>General</c:formatCode>
                <c:ptCount val="1"/>
                <c:pt idx="0">
                  <c:v>2.8380496765977199</c:v>
                </c:pt>
              </c:numCache>
            </c:numRef>
          </c:val>
          <c:extLst>
            <c:ext xmlns:c16="http://schemas.microsoft.com/office/drawing/2014/chart" uri="{C3380CC4-5D6E-409C-BE32-E72D297353CC}">
              <c16:uniqueId val="{00000004-A3CA-41D1-A94A-B802265451ED}"/>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bg1"/>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max val="140"/>
          <c:min val="0"/>
        </c:scaling>
        <c:delete val="1"/>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col"/>
        <c:grouping val="stacked"/>
        <c:varyColors val="0"/>
        <c:ser>
          <c:idx val="0"/>
          <c:order val="0"/>
          <c:tx>
            <c:strRef>
              <c:f>Presentacion!$DO$56</c:f>
              <c:strCache>
                <c:ptCount val="1"/>
                <c:pt idx="0">
                  <c:v>Materials</c:v>
                </c:pt>
              </c:strCache>
            </c:strRef>
          </c:tx>
          <c:spPr>
            <a:solidFill>
              <a:srgbClr val="E3F2ED"/>
            </a:solidFill>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Dic-24</c:v>
              </c:pt>
              <c:pt idx="1">
                <c:v>Mar-25</c:v>
              </c:pt>
            </c:strLit>
          </c:cat>
          <c:val>
            <c:numRef>
              <c:f>Presentacion!$DP$56:$DQ$56</c:f>
              <c:numCache>
                <c:formatCode>_(* #,##0.00_);_(* \(#,##0.00\);_(* "-"??_);_(@_)</c:formatCode>
                <c:ptCount val="2"/>
                <c:pt idx="0">
                  <c:v>102832.41174163757</c:v>
                </c:pt>
                <c:pt idx="1">
                  <c:v>209823.78686259827</c:v>
                </c:pt>
              </c:numCache>
            </c:numRef>
          </c:val>
          <c:extLst>
            <c:ext xmlns:c16="http://schemas.microsoft.com/office/drawing/2014/chart" uri="{C3380CC4-5D6E-409C-BE32-E72D297353CC}">
              <c16:uniqueId val="{00000000-EC06-4B4C-9D6B-0A18DAFD8DFF}"/>
            </c:ext>
          </c:extLst>
        </c:ser>
        <c:ser>
          <c:idx val="1"/>
          <c:order val="1"/>
          <c:tx>
            <c:strRef>
              <c:f>Presentacion!$DO$57</c:f>
              <c:strCache>
                <c:ptCount val="1"/>
                <c:pt idx="0">
                  <c:v>Materials</c:v>
                </c:pt>
              </c:strCache>
            </c:strRef>
          </c:tx>
          <c:invertIfNegative val="0"/>
          <c:dLbls>
            <c:delete val="1"/>
          </c:dLbls>
          <c:cat>
            <c:strLit>
              <c:ptCount val="2"/>
              <c:pt idx="0">
                <c:v>Dic-24</c:v>
              </c:pt>
              <c:pt idx="1">
                <c:v>Mar-25</c:v>
              </c:pt>
            </c:strLit>
          </c:cat>
          <c:val>
            <c:numRef>
              <c:f>Presentacion!$DP$57:$DQ$57</c:f>
              <c:numCache>
                <c:formatCode>_(* #,##0.00_);_(* \(#,##0.00\);_(* "-"??_);_(@_)</c:formatCode>
                <c:ptCount val="2"/>
                <c:pt idx="0">
                  <c:v>0</c:v>
                </c:pt>
                <c:pt idx="1">
                  <c:v>0</c:v>
                </c:pt>
              </c:numCache>
            </c:numRef>
          </c:val>
          <c:extLst>
            <c:ext xmlns:c16="http://schemas.microsoft.com/office/drawing/2014/chart" uri="{C3380CC4-5D6E-409C-BE32-E72D297353CC}">
              <c16:uniqueId val="{00000001-EC06-4B4C-9D6B-0A18DAFD8DFF}"/>
            </c:ext>
          </c:extLst>
        </c:ser>
        <c:ser>
          <c:idx val="2"/>
          <c:order val="2"/>
          <c:tx>
            <c:strRef>
              <c:f>Presentacion!$DO$58</c:f>
              <c:strCache>
                <c:ptCount val="1"/>
                <c:pt idx="0">
                  <c:v>Utilities</c:v>
                </c:pt>
              </c:strCache>
            </c:strRef>
          </c:tx>
          <c:spPr>
            <a:solidFill>
              <a:srgbClr val="C8E5DC"/>
            </a:solidFill>
          </c:spPr>
          <c:invertIfNegative val="0"/>
          <c:dLbls>
            <c:dLbl>
              <c:idx val="1"/>
              <c:layout>
                <c:manualLayout>
                  <c:x val="0"/>
                  <c:y val="-1.559672929714690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EC06-4B4C-9D6B-0A18DAFD8DFF}"/>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Dic-24</c:v>
              </c:pt>
              <c:pt idx="1">
                <c:v>Mar-25</c:v>
              </c:pt>
            </c:strLit>
          </c:cat>
          <c:val>
            <c:numRef>
              <c:f>Presentacion!$DP$58:$DQ$58</c:f>
              <c:numCache>
                <c:formatCode>_(* #,##0.00_);_(* \(#,##0.00\);_(* "-"??_);_(@_)</c:formatCode>
                <c:ptCount val="2"/>
                <c:pt idx="0">
                  <c:v>82386.011004244385</c:v>
                </c:pt>
                <c:pt idx="1">
                  <c:v>1491.1735020071608</c:v>
                </c:pt>
              </c:numCache>
            </c:numRef>
          </c:val>
          <c:extLst>
            <c:ext xmlns:c16="http://schemas.microsoft.com/office/drawing/2014/chart" uri="{C3380CC4-5D6E-409C-BE32-E72D297353CC}">
              <c16:uniqueId val="{00000003-EC06-4B4C-9D6B-0A18DAFD8DFF}"/>
            </c:ext>
          </c:extLst>
        </c:ser>
        <c:ser>
          <c:idx val="3"/>
          <c:order val="3"/>
          <c:tx>
            <c:strRef>
              <c:f>Presentacion!$DO$59</c:f>
              <c:strCache>
                <c:ptCount val="1"/>
                <c:pt idx="0">
                  <c:v>Utilities</c:v>
                </c:pt>
              </c:strCache>
            </c:strRef>
          </c:tx>
          <c:spPr>
            <a:pattFill prst="wdUpDiag">
              <a:fgClr>
                <a:srgbClr val="C8E5DC"/>
              </a:fgClr>
              <a:bgClr>
                <a:sysClr val="window" lastClr="FFFFFF"/>
              </a:bgClr>
            </a:pattFill>
            <a:ln>
              <a:noFill/>
            </a:ln>
          </c:spPr>
          <c:invertIfNegative val="0"/>
          <c:dLbls>
            <c:delete val="1"/>
          </c:dLbls>
          <c:cat>
            <c:strLit>
              <c:ptCount val="2"/>
              <c:pt idx="0">
                <c:v>Dic-24</c:v>
              </c:pt>
              <c:pt idx="1">
                <c:v>Mar-25</c:v>
              </c:pt>
            </c:strLit>
          </c:cat>
          <c:val>
            <c:numRef>
              <c:f>Presentacion!$DP$59:$DQ$59</c:f>
              <c:numCache>
                <c:formatCode>_(* #,##0.00_);_(* \(#,##0.00\);_(* "-"??_);_(@_)</c:formatCode>
                <c:ptCount val="2"/>
                <c:pt idx="0">
                  <c:v>17171.821094110222</c:v>
                </c:pt>
                <c:pt idx="1">
                  <c:v>52773.687128000805</c:v>
                </c:pt>
              </c:numCache>
            </c:numRef>
          </c:val>
          <c:extLst>
            <c:ext xmlns:c16="http://schemas.microsoft.com/office/drawing/2014/chart" uri="{C3380CC4-5D6E-409C-BE32-E72D297353CC}">
              <c16:uniqueId val="{00000004-EC06-4B4C-9D6B-0A18DAFD8DFF}"/>
            </c:ext>
          </c:extLst>
        </c:ser>
        <c:ser>
          <c:idx val="4"/>
          <c:order val="4"/>
          <c:tx>
            <c:strRef>
              <c:f>Presentacion!$DO$60</c:f>
              <c:strCache>
                <c:ptCount val="1"/>
                <c:pt idx="0">
                  <c:v>Otros</c:v>
                </c:pt>
              </c:strCache>
            </c:strRef>
          </c:tx>
          <c:spPr>
            <a:solidFill>
              <a:srgbClr val="ACD7CA"/>
            </a:solidFill>
          </c:spPr>
          <c:invertIfNegative val="0"/>
          <c:dLbls>
            <c:dLbl>
              <c:idx val="1"/>
              <c:layout>
                <c:manualLayout>
                  <c:x val="-9.6674407761945537E-17"/>
                  <c:y val="-1.559672929714690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EC06-4B4C-9D6B-0A18DAFD8DFF}"/>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Dic-24</c:v>
              </c:pt>
              <c:pt idx="1">
                <c:v>Mar-25</c:v>
              </c:pt>
            </c:strLit>
          </c:cat>
          <c:val>
            <c:numRef>
              <c:f>Presentacion!$DP$60:$DQ$60</c:f>
              <c:numCache>
                <c:formatCode>_(* #,##0.00_);_(* \(#,##0.00\);_(* "-"??_);_(@_)</c:formatCode>
                <c:ptCount val="2"/>
                <c:pt idx="0">
                  <c:v>232668.75383962266</c:v>
                </c:pt>
                <c:pt idx="1">
                  <c:v>210895.52083512075</c:v>
                </c:pt>
              </c:numCache>
            </c:numRef>
          </c:val>
          <c:extLst>
            <c:ext xmlns:c16="http://schemas.microsoft.com/office/drawing/2014/chart" uri="{C3380CC4-5D6E-409C-BE32-E72D297353CC}">
              <c16:uniqueId val="{00000006-EC06-4B4C-9D6B-0A18DAFD8DFF}"/>
            </c:ext>
          </c:extLst>
        </c:ser>
        <c:ser>
          <c:idx val="5"/>
          <c:order val="5"/>
          <c:tx>
            <c:strRef>
              <c:f>Presentacion!$DO$61</c:f>
              <c:strCache>
                <c:ptCount val="1"/>
                <c:pt idx="0">
                  <c:v>Otros</c:v>
                </c:pt>
              </c:strCache>
            </c:strRef>
          </c:tx>
          <c:spPr>
            <a:pattFill prst="wdUpDiag">
              <a:fgClr>
                <a:srgbClr val="ACD7CA"/>
              </a:fgClr>
              <a:bgClr>
                <a:sysClr val="window" lastClr="FFFFFF"/>
              </a:bgClr>
            </a:pattFill>
            <a:ln>
              <a:noFill/>
            </a:ln>
          </c:spPr>
          <c:invertIfNegative val="0"/>
          <c:dLbls>
            <c:delete val="1"/>
          </c:dLbls>
          <c:cat>
            <c:strLit>
              <c:ptCount val="2"/>
              <c:pt idx="0">
                <c:v>Dic-24</c:v>
              </c:pt>
              <c:pt idx="1">
                <c:v>Mar-25</c:v>
              </c:pt>
            </c:strLit>
          </c:cat>
          <c:val>
            <c:numRef>
              <c:f>Presentacion!$DP$61:$DQ$61</c:f>
              <c:numCache>
                <c:formatCode>_(* #,##0.00_);_(* \(#,##0.00\);_(* "-"??_);_(@_)</c:formatCode>
                <c:ptCount val="2"/>
                <c:pt idx="0">
                  <c:v>33233.579410976476</c:v>
                </c:pt>
                <c:pt idx="1">
                  <c:v>29461.007777239181</c:v>
                </c:pt>
              </c:numCache>
            </c:numRef>
          </c:val>
          <c:extLst>
            <c:ext xmlns:c16="http://schemas.microsoft.com/office/drawing/2014/chart" uri="{C3380CC4-5D6E-409C-BE32-E72D297353CC}">
              <c16:uniqueId val="{00000007-EC06-4B4C-9D6B-0A18DAFD8DFF}"/>
            </c:ext>
          </c:extLst>
        </c:ser>
        <c:ser>
          <c:idx val="6"/>
          <c:order val="6"/>
          <c:tx>
            <c:strRef>
              <c:f>Presentacion!$DO$62</c:f>
              <c:strCache>
                <c:ptCount val="1"/>
                <c:pt idx="0">
                  <c:v>RF</c:v>
                </c:pt>
              </c:strCache>
            </c:strRef>
          </c:tx>
          <c:spPr>
            <a:solidFill>
              <a:srgbClr val="B7EEFF"/>
            </a:solidFill>
          </c:spPr>
          <c:invertIfNegative val="0"/>
          <c:dLbls>
            <c:dLbl>
              <c:idx val="1"/>
              <c:layout>
                <c:manualLayout>
                  <c:x val="-9.6674407761945537E-17"/>
                  <c:y val="7.5086986778009068E-3"/>
                </c:manualLayout>
              </c:layout>
              <c:spPr>
                <a:noFill/>
                <a:ln>
                  <a:noFill/>
                </a:ln>
                <a:effectLst/>
              </c:spPr>
              <c:txPr>
                <a:bodyPr/>
                <a:lstStyle/>
                <a:p>
                  <a:pPr>
                    <a:defRPr sz="700"/>
                  </a:pPr>
                  <a:endParaRPr lang="es-PE"/>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EC06-4B4C-9D6B-0A18DAFD8DFF}"/>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Dic-24</c:v>
              </c:pt>
              <c:pt idx="1">
                <c:v>Mar-25</c:v>
              </c:pt>
            </c:strLit>
          </c:cat>
          <c:val>
            <c:numRef>
              <c:f>Presentacion!$DP$62:$DQ$62</c:f>
              <c:numCache>
                <c:formatCode>_(* #,##0.00_);_(* \(#,##0.00\);_(* "-"??_);_(@_)</c:formatCode>
                <c:ptCount val="2"/>
                <c:pt idx="0">
                  <c:v>44669.733336650439</c:v>
                </c:pt>
                <c:pt idx="1">
                  <c:v>52914.747508588865</c:v>
                </c:pt>
              </c:numCache>
            </c:numRef>
          </c:val>
          <c:extLst>
            <c:ext xmlns:c16="http://schemas.microsoft.com/office/drawing/2014/chart" uri="{C3380CC4-5D6E-409C-BE32-E72D297353CC}">
              <c16:uniqueId val="{00000009-EC06-4B4C-9D6B-0A18DAFD8DFF}"/>
            </c:ext>
          </c:extLst>
        </c:ser>
        <c:ser>
          <c:idx val="7"/>
          <c:order val="7"/>
          <c:tx>
            <c:strRef>
              <c:f>Presentacion!$DO$63</c:f>
              <c:strCache>
                <c:ptCount val="1"/>
                <c:pt idx="0">
                  <c:v>RF Proxies</c:v>
                </c:pt>
              </c:strCache>
            </c:strRef>
          </c:tx>
          <c:spPr>
            <a:pattFill prst="wdUpDiag">
              <a:fgClr>
                <a:srgbClr val="B7EEFF"/>
              </a:fgClr>
              <a:bgClr>
                <a:sysClr val="window" lastClr="FFFFFF"/>
              </a:bgClr>
            </a:pattFill>
            <a:ln>
              <a:noFill/>
            </a:ln>
          </c:spPr>
          <c:invertIfNegative val="0"/>
          <c:dLbls>
            <c:delete val="1"/>
          </c:dLbls>
          <c:cat>
            <c:strLit>
              <c:ptCount val="2"/>
              <c:pt idx="0">
                <c:v>Dic-24</c:v>
              </c:pt>
              <c:pt idx="1">
                <c:v>Mar-25</c:v>
              </c:pt>
            </c:strLit>
          </c:cat>
          <c:val>
            <c:numRef>
              <c:f>Presentacion!$DP$63:$DQ$63</c:f>
              <c:numCache>
                <c:formatCode>_(* #,##0.00_);_(* \(#,##0.00\);_(* "-"??_);_(@_)</c:formatCode>
                <c:ptCount val="2"/>
                <c:pt idx="0">
                  <c:v>36052.688760613491</c:v>
                </c:pt>
                <c:pt idx="1">
                  <c:v>21732.372756596465</c:v>
                </c:pt>
              </c:numCache>
            </c:numRef>
          </c:val>
          <c:extLst>
            <c:ext xmlns:c16="http://schemas.microsoft.com/office/drawing/2014/chart" uri="{C3380CC4-5D6E-409C-BE32-E72D297353CC}">
              <c16:uniqueId val="{0000000A-EC06-4B4C-9D6B-0A18DAFD8DFF}"/>
            </c:ext>
          </c:extLst>
        </c:ser>
        <c:ser>
          <c:idx val="8"/>
          <c:order val="8"/>
          <c:tx>
            <c:strRef>
              <c:f>Presentacion!$DO$64</c:f>
              <c:strCache>
                <c:ptCount val="1"/>
                <c:pt idx="0">
                  <c:v>ETF Sobs</c:v>
                </c:pt>
              </c:strCache>
            </c:strRef>
          </c:tx>
          <c:spPr>
            <a:solidFill>
              <a:srgbClr val="AFC3E6"/>
            </a:solidFill>
          </c:spPr>
          <c:invertIfNegative val="0"/>
          <c:dLbls>
            <c:spPr>
              <a:noFill/>
              <a:ln>
                <a:noFill/>
              </a:ln>
              <a:effectLst/>
            </c:spPr>
            <c:txPr>
              <a:bodyPr wrap="square" lIns="38100" tIns="19050" rIns="38100" bIns="19050" anchor="ctr">
                <a:spAutoFit/>
              </a:bodyPr>
              <a:lstStyle/>
              <a:p>
                <a:pPr>
                  <a:defRPr sz="500"/>
                </a:pPr>
                <a:endParaRPr lang="es-PE"/>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Dic-24</c:v>
              </c:pt>
              <c:pt idx="1">
                <c:v>Mar-25</c:v>
              </c:pt>
            </c:strLit>
          </c:cat>
          <c:val>
            <c:numRef>
              <c:f>Presentacion!$DP$64:$DQ$64</c:f>
              <c:numCache>
                <c:formatCode>_(* #,##0.00_);_(* \(#,##0.00\);_(* "-"??_);_(@_)</c:formatCode>
                <c:ptCount val="2"/>
              </c:numCache>
            </c:numRef>
          </c:val>
          <c:extLst>
            <c:ext xmlns:c16="http://schemas.microsoft.com/office/drawing/2014/chart" uri="{C3380CC4-5D6E-409C-BE32-E72D297353CC}">
              <c16:uniqueId val="{0000000B-EC06-4B4C-9D6B-0A18DAFD8DFF}"/>
            </c:ext>
          </c:extLst>
        </c:ser>
        <c:ser>
          <c:idx val="9"/>
          <c:order val="9"/>
          <c:tx>
            <c:strRef>
              <c:f>Presentacion!$DO$65</c:f>
              <c:strCache>
                <c:ptCount val="1"/>
                <c:pt idx="0">
                  <c:v>ETF Sobs Proxies</c:v>
                </c:pt>
              </c:strCache>
            </c:strRef>
          </c:tx>
          <c:invertIfNegative val="0"/>
          <c:dLbls>
            <c:delete val="1"/>
          </c:dLbls>
          <c:cat>
            <c:strLit>
              <c:ptCount val="2"/>
              <c:pt idx="0">
                <c:v>Dic-24</c:v>
              </c:pt>
              <c:pt idx="1">
                <c:v>Mar-25</c:v>
              </c:pt>
            </c:strLit>
          </c:cat>
          <c:val>
            <c:numRef>
              <c:f>Presentacion!$DP$65:$DQ$65</c:f>
              <c:numCache>
                <c:formatCode>_(* #,##0.00_);_(* \(#,##0.00\);_(* "-"??_);_(@_)</c:formatCode>
                <c:ptCount val="2"/>
                <c:pt idx="0">
                  <c:v>0</c:v>
                </c:pt>
                <c:pt idx="1">
                  <c:v>0</c:v>
                </c:pt>
              </c:numCache>
            </c:numRef>
          </c:val>
          <c:extLst>
            <c:ext xmlns:c16="http://schemas.microsoft.com/office/drawing/2014/chart" uri="{C3380CC4-5D6E-409C-BE32-E72D297353CC}">
              <c16:uniqueId val="{0000000C-EC06-4B4C-9D6B-0A18DAFD8DFF}"/>
            </c:ext>
          </c:extLst>
        </c:ser>
        <c:ser>
          <c:idx val="10"/>
          <c:order val="10"/>
          <c:tx>
            <c:strRef>
              <c:f>Presentacion!$DO$66</c:f>
              <c:strCache>
                <c:ptCount val="1"/>
                <c:pt idx="0">
                  <c:v>RV</c:v>
                </c:pt>
              </c:strCache>
            </c:strRef>
          </c:tx>
          <c:spPr>
            <a:solidFill>
              <a:srgbClr val="D4EAF3"/>
            </a:solidFill>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Dic-24</c:v>
              </c:pt>
              <c:pt idx="1">
                <c:v>Mar-25</c:v>
              </c:pt>
            </c:strLit>
          </c:cat>
          <c:val>
            <c:numRef>
              <c:f>Presentacion!$DP$66:$DQ$66</c:f>
              <c:numCache>
                <c:formatCode>_(* #,##0.00_);_(* \(#,##0.00\);_(* "-"??_);_(@_)</c:formatCode>
                <c:ptCount val="2"/>
                <c:pt idx="0">
                  <c:v>70436.168747780481</c:v>
                </c:pt>
                <c:pt idx="1">
                  <c:v>115243.69567572138</c:v>
                </c:pt>
              </c:numCache>
            </c:numRef>
          </c:val>
          <c:extLst>
            <c:ext xmlns:c16="http://schemas.microsoft.com/office/drawing/2014/chart" uri="{C3380CC4-5D6E-409C-BE32-E72D297353CC}">
              <c16:uniqueId val="{0000000D-EC06-4B4C-9D6B-0A18DAFD8DFF}"/>
            </c:ext>
          </c:extLst>
        </c:ser>
        <c:ser>
          <c:idx val="11"/>
          <c:order val="11"/>
          <c:tx>
            <c:strRef>
              <c:f>Presentacion!$DO$67</c:f>
              <c:strCache>
                <c:ptCount val="1"/>
                <c:pt idx="0">
                  <c:v>RV Proxies</c:v>
                </c:pt>
              </c:strCache>
            </c:strRef>
          </c:tx>
          <c:invertIfNegative val="0"/>
          <c:dLbls>
            <c:delete val="1"/>
          </c:dLbls>
          <c:cat>
            <c:strLit>
              <c:ptCount val="2"/>
              <c:pt idx="0">
                <c:v>Dic-24</c:v>
              </c:pt>
              <c:pt idx="1">
                <c:v>Mar-25</c:v>
              </c:pt>
            </c:strLit>
          </c:cat>
          <c:val>
            <c:numRef>
              <c:f>Presentacion!$DP$67:$DQ$67</c:f>
              <c:numCache>
                <c:formatCode>_(* #,##0.00_);_(* \(#,##0.00\);_(* "-"??_);_(@_)</c:formatCode>
                <c:ptCount val="2"/>
                <c:pt idx="0">
                  <c:v>2.6029742040577231E-3</c:v>
                </c:pt>
                <c:pt idx="1">
                  <c:v>0.17303609892660451</c:v>
                </c:pt>
              </c:numCache>
            </c:numRef>
          </c:val>
          <c:extLst>
            <c:ext xmlns:c16="http://schemas.microsoft.com/office/drawing/2014/chart" uri="{C3380CC4-5D6E-409C-BE32-E72D297353CC}">
              <c16:uniqueId val="{0000000E-EC06-4B4C-9D6B-0A18DAFD8DFF}"/>
            </c:ext>
          </c:extLst>
        </c:ser>
        <c:ser>
          <c:idx val="12"/>
          <c:order val="12"/>
          <c:tx>
            <c:strRef>
              <c:f>Presentacion!$DO$68</c:f>
              <c:strCache>
                <c:ptCount val="1"/>
                <c:pt idx="0">
                  <c:v>Alts</c:v>
                </c:pt>
              </c:strCache>
            </c:strRef>
          </c:tx>
          <c:spPr>
            <a:pattFill prst="wdUpDiag">
              <a:fgClr>
                <a:srgbClr val="516FED"/>
              </a:fgClr>
              <a:bgClr>
                <a:sysClr val="window" lastClr="FFFFFF"/>
              </a:bgClr>
            </a:pattFill>
          </c:spPr>
          <c:invertIfNegative val="0"/>
          <c:dLbls>
            <c:dLbl>
              <c:idx val="0"/>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EC06-4B4C-9D6B-0A18DAFD8DFF}"/>
                </c:ext>
              </c:extLst>
            </c:dLbl>
            <c:dLbl>
              <c:idx val="1"/>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EC06-4B4C-9D6B-0A18DAFD8DFF}"/>
                </c:ext>
              </c:extLst>
            </c:dLbl>
            <c:spPr>
              <a:noFill/>
              <a:ln>
                <a:noFill/>
              </a:ln>
              <a:effectLst/>
            </c:spPr>
            <c:txPr>
              <a:bodyPr/>
              <a:lstStyle/>
              <a:p>
                <a:pPr>
                  <a:defRPr sz="700">
                    <a:highlight>
                      <a:srgbClr val="D4EAF3"/>
                    </a:highlight>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
              <c:pt idx="0">
                <c:v>Dic-24</c:v>
              </c:pt>
              <c:pt idx="1">
                <c:v>Mar-25</c:v>
              </c:pt>
            </c:strLit>
          </c:cat>
          <c:val>
            <c:numRef>
              <c:f>Presentacion!$DP$68:$DQ$68</c:f>
              <c:numCache>
                <c:formatCode>_(* #,##0.00_);_(* \(#,##0.00\);_(* "-"??_);_(@_)</c:formatCode>
                <c:ptCount val="2"/>
                <c:pt idx="0">
                  <c:v>96947.36443926589</c:v>
                </c:pt>
                <c:pt idx="1">
                  <c:v>89987.830757081028</c:v>
                </c:pt>
              </c:numCache>
            </c:numRef>
          </c:val>
          <c:extLst>
            <c:ext xmlns:c16="http://schemas.microsoft.com/office/drawing/2014/chart" uri="{C3380CC4-5D6E-409C-BE32-E72D297353CC}">
              <c16:uniqueId val="{00000011-EC06-4B4C-9D6B-0A18DAFD8DFF}"/>
            </c:ext>
          </c:extLst>
        </c:ser>
        <c:dLbls>
          <c:showLegendKey val="0"/>
          <c:showVal val="1"/>
          <c:showCatName val="0"/>
          <c:showSerName val="0"/>
          <c:showPercent val="0"/>
          <c:showBubbleSize val="0"/>
        </c:dLbls>
        <c:gapWidth val="190"/>
        <c:overlap val="100"/>
        <c:axId val="343178255"/>
        <c:axId val="1296126783"/>
      </c:barChart>
      <c:catAx>
        <c:axId val="343178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600"/>
            </a:pPr>
            <a:endParaRPr lang="es-PE"/>
          </a:p>
        </c:txPr>
        <c:crossAx val="1296126783"/>
        <c:crosses val="autoZero"/>
        <c:auto val="1"/>
        <c:lblAlgn val="ctr"/>
        <c:lblOffset val="100"/>
        <c:tickLblSkip val="1"/>
        <c:noMultiLvlLbl val="0"/>
      </c:catAx>
      <c:valAx>
        <c:axId val="1296126783"/>
        <c:scaling>
          <c:orientation val="minMax"/>
        </c:scaling>
        <c:delete val="1"/>
        <c:axPos val="l"/>
        <c:numFmt formatCode="_(* #,##0.00_);_(* \(#,##0.00\);_(* &quot;-&quot;??_);_(@_)" sourceLinked="1"/>
        <c:majorTickMark val="none"/>
        <c:minorTickMark val="none"/>
        <c:tickLblPos val="nextTo"/>
        <c:crossAx val="343178255"/>
        <c:crosses val="autoZero"/>
        <c:crossBetween val="between"/>
      </c:valAx>
    </c:plotArea>
    <c:plotVisOnly val="0"/>
    <c:dispBlanksAs val="zero"/>
    <c:showDLblsOverMax val="0"/>
    <c:extLst>
      <c:ext xmlns:c16r3="http://schemas.microsoft.com/office/drawing/2017/03/chart" uri="{56B9EC1D-385E-4148-901F-78D8002777C0}">
        <c16r3:dataDisplayOptions16>
          <c16r3:dispNaAsBlank val="1"/>
        </c16r3:dataDisplayOptions16>
      </c:ext>
    </c:extLst>
  </c:chart>
  <c:txPr>
    <a:bodyPr/>
    <a:lstStyle/>
    <a:p>
      <a:pPr>
        <a:defRPr sz="6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col"/>
        <c:grouping val="stacked"/>
        <c:varyColors val="0"/>
        <c:ser>
          <c:idx val="0"/>
          <c:order val="0"/>
          <c:tx>
            <c:strRef>
              <c:f>Presentacion!$DO$56</c:f>
              <c:strCache>
                <c:ptCount val="1"/>
                <c:pt idx="0">
                  <c:v>Materials</c:v>
                </c:pt>
              </c:strCache>
            </c:strRef>
          </c:tx>
          <c:spPr>
            <a:solidFill>
              <a:srgbClr val="E3F2ED"/>
            </a:solidFill>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Presentacion!$DT$56:$DU$56</c:f>
              <c:numCache>
                <c:formatCode>_(* #,##0.00_);_(* \(#,##0.00\);_(* "-"??_);_(@_)</c:formatCode>
                <c:ptCount val="2"/>
                <c:pt idx="0" formatCode="_-* #,##0.000_-;\-* #,##0.000_-;_-* &quot;-&quot;??_-;_-@_-">
                  <c:v>10.062476498932281</c:v>
                </c:pt>
                <c:pt idx="1">
                  <c:v>19.451666915257587</c:v>
                </c:pt>
              </c:numCache>
            </c:numRef>
          </c:val>
          <c:extLst>
            <c:ext xmlns:c16="http://schemas.microsoft.com/office/drawing/2014/chart" uri="{C3380CC4-5D6E-409C-BE32-E72D297353CC}">
              <c16:uniqueId val="{00000011-CE07-4808-85CC-586FF800281C}"/>
            </c:ext>
          </c:extLst>
        </c:ser>
        <c:ser>
          <c:idx val="1"/>
          <c:order val="1"/>
          <c:tx>
            <c:strRef>
              <c:f>Presentacion!$DO$57</c:f>
              <c:strCache>
                <c:ptCount val="1"/>
                <c:pt idx="0">
                  <c:v>Materials</c:v>
                </c:pt>
              </c:strCache>
            </c:strRef>
          </c:tx>
          <c:invertIfNegative val="0"/>
          <c:dLbls>
            <c:delete val="1"/>
          </c:dLbls>
          <c:val>
            <c:numRef>
              <c:f>Presentacion!$DT$57:$DU$57</c:f>
              <c:numCache>
                <c:formatCode>_(* #,##0.00_);_(* \(#,##0.00\);_(* "-"??_);_(@_)</c:formatCode>
                <c:ptCount val="2"/>
                <c:pt idx="0" formatCode="_-* #,##0.000_-;\-* #,##0.000_-;_-* &quot;-&quot;??_-;_-@_-">
                  <c:v>0</c:v>
                </c:pt>
                <c:pt idx="1">
                  <c:v>0</c:v>
                </c:pt>
              </c:numCache>
            </c:numRef>
          </c:val>
          <c:extLst>
            <c:ext xmlns:c16="http://schemas.microsoft.com/office/drawing/2014/chart" uri="{C3380CC4-5D6E-409C-BE32-E72D297353CC}">
              <c16:uniqueId val="{00000013-CE07-4808-85CC-586FF800281C}"/>
            </c:ext>
          </c:extLst>
        </c:ser>
        <c:ser>
          <c:idx val="2"/>
          <c:order val="2"/>
          <c:tx>
            <c:strRef>
              <c:f>Presentacion!$DO$58</c:f>
              <c:strCache>
                <c:ptCount val="1"/>
                <c:pt idx="0">
                  <c:v>Utilities</c:v>
                </c:pt>
              </c:strCache>
            </c:strRef>
          </c:tx>
          <c:spPr>
            <a:solidFill>
              <a:srgbClr val="C8E5DC"/>
            </a:solidFill>
          </c:spPr>
          <c:invertIfNegative val="0"/>
          <c:dLbls>
            <c:dLbl>
              <c:idx val="1"/>
              <c:layout>
                <c:manualLayout>
                  <c:x val="0"/>
                  <c:y val="-1.559672929714690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5-CE07-4808-85CC-586FF800281C}"/>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Presentacion!$DT$58:$DU$58</c:f>
              <c:numCache>
                <c:formatCode>_(* #,##0.00_);_(* \(#,##0.00\);_(* "-"??_);_(@_)</c:formatCode>
                <c:ptCount val="2"/>
                <c:pt idx="0" formatCode="_-* #,##0.000_-;\-* #,##0.000_-;_-* &quot;-&quot;??_-;_-@_-">
                  <c:v>8.0617315643032299</c:v>
                </c:pt>
                <c:pt idx="1">
                  <c:v>0.13823890373733341</c:v>
                </c:pt>
              </c:numCache>
            </c:numRef>
          </c:val>
          <c:extLst>
            <c:ext xmlns:c16="http://schemas.microsoft.com/office/drawing/2014/chart" uri="{C3380CC4-5D6E-409C-BE32-E72D297353CC}">
              <c16:uniqueId val="{00000016-CE07-4808-85CC-586FF800281C}"/>
            </c:ext>
          </c:extLst>
        </c:ser>
        <c:ser>
          <c:idx val="3"/>
          <c:order val="3"/>
          <c:tx>
            <c:strRef>
              <c:f>Presentacion!$DO$59</c:f>
              <c:strCache>
                <c:ptCount val="1"/>
                <c:pt idx="0">
                  <c:v>Utilities</c:v>
                </c:pt>
              </c:strCache>
            </c:strRef>
          </c:tx>
          <c:spPr>
            <a:pattFill prst="wdUpDiag">
              <a:fgClr>
                <a:srgbClr val="C8E5DC"/>
              </a:fgClr>
              <a:bgClr>
                <a:sysClr val="window" lastClr="FFFFFF"/>
              </a:bgClr>
            </a:pattFill>
            <a:ln>
              <a:noFill/>
            </a:ln>
          </c:spPr>
          <c:invertIfNegative val="0"/>
          <c:dLbls>
            <c:delete val="1"/>
          </c:dLbls>
          <c:val>
            <c:numRef>
              <c:f>Presentacion!$DT$59:$DU$59</c:f>
              <c:numCache>
                <c:formatCode>_(* #,##0.00_);_(* \(#,##0.00\);_(* "-"??_);_(@_)</c:formatCode>
                <c:ptCount val="2"/>
                <c:pt idx="0" formatCode="_-* #,##0.000_-;\-* #,##0.000_-;_-* &quot;-&quot;??_-;_-@_-">
                  <c:v>1.6803169669645062</c:v>
                </c:pt>
                <c:pt idx="1">
                  <c:v>4.8923727821960865</c:v>
                </c:pt>
              </c:numCache>
            </c:numRef>
          </c:val>
          <c:extLst>
            <c:ext xmlns:c16="http://schemas.microsoft.com/office/drawing/2014/chart" uri="{C3380CC4-5D6E-409C-BE32-E72D297353CC}">
              <c16:uniqueId val="{00000018-CE07-4808-85CC-586FF800281C}"/>
            </c:ext>
          </c:extLst>
        </c:ser>
        <c:ser>
          <c:idx val="4"/>
          <c:order val="4"/>
          <c:tx>
            <c:strRef>
              <c:f>Presentacion!$DO$60</c:f>
              <c:strCache>
                <c:ptCount val="1"/>
                <c:pt idx="0">
                  <c:v>Otros</c:v>
                </c:pt>
              </c:strCache>
            </c:strRef>
          </c:tx>
          <c:spPr>
            <a:solidFill>
              <a:srgbClr val="ACD7CA"/>
            </a:solidFill>
          </c:spPr>
          <c:invertIfNegative val="0"/>
          <c:dLbls>
            <c:dLbl>
              <c:idx val="1"/>
              <c:layout>
                <c:manualLayout>
                  <c:x val="-9.6674407761945537E-17"/>
                  <c:y val="-1.559672929714690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A-CE07-4808-85CC-586FF800281C}"/>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Presentacion!$DT$60:$DU$60</c:f>
              <c:numCache>
                <c:formatCode>_(* #,##0.00_);_(* \(#,##0.00\);_(* "-"??_);_(@_)</c:formatCode>
                <c:ptCount val="2"/>
                <c:pt idx="0" formatCode="_-* #,##0.000_-;\-* #,##0.000_-;_-* &quot;-&quot;??_-;_-@_-">
                  <c:v>22.767372931302024</c:v>
                </c:pt>
                <c:pt idx="1">
                  <c:v>19.551021771858892</c:v>
                </c:pt>
              </c:numCache>
            </c:numRef>
          </c:val>
          <c:extLst>
            <c:ext xmlns:c16="http://schemas.microsoft.com/office/drawing/2014/chart" uri="{C3380CC4-5D6E-409C-BE32-E72D297353CC}">
              <c16:uniqueId val="{0000001B-CE07-4808-85CC-586FF800281C}"/>
            </c:ext>
          </c:extLst>
        </c:ser>
        <c:ser>
          <c:idx val="5"/>
          <c:order val="5"/>
          <c:tx>
            <c:strRef>
              <c:f>Presentacion!$DO$61</c:f>
              <c:strCache>
                <c:ptCount val="1"/>
                <c:pt idx="0">
                  <c:v>Otros</c:v>
                </c:pt>
              </c:strCache>
            </c:strRef>
          </c:tx>
          <c:spPr>
            <a:pattFill prst="wdUpDiag">
              <a:fgClr>
                <a:srgbClr val="ACD7CA"/>
              </a:fgClr>
              <a:bgClr>
                <a:sysClr val="window" lastClr="FFFFFF"/>
              </a:bgClr>
            </a:pattFill>
            <a:ln>
              <a:noFill/>
            </a:ln>
          </c:spPr>
          <c:invertIfNegative val="0"/>
          <c:dLbls>
            <c:delete val="1"/>
          </c:dLbls>
          <c:val>
            <c:numRef>
              <c:f>Presentacion!$DT$61:$DU$61</c:f>
              <c:numCache>
                <c:formatCode>_(* #,##0.00_);_(* \(#,##0.00\);_(* "-"??_);_(@_)</c:formatCode>
                <c:ptCount val="2"/>
                <c:pt idx="0" formatCode="_-* #,##0.000_-;\-* #,##0.000_-;_-* &quot;-&quot;??_-;_-@_-">
                  <c:v>3.2520107827340254</c:v>
                </c:pt>
                <c:pt idx="1">
                  <c:v>2.7311760922794637</c:v>
                </c:pt>
              </c:numCache>
            </c:numRef>
          </c:val>
          <c:extLst>
            <c:ext xmlns:c16="http://schemas.microsoft.com/office/drawing/2014/chart" uri="{C3380CC4-5D6E-409C-BE32-E72D297353CC}">
              <c16:uniqueId val="{0000001D-CE07-4808-85CC-586FF800281C}"/>
            </c:ext>
          </c:extLst>
        </c:ser>
        <c:ser>
          <c:idx val="6"/>
          <c:order val="6"/>
          <c:tx>
            <c:strRef>
              <c:f>Presentacion!$DO$62</c:f>
              <c:strCache>
                <c:ptCount val="1"/>
                <c:pt idx="0">
                  <c:v>RF</c:v>
                </c:pt>
              </c:strCache>
            </c:strRef>
          </c:tx>
          <c:spPr>
            <a:solidFill>
              <a:srgbClr val="B7EEFF"/>
            </a:solidFill>
          </c:spPr>
          <c:invertIfNegative val="0"/>
          <c:dLbls>
            <c:dLbl>
              <c:idx val="1"/>
              <c:layout>
                <c:manualLayout>
                  <c:x val="-9.6674407761945537E-17"/>
                  <c:y val="7.5086986778009068E-3"/>
                </c:manualLayout>
              </c:layout>
              <c:spPr>
                <a:noFill/>
                <a:ln>
                  <a:noFill/>
                </a:ln>
                <a:effectLst/>
              </c:spPr>
              <c:txPr>
                <a:bodyPr/>
                <a:lstStyle/>
                <a:p>
                  <a:pPr>
                    <a:defRPr sz="700"/>
                  </a:pPr>
                  <a:endParaRPr lang="es-PE"/>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E07-4808-85CC-586FF800281C}"/>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Presentacion!$DT$62:$DU$62</c:f>
              <c:numCache>
                <c:formatCode>_(* #,##0.00_);_(* \(#,##0.00\);_(* "-"??_);_(@_)</c:formatCode>
                <c:ptCount val="2"/>
                <c:pt idx="0" formatCode="_-* #,##0.000_-;\-* #,##0.000_-;_-* &quot;-&quot;??_-;_-@_-">
                  <c:v>4.3710745892349445</c:v>
                </c:pt>
                <c:pt idx="1">
                  <c:v>4.9054497530160592</c:v>
                </c:pt>
              </c:numCache>
            </c:numRef>
          </c:val>
          <c:extLst>
            <c:ext xmlns:c16="http://schemas.microsoft.com/office/drawing/2014/chart" uri="{C3380CC4-5D6E-409C-BE32-E72D297353CC}">
              <c16:uniqueId val="{00000020-CE07-4808-85CC-586FF800281C}"/>
            </c:ext>
          </c:extLst>
        </c:ser>
        <c:ser>
          <c:idx val="7"/>
          <c:order val="7"/>
          <c:tx>
            <c:strRef>
              <c:f>Presentacion!$DO$63</c:f>
              <c:strCache>
                <c:ptCount val="1"/>
                <c:pt idx="0">
                  <c:v>RF Proxies</c:v>
                </c:pt>
              </c:strCache>
            </c:strRef>
          </c:tx>
          <c:spPr>
            <a:pattFill prst="wdUpDiag">
              <a:fgClr>
                <a:srgbClr val="B7EEFF"/>
              </a:fgClr>
              <a:bgClr>
                <a:sysClr val="window" lastClr="FFFFFF"/>
              </a:bgClr>
            </a:pattFill>
            <a:ln>
              <a:noFill/>
            </a:ln>
          </c:spPr>
          <c:invertIfNegative val="0"/>
          <c:dLbls>
            <c:delete val="1"/>
          </c:dLbls>
          <c:val>
            <c:numRef>
              <c:f>Presentacion!$DT$63:$DU$63</c:f>
              <c:numCache>
                <c:formatCode>_(* #,##0.00_);_(* \(#,##0.00\);_(* "-"??_);_(@_)</c:formatCode>
                <c:ptCount val="2"/>
                <c:pt idx="0" formatCode="_-* #,##0.000_-;\-* #,##0.000_-;_-* &quot;-&quot;??_-;_-@_-">
                  <c:v>3.5278695426152442</c:v>
                </c:pt>
                <c:pt idx="1">
                  <c:v>2.014694722940805</c:v>
                </c:pt>
              </c:numCache>
            </c:numRef>
          </c:val>
          <c:extLst>
            <c:ext xmlns:c16="http://schemas.microsoft.com/office/drawing/2014/chart" uri="{C3380CC4-5D6E-409C-BE32-E72D297353CC}">
              <c16:uniqueId val="{00000022-CE07-4808-85CC-586FF800281C}"/>
            </c:ext>
          </c:extLst>
        </c:ser>
        <c:ser>
          <c:idx val="8"/>
          <c:order val="8"/>
          <c:tx>
            <c:strRef>
              <c:f>Presentacion!$DO$64</c:f>
              <c:strCache>
                <c:ptCount val="1"/>
                <c:pt idx="0">
                  <c:v>ETF Sobs</c:v>
                </c:pt>
              </c:strCache>
            </c:strRef>
          </c:tx>
          <c:spPr>
            <a:solidFill>
              <a:srgbClr val="AFC3E6"/>
            </a:solidFill>
          </c:spPr>
          <c:invertIfNegative val="0"/>
          <c:dLbls>
            <c:spPr>
              <a:noFill/>
              <a:ln>
                <a:noFill/>
              </a:ln>
              <a:effectLst/>
            </c:spPr>
            <c:txPr>
              <a:bodyPr wrap="square" lIns="38100" tIns="19050" rIns="38100" bIns="19050" anchor="ctr">
                <a:spAutoFit/>
              </a:bodyPr>
              <a:lstStyle/>
              <a:p>
                <a:pPr>
                  <a:defRPr sz="500"/>
                </a:pPr>
                <a:endParaRPr lang="es-PE"/>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Presentacion!$DT$64:$DU$64</c:f>
              <c:numCache>
                <c:formatCode>_(* #,##0.00_);_(* \(#,##0.00\);_(* "-"??_);_(@_)</c:formatCode>
                <c:ptCount val="2"/>
              </c:numCache>
            </c:numRef>
          </c:val>
          <c:extLst>
            <c:ext xmlns:c16="http://schemas.microsoft.com/office/drawing/2014/chart" uri="{C3380CC4-5D6E-409C-BE32-E72D297353CC}">
              <c16:uniqueId val="{00000024-CE07-4808-85CC-586FF800281C}"/>
            </c:ext>
          </c:extLst>
        </c:ser>
        <c:ser>
          <c:idx val="9"/>
          <c:order val="9"/>
          <c:tx>
            <c:strRef>
              <c:f>Presentacion!$DO$65</c:f>
              <c:strCache>
                <c:ptCount val="1"/>
                <c:pt idx="0">
                  <c:v>ETF Sobs Proxies</c:v>
                </c:pt>
              </c:strCache>
            </c:strRef>
          </c:tx>
          <c:invertIfNegative val="0"/>
          <c:dLbls>
            <c:delete val="1"/>
          </c:dLbls>
          <c:val>
            <c:numRef>
              <c:f>Presentacion!$DT$65:$DU$65</c:f>
              <c:numCache>
                <c:formatCode>_(* #,##0.00_);_(* \(#,##0.00\);_(* "-"??_);_(@_)</c:formatCode>
                <c:ptCount val="2"/>
                <c:pt idx="0" formatCode="_-* #,##0.000_-;\-* #,##0.000_-;_-* &quot;-&quot;??_-;_-@_-">
                  <c:v>0</c:v>
                </c:pt>
                <c:pt idx="1">
                  <c:v>0</c:v>
                </c:pt>
              </c:numCache>
            </c:numRef>
          </c:val>
          <c:extLst>
            <c:ext xmlns:c16="http://schemas.microsoft.com/office/drawing/2014/chart" uri="{C3380CC4-5D6E-409C-BE32-E72D297353CC}">
              <c16:uniqueId val="{00000026-CE07-4808-85CC-586FF800281C}"/>
            </c:ext>
          </c:extLst>
        </c:ser>
        <c:ser>
          <c:idx val="10"/>
          <c:order val="10"/>
          <c:tx>
            <c:strRef>
              <c:f>Presentacion!$DO$66</c:f>
              <c:strCache>
                <c:ptCount val="1"/>
                <c:pt idx="0">
                  <c:v>RV</c:v>
                </c:pt>
              </c:strCache>
            </c:strRef>
          </c:tx>
          <c:spPr>
            <a:solidFill>
              <a:srgbClr val="D4EAF3"/>
            </a:solidFill>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Presentacion!$DT$66:$DU$66</c:f>
              <c:numCache>
                <c:formatCode>_(* #,##0.00_);_(* \(#,##0.00\);_(* "-"??_);_(@_)</c:formatCode>
                <c:ptCount val="2"/>
                <c:pt idx="0" formatCode="_-* #,##0.000_-;\-* #,##0.000_-;_-* &quot;-&quot;??_-;_-@_-">
                  <c:v>6.8924017310817058</c:v>
                </c:pt>
                <c:pt idx="1">
                  <c:v>10.683640858295023</c:v>
                </c:pt>
              </c:numCache>
            </c:numRef>
          </c:val>
          <c:extLst>
            <c:ext xmlns:c16="http://schemas.microsoft.com/office/drawing/2014/chart" uri="{C3380CC4-5D6E-409C-BE32-E72D297353CC}">
              <c16:uniqueId val="{00000028-CE07-4808-85CC-586FF800281C}"/>
            </c:ext>
          </c:extLst>
        </c:ser>
        <c:ser>
          <c:idx val="11"/>
          <c:order val="11"/>
          <c:tx>
            <c:strRef>
              <c:f>Presentacion!$DO$67</c:f>
              <c:strCache>
                <c:ptCount val="1"/>
                <c:pt idx="0">
                  <c:v>RV Proxies</c:v>
                </c:pt>
              </c:strCache>
            </c:strRef>
          </c:tx>
          <c:invertIfNegative val="0"/>
          <c:dLbls>
            <c:delete val="1"/>
          </c:dLbls>
          <c:val>
            <c:numRef>
              <c:f>Presentacion!$DT$67:$DU$67</c:f>
              <c:numCache>
                <c:formatCode>_(* #,##0.00_);_(* \(#,##0.00\);_(* "-"??_);_(@_)</c:formatCode>
                <c:ptCount val="2"/>
                <c:pt idx="0" formatCode="_-* #,##0.000_-;\-* #,##0.000_-;_-* &quot;-&quot;??_-;_-@_-">
                  <c:v>2.5470925277397077E-7</c:v>
                </c:pt>
                <c:pt idx="1">
                  <c:v>1.6041272588602983E-5</c:v>
                </c:pt>
              </c:numCache>
            </c:numRef>
          </c:val>
          <c:extLst>
            <c:ext xmlns:c16="http://schemas.microsoft.com/office/drawing/2014/chart" uri="{C3380CC4-5D6E-409C-BE32-E72D297353CC}">
              <c16:uniqueId val="{0000002A-CE07-4808-85CC-586FF800281C}"/>
            </c:ext>
          </c:extLst>
        </c:ser>
        <c:ser>
          <c:idx val="12"/>
          <c:order val="12"/>
          <c:tx>
            <c:strRef>
              <c:f>Presentacion!$DO$68</c:f>
              <c:strCache>
                <c:ptCount val="1"/>
                <c:pt idx="0">
                  <c:v>Alts</c:v>
                </c:pt>
              </c:strCache>
            </c:strRef>
          </c:tx>
          <c:spPr>
            <a:pattFill prst="wdUpDiag">
              <a:fgClr>
                <a:srgbClr val="516FED"/>
              </a:fgClr>
              <a:bgClr>
                <a:sysClr val="window" lastClr="FFFFFF"/>
              </a:bgClr>
            </a:pattFill>
          </c:spPr>
          <c:invertIfNegative val="0"/>
          <c:dLbls>
            <c:dLbl>
              <c:idx val="0"/>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C-CE07-4808-85CC-586FF800281C}"/>
                </c:ext>
              </c:extLst>
            </c:dLbl>
            <c:dLbl>
              <c:idx val="1"/>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D-CE07-4808-85CC-586FF800281C}"/>
                </c:ext>
              </c:extLst>
            </c:dLbl>
            <c:spPr>
              <a:noFill/>
              <a:ln>
                <a:noFill/>
              </a:ln>
              <a:effectLst/>
            </c:spPr>
            <c:txPr>
              <a:bodyPr/>
              <a:lstStyle/>
              <a:p>
                <a:pPr>
                  <a:defRPr sz="700">
                    <a:highlight>
                      <a:srgbClr val="D4EAF3"/>
                    </a:highlight>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Presentacion!$DT$68:$DU$68</c:f>
              <c:numCache>
                <c:formatCode>_(* #,##0.00_);_(* \(#,##0.00\);_(* "-"??_);_(@_)</c:formatCode>
                <c:ptCount val="2"/>
                <c:pt idx="0" formatCode="_-* #,##0.000_-;\-* #,##0.000_-;_-* &quot;-&quot;??_-;_-@_-">
                  <c:v>9.4866060202353335</c:v>
                </c:pt>
                <c:pt idx="1">
                  <c:v>8.3423015878536066</c:v>
                </c:pt>
              </c:numCache>
            </c:numRef>
          </c:val>
          <c:extLst>
            <c:ext xmlns:c16="http://schemas.microsoft.com/office/drawing/2014/chart" uri="{C3380CC4-5D6E-409C-BE32-E72D297353CC}">
              <c16:uniqueId val="{0000002E-CE07-4808-85CC-586FF800281C}"/>
            </c:ext>
          </c:extLst>
        </c:ser>
        <c:dLbls>
          <c:showLegendKey val="0"/>
          <c:showVal val="1"/>
          <c:showCatName val="0"/>
          <c:showSerName val="0"/>
          <c:showPercent val="0"/>
          <c:showBubbleSize val="0"/>
        </c:dLbls>
        <c:gapWidth val="190"/>
        <c:overlap val="100"/>
        <c:axId val="343178255"/>
        <c:axId val="1296126783"/>
      </c:barChart>
      <c:catAx>
        <c:axId val="343178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600"/>
            </a:pPr>
            <a:endParaRPr lang="es-PE"/>
          </a:p>
        </c:txPr>
        <c:crossAx val="1296126783"/>
        <c:crosses val="autoZero"/>
        <c:auto val="1"/>
        <c:lblAlgn val="ctr"/>
        <c:lblOffset val="100"/>
        <c:tickLblSkip val="1"/>
        <c:noMultiLvlLbl val="0"/>
      </c:catAx>
      <c:valAx>
        <c:axId val="1296126783"/>
        <c:scaling>
          <c:orientation val="minMax"/>
        </c:scaling>
        <c:delete val="1"/>
        <c:axPos val="l"/>
        <c:numFmt formatCode="_-* #,##0.000_-;\-* #,##0.000_-;_-* &quot;-&quot;??_-;_-@_-" sourceLinked="1"/>
        <c:majorTickMark val="none"/>
        <c:minorTickMark val="none"/>
        <c:tickLblPos val="nextTo"/>
        <c:crossAx val="343178255"/>
        <c:crosses val="autoZero"/>
        <c:crossBetween val="between"/>
      </c:valAx>
    </c:plotArea>
    <c:plotVisOnly val="0"/>
    <c:dispBlanksAs val="zero"/>
    <c:showDLblsOverMax val="0"/>
    <c:extLst/>
  </c:chart>
  <c:txPr>
    <a:bodyPr/>
    <a:lstStyle/>
    <a:p>
      <a:pPr>
        <a:defRPr sz="6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5.xml.rels><?xml version="1.0" encoding="UTF-8" standalone="yes"?>
<Relationships xmlns="http://schemas.openxmlformats.org/package/2006/relationships"><Relationship Id="rId13" Type="http://schemas.openxmlformats.org/officeDocument/2006/relationships/chart" Target="../charts/chart12.xml"/><Relationship Id="rId18" Type="http://schemas.openxmlformats.org/officeDocument/2006/relationships/chart" Target="../charts/chart17.xml"/><Relationship Id="rId26" Type="http://schemas.openxmlformats.org/officeDocument/2006/relationships/chart" Target="../charts/chart25.xml"/><Relationship Id="rId3" Type="http://schemas.openxmlformats.org/officeDocument/2006/relationships/chart" Target="../charts/chart3.xml"/><Relationship Id="rId21" Type="http://schemas.openxmlformats.org/officeDocument/2006/relationships/chart" Target="../charts/chart20.xml"/><Relationship Id="rId34" Type="http://schemas.openxmlformats.org/officeDocument/2006/relationships/chart" Target="../charts/chart33.xml"/><Relationship Id="rId7" Type="http://schemas.openxmlformats.org/officeDocument/2006/relationships/chart" Target="../charts/chart6.xml"/><Relationship Id="rId12" Type="http://schemas.openxmlformats.org/officeDocument/2006/relationships/chart" Target="../charts/chart11.xml"/><Relationship Id="rId17" Type="http://schemas.openxmlformats.org/officeDocument/2006/relationships/chart" Target="../charts/chart16.xml"/><Relationship Id="rId25" Type="http://schemas.openxmlformats.org/officeDocument/2006/relationships/chart" Target="../charts/chart24.xml"/><Relationship Id="rId33" Type="http://schemas.openxmlformats.org/officeDocument/2006/relationships/chart" Target="../charts/chart32.xml"/><Relationship Id="rId2" Type="http://schemas.openxmlformats.org/officeDocument/2006/relationships/chart" Target="../charts/chart2.xml"/><Relationship Id="rId16" Type="http://schemas.openxmlformats.org/officeDocument/2006/relationships/chart" Target="../charts/chart15.xml"/><Relationship Id="rId20" Type="http://schemas.openxmlformats.org/officeDocument/2006/relationships/chart" Target="../charts/chart19.xml"/><Relationship Id="rId29" Type="http://schemas.openxmlformats.org/officeDocument/2006/relationships/chart" Target="../charts/chart28.xml"/><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chart" Target="../charts/chart10.xml"/><Relationship Id="rId24" Type="http://schemas.openxmlformats.org/officeDocument/2006/relationships/chart" Target="../charts/chart23.xml"/><Relationship Id="rId32" Type="http://schemas.openxmlformats.org/officeDocument/2006/relationships/chart" Target="../charts/chart31.xml"/><Relationship Id="rId5" Type="http://schemas.openxmlformats.org/officeDocument/2006/relationships/image" Target="../media/image15.png"/><Relationship Id="rId15" Type="http://schemas.openxmlformats.org/officeDocument/2006/relationships/chart" Target="../charts/chart14.xml"/><Relationship Id="rId23" Type="http://schemas.openxmlformats.org/officeDocument/2006/relationships/chart" Target="../charts/chart22.xml"/><Relationship Id="rId28" Type="http://schemas.openxmlformats.org/officeDocument/2006/relationships/chart" Target="../charts/chart27.xml"/><Relationship Id="rId36" Type="http://schemas.openxmlformats.org/officeDocument/2006/relationships/chart" Target="../charts/chart35.xml"/><Relationship Id="rId10" Type="http://schemas.openxmlformats.org/officeDocument/2006/relationships/chart" Target="../charts/chart9.xml"/><Relationship Id="rId19" Type="http://schemas.openxmlformats.org/officeDocument/2006/relationships/chart" Target="../charts/chart18.xml"/><Relationship Id="rId31" Type="http://schemas.openxmlformats.org/officeDocument/2006/relationships/chart" Target="../charts/chart30.xml"/><Relationship Id="rId4" Type="http://schemas.openxmlformats.org/officeDocument/2006/relationships/chart" Target="../charts/chart4.xml"/><Relationship Id="rId9" Type="http://schemas.openxmlformats.org/officeDocument/2006/relationships/chart" Target="../charts/chart8.xml"/><Relationship Id="rId14" Type="http://schemas.openxmlformats.org/officeDocument/2006/relationships/chart" Target="../charts/chart13.xml"/><Relationship Id="rId22" Type="http://schemas.openxmlformats.org/officeDocument/2006/relationships/chart" Target="../charts/chart21.xml"/><Relationship Id="rId27" Type="http://schemas.openxmlformats.org/officeDocument/2006/relationships/chart" Target="../charts/chart26.xml"/><Relationship Id="rId30" Type="http://schemas.openxmlformats.org/officeDocument/2006/relationships/chart" Target="../charts/chart29.xml"/><Relationship Id="rId35" Type="http://schemas.openxmlformats.org/officeDocument/2006/relationships/chart" Target="../charts/chart34.xml"/><Relationship Id="rId8"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image" Target="../media/image16.png"/></Relationships>
</file>

<file path=xl/drawings/_rels/drawing7.xml.rels><?xml version="1.0" encoding="UTF-8" standalone="yes"?>
<Relationships xmlns="http://schemas.openxmlformats.org/package/2006/relationships"><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1</xdr:col>
      <xdr:colOff>172554</xdr:colOff>
      <xdr:row>85</xdr:row>
      <xdr:rowOff>188800</xdr:rowOff>
    </xdr:from>
    <xdr:to>
      <xdr:col>9</xdr:col>
      <xdr:colOff>224118</xdr:colOff>
      <xdr:row>91</xdr:row>
      <xdr:rowOff>36572</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396672" y="17894094"/>
          <a:ext cx="4959740" cy="1046802"/>
        </a:xfrm>
        <a:prstGeom prst="rect">
          <a:avLst/>
        </a:prstGeom>
      </xdr:spPr>
    </xdr:pic>
    <xdr:clientData/>
  </xdr:twoCellAnchor>
  <xdr:twoCellAnchor editAs="oneCell">
    <xdr:from>
      <xdr:col>1</xdr:col>
      <xdr:colOff>172554</xdr:colOff>
      <xdr:row>98</xdr:row>
      <xdr:rowOff>5979</xdr:rowOff>
    </xdr:from>
    <xdr:to>
      <xdr:col>9</xdr:col>
      <xdr:colOff>268941</xdr:colOff>
      <xdr:row>102</xdr:row>
      <xdr:rowOff>138380</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396672" y="20333450"/>
          <a:ext cx="5004563" cy="939224"/>
        </a:xfrm>
        <a:prstGeom prst="rect">
          <a:avLst/>
        </a:prstGeom>
      </xdr:spPr>
    </xdr:pic>
    <xdr:clientData/>
  </xdr:twoCellAnchor>
  <xdr:twoCellAnchor editAs="oneCell">
    <xdr:from>
      <xdr:col>1</xdr:col>
      <xdr:colOff>172555</xdr:colOff>
      <xdr:row>104</xdr:row>
      <xdr:rowOff>7790</xdr:rowOff>
    </xdr:from>
    <xdr:to>
      <xdr:col>8</xdr:col>
      <xdr:colOff>448236</xdr:colOff>
      <xdr:row>112</xdr:row>
      <xdr:rowOff>1264</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396673" y="21545496"/>
          <a:ext cx="4578739" cy="1607121"/>
        </a:xfrm>
        <a:prstGeom prst="rect">
          <a:avLst/>
        </a:prstGeom>
      </xdr:spPr>
    </xdr:pic>
    <xdr:clientData/>
  </xdr:twoCellAnchor>
  <xdr:twoCellAnchor editAs="oneCell">
    <xdr:from>
      <xdr:col>9</xdr:col>
      <xdr:colOff>300404</xdr:colOff>
      <xdr:row>28</xdr:row>
      <xdr:rowOff>41415</xdr:rowOff>
    </xdr:from>
    <xdr:to>
      <xdr:col>17</xdr:col>
      <xdr:colOff>6629</xdr:colOff>
      <xdr:row>33</xdr:row>
      <xdr:rowOff>145216</xdr:rowOff>
    </xdr:to>
    <xdr:pic>
      <xdr:nvPicPr>
        <xdr:cNvPr id="9" name="Picture 8">
          <a:extLst>
            <a:ext uri="{FF2B5EF4-FFF2-40B4-BE49-F238E27FC236}">
              <a16:creationId xmlns:a16="http://schemas.microsoft.com/office/drawing/2014/main" id="{BBB27737-F4CD-F165-64CF-F5F3619DC50C}"/>
            </a:ext>
          </a:extLst>
        </xdr:cNvPr>
        <xdr:cNvPicPr>
          <a:picLocks noChangeAspect="1"/>
        </xdr:cNvPicPr>
      </xdr:nvPicPr>
      <xdr:blipFill>
        <a:blip xmlns:r="http://schemas.openxmlformats.org/officeDocument/2006/relationships" r:embed="rId4"/>
        <a:stretch>
          <a:fillRect/>
        </a:stretch>
      </xdr:blipFill>
      <xdr:spPr>
        <a:xfrm>
          <a:off x="5485317" y="6336198"/>
          <a:ext cx="4609529" cy="1072867"/>
        </a:xfrm>
        <a:prstGeom prst="rect">
          <a:avLst/>
        </a:prstGeom>
      </xdr:spPr>
    </xdr:pic>
    <xdr:clientData/>
  </xdr:twoCellAnchor>
  <xdr:twoCellAnchor editAs="oneCell">
    <xdr:from>
      <xdr:col>0</xdr:col>
      <xdr:colOff>197827</xdr:colOff>
      <xdr:row>28</xdr:row>
      <xdr:rowOff>41415</xdr:rowOff>
    </xdr:from>
    <xdr:to>
      <xdr:col>9</xdr:col>
      <xdr:colOff>146538</xdr:colOff>
      <xdr:row>33</xdr:row>
      <xdr:rowOff>20168</xdr:rowOff>
    </xdr:to>
    <xdr:pic>
      <xdr:nvPicPr>
        <xdr:cNvPr id="3" name="Picture 2">
          <a:extLst>
            <a:ext uri="{FF2B5EF4-FFF2-40B4-BE49-F238E27FC236}">
              <a16:creationId xmlns:a16="http://schemas.microsoft.com/office/drawing/2014/main" id="{37D91C34-32F3-9D19-FEBB-C18FA4C16F13}"/>
            </a:ext>
          </a:extLst>
        </xdr:cNvPr>
        <xdr:cNvPicPr>
          <a:picLocks noChangeAspect="1"/>
        </xdr:cNvPicPr>
      </xdr:nvPicPr>
      <xdr:blipFill>
        <a:blip xmlns:r="http://schemas.openxmlformats.org/officeDocument/2006/relationships" r:embed="rId5"/>
        <a:stretch>
          <a:fillRect/>
        </a:stretch>
      </xdr:blipFill>
      <xdr:spPr>
        <a:xfrm>
          <a:off x="197827" y="6336198"/>
          <a:ext cx="5133624" cy="947819"/>
        </a:xfrm>
        <a:prstGeom prst="rect">
          <a:avLst/>
        </a:prstGeom>
      </xdr:spPr>
    </xdr:pic>
    <xdr:clientData/>
  </xdr:twoCellAnchor>
  <xdr:twoCellAnchor>
    <xdr:from>
      <xdr:col>4</xdr:col>
      <xdr:colOff>506329</xdr:colOff>
      <xdr:row>28</xdr:row>
      <xdr:rowOff>0</xdr:rowOff>
    </xdr:from>
    <xdr:to>
      <xdr:col>9</xdr:col>
      <xdr:colOff>155408</xdr:colOff>
      <xdr:row>32</xdr:row>
      <xdr:rowOff>177880</xdr:rowOff>
    </xdr:to>
    <xdr:sp macro="" textlink="">
      <xdr:nvSpPr>
        <xdr:cNvPr id="4" name="Rectangle 3">
          <a:extLst>
            <a:ext uri="{FF2B5EF4-FFF2-40B4-BE49-F238E27FC236}">
              <a16:creationId xmlns:a16="http://schemas.microsoft.com/office/drawing/2014/main" id="{80905D31-DE0F-8B68-795A-38270BC2372D}"/>
            </a:ext>
          </a:extLst>
        </xdr:cNvPr>
        <xdr:cNvSpPr/>
      </xdr:nvSpPr>
      <xdr:spPr>
        <a:xfrm>
          <a:off x="2626677" y="6427544"/>
          <a:ext cx="2713644" cy="1055597"/>
        </a:xfrm>
        <a:prstGeom prst="rect">
          <a:avLst/>
        </a:prstGeom>
        <a:noFill/>
        <a:ln>
          <a:solidFill>
            <a:srgbClr val="EE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5</xdr:col>
      <xdr:colOff>369094</xdr:colOff>
      <xdr:row>32</xdr:row>
      <xdr:rowOff>65484</xdr:rowOff>
    </xdr:from>
    <xdr:to>
      <xdr:col>9</xdr:col>
      <xdr:colOff>559594</xdr:colOff>
      <xdr:row>32</xdr:row>
      <xdr:rowOff>83343</xdr:rowOff>
    </xdr:to>
    <xdr:cxnSp macro="">
      <xdr:nvCxnSpPr>
        <xdr:cNvPr id="13" name="Straight Arrow Connector 12">
          <a:extLst>
            <a:ext uri="{FF2B5EF4-FFF2-40B4-BE49-F238E27FC236}">
              <a16:creationId xmlns:a16="http://schemas.microsoft.com/office/drawing/2014/main" id="{C584751F-2F9E-A569-0C7C-50E8FF9F6202}"/>
            </a:ext>
          </a:extLst>
        </xdr:cNvPr>
        <xdr:cNvCxnSpPr/>
      </xdr:nvCxnSpPr>
      <xdr:spPr>
        <a:xfrm flipV="1">
          <a:off x="3089672" y="6863953"/>
          <a:ext cx="2619375" cy="17859"/>
        </a:xfrm>
        <a:prstGeom prst="straightConnector1">
          <a:avLst/>
        </a:prstGeom>
        <a:ln>
          <a:solidFill>
            <a:srgbClr val="EE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417990</xdr:colOff>
      <xdr:row>62</xdr:row>
      <xdr:rowOff>197828</xdr:rowOff>
    </xdr:from>
    <xdr:to>
      <xdr:col>10</xdr:col>
      <xdr:colOff>458390</xdr:colOff>
      <xdr:row>74</xdr:row>
      <xdr:rowOff>163476</xdr:rowOff>
    </xdr:to>
    <xdr:pic>
      <xdr:nvPicPr>
        <xdr:cNvPr id="2" name="Picture 1">
          <a:extLst>
            <a:ext uri="{FF2B5EF4-FFF2-40B4-BE49-F238E27FC236}">
              <a16:creationId xmlns:a16="http://schemas.microsoft.com/office/drawing/2014/main" id="{10971F1E-BC12-25D7-21F2-FBF7CBD8FD4B}"/>
            </a:ext>
          </a:extLst>
        </xdr:cNvPr>
        <xdr:cNvPicPr>
          <a:picLocks noChangeAspect="1"/>
        </xdr:cNvPicPr>
      </xdr:nvPicPr>
      <xdr:blipFill>
        <a:blip xmlns:r="http://schemas.openxmlformats.org/officeDocument/2006/relationships" r:embed="rId6"/>
        <a:stretch>
          <a:fillRect/>
        </a:stretch>
      </xdr:blipFill>
      <xdr:spPr>
        <a:xfrm>
          <a:off x="3156428" y="12818453"/>
          <a:ext cx="3102007" cy="2414934"/>
        </a:xfrm>
        <a:prstGeom prst="rect">
          <a:avLst/>
        </a:prstGeom>
      </xdr:spPr>
    </xdr:pic>
    <xdr:clientData/>
  </xdr:twoCellAnchor>
  <xdr:twoCellAnchor>
    <xdr:from>
      <xdr:col>10</xdr:col>
      <xdr:colOff>12822</xdr:colOff>
      <xdr:row>63</xdr:row>
      <xdr:rowOff>8702</xdr:rowOff>
    </xdr:from>
    <xdr:to>
      <xdr:col>10</xdr:col>
      <xdr:colOff>420199</xdr:colOff>
      <xdr:row>63</xdr:row>
      <xdr:rowOff>108348</xdr:rowOff>
    </xdr:to>
    <xdr:sp macro="" textlink="">
      <xdr:nvSpPr>
        <xdr:cNvPr id="10" name="Rectangle 9">
          <a:extLst>
            <a:ext uri="{FF2B5EF4-FFF2-40B4-BE49-F238E27FC236}">
              <a16:creationId xmlns:a16="http://schemas.microsoft.com/office/drawing/2014/main" id="{104A5865-8D44-2A4B-9091-A6B10567AD27}"/>
            </a:ext>
          </a:extLst>
        </xdr:cNvPr>
        <xdr:cNvSpPr/>
      </xdr:nvSpPr>
      <xdr:spPr>
        <a:xfrm>
          <a:off x="5769494" y="12867452"/>
          <a:ext cx="407377" cy="99646"/>
        </a:xfrm>
        <a:prstGeom prst="rect">
          <a:avLst/>
        </a:prstGeom>
        <a:noFill/>
        <a:ln>
          <a:solidFill>
            <a:srgbClr val="EE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9</xdr:col>
      <xdr:colOff>315516</xdr:colOff>
      <xdr:row>70</xdr:row>
      <xdr:rowOff>47625</xdr:rowOff>
    </xdr:from>
    <xdr:to>
      <xdr:col>9</xdr:col>
      <xdr:colOff>482203</xdr:colOff>
      <xdr:row>72</xdr:row>
      <xdr:rowOff>5954</xdr:rowOff>
    </xdr:to>
    <xdr:cxnSp macro="">
      <xdr:nvCxnSpPr>
        <xdr:cNvPr id="12" name="Straight Arrow Connector 11">
          <a:extLst>
            <a:ext uri="{FF2B5EF4-FFF2-40B4-BE49-F238E27FC236}">
              <a16:creationId xmlns:a16="http://schemas.microsoft.com/office/drawing/2014/main" id="{3DD54B1C-A1DC-4D48-EA9D-B8CCFF6CCB19}"/>
            </a:ext>
          </a:extLst>
        </xdr:cNvPr>
        <xdr:cNvCxnSpPr/>
      </xdr:nvCxnSpPr>
      <xdr:spPr>
        <a:xfrm flipV="1">
          <a:off x="5464969" y="14323219"/>
          <a:ext cx="166687" cy="363141"/>
        </a:xfrm>
        <a:prstGeom prst="straightConnector1">
          <a:avLst/>
        </a:prstGeom>
        <a:ln>
          <a:solidFill>
            <a:srgbClr val="EE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172555</xdr:colOff>
      <xdr:row>92</xdr:row>
      <xdr:rowOff>7323</xdr:rowOff>
    </xdr:from>
    <xdr:to>
      <xdr:col>8</xdr:col>
      <xdr:colOff>526677</xdr:colOff>
      <xdr:row>97</xdr:row>
      <xdr:rowOff>35789</xdr:rowOff>
    </xdr:to>
    <xdr:pic>
      <xdr:nvPicPr>
        <xdr:cNvPr id="18" name="Picture 17">
          <a:extLst>
            <a:ext uri="{FF2B5EF4-FFF2-40B4-BE49-F238E27FC236}">
              <a16:creationId xmlns:a16="http://schemas.microsoft.com/office/drawing/2014/main" id="{16537AAB-A630-4AA2-8AA0-9F146EEA89EF}"/>
            </a:ext>
          </a:extLst>
        </xdr:cNvPr>
        <xdr:cNvPicPr>
          <a:picLocks noChangeAspect="1"/>
        </xdr:cNvPicPr>
      </xdr:nvPicPr>
      <xdr:blipFill>
        <a:blip xmlns:r="http://schemas.openxmlformats.org/officeDocument/2006/relationships" r:embed="rId7"/>
        <a:stretch>
          <a:fillRect/>
        </a:stretch>
      </xdr:blipFill>
      <xdr:spPr>
        <a:xfrm>
          <a:off x="396673" y="19124558"/>
          <a:ext cx="4657180" cy="1036995"/>
        </a:xfrm>
        <a:prstGeom prst="rect">
          <a:avLst/>
        </a:prstGeom>
      </xdr:spPr>
    </xdr:pic>
    <xdr:clientData/>
  </xdr:twoCellAnchor>
  <xdr:twoCellAnchor editAs="oneCell">
    <xdr:from>
      <xdr:col>1</xdr:col>
      <xdr:colOff>531202</xdr:colOff>
      <xdr:row>120</xdr:row>
      <xdr:rowOff>186108</xdr:rowOff>
    </xdr:from>
    <xdr:to>
      <xdr:col>4</xdr:col>
      <xdr:colOff>475774</xdr:colOff>
      <xdr:row>122</xdr:row>
      <xdr:rowOff>100424</xdr:rowOff>
    </xdr:to>
    <xdr:pic>
      <xdr:nvPicPr>
        <xdr:cNvPr id="11" name="Picture 10">
          <a:extLst>
            <a:ext uri="{FF2B5EF4-FFF2-40B4-BE49-F238E27FC236}">
              <a16:creationId xmlns:a16="http://schemas.microsoft.com/office/drawing/2014/main" id="{0F1BE74F-7304-338F-9368-D87558F3B883}"/>
            </a:ext>
          </a:extLst>
        </xdr:cNvPr>
        <xdr:cNvPicPr>
          <a:picLocks noChangeAspect="1"/>
        </xdr:cNvPicPr>
      </xdr:nvPicPr>
      <xdr:blipFill>
        <a:blip xmlns:r="http://schemas.openxmlformats.org/officeDocument/2006/relationships" r:embed="rId8"/>
        <a:stretch>
          <a:fillRect/>
        </a:stretch>
      </xdr:blipFill>
      <xdr:spPr>
        <a:xfrm>
          <a:off x="751010" y="24408916"/>
          <a:ext cx="1834918" cy="295316"/>
        </a:xfrm>
        <a:prstGeom prst="rect">
          <a:avLst/>
        </a:prstGeom>
      </xdr:spPr>
    </xdr:pic>
    <xdr:clientData/>
  </xdr:twoCellAnchor>
  <xdr:twoCellAnchor editAs="oneCell">
    <xdr:from>
      <xdr:col>10</xdr:col>
      <xdr:colOff>558179</xdr:colOff>
      <xdr:row>119</xdr:row>
      <xdr:rowOff>175846</xdr:rowOff>
    </xdr:from>
    <xdr:to>
      <xdr:col>17</xdr:col>
      <xdr:colOff>29308</xdr:colOff>
      <xdr:row>128</xdr:row>
      <xdr:rowOff>40226</xdr:rowOff>
    </xdr:to>
    <xdr:pic>
      <xdr:nvPicPr>
        <xdr:cNvPr id="15" name="Picture 14">
          <a:extLst>
            <a:ext uri="{FF2B5EF4-FFF2-40B4-BE49-F238E27FC236}">
              <a16:creationId xmlns:a16="http://schemas.microsoft.com/office/drawing/2014/main" id="{F8ACFE35-1CF0-C7A5-9320-547B444C0DF7}"/>
            </a:ext>
          </a:extLst>
        </xdr:cNvPr>
        <xdr:cNvPicPr>
          <a:picLocks noChangeAspect="1"/>
        </xdr:cNvPicPr>
      </xdr:nvPicPr>
      <xdr:blipFill>
        <a:blip xmlns:r="http://schemas.openxmlformats.org/officeDocument/2006/relationships" r:embed="rId9"/>
        <a:stretch>
          <a:fillRect/>
        </a:stretch>
      </xdr:blipFill>
      <xdr:spPr>
        <a:xfrm>
          <a:off x="6317141" y="24208154"/>
          <a:ext cx="3728071" cy="1608187"/>
        </a:xfrm>
        <a:prstGeom prst="rect">
          <a:avLst/>
        </a:prstGeom>
      </xdr:spPr>
    </xdr:pic>
    <xdr:clientData/>
  </xdr:twoCellAnchor>
  <xdr:twoCellAnchor editAs="oneCell">
    <xdr:from>
      <xdr:col>1</xdr:col>
      <xdr:colOff>400050</xdr:colOff>
      <xdr:row>133</xdr:row>
      <xdr:rowOff>191520</xdr:rowOff>
    </xdr:from>
    <xdr:to>
      <xdr:col>15</xdr:col>
      <xdr:colOff>522187</xdr:colOff>
      <xdr:row>142</xdr:row>
      <xdr:rowOff>47311</xdr:rowOff>
    </xdr:to>
    <xdr:pic>
      <xdr:nvPicPr>
        <xdr:cNvPr id="19" name="Picture 18">
          <a:extLst>
            <a:ext uri="{FF2B5EF4-FFF2-40B4-BE49-F238E27FC236}">
              <a16:creationId xmlns:a16="http://schemas.microsoft.com/office/drawing/2014/main" id="{16D88FB1-F545-FA25-753F-FF3769420363}"/>
            </a:ext>
          </a:extLst>
        </xdr:cNvPr>
        <xdr:cNvPicPr>
          <a:picLocks noChangeAspect="1"/>
        </xdr:cNvPicPr>
      </xdr:nvPicPr>
      <xdr:blipFill>
        <a:blip xmlns:r="http://schemas.openxmlformats.org/officeDocument/2006/relationships" r:embed="rId10"/>
        <a:stretch>
          <a:fillRect/>
        </a:stretch>
      </xdr:blipFill>
      <xdr:spPr>
        <a:xfrm>
          <a:off x="619125" y="27118695"/>
          <a:ext cx="8723212" cy="1617916"/>
        </a:xfrm>
        <a:prstGeom prst="rect">
          <a:avLst/>
        </a:prstGeom>
      </xdr:spPr>
    </xdr:pic>
    <xdr:clientData/>
  </xdr:twoCellAnchor>
  <xdr:twoCellAnchor editAs="oneCell">
    <xdr:from>
      <xdr:col>1</xdr:col>
      <xdr:colOff>0</xdr:colOff>
      <xdr:row>144</xdr:row>
      <xdr:rowOff>163286</xdr:rowOff>
    </xdr:from>
    <xdr:to>
      <xdr:col>9</xdr:col>
      <xdr:colOff>601217</xdr:colOff>
      <xdr:row>150</xdr:row>
      <xdr:rowOff>6969</xdr:rowOff>
    </xdr:to>
    <xdr:pic>
      <xdr:nvPicPr>
        <xdr:cNvPr id="20" name="Picture 19">
          <a:extLst>
            <a:ext uri="{FF2B5EF4-FFF2-40B4-BE49-F238E27FC236}">
              <a16:creationId xmlns:a16="http://schemas.microsoft.com/office/drawing/2014/main" id="{4B523002-25D5-1E17-2079-992BC4048BC7}"/>
            </a:ext>
          </a:extLst>
        </xdr:cNvPr>
        <xdr:cNvPicPr>
          <a:picLocks noChangeAspect="1"/>
        </xdr:cNvPicPr>
      </xdr:nvPicPr>
      <xdr:blipFill>
        <a:blip xmlns:r="http://schemas.openxmlformats.org/officeDocument/2006/relationships" r:embed="rId11"/>
        <a:stretch>
          <a:fillRect/>
        </a:stretch>
      </xdr:blipFill>
      <xdr:spPr>
        <a:xfrm>
          <a:off x="219808" y="29060671"/>
          <a:ext cx="5532236" cy="986683"/>
        </a:xfrm>
        <a:prstGeom prst="rect">
          <a:avLst/>
        </a:prstGeom>
      </xdr:spPr>
    </xdr:pic>
    <xdr:clientData/>
  </xdr:twoCellAnchor>
  <xdr:twoCellAnchor>
    <xdr:from>
      <xdr:col>1</xdr:col>
      <xdr:colOff>199793</xdr:colOff>
      <xdr:row>148</xdr:row>
      <xdr:rowOff>55159</xdr:rowOff>
    </xdr:from>
    <xdr:to>
      <xdr:col>4</xdr:col>
      <xdr:colOff>125452</xdr:colOff>
      <xdr:row>148</xdr:row>
      <xdr:rowOff>116011</xdr:rowOff>
    </xdr:to>
    <xdr:sp macro="" textlink="">
      <xdr:nvSpPr>
        <xdr:cNvPr id="21" name="Rectangle 20">
          <a:extLst>
            <a:ext uri="{FF2B5EF4-FFF2-40B4-BE49-F238E27FC236}">
              <a16:creationId xmlns:a16="http://schemas.microsoft.com/office/drawing/2014/main" id="{EE64F990-7057-7986-ABC4-00883C943C04}"/>
            </a:ext>
          </a:extLst>
        </xdr:cNvPr>
        <xdr:cNvSpPr/>
      </xdr:nvSpPr>
      <xdr:spPr>
        <a:xfrm>
          <a:off x="419601" y="29714544"/>
          <a:ext cx="1816005" cy="60852"/>
        </a:xfrm>
        <a:prstGeom prst="rect">
          <a:avLst/>
        </a:prstGeom>
        <a:noFill/>
        <a:ln>
          <a:solidFill>
            <a:srgbClr val="EE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10</xdr:col>
      <xdr:colOff>11205</xdr:colOff>
      <xdr:row>145</xdr:row>
      <xdr:rowOff>26933</xdr:rowOff>
    </xdr:from>
    <xdr:to>
      <xdr:col>16</xdr:col>
      <xdr:colOff>591721</xdr:colOff>
      <xdr:row>147</xdr:row>
      <xdr:rowOff>168088</xdr:rowOff>
    </xdr:to>
    <xdr:pic>
      <xdr:nvPicPr>
        <xdr:cNvPr id="22" name="Picture 21">
          <a:extLst>
            <a:ext uri="{FF2B5EF4-FFF2-40B4-BE49-F238E27FC236}">
              <a16:creationId xmlns:a16="http://schemas.microsoft.com/office/drawing/2014/main" id="{3D00BF5A-DC2A-4195-8224-F34C10B5FCED}"/>
            </a:ext>
          </a:extLst>
        </xdr:cNvPr>
        <xdr:cNvPicPr>
          <a:picLocks noChangeAspect="1"/>
        </xdr:cNvPicPr>
      </xdr:nvPicPr>
      <xdr:blipFill rotWithShape="1">
        <a:blip xmlns:r="http://schemas.openxmlformats.org/officeDocument/2006/relationships" r:embed="rId12"/>
        <a:srcRect t="1" r="26180" b="-13203"/>
        <a:stretch>
          <a:fillRect/>
        </a:stretch>
      </xdr:blipFill>
      <xdr:spPr>
        <a:xfrm>
          <a:off x="5748617" y="29442374"/>
          <a:ext cx="4211222" cy="522155"/>
        </a:xfrm>
        <a:prstGeom prst="rect">
          <a:avLst/>
        </a:prstGeom>
      </xdr:spPr>
    </xdr:pic>
    <xdr:clientData/>
  </xdr:twoCellAnchor>
  <xdr:twoCellAnchor>
    <xdr:from>
      <xdr:col>10</xdr:col>
      <xdr:colOff>47624</xdr:colOff>
      <xdr:row>147</xdr:row>
      <xdr:rowOff>17859</xdr:rowOff>
    </xdr:from>
    <xdr:to>
      <xdr:col>13</xdr:col>
      <xdr:colOff>53578</xdr:colOff>
      <xdr:row>147</xdr:row>
      <xdr:rowOff>84665</xdr:rowOff>
    </xdr:to>
    <xdr:sp macro="" textlink="">
      <xdr:nvSpPr>
        <xdr:cNvPr id="23" name="Rectangle 22">
          <a:extLst>
            <a:ext uri="{FF2B5EF4-FFF2-40B4-BE49-F238E27FC236}">
              <a16:creationId xmlns:a16="http://schemas.microsoft.com/office/drawing/2014/main" id="{38B3744D-5400-475A-98DA-3AAA22F07DE9}"/>
            </a:ext>
          </a:extLst>
        </xdr:cNvPr>
        <xdr:cNvSpPr/>
      </xdr:nvSpPr>
      <xdr:spPr>
        <a:xfrm>
          <a:off x="5804296" y="29854922"/>
          <a:ext cx="1827610" cy="66806"/>
        </a:xfrm>
        <a:prstGeom prst="rect">
          <a:avLst/>
        </a:prstGeom>
        <a:noFill/>
        <a:ln>
          <a:solidFill>
            <a:srgbClr val="EE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1</xdr:col>
      <xdr:colOff>0</xdr:colOff>
      <xdr:row>152</xdr:row>
      <xdr:rowOff>1</xdr:rowOff>
    </xdr:from>
    <xdr:to>
      <xdr:col>7</xdr:col>
      <xdr:colOff>40821</xdr:colOff>
      <xdr:row>157</xdr:row>
      <xdr:rowOff>179337</xdr:rowOff>
    </xdr:to>
    <xdr:pic>
      <xdr:nvPicPr>
        <xdr:cNvPr id="24" name="Picture 23">
          <a:extLst>
            <a:ext uri="{FF2B5EF4-FFF2-40B4-BE49-F238E27FC236}">
              <a16:creationId xmlns:a16="http://schemas.microsoft.com/office/drawing/2014/main" id="{47BA5F82-E9E3-6F1B-55BE-845EF99F39E0}"/>
            </a:ext>
          </a:extLst>
        </xdr:cNvPr>
        <xdr:cNvPicPr>
          <a:picLocks noChangeAspect="1"/>
        </xdr:cNvPicPr>
      </xdr:nvPicPr>
      <xdr:blipFill>
        <a:blip xmlns:r="http://schemas.openxmlformats.org/officeDocument/2006/relationships" r:embed="rId13"/>
        <a:stretch>
          <a:fillRect/>
        </a:stretch>
      </xdr:blipFill>
      <xdr:spPr>
        <a:xfrm>
          <a:off x="217714" y="30915430"/>
          <a:ext cx="3782786" cy="1131836"/>
        </a:xfrm>
        <a:prstGeom prst="rect">
          <a:avLst/>
        </a:prstGeom>
      </xdr:spPr>
    </xdr:pic>
    <xdr:clientData/>
  </xdr:twoCellAnchor>
  <xdr:twoCellAnchor editAs="oneCell">
    <xdr:from>
      <xdr:col>8</xdr:col>
      <xdr:colOff>364435</xdr:colOff>
      <xdr:row>152</xdr:row>
      <xdr:rowOff>8531</xdr:rowOff>
    </xdr:from>
    <xdr:to>
      <xdr:col>16</xdr:col>
      <xdr:colOff>200510</xdr:colOff>
      <xdr:row>157</xdr:row>
      <xdr:rowOff>124214</xdr:rowOff>
    </xdr:to>
    <xdr:pic>
      <xdr:nvPicPr>
        <xdr:cNvPr id="25" name="Picture 24">
          <a:extLst>
            <a:ext uri="{FF2B5EF4-FFF2-40B4-BE49-F238E27FC236}">
              <a16:creationId xmlns:a16="http://schemas.microsoft.com/office/drawing/2014/main" id="{BE58A211-CF58-499D-657A-B141E1B95A73}"/>
            </a:ext>
          </a:extLst>
        </xdr:cNvPr>
        <xdr:cNvPicPr>
          <a:picLocks noChangeAspect="1"/>
        </xdr:cNvPicPr>
      </xdr:nvPicPr>
      <xdr:blipFill>
        <a:blip xmlns:r="http://schemas.openxmlformats.org/officeDocument/2006/relationships" r:embed="rId14"/>
        <a:stretch>
          <a:fillRect/>
        </a:stretch>
      </xdr:blipFill>
      <xdr:spPr>
        <a:xfrm>
          <a:off x="4936435" y="30488531"/>
          <a:ext cx="4739379" cy="1068183"/>
        </a:xfrm>
        <a:prstGeom prst="rect">
          <a:avLst/>
        </a:prstGeom>
      </xdr:spPr>
    </xdr:pic>
    <xdr:clientData/>
  </xdr:twoCellAnchor>
  <xdr:twoCellAnchor>
    <xdr:from>
      <xdr:col>7</xdr:col>
      <xdr:colOff>240195</xdr:colOff>
      <xdr:row>154</xdr:row>
      <xdr:rowOff>16565</xdr:rowOff>
    </xdr:from>
    <xdr:to>
      <xdr:col>8</xdr:col>
      <xdr:colOff>198782</xdr:colOff>
      <xdr:row>156</xdr:row>
      <xdr:rowOff>45653</xdr:rowOff>
    </xdr:to>
    <xdr:sp macro="" textlink="">
      <xdr:nvSpPr>
        <xdr:cNvPr id="26" name="Arrow: Right 25">
          <a:extLst>
            <a:ext uri="{FF2B5EF4-FFF2-40B4-BE49-F238E27FC236}">
              <a16:creationId xmlns:a16="http://schemas.microsoft.com/office/drawing/2014/main" id="{3A0BCAEC-B79A-2FFD-3BA4-21120AE4DD77}"/>
            </a:ext>
          </a:extLst>
        </xdr:cNvPr>
        <xdr:cNvSpPr/>
      </xdr:nvSpPr>
      <xdr:spPr>
        <a:xfrm>
          <a:off x="4199282" y="30877565"/>
          <a:ext cx="571500" cy="410088"/>
        </a:xfrm>
        <a:prstGeom prst="rightArrow">
          <a:avLst/>
        </a:prstGeom>
        <a:solidFill>
          <a:srgbClr val="EE0000"/>
        </a:solidFill>
        <a:ln>
          <a:solidFill>
            <a:srgbClr val="EE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9</xdr:col>
      <xdr:colOff>255133</xdr:colOff>
      <xdr:row>63</xdr:row>
      <xdr:rowOff>93549</xdr:rowOff>
    </xdr:from>
    <xdr:to>
      <xdr:col>9</xdr:col>
      <xdr:colOff>526440</xdr:colOff>
      <xdr:row>65</xdr:row>
      <xdr:rowOff>0</xdr:rowOff>
    </xdr:to>
    <xdr:sp macro="" textlink="">
      <xdr:nvSpPr>
        <xdr:cNvPr id="6" name="Rectangle 5">
          <a:extLst>
            <a:ext uri="{FF2B5EF4-FFF2-40B4-BE49-F238E27FC236}">
              <a16:creationId xmlns:a16="http://schemas.microsoft.com/office/drawing/2014/main" id="{CDACE052-2326-4743-81D3-5C91901AC75A}"/>
            </a:ext>
          </a:extLst>
        </xdr:cNvPr>
        <xdr:cNvSpPr/>
      </xdr:nvSpPr>
      <xdr:spPr>
        <a:xfrm>
          <a:off x="5442856" y="12918281"/>
          <a:ext cx="271307" cy="314665"/>
        </a:xfrm>
        <a:prstGeom prst="rect">
          <a:avLst/>
        </a:prstGeom>
        <a:noFill/>
        <a:ln>
          <a:solidFill>
            <a:srgbClr val="EE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514350</xdr:colOff>
      <xdr:row>6</xdr:row>
      <xdr:rowOff>28575</xdr:rowOff>
    </xdr:from>
    <xdr:to>
      <xdr:col>3</xdr:col>
      <xdr:colOff>533400</xdr:colOff>
      <xdr:row>8</xdr:row>
      <xdr:rowOff>171450</xdr:rowOff>
    </xdr:to>
    <xdr:sp macro="[0]!ActualizarCorte" textlink="">
      <xdr:nvSpPr>
        <xdr:cNvPr id="2" name="Rectangle: Rounded Corners 1">
          <a:extLst>
            <a:ext uri="{FF2B5EF4-FFF2-40B4-BE49-F238E27FC236}">
              <a16:creationId xmlns:a16="http://schemas.microsoft.com/office/drawing/2014/main" id="{00000000-0008-0000-0100-000002000000}"/>
            </a:ext>
          </a:extLst>
        </xdr:cNvPr>
        <xdr:cNvSpPr/>
      </xdr:nvSpPr>
      <xdr:spPr>
        <a:xfrm>
          <a:off x="1123950" y="1171575"/>
          <a:ext cx="1238250" cy="5238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1100"/>
            <a:t>Actualizar MSCI</a:t>
          </a:r>
        </a:p>
        <a:p>
          <a:pPr algn="l"/>
          <a:r>
            <a:rPr lang="es-PE" sz="1100"/>
            <a:t> y Riesgos</a:t>
          </a:r>
        </a:p>
        <a:p>
          <a:pPr algn="l"/>
          <a:endParaRPr lang="es-PE"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244929</xdr:colOff>
      <xdr:row>8</xdr:row>
      <xdr:rowOff>163285</xdr:rowOff>
    </xdr:from>
    <xdr:to>
      <xdr:col>6</xdr:col>
      <xdr:colOff>898072</xdr:colOff>
      <xdr:row>10</xdr:row>
      <xdr:rowOff>122464</xdr:rowOff>
    </xdr:to>
    <xdr:sp macro="[0]!Macro5" textlink="">
      <xdr:nvSpPr>
        <xdr:cNvPr id="4" name="Oval 3">
          <a:extLst>
            <a:ext uri="{FF2B5EF4-FFF2-40B4-BE49-F238E27FC236}">
              <a16:creationId xmlns:a16="http://schemas.microsoft.com/office/drawing/2014/main" id="{00000000-0008-0000-0200-000004000000}"/>
            </a:ext>
          </a:extLst>
        </xdr:cNvPr>
        <xdr:cNvSpPr/>
      </xdr:nvSpPr>
      <xdr:spPr>
        <a:xfrm>
          <a:off x="6749143" y="1741714"/>
          <a:ext cx="1524000" cy="340179"/>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PE" sz="1100"/>
            <a:t>Actualizar</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866775</xdr:colOff>
      <xdr:row>0</xdr:row>
      <xdr:rowOff>66675</xdr:rowOff>
    </xdr:from>
    <xdr:to>
      <xdr:col>5</xdr:col>
      <xdr:colOff>811180</xdr:colOff>
      <xdr:row>2</xdr:row>
      <xdr:rowOff>92197</xdr:rowOff>
    </xdr:to>
    <mc:AlternateContent xmlns:mc="http://schemas.openxmlformats.org/markup-compatibility/2006" xmlns:a14="http://schemas.microsoft.com/office/drawing/2010/main">
      <mc:Choice Requires="a14">
        <xdr:sp macro="" textlink="">
          <xdr:nvSpPr>
            <xdr:cNvPr id="2" name="TextBox 177">
              <a:extLst>
                <a:ext uri="{FF2B5EF4-FFF2-40B4-BE49-F238E27FC236}">
                  <a16:creationId xmlns:a16="http://schemas.microsoft.com/office/drawing/2014/main" id="{D8BFDFE8-A761-3AC3-6A31-78CDB26D9C0B}"/>
                </a:ext>
              </a:extLst>
            </xdr:cNvPr>
            <xdr:cNvSpPr txBox="1"/>
          </xdr:nvSpPr>
          <xdr:spPr>
            <a:xfrm>
              <a:off x="4924425" y="66675"/>
              <a:ext cx="1344580" cy="406522"/>
            </a:xfrm>
            <a:prstGeom prst="rect">
              <a:avLst/>
            </a:prstGeom>
            <a:noFill/>
          </xdr:spPr>
          <xdr:txBody>
            <a:bodyPr wrap="square" rtlCol="0">
              <a:spAutoFit/>
            </a:bodyPr>
            <a:lstStyle>
              <a:defPPr>
                <a:defRPr lang="es-P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457200" rtl="0" eaLnBrk="1" fontAlgn="auto" latinLnBrk="0" hangingPunct="1">
                <a:lnSpc>
                  <a:spcPct val="100000"/>
                </a:lnSpc>
                <a:spcBef>
                  <a:spcPts val="0"/>
                </a:spcBef>
                <a:spcAft>
                  <a:spcPts val="0"/>
                </a:spcAft>
                <a:buClrTx/>
                <a:buSzTx/>
                <a:buFontTx/>
                <a:buNone/>
                <a:tabLst/>
                <a:defRPr/>
              </a:pPr>
              <a:r>
                <a:rPr kumimoji="0" lang="es-PE" sz="900" b="1" i="0" u="none" strike="noStrike" kern="1200" cap="none" spc="0" normalizeH="0" baseline="0">
                  <a:ln>
                    <a:noFill/>
                  </a:ln>
                  <a:solidFill>
                    <a:srgbClr val="1F497D"/>
                  </a:solidFill>
                  <a:effectLst/>
                  <a:uLnTx/>
                  <a:uFillTx/>
                  <a:latin typeface="Trebuchet MS" panose="020B0603020202020204" pitchFamily="34" charset="0"/>
                  <a:ea typeface="+mn-ea"/>
                  <a:cs typeface="+mn-cs"/>
                </a:rPr>
                <a:t>Fórmula</a:t>
              </a:r>
              <a:r>
                <a:rPr kumimoji="0" lang="es-PE" sz="800" b="1" i="0" u="none" strike="noStrike" kern="1200" cap="none" spc="0" normalizeH="0" baseline="0">
                  <a:ln>
                    <a:noFill/>
                  </a:ln>
                  <a:solidFill>
                    <a:srgbClr val="1F497D"/>
                  </a:solidFill>
                  <a:effectLst/>
                  <a:uLnTx/>
                  <a:uFillTx/>
                  <a:latin typeface="Trebuchet MS" panose="020B0603020202020204" pitchFamily="34" charset="0"/>
                  <a:ea typeface="+mn-ea"/>
                  <a:cs typeface="+mn-cs"/>
                </a:rPr>
                <a:t>:</a:t>
              </a:r>
            </a:p>
            <a:p>
              <a:pPr marL="0" marR="0" lvl="0" indent="0" algn="l" defTabSz="457200" rtl="0" eaLnBrk="1" fontAlgn="auto" latinLnBrk="0" hangingPunct="1">
                <a:lnSpc>
                  <a:spcPct val="100000"/>
                </a:lnSpc>
                <a:spcBef>
                  <a:spcPts val="0"/>
                </a:spcBef>
                <a:spcAft>
                  <a:spcPts val="0"/>
                </a:spcAft>
                <a:buClrTx/>
                <a:buSzTx/>
                <a:buFontTx/>
                <a:buNone/>
                <a:tabLst/>
                <a:defRPr/>
              </a:pPr>
              <a14:m>
                <m:oMath xmlns:m="http://schemas.openxmlformats.org/officeDocument/2006/math">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m:t>
                  </m:r>
                  <m:f>
                    <m:fPr>
                      <m:ctrlPr>
                        <a:rPr kumimoji="0" lang="en-US"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ctrlPr>
                    </m:fPr>
                    <m:num>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𝑇𝑛</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 </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𝐶𝑂</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2</m:t>
                      </m:r>
                    </m:num>
                    <m:den>
                      <m:r>
                        <a:rPr kumimoji="0" lang="es-ES"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𝐸𝑉𝐼𝐶</m:t>
                      </m:r>
                    </m:den>
                  </m:f>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m:t>
                  </m:r>
                </m:oMath>
              </a14:m>
              <a:r>
                <a:rPr kumimoji="0" lang="es-PE" sz="800" b="0" i="1" u="none" strike="noStrike" kern="1200" cap="none" spc="0" normalizeH="0" baseline="0">
                  <a:ln>
                    <a:noFill/>
                  </a:ln>
                  <a:solidFill>
                    <a:srgbClr val="1F497D"/>
                  </a:solidFill>
                  <a:effectLst/>
                  <a:uLnTx/>
                  <a:uFillTx/>
                  <a:latin typeface="Trebuchet MS" panose="020B0603020202020204" pitchFamily="34" charset="0"/>
                  <a:ea typeface="+mn-ea"/>
                  <a:cs typeface="+mn-cs"/>
                </a:rPr>
                <a:t>*</a:t>
              </a:r>
              <a14:m>
                <m:oMath xmlns:m="http://schemas.openxmlformats.org/officeDocument/2006/math">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𝐼𝑛𝑣𝑒𝑟𝑠𝑖</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ó</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𝑛</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m:t>
                  </m:r>
                </m:oMath>
              </a14:m>
              <a:endParaRPr kumimoji="0" lang="es-PE" sz="800" b="0" i="1" u="none" strike="noStrike" kern="1200" cap="none" spc="0" normalizeH="0" baseline="0">
                <a:ln>
                  <a:noFill/>
                </a:ln>
                <a:solidFill>
                  <a:srgbClr val="1F497D"/>
                </a:solidFill>
                <a:effectLst/>
                <a:uLnTx/>
                <a:uFillTx/>
                <a:latin typeface="Trebuchet MS" panose="020B0603020202020204" pitchFamily="34" charset="0"/>
                <a:ea typeface="+mn-ea"/>
                <a:cs typeface="+mn-cs"/>
              </a:endParaRPr>
            </a:p>
          </xdr:txBody>
        </xdr:sp>
      </mc:Choice>
      <mc:Fallback xmlns="">
        <xdr:sp macro="" textlink="">
          <xdr:nvSpPr>
            <xdr:cNvPr id="2" name="TextBox 177">
              <a:extLst>
                <a:ext uri="{FF2B5EF4-FFF2-40B4-BE49-F238E27FC236}">
                  <a16:creationId xmlns:a16="http://schemas.microsoft.com/office/drawing/2014/main" id="{D8BFDFE8-A761-3AC3-6A31-78CDB26D9C0B}"/>
                </a:ext>
              </a:extLst>
            </xdr:cNvPr>
            <xdr:cNvSpPr txBox="1"/>
          </xdr:nvSpPr>
          <xdr:spPr>
            <a:xfrm>
              <a:off x="4924425" y="66675"/>
              <a:ext cx="1344580" cy="406522"/>
            </a:xfrm>
            <a:prstGeom prst="rect">
              <a:avLst/>
            </a:prstGeom>
            <a:noFill/>
          </xdr:spPr>
          <xdr:txBody>
            <a:bodyPr wrap="square" rtlCol="0">
              <a:spAutoFit/>
            </a:bodyPr>
            <a:lstStyle>
              <a:defPPr>
                <a:defRPr lang="es-P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457200" rtl="0" eaLnBrk="1" fontAlgn="auto" latinLnBrk="0" hangingPunct="1">
                <a:lnSpc>
                  <a:spcPct val="100000"/>
                </a:lnSpc>
                <a:spcBef>
                  <a:spcPts val="0"/>
                </a:spcBef>
                <a:spcAft>
                  <a:spcPts val="0"/>
                </a:spcAft>
                <a:buClrTx/>
                <a:buSzTx/>
                <a:buFontTx/>
                <a:buNone/>
                <a:tabLst/>
                <a:defRPr/>
              </a:pPr>
              <a:r>
                <a:rPr kumimoji="0" lang="es-PE" sz="900" b="1" i="0" u="none" strike="noStrike" kern="1200" cap="none" spc="0" normalizeH="0" baseline="0">
                  <a:ln>
                    <a:noFill/>
                  </a:ln>
                  <a:solidFill>
                    <a:srgbClr val="1F497D"/>
                  </a:solidFill>
                  <a:effectLst/>
                  <a:uLnTx/>
                  <a:uFillTx/>
                  <a:latin typeface="Trebuchet MS" panose="020B0603020202020204" pitchFamily="34" charset="0"/>
                  <a:ea typeface="+mn-ea"/>
                  <a:cs typeface="+mn-cs"/>
                </a:rPr>
                <a:t>Fórmula</a:t>
              </a:r>
              <a:r>
                <a:rPr kumimoji="0" lang="es-PE" sz="800" b="1" i="0" u="none" strike="noStrike" kern="1200" cap="none" spc="0" normalizeH="0" baseline="0">
                  <a:ln>
                    <a:noFill/>
                  </a:ln>
                  <a:solidFill>
                    <a:srgbClr val="1F497D"/>
                  </a:solidFill>
                  <a:effectLst/>
                  <a:uLnTx/>
                  <a:uFillTx/>
                  <a:latin typeface="Trebuchet MS" panose="020B0603020202020204" pitchFamily="34" charset="0"/>
                  <a:ea typeface="+mn-ea"/>
                  <a:cs typeface="+mn-cs"/>
                </a:rPr>
                <a:t>:</a:t>
              </a:r>
            </a:p>
            <a:p>
              <a:pPr marL="0" marR="0" lvl="0" indent="0" algn="l" defTabSz="457200" rtl="0" eaLnBrk="1" fontAlgn="auto" latinLnBrk="0" hangingPunct="1">
                <a:lnSpc>
                  <a:spcPct val="100000"/>
                </a:lnSpc>
                <a:spcBef>
                  <a:spcPts val="0"/>
                </a:spcBef>
                <a:spcAft>
                  <a:spcPts val="0"/>
                </a:spcAft>
                <a:buClrTx/>
                <a:buSzTx/>
                <a:buFontTx/>
                <a:buNone/>
                <a:tabLst/>
                <a:defRPr/>
              </a:pP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n-US"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𝑇𝑛. 𝐶𝑂2</a:t>
              </a:r>
              <a:r>
                <a:rPr kumimoji="0" lang="en-US"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s-ES"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𝐸𝑉𝐼𝐶</a:t>
              </a: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s-PE" sz="800" b="0" i="1" u="none" strike="noStrike" kern="1200" cap="none" spc="0" normalizeH="0" baseline="0">
                  <a:ln>
                    <a:noFill/>
                  </a:ln>
                  <a:solidFill>
                    <a:srgbClr val="1F497D"/>
                  </a:solidFill>
                  <a:effectLst/>
                  <a:uLnTx/>
                  <a:uFillTx/>
                  <a:latin typeface="Trebuchet MS" panose="020B0603020202020204" pitchFamily="34" charset="0"/>
                  <a:ea typeface="+mn-ea"/>
                  <a:cs typeface="+mn-cs"/>
                </a:rPr>
                <a:t>*</a:t>
              </a: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(𝐼𝑛𝑣𝑒𝑟𝑠𝑖ó𝑛)</a:t>
              </a:r>
              <a:endParaRPr kumimoji="0" lang="es-PE" sz="800" b="0" i="1" u="none" strike="noStrike" kern="1200" cap="none" spc="0" normalizeH="0" baseline="0">
                <a:ln>
                  <a:noFill/>
                </a:ln>
                <a:solidFill>
                  <a:srgbClr val="1F497D"/>
                </a:solidFill>
                <a:effectLst/>
                <a:uLnTx/>
                <a:uFillTx/>
                <a:latin typeface="Trebuchet MS" panose="020B0603020202020204" pitchFamily="34" charset="0"/>
                <a:ea typeface="+mn-ea"/>
                <a:cs typeface="+mn-cs"/>
              </a:endParaRPr>
            </a:p>
          </xdr:txBody>
        </xdr:sp>
      </mc:Fallback>
    </mc:AlternateContent>
    <xdr:clientData/>
  </xdr:twoCellAnchor>
  <xdr:twoCellAnchor>
    <xdr:from>
      <xdr:col>5</xdr:col>
      <xdr:colOff>781050</xdr:colOff>
      <xdr:row>0</xdr:row>
      <xdr:rowOff>76200</xdr:rowOff>
    </xdr:from>
    <xdr:to>
      <xdr:col>8</xdr:col>
      <xdr:colOff>442105</xdr:colOff>
      <xdr:row>2</xdr:row>
      <xdr:rowOff>106275</xdr:rowOff>
    </xdr:to>
    <mc:AlternateContent xmlns:mc="http://schemas.openxmlformats.org/markup-compatibility/2006" xmlns:a14="http://schemas.microsoft.com/office/drawing/2010/main">
      <mc:Choice Requires="a14">
        <xdr:sp macro="" textlink="">
          <xdr:nvSpPr>
            <xdr:cNvPr id="3" name="TextBox 176">
              <a:extLst>
                <a:ext uri="{FF2B5EF4-FFF2-40B4-BE49-F238E27FC236}">
                  <a16:creationId xmlns:a16="http://schemas.microsoft.com/office/drawing/2014/main" id="{2E52419D-D1E3-041D-6382-D363FAA522DB}"/>
                </a:ext>
              </a:extLst>
            </xdr:cNvPr>
            <xdr:cNvSpPr txBox="1"/>
          </xdr:nvSpPr>
          <xdr:spPr>
            <a:xfrm>
              <a:off x="6238875" y="76200"/>
              <a:ext cx="1242205" cy="411075"/>
            </a:xfrm>
            <a:prstGeom prst="rect">
              <a:avLst/>
            </a:prstGeom>
            <a:noFill/>
          </xdr:spPr>
          <xdr:txBody>
            <a:bodyPr wrap="square" rtlCol="0">
              <a:spAutoFit/>
            </a:bodyPr>
            <a:lstStyle>
              <a:defPPr>
                <a:defRPr lang="es-P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457200" rtl="0" eaLnBrk="1" fontAlgn="auto" latinLnBrk="0" hangingPunct="1">
                <a:lnSpc>
                  <a:spcPct val="100000"/>
                </a:lnSpc>
                <a:spcBef>
                  <a:spcPts val="0"/>
                </a:spcBef>
                <a:spcAft>
                  <a:spcPts val="0"/>
                </a:spcAft>
                <a:buClrTx/>
                <a:buSzTx/>
                <a:buFontTx/>
                <a:buNone/>
                <a:tabLst/>
                <a:defRPr/>
              </a:pPr>
              <a:r>
                <a:rPr kumimoji="0" lang="es-PE" sz="900" b="1" i="0" u="none" strike="noStrike" kern="1200" cap="none" spc="0" normalizeH="0" baseline="0">
                  <a:ln>
                    <a:noFill/>
                  </a:ln>
                  <a:solidFill>
                    <a:srgbClr val="1F497D"/>
                  </a:solidFill>
                  <a:effectLst/>
                  <a:uLnTx/>
                  <a:uFillTx/>
                  <a:latin typeface="Trebuchet MS" panose="020B0603020202020204" pitchFamily="34" charset="0"/>
                  <a:ea typeface="+mn-ea"/>
                  <a:cs typeface="+mn-cs"/>
                </a:rPr>
                <a:t>Fórmula</a:t>
              </a:r>
              <a:r>
                <a:rPr kumimoji="0" lang="es-PE" sz="800" b="1" i="0" u="none" strike="noStrike" kern="1200" cap="none" spc="0" normalizeH="0" baseline="0">
                  <a:ln>
                    <a:noFill/>
                  </a:ln>
                  <a:solidFill>
                    <a:srgbClr val="1F497D"/>
                  </a:solidFill>
                  <a:effectLst/>
                  <a:uLnTx/>
                  <a:uFillTx/>
                  <a:latin typeface="Trebuchet MS" panose="020B0603020202020204" pitchFamily="34" charset="0"/>
                  <a:ea typeface="+mn-ea"/>
                  <a:cs typeface="+mn-cs"/>
                </a:rPr>
                <a:t>:</a:t>
              </a:r>
            </a:p>
            <a:p>
              <a:pPr marL="0" marR="0" lvl="0" indent="0" algn="l" defTabSz="457200" rtl="0" eaLnBrk="1" fontAlgn="auto" latinLnBrk="0" hangingPunct="1">
                <a:lnSpc>
                  <a:spcPct val="100000"/>
                </a:lnSpc>
                <a:spcBef>
                  <a:spcPts val="0"/>
                </a:spcBef>
                <a:spcAft>
                  <a:spcPts val="0"/>
                </a:spcAft>
                <a:buClrTx/>
                <a:buSzTx/>
                <a:buFontTx/>
                <a:buNone/>
                <a:tabLst/>
                <a:defRPr/>
              </a:pPr>
              <a14:m>
                <m:oMath xmlns:m="http://schemas.openxmlformats.org/officeDocument/2006/math">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m:t>
                  </m:r>
                  <m:f>
                    <m:fPr>
                      <m:ctrlPr>
                        <a:rPr kumimoji="0" lang="en-US"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ctrlPr>
                    </m:fPr>
                    <m:num>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𝑇𝑛</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 </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𝐶𝑂</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2</m:t>
                      </m:r>
                    </m:num>
                    <m:den>
                      <m:r>
                        <a:rPr kumimoji="0" lang="es-ES"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𝐸𝑉𝐼𝐶</m:t>
                      </m:r>
                    </m:den>
                  </m:f>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m:t>
                  </m:r>
                </m:oMath>
              </a14:m>
              <a:r>
                <a:rPr kumimoji="0" lang="es-PE" sz="800" b="0" i="1" u="none" strike="noStrike" kern="1200" cap="none" spc="0" normalizeH="0" baseline="0">
                  <a:ln>
                    <a:noFill/>
                  </a:ln>
                  <a:solidFill>
                    <a:srgbClr val="1F497D"/>
                  </a:solidFill>
                  <a:effectLst/>
                  <a:uLnTx/>
                  <a:uFillTx/>
                  <a:latin typeface="Trebuchet MS" panose="020B0603020202020204" pitchFamily="34" charset="0"/>
                  <a:ea typeface="+mn-ea"/>
                  <a:cs typeface="+mn-cs"/>
                </a:rPr>
                <a:t>*</a:t>
              </a:r>
              <a14:m>
                <m:oMath xmlns:m="http://schemas.openxmlformats.org/officeDocument/2006/math">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m:t>
                  </m:r>
                  <m:f>
                    <m:fPr>
                      <m:ctrlPr>
                        <a:rPr kumimoji="0" lang="en-US"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ctrlPr>
                    </m:fPr>
                    <m:num>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𝐼𝑛𝑣𝑒𝑟𝑠𝑖</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ó</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𝑛</m:t>
                      </m:r>
                    </m:num>
                    <m:den>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𝐴𝑈𝑀</m:t>
                      </m:r>
                      <m:r>
                        <a:rPr kumimoji="0" lang="es-ES"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 </m:t>
                      </m:r>
                      <m:r>
                        <a:rPr kumimoji="0" lang="es-ES"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𝐶𝑢𝑏𝑖𝑒𝑟𝑡𝑜</m:t>
                      </m:r>
                    </m:den>
                  </m:f>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m:t>
                  </m:r>
                </m:oMath>
              </a14:m>
              <a:endParaRPr kumimoji="0" lang="es-PE" sz="800" b="0" i="1" u="none" strike="noStrike" kern="1200" cap="none" spc="0" normalizeH="0" baseline="0">
                <a:ln>
                  <a:noFill/>
                </a:ln>
                <a:solidFill>
                  <a:srgbClr val="1F497D"/>
                </a:solidFill>
                <a:effectLst/>
                <a:uLnTx/>
                <a:uFillTx/>
                <a:latin typeface="Trebuchet MS" panose="020B0603020202020204" pitchFamily="34" charset="0"/>
                <a:ea typeface="+mn-ea"/>
                <a:cs typeface="+mn-cs"/>
              </a:endParaRPr>
            </a:p>
          </xdr:txBody>
        </xdr:sp>
      </mc:Choice>
      <mc:Fallback xmlns="">
        <xdr:sp macro="" textlink="">
          <xdr:nvSpPr>
            <xdr:cNvPr id="3" name="TextBox 176">
              <a:extLst>
                <a:ext uri="{FF2B5EF4-FFF2-40B4-BE49-F238E27FC236}">
                  <a16:creationId xmlns:a16="http://schemas.microsoft.com/office/drawing/2014/main" id="{2E52419D-D1E3-041D-6382-D363FAA522DB}"/>
                </a:ext>
              </a:extLst>
            </xdr:cNvPr>
            <xdr:cNvSpPr txBox="1"/>
          </xdr:nvSpPr>
          <xdr:spPr>
            <a:xfrm>
              <a:off x="6238875" y="76200"/>
              <a:ext cx="1242205" cy="411075"/>
            </a:xfrm>
            <a:prstGeom prst="rect">
              <a:avLst/>
            </a:prstGeom>
            <a:noFill/>
          </xdr:spPr>
          <xdr:txBody>
            <a:bodyPr wrap="square" rtlCol="0">
              <a:spAutoFit/>
            </a:bodyPr>
            <a:lstStyle>
              <a:defPPr>
                <a:defRPr lang="es-P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457200" rtl="0" eaLnBrk="1" fontAlgn="auto" latinLnBrk="0" hangingPunct="1">
                <a:lnSpc>
                  <a:spcPct val="100000"/>
                </a:lnSpc>
                <a:spcBef>
                  <a:spcPts val="0"/>
                </a:spcBef>
                <a:spcAft>
                  <a:spcPts val="0"/>
                </a:spcAft>
                <a:buClrTx/>
                <a:buSzTx/>
                <a:buFontTx/>
                <a:buNone/>
                <a:tabLst/>
                <a:defRPr/>
              </a:pPr>
              <a:r>
                <a:rPr kumimoji="0" lang="es-PE" sz="900" b="1" i="0" u="none" strike="noStrike" kern="1200" cap="none" spc="0" normalizeH="0" baseline="0">
                  <a:ln>
                    <a:noFill/>
                  </a:ln>
                  <a:solidFill>
                    <a:srgbClr val="1F497D"/>
                  </a:solidFill>
                  <a:effectLst/>
                  <a:uLnTx/>
                  <a:uFillTx/>
                  <a:latin typeface="Trebuchet MS" panose="020B0603020202020204" pitchFamily="34" charset="0"/>
                  <a:ea typeface="+mn-ea"/>
                  <a:cs typeface="+mn-cs"/>
                </a:rPr>
                <a:t>Fórmula</a:t>
              </a:r>
              <a:r>
                <a:rPr kumimoji="0" lang="es-PE" sz="800" b="1" i="0" u="none" strike="noStrike" kern="1200" cap="none" spc="0" normalizeH="0" baseline="0">
                  <a:ln>
                    <a:noFill/>
                  </a:ln>
                  <a:solidFill>
                    <a:srgbClr val="1F497D"/>
                  </a:solidFill>
                  <a:effectLst/>
                  <a:uLnTx/>
                  <a:uFillTx/>
                  <a:latin typeface="Trebuchet MS" panose="020B0603020202020204" pitchFamily="34" charset="0"/>
                  <a:ea typeface="+mn-ea"/>
                  <a:cs typeface="+mn-cs"/>
                </a:rPr>
                <a:t>:</a:t>
              </a:r>
            </a:p>
            <a:p>
              <a:pPr marL="0" marR="0" lvl="0" indent="0" algn="l" defTabSz="457200" rtl="0" eaLnBrk="1" fontAlgn="auto" latinLnBrk="0" hangingPunct="1">
                <a:lnSpc>
                  <a:spcPct val="100000"/>
                </a:lnSpc>
                <a:spcBef>
                  <a:spcPts val="0"/>
                </a:spcBef>
                <a:spcAft>
                  <a:spcPts val="0"/>
                </a:spcAft>
                <a:buClrTx/>
                <a:buSzTx/>
                <a:buFontTx/>
                <a:buNone/>
                <a:tabLst/>
                <a:defRPr/>
              </a:pP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n-US"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𝑇𝑛. 𝐶𝑂2</a:t>
              </a:r>
              <a:r>
                <a:rPr kumimoji="0" lang="en-US"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s-ES"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𝐸𝑉𝐼𝐶</a:t>
              </a: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s-PE" sz="800" b="0" i="1" u="none" strike="noStrike" kern="1200" cap="none" spc="0" normalizeH="0" baseline="0">
                  <a:ln>
                    <a:noFill/>
                  </a:ln>
                  <a:solidFill>
                    <a:srgbClr val="1F497D"/>
                  </a:solidFill>
                  <a:effectLst/>
                  <a:uLnTx/>
                  <a:uFillTx/>
                  <a:latin typeface="Trebuchet MS" panose="020B0603020202020204" pitchFamily="34" charset="0"/>
                  <a:ea typeface="+mn-ea"/>
                  <a:cs typeface="+mn-cs"/>
                </a:rPr>
                <a:t>*</a:t>
              </a: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(𝐼𝑛𝑣𝑒𝑟𝑠𝑖ó𝑛</a:t>
              </a:r>
              <a:r>
                <a:rPr kumimoji="0" lang="en-US"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𝐴𝑈𝑀</a:t>
              </a:r>
              <a:r>
                <a:rPr kumimoji="0" lang="es-ES"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 𝐶𝑢𝑏𝑖𝑒𝑟𝑡𝑜</a:t>
              </a:r>
              <a:r>
                <a:rPr kumimoji="0" lang="en-US"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endParaRPr kumimoji="0" lang="es-PE" sz="800" b="0" i="1" u="none" strike="noStrike" kern="1200" cap="none" spc="0" normalizeH="0" baseline="0">
                <a:ln>
                  <a:noFill/>
                </a:ln>
                <a:solidFill>
                  <a:srgbClr val="1F497D"/>
                </a:solidFill>
                <a:effectLst/>
                <a:uLnTx/>
                <a:uFillTx/>
                <a:latin typeface="Trebuchet MS" panose="020B0603020202020204" pitchFamily="34" charset="0"/>
                <a:ea typeface="+mn-ea"/>
                <a:cs typeface="+mn-cs"/>
              </a:endParaRP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124454</xdr:colOff>
      <xdr:row>0</xdr:row>
      <xdr:rowOff>0</xdr:rowOff>
    </xdr:from>
    <xdr:to>
      <xdr:col>21</xdr:col>
      <xdr:colOff>127323</xdr:colOff>
      <xdr:row>43</xdr:row>
      <xdr:rowOff>1360</xdr:rowOff>
    </xdr:to>
    <xdr:grpSp>
      <xdr:nvGrpSpPr>
        <xdr:cNvPr id="18" name="Group 17">
          <a:extLst>
            <a:ext uri="{FF2B5EF4-FFF2-40B4-BE49-F238E27FC236}">
              <a16:creationId xmlns:a16="http://schemas.microsoft.com/office/drawing/2014/main" id="{00000000-0008-0000-0300-000012000000}"/>
            </a:ext>
          </a:extLst>
        </xdr:cNvPr>
        <xdr:cNvGrpSpPr/>
      </xdr:nvGrpSpPr>
      <xdr:grpSpPr>
        <a:xfrm>
          <a:off x="734054" y="0"/>
          <a:ext cx="12194869" cy="8192860"/>
          <a:chOff x="650776" y="408215"/>
          <a:chExt cx="12261130" cy="6859360"/>
        </a:xfrm>
      </xdr:grpSpPr>
      <xdr:sp macro="" textlink="">
        <xdr:nvSpPr>
          <xdr:cNvPr id="4" name="Rectangle 3">
            <a:extLst>
              <a:ext uri="{FF2B5EF4-FFF2-40B4-BE49-F238E27FC236}">
                <a16:creationId xmlns:a16="http://schemas.microsoft.com/office/drawing/2014/main" id="{00000000-0008-0000-0300-000004000000}"/>
              </a:ext>
            </a:extLst>
          </xdr:cNvPr>
          <xdr:cNvSpPr/>
        </xdr:nvSpPr>
        <xdr:spPr>
          <a:xfrm>
            <a:off x="651013" y="409575"/>
            <a:ext cx="12258261" cy="6858000"/>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PE"/>
          </a:p>
        </xdr:txBody>
      </xdr:sp>
      <xdr:sp macro="" textlink="">
        <xdr:nvSpPr>
          <xdr:cNvPr id="6" name="Rectangle 5">
            <a:extLst>
              <a:ext uri="{FF2B5EF4-FFF2-40B4-BE49-F238E27FC236}">
                <a16:creationId xmlns:a16="http://schemas.microsoft.com/office/drawing/2014/main" id="{00000000-0008-0000-0300-000006000000}"/>
              </a:ext>
            </a:extLst>
          </xdr:cNvPr>
          <xdr:cNvSpPr/>
        </xdr:nvSpPr>
        <xdr:spPr>
          <a:xfrm>
            <a:off x="650776" y="408215"/>
            <a:ext cx="637033" cy="6854956"/>
          </a:xfrm>
          <a:prstGeom prst="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PE"/>
          </a:p>
        </xdr:txBody>
      </xdr:sp>
      <xdr:sp macro="" textlink="">
        <xdr:nvSpPr>
          <xdr:cNvPr id="5" name="Rectangle 4">
            <a:extLst>
              <a:ext uri="{FF2B5EF4-FFF2-40B4-BE49-F238E27FC236}">
                <a16:creationId xmlns:a16="http://schemas.microsoft.com/office/drawing/2014/main" id="{00000000-0008-0000-0300-000005000000}"/>
              </a:ext>
            </a:extLst>
          </xdr:cNvPr>
          <xdr:cNvSpPr/>
        </xdr:nvSpPr>
        <xdr:spPr>
          <a:xfrm>
            <a:off x="653645" y="409575"/>
            <a:ext cx="12258261" cy="750058"/>
          </a:xfrm>
          <a:prstGeom prst="rect">
            <a:avLst/>
          </a:prstGeom>
          <a:solidFill>
            <a:schemeClr val="bg2">
              <a:lumMod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l"/>
            <a:r>
              <a:rPr lang="es-PE" sz="2000" kern="1200" baseline="0">
                <a:solidFill>
                  <a:schemeClr val="tx2"/>
                </a:solidFill>
                <a:effectLst/>
                <a:latin typeface="+mn-lt"/>
                <a:ea typeface="+mn-ea"/>
                <a:cs typeface="+mn-cs"/>
              </a:rPr>
              <a:t>3.a. Cobertura de Huella de Carbono: x% (mes – USD x B) a x% (mes – USD xB)</a:t>
            </a:r>
            <a:endParaRPr lang="es-PE" sz="2000">
              <a:solidFill>
                <a:schemeClr val="tx2"/>
              </a:solidFill>
            </a:endParaRPr>
          </a:p>
        </xdr:txBody>
      </xdr:sp>
      <xdr:sp macro="" textlink="">
        <xdr:nvSpPr>
          <xdr:cNvPr id="9" name="Rectangle: Rounded Corners 8">
            <a:extLst>
              <a:ext uri="{FF2B5EF4-FFF2-40B4-BE49-F238E27FC236}">
                <a16:creationId xmlns:a16="http://schemas.microsoft.com/office/drawing/2014/main" id="{00000000-0008-0000-0300-000009000000}"/>
              </a:ext>
            </a:extLst>
          </xdr:cNvPr>
          <xdr:cNvSpPr/>
        </xdr:nvSpPr>
        <xdr:spPr>
          <a:xfrm>
            <a:off x="8308049" y="1666837"/>
            <a:ext cx="3999676" cy="2935625"/>
          </a:xfrm>
          <a:prstGeom prst="roundRect">
            <a:avLst/>
          </a:prstGeom>
          <a:solidFill>
            <a:schemeClr val="accent1">
              <a:lumMod val="20000"/>
              <a:lumOff val="80000"/>
            </a:schemeClr>
          </a:solidFill>
          <a:ln w="12700">
            <a:solidFill>
              <a:srgbClr val="59D4C3"/>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285750" indent="-285750">
              <a:buFont typeface="Arial" panose="020B0604020202020204" pitchFamily="34" charset="0"/>
              <a:buChar char="•"/>
            </a:pPr>
            <a:endParaRPr lang="es-PE" sz="900">
              <a:solidFill>
                <a:srgbClr val="1F497D"/>
              </a:solidFill>
              <a:latin typeface="Trebuchet MS" panose="020B0603020202020204" pitchFamily="34" charset="0"/>
            </a:endParaRPr>
          </a:p>
        </xdr:txBody>
      </xdr:sp>
      <xdr:sp macro="" textlink="">
        <xdr:nvSpPr>
          <xdr:cNvPr id="10" name="CuadroTexto 60">
            <a:extLst>
              <a:ext uri="{FF2B5EF4-FFF2-40B4-BE49-F238E27FC236}">
                <a16:creationId xmlns:a16="http://schemas.microsoft.com/office/drawing/2014/main" id="{00000000-0008-0000-0300-00000A000000}"/>
              </a:ext>
            </a:extLst>
          </xdr:cNvPr>
          <xdr:cNvSpPr txBox="1"/>
        </xdr:nvSpPr>
        <xdr:spPr>
          <a:xfrm>
            <a:off x="8308048" y="1333500"/>
            <a:ext cx="3718299" cy="307777"/>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1400" b="1" u="sng">
                <a:solidFill>
                  <a:srgbClr val="002060"/>
                </a:solidFill>
                <a:latin typeface="Trebuchet MS" panose="020B0603020202020204" pitchFamily="34" charset="0"/>
              </a:rPr>
              <a:t>Incremento de Cobertura - Detalle:</a:t>
            </a:r>
            <a:endParaRPr lang="es-PE" sz="1400" b="1" u="sng">
              <a:solidFill>
                <a:srgbClr val="002060"/>
              </a:solidFill>
              <a:latin typeface="Trebuchet MS" panose="020B0603020202020204" pitchFamily="34" charset="0"/>
            </a:endParaRPr>
          </a:p>
        </xdr:txBody>
      </xdr:sp>
      <xdr:sp macro="" textlink="">
        <xdr:nvSpPr>
          <xdr:cNvPr id="11" name="Rectangle: Rounded Corners 10">
            <a:extLst>
              <a:ext uri="{FF2B5EF4-FFF2-40B4-BE49-F238E27FC236}">
                <a16:creationId xmlns:a16="http://schemas.microsoft.com/office/drawing/2014/main" id="{00000000-0008-0000-0300-00000B000000}"/>
              </a:ext>
            </a:extLst>
          </xdr:cNvPr>
          <xdr:cNvSpPr/>
        </xdr:nvSpPr>
        <xdr:spPr>
          <a:xfrm>
            <a:off x="8308049" y="5129726"/>
            <a:ext cx="3999676" cy="1829835"/>
          </a:xfrm>
          <a:prstGeom prst="roundRect">
            <a:avLst/>
          </a:prstGeom>
          <a:solidFill>
            <a:schemeClr val="accent1">
              <a:lumMod val="20000"/>
              <a:lumOff val="80000"/>
            </a:schemeClr>
          </a:solidFill>
          <a:ln w="12700">
            <a:solidFill>
              <a:srgbClr val="59D4C3"/>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endParaRPr lang="es-PE" sz="1200">
              <a:solidFill>
                <a:srgbClr val="1F497D"/>
              </a:solidFill>
              <a:latin typeface="Trebuchet MS" panose="020B0603020202020204" pitchFamily="34" charset="0"/>
            </a:endParaRPr>
          </a:p>
        </xdr:txBody>
      </xdr:sp>
      <xdr:sp macro="" textlink="">
        <xdr:nvSpPr>
          <xdr:cNvPr id="12" name="CuadroTexto 60">
            <a:extLst>
              <a:ext uri="{FF2B5EF4-FFF2-40B4-BE49-F238E27FC236}">
                <a16:creationId xmlns:a16="http://schemas.microsoft.com/office/drawing/2014/main" id="{00000000-0008-0000-0300-00000C000000}"/>
              </a:ext>
            </a:extLst>
          </xdr:cNvPr>
          <xdr:cNvSpPr txBox="1"/>
        </xdr:nvSpPr>
        <xdr:spPr>
          <a:xfrm>
            <a:off x="8308049" y="4756443"/>
            <a:ext cx="4104302" cy="307777"/>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1400" b="1" u="sng">
                <a:solidFill>
                  <a:srgbClr val="002060"/>
                </a:solidFill>
                <a:latin typeface="Trebuchet MS" panose="020B0603020202020204" pitchFamily="34" charset="0"/>
              </a:rPr>
              <a:t>Plan de Incremento 2024 (x):</a:t>
            </a:r>
            <a:endParaRPr lang="es-PE" sz="1400" b="1" u="sng">
              <a:solidFill>
                <a:srgbClr val="002060"/>
              </a:solidFill>
              <a:latin typeface="Trebuchet MS" panose="020B0603020202020204" pitchFamily="34" charset="0"/>
            </a:endParaRPr>
          </a:p>
        </xdr:txBody>
      </xdr:sp>
    </xdr:grpSp>
    <xdr:clientData/>
  </xdr:twoCellAnchor>
  <xdr:twoCellAnchor>
    <xdr:from>
      <xdr:col>2</xdr:col>
      <xdr:colOff>297913</xdr:colOff>
      <xdr:row>8</xdr:row>
      <xdr:rowOff>136997</xdr:rowOff>
    </xdr:from>
    <xdr:to>
      <xdr:col>15</xdr:col>
      <xdr:colOff>297912</xdr:colOff>
      <xdr:row>33</xdr:row>
      <xdr:rowOff>3194</xdr:rowOff>
    </xdr:to>
    <xdr:graphicFrame macro="">
      <xdr:nvGraphicFramePr>
        <xdr:cNvPr id="76" name="Chart 75">
          <a:extLst>
            <a:ext uri="{FF2B5EF4-FFF2-40B4-BE49-F238E27FC236}">
              <a16:creationId xmlns:a16="http://schemas.microsoft.com/office/drawing/2014/main" id="{00000000-0008-0000-0300-00004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437906</xdr:colOff>
      <xdr:row>4</xdr:row>
      <xdr:rowOff>139360</xdr:rowOff>
    </xdr:from>
    <xdr:to>
      <xdr:col>10</xdr:col>
      <xdr:colOff>26490</xdr:colOff>
      <xdr:row>34</xdr:row>
      <xdr:rowOff>83505</xdr:rowOff>
    </xdr:to>
    <xdr:grpSp>
      <xdr:nvGrpSpPr>
        <xdr:cNvPr id="28" name="Group 27">
          <a:extLst>
            <a:ext uri="{FF2B5EF4-FFF2-40B4-BE49-F238E27FC236}">
              <a16:creationId xmlns:a16="http://schemas.microsoft.com/office/drawing/2014/main" id="{00000000-0008-0000-0300-00001C000000}"/>
            </a:ext>
          </a:extLst>
        </xdr:cNvPr>
        <xdr:cNvGrpSpPr/>
      </xdr:nvGrpSpPr>
      <xdr:grpSpPr>
        <a:xfrm>
          <a:off x="437906" y="901360"/>
          <a:ext cx="5684584" cy="5659145"/>
          <a:chOff x="1610449" y="1389528"/>
          <a:chExt cx="5639760" cy="5659145"/>
        </a:xfrm>
      </xdr:grpSpPr>
      <xdr:graphicFrame macro="">
        <xdr:nvGraphicFramePr>
          <xdr:cNvPr id="15" name="Chart 14">
            <a:extLst>
              <a:ext uri="{FF2B5EF4-FFF2-40B4-BE49-F238E27FC236}">
                <a16:creationId xmlns:a16="http://schemas.microsoft.com/office/drawing/2014/main" id="{00000000-0008-0000-0300-00000F000000}"/>
              </a:ext>
            </a:extLst>
          </xdr:cNvPr>
          <xdr:cNvGraphicFramePr>
            <a:graphicFrameLocks/>
          </xdr:cNvGraphicFramePr>
        </xdr:nvGraphicFramePr>
        <xdr:xfrm>
          <a:off x="2103263" y="1574091"/>
          <a:ext cx="4265432" cy="432000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7" name="Chart 16">
            <a:extLst>
              <a:ext uri="{FF2B5EF4-FFF2-40B4-BE49-F238E27FC236}">
                <a16:creationId xmlns:a16="http://schemas.microsoft.com/office/drawing/2014/main" id="{00000000-0008-0000-0300-000011000000}"/>
              </a:ext>
            </a:extLst>
          </xdr:cNvPr>
          <xdr:cNvGraphicFramePr/>
        </xdr:nvGraphicFramePr>
        <xdr:xfrm>
          <a:off x="1610449" y="1389528"/>
          <a:ext cx="5639760" cy="5659145"/>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19" name="Oval 18">
            <a:extLst>
              <a:ext uri="{FF2B5EF4-FFF2-40B4-BE49-F238E27FC236}">
                <a16:creationId xmlns:a16="http://schemas.microsoft.com/office/drawing/2014/main" id="{00000000-0008-0000-0300-000013000000}"/>
              </a:ext>
            </a:extLst>
          </xdr:cNvPr>
          <xdr:cNvSpPr/>
        </xdr:nvSpPr>
        <xdr:spPr>
          <a:xfrm>
            <a:off x="2353232" y="2644590"/>
            <a:ext cx="3492000" cy="3492000"/>
          </a:xfrm>
          <a:prstGeom prst="ellipse">
            <a:avLst/>
          </a:prstGeom>
          <a:noFill/>
          <a:ln w="6985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grpSp>
    <xdr:clientData/>
  </xdr:twoCellAnchor>
  <xdr:twoCellAnchor>
    <xdr:from>
      <xdr:col>2</xdr:col>
      <xdr:colOff>149679</xdr:colOff>
      <xdr:row>6</xdr:row>
      <xdr:rowOff>176893</xdr:rowOff>
    </xdr:from>
    <xdr:to>
      <xdr:col>8</xdr:col>
      <xdr:colOff>124507</xdr:colOff>
      <xdr:row>8</xdr:row>
      <xdr:rowOff>96681</xdr:rowOff>
    </xdr:to>
    <xdr:sp macro="" textlink="">
      <xdr:nvSpPr>
        <xdr:cNvPr id="8" name="CuadroTexto 60">
          <a:extLst>
            <a:ext uri="{FF2B5EF4-FFF2-40B4-BE49-F238E27FC236}">
              <a16:creationId xmlns:a16="http://schemas.microsoft.com/office/drawing/2014/main" id="{00000000-0008-0000-0300-000008000000}"/>
            </a:ext>
          </a:extLst>
        </xdr:cNvPr>
        <xdr:cNvSpPr txBox="1"/>
      </xdr:nvSpPr>
      <xdr:spPr>
        <a:xfrm>
          <a:off x="1374322" y="1319893"/>
          <a:ext cx="3648756" cy="300788"/>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1400" b="1" u="sng">
              <a:solidFill>
                <a:srgbClr val="002060"/>
              </a:solidFill>
              <a:latin typeface="Trebuchet MS" panose="020B0603020202020204" pitchFamily="34" charset="0"/>
            </a:rPr>
            <a:t>Distribución por Multifondos (mesAño):</a:t>
          </a:r>
          <a:endParaRPr lang="es-PE" sz="1400" b="1" u="sng">
            <a:solidFill>
              <a:srgbClr val="002060"/>
            </a:solidFill>
            <a:latin typeface="Trebuchet MS" panose="020B0603020202020204" pitchFamily="34" charset="0"/>
          </a:endParaRPr>
        </a:p>
      </xdr:txBody>
    </xdr:sp>
    <xdr:clientData/>
  </xdr:twoCellAnchor>
  <xdr:twoCellAnchor>
    <xdr:from>
      <xdr:col>38</xdr:col>
      <xdr:colOff>1206633</xdr:colOff>
      <xdr:row>20</xdr:row>
      <xdr:rowOff>142795</xdr:rowOff>
    </xdr:from>
    <xdr:to>
      <xdr:col>49</xdr:col>
      <xdr:colOff>14007</xdr:colOff>
      <xdr:row>35</xdr:row>
      <xdr:rowOff>28495</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56030</xdr:colOff>
      <xdr:row>45</xdr:row>
      <xdr:rowOff>179294</xdr:rowOff>
    </xdr:from>
    <xdr:to>
      <xdr:col>21</xdr:col>
      <xdr:colOff>58899</xdr:colOff>
      <xdr:row>81</xdr:row>
      <xdr:rowOff>180654</xdr:rowOff>
    </xdr:to>
    <xdr:grpSp>
      <xdr:nvGrpSpPr>
        <xdr:cNvPr id="35" name="Group 34">
          <a:extLst>
            <a:ext uri="{FF2B5EF4-FFF2-40B4-BE49-F238E27FC236}">
              <a16:creationId xmlns:a16="http://schemas.microsoft.com/office/drawing/2014/main" id="{00000000-0008-0000-0300-000023000000}"/>
            </a:ext>
          </a:extLst>
        </xdr:cNvPr>
        <xdr:cNvGrpSpPr/>
      </xdr:nvGrpSpPr>
      <xdr:grpSpPr>
        <a:xfrm>
          <a:off x="665630" y="8751794"/>
          <a:ext cx="12194869" cy="8269060"/>
          <a:chOff x="661148" y="7418294"/>
          <a:chExt cx="12105222" cy="6859360"/>
        </a:xfrm>
      </xdr:grpSpPr>
      <xdr:grpSp>
        <xdr:nvGrpSpPr>
          <xdr:cNvPr id="20" name="Group 19">
            <a:extLst>
              <a:ext uri="{FF2B5EF4-FFF2-40B4-BE49-F238E27FC236}">
                <a16:creationId xmlns:a16="http://schemas.microsoft.com/office/drawing/2014/main" id="{00000000-0008-0000-0300-000014000000}"/>
              </a:ext>
            </a:extLst>
          </xdr:cNvPr>
          <xdr:cNvGrpSpPr/>
        </xdr:nvGrpSpPr>
        <xdr:grpSpPr>
          <a:xfrm>
            <a:off x="661148" y="7418294"/>
            <a:ext cx="12105222" cy="6859360"/>
            <a:chOff x="650776" y="408215"/>
            <a:chExt cx="12261130" cy="6859360"/>
          </a:xfrm>
        </xdr:grpSpPr>
        <xdr:sp macro="" textlink="">
          <xdr:nvSpPr>
            <xdr:cNvPr id="21" name="Rectangle 20">
              <a:extLst>
                <a:ext uri="{FF2B5EF4-FFF2-40B4-BE49-F238E27FC236}">
                  <a16:creationId xmlns:a16="http://schemas.microsoft.com/office/drawing/2014/main" id="{00000000-0008-0000-0300-000015000000}"/>
                </a:ext>
              </a:extLst>
            </xdr:cNvPr>
            <xdr:cNvSpPr/>
          </xdr:nvSpPr>
          <xdr:spPr>
            <a:xfrm>
              <a:off x="651013" y="409575"/>
              <a:ext cx="12258261" cy="6858000"/>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PE"/>
            </a:p>
          </xdr:txBody>
        </xdr:sp>
        <xdr:sp macro="" textlink="">
          <xdr:nvSpPr>
            <xdr:cNvPr id="22" name="Rectangle 21">
              <a:extLst>
                <a:ext uri="{FF2B5EF4-FFF2-40B4-BE49-F238E27FC236}">
                  <a16:creationId xmlns:a16="http://schemas.microsoft.com/office/drawing/2014/main" id="{00000000-0008-0000-0300-000016000000}"/>
                </a:ext>
              </a:extLst>
            </xdr:cNvPr>
            <xdr:cNvSpPr/>
          </xdr:nvSpPr>
          <xdr:spPr>
            <a:xfrm>
              <a:off x="650776" y="408215"/>
              <a:ext cx="637033" cy="6854956"/>
            </a:xfrm>
            <a:prstGeom prst="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PE"/>
            </a:p>
          </xdr:txBody>
        </xdr:sp>
        <xdr:sp macro="" textlink="">
          <xdr:nvSpPr>
            <xdr:cNvPr id="23" name="Rectangle 22">
              <a:extLst>
                <a:ext uri="{FF2B5EF4-FFF2-40B4-BE49-F238E27FC236}">
                  <a16:creationId xmlns:a16="http://schemas.microsoft.com/office/drawing/2014/main" id="{00000000-0008-0000-0300-000017000000}"/>
                </a:ext>
              </a:extLst>
            </xdr:cNvPr>
            <xdr:cNvSpPr/>
          </xdr:nvSpPr>
          <xdr:spPr>
            <a:xfrm>
              <a:off x="653645" y="409575"/>
              <a:ext cx="12258261" cy="750058"/>
            </a:xfrm>
            <a:prstGeom prst="rect">
              <a:avLst/>
            </a:prstGeom>
            <a:solidFill>
              <a:schemeClr val="bg2">
                <a:lumMod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l"/>
              <a:r>
                <a:rPr lang="es-ES" sz="2000" kern="1200" baseline="0">
                  <a:solidFill>
                    <a:schemeClr val="tx2"/>
                  </a:solidFill>
                  <a:effectLst/>
                  <a:latin typeface="+mn-lt"/>
                  <a:ea typeface="+mn-ea"/>
                  <a:cs typeface="+mn-cs"/>
                </a:rPr>
                <a:t>3.b.1. Engagement: Medición de Huella de Carbono a nivel portafolio  </a:t>
              </a:r>
              <a:endParaRPr lang="es-PE" sz="2000" kern="1200" baseline="0">
                <a:solidFill>
                  <a:schemeClr val="tx2"/>
                </a:solidFill>
                <a:effectLst/>
                <a:latin typeface="+mn-lt"/>
                <a:ea typeface="+mn-ea"/>
                <a:cs typeface="+mn-cs"/>
              </a:endParaRPr>
            </a:p>
          </xdr:txBody>
        </xdr:sp>
      </xdr:grpSp>
      <xdr:sp macro="" textlink="">
        <xdr:nvSpPr>
          <xdr:cNvPr id="29" name="TextBox 5">
            <a:extLst>
              <a:ext uri="{FF2B5EF4-FFF2-40B4-BE49-F238E27FC236}">
                <a16:creationId xmlns:a16="http://schemas.microsoft.com/office/drawing/2014/main" id="{00000000-0008-0000-0300-00001D000000}"/>
              </a:ext>
            </a:extLst>
          </xdr:cNvPr>
          <xdr:cNvSpPr txBox="1"/>
        </xdr:nvSpPr>
        <xdr:spPr>
          <a:xfrm>
            <a:off x="8883388" y="8191500"/>
            <a:ext cx="2668307" cy="276999"/>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PE" sz="1200">
                <a:solidFill>
                  <a:srgbClr val="1F497D"/>
                </a:solidFill>
                <a:latin typeface="Trebuchet MS" panose="020B0603020202020204" pitchFamily="34" charset="0"/>
              </a:rPr>
              <a:t>Intensidad (Tn. CO2 /USD MM AUM)</a:t>
            </a:r>
            <a:endParaRPr lang="es-PE" sz="1200">
              <a:highlight>
                <a:srgbClr val="FFFF00"/>
              </a:highlight>
            </a:endParaRPr>
          </a:p>
        </xdr:txBody>
      </xdr:sp>
      <xdr:sp macro="" textlink="">
        <xdr:nvSpPr>
          <xdr:cNvPr id="30" name="TextBox 6">
            <a:extLst>
              <a:ext uri="{FF2B5EF4-FFF2-40B4-BE49-F238E27FC236}">
                <a16:creationId xmlns:a16="http://schemas.microsoft.com/office/drawing/2014/main" id="{00000000-0008-0000-0300-00001E000000}"/>
              </a:ext>
            </a:extLst>
          </xdr:cNvPr>
          <xdr:cNvSpPr txBox="1"/>
        </xdr:nvSpPr>
        <xdr:spPr>
          <a:xfrm>
            <a:off x="2986107" y="8192660"/>
            <a:ext cx="3618754" cy="276999"/>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s-PE" sz="1200">
                <a:solidFill>
                  <a:srgbClr val="1F497D"/>
                </a:solidFill>
                <a:latin typeface="Trebuchet MS" panose="020B0603020202020204" pitchFamily="34" charset="0"/>
              </a:rPr>
              <a:t>Huella de Carbono (miles de Tn. CO2)</a:t>
            </a:r>
            <a:endParaRPr lang="es-PE" sz="1200">
              <a:solidFill>
                <a:srgbClr val="1F497D"/>
              </a:solidFill>
            </a:endParaRPr>
          </a:p>
        </xdr:txBody>
      </xdr:sp>
      <xdr:sp macro="" textlink="">
        <xdr:nvSpPr>
          <xdr:cNvPr id="31" name="Rectangle 30">
            <a:extLst>
              <a:ext uri="{FF2B5EF4-FFF2-40B4-BE49-F238E27FC236}">
                <a16:creationId xmlns:a16="http://schemas.microsoft.com/office/drawing/2014/main" id="{00000000-0008-0000-0300-00001F000000}"/>
              </a:ext>
            </a:extLst>
          </xdr:cNvPr>
          <xdr:cNvSpPr/>
        </xdr:nvSpPr>
        <xdr:spPr>
          <a:xfrm>
            <a:off x="1403531" y="8591071"/>
            <a:ext cx="637657" cy="1919969"/>
          </a:xfrm>
          <a:prstGeom prst="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s-MX" sz="1600">
                <a:solidFill>
                  <a:schemeClr val="bg2">
                    <a:lumMod val="10000"/>
                  </a:schemeClr>
                </a:solidFill>
                <a:latin typeface="Trebuchet MS" panose="020B0603020202020204" pitchFamily="34" charset="0"/>
              </a:rPr>
              <a:t>TD </a:t>
            </a:r>
          </a:p>
          <a:p>
            <a:pPr algn="ctr"/>
            <a:r>
              <a:rPr lang="es-MX" sz="1600">
                <a:solidFill>
                  <a:schemeClr val="bg2">
                    <a:lumMod val="10000"/>
                  </a:schemeClr>
                </a:solidFill>
                <a:latin typeface="Trebuchet MS" panose="020B0603020202020204" pitchFamily="34" charset="0"/>
              </a:rPr>
              <a:t>+</a:t>
            </a:r>
          </a:p>
          <a:p>
            <a:pPr algn="ctr"/>
            <a:r>
              <a:rPr lang="es-MX" sz="1600">
                <a:solidFill>
                  <a:schemeClr val="bg2">
                    <a:lumMod val="10000"/>
                  </a:schemeClr>
                </a:solidFill>
                <a:latin typeface="Trebuchet MS" panose="020B0603020202020204" pitchFamily="34" charset="0"/>
              </a:rPr>
              <a:t> BU</a:t>
            </a:r>
          </a:p>
          <a:p>
            <a:pPr algn="ctr"/>
            <a:r>
              <a:rPr lang="es-MX" sz="1200">
                <a:solidFill>
                  <a:schemeClr val="bg2">
                    <a:lumMod val="10000"/>
                  </a:schemeClr>
                </a:solidFill>
                <a:latin typeface="Trebuchet MS" panose="020B0603020202020204" pitchFamily="34" charset="0"/>
              </a:rPr>
              <a:t>(EVIC) </a:t>
            </a:r>
            <a:endParaRPr lang="es-PE" sz="1200">
              <a:solidFill>
                <a:schemeClr val="bg2">
                  <a:lumMod val="10000"/>
                </a:schemeClr>
              </a:solidFill>
              <a:latin typeface="Trebuchet MS" panose="020B0603020202020204" pitchFamily="34" charset="0"/>
            </a:endParaRPr>
          </a:p>
        </xdr:txBody>
      </xdr:sp>
      <xdr:sp macro="" textlink="">
        <xdr:nvSpPr>
          <xdr:cNvPr id="32" name="Rectangle 31">
            <a:extLst>
              <a:ext uri="{FF2B5EF4-FFF2-40B4-BE49-F238E27FC236}">
                <a16:creationId xmlns:a16="http://schemas.microsoft.com/office/drawing/2014/main" id="{00000000-0008-0000-0300-000020000000}"/>
              </a:ext>
            </a:extLst>
          </xdr:cNvPr>
          <xdr:cNvSpPr/>
        </xdr:nvSpPr>
        <xdr:spPr>
          <a:xfrm>
            <a:off x="1397789" y="10680482"/>
            <a:ext cx="643400" cy="1492990"/>
          </a:xfrm>
          <a:prstGeom prst="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s-MX" sz="1600">
                <a:solidFill>
                  <a:schemeClr val="bg2">
                    <a:lumMod val="10000"/>
                  </a:schemeClr>
                </a:solidFill>
                <a:latin typeface="Trebuchet MS" panose="020B0603020202020204" pitchFamily="34" charset="0"/>
              </a:rPr>
              <a:t>GOB</a:t>
            </a:r>
          </a:p>
          <a:p>
            <a:pPr algn="ctr"/>
            <a:r>
              <a:rPr lang="es-MX" sz="1200">
                <a:solidFill>
                  <a:schemeClr val="bg2">
                    <a:lumMod val="10000"/>
                  </a:schemeClr>
                </a:solidFill>
                <a:latin typeface="Trebuchet MS" panose="020B0603020202020204" pitchFamily="34" charset="0"/>
              </a:rPr>
              <a:t>(GDP)</a:t>
            </a:r>
            <a:endParaRPr lang="es-PE" sz="1200">
              <a:solidFill>
                <a:schemeClr val="bg2">
                  <a:lumMod val="10000"/>
                </a:schemeClr>
              </a:solidFill>
              <a:latin typeface="Trebuchet MS" panose="020B0603020202020204" pitchFamily="34" charset="0"/>
            </a:endParaRPr>
          </a:p>
        </xdr:txBody>
      </xdr:sp>
      <xdr:sp macro="" textlink="">
        <xdr:nvSpPr>
          <xdr:cNvPr id="33" name="Rectangle: Rounded Corners 32">
            <a:extLst>
              <a:ext uri="{FF2B5EF4-FFF2-40B4-BE49-F238E27FC236}">
                <a16:creationId xmlns:a16="http://schemas.microsoft.com/office/drawing/2014/main" id="{00000000-0008-0000-0300-000021000000}"/>
              </a:ext>
            </a:extLst>
          </xdr:cNvPr>
          <xdr:cNvSpPr/>
        </xdr:nvSpPr>
        <xdr:spPr>
          <a:xfrm>
            <a:off x="1355912" y="10595762"/>
            <a:ext cx="11265520" cy="1644634"/>
          </a:xfrm>
          <a:prstGeom prst="roundRect">
            <a:avLst>
              <a:gd name="adj" fmla="val 0"/>
            </a:avLst>
          </a:prstGeom>
          <a:noFill/>
          <a:ln w="12700">
            <a:solidFill>
              <a:schemeClr val="accent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endParaRPr lang="es-PE" sz="1000">
              <a:solidFill>
                <a:srgbClr val="1F497D"/>
              </a:solidFill>
              <a:latin typeface="Trebuchet MS" panose="020B0603020202020204" pitchFamily="34" charset="0"/>
            </a:endParaRPr>
          </a:p>
        </xdr:txBody>
      </xdr:sp>
      <xdr:sp macro="" textlink="">
        <xdr:nvSpPr>
          <xdr:cNvPr id="34" name="Rectangle: Rounded Corners 33">
            <a:extLst>
              <a:ext uri="{FF2B5EF4-FFF2-40B4-BE49-F238E27FC236}">
                <a16:creationId xmlns:a16="http://schemas.microsoft.com/office/drawing/2014/main" id="{00000000-0008-0000-0300-000022000000}"/>
              </a:ext>
            </a:extLst>
          </xdr:cNvPr>
          <xdr:cNvSpPr/>
        </xdr:nvSpPr>
        <xdr:spPr>
          <a:xfrm>
            <a:off x="1355912" y="8555669"/>
            <a:ext cx="11265520" cy="1984997"/>
          </a:xfrm>
          <a:prstGeom prst="roundRect">
            <a:avLst>
              <a:gd name="adj" fmla="val 0"/>
            </a:avLst>
          </a:prstGeom>
          <a:noFill/>
          <a:ln w="12700">
            <a:solidFill>
              <a:schemeClr val="accent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endParaRPr lang="es-PE" sz="1000">
              <a:solidFill>
                <a:srgbClr val="1F497D"/>
              </a:solidFill>
              <a:latin typeface="Trebuchet MS" panose="020B0603020202020204" pitchFamily="34" charset="0"/>
            </a:endParaRPr>
          </a:p>
        </xdr:txBody>
      </xdr:sp>
    </xdr:grpSp>
    <xdr:clientData/>
  </xdr:twoCellAnchor>
  <xdr:twoCellAnchor editAs="oneCell">
    <xdr:from>
      <xdr:col>2</xdr:col>
      <xdr:colOff>489856</xdr:colOff>
      <xdr:row>71</xdr:row>
      <xdr:rowOff>95249</xdr:rowOff>
    </xdr:from>
    <xdr:to>
      <xdr:col>20</xdr:col>
      <xdr:colOff>305125</xdr:colOff>
      <xdr:row>81</xdr:row>
      <xdr:rowOff>9789</xdr:rowOff>
    </xdr:to>
    <xdr:pic>
      <xdr:nvPicPr>
        <xdr:cNvPr id="44" name="Picture 43">
          <a:extLst>
            <a:ext uri="{FF2B5EF4-FFF2-40B4-BE49-F238E27FC236}">
              <a16:creationId xmlns:a16="http://schemas.microsoft.com/office/drawing/2014/main" id="{00000000-0008-0000-0300-00002C000000}"/>
            </a:ext>
          </a:extLst>
        </xdr:cNvPr>
        <xdr:cNvPicPr>
          <a:picLocks noChangeAspect="1"/>
        </xdr:cNvPicPr>
      </xdr:nvPicPr>
      <xdr:blipFill>
        <a:blip xmlns:r="http://schemas.openxmlformats.org/officeDocument/2006/relationships" r:embed="rId5"/>
        <a:stretch>
          <a:fillRect/>
        </a:stretch>
      </xdr:blipFill>
      <xdr:spPr>
        <a:xfrm>
          <a:off x="1714499" y="12409713"/>
          <a:ext cx="10837055" cy="1905266"/>
        </a:xfrm>
        <a:prstGeom prst="rect">
          <a:avLst/>
        </a:prstGeom>
      </xdr:spPr>
    </xdr:pic>
    <xdr:clientData/>
  </xdr:twoCellAnchor>
  <xdr:twoCellAnchor>
    <xdr:from>
      <xdr:col>5</xdr:col>
      <xdr:colOff>438979</xdr:colOff>
      <xdr:row>65</xdr:row>
      <xdr:rowOff>33131</xdr:rowOff>
    </xdr:from>
    <xdr:to>
      <xdr:col>9</xdr:col>
      <xdr:colOff>579783</xdr:colOff>
      <xdr:row>65</xdr:row>
      <xdr:rowOff>33131</xdr:rowOff>
    </xdr:to>
    <xdr:cxnSp macro="">
      <xdr:nvCxnSpPr>
        <xdr:cNvPr id="25" name="Straight Connector 24">
          <a:extLst>
            <a:ext uri="{FF2B5EF4-FFF2-40B4-BE49-F238E27FC236}">
              <a16:creationId xmlns:a16="http://schemas.microsoft.com/office/drawing/2014/main" id="{00000000-0008-0000-0300-000019000000}"/>
            </a:ext>
          </a:extLst>
        </xdr:cNvPr>
        <xdr:cNvCxnSpPr/>
      </xdr:nvCxnSpPr>
      <xdr:spPr>
        <a:xfrm>
          <a:off x="3503544" y="11164957"/>
          <a:ext cx="2592456"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260069</xdr:colOff>
      <xdr:row>64</xdr:row>
      <xdr:rowOff>177246</xdr:rowOff>
    </xdr:from>
    <xdr:to>
      <xdr:col>18</xdr:col>
      <xdr:colOff>400873</xdr:colOff>
      <xdr:row>64</xdr:row>
      <xdr:rowOff>177246</xdr:rowOff>
    </xdr:to>
    <xdr:cxnSp macro="">
      <xdr:nvCxnSpPr>
        <xdr:cNvPr id="36" name="Straight Connector 35">
          <a:extLst>
            <a:ext uri="{FF2B5EF4-FFF2-40B4-BE49-F238E27FC236}">
              <a16:creationId xmlns:a16="http://schemas.microsoft.com/office/drawing/2014/main" id="{00000000-0008-0000-0300-000024000000}"/>
            </a:ext>
          </a:extLst>
        </xdr:cNvPr>
        <xdr:cNvCxnSpPr/>
      </xdr:nvCxnSpPr>
      <xdr:spPr>
        <a:xfrm>
          <a:off x="8840852" y="11118572"/>
          <a:ext cx="2592456"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559453</xdr:colOff>
      <xdr:row>54</xdr:row>
      <xdr:rowOff>81320</xdr:rowOff>
    </xdr:from>
    <xdr:to>
      <xdr:col>10</xdr:col>
      <xdr:colOff>94120</xdr:colOff>
      <xdr:row>54</xdr:row>
      <xdr:rowOff>81320</xdr:rowOff>
    </xdr:to>
    <xdr:cxnSp macro="">
      <xdr:nvCxnSpPr>
        <xdr:cNvPr id="37" name="Straight Connector 36">
          <a:extLst>
            <a:ext uri="{FF2B5EF4-FFF2-40B4-BE49-F238E27FC236}">
              <a16:creationId xmlns:a16="http://schemas.microsoft.com/office/drawing/2014/main" id="{00000000-0008-0000-0300-000025000000}"/>
            </a:ext>
          </a:extLst>
        </xdr:cNvPr>
        <xdr:cNvCxnSpPr/>
      </xdr:nvCxnSpPr>
      <xdr:spPr>
        <a:xfrm>
          <a:off x="3590135" y="9121411"/>
          <a:ext cx="2565349"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261581</xdr:colOff>
      <xdr:row>54</xdr:row>
      <xdr:rowOff>77856</xdr:rowOff>
    </xdr:from>
    <xdr:to>
      <xdr:col>18</xdr:col>
      <xdr:colOff>402384</xdr:colOff>
      <xdr:row>54</xdr:row>
      <xdr:rowOff>77856</xdr:rowOff>
    </xdr:to>
    <xdr:cxnSp macro="">
      <xdr:nvCxnSpPr>
        <xdr:cNvPr id="47" name="Straight Connector 46">
          <a:extLst>
            <a:ext uri="{FF2B5EF4-FFF2-40B4-BE49-F238E27FC236}">
              <a16:creationId xmlns:a16="http://schemas.microsoft.com/office/drawing/2014/main" id="{00000000-0008-0000-0300-00002F000000}"/>
            </a:ext>
          </a:extLst>
        </xdr:cNvPr>
        <xdr:cNvCxnSpPr/>
      </xdr:nvCxnSpPr>
      <xdr:spPr>
        <a:xfrm>
          <a:off x="8747490" y="9117947"/>
          <a:ext cx="2565349"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530679</xdr:colOff>
      <xdr:row>12</xdr:row>
      <xdr:rowOff>54428</xdr:rowOff>
    </xdr:from>
    <xdr:to>
      <xdr:col>20</xdr:col>
      <xdr:colOff>477698</xdr:colOff>
      <xdr:row>35</xdr:row>
      <xdr:rowOff>5298</xdr:rowOff>
    </xdr:to>
    <xdr:graphicFrame macro="">
      <xdr:nvGraphicFramePr>
        <xdr:cNvPr id="72" name="Chart 71">
          <a:extLst>
            <a:ext uri="{FF2B5EF4-FFF2-40B4-BE49-F238E27FC236}">
              <a16:creationId xmlns:a16="http://schemas.microsoft.com/office/drawing/2014/main" id="{00000000-0008-0000-03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449035</xdr:colOff>
      <xdr:row>63</xdr:row>
      <xdr:rowOff>95250</xdr:rowOff>
    </xdr:from>
    <xdr:to>
      <xdr:col>7</xdr:col>
      <xdr:colOff>159749</xdr:colOff>
      <xdr:row>70</xdr:row>
      <xdr:rowOff>181736</xdr:rowOff>
    </xdr:to>
    <xdr:graphicFrame macro="">
      <xdr:nvGraphicFramePr>
        <xdr:cNvPr id="13" name="Chart 12">
          <a:extLst>
            <a:ext uri="{FF2B5EF4-FFF2-40B4-BE49-F238E27FC236}">
              <a16:creationId xmlns:a16="http://schemas.microsoft.com/office/drawing/2014/main" id="{BC3E0CD0-9441-2C03-5AC1-4AD6CA8CEA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544285</xdr:colOff>
      <xdr:row>63</xdr:row>
      <xdr:rowOff>108857</xdr:rowOff>
    </xdr:from>
    <xdr:to>
      <xdr:col>11</xdr:col>
      <xdr:colOff>254999</xdr:colOff>
      <xdr:row>71</xdr:row>
      <xdr:rowOff>4843</xdr:rowOff>
    </xdr:to>
    <xdr:graphicFrame macro="">
      <xdr:nvGraphicFramePr>
        <xdr:cNvPr id="16" name="Chart 15">
          <a:extLst>
            <a:ext uri="{FF2B5EF4-FFF2-40B4-BE49-F238E27FC236}">
              <a16:creationId xmlns:a16="http://schemas.microsoft.com/office/drawing/2014/main" id="{27F9FF26-F989-4341-AF0F-7FB23988D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381000</xdr:colOff>
      <xdr:row>63</xdr:row>
      <xdr:rowOff>47624</xdr:rowOff>
    </xdr:from>
    <xdr:to>
      <xdr:col>16</xdr:col>
      <xdr:colOff>84911</xdr:colOff>
      <xdr:row>70</xdr:row>
      <xdr:rowOff>159477</xdr:rowOff>
    </xdr:to>
    <xdr:graphicFrame macro="">
      <xdr:nvGraphicFramePr>
        <xdr:cNvPr id="24" name="Chart 23">
          <a:extLst>
            <a:ext uri="{FF2B5EF4-FFF2-40B4-BE49-F238E27FC236}">
              <a16:creationId xmlns:a16="http://schemas.microsoft.com/office/drawing/2014/main" id="{046DC97A-91A5-2230-6683-B385CFCC85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470647</xdr:colOff>
      <xdr:row>63</xdr:row>
      <xdr:rowOff>44824</xdr:rowOff>
    </xdr:from>
    <xdr:to>
      <xdr:col>20</xdr:col>
      <xdr:colOff>168154</xdr:colOff>
      <xdr:row>70</xdr:row>
      <xdr:rowOff>145471</xdr:rowOff>
    </xdr:to>
    <xdr:graphicFrame macro="">
      <xdr:nvGraphicFramePr>
        <xdr:cNvPr id="26" name="Chart 25">
          <a:extLst>
            <a:ext uri="{FF2B5EF4-FFF2-40B4-BE49-F238E27FC236}">
              <a16:creationId xmlns:a16="http://schemas.microsoft.com/office/drawing/2014/main" id="{3609C94B-7FC9-E379-A123-C847479392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0</xdr:colOff>
      <xdr:row>84</xdr:row>
      <xdr:rowOff>0</xdr:rowOff>
    </xdr:from>
    <xdr:to>
      <xdr:col>9</xdr:col>
      <xdr:colOff>331200</xdr:colOff>
      <xdr:row>91</xdr:row>
      <xdr:rowOff>113700</xdr:rowOff>
    </xdr:to>
    <xdr:graphicFrame macro="">
      <xdr:nvGraphicFramePr>
        <xdr:cNvPr id="2" name="Chart 1">
          <a:extLst>
            <a:ext uri="{FF2B5EF4-FFF2-40B4-BE49-F238E27FC236}">
              <a16:creationId xmlns:a16="http://schemas.microsoft.com/office/drawing/2014/main" id="{BC3E0CD0-9441-2C03-5AC1-4AD6CA8CEA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1454727</xdr:colOff>
      <xdr:row>68</xdr:row>
      <xdr:rowOff>51953</xdr:rowOff>
    </xdr:from>
    <xdr:to>
      <xdr:col>34</xdr:col>
      <xdr:colOff>923111</xdr:colOff>
      <xdr:row>75</xdr:row>
      <xdr:rowOff>154282</xdr:rowOff>
    </xdr:to>
    <xdr:graphicFrame macro="">
      <xdr:nvGraphicFramePr>
        <xdr:cNvPr id="3" name="Chart 2">
          <a:extLst>
            <a:ext uri="{FF2B5EF4-FFF2-40B4-BE49-F238E27FC236}">
              <a16:creationId xmlns:a16="http://schemas.microsoft.com/office/drawing/2014/main" id="{046DC97A-91A5-2230-6683-B385CFCC85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352425</xdr:colOff>
      <xdr:row>84</xdr:row>
      <xdr:rowOff>9525</xdr:rowOff>
    </xdr:from>
    <xdr:to>
      <xdr:col>13</xdr:col>
      <xdr:colOff>74025</xdr:colOff>
      <xdr:row>91</xdr:row>
      <xdr:rowOff>123225</xdr:rowOff>
    </xdr:to>
    <xdr:graphicFrame macro="">
      <xdr:nvGraphicFramePr>
        <xdr:cNvPr id="7" name="Chart 6">
          <a:extLst>
            <a:ext uri="{FF2B5EF4-FFF2-40B4-BE49-F238E27FC236}">
              <a16:creationId xmlns:a16="http://schemas.microsoft.com/office/drawing/2014/main" id="{27F9FF26-F989-4341-AF0F-7FB23988D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17</xdr:col>
      <xdr:colOff>526460</xdr:colOff>
      <xdr:row>86</xdr:row>
      <xdr:rowOff>25200</xdr:rowOff>
    </xdr:from>
    <xdr:to>
      <xdr:col>21</xdr:col>
      <xdr:colOff>248060</xdr:colOff>
      <xdr:row>93</xdr:row>
      <xdr:rowOff>137053</xdr:rowOff>
    </xdr:to>
    <xdr:graphicFrame macro="">
      <xdr:nvGraphicFramePr>
        <xdr:cNvPr id="27" name="Chart 26">
          <a:extLst>
            <a:ext uri="{FF2B5EF4-FFF2-40B4-BE49-F238E27FC236}">
              <a16:creationId xmlns:a16="http://schemas.microsoft.com/office/drawing/2014/main" id="{3609C94B-7FC9-E379-A123-C847479392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118</xdr:col>
      <xdr:colOff>0</xdr:colOff>
      <xdr:row>89</xdr:row>
      <xdr:rowOff>1</xdr:rowOff>
    </xdr:from>
    <xdr:to>
      <xdr:col>118</xdr:col>
      <xdr:colOff>1009849</xdr:colOff>
      <xdr:row>92</xdr:row>
      <xdr:rowOff>114118</xdr:rowOff>
    </xdr:to>
    <xdr:graphicFrame macro="">
      <xdr:nvGraphicFramePr>
        <xdr:cNvPr id="41" name="Chart 40">
          <a:extLst>
            <a:ext uri="{FF2B5EF4-FFF2-40B4-BE49-F238E27FC236}">
              <a16:creationId xmlns:a16="http://schemas.microsoft.com/office/drawing/2014/main" id="{5BFE01F8-E9B2-3F32-0EA8-462CD5111A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120</xdr:col>
      <xdr:colOff>167462</xdr:colOff>
      <xdr:row>89</xdr:row>
      <xdr:rowOff>72009</xdr:rowOff>
    </xdr:from>
    <xdr:to>
      <xdr:col>123</xdr:col>
      <xdr:colOff>139086</xdr:colOff>
      <xdr:row>92</xdr:row>
      <xdr:rowOff>186126</xdr:rowOff>
    </xdr:to>
    <xdr:graphicFrame macro="">
      <xdr:nvGraphicFramePr>
        <xdr:cNvPr id="42" name="Chart 41">
          <a:extLst>
            <a:ext uri="{FF2B5EF4-FFF2-40B4-BE49-F238E27FC236}">
              <a16:creationId xmlns:a16="http://schemas.microsoft.com/office/drawing/2014/main" id="{5BFE01F8-E9B2-3F32-0EA8-462CD5111A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123</xdr:col>
      <xdr:colOff>150041</xdr:colOff>
      <xdr:row>89</xdr:row>
      <xdr:rowOff>72009</xdr:rowOff>
    </xdr:from>
    <xdr:to>
      <xdr:col>124</xdr:col>
      <xdr:colOff>121665</xdr:colOff>
      <xdr:row>92</xdr:row>
      <xdr:rowOff>186126</xdr:rowOff>
    </xdr:to>
    <xdr:graphicFrame macro="">
      <xdr:nvGraphicFramePr>
        <xdr:cNvPr id="43" name="Chart 42">
          <a:extLst>
            <a:ext uri="{FF2B5EF4-FFF2-40B4-BE49-F238E27FC236}">
              <a16:creationId xmlns:a16="http://schemas.microsoft.com/office/drawing/2014/main" id="{5BFE01F8-E9B2-3F32-0EA8-462CD5111A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119</xdr:col>
      <xdr:colOff>0</xdr:colOff>
      <xdr:row>94</xdr:row>
      <xdr:rowOff>0</xdr:rowOff>
    </xdr:from>
    <xdr:to>
      <xdr:col>120</xdr:col>
      <xdr:colOff>41895</xdr:colOff>
      <xdr:row>97</xdr:row>
      <xdr:rowOff>104593</xdr:rowOff>
    </xdr:to>
    <xdr:graphicFrame macro="">
      <xdr:nvGraphicFramePr>
        <xdr:cNvPr id="45" name="Chart 44">
          <a:extLst>
            <a:ext uri="{FF2B5EF4-FFF2-40B4-BE49-F238E27FC236}">
              <a16:creationId xmlns:a16="http://schemas.microsoft.com/office/drawing/2014/main" id="{5BFE01F8-E9B2-3F32-0EA8-462CD5111A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32</xdr:col>
      <xdr:colOff>0</xdr:colOff>
      <xdr:row>146</xdr:row>
      <xdr:rowOff>0</xdr:rowOff>
    </xdr:from>
    <xdr:to>
      <xdr:col>33</xdr:col>
      <xdr:colOff>331200</xdr:colOff>
      <xdr:row>153</xdr:row>
      <xdr:rowOff>113700</xdr:rowOff>
    </xdr:to>
    <xdr:graphicFrame macro="">
      <xdr:nvGraphicFramePr>
        <xdr:cNvPr id="40" name="Chart 39">
          <a:extLst>
            <a:ext uri="{FF2B5EF4-FFF2-40B4-BE49-F238E27FC236}">
              <a16:creationId xmlns:a16="http://schemas.microsoft.com/office/drawing/2014/main" id="{90B88642-F2D5-4955-A7B7-853BAAFE57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33</xdr:col>
      <xdr:colOff>2309813</xdr:colOff>
      <xdr:row>146</xdr:row>
      <xdr:rowOff>0</xdr:rowOff>
    </xdr:from>
    <xdr:to>
      <xdr:col>34</xdr:col>
      <xdr:colOff>1827986</xdr:colOff>
      <xdr:row>153</xdr:row>
      <xdr:rowOff>102328</xdr:rowOff>
    </xdr:to>
    <xdr:graphicFrame macro="">
      <xdr:nvGraphicFramePr>
        <xdr:cNvPr id="46" name="Chart 45">
          <a:extLst>
            <a:ext uri="{FF2B5EF4-FFF2-40B4-BE49-F238E27FC236}">
              <a16:creationId xmlns:a16="http://schemas.microsoft.com/office/drawing/2014/main" id="{52066AE4-4D2D-464A-A5A6-8365E9B10C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120</xdr:col>
      <xdr:colOff>798906</xdr:colOff>
      <xdr:row>128</xdr:row>
      <xdr:rowOff>0</xdr:rowOff>
    </xdr:from>
    <xdr:to>
      <xdr:col>124</xdr:col>
      <xdr:colOff>242542</xdr:colOff>
      <xdr:row>137</xdr:row>
      <xdr:rowOff>97664</xdr:rowOff>
    </xdr:to>
    <xdr:graphicFrame macro="">
      <xdr:nvGraphicFramePr>
        <xdr:cNvPr id="49" name="Chart 48">
          <a:extLst>
            <a:ext uri="{FF2B5EF4-FFF2-40B4-BE49-F238E27FC236}">
              <a16:creationId xmlns:a16="http://schemas.microsoft.com/office/drawing/2014/main" id="{5CBB77BF-4F0A-CAC7-3552-2268948FE8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117</xdr:col>
      <xdr:colOff>0</xdr:colOff>
      <xdr:row>129</xdr:row>
      <xdr:rowOff>10182</xdr:rowOff>
    </xdr:from>
    <xdr:to>
      <xdr:col>120</xdr:col>
      <xdr:colOff>326864</xdr:colOff>
      <xdr:row>138</xdr:row>
      <xdr:rowOff>179846</xdr:rowOff>
    </xdr:to>
    <xdr:graphicFrame macro="">
      <xdr:nvGraphicFramePr>
        <xdr:cNvPr id="50" name="Chart 49">
          <a:extLst>
            <a:ext uri="{FF2B5EF4-FFF2-40B4-BE49-F238E27FC236}">
              <a16:creationId xmlns:a16="http://schemas.microsoft.com/office/drawing/2014/main" id="{94FFA704-6E30-BAF5-BA1B-2348C1EC31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36</xdr:col>
      <xdr:colOff>261938</xdr:colOff>
      <xdr:row>85</xdr:row>
      <xdr:rowOff>71438</xdr:rowOff>
    </xdr:from>
    <xdr:to>
      <xdr:col>36</xdr:col>
      <xdr:colOff>2460038</xdr:colOff>
      <xdr:row>92</xdr:row>
      <xdr:rowOff>183291</xdr:rowOff>
    </xdr:to>
    <xdr:graphicFrame macro="">
      <xdr:nvGraphicFramePr>
        <xdr:cNvPr id="56" name="Chart 55">
          <a:extLst>
            <a:ext uri="{FF2B5EF4-FFF2-40B4-BE49-F238E27FC236}">
              <a16:creationId xmlns:a16="http://schemas.microsoft.com/office/drawing/2014/main" id="{DE4025CB-DABA-4E30-BD68-FFA91390BD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26</xdr:col>
      <xdr:colOff>1156607</xdr:colOff>
      <xdr:row>55</xdr:row>
      <xdr:rowOff>0</xdr:rowOff>
    </xdr:from>
    <xdr:to>
      <xdr:col>28</xdr:col>
      <xdr:colOff>391813</xdr:colOff>
      <xdr:row>62</xdr:row>
      <xdr:rowOff>109990</xdr:rowOff>
    </xdr:to>
    <xdr:graphicFrame macro="">
      <xdr:nvGraphicFramePr>
        <xdr:cNvPr id="57" name="Chart 56">
          <a:extLst>
            <a:ext uri="{FF2B5EF4-FFF2-40B4-BE49-F238E27FC236}">
              <a16:creationId xmlns:a16="http://schemas.microsoft.com/office/drawing/2014/main" id="{49CECA4F-7BC8-4930-B433-E3D394C4E1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27</xdr:col>
      <xdr:colOff>1647265</xdr:colOff>
      <xdr:row>90</xdr:row>
      <xdr:rowOff>78442</xdr:rowOff>
    </xdr:from>
    <xdr:to>
      <xdr:col>29</xdr:col>
      <xdr:colOff>808570</xdr:colOff>
      <xdr:row>97</xdr:row>
      <xdr:rowOff>180936</xdr:rowOff>
    </xdr:to>
    <xdr:graphicFrame macro="">
      <xdr:nvGraphicFramePr>
        <xdr:cNvPr id="58" name="Chart 57">
          <a:extLst>
            <a:ext uri="{FF2B5EF4-FFF2-40B4-BE49-F238E27FC236}">
              <a16:creationId xmlns:a16="http://schemas.microsoft.com/office/drawing/2014/main" id="{07116850-AC5C-4404-98D8-B864E3C577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113</xdr:col>
      <xdr:colOff>1097690</xdr:colOff>
      <xdr:row>87</xdr:row>
      <xdr:rowOff>136907</xdr:rowOff>
    </xdr:from>
    <xdr:to>
      <xdr:col>117</xdr:col>
      <xdr:colOff>860636</xdr:colOff>
      <xdr:row>96</xdr:row>
      <xdr:rowOff>135601</xdr:rowOff>
    </xdr:to>
    <xdr:graphicFrame macro="">
      <xdr:nvGraphicFramePr>
        <xdr:cNvPr id="48" name="Chart 47">
          <a:extLst>
            <a:ext uri="{FF2B5EF4-FFF2-40B4-BE49-F238E27FC236}">
              <a16:creationId xmlns:a16="http://schemas.microsoft.com/office/drawing/2014/main" id="{00000000-0008-0000-03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121</xdr:col>
      <xdr:colOff>840441</xdr:colOff>
      <xdr:row>84</xdr:row>
      <xdr:rowOff>44824</xdr:rowOff>
    </xdr:from>
    <xdr:to>
      <xdr:col>127</xdr:col>
      <xdr:colOff>524947</xdr:colOff>
      <xdr:row>93</xdr:row>
      <xdr:rowOff>54724</xdr:rowOff>
    </xdr:to>
    <xdr:graphicFrame macro="">
      <xdr:nvGraphicFramePr>
        <xdr:cNvPr id="52" name="Chart 51">
          <a:extLst>
            <a:ext uri="{FF2B5EF4-FFF2-40B4-BE49-F238E27FC236}">
              <a16:creationId xmlns:a16="http://schemas.microsoft.com/office/drawing/2014/main" id="{4BB86DA2-54CC-4DEE-9DF7-755AC69B1F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32</xdr:col>
      <xdr:colOff>0</xdr:colOff>
      <xdr:row>83</xdr:row>
      <xdr:rowOff>0</xdr:rowOff>
    </xdr:from>
    <xdr:to>
      <xdr:col>33</xdr:col>
      <xdr:colOff>800685</xdr:colOff>
      <xdr:row>90</xdr:row>
      <xdr:rowOff>129924</xdr:rowOff>
    </xdr:to>
    <xdr:graphicFrame macro="">
      <xdr:nvGraphicFramePr>
        <xdr:cNvPr id="54" name="Chart 53">
          <a:extLst>
            <a:ext uri="{FF2B5EF4-FFF2-40B4-BE49-F238E27FC236}">
              <a16:creationId xmlns:a16="http://schemas.microsoft.com/office/drawing/2014/main" id="{00000000-0008-0000-03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36</xdr:col>
      <xdr:colOff>241788</xdr:colOff>
      <xdr:row>73</xdr:row>
      <xdr:rowOff>175846</xdr:rowOff>
    </xdr:from>
    <xdr:to>
      <xdr:col>37</xdr:col>
      <xdr:colOff>144681</xdr:colOff>
      <xdr:row>81</xdr:row>
      <xdr:rowOff>31278</xdr:rowOff>
    </xdr:to>
    <xdr:graphicFrame macro="">
      <xdr:nvGraphicFramePr>
        <xdr:cNvPr id="55" name="Chart 54">
          <a:extLst>
            <a:ext uri="{FF2B5EF4-FFF2-40B4-BE49-F238E27FC236}">
              <a16:creationId xmlns:a16="http://schemas.microsoft.com/office/drawing/2014/main" id="{046DC97A-91A5-2230-6683-B385CFCC85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33</xdr:col>
      <xdr:colOff>0</xdr:colOff>
      <xdr:row>90</xdr:row>
      <xdr:rowOff>0</xdr:rowOff>
    </xdr:from>
    <xdr:to>
      <xdr:col>33</xdr:col>
      <xdr:colOff>2599685</xdr:colOff>
      <xdr:row>97</xdr:row>
      <xdr:rowOff>118718</xdr:rowOff>
    </xdr:to>
    <xdr:graphicFrame macro="">
      <xdr:nvGraphicFramePr>
        <xdr:cNvPr id="59" name="Chart 58">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117</xdr:col>
      <xdr:colOff>0</xdr:colOff>
      <xdr:row>140</xdr:row>
      <xdr:rowOff>0</xdr:rowOff>
    </xdr:from>
    <xdr:to>
      <xdr:col>119</xdr:col>
      <xdr:colOff>985268</xdr:colOff>
      <xdr:row>148</xdr:row>
      <xdr:rowOff>118747</xdr:rowOff>
    </xdr:to>
    <xdr:graphicFrame macro="">
      <xdr:nvGraphicFramePr>
        <xdr:cNvPr id="60" name="Chart 59">
          <a:extLst>
            <a:ext uri="{FF2B5EF4-FFF2-40B4-BE49-F238E27FC236}">
              <a16:creationId xmlns:a16="http://schemas.microsoft.com/office/drawing/2014/main" id="{94FFA704-6E30-BAF5-BA1B-2348C1EC31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xdr:col>
      <xdr:colOff>0</xdr:colOff>
      <xdr:row>155</xdr:row>
      <xdr:rowOff>0</xdr:rowOff>
    </xdr:from>
    <xdr:to>
      <xdr:col>30</xdr:col>
      <xdr:colOff>1134006</xdr:colOff>
      <xdr:row>162</xdr:row>
      <xdr:rowOff>111853</xdr:rowOff>
    </xdr:to>
    <xdr:graphicFrame macro="">
      <xdr:nvGraphicFramePr>
        <xdr:cNvPr id="61" name="Chart 60">
          <a:extLst>
            <a:ext uri="{FF2B5EF4-FFF2-40B4-BE49-F238E27FC236}">
              <a16:creationId xmlns:a16="http://schemas.microsoft.com/office/drawing/2014/main" id="{7C7D431C-845F-B854-ADDB-6962F18BE1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31</xdr:col>
      <xdr:colOff>0</xdr:colOff>
      <xdr:row>155</xdr:row>
      <xdr:rowOff>0</xdr:rowOff>
    </xdr:from>
    <xdr:to>
      <xdr:col>31</xdr:col>
      <xdr:colOff>1211368</xdr:colOff>
      <xdr:row>162</xdr:row>
      <xdr:rowOff>102328</xdr:rowOff>
    </xdr:to>
    <xdr:graphicFrame macro="">
      <xdr:nvGraphicFramePr>
        <xdr:cNvPr id="62" name="Chart 61">
          <a:extLst>
            <a:ext uri="{FF2B5EF4-FFF2-40B4-BE49-F238E27FC236}">
              <a16:creationId xmlns:a16="http://schemas.microsoft.com/office/drawing/2014/main" id="{A15EFB27-85DA-A201-E976-C990017918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xdr:col>
      <xdr:colOff>0</xdr:colOff>
      <xdr:row>155</xdr:row>
      <xdr:rowOff>0</xdr:rowOff>
    </xdr:from>
    <xdr:to>
      <xdr:col>32</xdr:col>
      <xdr:colOff>1134006</xdr:colOff>
      <xdr:row>162</xdr:row>
      <xdr:rowOff>111853</xdr:rowOff>
    </xdr:to>
    <xdr:graphicFrame macro="">
      <xdr:nvGraphicFramePr>
        <xdr:cNvPr id="63" name="Chart 62">
          <a:extLst>
            <a:ext uri="{FF2B5EF4-FFF2-40B4-BE49-F238E27FC236}">
              <a16:creationId xmlns:a16="http://schemas.microsoft.com/office/drawing/2014/main" id="{7C7D431C-845F-B854-ADDB-6962F18BE1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117</xdr:col>
      <xdr:colOff>895350</xdr:colOff>
      <xdr:row>69</xdr:row>
      <xdr:rowOff>28575</xdr:rowOff>
    </xdr:from>
    <xdr:to>
      <xdr:col>121</xdr:col>
      <xdr:colOff>190050</xdr:colOff>
      <xdr:row>78</xdr:row>
      <xdr:rowOff>204300</xdr:rowOff>
    </xdr:to>
    <xdr:graphicFrame macro="">
      <xdr:nvGraphicFramePr>
        <xdr:cNvPr id="53" name="Chart 52">
          <a:extLst>
            <a:ext uri="{FF2B5EF4-FFF2-40B4-BE49-F238E27FC236}">
              <a16:creationId xmlns:a16="http://schemas.microsoft.com/office/drawing/2014/main" id="{00000000-0008-0000-03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122</xdr:col>
      <xdr:colOff>809625</xdr:colOff>
      <xdr:row>67</xdr:row>
      <xdr:rowOff>180975</xdr:rowOff>
    </xdr:from>
    <xdr:to>
      <xdr:col>127</xdr:col>
      <xdr:colOff>133766</xdr:colOff>
      <xdr:row>77</xdr:row>
      <xdr:rowOff>78613</xdr:rowOff>
    </xdr:to>
    <xdr:graphicFrame macro="">
      <xdr:nvGraphicFramePr>
        <xdr:cNvPr id="64" name="Chart 63">
          <a:extLst>
            <a:ext uri="{FF2B5EF4-FFF2-40B4-BE49-F238E27FC236}">
              <a16:creationId xmlns:a16="http://schemas.microsoft.com/office/drawing/2014/main" id="{050389EB-7929-0C3A-F1D6-75143DF502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24</xdr:col>
      <xdr:colOff>333375</xdr:colOff>
      <xdr:row>1</xdr:row>
      <xdr:rowOff>0</xdr:rowOff>
    </xdr:from>
    <xdr:to>
      <xdr:col>31</xdr:col>
      <xdr:colOff>38654</xdr:colOff>
      <xdr:row>10</xdr:row>
      <xdr:rowOff>79626</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5821025" y="190500"/>
          <a:ext cx="3972479" cy="1794126"/>
        </a:xfrm>
        <a:prstGeom prst="rect">
          <a:avLst/>
        </a:prstGeom>
      </xdr:spPr>
    </xdr:pic>
    <xdr:clientData/>
  </xdr:twoCellAnchor>
  <xdr:twoCellAnchor>
    <xdr:from>
      <xdr:col>19</xdr:col>
      <xdr:colOff>1028700</xdr:colOff>
      <xdr:row>0</xdr:row>
      <xdr:rowOff>142875</xdr:rowOff>
    </xdr:from>
    <xdr:to>
      <xdr:col>24</xdr:col>
      <xdr:colOff>409575</xdr:colOff>
      <xdr:row>6</xdr:row>
      <xdr:rowOff>47625</xdr:rowOff>
    </xdr:to>
    <xdr:cxnSp macro="">
      <xdr:nvCxnSpPr>
        <xdr:cNvPr id="4" name="Straight Arrow Connector 3">
          <a:extLst>
            <a:ext uri="{FF2B5EF4-FFF2-40B4-BE49-F238E27FC236}">
              <a16:creationId xmlns:a16="http://schemas.microsoft.com/office/drawing/2014/main" id="{00000000-0008-0000-0500-000004000000}"/>
            </a:ext>
          </a:extLst>
        </xdr:cNvPr>
        <xdr:cNvCxnSpPr/>
      </xdr:nvCxnSpPr>
      <xdr:spPr>
        <a:xfrm flipH="1" flipV="1">
          <a:off x="12611100" y="142875"/>
          <a:ext cx="3286125" cy="4762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editAs="oneCell">
    <xdr:from>
      <xdr:col>24</xdr:col>
      <xdr:colOff>144318</xdr:colOff>
      <xdr:row>5</xdr:row>
      <xdr:rowOff>57728</xdr:rowOff>
    </xdr:from>
    <xdr:to>
      <xdr:col>30</xdr:col>
      <xdr:colOff>454715</xdr:colOff>
      <xdr:row>1154</xdr:row>
      <xdr:rowOff>79625</xdr:rowOff>
    </xdr:to>
    <xdr:pic>
      <xdr:nvPicPr>
        <xdr:cNvPr id="2" name="Picture 1">
          <a:extLst>
            <a:ext uri="{FF2B5EF4-FFF2-40B4-BE49-F238E27FC236}">
              <a16:creationId xmlns:a16="http://schemas.microsoft.com/office/drawing/2014/main" id="{D7E57BE1-5240-4587-8676-3F84CC89E381}"/>
            </a:ext>
          </a:extLst>
        </xdr:cNvPr>
        <xdr:cNvPicPr>
          <a:picLocks noChangeAspect="1"/>
        </xdr:cNvPicPr>
      </xdr:nvPicPr>
      <xdr:blipFill>
        <a:blip xmlns:r="http://schemas.openxmlformats.org/officeDocument/2006/relationships" r:embed="rId1"/>
        <a:stretch>
          <a:fillRect/>
        </a:stretch>
      </xdr:blipFill>
      <xdr:spPr>
        <a:xfrm>
          <a:off x="18617045" y="995796"/>
          <a:ext cx="3947215" cy="1768148"/>
        </a:xfrm>
        <a:prstGeom prst="rect">
          <a:avLst/>
        </a:prstGeom>
      </xdr:spPr>
    </xdr:pic>
    <xdr:clientData/>
  </xdr:twoCellAnchor>
  <xdr:twoCellAnchor>
    <xdr:from>
      <xdr:col>19</xdr:col>
      <xdr:colOff>1028700</xdr:colOff>
      <xdr:row>0</xdr:row>
      <xdr:rowOff>142875</xdr:rowOff>
    </xdr:from>
    <xdr:to>
      <xdr:col>24</xdr:col>
      <xdr:colOff>0</xdr:colOff>
      <xdr:row>6</xdr:row>
      <xdr:rowOff>47625</xdr:rowOff>
    </xdr:to>
    <xdr:cxnSp macro="">
      <xdr:nvCxnSpPr>
        <xdr:cNvPr id="3" name="Straight Arrow Connector 2">
          <a:extLst>
            <a:ext uri="{FF2B5EF4-FFF2-40B4-BE49-F238E27FC236}">
              <a16:creationId xmlns:a16="http://schemas.microsoft.com/office/drawing/2014/main" id="{4E096927-F510-4FA5-A10C-6A22F5EBED84}"/>
            </a:ext>
          </a:extLst>
        </xdr:cNvPr>
        <xdr:cNvCxnSpPr/>
      </xdr:nvCxnSpPr>
      <xdr:spPr>
        <a:xfrm flipH="1" flipV="1">
          <a:off x="12192000" y="142875"/>
          <a:ext cx="2847975" cy="1047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1028700</xdr:colOff>
      <xdr:row>0</xdr:row>
      <xdr:rowOff>142875</xdr:rowOff>
    </xdr:from>
    <xdr:to>
      <xdr:col>24</xdr:col>
      <xdr:colOff>0</xdr:colOff>
      <xdr:row>6</xdr:row>
      <xdr:rowOff>47625</xdr:rowOff>
    </xdr:to>
    <xdr:cxnSp macro="">
      <xdr:nvCxnSpPr>
        <xdr:cNvPr id="4" name="Straight Arrow Connector 3">
          <a:extLst>
            <a:ext uri="{FF2B5EF4-FFF2-40B4-BE49-F238E27FC236}">
              <a16:creationId xmlns:a16="http://schemas.microsoft.com/office/drawing/2014/main" id="{0E515ABB-77DF-4C92-ACCB-472DCB19DEA1}"/>
            </a:ext>
          </a:extLst>
        </xdr:cNvPr>
        <xdr:cNvCxnSpPr/>
      </xdr:nvCxnSpPr>
      <xdr:spPr>
        <a:xfrm flipH="1" flipV="1">
          <a:off x="16040100" y="142875"/>
          <a:ext cx="2447925" cy="1047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1.Data%20Hist&#243;rica/Dataset/G&amp;P%20input/G&amp;P_MLab_122025.xlsm" TargetMode="External"/><Relationship Id="rId2" Type="http://schemas.openxmlformats.org/officeDocument/2006/relationships/externalLinkPath" Target="file:///Z:\Mesa%20de%20Inversiones\Bottom-Up\2%20Proceso%20de%20Inversi&#243;n%20Renta%20Fija\Corporates%20-%20Emisiones\Cr&#233;dito%20-%20BU\3.%20ESG\9.%20ESG%20Manager%20-%20MSCI\1.Data%20Hist&#243;rica\Dataset\G&amp;P%20input\G&amp;P_MLab_122025.xlsm" TargetMode="External"/><Relationship Id="rId1" Type="http://schemas.openxmlformats.org/officeDocument/2006/relationships/externalLinkPath" Target="/Mesa%20de%20Inversiones/Bottom-Up/2%20Proceso%20de%20Inversi&#243;n%20Renta%20Fija/Corporates%20-%20Emisiones/Cr&#233;dito%20-%20BU/3.%20ESG/9.%20ESG%20Manager%20-%20MSCI/1.Data%20Hist&#243;rica/Dataset/G&amp;P%20input/G&amp;P_MLab_12202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ModDatosMLab"/>
      <sheetName val="Detallado"/>
      <sheetName val="Abs"/>
      <sheetName val="Rep1"/>
      <sheetName val="Rep2"/>
      <sheetName val="Rep3"/>
      <sheetName val="Rep4"/>
      <sheetName val="Rep5"/>
      <sheetName val="RF_Det"/>
      <sheetName val="RF_DTS"/>
      <sheetName val="RF_Corps"/>
      <sheetName val="FX"/>
      <sheetName val="R_DetalleFX"/>
      <sheetName val="RV_Det"/>
      <sheetName val="RV_Paises"/>
      <sheetName val="RV_GICS"/>
      <sheetName val="SAA"/>
      <sheetName val="BRAtt"/>
      <sheetName val="BRAtt (M)"/>
      <sheetName val="CI"/>
      <sheetName val="CatGlob"/>
      <sheetName val="PRI"/>
      <sheetName val="CIRes"/>
      <sheetName val="RepG"/>
      <sheetName val="EfectoUCITS"/>
      <sheetName val="PosCI"/>
      <sheetName val="RepSBS_RV"/>
      <sheetName val="RepSBS_ALTS"/>
      <sheetName val="RepSBS_RF"/>
      <sheetName val="TD"/>
      <sheetName val="BU"/>
      <sheetName val="Dir"/>
      <sheetName val="RV_Vol"/>
      <sheetName val="RV_vsACWI"/>
      <sheetName val="RV_A-P"/>
      <sheetName val="RV_UCITS"/>
      <sheetName val="RF_UCITS"/>
      <sheetName val="G_ErrACUM"/>
      <sheetName val="CalComp"/>
      <sheetName val="ErrEst"/>
      <sheetName val="MAct"/>
      <sheetName val="RetBrinson"/>
      <sheetName val="MActInd"/>
      <sheetName val="MMon"/>
      <sheetName val="BRINSON"/>
      <sheetName val="RetCash"/>
      <sheetName val="MMonInd"/>
      <sheetName val="MMonUSD2"/>
      <sheetName val="MMonUSD"/>
      <sheetName val="MMonUSDInd"/>
      <sheetName val="RetAct"/>
      <sheetName val="IndAct"/>
      <sheetName val="RetActLCC"/>
      <sheetName val="RetMon"/>
      <sheetName val="IndMon"/>
      <sheetName val="RetMonUSD"/>
      <sheetName val="VC"/>
      <sheetName val="VCAri"/>
      <sheetName val="Est"/>
      <sheetName val="CASH"/>
      <sheetName val="DetalleFX"/>
      <sheetName val="CY"/>
      <sheetName val="CG"/>
      <sheetName val="YTM"/>
      <sheetName val="PA_Equity"/>
      <sheetName val="PA_Equity_Ind"/>
      <sheetName val="PA_FI"/>
      <sheetName val="PLTrading"/>
      <sheetName val="Des"/>
    </sheetNames>
    <sheetDataSet>
      <sheetData sheetId="0"/>
      <sheetData sheetId="1">
        <row r="2">
          <cell r="B2" t="str">
            <v>Escenario</v>
          </cell>
        </row>
        <row r="3">
          <cell r="B3" t="str">
            <v>Tm4</v>
          </cell>
        </row>
        <row r="5">
          <cell r="B5" t="str">
            <v>Fecha Ini</v>
          </cell>
        </row>
        <row r="6">
          <cell r="B6" t="str">
            <v>Fecha Fin</v>
          </cell>
        </row>
        <row r="8">
          <cell r="B8" t="str">
            <v>Modelo</v>
          </cell>
        </row>
        <row r="10">
          <cell r="B10" t="str">
            <v>SBS</v>
          </cell>
          <cell r="D10" t="str">
            <v>Nombre</v>
          </cell>
          <cell r="F10" t="str">
            <v>Asset Class</v>
          </cell>
          <cell r="Q10" t="str">
            <v>Rank Rt</v>
          </cell>
        </row>
        <row r="11">
          <cell r="B11" t="str">
            <v>5276672F0093</v>
          </cell>
          <cell r="D11" t="str">
            <v>HSBC - Frontier Markets Equity</v>
          </cell>
          <cell r="F11" t="str">
            <v>Renta Variable</v>
          </cell>
          <cell r="Q11" t="str">
            <v>RVI</v>
          </cell>
        </row>
        <row r="12">
          <cell r="B12" t="str">
            <v>5274862F9504</v>
          </cell>
          <cell r="D12" t="str">
            <v>Edmond de Rothschild - Big Data</v>
          </cell>
          <cell r="F12" t="str">
            <v>Renta Variable</v>
          </cell>
          <cell r="Q12" t="str">
            <v>RVI</v>
          </cell>
        </row>
        <row r="13">
          <cell r="B13" t="str">
            <v>15515123CH47</v>
          </cell>
          <cell r="D13" t="str">
            <v>Banco de Crédito e Inversiones</v>
          </cell>
          <cell r="F13" t="str">
            <v>Renta Fija</v>
          </cell>
          <cell r="Q13" t="str">
            <v>RFIC</v>
          </cell>
        </row>
        <row r="14">
          <cell r="B14" t="str">
            <v>1551512PAC05</v>
          </cell>
          <cell r="D14" t="str">
            <v>Banco de Crédito e Inversiones</v>
          </cell>
          <cell r="F14" t="str">
            <v>Renta Fija</v>
          </cell>
          <cell r="Q14" t="str">
            <v>RFIC</v>
          </cell>
        </row>
        <row r="15">
          <cell r="B15" t="str">
            <v>5374914AIP4B</v>
          </cell>
          <cell r="D15" t="str">
            <v>Antin Infrastructure Partners IV</v>
          </cell>
          <cell r="F15" t="str">
            <v>Alternativos</v>
          </cell>
          <cell r="Q15" t="str">
            <v>ALT</v>
          </cell>
        </row>
        <row r="16">
          <cell r="B16" t="str">
            <v>5374462SPIF3</v>
          </cell>
          <cell r="D16" t="str">
            <v>Stonepeak Infrastructure Partners III</v>
          </cell>
          <cell r="F16" t="str">
            <v>Alternativos</v>
          </cell>
          <cell r="Q16" t="str">
            <v>ALT</v>
          </cell>
        </row>
        <row r="17">
          <cell r="B17" t="str">
            <v>5374792GIP4F</v>
          </cell>
          <cell r="D17" t="str">
            <v>Global Infrastructure GP IV, L.P.</v>
          </cell>
          <cell r="F17" t="str">
            <v>Alternativos</v>
          </cell>
          <cell r="Q17" t="str">
            <v>ALT</v>
          </cell>
        </row>
        <row r="18">
          <cell r="B18" t="str">
            <v>5374642EQTI4</v>
          </cell>
          <cell r="D18" t="str">
            <v>EQT Infrastructure IV (GP) SCS</v>
          </cell>
          <cell r="F18" t="str">
            <v>Alternativos</v>
          </cell>
          <cell r="Q18" t="str">
            <v>ALT</v>
          </cell>
        </row>
        <row r="19">
          <cell r="B19" t="str">
            <v>5375254EQTI5</v>
          </cell>
          <cell r="D19" t="str">
            <v>EQT Infrastructure V (General Partner) S.à.r.</v>
          </cell>
          <cell r="F19" t="str">
            <v>Alternativos</v>
          </cell>
          <cell r="Q19" t="str">
            <v>ALT</v>
          </cell>
        </row>
        <row r="20">
          <cell r="B20" t="str">
            <v>5375454IEF5S</v>
          </cell>
          <cell r="D20" t="str">
            <v>InfraVia European Fund V SCSp</v>
          </cell>
          <cell r="F20" t="str">
            <v>Alternativos</v>
          </cell>
          <cell r="Q20" t="str">
            <v>ALT</v>
          </cell>
        </row>
        <row r="21">
          <cell r="B21" t="str">
            <v>5377304IEF6S</v>
          </cell>
          <cell r="D21" t="str">
            <v>InfraVia European Fund VI SCSp</v>
          </cell>
          <cell r="F21" t="str">
            <v>Alternativos</v>
          </cell>
          <cell r="Q21" t="str">
            <v>ALT</v>
          </cell>
        </row>
        <row r="22">
          <cell r="B22" t="str">
            <v>5375052PGD20</v>
          </cell>
          <cell r="D22" t="str">
            <v>Partners Group Direct Infrastructure 2020</v>
          </cell>
          <cell r="F22" t="str">
            <v>Alternativos</v>
          </cell>
          <cell r="Q22" t="str">
            <v>ALT</v>
          </cell>
        </row>
        <row r="23">
          <cell r="B23" t="str">
            <v>5375002NHIP3</v>
          </cell>
          <cell r="D23" t="str">
            <v>Morgan Stanley - Infrastructure Fund III</v>
          </cell>
          <cell r="F23" t="str">
            <v>Alternativos</v>
          </cell>
          <cell r="Q23" t="str">
            <v>ALT</v>
          </cell>
        </row>
        <row r="24">
          <cell r="B24" t="str">
            <v>5374702OSF6F</v>
          </cell>
          <cell r="D24" t="str">
            <v>Oaktree Special Situations Fund II GP, L.P.</v>
          </cell>
          <cell r="F24" t="str">
            <v>Alternativos</v>
          </cell>
          <cell r="Q24" t="str">
            <v>ALT</v>
          </cell>
        </row>
        <row r="25">
          <cell r="B25" t="str">
            <v>5374702OSF3F</v>
          </cell>
          <cell r="D25" t="str">
            <v>Oaktree Special Situations Fund III</v>
          </cell>
          <cell r="F25" t="str">
            <v>Alternativos</v>
          </cell>
          <cell r="Q25" t="str">
            <v>ALT</v>
          </cell>
        </row>
        <row r="26">
          <cell r="B26" t="str">
            <v>5374802BCDSS</v>
          </cell>
          <cell r="D26" t="str">
            <v>Bain Capital - Distr. &amp; Sp. Sits 2019</v>
          </cell>
          <cell r="F26" t="str">
            <v>Alternativos</v>
          </cell>
          <cell r="Q26" t="str">
            <v>ALT</v>
          </cell>
        </row>
        <row r="27">
          <cell r="B27" t="str">
            <v>5371072PBCR2</v>
          </cell>
          <cell r="D27" t="str">
            <v xml:space="preserve">PineBridge - Credit Opportunities II </v>
          </cell>
          <cell r="F27" t="str">
            <v>Alternativos</v>
          </cell>
          <cell r="Q27" t="str">
            <v>ALT</v>
          </cell>
        </row>
        <row r="28">
          <cell r="B28" t="str">
            <v>5373382ACOA3</v>
          </cell>
          <cell r="D28" t="str">
            <v>Apollo Credit Opportunity III</v>
          </cell>
          <cell r="F28" t="str">
            <v>Alternativos</v>
          </cell>
          <cell r="Q28" t="str">
            <v>ALT</v>
          </cell>
        </row>
        <row r="29">
          <cell r="B29" t="str">
            <v>5373592OPF6F</v>
          </cell>
          <cell r="D29" t="str">
            <v>Oaktree Principal Fund VI GP, L.P.</v>
          </cell>
          <cell r="F29" t="str">
            <v>Alternativos</v>
          </cell>
          <cell r="Q29" t="str">
            <v>ALT</v>
          </cell>
        </row>
        <row r="30">
          <cell r="B30" t="str">
            <v>5373852ASSIV</v>
          </cell>
          <cell r="D30" t="str">
            <v>ASSF - Operating Manager IV, LP</v>
          </cell>
          <cell r="F30" t="str">
            <v>Alternativos</v>
          </cell>
          <cell r="Q30" t="str">
            <v>ALT</v>
          </cell>
        </row>
        <row r="31">
          <cell r="B31" t="str">
            <v>5377262VECIX</v>
          </cell>
          <cell r="D31" t="str">
            <v>Veritas Capital Partners IX</v>
          </cell>
          <cell r="F31" t="str">
            <v>Alternativos</v>
          </cell>
          <cell r="Q31" t="str">
            <v>ALT</v>
          </cell>
        </row>
        <row r="32">
          <cell r="B32" t="str">
            <v>5373892AESS3</v>
          </cell>
          <cell r="D32" t="str">
            <v>Avenue - Europe Capital Partners III, LLC</v>
          </cell>
          <cell r="F32" t="str">
            <v>Alternativos</v>
          </cell>
          <cell r="Q32" t="str">
            <v>ALT</v>
          </cell>
        </row>
        <row r="33">
          <cell r="B33" t="str">
            <v>5374152CIP6F</v>
          </cell>
          <cell r="D33" t="str">
            <v>CIP</v>
          </cell>
          <cell r="F33" t="str">
            <v>Alternativos</v>
          </cell>
          <cell r="Q33" t="str">
            <v>ALT</v>
          </cell>
        </row>
        <row r="34">
          <cell r="B34" t="str">
            <v>5374672SPOS8</v>
          </cell>
          <cell r="D34" t="str">
            <v>Strategic Partners - VIII</v>
          </cell>
          <cell r="F34" t="str">
            <v>Alternativos</v>
          </cell>
          <cell r="Q34" t="str">
            <v>ALT</v>
          </cell>
        </row>
        <row r="35">
          <cell r="B35" t="str">
            <v>5374232CSOF3</v>
          </cell>
          <cell r="D35" t="str">
            <v>GSO Capital Solutions Overseas Feeder Fund III LP</v>
          </cell>
          <cell r="F35" t="str">
            <v>Alternativos</v>
          </cell>
          <cell r="Q35" t="str">
            <v>ALT</v>
          </cell>
        </row>
        <row r="36">
          <cell r="B36" t="str">
            <v>5374602CVCII</v>
          </cell>
          <cell r="D36" t="str">
            <v>CVC Credit Partners Global Special Situations Feeder Fund II SCSp</v>
          </cell>
          <cell r="F36" t="str">
            <v>Alternativos</v>
          </cell>
          <cell r="Q36" t="str">
            <v>ALT</v>
          </cell>
        </row>
        <row r="37">
          <cell r="B37" t="str">
            <v>5374224AEPF3</v>
          </cell>
          <cell r="D37" t="str">
            <v>Apollo European Principal Finance Fund III (EURO B), L.P</v>
          </cell>
          <cell r="F37" t="str">
            <v>Alternativos</v>
          </cell>
          <cell r="Q37" t="str">
            <v>ALT</v>
          </cell>
        </row>
        <row r="38">
          <cell r="B38" t="str">
            <v>5375072PDCO3</v>
          </cell>
          <cell r="D38" t="str">
            <v>Portfolio Advisors - Direct Credit Opportunities Fund III</v>
          </cell>
          <cell r="F38" t="str">
            <v>Alternativos</v>
          </cell>
          <cell r="Q38" t="str">
            <v>ALT</v>
          </cell>
        </row>
        <row r="39">
          <cell r="B39" t="str">
            <v>5373914ICGVI</v>
          </cell>
          <cell r="D39" t="str">
            <v>ICG - Europe Fund VI GP Limited</v>
          </cell>
          <cell r="F39" t="str">
            <v>Alternativos</v>
          </cell>
          <cell r="Q39" t="str">
            <v>ALT</v>
          </cell>
        </row>
        <row r="40">
          <cell r="B40" t="str">
            <v>5377544ICG9F</v>
          </cell>
          <cell r="D40" t="str">
            <v>ICG Europe Fund IX</v>
          </cell>
          <cell r="F40" t="str">
            <v>Alternativos</v>
          </cell>
          <cell r="Q40" t="str">
            <v>ALT</v>
          </cell>
        </row>
        <row r="41">
          <cell r="B41" t="str">
            <v>53CIP62FEEDE</v>
          </cell>
          <cell r="D41" t="str">
            <v>Cerberus - CIP VI Overseas Feeder</v>
          </cell>
          <cell r="F41" t="str">
            <v>Alternativos</v>
          </cell>
          <cell r="Q41" t="str">
            <v>ALT</v>
          </cell>
        </row>
        <row r="42">
          <cell r="B42" t="str">
            <v>53GSOC2GSOCS</v>
          </cell>
          <cell r="D42" t="str">
            <v>GSO Capital Solutions - Overseas Feeder Fund III</v>
          </cell>
          <cell r="F42" t="str">
            <v>Alternativos</v>
          </cell>
          <cell r="Q42" t="str">
            <v>ALT</v>
          </cell>
        </row>
        <row r="43">
          <cell r="B43" t="str">
            <v>5374442FREO3</v>
          </cell>
          <cell r="D43" t="str">
            <v>Fortress - Real Estate Opportunities Fund III</v>
          </cell>
          <cell r="F43" t="str">
            <v>Alternativos</v>
          </cell>
          <cell r="Q43" t="str">
            <v>ALT</v>
          </cell>
        </row>
        <row r="44">
          <cell r="B44" t="str">
            <v>5374592NBDF3</v>
          </cell>
          <cell r="D44" t="str">
            <v>Neuberger Bergman Private Debt III</v>
          </cell>
          <cell r="F44" t="str">
            <v>Alternativos</v>
          </cell>
          <cell r="Q44" t="str">
            <v>ALT</v>
          </cell>
        </row>
        <row r="45">
          <cell r="B45" t="str">
            <v>5370964ALT08</v>
          </cell>
          <cell r="D45" t="str">
            <v>Altamar - PE Program VIII</v>
          </cell>
          <cell r="F45" t="str">
            <v>Alternativos</v>
          </cell>
          <cell r="Q45" t="str">
            <v>ALT</v>
          </cell>
        </row>
        <row r="46">
          <cell r="B46" t="str">
            <v>5370964ALT10</v>
          </cell>
          <cell r="D46" t="str">
            <v>Altamar - PE Program V</v>
          </cell>
          <cell r="F46" t="str">
            <v>Alternativos</v>
          </cell>
          <cell r="Q46" t="str">
            <v>ALT</v>
          </cell>
        </row>
        <row r="47">
          <cell r="B47" t="str">
            <v>5371042HIXCB</v>
          </cell>
          <cell r="D47" t="str">
            <v>Harbourvest - Buyout Us IX FoF</v>
          </cell>
          <cell r="F47" t="str">
            <v>Alternativos</v>
          </cell>
          <cell r="Q47" t="str">
            <v>ALT</v>
          </cell>
        </row>
        <row r="48">
          <cell r="B48" t="str">
            <v>5371242PAVIL</v>
          </cell>
          <cell r="D48" t="str">
            <v>Pantheon - PASIA VI</v>
          </cell>
          <cell r="F48" t="str">
            <v>Alternativos</v>
          </cell>
          <cell r="Q48" t="str">
            <v>ALT</v>
          </cell>
        </row>
        <row r="49">
          <cell r="B49" t="str">
            <v>5371254HIPVI</v>
          </cell>
          <cell r="D49" t="str">
            <v>Harbourvest - HIPEP VI</v>
          </cell>
          <cell r="F49" t="str">
            <v>Alternativos</v>
          </cell>
          <cell r="Q49" t="str">
            <v>ALT</v>
          </cell>
        </row>
        <row r="50">
          <cell r="B50" t="str">
            <v>5373572HGPEF</v>
          </cell>
          <cell r="D50" t="str">
            <v>HarbourVest Partners L.P.</v>
          </cell>
          <cell r="F50" t="str">
            <v>Alternativos</v>
          </cell>
          <cell r="Q50" t="str">
            <v>ALT</v>
          </cell>
        </row>
        <row r="51">
          <cell r="B51" t="str">
            <v>5373652HIP7C</v>
          </cell>
          <cell r="D51" t="str">
            <v>Hipep - VII Partnership Feeder Fund L.P.</v>
          </cell>
          <cell r="F51" t="str">
            <v>Alternativos</v>
          </cell>
          <cell r="Q51" t="str">
            <v>ALT</v>
          </cell>
        </row>
        <row r="52">
          <cell r="B52" t="str">
            <v>5374682HLGII</v>
          </cell>
          <cell r="D52" t="str">
            <v>Hamilton Lane - Global SMID II</v>
          </cell>
          <cell r="F52" t="str">
            <v>Alternativos</v>
          </cell>
          <cell r="Q52" t="str">
            <v>ALT</v>
          </cell>
        </row>
        <row r="53">
          <cell r="B53" t="str">
            <v>53AAAA1AAAAA</v>
          </cell>
          <cell r="D53" t="str">
            <v>Venta Alts</v>
          </cell>
          <cell r="F53" t="str">
            <v>Alternativos</v>
          </cell>
          <cell r="Q53" t="str">
            <v>ALT</v>
          </cell>
        </row>
        <row r="54">
          <cell r="B54" t="str">
            <v>5375422SCPVO</v>
          </cell>
          <cell r="D54" t="str">
            <v>StepStone Capital Partners V Offshore,  L.P</v>
          </cell>
          <cell r="F54" t="str">
            <v>Alternativos</v>
          </cell>
          <cell r="Q54" t="str">
            <v>ALT</v>
          </cell>
        </row>
        <row r="55">
          <cell r="B55" t="str">
            <v>5377362IPC13</v>
          </cell>
          <cell r="D55" t="str">
            <v>Insight Partners (Cayman) XIII, L.P.</v>
          </cell>
          <cell r="F55" t="str">
            <v>Alternativos</v>
          </cell>
          <cell r="Q55" t="str">
            <v>ALT</v>
          </cell>
        </row>
        <row r="56">
          <cell r="B56" t="str">
            <v>5375272BSGLP</v>
          </cell>
          <cell r="D56" t="str">
            <v>Blackstone Growth Associates L.P.</v>
          </cell>
          <cell r="F56" t="str">
            <v>Alternativos</v>
          </cell>
          <cell r="Q56" t="str">
            <v>ALT</v>
          </cell>
        </row>
        <row r="57">
          <cell r="B57" t="str">
            <v>5375172CDRXI</v>
          </cell>
          <cell r="D57" t="str">
            <v>CD&amp;R - Fund XI</v>
          </cell>
          <cell r="F57" t="str">
            <v>Alternativos</v>
          </cell>
          <cell r="Q57" t="str">
            <v>ALT</v>
          </cell>
        </row>
        <row r="58">
          <cell r="B58" t="str">
            <v>5374212PGD16</v>
          </cell>
          <cell r="D58" t="str">
            <v>Partners Group Direct Equity 2016</v>
          </cell>
          <cell r="F58" t="str">
            <v>Alternativos</v>
          </cell>
          <cell r="Q58" t="str">
            <v>ALT</v>
          </cell>
        </row>
        <row r="59">
          <cell r="B59" t="str">
            <v>5374664CCM7F</v>
          </cell>
          <cell r="D59" t="str">
            <v>Cevine Capital Management VII Feeder L.P.</v>
          </cell>
          <cell r="F59" t="str">
            <v>Alternativos</v>
          </cell>
          <cell r="Q59" t="str">
            <v>ALT</v>
          </cell>
        </row>
        <row r="60">
          <cell r="B60" t="str">
            <v>5377214TF6SC</v>
          </cell>
          <cell r="D60" t="str">
            <v>Triton Fund 6 SCSP</v>
          </cell>
          <cell r="F60" t="str">
            <v>Alternativos</v>
          </cell>
          <cell r="Q60" t="str">
            <v>ALT</v>
          </cell>
        </row>
        <row r="61">
          <cell r="B61" t="str">
            <v>5370862TRGL1</v>
          </cell>
          <cell r="D61" t="str">
            <v>TRG Rohatyn - LAPEF I</v>
          </cell>
          <cell r="F61" t="str">
            <v>Alternativos</v>
          </cell>
          <cell r="Q61" t="str">
            <v>ALT</v>
          </cell>
        </row>
        <row r="62">
          <cell r="B62" t="str">
            <v>5375292IPC12</v>
          </cell>
          <cell r="D62" t="str">
            <v>Insight Partners (Cayman) XII. L.P</v>
          </cell>
          <cell r="F62" t="str">
            <v>Alternativos</v>
          </cell>
          <cell r="Q62" t="str">
            <v>ALT</v>
          </cell>
        </row>
        <row r="63">
          <cell r="B63" t="str">
            <v>5374902IPCXI</v>
          </cell>
          <cell r="D63" t="str">
            <v>Insight Partners XI</v>
          </cell>
          <cell r="F63" t="str">
            <v>Alternativos</v>
          </cell>
          <cell r="Q63" t="str">
            <v>ALT</v>
          </cell>
        </row>
        <row r="64">
          <cell r="B64" t="str">
            <v>5370904PGD09</v>
          </cell>
          <cell r="D64" t="str">
            <v>Partners - PGD 2009</v>
          </cell>
          <cell r="F64" t="str">
            <v>Alternativos</v>
          </cell>
          <cell r="Q64" t="str">
            <v>ALT</v>
          </cell>
        </row>
        <row r="65">
          <cell r="B65" t="str">
            <v>5374752PGD19</v>
          </cell>
          <cell r="D65" t="str">
            <v>Partners Group - PGD19</v>
          </cell>
          <cell r="F65" t="str">
            <v>Alternativos</v>
          </cell>
          <cell r="Q65" t="str">
            <v>ALT</v>
          </cell>
        </row>
        <row r="66">
          <cell r="B66" t="str">
            <v>5371082CSABF</v>
          </cell>
          <cell r="D66" t="str">
            <v>Calyle - CSABF</v>
          </cell>
          <cell r="F66" t="str">
            <v>Alternativos</v>
          </cell>
          <cell r="Q66" t="str">
            <v>ALT</v>
          </cell>
        </row>
        <row r="67">
          <cell r="B67" t="str">
            <v>5371484A8AFE</v>
          </cell>
          <cell r="D67" t="str">
            <v>Apax VIII</v>
          </cell>
          <cell r="F67" t="str">
            <v>Alternativos</v>
          </cell>
          <cell r="Q67" t="str">
            <v>ALT</v>
          </cell>
        </row>
        <row r="68">
          <cell r="B68" t="str">
            <v>5374782A10FE</v>
          </cell>
          <cell r="D68" t="str">
            <v>Apax X</v>
          </cell>
          <cell r="F68" t="str">
            <v>Alternativos</v>
          </cell>
          <cell r="Q68" t="str">
            <v>ALT</v>
          </cell>
        </row>
        <row r="69">
          <cell r="B69" t="str">
            <v>5371592CPSMF</v>
          </cell>
          <cell r="D69" t="str">
            <v>CPS Managers Fund L.P</v>
          </cell>
          <cell r="F69" t="str">
            <v>Alternativos</v>
          </cell>
          <cell r="Q69" t="str">
            <v>ALT</v>
          </cell>
        </row>
        <row r="70">
          <cell r="B70" t="str">
            <v>5372282ACTG4</v>
          </cell>
          <cell r="D70" t="str">
            <v>Actis</v>
          </cell>
          <cell r="F70" t="str">
            <v>Alternativos</v>
          </cell>
          <cell r="Q70" t="str">
            <v>ALT</v>
          </cell>
        </row>
        <row r="71">
          <cell r="B71" t="str">
            <v>5372462PGD12</v>
          </cell>
          <cell r="D71" t="str">
            <v>Partners Group Mngt.</v>
          </cell>
          <cell r="F71" t="str">
            <v>Alternativos</v>
          </cell>
          <cell r="Q71" t="str">
            <v>ALT</v>
          </cell>
        </row>
        <row r="72">
          <cell r="B72" t="str">
            <v>5377174V5FSC</v>
          </cell>
          <cell r="D72" t="str">
            <v>Vitruvian Investment Partners V</v>
          </cell>
          <cell r="F72" t="str">
            <v>Alternativos</v>
          </cell>
          <cell r="Q72" t="str">
            <v>ALT</v>
          </cell>
        </row>
        <row r="73">
          <cell r="B73" t="str">
            <v>5377114P8SCS</v>
          </cell>
          <cell r="D73" t="str">
            <v>PAI Partners VIII-1 SCSp</v>
          </cell>
          <cell r="F73" t="str">
            <v>Alternativos</v>
          </cell>
          <cell r="Q73" t="str">
            <v>ALT</v>
          </cell>
        </row>
        <row r="74">
          <cell r="B74" t="str">
            <v>5374112KKR12</v>
          </cell>
          <cell r="D74" t="str">
            <v>KKR</v>
          </cell>
          <cell r="F74" t="str">
            <v>Alternativos</v>
          </cell>
          <cell r="Q74" t="str">
            <v>ALT</v>
          </cell>
        </row>
        <row r="75">
          <cell r="B75" t="str">
            <v>5374414P7SLP</v>
          </cell>
          <cell r="D75" t="str">
            <v>PAI Europe VII</v>
          </cell>
          <cell r="F75" t="str">
            <v>Alternativos</v>
          </cell>
          <cell r="Q75" t="str">
            <v>ALT</v>
          </cell>
        </row>
        <row r="76">
          <cell r="B76" t="str">
            <v>5374404P7SCS</v>
          </cell>
          <cell r="D76" t="str">
            <v>PAI Europe VII</v>
          </cell>
          <cell r="F76" t="str">
            <v>Alternativos</v>
          </cell>
          <cell r="Q76" t="str">
            <v>ALT</v>
          </cell>
        </row>
        <row r="77">
          <cell r="B77" t="str">
            <v>5374062AIXFE</v>
          </cell>
          <cell r="D77" t="str">
            <v xml:space="preserve">Apax IX </v>
          </cell>
          <cell r="F77" t="str">
            <v>Alternativos</v>
          </cell>
          <cell r="Q77" t="str">
            <v>ALT</v>
          </cell>
        </row>
        <row r="78">
          <cell r="B78" t="str">
            <v>5374204CVC7A</v>
          </cell>
          <cell r="D78" t="str">
            <v>CVC Capital Partners - VII Limited</v>
          </cell>
          <cell r="F78" t="str">
            <v>Alternativos</v>
          </cell>
          <cell r="Q78" t="str">
            <v>ALT</v>
          </cell>
        </row>
        <row r="79">
          <cell r="B79" t="str">
            <v>5373704BPEVD</v>
          </cell>
          <cell r="D79" t="str">
            <v>Bridgepoint - Europe V D LP</v>
          </cell>
          <cell r="F79" t="str">
            <v>Alternativos</v>
          </cell>
          <cell r="Q79" t="str">
            <v>ALT</v>
          </cell>
        </row>
        <row r="80">
          <cell r="B80" t="str">
            <v>5373704BPE6C</v>
          </cell>
          <cell r="D80" t="str">
            <v>Bridgepoint - Europe VI Private Equity Fund</v>
          </cell>
          <cell r="F80" t="str">
            <v>Alternativos</v>
          </cell>
          <cell r="Q80" t="str">
            <v>ALT</v>
          </cell>
        </row>
        <row r="81">
          <cell r="B81" t="str">
            <v>5374954ABF7A</v>
          </cell>
          <cell r="D81" t="str">
            <v>Ardian Buyout Fund VII</v>
          </cell>
          <cell r="F81" t="str">
            <v>Alternativos</v>
          </cell>
          <cell r="Q81" t="str">
            <v>ALT</v>
          </cell>
        </row>
        <row r="82">
          <cell r="B82" t="str">
            <v>5374964IK9SC</v>
          </cell>
          <cell r="D82" t="str">
            <v>IK Investment Partners IX</v>
          </cell>
          <cell r="F82" t="str">
            <v>Alternativos</v>
          </cell>
          <cell r="Q82" t="str">
            <v>ALT</v>
          </cell>
        </row>
        <row r="83">
          <cell r="B83" t="str">
            <v>5374192HCI4A</v>
          </cell>
          <cell r="D83" t="str">
            <v>HarbourVest Co-Investment Fund IV</v>
          </cell>
          <cell r="F83" t="str">
            <v>Alternativos</v>
          </cell>
          <cell r="Q83" t="str">
            <v>ALT</v>
          </cell>
        </row>
        <row r="84">
          <cell r="B84" t="str">
            <v>5372784P6FPC</v>
          </cell>
          <cell r="D84" t="str">
            <v>PAI Europa V1 - FPCI</v>
          </cell>
          <cell r="F84" t="str">
            <v>Alternativos</v>
          </cell>
          <cell r="Q84" t="str">
            <v>ALT</v>
          </cell>
        </row>
        <row r="85">
          <cell r="B85" t="str">
            <v>5376622KVCXC</v>
          </cell>
          <cell r="D85" t="str">
            <v>Knightsbridge Management X, LLC</v>
          </cell>
          <cell r="F85" t="str">
            <v>Alternativos</v>
          </cell>
          <cell r="Q85" t="str">
            <v>ALT</v>
          </cell>
        </row>
        <row r="86">
          <cell r="B86" t="str">
            <v>5375402GS5SC</v>
          </cell>
          <cell r="D86" t="str">
            <v>G Squared Equity GP V</v>
          </cell>
          <cell r="F86" t="str">
            <v>Alternativos</v>
          </cell>
          <cell r="Q86" t="str">
            <v>ALT</v>
          </cell>
        </row>
        <row r="87">
          <cell r="B87" t="str">
            <v>5375224EQT9S</v>
          </cell>
          <cell r="D87" t="str">
            <v>EQT IX (General Partner) S.à r.l.</v>
          </cell>
          <cell r="F87" t="str">
            <v>Alternativos</v>
          </cell>
          <cell r="Q87" t="str">
            <v>ALT</v>
          </cell>
        </row>
        <row r="88">
          <cell r="B88" t="str">
            <v>5372784P6SCS</v>
          </cell>
          <cell r="D88" t="str">
            <v>PAI Europe VI - 1 SCSP</v>
          </cell>
          <cell r="F88" t="str">
            <v>Alternativos</v>
          </cell>
          <cell r="Q88" t="str">
            <v>ALT</v>
          </cell>
        </row>
        <row r="89">
          <cell r="B89" t="str">
            <v>5375042TB14A</v>
          </cell>
          <cell r="D89" t="str">
            <v>Thoma Bravo Fund XIV</v>
          </cell>
          <cell r="F89" t="str">
            <v>Alternativos</v>
          </cell>
          <cell r="Q89" t="str">
            <v>ALT</v>
          </cell>
        </row>
        <row r="90">
          <cell r="B90" t="str">
            <v>5374312VCIIF</v>
          </cell>
          <cell r="D90" t="str">
            <v>Vista Co-Invest Program International Feeder, L.P.</v>
          </cell>
          <cell r="F90" t="str">
            <v>Alternativos</v>
          </cell>
          <cell r="Q90" t="str">
            <v>ALT</v>
          </cell>
        </row>
        <row r="91">
          <cell r="B91" t="str">
            <v>5374652VEP7A</v>
          </cell>
          <cell r="D91" t="str">
            <v>Vista Equity Partners Fund VII GP, L.P.</v>
          </cell>
          <cell r="F91" t="str">
            <v>Alternativos</v>
          </cell>
          <cell r="Q91" t="str">
            <v>ALT</v>
          </cell>
        </row>
        <row r="92">
          <cell r="B92" t="str">
            <v>5370904PGD16</v>
          </cell>
          <cell r="D92" t="str">
            <v>Partners Group - Direct Equty 2016 C-G</v>
          </cell>
          <cell r="F92" t="str">
            <v>Alternativos</v>
          </cell>
          <cell r="Q92" t="str">
            <v>ALT</v>
          </cell>
        </row>
        <row r="93">
          <cell r="B93" t="str">
            <v>5374712PECPV</v>
          </cell>
          <cell r="D93" t="str">
            <v>Platinum Equity Partners V</v>
          </cell>
          <cell r="F93" t="str">
            <v>Alternativos</v>
          </cell>
          <cell r="Q93" t="str">
            <v>ALT</v>
          </cell>
        </row>
        <row r="94">
          <cell r="B94" t="str">
            <v>5377052PLEP6</v>
          </cell>
          <cell r="D94" t="str">
            <v>Platinum Equity Capital Partners VI</v>
          </cell>
          <cell r="F94" t="str">
            <v>Alternativos</v>
          </cell>
          <cell r="Q94" t="str">
            <v>ALT</v>
          </cell>
        </row>
        <row r="95">
          <cell r="B95" t="str">
            <v>5374682HALII</v>
          </cell>
          <cell r="D95" t="str">
            <v>Hamilton Lane SMID</v>
          </cell>
          <cell r="F95" t="str">
            <v>Alternativos</v>
          </cell>
          <cell r="Q95" t="str">
            <v>ALT</v>
          </cell>
        </row>
        <row r="96">
          <cell r="B96" t="str">
            <v>5374434CEPVF</v>
          </cell>
          <cell r="D96" t="str">
            <v>CEP V LUX</v>
          </cell>
          <cell r="F96" t="str">
            <v>Alternativos</v>
          </cell>
          <cell r="Q96" t="str">
            <v>ALT</v>
          </cell>
        </row>
        <row r="97">
          <cell r="B97" t="str">
            <v>5374342CPVII</v>
          </cell>
          <cell r="D97" t="str">
            <v>Carlyle Partners VII</v>
          </cell>
          <cell r="F97" t="str">
            <v>Alternativos</v>
          </cell>
          <cell r="Q97" t="str">
            <v>ALT</v>
          </cell>
        </row>
        <row r="98">
          <cell r="B98" t="str">
            <v>5374552HFCP9</v>
          </cell>
          <cell r="D98" t="str">
            <v>Hellman &amp; Friedman</v>
          </cell>
          <cell r="F98" t="str">
            <v>Alternativos</v>
          </cell>
          <cell r="Q98" t="str">
            <v>ALT</v>
          </cell>
        </row>
        <row r="99">
          <cell r="B99" t="str">
            <v>5374932OHCPV</v>
          </cell>
          <cell r="D99" t="str">
            <v>Oak Hill Capital Partners V</v>
          </cell>
          <cell r="F99" t="str">
            <v>Alternativos</v>
          </cell>
          <cell r="Q99" t="str">
            <v>ALT</v>
          </cell>
        </row>
        <row r="100">
          <cell r="B100" t="str">
            <v>5374832WPGGF</v>
          </cell>
          <cell r="D100" t="str">
            <v>Warburg Pincus - Global Growth Fund</v>
          </cell>
          <cell r="F100" t="str">
            <v>Alternativos</v>
          </cell>
          <cell r="Q100" t="str">
            <v>ALT</v>
          </cell>
        </row>
        <row r="101">
          <cell r="B101" t="str">
            <v>5375032FPVIA</v>
          </cell>
          <cell r="D101" t="str">
            <v>Francisco Partners VI</v>
          </cell>
          <cell r="F101" t="str">
            <v>Alternativos</v>
          </cell>
          <cell r="Q101" t="str">
            <v>ALT</v>
          </cell>
        </row>
        <row r="102">
          <cell r="B102" t="str">
            <v>5374902TB14A</v>
          </cell>
          <cell r="D102" t="str">
            <v>Thoma Bravo Fund XIV</v>
          </cell>
          <cell r="F102" t="str">
            <v>Alternativos</v>
          </cell>
          <cell r="Q102" t="str">
            <v>ALT</v>
          </cell>
        </row>
        <row r="103">
          <cell r="B103" t="str">
            <v>5375212CRSFV</v>
          </cell>
          <cell r="D103" t="str">
            <v>Crown Global Secondaries V GP</v>
          </cell>
          <cell r="F103" t="str">
            <v>Alternativos</v>
          </cell>
          <cell r="Q103" t="str">
            <v>ALT</v>
          </cell>
        </row>
        <row r="104">
          <cell r="B104" t="str">
            <v>5375132DSFFX</v>
          </cell>
          <cell r="D104" t="str">
            <v>Dover Street X Feeder Fund L.P.</v>
          </cell>
          <cell r="F104" t="str">
            <v>Alternativos</v>
          </cell>
          <cell r="Q104" t="str">
            <v>ALT</v>
          </cell>
        </row>
        <row r="105">
          <cell r="B105" t="str">
            <v>5374482LCPIX</v>
          </cell>
          <cell r="D105" t="str">
            <v>PRIVFAELCPIX</v>
          </cell>
          <cell r="F105" t="str">
            <v>Alternativos</v>
          </cell>
          <cell r="Q105" t="str">
            <v>ALT</v>
          </cell>
        </row>
        <row r="106">
          <cell r="B106" t="str">
            <v>5370562DSVII</v>
          </cell>
          <cell r="D106" t="str">
            <v>Harbourvest - Dover Street VII</v>
          </cell>
          <cell r="F106" t="str">
            <v>Alternativos</v>
          </cell>
          <cell r="Q106" t="str">
            <v>ALT</v>
          </cell>
        </row>
        <row r="107">
          <cell r="B107" t="str">
            <v>5370904PGS08</v>
          </cell>
          <cell r="D107" t="str">
            <v>Partners - PG Secondary 2008</v>
          </cell>
          <cell r="F107" t="str">
            <v>Alternativos</v>
          </cell>
          <cell r="Q107" t="str">
            <v>ALT</v>
          </cell>
        </row>
        <row r="108">
          <cell r="B108" t="str">
            <v>5374582PGSF6</v>
          </cell>
          <cell r="D108" t="str">
            <v>PGSF VI Feeder GP, LLC</v>
          </cell>
          <cell r="F108" t="str">
            <v>Alternativos</v>
          </cell>
          <cell r="Q108" t="str">
            <v>ALT</v>
          </cell>
        </row>
        <row r="109">
          <cell r="B109" t="str">
            <v>5370992LCP7O</v>
          </cell>
          <cell r="D109" t="str">
            <v>Lexington - LCP VII</v>
          </cell>
          <cell r="F109" t="str">
            <v>Alternativos</v>
          </cell>
          <cell r="Q109" t="str">
            <v>ALT</v>
          </cell>
        </row>
        <row r="110">
          <cell r="B110" t="str">
            <v>5371332COL6A</v>
          </cell>
          <cell r="D110" t="str">
            <v>Coller - Coller VI</v>
          </cell>
          <cell r="F110" t="str">
            <v>Alternativos</v>
          </cell>
          <cell r="Q110" t="str">
            <v>ALT</v>
          </cell>
        </row>
        <row r="111">
          <cell r="B111" t="str">
            <v>5374632COL8F</v>
          </cell>
          <cell r="D111" t="str">
            <v>Coller - Coller VIII</v>
          </cell>
          <cell r="F111" t="str">
            <v>Alternativos</v>
          </cell>
          <cell r="Q111" t="str">
            <v>ALT</v>
          </cell>
        </row>
        <row r="112">
          <cell r="B112" t="str">
            <v>5371362PGS11</v>
          </cell>
          <cell r="D112" t="str">
            <v>Partners - PG Secondary 2011</v>
          </cell>
          <cell r="F112" t="str">
            <v>Alternativos</v>
          </cell>
          <cell r="Q112" t="str">
            <v>ALT</v>
          </cell>
        </row>
        <row r="113">
          <cell r="B113" t="str">
            <v>5372842LCP8F</v>
          </cell>
          <cell r="D113" t="str">
            <v>Lexington Partners GP Holdings VIII LLC</v>
          </cell>
          <cell r="F113" t="str">
            <v>Alternativos</v>
          </cell>
          <cell r="Q113" t="str">
            <v>ALT</v>
          </cell>
        </row>
        <row r="114">
          <cell r="B114" t="str">
            <v>5373542PGS15</v>
          </cell>
          <cell r="D114" t="str">
            <v>Partners - PG Secondary 2015</v>
          </cell>
          <cell r="F114" t="str">
            <v>Alternativos</v>
          </cell>
          <cell r="Q114" t="str">
            <v>ALT</v>
          </cell>
        </row>
        <row r="115">
          <cell r="B115" t="str">
            <v>5373962COL7F</v>
          </cell>
          <cell r="D115" t="str">
            <v>Coller</v>
          </cell>
          <cell r="F115" t="str">
            <v>Alternativos</v>
          </cell>
          <cell r="Q115" t="str">
            <v>ALT</v>
          </cell>
        </row>
        <row r="116">
          <cell r="B116" t="str">
            <v>5374052ASF7G</v>
          </cell>
          <cell r="D116" t="str">
            <v>Ardian - Secondary Fund VII LP</v>
          </cell>
          <cell r="F116" t="str">
            <v>Alternativos</v>
          </cell>
          <cell r="Q116" t="str">
            <v>ALT</v>
          </cell>
        </row>
        <row r="117">
          <cell r="B117" t="str">
            <v>5374872ASFCC</v>
          </cell>
          <cell r="D117" t="str">
            <v>ASF Cosmos Co-Invest L.P.</v>
          </cell>
          <cell r="F117" t="str">
            <v>Alternativos</v>
          </cell>
          <cell r="Q117" t="str">
            <v>ALT</v>
          </cell>
        </row>
        <row r="118">
          <cell r="B118" t="str">
            <v>5358472ASF8G</v>
          </cell>
          <cell r="D118" t="str">
            <v>ASF VIII GP Limited</v>
          </cell>
          <cell r="F118" t="str">
            <v>Alternativos</v>
          </cell>
          <cell r="Q118" t="str">
            <v>ALT</v>
          </cell>
        </row>
        <row r="119">
          <cell r="B119" t="str">
            <v>5375182CEVFV</v>
          </cell>
          <cell r="D119" t="str">
            <v>Cortland Enhanced Value Fund V, L.P.</v>
          </cell>
          <cell r="F119" t="str">
            <v>Alternativos</v>
          </cell>
          <cell r="Q119" t="str">
            <v>ALT</v>
          </cell>
        </row>
        <row r="120">
          <cell r="B120" t="str">
            <v>5374524TSEV8</v>
          </cell>
          <cell r="D120" t="str">
            <v>TSE - Real Estate Venture VIII SCSp</v>
          </cell>
          <cell r="F120" t="str">
            <v>Alternativos</v>
          </cell>
          <cell r="Q120" t="str">
            <v>ALT</v>
          </cell>
        </row>
        <row r="121">
          <cell r="B121" t="str">
            <v>5371912TCRE1</v>
          </cell>
          <cell r="D121" t="str">
            <v>Terranum - Real Estate Fund</v>
          </cell>
          <cell r="F121" t="str">
            <v>Alternativos</v>
          </cell>
          <cell r="Q121" t="str">
            <v>ALT</v>
          </cell>
        </row>
        <row r="122">
          <cell r="B122" t="str">
            <v>5373922TCRE2</v>
          </cell>
          <cell r="D122" t="str">
            <v>Terranum Capital - Latin America Real Estate Fund II, L.P.</v>
          </cell>
          <cell r="F122" t="str">
            <v>Alternativos</v>
          </cell>
          <cell r="Q122" t="str">
            <v>ALT</v>
          </cell>
        </row>
        <row r="123">
          <cell r="B123" t="str">
            <v>5374732SPOR7</v>
          </cell>
          <cell r="D123" t="str">
            <v>Strategic Partners - Real Estate VII</v>
          </cell>
          <cell r="F123" t="str">
            <v>Alternativos</v>
          </cell>
          <cell r="Q123" t="str">
            <v>ALT</v>
          </cell>
        </row>
        <row r="124">
          <cell r="B124" t="str">
            <v>5374272CRF8B</v>
          </cell>
          <cell r="D124" t="str">
            <v>Carlyle Realty Partners - VIII</v>
          </cell>
          <cell r="F124" t="str">
            <v>Alternativos</v>
          </cell>
          <cell r="Q124" t="str">
            <v>ALT</v>
          </cell>
        </row>
        <row r="125">
          <cell r="B125" t="str">
            <v>5374322SOIKP</v>
          </cell>
          <cell r="D125" t="str">
            <v>Starwood Opportunity Fund XI Investor KP, L.P.</v>
          </cell>
          <cell r="F125" t="str">
            <v>Alternativos</v>
          </cell>
          <cell r="Q125" t="str">
            <v>ALT</v>
          </cell>
        </row>
        <row r="126">
          <cell r="B126" t="str">
            <v>5374322SOMAR</v>
          </cell>
          <cell r="D126" t="str">
            <v>Starwood Opportunity Fund XI Investor KP, L.P.</v>
          </cell>
          <cell r="F126" t="str">
            <v>Alternativos</v>
          </cell>
          <cell r="Q126" t="str">
            <v>ALT</v>
          </cell>
        </row>
        <row r="127">
          <cell r="B127" t="str">
            <v>5374382MRES2</v>
          </cell>
          <cell r="D127" t="str">
            <v>Metropolitan Real Estate Partners Secondaries Fund EUI-II L.P.</v>
          </cell>
          <cell r="F127" t="str">
            <v>Alternativos</v>
          </cell>
          <cell r="Q127" t="str">
            <v>ALT</v>
          </cell>
        </row>
        <row r="128">
          <cell r="B128" t="str">
            <v>5371372PRE17</v>
          </cell>
          <cell r="D128" t="str">
            <v>Partners Group Real Estate Secondary 2017 (USD) D, L.P. Inc.</v>
          </cell>
          <cell r="F128" t="str">
            <v>Alternativos</v>
          </cell>
          <cell r="Q128" t="str">
            <v>ALT</v>
          </cell>
        </row>
        <row r="129">
          <cell r="B129" t="str">
            <v>5374842BREVI</v>
          </cell>
          <cell r="D129" t="str">
            <v>Blackstone Real Estate Associates Europe VI</v>
          </cell>
          <cell r="F129" t="str">
            <v>Alternativos</v>
          </cell>
          <cell r="Q129" t="str">
            <v>ALT</v>
          </cell>
        </row>
        <row r="130">
          <cell r="B130" t="str">
            <v>5376882CEVVI</v>
          </cell>
          <cell r="D130" t="str">
            <v>Cortland Enhanced Value Fund VI GP, LLC</v>
          </cell>
          <cell r="F130" t="str">
            <v>Alternativos</v>
          </cell>
          <cell r="Q130" t="str">
            <v>ALT</v>
          </cell>
        </row>
        <row r="131">
          <cell r="B131" t="str">
            <v>53CCCC1MRIF2</v>
          </cell>
          <cell r="D131"/>
          <cell r="F131" t="str">
            <v>Alternativos</v>
          </cell>
          <cell r="Q131" t="str">
            <v>ALT</v>
          </cell>
        </row>
        <row r="132">
          <cell r="B132" t="str">
            <v>53CCCC1MRIF3</v>
          </cell>
          <cell r="D132"/>
          <cell r="F132" t="str">
            <v>Alternativos</v>
          </cell>
          <cell r="Q132" t="str">
            <v>ALT</v>
          </cell>
        </row>
        <row r="133">
          <cell r="B133" t="str">
            <v>53CCCC1CCCCC</v>
          </cell>
          <cell r="D133"/>
          <cell r="F133" t="str">
            <v>Alternativos</v>
          </cell>
          <cell r="Q133" t="str">
            <v>ALT</v>
          </cell>
        </row>
        <row r="134">
          <cell r="B134" t="str">
            <v>51CCCC1CCCCC</v>
          </cell>
          <cell r="D134"/>
          <cell r="F134" t="str">
            <v>Alternativos</v>
          </cell>
          <cell r="Q134" t="str">
            <v>ALT</v>
          </cell>
        </row>
        <row r="135">
          <cell r="B135" t="str">
            <v>49CCCC1CCCCC</v>
          </cell>
          <cell r="D135"/>
          <cell r="F135" t="str">
            <v>Alternativos</v>
          </cell>
          <cell r="Q135" t="str">
            <v>ALT</v>
          </cell>
        </row>
        <row r="136">
          <cell r="B136" t="str">
            <v>5111041FIDAF</v>
          </cell>
          <cell r="D136" t="str">
            <v>AC Capitales - Infraestructura</v>
          </cell>
          <cell r="F136" t="str">
            <v>Alternativos</v>
          </cell>
          <cell r="Q136" t="str">
            <v>ALT</v>
          </cell>
        </row>
        <row r="137">
          <cell r="B137" t="str">
            <v>5111042INF1U</v>
          </cell>
          <cell r="D137" t="str">
            <v>AC Capitales - Infraestructura</v>
          </cell>
          <cell r="F137" t="str">
            <v>Alternativos</v>
          </cell>
          <cell r="Q137" t="str">
            <v>ALT</v>
          </cell>
        </row>
        <row r="138">
          <cell r="B138" t="str">
            <v>5111042INF2A</v>
          </cell>
          <cell r="D138" t="str">
            <v>AC Capitales - Infraestructura II</v>
          </cell>
          <cell r="F138" t="str">
            <v>Alternativos</v>
          </cell>
          <cell r="Q138" t="str">
            <v>ALT</v>
          </cell>
        </row>
        <row r="139">
          <cell r="B139" t="str">
            <v>5111052INFS1</v>
          </cell>
          <cell r="D139" t="str">
            <v>Sigma- Infraestructura</v>
          </cell>
          <cell r="F139" t="str">
            <v>Alternativos</v>
          </cell>
          <cell r="Q139" t="str">
            <v>ALT</v>
          </cell>
        </row>
        <row r="140">
          <cell r="B140" t="str">
            <v>5111302INFAM</v>
          </cell>
          <cell r="D140" t="str">
            <v>Sura Credicorp Infraestructura</v>
          </cell>
          <cell r="F140" t="str">
            <v>Alternativos</v>
          </cell>
          <cell r="Q140" t="str">
            <v>ALT</v>
          </cell>
        </row>
        <row r="141">
          <cell r="B141" t="str">
            <v>5111132INBRO</v>
          </cell>
          <cell r="D141" t="str">
            <v>Brookfield - Infraestructura</v>
          </cell>
          <cell r="F141" t="str">
            <v>Alternativos</v>
          </cell>
          <cell r="Q141" t="str">
            <v>ALT</v>
          </cell>
        </row>
        <row r="142">
          <cell r="B142" t="str">
            <v>5311082FIEAM</v>
          </cell>
          <cell r="D142" t="str">
            <v>LarraínVial - Energía I</v>
          </cell>
          <cell r="F142" t="str">
            <v>Alternativos</v>
          </cell>
          <cell r="Q142" t="str">
            <v>ALT</v>
          </cell>
        </row>
        <row r="143">
          <cell r="B143" t="str">
            <v>5370552AARCF</v>
          </cell>
          <cell r="D143" t="str">
            <v>ARCM - ARC Fund I</v>
          </cell>
          <cell r="F143" t="str">
            <v>Alternativos</v>
          </cell>
          <cell r="Q143" t="str">
            <v>ALT</v>
          </cell>
        </row>
        <row r="144">
          <cell r="B144" t="str">
            <v>5371262AGPII</v>
          </cell>
          <cell r="D144" t="str">
            <v>ARCM - ARC Fund II</v>
          </cell>
          <cell r="F144" t="str">
            <v>Alternativos</v>
          </cell>
          <cell r="Q144" t="str">
            <v>ALT</v>
          </cell>
        </row>
        <row r="145">
          <cell r="B145" t="str">
            <v>5111092FMEZZ</v>
          </cell>
          <cell r="D145" t="str">
            <v>Summa - Mezzanine</v>
          </cell>
          <cell r="F145" t="str">
            <v>Alternativos</v>
          </cell>
          <cell r="Q145" t="str">
            <v>ALT</v>
          </cell>
        </row>
        <row r="146">
          <cell r="B146" t="str">
            <v>4871412CLPEF</v>
          </cell>
          <cell r="D146" t="str">
            <v>Carlyle Peru</v>
          </cell>
          <cell r="F146" t="str">
            <v>Alternativos</v>
          </cell>
          <cell r="Q146" t="str">
            <v>ALT</v>
          </cell>
        </row>
        <row r="147">
          <cell r="B147" t="str">
            <v>5111322LATAM</v>
          </cell>
          <cell r="D147" t="str">
            <v>Effic Partners - Latam</v>
          </cell>
          <cell r="F147" t="str">
            <v>Alternativos</v>
          </cell>
          <cell r="Q147" t="str">
            <v>ALT</v>
          </cell>
        </row>
        <row r="148">
          <cell r="B148" t="str">
            <v>5111032LATAM</v>
          </cell>
          <cell r="D148" t="str">
            <v>Access Seaf - Latam</v>
          </cell>
          <cell r="F148" t="str">
            <v>Alternativos</v>
          </cell>
          <cell r="Q148" t="str">
            <v>ALT</v>
          </cell>
        </row>
        <row r="149">
          <cell r="B149" t="str">
            <v>5111092TRANC</v>
          </cell>
          <cell r="D149" t="str">
            <v>Summa - Trasandino</v>
          </cell>
          <cell r="F149" t="str">
            <v>Alternativos</v>
          </cell>
          <cell r="Q149" t="str">
            <v>ALT</v>
          </cell>
        </row>
        <row r="150">
          <cell r="B150" t="str">
            <v>5111032TRANC</v>
          </cell>
          <cell r="D150" t="str">
            <v>Access Seaf - Trasandino</v>
          </cell>
          <cell r="F150" t="str">
            <v>Alternativos</v>
          </cell>
          <cell r="Q150" t="str">
            <v>ALT</v>
          </cell>
        </row>
        <row r="151">
          <cell r="B151" t="str">
            <v>5111071DESC1</v>
          </cell>
          <cell r="D151" t="str">
            <v>Enfoca - Descubridor I</v>
          </cell>
          <cell r="F151" t="str">
            <v>Alternativos</v>
          </cell>
          <cell r="Q151" t="str">
            <v>ALT</v>
          </cell>
        </row>
        <row r="152">
          <cell r="B152" t="str">
            <v>5111071DESC2</v>
          </cell>
          <cell r="D152" t="str">
            <v>Enfoca - Descubridor II</v>
          </cell>
          <cell r="F152" t="str">
            <v>Alternativos</v>
          </cell>
          <cell r="Q152" t="str">
            <v>ALT</v>
          </cell>
        </row>
        <row r="153">
          <cell r="B153" t="str">
            <v>5111072DCVY1</v>
          </cell>
          <cell r="D153" t="str">
            <v>Enfoca - Discovery I</v>
          </cell>
          <cell r="F153" t="str">
            <v>Alternativos</v>
          </cell>
          <cell r="Q153" t="str">
            <v>ALT</v>
          </cell>
        </row>
        <row r="154">
          <cell r="B154" t="str">
            <v>5111141KFIIP</v>
          </cell>
          <cell r="D154" t="str">
            <v>Kandeo - II Private Equity</v>
          </cell>
          <cell r="F154" t="str">
            <v>Alternativos</v>
          </cell>
          <cell r="Q154" t="str">
            <v>ALT</v>
          </cell>
        </row>
        <row r="155">
          <cell r="B155" t="str">
            <v>5111142FFOR1</v>
          </cell>
          <cell r="D155" t="str">
            <v>Macrocapitales - Fortaleza</v>
          </cell>
          <cell r="F155" t="str">
            <v>Alternativos</v>
          </cell>
          <cell r="Q155" t="str">
            <v>ALT</v>
          </cell>
        </row>
        <row r="156">
          <cell r="B156" t="str">
            <v>5111152FCRET</v>
          </cell>
          <cell r="D156" t="str">
            <v xml:space="preserve">Faro Capital - Fondo de Inversión Retail </v>
          </cell>
          <cell r="F156" t="str">
            <v>Alternativos</v>
          </cell>
          <cell r="Q156" t="str">
            <v>ALT</v>
          </cell>
        </row>
        <row r="157">
          <cell r="B157" t="str">
            <v>5111152FICP1</v>
          </cell>
          <cell r="D157" t="str">
            <v>Faro - Capital Privado</v>
          </cell>
          <cell r="F157" t="str">
            <v>Alternativos</v>
          </cell>
          <cell r="Q157" t="str">
            <v>ALT</v>
          </cell>
        </row>
        <row r="158">
          <cell r="B158" t="str">
            <v>5111072DES1B</v>
          </cell>
          <cell r="D158" t="str">
            <v>Enfoca - Descubridor 1</v>
          </cell>
          <cell r="F158" t="str">
            <v>Alternativos</v>
          </cell>
          <cell r="Q158" t="str">
            <v>ALT</v>
          </cell>
        </row>
        <row r="159">
          <cell r="B159" t="str">
            <v>5111072DES2B</v>
          </cell>
          <cell r="D159" t="str">
            <v>Enfoca - Descubridor 2</v>
          </cell>
          <cell r="F159" t="str">
            <v>Alternativos</v>
          </cell>
          <cell r="Q159" t="str">
            <v>ALT</v>
          </cell>
        </row>
        <row r="160">
          <cell r="B160" t="str">
            <v>5111011CCINM</v>
          </cell>
          <cell r="D160" t="str">
            <v>BCP Fondo Inmobiliario</v>
          </cell>
          <cell r="F160" t="str">
            <v>Alternativos</v>
          </cell>
          <cell r="Q160" t="str">
            <v>ALT</v>
          </cell>
        </row>
        <row r="161">
          <cell r="B161" t="str">
            <v>5111022FINM1</v>
          </cell>
          <cell r="D161" t="str">
            <v>Compass - Inmobiliario A</v>
          </cell>
          <cell r="F161" t="str">
            <v>Alternativos</v>
          </cell>
          <cell r="Q161" t="str">
            <v>ALT</v>
          </cell>
        </row>
        <row r="162">
          <cell r="B162" t="str">
            <v>5111022FINR2</v>
          </cell>
          <cell r="D162" t="str">
            <v>Compass - Inmobiliario B</v>
          </cell>
          <cell r="F162" t="str">
            <v>Alternativos</v>
          </cell>
          <cell r="Q162" t="str">
            <v>ALT</v>
          </cell>
        </row>
        <row r="163">
          <cell r="B163" t="str">
            <v>5111042FIMRE</v>
          </cell>
          <cell r="D163" t="str">
            <v>AC Capitales - Inmobiliario I</v>
          </cell>
          <cell r="F163" t="str">
            <v>Alternativos</v>
          </cell>
          <cell r="Q163" t="str">
            <v>ALT</v>
          </cell>
        </row>
        <row r="164">
          <cell r="B164" t="str">
            <v>5111042FINM2</v>
          </cell>
          <cell r="D164" t="str">
            <v>AC Capitales - Inmobiliario II</v>
          </cell>
          <cell r="F164" t="str">
            <v>Alternativos</v>
          </cell>
          <cell r="Q164" t="str">
            <v>ALT</v>
          </cell>
        </row>
        <row r="165">
          <cell r="B165" t="str">
            <v>5111102FIBR2</v>
          </cell>
          <cell r="D165" t="str">
            <v>LarraínVial Colliers - Fibra II</v>
          </cell>
          <cell r="F165" t="str">
            <v>Alternativos</v>
          </cell>
          <cell r="Q165" t="str">
            <v>ALT</v>
          </cell>
        </row>
        <row r="166">
          <cell r="B166" t="str">
            <v>5111102FIBR3</v>
          </cell>
          <cell r="D166" t="str">
            <v>LarraínVial Colliers - Fibra III</v>
          </cell>
          <cell r="F166" t="str">
            <v>Alternativos</v>
          </cell>
          <cell r="Q166" t="str">
            <v>ALT</v>
          </cell>
        </row>
        <row r="167">
          <cell r="B167" t="str">
            <v>5111102FIBRC</v>
          </cell>
          <cell r="D167" t="str">
            <v>LarraínVial Colliers - Fibra I</v>
          </cell>
          <cell r="F167" t="str">
            <v>Alternativos</v>
          </cell>
          <cell r="Q167" t="str">
            <v>ALT</v>
          </cell>
        </row>
        <row r="168">
          <cell r="B168" t="str">
            <v>5111151FCIN1</v>
          </cell>
          <cell r="D168" t="str">
            <v>Faro - Inmobiliario I</v>
          </cell>
          <cell r="F168" t="str">
            <v>Alternativos</v>
          </cell>
          <cell r="Q168" t="str">
            <v>ALT</v>
          </cell>
        </row>
        <row r="169">
          <cell r="B169" t="str">
            <v>5111181FDVI1</v>
          </cell>
          <cell r="D169" t="str">
            <v>W Capital - Fondo Inmobiliario</v>
          </cell>
          <cell r="F169" t="str">
            <v>Alternativos</v>
          </cell>
          <cell r="Q169" t="str">
            <v>ALT</v>
          </cell>
        </row>
        <row r="170">
          <cell r="B170" t="str">
            <v>5270412CONVE</v>
          </cell>
          <cell r="D170" t="str">
            <v>DWS Invest - Convertibles</v>
          </cell>
          <cell r="F170" t="str">
            <v>Renta Fija</v>
          </cell>
          <cell r="Q170" t="str">
            <v>RFIG</v>
          </cell>
        </row>
        <row r="171">
          <cell r="B171" t="str">
            <v>5270772F2269</v>
          </cell>
          <cell r="D171" t="str">
            <v>Franklin Templeton - Global Convertibles</v>
          </cell>
          <cell r="F171" t="str">
            <v>Renta Fija</v>
          </cell>
          <cell r="Q171" t="str">
            <v>RFIG</v>
          </cell>
        </row>
        <row r="172">
          <cell r="B172" t="str">
            <v>5271112EG102</v>
          </cell>
          <cell r="D172" t="str">
            <v>BlackRock - iShares Convertible Bond ETF</v>
          </cell>
          <cell r="F172" t="str">
            <v>Renta Fija</v>
          </cell>
          <cell r="Q172" t="str">
            <v>RFIG</v>
          </cell>
        </row>
        <row r="173">
          <cell r="B173" t="str">
            <v>5271112EB747</v>
          </cell>
          <cell r="D173" t="str">
            <v>BlackRock - iShares 0-5 Year TIPS Bond ETF</v>
          </cell>
          <cell r="F173" t="str">
            <v>Renta Fija</v>
          </cell>
          <cell r="Q173" t="str">
            <v>RFIG</v>
          </cell>
        </row>
        <row r="174">
          <cell r="B174" t="str">
            <v>5271112EG474</v>
          </cell>
          <cell r="D174" t="str">
            <v>BlackRock - iShares Fallen Angels USD Bond ETF</v>
          </cell>
          <cell r="F174" t="str">
            <v>Renta Fija</v>
          </cell>
          <cell r="Q174" t="str">
            <v>RFIG</v>
          </cell>
        </row>
        <row r="175">
          <cell r="B175" t="str">
            <v>52MOST2GCOND</v>
          </cell>
          <cell r="D175" t="str">
            <v>Morgan Stanley - Global Convertible Bond Fund</v>
          </cell>
          <cell r="F175" t="str">
            <v>Renta Fija</v>
          </cell>
          <cell r="Q175" t="str">
            <v>RFIG</v>
          </cell>
        </row>
        <row r="176">
          <cell r="B176" t="str">
            <v>5273932EA359</v>
          </cell>
          <cell r="D176" t="str">
            <v>SSGA - Bloomberg Barclays Convertible Securities</v>
          </cell>
          <cell r="F176" t="str">
            <v>Renta Fija</v>
          </cell>
          <cell r="Q176" t="str">
            <v>RFIG</v>
          </cell>
        </row>
        <row r="177">
          <cell r="B177" t="str">
            <v>5274494CONVE</v>
          </cell>
          <cell r="D177" t="str">
            <v>Lazard - Convertible Europe Fund</v>
          </cell>
          <cell r="F177" t="str">
            <v>Renta Fija</v>
          </cell>
          <cell r="Q177" t="str">
            <v>RFIG</v>
          </cell>
        </row>
        <row r="178">
          <cell r="B178" t="str">
            <v>5274492F8555</v>
          </cell>
          <cell r="D178" t="str">
            <v>Lazard - Convertible Global Fund</v>
          </cell>
          <cell r="F178" t="str">
            <v>Renta Fija</v>
          </cell>
          <cell r="Q178" t="str">
            <v>RFIG</v>
          </cell>
        </row>
        <row r="179">
          <cell r="B179" t="str">
            <v>5276632EPF32</v>
          </cell>
          <cell r="D179" t="str">
            <v>AT1 LN - Global Convertible</v>
          </cell>
          <cell r="F179" t="str">
            <v>Renta Fija</v>
          </cell>
          <cell r="Q179" t="str">
            <v>RFIG</v>
          </cell>
        </row>
        <row r="180">
          <cell r="B180" t="str">
            <v>5270604F1414</v>
          </cell>
          <cell r="D180" t="str">
            <v>Arcano Fund - European Income Fund - ESG Selection</v>
          </cell>
          <cell r="F180" t="str">
            <v>Renta Fija</v>
          </cell>
          <cell r="Q180" t="str">
            <v>RFIG</v>
          </cell>
        </row>
        <row r="181">
          <cell r="B181" t="str">
            <v>5270602F1457</v>
          </cell>
          <cell r="D181" t="str">
            <v>Arcano Fund - European Income Fund, ESG Selection</v>
          </cell>
          <cell r="F181" t="str">
            <v>Renta Fija</v>
          </cell>
          <cell r="Q181" t="str">
            <v>RFIG</v>
          </cell>
        </row>
        <row r="182">
          <cell r="B182" t="str">
            <v>5270604F1743</v>
          </cell>
          <cell r="D182" t="str">
            <v>Arcano Fund - European Income Fund, ESG Selection</v>
          </cell>
          <cell r="F182" t="str">
            <v>Renta Fija</v>
          </cell>
          <cell r="Q182" t="str">
            <v>RFIG</v>
          </cell>
        </row>
        <row r="183">
          <cell r="B183" t="str">
            <v>52MSIM2MSUHY</v>
          </cell>
          <cell r="D183" t="str">
            <v>MSIM - High Yield</v>
          </cell>
          <cell r="F183" t="str">
            <v>Renta Fija</v>
          </cell>
          <cell r="Q183" t="str">
            <v>RFIG</v>
          </cell>
        </row>
        <row r="184">
          <cell r="B184" t="str">
            <v>5270164F3629</v>
          </cell>
          <cell r="D184" t="str">
            <v>BNY Mellon Compass Fund - ABS Fund</v>
          </cell>
          <cell r="F184" t="str">
            <v>Renta Fija</v>
          </cell>
          <cell r="Q184" t="str">
            <v>RFIG</v>
          </cell>
        </row>
        <row r="185">
          <cell r="B185" t="str">
            <v>5270164F5125</v>
          </cell>
          <cell r="D185" t="str">
            <v>BNY Mellon Compass Fund - ABS Fund</v>
          </cell>
          <cell r="F185" t="str">
            <v>Renta Fija</v>
          </cell>
          <cell r="Q185" t="str">
            <v>RFIG</v>
          </cell>
        </row>
        <row r="186">
          <cell r="B186" t="str">
            <v>5270224F8317</v>
          </cell>
          <cell r="D186" t="str">
            <v>NN - European High Yield</v>
          </cell>
          <cell r="F186" t="str">
            <v>Renta Fija</v>
          </cell>
          <cell r="Q186" t="str">
            <v>RFIG</v>
          </cell>
        </row>
        <row r="187">
          <cell r="B187" t="str">
            <v>5277292FB118</v>
          </cell>
          <cell r="D187" t="str">
            <v>Pearl Diver Capital LLC - Floating Rate Global Income</v>
          </cell>
          <cell r="F187" t="str">
            <v>Renta Fija</v>
          </cell>
          <cell r="Q187" t="str">
            <v>RFIG</v>
          </cell>
        </row>
        <row r="188">
          <cell r="B188" t="str">
            <v>5270254F7343</v>
          </cell>
          <cell r="D188" t="str">
            <v>Aberdeen - Select Euro High Yield</v>
          </cell>
          <cell r="F188" t="str">
            <v>Renta Fija</v>
          </cell>
          <cell r="Q188" t="str">
            <v>RFIG</v>
          </cell>
        </row>
        <row r="189">
          <cell r="B189" t="str">
            <v>5270254F7631</v>
          </cell>
          <cell r="D189" t="str">
            <v>Aberdeen - Select Euro High Yield</v>
          </cell>
          <cell r="F189" t="str">
            <v>Renta Fija</v>
          </cell>
          <cell r="Q189" t="str">
            <v>RFIG</v>
          </cell>
        </row>
        <row r="190">
          <cell r="B190" t="str">
            <v>5270264F6942</v>
          </cell>
          <cell r="D190" t="str">
            <v>Robeco - High Yield Bonds Fund</v>
          </cell>
          <cell r="F190" t="str">
            <v>Renta Fija</v>
          </cell>
          <cell r="Q190" t="str">
            <v>RFIG</v>
          </cell>
        </row>
        <row r="191">
          <cell r="B191" t="str">
            <v>5270282F3171</v>
          </cell>
          <cell r="D191" t="str">
            <v>Janus Henderson - US High Yield Fund</v>
          </cell>
          <cell r="F191" t="str">
            <v>Renta Fija</v>
          </cell>
          <cell r="Q191" t="str">
            <v>RFIG</v>
          </cell>
        </row>
        <row r="192">
          <cell r="B192" t="str">
            <v>5274852V3A43</v>
          </cell>
          <cell r="D192" t="str">
            <v>Lord Abbett - US Convertible Fund</v>
          </cell>
          <cell r="F192" t="str">
            <v>Renta Fija</v>
          </cell>
          <cell r="Q192" t="str">
            <v>RFIG</v>
          </cell>
        </row>
        <row r="193">
          <cell r="B193" t="str">
            <v>5274852WYS31</v>
          </cell>
          <cell r="D193" t="str">
            <v>Lord Abbett - US High Yield Fund</v>
          </cell>
          <cell r="F193" t="str">
            <v>Renta Fija</v>
          </cell>
          <cell r="Q193" t="str">
            <v>RFIG</v>
          </cell>
        </row>
        <row r="194">
          <cell r="B194" t="str">
            <v>5270382F9940</v>
          </cell>
          <cell r="D194" t="str">
            <v>Amundi / Pioneer - US High Yield</v>
          </cell>
          <cell r="F194" t="str">
            <v>Renta Fija</v>
          </cell>
          <cell r="Q194" t="str">
            <v>RFIG</v>
          </cell>
        </row>
        <row r="195">
          <cell r="B195" t="str">
            <v>5270384EUBON</v>
          </cell>
          <cell r="D195" t="str">
            <v>Amundi / Pioneer - Euro Strategic Bond</v>
          </cell>
          <cell r="F195" t="str">
            <v>Renta Fija</v>
          </cell>
          <cell r="Q195" t="str">
            <v>RFIG</v>
          </cell>
        </row>
        <row r="196">
          <cell r="B196" t="str">
            <v>5270384F5073</v>
          </cell>
          <cell r="D196" t="str">
            <v>Amundi / Pioneer - Global High Yield</v>
          </cell>
          <cell r="F196" t="str">
            <v>Renta Fija</v>
          </cell>
          <cell r="Q196" t="str">
            <v>RFIG</v>
          </cell>
        </row>
        <row r="197">
          <cell r="B197" t="str">
            <v>5273982F6385</v>
          </cell>
          <cell r="D197" t="str">
            <v>Amundi / Pioneer - US High Yield</v>
          </cell>
          <cell r="F197" t="str">
            <v>Renta Fija</v>
          </cell>
          <cell r="Q197" t="str">
            <v>RFIG</v>
          </cell>
        </row>
        <row r="198">
          <cell r="B198" t="str">
            <v>5273984AGSBI</v>
          </cell>
          <cell r="D198" t="str">
            <v>Amundi / Pioneer - Global Subordinated</v>
          </cell>
          <cell r="F198" t="str">
            <v>Renta Fija</v>
          </cell>
          <cell r="Q198" t="str">
            <v>RFIG</v>
          </cell>
        </row>
        <row r="199">
          <cell r="B199" t="str">
            <v>5270404FEUHY</v>
          </cell>
          <cell r="D199" t="str">
            <v>Fidelity - European High Yield</v>
          </cell>
          <cell r="F199" t="str">
            <v>Renta Fija</v>
          </cell>
          <cell r="Q199" t="str">
            <v>RFIG</v>
          </cell>
        </row>
        <row r="200">
          <cell r="B200" t="str">
            <v>5270432AX639</v>
          </cell>
          <cell r="D200" t="str">
            <v>AUDHYBI LX - US Dynamic High Yield Bonds</v>
          </cell>
          <cell r="F200" t="str">
            <v>Renta Fija</v>
          </cell>
          <cell r="Q200" t="str">
            <v>RFIG</v>
          </cell>
        </row>
        <row r="201">
          <cell r="B201" t="str">
            <v>5270432F1588</v>
          </cell>
          <cell r="D201" t="str">
            <v>AXA - US High Yield Bonds</v>
          </cell>
          <cell r="F201" t="str">
            <v>Renta Fija</v>
          </cell>
          <cell r="Q201" t="str">
            <v>RFIG</v>
          </cell>
        </row>
        <row r="202">
          <cell r="B202" t="str">
            <v>5270432F6750</v>
          </cell>
          <cell r="D202" t="str">
            <v>AXA - US Short Duration High Yield</v>
          </cell>
          <cell r="F202" t="str">
            <v>Renta Fija</v>
          </cell>
          <cell r="Q202" t="str">
            <v>RFIG</v>
          </cell>
        </row>
        <row r="203">
          <cell r="B203" t="str">
            <v>5270432USSHY</v>
          </cell>
          <cell r="D203" t="str">
            <v>AXA - US Short Duration High Yield</v>
          </cell>
          <cell r="F203" t="str">
            <v>Renta Fija</v>
          </cell>
          <cell r="Q203" t="str">
            <v>RFIG</v>
          </cell>
        </row>
        <row r="204">
          <cell r="B204" t="str">
            <v>5270652US921</v>
          </cell>
          <cell r="D204" t="str">
            <v>ANGL US - Fallen Angels</v>
          </cell>
          <cell r="F204" t="str">
            <v>Renta Fija</v>
          </cell>
          <cell r="Q204" t="str">
            <v>RFIG</v>
          </cell>
        </row>
        <row r="205">
          <cell r="B205" t="str">
            <v>5270854FK5G4</v>
          </cell>
          <cell r="D205" t="str">
            <v>Threadneedle - European High Yield</v>
          </cell>
          <cell r="F205" t="str">
            <v>Renta Fija</v>
          </cell>
          <cell r="Q205" t="str">
            <v>RFIG</v>
          </cell>
        </row>
        <row r="206">
          <cell r="B206" t="str">
            <v>5270882JPGLB</v>
          </cell>
          <cell r="D206" t="str">
            <v>JP Morgan - Global Bond Opportunities Fund</v>
          </cell>
          <cell r="F206" t="str">
            <v>Renta Fija</v>
          </cell>
          <cell r="Q206" t="str">
            <v>RFIG</v>
          </cell>
        </row>
        <row r="207">
          <cell r="B207" t="str">
            <v>5274542F8758</v>
          </cell>
          <cell r="D207" t="str">
            <v>Oaktree Global Credit</v>
          </cell>
          <cell r="F207" t="str">
            <v>Renta Fija</v>
          </cell>
          <cell r="Q207" t="str">
            <v>RFIG</v>
          </cell>
        </row>
        <row r="208">
          <cell r="B208" t="str">
            <v>5270972F4784</v>
          </cell>
          <cell r="D208" t="str">
            <v>Muzinich - Americayield Fund</v>
          </cell>
          <cell r="F208" t="str">
            <v>Renta Fija</v>
          </cell>
          <cell r="Q208" t="str">
            <v>RFIG</v>
          </cell>
        </row>
        <row r="209">
          <cell r="B209" t="str">
            <v>5270972FXD05</v>
          </cell>
          <cell r="D209" t="str">
            <v>Muzinich - Short Duration High Yield</v>
          </cell>
          <cell r="F209" t="str">
            <v>Renta Fija</v>
          </cell>
          <cell r="Q209" t="str">
            <v>RFIG</v>
          </cell>
        </row>
        <row r="210">
          <cell r="B210" t="str">
            <v>5260012ER622</v>
          </cell>
          <cell r="D210" t="str">
            <v>SPDR - Bloomberg High Yield ETF</v>
          </cell>
          <cell r="F210" t="str">
            <v>Renta Fija</v>
          </cell>
          <cell r="Q210" t="str">
            <v>RFIG</v>
          </cell>
        </row>
        <row r="211">
          <cell r="B211" t="str">
            <v>5271112E8513</v>
          </cell>
          <cell r="D211" t="str">
            <v>BlackRock - iShares iBoxx High Yield Corporate Bond</v>
          </cell>
          <cell r="F211" t="str">
            <v>Renta Fija</v>
          </cell>
          <cell r="Q211" t="str">
            <v>RFIG</v>
          </cell>
        </row>
        <row r="212">
          <cell r="B212" t="str">
            <v>5270734EF475</v>
          </cell>
          <cell r="D212" t="str">
            <v>iShares € High Yield Corp Bond UCITS ETF</v>
          </cell>
          <cell r="F212" t="str">
            <v>Renta Fija</v>
          </cell>
          <cell r="Q212" t="str">
            <v>RFIG</v>
          </cell>
        </row>
        <row r="213">
          <cell r="B213" t="str">
            <v>5270732E31M3</v>
          </cell>
          <cell r="D213" t="str">
            <v>BlackRock - Fallen Angels HY Corp Bonds UCITS</v>
          </cell>
          <cell r="F213" t="str">
            <v>Renta Fija</v>
          </cell>
          <cell r="Q213" t="str">
            <v>RFIG</v>
          </cell>
        </row>
        <row r="214">
          <cell r="B214" t="str">
            <v>5270732EY7Y7</v>
          </cell>
          <cell r="D214" t="str">
            <v>BlackRock - iShares iBoxx High Yield Corporate Bond</v>
          </cell>
          <cell r="F214" t="str">
            <v>Renta Fija</v>
          </cell>
          <cell r="Q214" t="str">
            <v>RFIG</v>
          </cell>
        </row>
        <row r="215">
          <cell r="B215" t="str">
            <v>5273862FW849</v>
          </cell>
          <cell r="D215" t="str">
            <v>Nomura - US High Yield Bond Fund</v>
          </cell>
          <cell r="F215" t="str">
            <v>Renta Fija</v>
          </cell>
          <cell r="Q215" t="str">
            <v>RFIG</v>
          </cell>
        </row>
        <row r="216">
          <cell r="B216" t="str">
            <v>5273974EURHY</v>
          </cell>
          <cell r="D216" t="str">
            <v>DWS Invest - Euro High Yield</v>
          </cell>
          <cell r="F216" t="str">
            <v>Renta Fija</v>
          </cell>
          <cell r="Q216" t="str">
            <v>RFIG</v>
          </cell>
        </row>
        <row r="217">
          <cell r="B217" t="str">
            <v>5274002FB300</v>
          </cell>
          <cell r="D217" t="str">
            <v>Federated - High Yield Bond Fund</v>
          </cell>
          <cell r="F217" t="str">
            <v>Renta Fija</v>
          </cell>
          <cell r="Q217" t="str">
            <v>RFIG</v>
          </cell>
        </row>
        <row r="218">
          <cell r="B218" t="str">
            <v>52INVE2GLHIC</v>
          </cell>
          <cell r="D218" t="str">
            <v>Invesco - Global High Income Fund UCITS</v>
          </cell>
          <cell r="F218" t="str">
            <v>Renta Fija</v>
          </cell>
          <cell r="Q218" t="str">
            <v>RFIG</v>
          </cell>
        </row>
        <row r="219">
          <cell r="B219" t="str">
            <v>52MSIM4EURHY</v>
          </cell>
          <cell r="D219" t="str">
            <v>Morgan Stanley - European Currencies High Yield</v>
          </cell>
          <cell r="F219" t="str">
            <v>Renta Fija</v>
          </cell>
          <cell r="Q219" t="str">
            <v>RFIG</v>
          </cell>
        </row>
        <row r="220">
          <cell r="B220" t="str">
            <v>5273974EUHY2</v>
          </cell>
          <cell r="D220" t="str">
            <v>DWS Invest - Euro High Yield Corporates</v>
          </cell>
          <cell r="F220" t="str">
            <v>Renta Fija</v>
          </cell>
          <cell r="Q220" t="str">
            <v>RFIG</v>
          </cell>
        </row>
        <row r="221">
          <cell r="B221" t="str">
            <v>5275114F0215</v>
          </cell>
          <cell r="D221" t="str">
            <v>BlueBay - Financial Capital Bond - E</v>
          </cell>
          <cell r="F221" t="str">
            <v>Renta Fija</v>
          </cell>
          <cell r="Q221" t="str">
            <v>RFIG</v>
          </cell>
        </row>
        <row r="222">
          <cell r="B222" t="str">
            <v>5275112FCBIU</v>
          </cell>
          <cell r="D222" t="str">
            <v>BlueBay - Financial Capital Bond - U</v>
          </cell>
          <cell r="F222" t="str">
            <v>Renta Fija</v>
          </cell>
          <cell r="Q222" t="str">
            <v>RFIG</v>
          </cell>
        </row>
        <row r="223">
          <cell r="B223" t="str">
            <v>52GAML2USCOF</v>
          </cell>
          <cell r="D223" t="str">
            <v xml:space="preserve">Gam - Star Credit Opportunities </v>
          </cell>
          <cell r="F223" t="str">
            <v>Renta Fija</v>
          </cell>
          <cell r="Q223" t="str">
            <v>RFIG</v>
          </cell>
        </row>
        <row r="224">
          <cell r="B224" t="str">
            <v>5275504GM260</v>
          </cell>
          <cell r="D224" t="str">
            <v>Universal Invest Lux - Berenberg Credit Opportunities</v>
          </cell>
          <cell r="F224" t="str">
            <v>Renta Fija</v>
          </cell>
          <cell r="Q224" t="str">
            <v>RFIG</v>
          </cell>
        </row>
        <row r="225">
          <cell r="B225" t="str">
            <v>4874174EURHY</v>
          </cell>
          <cell r="D225" t="str">
            <v>Candriam - Bonds Euro High Yield</v>
          </cell>
          <cell r="F225" t="str">
            <v>Renta Fija</v>
          </cell>
          <cell r="Q225" t="str">
            <v>RFIG</v>
          </cell>
        </row>
        <row r="226">
          <cell r="B226" t="str">
            <v>5277022F0850</v>
          </cell>
          <cell r="D226" t="str">
            <v>Jupiter - Bonds Global High Yield</v>
          </cell>
          <cell r="F226" t="str">
            <v>Renta Fija</v>
          </cell>
          <cell r="Q226" t="str">
            <v>RFIG</v>
          </cell>
        </row>
        <row r="227">
          <cell r="B227" t="str">
            <v>5274172F5035</v>
          </cell>
          <cell r="D227" t="str">
            <v>Candriam - Bonds Global High Yield</v>
          </cell>
          <cell r="F227" t="str">
            <v>Renta Fija</v>
          </cell>
          <cell r="Q227" t="str">
            <v>RFIG</v>
          </cell>
        </row>
        <row r="228">
          <cell r="B228" t="str">
            <v>5274172F2843</v>
          </cell>
          <cell r="D228" t="str">
            <v>Candriam - Bonds Global High Yield</v>
          </cell>
          <cell r="F228" t="str">
            <v>Renta Fija</v>
          </cell>
          <cell r="Q228" t="str">
            <v>RFIG</v>
          </cell>
        </row>
        <row r="229">
          <cell r="B229" t="str">
            <v>5272184GLBHB</v>
          </cell>
          <cell r="D229" t="str">
            <v>Azimut - Fund 1 Hybrid Bonds</v>
          </cell>
          <cell r="F229" t="str">
            <v>Renta Fija</v>
          </cell>
          <cell r="Q229" t="str">
            <v>RFIG</v>
          </cell>
        </row>
        <row r="230">
          <cell r="B230" t="str">
            <v>5272182GSEHB</v>
          </cell>
          <cell r="D230" t="str">
            <v>Azimut - Fund 1 Hybrid Bonds</v>
          </cell>
          <cell r="F230" t="str">
            <v>Renta Fija</v>
          </cell>
          <cell r="Q230" t="str">
            <v>RFIG</v>
          </cell>
        </row>
        <row r="231">
          <cell r="B231" t="str">
            <v>5273882HIGHY</v>
          </cell>
          <cell r="D231" t="str">
            <v>Robeco - Capital Growth Funds High Yield Bonds</v>
          </cell>
          <cell r="F231" t="str">
            <v>Renta Fija</v>
          </cell>
          <cell r="Q231" t="str">
            <v>RFIG</v>
          </cell>
        </row>
        <row r="232">
          <cell r="B232" t="str">
            <v>5273882F4892</v>
          </cell>
          <cell r="D232" t="str">
            <v>Robeco Luxembourg S.A.</v>
          </cell>
          <cell r="F232" t="str">
            <v>Renta Fija</v>
          </cell>
          <cell r="Q232" t="str">
            <v>RFIG</v>
          </cell>
        </row>
        <row r="233">
          <cell r="B233" t="str">
            <v>5271112EMHYU</v>
          </cell>
          <cell r="D233" t="str">
            <v>BlackRock - iShares EM High Yield Bond</v>
          </cell>
          <cell r="F233" t="str">
            <v>Renta Fija</v>
          </cell>
          <cell r="Q233" t="str">
            <v>RFIG</v>
          </cell>
        </row>
        <row r="234">
          <cell r="B234" t="str">
            <v>5274122GD0HY</v>
          </cell>
          <cell r="D234" t="str">
            <v>Pimco - Global High Yield Bond Fund</v>
          </cell>
          <cell r="F234" t="str">
            <v>Renta Fija</v>
          </cell>
          <cell r="Q234" t="str">
            <v>RFIG</v>
          </cell>
        </row>
        <row r="235">
          <cell r="B235" t="str">
            <v>5274122USHYB</v>
          </cell>
          <cell r="D235" t="str">
            <v>Pimco - US High Yield Bond</v>
          </cell>
          <cell r="F235" t="str">
            <v>Renta Fija</v>
          </cell>
          <cell r="Q235" t="str">
            <v>RFIG</v>
          </cell>
        </row>
        <row r="236">
          <cell r="B236" t="str">
            <v>5274122F6097</v>
          </cell>
          <cell r="D236" t="str">
            <v>Pimco - US High Yield Bond</v>
          </cell>
          <cell r="F236" t="str">
            <v>Renta Fija</v>
          </cell>
          <cell r="Q236" t="str">
            <v>RFIG</v>
          </cell>
        </row>
        <row r="237">
          <cell r="B237" t="str">
            <v>5274122FKCF7</v>
          </cell>
          <cell r="D237" t="str">
            <v>Pimco - GIS Income Fund</v>
          </cell>
          <cell r="F237" t="str">
            <v>Renta Fija</v>
          </cell>
          <cell r="Q237" t="str">
            <v>RFIG</v>
          </cell>
        </row>
        <row r="238">
          <cell r="B238" t="str">
            <v>5270582R1157</v>
          </cell>
          <cell r="D238" t="str">
            <v>Moneda - CLOs</v>
          </cell>
          <cell r="F238" t="str">
            <v>Renta Fija</v>
          </cell>
          <cell r="Q238" t="str">
            <v>RFIG</v>
          </cell>
        </row>
        <row r="239">
          <cell r="B239" t="str">
            <v>5277432FR115</v>
          </cell>
          <cell r="D239" t="str">
            <v>Moneda - CLOs</v>
          </cell>
          <cell r="F239" t="str">
            <v>Renta Fija</v>
          </cell>
          <cell r="Q239" t="str">
            <v>RFIG</v>
          </cell>
        </row>
        <row r="240">
          <cell r="B240" t="str">
            <v>5277312FGRM4</v>
          </cell>
          <cell r="D240" t="str">
            <v>Neuberger Berman - CLO Income Fund</v>
          </cell>
          <cell r="F240" t="str">
            <v>Renta Fija</v>
          </cell>
          <cell r="Q240" t="str">
            <v>RFIG</v>
          </cell>
        </row>
        <row r="241">
          <cell r="B241" t="str">
            <v>5277312FNG56</v>
          </cell>
          <cell r="D241" t="str">
            <v>Neuberger Berman - CLO Income Fund</v>
          </cell>
          <cell r="F241" t="str">
            <v>Renta Fija</v>
          </cell>
          <cell r="Q241" t="str">
            <v>RFIG</v>
          </cell>
        </row>
        <row r="242">
          <cell r="B242" t="str">
            <v>5270384GBOND</v>
          </cell>
          <cell r="D242" t="str">
            <v>Amundi / Pioneer - Global Subordinated Bond</v>
          </cell>
          <cell r="F242" t="str">
            <v>Renta Fija</v>
          </cell>
          <cell r="Q242" t="str">
            <v>RFIG</v>
          </cell>
        </row>
        <row r="243">
          <cell r="B243" t="str">
            <v>5274174FF284</v>
          </cell>
          <cell r="D243" t="str">
            <v>Candriam Bonds - Global High Yield</v>
          </cell>
          <cell r="F243" t="str">
            <v>Renta Fija</v>
          </cell>
          <cell r="Q243" t="str">
            <v>RFIG</v>
          </cell>
        </row>
        <row r="244">
          <cell r="B244" t="str">
            <v>4874174EHY2</v>
          </cell>
          <cell r="D244" t="str">
            <v>Candriam - Euro High Yield</v>
          </cell>
          <cell r="F244" t="str">
            <v>Renta Fija</v>
          </cell>
          <cell r="Q244" t="str">
            <v>RFIG</v>
          </cell>
        </row>
        <row r="245">
          <cell r="B245" t="str">
            <v>5270192SCHHY</v>
          </cell>
          <cell r="D245" t="str">
            <v>Schroders - Global High Yield</v>
          </cell>
          <cell r="F245" t="str">
            <v>Renta Fija</v>
          </cell>
          <cell r="Q245" t="str">
            <v>RFIG</v>
          </cell>
        </row>
        <row r="246">
          <cell r="B246" t="str">
            <v>5274494F1144</v>
          </cell>
          <cell r="D246" t="str">
            <v>Lazard Capital Fi</v>
          </cell>
          <cell r="F246" t="str">
            <v>Renta Fija</v>
          </cell>
          <cell r="Q246" t="str">
            <v>RFIG</v>
          </cell>
        </row>
        <row r="247">
          <cell r="B247" t="str">
            <v>5270382STRIN</v>
          </cell>
          <cell r="D247" t="str">
            <v>Amundi / Pioneer - Strategic Income</v>
          </cell>
          <cell r="F247" t="str">
            <v>Renta Fija</v>
          </cell>
          <cell r="Q247" t="str">
            <v>RFIG</v>
          </cell>
        </row>
        <row r="248">
          <cell r="B248" t="str">
            <v>5270412DBDOL</v>
          </cell>
          <cell r="D248" t="str">
            <v>DWS Invest - Money Market</v>
          </cell>
          <cell r="F248" t="str">
            <v>Renta Fija</v>
          </cell>
          <cell r="Q248" t="str">
            <v>RFIG</v>
          </cell>
        </row>
        <row r="249">
          <cell r="B249" t="str">
            <v>5271112E7242</v>
          </cell>
          <cell r="D249" t="str">
            <v>BlackRock - iShares iBoxx $ Investment Grade Corporate Bond ETF</v>
          </cell>
          <cell r="F249" t="str">
            <v>Renta Fija</v>
          </cell>
          <cell r="Q249" t="str">
            <v>RFIG</v>
          </cell>
        </row>
        <row r="250">
          <cell r="B250" t="str">
            <v>5270732E9594</v>
          </cell>
          <cell r="D250" t="str">
            <v>BlackRock - iShares USD Corp Bond UCITS</v>
          </cell>
          <cell r="F250" t="str">
            <v>Renta Fija</v>
          </cell>
          <cell r="Q250" t="str">
            <v>RFIG</v>
          </cell>
        </row>
        <row r="251">
          <cell r="B251" t="str">
            <v>52GLDS2GIGUS</v>
          </cell>
          <cell r="D251" t="str">
            <v>Goldman Sachs - US Fixed Income Portfolio</v>
          </cell>
          <cell r="F251" t="str">
            <v>Renta Fija</v>
          </cell>
          <cell r="Q251" t="str">
            <v>RFIG</v>
          </cell>
        </row>
        <row r="252">
          <cell r="B252" t="str">
            <v>52SANT4FIOCD</v>
          </cell>
          <cell r="D252" t="str">
            <v>Santander - Select Moderate</v>
          </cell>
          <cell r="F252" t="str">
            <v>Renta Fija</v>
          </cell>
          <cell r="Q252" t="str">
            <v>RFIG</v>
          </cell>
        </row>
        <row r="253">
          <cell r="B253" t="str">
            <v>5274124GBLIG</v>
          </cell>
          <cell r="D253" t="str">
            <v>Pimco - Global Investment Grade Credit Fund</v>
          </cell>
          <cell r="F253" t="str">
            <v>Renta Fija</v>
          </cell>
          <cell r="Q253" t="str">
            <v>RFIG</v>
          </cell>
        </row>
        <row r="254">
          <cell r="B254" t="str">
            <v>5274122F8JM6</v>
          </cell>
          <cell r="D254" t="str">
            <v>Pimco - Mortgage Opportunities Fund</v>
          </cell>
          <cell r="F254" t="str">
            <v>Renta Fija</v>
          </cell>
          <cell r="Q254" t="str">
            <v>RFIG</v>
          </cell>
        </row>
        <row r="255">
          <cell r="B255" t="str">
            <v>5270222F3349</v>
          </cell>
          <cell r="D255" t="str">
            <v>NN - Flex Senior Loans</v>
          </cell>
          <cell r="F255" t="str">
            <v>Renta Fija</v>
          </cell>
          <cell r="Q255" t="str">
            <v>RFIG</v>
          </cell>
        </row>
        <row r="256">
          <cell r="B256" t="str">
            <v>52INVE2FLOAT</v>
          </cell>
          <cell r="D256" t="str">
            <v>Invesco - US Senior Loans</v>
          </cell>
          <cell r="F256" t="str">
            <v>Renta Fija</v>
          </cell>
          <cell r="Q256" t="str">
            <v>RFIG</v>
          </cell>
        </row>
        <row r="257">
          <cell r="B257" t="str">
            <v>5274082F7928</v>
          </cell>
          <cell r="D257" t="str">
            <v>Invesco - US Senior Loan Fund G</v>
          </cell>
          <cell r="F257" t="str">
            <v>Renta Fija</v>
          </cell>
          <cell r="Q257" t="str">
            <v>RFIG</v>
          </cell>
        </row>
        <row r="258">
          <cell r="B258" t="str">
            <v>5274082F7936</v>
          </cell>
          <cell r="D258" t="str">
            <v>Invesco - US Senior Loan Fund</v>
          </cell>
          <cell r="F258" t="str">
            <v>Renta Fija</v>
          </cell>
          <cell r="Q258" t="str">
            <v>RFIG</v>
          </cell>
        </row>
        <row r="259">
          <cell r="B259" t="str">
            <v>5260012EV608</v>
          </cell>
          <cell r="D259" t="str">
            <v>State Street - Blackstone Senior Loans</v>
          </cell>
          <cell r="F259" t="str">
            <v>Renta Fija</v>
          </cell>
          <cell r="Q259" t="str">
            <v>RFIG</v>
          </cell>
        </row>
        <row r="260">
          <cell r="B260" t="str">
            <v>52CRSU2GLOAN</v>
          </cell>
          <cell r="D260" t="str">
            <v>Credit Suisse - Global Senior Loans</v>
          </cell>
          <cell r="F260" t="str">
            <v>Renta Fija</v>
          </cell>
          <cell r="Q260" t="str">
            <v>RFIG</v>
          </cell>
        </row>
        <row r="261">
          <cell r="B261" t="str">
            <v>5277252EA854</v>
          </cell>
          <cell r="D261" t="str">
            <v>Pimco - Senior Loan Active Exchange-Traded Fund</v>
          </cell>
          <cell r="F261" t="str">
            <v>Renta Fija</v>
          </cell>
          <cell r="Q261" t="str">
            <v>RFIG</v>
          </cell>
        </row>
        <row r="262">
          <cell r="B262" t="str">
            <v>0840016JD997</v>
          </cell>
          <cell r="D262" t="str">
            <v>Gobierno del Reino Unido</v>
          </cell>
          <cell r="F262" t="str">
            <v>Renta Fija</v>
          </cell>
          <cell r="Q262" t="str">
            <v>RFIG</v>
          </cell>
        </row>
        <row r="263">
          <cell r="B263" t="str">
            <v>084001682C90</v>
          </cell>
          <cell r="D263" t="str">
            <v>Gobierno del Reino Unido</v>
          </cell>
          <cell r="F263" t="str">
            <v>Renta Fija</v>
          </cell>
          <cell r="Q263" t="str">
            <v>RFIG</v>
          </cell>
        </row>
        <row r="264">
          <cell r="B264" t="str">
            <v>0840016R2809</v>
          </cell>
          <cell r="D264" t="str">
            <v>Gobierno del Reino Unido</v>
          </cell>
          <cell r="F264" t="str">
            <v>Renta Fija</v>
          </cell>
          <cell r="Q264" t="str">
            <v>RFIG</v>
          </cell>
        </row>
        <row r="265">
          <cell r="B265" t="str">
            <v>0840016L1D50</v>
          </cell>
          <cell r="D265" t="str">
            <v>Gobierno del Reino Unido</v>
          </cell>
          <cell r="F265" t="str">
            <v>Renta Fija</v>
          </cell>
          <cell r="Q265" t="str">
            <v>RFIG</v>
          </cell>
        </row>
        <row r="266">
          <cell r="B266" t="str">
            <v>084009B97495</v>
          </cell>
          <cell r="D266" t="str">
            <v>Gobierno de Australia</v>
          </cell>
          <cell r="F266" t="str">
            <v>Renta Fija</v>
          </cell>
          <cell r="Q266" t="str">
            <v>RFIG</v>
          </cell>
        </row>
        <row r="267">
          <cell r="B267" t="str">
            <v>084009B49302</v>
          </cell>
          <cell r="D267" t="str">
            <v>Gobierno de Australia</v>
          </cell>
          <cell r="F267" t="str">
            <v>Renta Fija</v>
          </cell>
          <cell r="Q267" t="str">
            <v>RFIG</v>
          </cell>
        </row>
        <row r="268">
          <cell r="B268" t="str">
            <v>084009B00535</v>
          </cell>
          <cell r="D268" t="str">
            <v>Gobierno de Australia</v>
          </cell>
          <cell r="F268" t="str">
            <v>Renta Fija</v>
          </cell>
          <cell r="Q268" t="str">
            <v>RFIG</v>
          </cell>
        </row>
        <row r="269">
          <cell r="B269" t="str">
            <v>084009BLWAG2</v>
          </cell>
          <cell r="D269" t="str">
            <v>Gobierno de Australia</v>
          </cell>
          <cell r="F269" t="str">
            <v>Renta Fija</v>
          </cell>
          <cell r="Q269" t="str">
            <v>RFIG</v>
          </cell>
        </row>
        <row r="270">
          <cell r="B270" t="str">
            <v>084009B17101</v>
          </cell>
          <cell r="D270" t="str">
            <v>Gobierno de Australia</v>
          </cell>
          <cell r="F270" t="str">
            <v>Renta Fija</v>
          </cell>
          <cell r="Q270" t="str">
            <v>RFIG</v>
          </cell>
        </row>
        <row r="271">
          <cell r="B271" t="str">
            <v>084009B75681</v>
          </cell>
          <cell r="D271" t="str">
            <v>Gobierno de Australia</v>
          </cell>
          <cell r="F271" t="str">
            <v>Renta Fija</v>
          </cell>
          <cell r="Q271" t="str">
            <v>RFIG</v>
          </cell>
        </row>
        <row r="272">
          <cell r="B272" t="str">
            <v>084009B83768</v>
          </cell>
          <cell r="D272" t="str">
            <v>Gobierno de Australia</v>
          </cell>
          <cell r="F272" t="str">
            <v>Renta Fija</v>
          </cell>
          <cell r="Q272" t="str">
            <v>RFIG</v>
          </cell>
        </row>
        <row r="273">
          <cell r="B273" t="str">
            <v>08401377N837</v>
          </cell>
          <cell r="D273" t="str">
            <v>Gobierno de Canada</v>
          </cell>
          <cell r="F273" t="str">
            <v>Renta Fija</v>
          </cell>
          <cell r="Q273" t="str">
            <v>RFIG</v>
          </cell>
        </row>
        <row r="274">
          <cell r="B274" t="str">
            <v>08401377N266</v>
          </cell>
          <cell r="D274" t="str">
            <v>Gobierno de Canada</v>
          </cell>
          <cell r="F274" t="str">
            <v>Renta Fija</v>
          </cell>
          <cell r="Q274" t="str">
            <v>RFIG</v>
          </cell>
        </row>
        <row r="275">
          <cell r="B275" t="str">
            <v>5277252EG848</v>
          </cell>
          <cell r="D275" t="str">
            <v>Pimco - 25+ Zero coupon US Treasury ETF</v>
          </cell>
          <cell r="F275" t="str">
            <v>Renta Fija</v>
          </cell>
          <cell r="Q275" t="str">
            <v>RFIG</v>
          </cell>
        </row>
        <row r="276">
          <cell r="B276" t="str">
            <v>5271112E7457</v>
          </cell>
          <cell r="D276" t="str">
            <v>BlackRock - iShares - 1 - 3 Year Treasury Bond ETF</v>
          </cell>
          <cell r="F276" t="str">
            <v>Renta Fija</v>
          </cell>
          <cell r="Q276" t="str">
            <v>RFIG</v>
          </cell>
        </row>
        <row r="277">
          <cell r="B277" t="str">
            <v>5271112E7432</v>
          </cell>
          <cell r="D277" t="str">
            <v>BlackRock - iShares -20+ Year Treasury Bond ETF</v>
          </cell>
          <cell r="F277" t="str">
            <v>Renta Fija</v>
          </cell>
          <cell r="Q277" t="str">
            <v>RFIG</v>
          </cell>
        </row>
        <row r="278">
          <cell r="B278" t="str">
            <v>5271112E8661</v>
          </cell>
          <cell r="D278" t="str">
            <v>BlackRock - iShares -3 - 7 Year Treasury Bond ETF</v>
          </cell>
          <cell r="F278" t="str">
            <v>Renta Fija</v>
          </cell>
          <cell r="Q278" t="str">
            <v>RFIG</v>
          </cell>
        </row>
        <row r="279">
          <cell r="B279" t="str">
            <v>5271112E7440</v>
          </cell>
          <cell r="D279" t="str">
            <v>BlackRock - iShares -7 - 10 Year Treasury Bond ETF</v>
          </cell>
          <cell r="F279" t="str">
            <v>Renta Fija</v>
          </cell>
          <cell r="Q279" t="str">
            <v>RFIG</v>
          </cell>
        </row>
        <row r="280">
          <cell r="B280" t="str">
            <v>5271112E7176</v>
          </cell>
          <cell r="D280" t="str">
            <v>BlackRock - iShares - Tips ETF</v>
          </cell>
          <cell r="F280" t="str">
            <v>Renta Fija</v>
          </cell>
          <cell r="Q280" t="str">
            <v>RFIG</v>
          </cell>
        </row>
        <row r="281">
          <cell r="B281" t="str">
            <v>5271112E8679</v>
          </cell>
          <cell r="D281" t="str">
            <v>BlackRock - Ishares Short Treasury Bond</v>
          </cell>
          <cell r="F281" t="str">
            <v>Renta Fija</v>
          </cell>
          <cell r="Q281" t="str">
            <v>RFIG</v>
          </cell>
        </row>
        <row r="282">
          <cell r="B282" t="str">
            <v>5273932BILUS</v>
          </cell>
          <cell r="D282" t="str">
            <v>SSGA - Bloomberg Barclays 1-3 months Tbills</v>
          </cell>
          <cell r="F282" t="str">
            <v>Renta Fija</v>
          </cell>
          <cell r="Q282" t="str">
            <v>RFIG</v>
          </cell>
        </row>
        <row r="283">
          <cell r="B283" t="str">
            <v>5270172E0709</v>
          </cell>
          <cell r="D283" t="str">
            <v>Vanguard - Extended Duration Treasury ETF</v>
          </cell>
          <cell r="F283" t="str">
            <v>Renta Fija</v>
          </cell>
          <cell r="Q283" t="str">
            <v>RFIG</v>
          </cell>
        </row>
        <row r="284">
          <cell r="B284" t="str">
            <v>085905591P70</v>
          </cell>
          <cell r="D284" t="str">
            <v>Gobierno de Japon</v>
          </cell>
          <cell r="F284" t="str">
            <v>Renta Fija</v>
          </cell>
          <cell r="Q284" t="str">
            <v>RFIG</v>
          </cell>
        </row>
        <row r="285">
          <cell r="B285" t="str">
            <v>085905521PA1</v>
          </cell>
          <cell r="D285" t="str">
            <v>Gobierno de Japon</v>
          </cell>
          <cell r="F285" t="str">
            <v>Renta Fija</v>
          </cell>
          <cell r="Q285" t="str">
            <v>RFIG</v>
          </cell>
        </row>
        <row r="286">
          <cell r="B286" t="str">
            <v>085905551N57</v>
          </cell>
          <cell r="D286" t="str">
            <v>Gobierno de Japon</v>
          </cell>
          <cell r="F286" t="str">
            <v>Renta Fija</v>
          </cell>
          <cell r="Q286" t="str">
            <v>RFIG</v>
          </cell>
        </row>
        <row r="287">
          <cell r="B287" t="str">
            <v>085905541NA0</v>
          </cell>
          <cell r="D287" t="str">
            <v>Gobierno de Japon</v>
          </cell>
          <cell r="F287" t="str">
            <v>Renta Fija</v>
          </cell>
          <cell r="Q287" t="str">
            <v>RFIG</v>
          </cell>
        </row>
        <row r="288">
          <cell r="B288" t="str">
            <v>085905581NA2</v>
          </cell>
          <cell r="D288" t="str">
            <v>Gobierno de Japon</v>
          </cell>
          <cell r="F288" t="str">
            <v>Renta Fija</v>
          </cell>
          <cell r="Q288" t="str">
            <v>RFIG</v>
          </cell>
        </row>
        <row r="289">
          <cell r="B289" t="str">
            <v>0840002CJZ59</v>
          </cell>
          <cell r="D289" t="str">
            <v>Gobierno de los Estados Unidos</v>
          </cell>
          <cell r="F289" t="str">
            <v>Renta Fija</v>
          </cell>
          <cell r="Q289" t="str">
            <v>RFIG</v>
          </cell>
        </row>
        <row r="290">
          <cell r="B290" t="str">
            <v>0840002CGM73</v>
          </cell>
          <cell r="D290" t="str">
            <v>Gobierno de los Estados Unidos</v>
          </cell>
          <cell r="F290" t="str">
            <v>Renta Fija</v>
          </cell>
          <cell r="Q290" t="str">
            <v>RFIG</v>
          </cell>
        </row>
        <row r="291">
          <cell r="B291" t="str">
            <v>08400020TN81</v>
          </cell>
          <cell r="D291" t="str">
            <v>Gobierno de los Estados Unidos</v>
          </cell>
          <cell r="F291" t="str">
            <v>Renta Fija</v>
          </cell>
          <cell r="Q291" t="str">
            <v>RFIG</v>
          </cell>
        </row>
        <row r="292">
          <cell r="B292" t="str">
            <v>08400020TQ13</v>
          </cell>
          <cell r="D292" t="str">
            <v>Gobierno de los Estados Unidos</v>
          </cell>
          <cell r="F292" t="str">
            <v>Renta Fija</v>
          </cell>
          <cell r="Q292" t="str">
            <v>RFIG</v>
          </cell>
        </row>
        <row r="293">
          <cell r="B293" t="str">
            <v>0840002CNC19</v>
          </cell>
          <cell r="D293" t="str">
            <v>Gobierno de los Estados Unidos</v>
          </cell>
          <cell r="F293" t="str">
            <v>Renta Fija</v>
          </cell>
          <cell r="Q293" t="str">
            <v>RFIG</v>
          </cell>
        </row>
        <row r="294">
          <cell r="B294" t="str">
            <v>0840002CHT18</v>
          </cell>
          <cell r="D294" t="str">
            <v>Gobierno de los Estados Unidos</v>
          </cell>
          <cell r="F294" t="str">
            <v>Renta Fija</v>
          </cell>
          <cell r="Q294" t="str">
            <v>RFIG</v>
          </cell>
        </row>
        <row r="295">
          <cell r="B295" t="str">
            <v>0840002CJY84</v>
          </cell>
          <cell r="D295" t="str">
            <v>Gobierno de los Estados Unidos</v>
          </cell>
          <cell r="F295" t="str">
            <v>Renta Fija</v>
          </cell>
          <cell r="Q295" t="str">
            <v>RFIG</v>
          </cell>
        </row>
        <row r="296">
          <cell r="B296" t="str">
            <v>0840002CJJ18</v>
          </cell>
          <cell r="D296" t="str">
            <v>Gobierno de los Estados Unidos</v>
          </cell>
          <cell r="F296" t="str">
            <v>Renta Fija</v>
          </cell>
          <cell r="Q296" t="str">
            <v>RFIG</v>
          </cell>
        </row>
        <row r="297">
          <cell r="B297" t="str">
            <v>08400020TT51</v>
          </cell>
          <cell r="D297" t="str">
            <v>Gobierno de los Estados Unidos</v>
          </cell>
          <cell r="F297" t="str">
            <v>Renta Fija</v>
          </cell>
          <cell r="Q297" t="str">
            <v>RFIG</v>
          </cell>
        </row>
        <row r="298">
          <cell r="B298" t="str">
            <v>08400020TV08</v>
          </cell>
          <cell r="D298" t="str">
            <v>Gobierno de los Estados Unidos</v>
          </cell>
          <cell r="F298" t="str">
            <v>Renta Fija</v>
          </cell>
          <cell r="Q298" t="str">
            <v>RFIG</v>
          </cell>
        </row>
        <row r="299">
          <cell r="B299" t="str">
            <v>08400020TR95</v>
          </cell>
          <cell r="D299" t="str">
            <v>Gobierno de los Estados Unidos</v>
          </cell>
          <cell r="F299" t="str">
            <v>Renta Fija</v>
          </cell>
          <cell r="Q299" t="str">
            <v>RFIG</v>
          </cell>
        </row>
        <row r="300">
          <cell r="B300" t="str">
            <v>08400020TP30</v>
          </cell>
          <cell r="D300" t="str">
            <v>Gobierno de los Estados Unidos</v>
          </cell>
          <cell r="F300" t="str">
            <v>Renta Fija</v>
          </cell>
          <cell r="Q300" t="str">
            <v>RFIG</v>
          </cell>
        </row>
        <row r="301">
          <cell r="B301" t="str">
            <v>08400020TY47</v>
          </cell>
          <cell r="D301" t="str">
            <v>Gobierno de los Estados Unidos</v>
          </cell>
          <cell r="F301" t="str">
            <v>Renta Fija</v>
          </cell>
          <cell r="Q301" t="str">
            <v>RFIG</v>
          </cell>
        </row>
        <row r="302">
          <cell r="B302" t="str">
            <v>08400020UG12</v>
          </cell>
          <cell r="D302" t="str">
            <v>Gobierno de los Estados Unidos</v>
          </cell>
          <cell r="F302" t="str">
            <v>Renta Fija</v>
          </cell>
          <cell r="Q302" t="str">
            <v>RFIG</v>
          </cell>
        </row>
        <row r="303">
          <cell r="B303" t="str">
            <v>0840002CHP95</v>
          </cell>
          <cell r="D303" t="str">
            <v>Gobierno de los Estados Unidos</v>
          </cell>
          <cell r="F303" t="str">
            <v>Renta Fija</v>
          </cell>
          <cell r="Q303" t="str">
            <v>RFIG</v>
          </cell>
        </row>
        <row r="304">
          <cell r="B304" t="str">
            <v>08400020TD00</v>
          </cell>
          <cell r="D304" t="str">
            <v>Gobierno de los Estados Unidos</v>
          </cell>
          <cell r="F304" t="str">
            <v>Renta Fija</v>
          </cell>
          <cell r="Q304" t="str">
            <v>RFIG</v>
          </cell>
        </row>
        <row r="305">
          <cell r="B305" t="str">
            <v>08400020TX63</v>
          </cell>
          <cell r="D305" t="str">
            <v>Gobierno de los Estados Unidos</v>
          </cell>
          <cell r="F305" t="str">
            <v>Renta Fija</v>
          </cell>
          <cell r="Q305" t="str">
            <v>RFIG</v>
          </cell>
        </row>
        <row r="306">
          <cell r="B306" t="str">
            <v>08400020UE63</v>
          </cell>
          <cell r="D306" t="str">
            <v>Gobierno de los Estados Unidos</v>
          </cell>
          <cell r="F306" t="str">
            <v>Renta Fija</v>
          </cell>
          <cell r="Q306" t="str">
            <v>RFIG</v>
          </cell>
        </row>
        <row r="307">
          <cell r="B307" t="str">
            <v>08400020TS78</v>
          </cell>
          <cell r="D307" t="str">
            <v>Gobierno de los Estados Unidos</v>
          </cell>
          <cell r="F307" t="str">
            <v>Renta Fija</v>
          </cell>
          <cell r="Q307" t="str">
            <v>RFIG</v>
          </cell>
        </row>
        <row r="308">
          <cell r="B308" t="str">
            <v>08400020TF57</v>
          </cell>
          <cell r="D308" t="str">
            <v>Gobierno de los Estados Unidos</v>
          </cell>
          <cell r="F308" t="str">
            <v>Renta Fija</v>
          </cell>
          <cell r="Q308" t="str">
            <v>RFIG</v>
          </cell>
        </row>
        <row r="309">
          <cell r="B309" t="str">
            <v>0840002CEP23</v>
          </cell>
          <cell r="D309" t="str">
            <v>Gobierno de los Estados Unidos</v>
          </cell>
          <cell r="F309" t="str">
            <v>Renta Fija</v>
          </cell>
          <cell r="Q309" t="str">
            <v>RFIG</v>
          </cell>
        </row>
        <row r="310">
          <cell r="B310" t="str">
            <v>08400020TL26</v>
          </cell>
          <cell r="D310" t="str">
            <v>Gobierno de los Estados Unidos</v>
          </cell>
          <cell r="F310" t="str">
            <v>Renta Fija</v>
          </cell>
          <cell r="Q310" t="str">
            <v>RFIG</v>
          </cell>
        </row>
        <row r="311">
          <cell r="B311" t="str">
            <v>08400020TJ79</v>
          </cell>
          <cell r="D311" t="str">
            <v>Gobierno de los Estados Unidos</v>
          </cell>
          <cell r="F311" t="str">
            <v>Renta Fija</v>
          </cell>
          <cell r="Q311" t="str">
            <v>RFIG</v>
          </cell>
        </row>
        <row r="312">
          <cell r="B312" t="str">
            <v>08400028ZQ64</v>
          </cell>
          <cell r="D312" t="str">
            <v>Gobierno de los Estados Unidos</v>
          </cell>
          <cell r="F312" t="str">
            <v>Renta Fija</v>
          </cell>
          <cell r="Q312" t="str">
            <v>RFIG</v>
          </cell>
        </row>
        <row r="313">
          <cell r="B313" t="str">
            <v>08400020TE82</v>
          </cell>
          <cell r="D313" t="str">
            <v>Gobierno de los Estados Unidos</v>
          </cell>
          <cell r="F313" t="str">
            <v>Renta Fija</v>
          </cell>
          <cell r="Q313" t="str">
            <v>RFIG</v>
          </cell>
        </row>
        <row r="314">
          <cell r="B314" t="str">
            <v>08400020RH32</v>
          </cell>
          <cell r="D314" t="str">
            <v>Gobierno de los Estados Unidos</v>
          </cell>
          <cell r="F314" t="str">
            <v>Renta Fija</v>
          </cell>
          <cell r="Q314" t="str">
            <v>RFIG</v>
          </cell>
        </row>
        <row r="315">
          <cell r="B315" t="str">
            <v>08400020RJ97</v>
          </cell>
          <cell r="D315" t="str">
            <v>Gobierno de los Estados Unidos</v>
          </cell>
          <cell r="F315" t="str">
            <v>Renta Fija</v>
          </cell>
          <cell r="Q315" t="str">
            <v>RFIG</v>
          </cell>
        </row>
        <row r="316">
          <cell r="B316" t="str">
            <v>08400020RK60</v>
          </cell>
          <cell r="D316" t="str">
            <v>Gobierno de los Estados Unidos</v>
          </cell>
          <cell r="F316" t="str">
            <v>Renta Fija</v>
          </cell>
          <cell r="Q316" t="str">
            <v>RFIG</v>
          </cell>
        </row>
        <row r="317">
          <cell r="B317" t="str">
            <v>08400020RM27</v>
          </cell>
          <cell r="D317" t="str">
            <v>Gobierno de los Estados Unidos</v>
          </cell>
          <cell r="F317" t="str">
            <v>Renta Fija</v>
          </cell>
          <cell r="Q317" t="str">
            <v>RFIG</v>
          </cell>
        </row>
        <row r="318">
          <cell r="B318" t="str">
            <v>08400020RN00</v>
          </cell>
          <cell r="D318" t="str">
            <v>Gobierno de los Estados Unidos</v>
          </cell>
          <cell r="F318" t="str">
            <v>Renta Fija</v>
          </cell>
          <cell r="Q318" t="str">
            <v>RFIG</v>
          </cell>
        </row>
        <row r="319">
          <cell r="B319" t="str">
            <v>08400026AW97</v>
          </cell>
          <cell r="D319" t="str">
            <v>Gobierno de los Estados Unidos</v>
          </cell>
          <cell r="F319" t="str">
            <v>Renta Fija</v>
          </cell>
          <cell r="Q319" t="str">
            <v>RFIG</v>
          </cell>
        </row>
        <row r="320">
          <cell r="B320" t="str">
            <v>08400026BA68</v>
          </cell>
          <cell r="D320" t="str">
            <v>Gobierno de los Estados Unidos</v>
          </cell>
          <cell r="F320" t="str">
            <v>Renta Fija</v>
          </cell>
          <cell r="Q320" t="str">
            <v>RFIG</v>
          </cell>
        </row>
        <row r="321">
          <cell r="B321" t="str">
            <v>08400026BE80</v>
          </cell>
          <cell r="D321" t="str">
            <v>Gobierno de los Estados Unidos</v>
          </cell>
          <cell r="F321" t="str">
            <v>Renta Fija</v>
          </cell>
          <cell r="Q321" t="str">
            <v>RFIG</v>
          </cell>
        </row>
        <row r="322">
          <cell r="B322" t="str">
            <v>08400026BJ77</v>
          </cell>
          <cell r="D322" t="str">
            <v>Gobierno de los Estados Unidos</v>
          </cell>
          <cell r="F322" t="str">
            <v>Renta Fija</v>
          </cell>
          <cell r="Q322" t="str">
            <v>RFIG</v>
          </cell>
        </row>
        <row r="323">
          <cell r="B323" t="str">
            <v>08400026BT59</v>
          </cell>
          <cell r="D323" t="str">
            <v>Gobierno de los Estados Unidos</v>
          </cell>
          <cell r="F323" t="str">
            <v>Renta Fija</v>
          </cell>
          <cell r="Q323" t="str">
            <v>RFIG</v>
          </cell>
        </row>
        <row r="324">
          <cell r="B324" t="str">
            <v>08400026BU23</v>
          </cell>
          <cell r="D324" t="str">
            <v>Gobierno de los Estados Unidos</v>
          </cell>
          <cell r="F324" t="str">
            <v>Renta Fija</v>
          </cell>
          <cell r="Q324" t="str">
            <v>RFIG</v>
          </cell>
        </row>
        <row r="325">
          <cell r="B325" t="str">
            <v>08400026CA59</v>
          </cell>
          <cell r="D325" t="str">
            <v>Gobierno de los Estados Unidos</v>
          </cell>
          <cell r="F325" t="str">
            <v>Renta Fija</v>
          </cell>
          <cell r="Q325" t="str">
            <v>RFIG</v>
          </cell>
        </row>
        <row r="326">
          <cell r="B326" t="str">
            <v>08400026CG20</v>
          </cell>
          <cell r="D326" t="str">
            <v>Gobierno de los Estados Unidos</v>
          </cell>
          <cell r="F326" t="str">
            <v>Renta Fija</v>
          </cell>
          <cell r="Q326" t="str">
            <v>RFIG</v>
          </cell>
        </row>
        <row r="327">
          <cell r="B327" t="str">
            <v>08400026DR75</v>
          </cell>
          <cell r="D327" t="str">
            <v>Gobierno de los Estados Unidos</v>
          </cell>
          <cell r="F327" t="str">
            <v>Renta Fija</v>
          </cell>
          <cell r="Q327" t="str">
            <v>RFIG</v>
          </cell>
        </row>
        <row r="328">
          <cell r="B328" t="str">
            <v>08400026EG02</v>
          </cell>
          <cell r="D328" t="str">
            <v>Gobierno de los Estados Unidos</v>
          </cell>
          <cell r="F328" t="str">
            <v>Renta Fija</v>
          </cell>
          <cell r="Q328" t="str">
            <v>RFIG</v>
          </cell>
        </row>
        <row r="329">
          <cell r="B329" t="str">
            <v>08400028D564</v>
          </cell>
          <cell r="D329" t="str">
            <v>Gobierno de los Estados Unidos</v>
          </cell>
          <cell r="F329" t="str">
            <v>Renta Fija</v>
          </cell>
          <cell r="Q329" t="str">
            <v>RFIG</v>
          </cell>
        </row>
        <row r="330">
          <cell r="B330" t="str">
            <v>08400028G385</v>
          </cell>
          <cell r="D330" t="str">
            <v>Gobierno de los Estados Unidos</v>
          </cell>
          <cell r="F330" t="str">
            <v>Renta Fija</v>
          </cell>
          <cell r="Q330" t="str">
            <v>RFIG</v>
          </cell>
        </row>
        <row r="331">
          <cell r="B331" t="str">
            <v>08400028H292</v>
          </cell>
          <cell r="D331" t="str">
            <v>Gobierno de los Estados Unidos</v>
          </cell>
          <cell r="F331" t="str">
            <v>Renta Fija</v>
          </cell>
          <cell r="Q331" t="str">
            <v>RFIG</v>
          </cell>
        </row>
        <row r="332">
          <cell r="B332" t="str">
            <v>08400028J272</v>
          </cell>
          <cell r="D332" t="str">
            <v>Gobierno de los Estados Unidos</v>
          </cell>
          <cell r="F332" t="str">
            <v>Renta Fija</v>
          </cell>
          <cell r="Q332" t="str">
            <v>RFIG</v>
          </cell>
        </row>
        <row r="333">
          <cell r="B333" t="str">
            <v>08400028K742</v>
          </cell>
          <cell r="D333" t="str">
            <v>Gobierno de los Estados Unidos</v>
          </cell>
          <cell r="F333" t="str">
            <v>Renta Fija</v>
          </cell>
          <cell r="Q333" t="str">
            <v>RFIG</v>
          </cell>
        </row>
        <row r="334">
          <cell r="B334" t="str">
            <v>08400028MW79</v>
          </cell>
          <cell r="D334" t="str">
            <v>Gobierno de los Estados Unidos</v>
          </cell>
          <cell r="F334" t="str">
            <v>Renta Fija</v>
          </cell>
          <cell r="Q334" t="str">
            <v>RFIG</v>
          </cell>
        </row>
        <row r="335">
          <cell r="B335" t="str">
            <v>08400028RH57</v>
          </cell>
          <cell r="D335" t="str">
            <v>Gobierno de los Estados Unidos</v>
          </cell>
          <cell r="F335" t="str">
            <v>Renta Fija</v>
          </cell>
          <cell r="Q335" t="str">
            <v>RFIG</v>
          </cell>
        </row>
        <row r="336">
          <cell r="B336" t="str">
            <v>08400028WJ58</v>
          </cell>
          <cell r="D336" t="str">
            <v>Gobierno de los Estados Unidos</v>
          </cell>
          <cell r="F336" t="str">
            <v>Renta Fija</v>
          </cell>
          <cell r="Q336" t="str">
            <v>RFIG</v>
          </cell>
        </row>
        <row r="337">
          <cell r="B337" t="str">
            <v>08400028XB14</v>
          </cell>
          <cell r="D337" t="str">
            <v>Gobierno de los Estados Unidos</v>
          </cell>
          <cell r="F337" t="str">
            <v>Renta Fija</v>
          </cell>
          <cell r="Q337" t="str">
            <v>RFIG</v>
          </cell>
        </row>
        <row r="338">
          <cell r="B338" t="str">
            <v>08400028VA49</v>
          </cell>
          <cell r="D338" t="str">
            <v>Gobierno de los Estados Unidos</v>
          </cell>
          <cell r="F338" t="str">
            <v>Renta Fija</v>
          </cell>
          <cell r="Q338" t="str">
            <v>RFIG</v>
          </cell>
        </row>
        <row r="339">
          <cell r="B339" t="str">
            <v>084000284N73</v>
          </cell>
          <cell r="D339" t="str">
            <v>Gobierno de los Estados Unidos</v>
          </cell>
          <cell r="F339" t="str">
            <v>Renta Fija</v>
          </cell>
          <cell r="Q339" t="str">
            <v>RFIG</v>
          </cell>
        </row>
        <row r="340">
          <cell r="B340" t="str">
            <v>08400020SF66</v>
          </cell>
          <cell r="D340" t="str">
            <v>Gobierno de los Estados Unidos</v>
          </cell>
          <cell r="F340" t="str">
            <v>Renta Fija</v>
          </cell>
          <cell r="Q340" t="str">
            <v>RFIG</v>
          </cell>
        </row>
        <row r="341">
          <cell r="B341" t="str">
            <v>08400020RT79</v>
          </cell>
          <cell r="D341" t="str">
            <v>Gobierno de los Estados Unidos</v>
          </cell>
          <cell r="F341" t="str">
            <v>Renta Fija</v>
          </cell>
          <cell r="Q341" t="str">
            <v>RFIG</v>
          </cell>
        </row>
        <row r="342">
          <cell r="B342" t="str">
            <v>08400028P469</v>
          </cell>
          <cell r="D342" t="str">
            <v>Gobierno de los Estados Unidos</v>
          </cell>
          <cell r="F342" t="str">
            <v>Renta Fija</v>
          </cell>
          <cell r="Q342" t="str">
            <v>RFIG</v>
          </cell>
        </row>
        <row r="343">
          <cell r="B343" t="str">
            <v>08400028R366</v>
          </cell>
          <cell r="D343" t="str">
            <v>Gobierno de los Estados Unidos</v>
          </cell>
          <cell r="F343" t="str">
            <v>Renta Fija</v>
          </cell>
          <cell r="Q343" t="str">
            <v>RFIG</v>
          </cell>
        </row>
        <row r="344">
          <cell r="B344" t="str">
            <v>084000283W81</v>
          </cell>
          <cell r="D344" t="str">
            <v>Gobierno de los Estados Unidos</v>
          </cell>
          <cell r="F344" t="str">
            <v>Renta Fija</v>
          </cell>
          <cell r="Q344" t="str">
            <v>RFIG</v>
          </cell>
        </row>
        <row r="345">
          <cell r="B345" t="str">
            <v>08400020H789</v>
          </cell>
          <cell r="D345" t="str">
            <v>Gobierno de los Estados Unidos</v>
          </cell>
          <cell r="F345" t="str">
            <v>Renta Fija</v>
          </cell>
          <cell r="Q345" t="str">
            <v>RFIG</v>
          </cell>
        </row>
        <row r="346">
          <cell r="B346" t="str">
            <v>08400020RS96</v>
          </cell>
          <cell r="D346" t="str">
            <v>Gobierno de los Estados Unidos</v>
          </cell>
          <cell r="F346" t="str">
            <v>Renta Fija</v>
          </cell>
          <cell r="Q346" t="str">
            <v>RFIG</v>
          </cell>
        </row>
        <row r="347">
          <cell r="B347" t="str">
            <v>08400020RU43</v>
          </cell>
          <cell r="D347" t="str">
            <v>Gobierno de los Estados Unidos</v>
          </cell>
          <cell r="F347" t="str">
            <v>Renta Fija</v>
          </cell>
          <cell r="Q347" t="str">
            <v>RFIG</v>
          </cell>
        </row>
        <row r="348">
          <cell r="B348" t="str">
            <v>084000284V99</v>
          </cell>
          <cell r="D348" t="str">
            <v>Gobierno de Estados Unidos</v>
          </cell>
          <cell r="F348" t="str">
            <v>Renta Fija</v>
          </cell>
          <cell r="Q348" t="str">
            <v>RFIG</v>
          </cell>
        </row>
        <row r="349">
          <cell r="B349" t="str">
            <v>5270882F1371</v>
          </cell>
          <cell r="D349" t="str">
            <v>JP Morgan - Liquidity Fund LVNAV</v>
          </cell>
          <cell r="F349" t="str">
            <v>Renta Fija</v>
          </cell>
          <cell r="Q349" t="str">
            <v>RFIG</v>
          </cell>
        </row>
        <row r="350">
          <cell r="B350" t="str">
            <v>5274692JHR67</v>
          </cell>
          <cell r="D350" t="str">
            <v>HSBC - Global Liquidity Funds</v>
          </cell>
          <cell r="F350" t="str">
            <v>Renta Fija</v>
          </cell>
          <cell r="Q350" t="str">
            <v>RFIG</v>
          </cell>
        </row>
        <row r="351">
          <cell r="B351" t="str">
            <v>5274692JHW11</v>
          </cell>
          <cell r="D351" t="str">
            <v>HSBC - Global Liquidity Funds</v>
          </cell>
          <cell r="F351" t="str">
            <v>Renta Fija</v>
          </cell>
          <cell r="Q351" t="str">
            <v>RFIG</v>
          </cell>
        </row>
        <row r="352">
          <cell r="B352" t="str">
            <v>5211082FRFLU</v>
          </cell>
          <cell r="D352" t="str">
            <v xml:space="preserve">Larrain Vial </v>
          </cell>
          <cell r="F352" t="str">
            <v>Renta Fija</v>
          </cell>
          <cell r="Q352" t="str">
            <v>RFIG</v>
          </cell>
        </row>
        <row r="353">
          <cell r="B353" t="str">
            <v>5274812F6472</v>
          </cell>
          <cell r="D353" t="str">
            <v>Northern Trust - EM Asian Corporate Debt Fund</v>
          </cell>
          <cell r="F353" t="str">
            <v>Renta Fija</v>
          </cell>
          <cell r="Q353" t="str">
            <v>RFIG</v>
          </cell>
        </row>
        <row r="354">
          <cell r="B354" t="str">
            <v>5273662CORP1</v>
          </cell>
          <cell r="D354" t="str">
            <v>Waystone Credicorp - Latam Corps HC</v>
          </cell>
          <cell r="F354" t="str">
            <v>Renta Fija</v>
          </cell>
          <cell r="Q354" t="str">
            <v>RFIG</v>
          </cell>
        </row>
        <row r="355">
          <cell r="B355" t="str">
            <v>52MDOM2PASEL</v>
          </cell>
          <cell r="D355" t="str">
            <v>MDO - Renta Fija Latam Corps</v>
          </cell>
          <cell r="F355" t="str">
            <v>Renta Fija</v>
          </cell>
          <cell r="Q355" t="str">
            <v>RFIG</v>
          </cell>
        </row>
        <row r="356">
          <cell r="B356" t="str">
            <v>52MAIN209955</v>
          </cell>
          <cell r="D356" t="str">
            <v>Lemanik - Corp EM Debt USD</v>
          </cell>
          <cell r="F356" t="str">
            <v>Renta Fija</v>
          </cell>
          <cell r="Q356" t="str">
            <v>RFIG</v>
          </cell>
        </row>
        <row r="357">
          <cell r="B357" t="str">
            <v>5274862F2445</v>
          </cell>
          <cell r="D357" t="str">
            <v>Edmond de Rothschild - Corp EM Debt USD</v>
          </cell>
          <cell r="F357" t="str">
            <v>Renta Fija</v>
          </cell>
          <cell r="Q357" t="str">
            <v>RFIG</v>
          </cell>
        </row>
        <row r="358">
          <cell r="B358" t="str">
            <v>5275262COMP2</v>
          </cell>
          <cell r="D358" t="str">
            <v>FIGLHYI CI - Compass Latam HY</v>
          </cell>
          <cell r="F358" t="str">
            <v>Renta Fija</v>
          </cell>
          <cell r="Q358" t="str">
            <v>RFIG</v>
          </cell>
        </row>
        <row r="359">
          <cell r="B359" t="str">
            <v>5270252AB197</v>
          </cell>
          <cell r="D359" t="str">
            <v>Aberdeen - EM Corporate Bond</v>
          </cell>
          <cell r="F359" t="str">
            <v>Renta Fija</v>
          </cell>
          <cell r="Q359" t="str">
            <v>RFIG</v>
          </cell>
        </row>
        <row r="360">
          <cell r="B360" t="str">
            <v>5270272F0606</v>
          </cell>
          <cell r="D360" t="str">
            <v>Goldman Sachs - Emerging Markets Corporate Debt</v>
          </cell>
          <cell r="F360" t="str">
            <v>Renta Fija</v>
          </cell>
          <cell r="Q360" t="str">
            <v>RFIG</v>
          </cell>
        </row>
        <row r="361">
          <cell r="B361" t="str">
            <v>5270292EMCOD</v>
          </cell>
          <cell r="D361" t="str">
            <v>Investec - Emerging Markets Corporate Debt</v>
          </cell>
          <cell r="F361" t="str">
            <v>Renta Fija</v>
          </cell>
          <cell r="Q361" t="str">
            <v>RFIG</v>
          </cell>
        </row>
        <row r="362">
          <cell r="B362" t="str">
            <v>5270292F4301</v>
          </cell>
          <cell r="D362" t="str">
            <v>Investec - Latin American Corporate Debt</v>
          </cell>
          <cell r="F362" t="str">
            <v>Renta Fija</v>
          </cell>
          <cell r="Q362" t="str">
            <v>RFIG</v>
          </cell>
        </row>
        <row r="363">
          <cell r="B363" t="str">
            <v>5274742F1585</v>
          </cell>
          <cell r="D363" t="str">
            <v>LarrainVial - Corp EM Debt USD</v>
          </cell>
          <cell r="F363" t="str">
            <v>Renta Fija</v>
          </cell>
          <cell r="Q363" t="str">
            <v>RFIG</v>
          </cell>
        </row>
        <row r="364">
          <cell r="B364" t="str">
            <v>5271112E6251</v>
          </cell>
          <cell r="D364" t="str">
            <v>BlackRock - iShares JP Morgan EM Corporate Bond</v>
          </cell>
          <cell r="F364" t="str">
            <v>Renta Fija</v>
          </cell>
          <cell r="Q364" t="str">
            <v>RFIG</v>
          </cell>
        </row>
        <row r="365">
          <cell r="B365" t="str">
            <v>5270732E6TD5</v>
          </cell>
          <cell r="D365" t="str">
            <v>BlackRock - EM Corp Bond UCITS</v>
          </cell>
          <cell r="F365" t="str">
            <v>Renta Fija</v>
          </cell>
          <cell r="Q365" t="str">
            <v>RFIG</v>
          </cell>
        </row>
        <row r="366">
          <cell r="B366" t="str">
            <v>5274822F3551</v>
          </cell>
          <cell r="D366" t="str">
            <v>Moneda S.A. Administradora General de Fondos - Deuda Latam</v>
          </cell>
          <cell r="F366" t="str">
            <v>Renta Fija</v>
          </cell>
          <cell r="Q366" t="str">
            <v>RFIG</v>
          </cell>
        </row>
        <row r="367">
          <cell r="B367" t="str">
            <v>527474209955</v>
          </cell>
          <cell r="D367" t="str">
            <v>Lemanik Asset Management - Corp EM Debt USD</v>
          </cell>
          <cell r="F367" t="str">
            <v>Renta Fija</v>
          </cell>
          <cell r="Q367" t="str">
            <v>RFIG</v>
          </cell>
        </row>
        <row r="368">
          <cell r="B368" t="str">
            <v>5277012F9LZQ</v>
          </cell>
          <cell r="D368" t="str">
            <v>Moneda - Latam High Yield</v>
          </cell>
          <cell r="F368" t="str">
            <v>Renta Fija</v>
          </cell>
          <cell r="Q368" t="str">
            <v>RFIG</v>
          </cell>
        </row>
        <row r="369">
          <cell r="B369" t="str">
            <v>52CRSU2EMCHC</v>
          </cell>
          <cell r="D369" t="str">
            <v>Credit Suisse - Emerging Markets  Corporate Bonds</v>
          </cell>
          <cell r="F369" t="str">
            <v>Renta Fija</v>
          </cell>
          <cell r="Q369" t="str">
            <v>RFIG</v>
          </cell>
        </row>
        <row r="370">
          <cell r="B370" t="str">
            <v>5277192F9LZQ</v>
          </cell>
          <cell r="D370" t="str">
            <v>Moneda - Latam High Yield</v>
          </cell>
          <cell r="F370" t="str">
            <v>Renta Fija</v>
          </cell>
          <cell r="Q370" t="str">
            <v>RFIG</v>
          </cell>
        </row>
        <row r="371">
          <cell r="B371" t="str">
            <v>52MSIM2EMERG</v>
          </cell>
          <cell r="D371" t="str">
            <v>Morgan Stanley - Emerging Markets Corporate Debt Fund</v>
          </cell>
          <cell r="F371" t="str">
            <v>Renta Fija</v>
          </cell>
          <cell r="Q371" t="str">
            <v>RFIG</v>
          </cell>
        </row>
        <row r="372">
          <cell r="B372" t="str">
            <v>5273662PASEL</v>
          </cell>
          <cell r="D372" t="str">
            <v>Waystone Security - Latam Corps HC</v>
          </cell>
          <cell r="F372" t="str">
            <v>Renta Fija</v>
          </cell>
          <cell r="Q372" t="str">
            <v>RFIG</v>
          </cell>
        </row>
        <row r="373">
          <cell r="B373" t="str">
            <v>5274122FXQQ0</v>
          </cell>
          <cell r="D373" t="str">
            <v>PIMCO - Asia High Yield Bond Fund</v>
          </cell>
          <cell r="F373" t="str">
            <v>Renta Fija</v>
          </cell>
          <cell r="Q373" t="str">
            <v>RFIG</v>
          </cell>
        </row>
        <row r="374">
          <cell r="B374" t="str">
            <v>52MDOM230822</v>
          </cell>
          <cell r="D374" t="str">
            <v>MDO - Latam Corp HY</v>
          </cell>
          <cell r="F374" t="str">
            <v>Renta Fija</v>
          </cell>
          <cell r="Q374" t="str">
            <v>RFIG</v>
          </cell>
        </row>
        <row r="375">
          <cell r="B375" t="str">
            <v>5270132MECIU</v>
          </cell>
          <cell r="D375" t="str">
            <v>JP Morgan - Emerging Markets Corporate Bond Fund</v>
          </cell>
          <cell r="F375" t="str">
            <v>Renta Fija</v>
          </cell>
          <cell r="Q375" t="str">
            <v>RFIG</v>
          </cell>
        </row>
        <row r="376">
          <cell r="B376" t="str">
            <v>5270582DEUDA</v>
          </cell>
          <cell r="D376" t="str">
            <v>Moneda - Deuda Latinoamericana</v>
          </cell>
          <cell r="F376" t="str">
            <v>Renta Fija</v>
          </cell>
          <cell r="Q376" t="str">
            <v>RFIG</v>
          </cell>
        </row>
        <row r="377">
          <cell r="B377" t="str">
            <v>52SANT2LATAM</v>
          </cell>
          <cell r="D377" t="str">
            <v>Santander - Latin America Corporate Bond</v>
          </cell>
          <cell r="F377" t="str">
            <v>Renta Fija</v>
          </cell>
          <cell r="Q377" t="str">
            <v>RFIG</v>
          </cell>
        </row>
        <row r="378">
          <cell r="B378" t="str">
            <v>1251272LAD57</v>
          </cell>
          <cell r="D378" t="str">
            <v>AES Gener SA</v>
          </cell>
          <cell r="F378" t="str">
            <v>Renta Fija</v>
          </cell>
          <cell r="Q378" t="str">
            <v>RFIC</v>
          </cell>
        </row>
        <row r="379">
          <cell r="B379" t="str">
            <v>1251272LAC74</v>
          </cell>
          <cell r="D379" t="str">
            <v>AES Gener SA</v>
          </cell>
          <cell r="F379" t="str">
            <v>Renta Fija</v>
          </cell>
          <cell r="Q379" t="str">
            <v>RFIC</v>
          </cell>
        </row>
        <row r="380">
          <cell r="B380" t="str">
            <v>1259102NBK46</v>
          </cell>
          <cell r="D380" t="str">
            <v>Petrobras International</v>
          </cell>
          <cell r="F380" t="str">
            <v>Renta Fija</v>
          </cell>
          <cell r="Q380" t="str">
            <v>RFIC</v>
          </cell>
        </row>
        <row r="381">
          <cell r="B381" t="str">
            <v>59509428AP43</v>
          </cell>
          <cell r="D381" t="str">
            <v>Ecopetrol</v>
          </cell>
          <cell r="F381" t="str">
            <v>Renta Fija</v>
          </cell>
          <cell r="Q381" t="str">
            <v>RFIC</v>
          </cell>
        </row>
        <row r="382">
          <cell r="B382" t="str">
            <v>1551192KAA99</v>
          </cell>
          <cell r="D382" t="str">
            <v>Grupo Financiero Banorte</v>
          </cell>
          <cell r="F382" t="str">
            <v>Renta Fija</v>
          </cell>
          <cell r="Q382" t="str">
            <v>RFIC</v>
          </cell>
        </row>
        <row r="383">
          <cell r="B383" t="str">
            <v>1228462UAF30</v>
          </cell>
          <cell r="D383" t="str">
            <v>Fibria Overseas Finance Ltd.</v>
          </cell>
          <cell r="F383" t="str">
            <v>Renta Fija</v>
          </cell>
          <cell r="Q383" t="str">
            <v>RFIC</v>
          </cell>
        </row>
        <row r="384">
          <cell r="B384" t="str">
            <v>1228462UAE64</v>
          </cell>
          <cell r="D384" t="str">
            <v>Fibria Overseas Finance Ltd.</v>
          </cell>
          <cell r="F384" t="str">
            <v>Renta Fija</v>
          </cell>
          <cell r="Q384" t="str">
            <v>RFIC</v>
          </cell>
        </row>
        <row r="385">
          <cell r="B385" t="str">
            <v>1250242TAH68</v>
          </cell>
          <cell r="D385" t="str">
            <v>VALEBZ 6 7/8 11/21/36</v>
          </cell>
          <cell r="F385" t="str">
            <v>Renta Fija</v>
          </cell>
          <cell r="Q385" t="str">
            <v>RFIC</v>
          </cell>
        </row>
        <row r="386">
          <cell r="B386" t="str">
            <v>1551192KAB72</v>
          </cell>
          <cell r="D386" t="str">
            <v>Grupo Financiero Banorte</v>
          </cell>
          <cell r="F386" t="str">
            <v>Renta Fija</v>
          </cell>
          <cell r="Q386" t="str">
            <v>RFIC</v>
          </cell>
        </row>
        <row r="387">
          <cell r="B387" t="str">
            <v>1551192MAD04</v>
          </cell>
          <cell r="D387" t="str">
            <v>Grupo Financiero Banorte</v>
          </cell>
          <cell r="F387" t="str">
            <v>Renta Fija</v>
          </cell>
          <cell r="Q387" t="str">
            <v>RFIC</v>
          </cell>
        </row>
        <row r="388">
          <cell r="B388" t="str">
            <v>1250302CAA82</v>
          </cell>
          <cell r="D388" t="str">
            <v>Brasil Foods</v>
          </cell>
          <cell r="F388" t="str">
            <v>Renta Fija</v>
          </cell>
          <cell r="Q388" t="str">
            <v>RFIC</v>
          </cell>
        </row>
        <row r="389">
          <cell r="B389" t="str">
            <v>1250302CAD22</v>
          </cell>
          <cell r="D389" t="str">
            <v>Brasil Foods</v>
          </cell>
          <cell r="F389" t="str">
            <v>Renta Fija</v>
          </cell>
          <cell r="Q389" t="str">
            <v>RFIC</v>
          </cell>
        </row>
        <row r="390">
          <cell r="B390" t="str">
            <v>1250302TAA72</v>
          </cell>
          <cell r="D390" t="str">
            <v>Brasil Foods</v>
          </cell>
          <cell r="F390" t="str">
            <v>Renta Fija</v>
          </cell>
          <cell r="Q390" t="str">
            <v>RFIC</v>
          </cell>
        </row>
        <row r="391">
          <cell r="B391" t="str">
            <v>1250842WAQ42</v>
          </cell>
          <cell r="D391" t="str">
            <v>Petrobras International Finance Company</v>
          </cell>
          <cell r="F391" t="str">
            <v>Renta Fija</v>
          </cell>
          <cell r="Q391" t="str">
            <v>RFIC</v>
          </cell>
        </row>
        <row r="392">
          <cell r="B392" t="str">
            <v>1551192MAB48</v>
          </cell>
          <cell r="D392" t="str">
            <v>Grupo Financiero Banorte</v>
          </cell>
          <cell r="F392" t="str">
            <v>Renta Fija</v>
          </cell>
          <cell r="Q392" t="str">
            <v>RFIC</v>
          </cell>
        </row>
        <row r="393">
          <cell r="B393" t="str">
            <v>12509428AB56</v>
          </cell>
          <cell r="D393" t="str">
            <v>Ecopetrol</v>
          </cell>
          <cell r="F393" t="str">
            <v>Renta Fija</v>
          </cell>
          <cell r="Q393" t="str">
            <v>RFIC</v>
          </cell>
        </row>
        <row r="394">
          <cell r="B394" t="str">
            <v>12509428AC30</v>
          </cell>
          <cell r="D394" t="str">
            <v>Ecopetrol</v>
          </cell>
          <cell r="F394" t="str">
            <v>Renta Fija</v>
          </cell>
          <cell r="Q394" t="str">
            <v>RFIC</v>
          </cell>
        </row>
        <row r="395">
          <cell r="B395" t="str">
            <v>1552782GAA15</v>
          </cell>
          <cell r="D395" t="str">
            <v>BBVA Bancomer</v>
          </cell>
          <cell r="F395" t="str">
            <v>Renta Fija</v>
          </cell>
          <cell r="Q395" t="str">
            <v>RFIC</v>
          </cell>
        </row>
        <row r="396">
          <cell r="B396" t="str">
            <v>15527829AM84</v>
          </cell>
          <cell r="D396" t="str">
            <v>BBVA Bancomer</v>
          </cell>
          <cell r="F396" t="str">
            <v>Renta Fija</v>
          </cell>
          <cell r="Q396" t="str">
            <v>RFIC</v>
          </cell>
        </row>
        <row r="397">
          <cell r="B397" t="str">
            <v>59509428AN94</v>
          </cell>
          <cell r="D397" t="str">
            <v>Ecopetrol</v>
          </cell>
          <cell r="F397" t="str">
            <v>Renta Fija</v>
          </cell>
          <cell r="Q397" t="str">
            <v>RFIC</v>
          </cell>
        </row>
        <row r="398">
          <cell r="B398" t="str">
            <v>15527829AN67</v>
          </cell>
          <cell r="D398" t="str">
            <v>BBVA Bancomer</v>
          </cell>
          <cell r="F398" t="str">
            <v>Renta Fija</v>
          </cell>
          <cell r="Q398" t="str">
            <v>RFIC</v>
          </cell>
        </row>
        <row r="399">
          <cell r="B399" t="str">
            <v>12509428AE95</v>
          </cell>
          <cell r="D399" t="str">
            <v>Ecopetrol</v>
          </cell>
          <cell r="F399" t="str">
            <v>Renta Fija</v>
          </cell>
          <cell r="Q399" t="str">
            <v>RFIC</v>
          </cell>
        </row>
        <row r="400">
          <cell r="B400" t="str">
            <v>12509428AK55</v>
          </cell>
          <cell r="D400" t="str">
            <v>Ecopetrol</v>
          </cell>
          <cell r="F400" t="str">
            <v>Renta Fija</v>
          </cell>
          <cell r="Q400" t="str">
            <v>RFIC</v>
          </cell>
        </row>
        <row r="401">
          <cell r="B401" t="str">
            <v>12509428AL39</v>
          </cell>
          <cell r="D401" t="str">
            <v>Ecopetrol</v>
          </cell>
          <cell r="F401" t="str">
            <v>Renta Fija</v>
          </cell>
          <cell r="Q401" t="str">
            <v>RFIC</v>
          </cell>
        </row>
        <row r="402">
          <cell r="B402" t="str">
            <v>59509428AW93</v>
          </cell>
          <cell r="D402" t="str">
            <v>Ecopetrol</v>
          </cell>
          <cell r="F402" t="str">
            <v>Renta Fija</v>
          </cell>
          <cell r="Q402" t="str">
            <v>RFIC</v>
          </cell>
        </row>
        <row r="403">
          <cell r="B403" t="str">
            <v>1250942PAA95</v>
          </cell>
          <cell r="D403" t="str">
            <v>Ecopetrol</v>
          </cell>
          <cell r="F403" t="str">
            <v>Renta Fija</v>
          </cell>
          <cell r="Q403" t="str">
            <v>RFIC</v>
          </cell>
        </row>
        <row r="404">
          <cell r="B404" t="str">
            <v>1250942USP43</v>
          </cell>
          <cell r="D404" t="str">
            <v>Ecopetrol</v>
          </cell>
          <cell r="F404" t="str">
            <v>Renta Fija</v>
          </cell>
          <cell r="Q404" t="str">
            <v>RFIC</v>
          </cell>
        </row>
        <row r="405">
          <cell r="B405" t="str">
            <v>1250942USQ26</v>
          </cell>
          <cell r="D405" t="str">
            <v>Ecopetrol</v>
          </cell>
          <cell r="F405" t="str">
            <v>Renta Fija</v>
          </cell>
          <cell r="Q405" t="str">
            <v>RFIC</v>
          </cell>
        </row>
        <row r="406">
          <cell r="B406" t="str">
            <v>12509921AA41</v>
          </cell>
          <cell r="D406" t="str">
            <v>Cosan S.A. Industria y Comercio</v>
          </cell>
          <cell r="F406" t="str">
            <v>Renta Fija</v>
          </cell>
          <cell r="Q406" t="str">
            <v>RFIC</v>
          </cell>
        </row>
        <row r="407">
          <cell r="B407" t="str">
            <v>12518120EAG5</v>
          </cell>
          <cell r="D407" t="str">
            <v>Constructora Norberto Odebretch S.A.</v>
          </cell>
          <cell r="F407" t="str">
            <v>Renta Fija</v>
          </cell>
          <cell r="Q407" t="str">
            <v>RFIC</v>
          </cell>
        </row>
        <row r="408">
          <cell r="B408" t="str">
            <v>12521725SUNA</v>
          </cell>
          <cell r="D408" t="str">
            <v>SCCO 6 3/8 07/27/15</v>
          </cell>
          <cell r="F408" t="str">
            <v>Renta Fija</v>
          </cell>
          <cell r="Q408" t="str">
            <v>RFIC</v>
          </cell>
        </row>
        <row r="409">
          <cell r="B409" t="str">
            <v>1552782BAB48</v>
          </cell>
          <cell r="D409" t="str">
            <v>BBVA Bancomer</v>
          </cell>
          <cell r="F409" t="str">
            <v>Renta Fija</v>
          </cell>
          <cell r="Q409" t="str">
            <v>RFIC</v>
          </cell>
        </row>
        <row r="410">
          <cell r="B410" t="str">
            <v>1552782BAA64</v>
          </cell>
          <cell r="D410" t="str">
            <v>BBVA Bancomer</v>
          </cell>
          <cell r="F410" t="str">
            <v>Renta Fija</v>
          </cell>
          <cell r="Q410" t="str">
            <v>RFIC</v>
          </cell>
        </row>
        <row r="411">
          <cell r="B411" t="str">
            <v>12525628AB42</v>
          </cell>
          <cell r="D411" t="str">
            <v>Pacific Rubiales Corp.</v>
          </cell>
          <cell r="F411" t="str">
            <v>Renta Fija</v>
          </cell>
          <cell r="Q411" t="str">
            <v>RFIC</v>
          </cell>
        </row>
        <row r="412">
          <cell r="B412" t="str">
            <v>12525628AC25</v>
          </cell>
          <cell r="D412" t="str">
            <v>Pacific Rubiales Corp.</v>
          </cell>
          <cell r="F412" t="str">
            <v>Renta Fija</v>
          </cell>
          <cell r="Q412" t="str">
            <v>RFIC</v>
          </cell>
        </row>
        <row r="413">
          <cell r="B413" t="str">
            <v>12525628AD08</v>
          </cell>
          <cell r="D413" t="str">
            <v>Pacific Rubiales Corp.</v>
          </cell>
          <cell r="F413" t="str">
            <v>Renta Fija</v>
          </cell>
          <cell r="Q413" t="str">
            <v>RFIC</v>
          </cell>
        </row>
        <row r="414">
          <cell r="B414" t="str">
            <v>1252802VAA82</v>
          </cell>
          <cell r="D414" t="str">
            <v>Inkia Energy Limited</v>
          </cell>
          <cell r="F414" t="str">
            <v>Renta Fija</v>
          </cell>
          <cell r="Q414" t="str">
            <v>RFIC</v>
          </cell>
        </row>
        <row r="415">
          <cell r="B415" t="str">
            <v>12529728AA10</v>
          </cell>
          <cell r="D415" t="str">
            <v>TAM Líneas Aéreas S.A.</v>
          </cell>
          <cell r="F415" t="str">
            <v>Renta Fija</v>
          </cell>
          <cell r="Q415" t="str">
            <v>RFIC</v>
          </cell>
        </row>
        <row r="416">
          <cell r="B416" t="str">
            <v>12535926AA73</v>
          </cell>
          <cell r="D416" t="str">
            <v>Grupo Embotellador Atic, S.L.</v>
          </cell>
          <cell r="F416" t="str">
            <v>Renta Fija</v>
          </cell>
          <cell r="Q416" t="str">
            <v>RFIC</v>
          </cell>
        </row>
        <row r="417">
          <cell r="B417" t="str">
            <v>12537028AA04</v>
          </cell>
          <cell r="D417" t="str">
            <v>Colombia Telecomunicaciones</v>
          </cell>
          <cell r="F417" t="str">
            <v>Renta Fija</v>
          </cell>
          <cell r="Q417" t="str">
            <v>RFIC</v>
          </cell>
        </row>
        <row r="418">
          <cell r="B418" t="str">
            <v>1253762AAF05</v>
          </cell>
          <cell r="D418" t="str">
            <v>Hypermarcas</v>
          </cell>
          <cell r="F418" t="str">
            <v>Renta Fija</v>
          </cell>
          <cell r="Q418" t="str">
            <v>RFIC</v>
          </cell>
        </row>
        <row r="419">
          <cell r="B419" t="str">
            <v>1254212AAA53</v>
          </cell>
          <cell r="D419" t="str">
            <v>Alsea S.A</v>
          </cell>
          <cell r="F419" t="str">
            <v>Renta Fija</v>
          </cell>
          <cell r="Q419" t="str">
            <v>RFIC</v>
          </cell>
        </row>
        <row r="420">
          <cell r="B420" t="str">
            <v>12582329AA30</v>
          </cell>
          <cell r="D420" t="str">
            <v>Elementia SAB de CV</v>
          </cell>
          <cell r="F420" t="str">
            <v>Renta Fija</v>
          </cell>
          <cell r="Q420" t="str">
            <v>RFIC</v>
          </cell>
        </row>
        <row r="421">
          <cell r="B421" t="str">
            <v>1258232LAA63</v>
          </cell>
          <cell r="D421" t="str">
            <v>Elementia SAB de CV</v>
          </cell>
          <cell r="F421" t="str">
            <v>Renta Fija</v>
          </cell>
          <cell r="Q421" t="str">
            <v>RFIC</v>
          </cell>
        </row>
        <row r="422">
          <cell r="B422" t="str">
            <v>1550162MAH51</v>
          </cell>
          <cell r="D422" t="str">
            <v>Itau</v>
          </cell>
          <cell r="F422" t="str">
            <v>Renta Fija</v>
          </cell>
          <cell r="Q422" t="str">
            <v>RFIC</v>
          </cell>
        </row>
        <row r="423">
          <cell r="B423" t="str">
            <v>1550162MAJ18</v>
          </cell>
          <cell r="D423" t="str">
            <v>Itau</v>
          </cell>
          <cell r="F423" t="str">
            <v>Renta Fija</v>
          </cell>
          <cell r="Q423" t="str">
            <v>RFIC</v>
          </cell>
        </row>
        <row r="424">
          <cell r="B424" t="str">
            <v>15502322DN01</v>
          </cell>
          <cell r="D424" t="str">
            <v>Banco do Brasil</v>
          </cell>
          <cell r="F424" t="str">
            <v>Renta Fija</v>
          </cell>
          <cell r="Q424" t="str">
            <v>RFIC</v>
          </cell>
        </row>
        <row r="425">
          <cell r="B425" t="str">
            <v>1550232WAA01</v>
          </cell>
          <cell r="D425" t="str">
            <v>Banco do Brasil</v>
          </cell>
          <cell r="F425" t="str">
            <v>Renta Fija</v>
          </cell>
          <cell r="Q425" t="str">
            <v>RFIC</v>
          </cell>
        </row>
        <row r="426">
          <cell r="B426" t="str">
            <v>1550232WAC66</v>
          </cell>
          <cell r="D426" t="str">
            <v>Banco do Brasil</v>
          </cell>
          <cell r="F426" t="str">
            <v>Renta Fija</v>
          </cell>
          <cell r="Q426" t="str">
            <v>RFIC</v>
          </cell>
        </row>
        <row r="427">
          <cell r="B427" t="str">
            <v>15511928AE91</v>
          </cell>
          <cell r="D427" t="str">
            <v>Grupo Financiero Banorte</v>
          </cell>
          <cell r="F427" t="str">
            <v>Renta Fija</v>
          </cell>
          <cell r="Q427" t="str">
            <v>RFIC</v>
          </cell>
        </row>
        <row r="428">
          <cell r="B428" t="str">
            <v>1551112LAL62</v>
          </cell>
          <cell r="D428" t="str">
            <v>Banco de Colombia</v>
          </cell>
          <cell r="F428" t="str">
            <v>Renta Fija</v>
          </cell>
          <cell r="Q428" t="str">
            <v>RFIC</v>
          </cell>
        </row>
        <row r="429">
          <cell r="B429" t="str">
            <v>1551112LAN29</v>
          </cell>
          <cell r="D429" t="str">
            <v>Banco de Colombia</v>
          </cell>
          <cell r="F429" t="str">
            <v>Renta Fija</v>
          </cell>
          <cell r="Q429" t="str">
            <v>RFIC</v>
          </cell>
        </row>
        <row r="430">
          <cell r="B430" t="str">
            <v>1551192MAA64</v>
          </cell>
          <cell r="D430" t="str">
            <v>Grupo Financiero Banorte</v>
          </cell>
          <cell r="F430" t="str">
            <v>Renta Fija</v>
          </cell>
          <cell r="Q430" t="str">
            <v>RFIC</v>
          </cell>
        </row>
        <row r="431">
          <cell r="B431" t="str">
            <v>15511928AD19</v>
          </cell>
          <cell r="D431" t="str">
            <v>Grupo Financiero Banorte</v>
          </cell>
          <cell r="F431" t="str">
            <v>Renta Fija</v>
          </cell>
          <cell r="Q431" t="str">
            <v>RFIC</v>
          </cell>
        </row>
        <row r="432">
          <cell r="B432" t="str">
            <v>1551112LAK89</v>
          </cell>
          <cell r="D432" t="str">
            <v>Banco de Colombia</v>
          </cell>
          <cell r="F432" t="str">
            <v>Renta Fija</v>
          </cell>
          <cell r="Q432" t="str">
            <v>RFIC</v>
          </cell>
        </row>
        <row r="433">
          <cell r="B433" t="str">
            <v>12502526AH53</v>
          </cell>
          <cell r="D433" t="str">
            <v>Braskem</v>
          </cell>
          <cell r="F433" t="str">
            <v>Renta Fija</v>
          </cell>
          <cell r="Q433" t="str">
            <v>RFIC</v>
          </cell>
        </row>
        <row r="434">
          <cell r="B434" t="str">
            <v>1551112US059</v>
          </cell>
          <cell r="D434" t="str">
            <v>Banco de Colombia</v>
          </cell>
          <cell r="F434" t="str">
            <v>Renta Fija</v>
          </cell>
          <cell r="Q434" t="str">
            <v>RFIC</v>
          </cell>
        </row>
        <row r="435">
          <cell r="B435" t="str">
            <v>15511128LAA0</v>
          </cell>
          <cell r="D435" t="str">
            <v>Banco de Colombia</v>
          </cell>
          <cell r="F435" t="str">
            <v>Renta Fija</v>
          </cell>
          <cell r="Q435" t="str">
            <v>RFIC</v>
          </cell>
        </row>
        <row r="436">
          <cell r="B436" t="str">
            <v>15511128LAH50</v>
          </cell>
          <cell r="D436" t="str">
            <v>Banco de Colombia</v>
          </cell>
          <cell r="F436" t="str">
            <v>Renta Fija</v>
          </cell>
          <cell r="Q436" t="str">
            <v>RFIC</v>
          </cell>
        </row>
        <row r="437">
          <cell r="B437" t="str">
            <v>59509428AJ82</v>
          </cell>
          <cell r="D437" t="str">
            <v>Ecopetrol</v>
          </cell>
          <cell r="F437" t="str">
            <v>Renta Fija</v>
          </cell>
          <cell r="Q437" t="str">
            <v>RFIC</v>
          </cell>
        </row>
        <row r="438">
          <cell r="B438" t="str">
            <v>59509428AQ26</v>
          </cell>
          <cell r="D438" t="str">
            <v>Ecopetrol</v>
          </cell>
          <cell r="F438" t="str">
            <v>Renta Fija</v>
          </cell>
          <cell r="Q438" t="str">
            <v>RFIC</v>
          </cell>
        </row>
        <row r="439">
          <cell r="B439" t="str">
            <v>15511128LAG77</v>
          </cell>
          <cell r="D439" t="str">
            <v>Banco de Colombia</v>
          </cell>
          <cell r="F439" t="str">
            <v>Renta Fija</v>
          </cell>
          <cell r="Q439" t="str">
            <v>RFIC</v>
          </cell>
        </row>
        <row r="440">
          <cell r="B440" t="str">
            <v>15527829AJ55</v>
          </cell>
          <cell r="D440" t="str">
            <v>BBVA Bancomer</v>
          </cell>
          <cell r="F440" t="str">
            <v>Renta Fija</v>
          </cell>
          <cell r="Q440" t="str">
            <v>RFIC</v>
          </cell>
        </row>
        <row r="441">
          <cell r="B441" t="str">
            <v>59509428AE95</v>
          </cell>
          <cell r="D441" t="str">
            <v>Ecopetrol</v>
          </cell>
          <cell r="F441" t="str">
            <v>Renta Fija</v>
          </cell>
          <cell r="Q441" t="str">
            <v>RFIC</v>
          </cell>
        </row>
        <row r="442">
          <cell r="B442" t="str">
            <v>59509428AS81</v>
          </cell>
          <cell r="D442" t="str">
            <v>Ecopetrol</v>
          </cell>
          <cell r="F442" t="str">
            <v>Renta Fija</v>
          </cell>
          <cell r="Q442" t="str">
            <v>RFIC</v>
          </cell>
        </row>
        <row r="443">
          <cell r="B443" t="str">
            <v>59509428AV11</v>
          </cell>
          <cell r="D443" t="str">
            <v>Ecopetrol</v>
          </cell>
          <cell r="F443" t="str">
            <v>Renta Fija</v>
          </cell>
          <cell r="Q443" t="str">
            <v>RFIC</v>
          </cell>
        </row>
        <row r="444">
          <cell r="B444" t="str">
            <v>15527829AA47</v>
          </cell>
          <cell r="D444" t="str">
            <v>BBVA Bancomer</v>
          </cell>
          <cell r="F444" t="str">
            <v>Renta Fija</v>
          </cell>
          <cell r="Q444" t="str">
            <v>RFIC</v>
          </cell>
        </row>
        <row r="445">
          <cell r="B445" t="str">
            <v>15527829AH99</v>
          </cell>
          <cell r="D445" t="str">
            <v>BBVA Bancomer</v>
          </cell>
          <cell r="F445" t="str">
            <v>Renta Fija</v>
          </cell>
          <cell r="Q445" t="str">
            <v>RFIC</v>
          </cell>
        </row>
        <row r="446">
          <cell r="B446" t="str">
            <v>12509428AT64</v>
          </cell>
          <cell r="D446" t="str">
            <v>Ecopetrol</v>
          </cell>
          <cell r="F446" t="str">
            <v>Renta Fija</v>
          </cell>
          <cell r="Q446" t="str">
            <v>RFIC</v>
          </cell>
        </row>
        <row r="447">
          <cell r="B447" t="str">
            <v>15528725AC15</v>
          </cell>
          <cell r="D447" t="str">
            <v>Grupo Aval Acciones y Valores</v>
          </cell>
          <cell r="F447" t="str">
            <v>Renta Fija</v>
          </cell>
          <cell r="Q447" t="str">
            <v>RFIC</v>
          </cell>
        </row>
        <row r="448">
          <cell r="B448" t="str">
            <v>15528725AA58</v>
          </cell>
          <cell r="D448" t="str">
            <v>Grupo Aval Acciones y Valores</v>
          </cell>
          <cell r="F448" t="str">
            <v>Renta Fija</v>
          </cell>
          <cell r="Q448" t="str">
            <v>RFIC</v>
          </cell>
        </row>
        <row r="449">
          <cell r="B449" t="str">
            <v>15528725AB32</v>
          </cell>
          <cell r="D449" t="str">
            <v>Grupo Aval Acciones y Valores</v>
          </cell>
          <cell r="F449" t="str">
            <v>Renta Fija</v>
          </cell>
          <cell r="Q449" t="str">
            <v>RFIC</v>
          </cell>
        </row>
        <row r="450">
          <cell r="B450" t="str">
            <v>15529926AB25</v>
          </cell>
          <cell r="D450" t="str">
            <v>GRUPOS 5 1/2 04/29/2026</v>
          </cell>
          <cell r="F450" t="str">
            <v>Renta Fija</v>
          </cell>
          <cell r="Q450" t="str">
            <v>RFIC</v>
          </cell>
        </row>
        <row r="451">
          <cell r="B451" t="str">
            <v>15532427PD99</v>
          </cell>
          <cell r="D451" t="str">
            <v>Banco Davivienda S.A.</v>
          </cell>
          <cell r="F451" t="str">
            <v>Renta Fija</v>
          </cell>
          <cell r="Q451" t="str">
            <v>RFIC</v>
          </cell>
        </row>
        <row r="452">
          <cell r="B452" t="str">
            <v>1553242ZAX44</v>
          </cell>
          <cell r="D452" t="str">
            <v>Banco Davivienda S.A.</v>
          </cell>
          <cell r="F452" t="str">
            <v>Renta Fija</v>
          </cell>
          <cell r="Q452" t="str">
            <v>RFIC</v>
          </cell>
        </row>
        <row r="453">
          <cell r="B453" t="str">
            <v>15532622AB63</v>
          </cell>
          <cell r="D453" t="str">
            <v>Banco de Bogotá</v>
          </cell>
          <cell r="F453" t="str">
            <v>Renta Fija</v>
          </cell>
          <cell r="Q453" t="str">
            <v>RFIC</v>
          </cell>
        </row>
        <row r="454">
          <cell r="B454" t="str">
            <v>15532622AC47</v>
          </cell>
          <cell r="D454" t="str">
            <v>Banco de Bogotá</v>
          </cell>
          <cell r="F454" t="str">
            <v>Renta Fija</v>
          </cell>
          <cell r="Q454" t="str">
            <v>RFIC</v>
          </cell>
        </row>
        <row r="455">
          <cell r="B455" t="str">
            <v>15537120AD31</v>
          </cell>
          <cell r="D455" t="str">
            <v>Banco BTG Pactual S.A.</v>
          </cell>
          <cell r="F455" t="str">
            <v>Renta Fija</v>
          </cell>
          <cell r="Q455" t="str">
            <v>RFIC</v>
          </cell>
        </row>
        <row r="456">
          <cell r="B456" t="str">
            <v>1253042VAB95</v>
          </cell>
          <cell r="D456" t="str">
            <v>Grupo Energia Bogota</v>
          </cell>
          <cell r="F456" t="str">
            <v>Renta Fija</v>
          </cell>
          <cell r="Q456" t="str">
            <v>RFIC</v>
          </cell>
        </row>
        <row r="457">
          <cell r="B457" t="str">
            <v>5953042VAC78</v>
          </cell>
          <cell r="D457" t="str">
            <v>Grupo Energia Bogota</v>
          </cell>
          <cell r="F457" t="str">
            <v>Renta Fija</v>
          </cell>
          <cell r="Q457" t="str">
            <v>RFIC</v>
          </cell>
        </row>
        <row r="458">
          <cell r="B458" t="str">
            <v>15539325AD54</v>
          </cell>
          <cell r="D458" t="str">
            <v>Corp Group Banking S.A.</v>
          </cell>
          <cell r="F458" t="str">
            <v>Renta Fija</v>
          </cell>
          <cell r="Q458" t="str">
            <v>RFIC</v>
          </cell>
        </row>
        <row r="459">
          <cell r="B459" t="str">
            <v>1558212TAN92</v>
          </cell>
          <cell r="D459" t="str">
            <v>Banco Santander México</v>
          </cell>
          <cell r="F459" t="str">
            <v>Renta Fija</v>
          </cell>
          <cell r="Q459" t="str">
            <v>RFIC</v>
          </cell>
        </row>
        <row r="460">
          <cell r="B460" t="str">
            <v>1703042VAA82</v>
          </cell>
          <cell r="D460" t="str">
            <v>Inkia Energy Limited</v>
          </cell>
          <cell r="F460" t="str">
            <v>Renta Fija</v>
          </cell>
          <cell r="Q460" t="str">
            <v>RFIC</v>
          </cell>
        </row>
        <row r="461">
          <cell r="B461" t="str">
            <v>1703042VAB65</v>
          </cell>
          <cell r="D461" t="str">
            <v>Inkia Energy Limited</v>
          </cell>
          <cell r="F461" t="str">
            <v>Renta Fija</v>
          </cell>
          <cell r="Q461" t="str">
            <v>RFIC</v>
          </cell>
        </row>
        <row r="462">
          <cell r="B462" t="str">
            <v>5951322RBA43</v>
          </cell>
          <cell r="D462" t="str">
            <v>Empresas Públicas Medellin</v>
          </cell>
          <cell r="F462" t="str">
            <v>Renta Fija</v>
          </cell>
          <cell r="Q462" t="str">
            <v>RFIC</v>
          </cell>
        </row>
        <row r="463">
          <cell r="B463" t="str">
            <v>5755442JAA19</v>
          </cell>
          <cell r="D463" t="str">
            <v>Lan Airlines</v>
          </cell>
          <cell r="F463" t="str">
            <v>Renta Fija</v>
          </cell>
          <cell r="Q463" t="str">
            <v>RFIC</v>
          </cell>
        </row>
        <row r="464">
          <cell r="B464" t="str">
            <v>5951322RBC09</v>
          </cell>
          <cell r="D464" t="str">
            <v>Empresas Públicas Medellin</v>
          </cell>
          <cell r="F464" t="str">
            <v>Renta Fija</v>
          </cell>
          <cell r="Q464" t="str">
            <v>RFIC</v>
          </cell>
        </row>
        <row r="465">
          <cell r="B465" t="str">
            <v>1252802VAC49</v>
          </cell>
          <cell r="D465" t="str">
            <v>Inkia Energy Limited</v>
          </cell>
          <cell r="F465" t="str">
            <v>Renta Fija</v>
          </cell>
          <cell r="Q465" t="str">
            <v>RFIC</v>
          </cell>
        </row>
        <row r="466">
          <cell r="B466" t="str">
            <v>5951322EPM29</v>
          </cell>
          <cell r="D466" t="str">
            <v>Empresas Públicas Medellin</v>
          </cell>
          <cell r="F466" t="str">
            <v>Renta Fija</v>
          </cell>
          <cell r="Q466" t="str">
            <v>RFIC</v>
          </cell>
        </row>
        <row r="467">
          <cell r="B467" t="str">
            <v>15532622AK62</v>
          </cell>
          <cell r="D467" t="str">
            <v>Banco de Bogotá</v>
          </cell>
          <cell r="F467" t="str">
            <v>Renta Fija</v>
          </cell>
          <cell r="Q467" t="str">
            <v>RFIC</v>
          </cell>
        </row>
        <row r="468">
          <cell r="B468" t="str">
            <v>1553782SAG23</v>
          </cell>
          <cell r="D468" t="str">
            <v>Banco Santander México</v>
          </cell>
          <cell r="F468" t="str">
            <v>Renta Fija</v>
          </cell>
          <cell r="Q468" t="str">
            <v>RFIC</v>
          </cell>
        </row>
        <row r="469">
          <cell r="B469" t="str">
            <v>1553782SAD91</v>
          </cell>
          <cell r="D469" t="str">
            <v>Banco Santander México</v>
          </cell>
          <cell r="F469" t="str">
            <v>Renta Fija</v>
          </cell>
          <cell r="Q469" t="str">
            <v>RFIC</v>
          </cell>
        </row>
        <row r="470">
          <cell r="B470" t="str">
            <v>1250302CAE05</v>
          </cell>
          <cell r="D470" t="str">
            <v>Brasil Foods</v>
          </cell>
          <cell r="F470" t="str">
            <v>Renta Fija</v>
          </cell>
          <cell r="Q470" t="str">
            <v>RFIC</v>
          </cell>
        </row>
        <row r="471">
          <cell r="B471" t="str">
            <v>15532622AM29</v>
          </cell>
          <cell r="D471" t="str">
            <v>Banco de Bogotá</v>
          </cell>
          <cell r="F471" t="str">
            <v>Renta Fija</v>
          </cell>
          <cell r="Q471" t="str">
            <v>RFIC</v>
          </cell>
        </row>
        <row r="472">
          <cell r="B472" t="str">
            <v>2B59412EAA48</v>
          </cell>
          <cell r="D472" t="str">
            <v>ATP Tower Holdings</v>
          </cell>
          <cell r="F472" t="str">
            <v>Renta Fija</v>
          </cell>
          <cell r="Q472" t="str">
            <v>RFIC</v>
          </cell>
        </row>
        <row r="473">
          <cell r="B473" t="str">
            <v>1250742LAA81</v>
          </cell>
          <cell r="D473" t="str">
            <v>SACI Falabella</v>
          </cell>
          <cell r="F473" t="str">
            <v>Renta Fija</v>
          </cell>
          <cell r="Q473" t="str">
            <v>RFIC</v>
          </cell>
        </row>
        <row r="474">
          <cell r="B474" t="str">
            <v>12535622BA92</v>
          </cell>
          <cell r="D474" t="str">
            <v>Inversiones CMPC</v>
          </cell>
          <cell r="F474" t="str">
            <v>Renta Fija</v>
          </cell>
          <cell r="Q474" t="str">
            <v>RFIC</v>
          </cell>
        </row>
        <row r="475">
          <cell r="B475" t="str">
            <v>1250922BAB39</v>
          </cell>
          <cell r="D475" t="str">
            <v>Antofagasta Plc</v>
          </cell>
          <cell r="F475" t="str">
            <v>Renta Fija</v>
          </cell>
          <cell r="Q475" t="str">
            <v>RFIC</v>
          </cell>
        </row>
        <row r="476">
          <cell r="B476" t="str">
            <v>1250242TAM53</v>
          </cell>
          <cell r="D476" t="str">
            <v>SCCO 6 3/8 07/27/15</v>
          </cell>
          <cell r="F476" t="str">
            <v>Renta Fija</v>
          </cell>
          <cell r="Q476" t="str">
            <v>RFIC</v>
          </cell>
        </row>
        <row r="477">
          <cell r="B477" t="str">
            <v>1253042VAA13</v>
          </cell>
          <cell r="D477" t="str">
            <v>GRUPO ENERGIA BOGOTA</v>
          </cell>
          <cell r="F477" t="str">
            <v>Renta Fija</v>
          </cell>
          <cell r="Q477" t="str">
            <v>RFIC</v>
          </cell>
        </row>
        <row r="478">
          <cell r="B478" t="str">
            <v>1250342JAE03</v>
          </cell>
          <cell r="D478" t="str">
            <v>Cencosud</v>
          </cell>
          <cell r="F478" t="str">
            <v>Renta Fija</v>
          </cell>
          <cell r="Q478" t="str">
            <v>RFIC</v>
          </cell>
        </row>
        <row r="479">
          <cell r="B479" t="str">
            <v>1250342JAH34</v>
          </cell>
          <cell r="D479" t="str">
            <v>Cencosud</v>
          </cell>
          <cell r="F479" t="str">
            <v>Renta Fija</v>
          </cell>
          <cell r="Q479" t="str">
            <v>RFIC</v>
          </cell>
        </row>
        <row r="480">
          <cell r="B480" t="str">
            <v>1250342JAK62</v>
          </cell>
          <cell r="D480" t="str">
            <v>Cencosud</v>
          </cell>
          <cell r="F480" t="str">
            <v>Renta Fija</v>
          </cell>
          <cell r="Q480" t="str">
            <v>RFIC</v>
          </cell>
        </row>
        <row r="481">
          <cell r="B481" t="str">
            <v>1250342JAQ33</v>
          </cell>
          <cell r="D481" t="str">
            <v>Cencosud</v>
          </cell>
          <cell r="F481" t="str">
            <v>Renta Fija</v>
          </cell>
          <cell r="Q481" t="str">
            <v>RFIC</v>
          </cell>
        </row>
        <row r="482">
          <cell r="B482" t="str">
            <v>12503724WAP0</v>
          </cell>
          <cell r="D482" t="str">
            <v xml:space="preserve">America Movil </v>
          </cell>
          <cell r="F482" t="str">
            <v>Renta Fija</v>
          </cell>
          <cell r="Q482" t="str">
            <v>RFIC</v>
          </cell>
        </row>
        <row r="483">
          <cell r="B483" t="str">
            <v>59529429CR77</v>
          </cell>
          <cell r="D483" t="str">
            <v>Comisión Federal de Electricidad</v>
          </cell>
          <cell r="F483" t="str">
            <v>Renta Fija</v>
          </cell>
          <cell r="Q483" t="str">
            <v>RFIC</v>
          </cell>
        </row>
        <row r="484">
          <cell r="B484" t="str">
            <v>59529429BR86</v>
          </cell>
          <cell r="D484" t="str">
            <v>Comisión Federal de Electricidad</v>
          </cell>
          <cell r="F484" t="str">
            <v>Renta Fija</v>
          </cell>
          <cell r="Q484" t="str">
            <v>RFIC</v>
          </cell>
        </row>
        <row r="485">
          <cell r="B485" t="str">
            <v>12507420AA81</v>
          </cell>
          <cell r="D485" t="str">
            <v>SACI Falabella</v>
          </cell>
          <cell r="F485" t="str">
            <v>Renta Fija</v>
          </cell>
          <cell r="Q485" t="str">
            <v>RFIC</v>
          </cell>
        </row>
        <row r="486">
          <cell r="B486" t="str">
            <v>12507420AG51</v>
          </cell>
          <cell r="D486" t="str">
            <v>SACI Falabella</v>
          </cell>
          <cell r="F486" t="str">
            <v>Renta Fija</v>
          </cell>
          <cell r="Q486" t="str">
            <v>RFIC</v>
          </cell>
        </row>
        <row r="487">
          <cell r="B487" t="str">
            <v>12507420AR17</v>
          </cell>
          <cell r="D487" t="str">
            <v>SACI Falabella</v>
          </cell>
          <cell r="F487" t="str">
            <v>Renta Fija</v>
          </cell>
          <cell r="Q487" t="str">
            <v>RFIC</v>
          </cell>
        </row>
        <row r="488">
          <cell r="B488" t="str">
            <v>1250822JAE58</v>
          </cell>
          <cell r="D488" t="str">
            <v>GGBRBZ 7 1/4 10/20/17</v>
          </cell>
          <cell r="F488" t="str">
            <v>Renta Fija</v>
          </cell>
          <cell r="Q488" t="str">
            <v>RFIC</v>
          </cell>
        </row>
        <row r="489">
          <cell r="B489" t="str">
            <v>1251202HAL70</v>
          </cell>
          <cell r="D489" t="str">
            <v>Telemar</v>
          </cell>
          <cell r="F489" t="str">
            <v>Renta Fija</v>
          </cell>
          <cell r="Q489" t="str">
            <v>RFIC</v>
          </cell>
        </row>
        <row r="490">
          <cell r="B490" t="str">
            <v>12512927AS04</v>
          </cell>
          <cell r="D490" t="str">
            <v>Banco Santander México</v>
          </cell>
          <cell r="F490" t="str">
            <v>Renta Fija</v>
          </cell>
          <cell r="Q490" t="str">
            <v>RFIC</v>
          </cell>
        </row>
        <row r="491">
          <cell r="B491" t="str">
            <v>1251812EAK67</v>
          </cell>
          <cell r="D491" t="str">
            <v>Constructora Norberto Odebretch S.A.</v>
          </cell>
          <cell r="F491" t="str">
            <v>Renta Fija</v>
          </cell>
          <cell r="Q491" t="str">
            <v>RFIC</v>
          </cell>
        </row>
        <row r="492">
          <cell r="B492" t="str">
            <v>1251812EAL41</v>
          </cell>
          <cell r="D492" t="str">
            <v>Constructora Norberto Odebretch S.A.</v>
          </cell>
          <cell r="F492" t="str">
            <v>Renta Fija</v>
          </cell>
          <cell r="Q492" t="str">
            <v>RFIC</v>
          </cell>
        </row>
        <row r="493">
          <cell r="B493" t="str">
            <v>1251812EAP54</v>
          </cell>
          <cell r="D493" t="str">
            <v>Odebretch</v>
          </cell>
          <cell r="F493" t="str">
            <v>Renta Fija</v>
          </cell>
          <cell r="Q493" t="str">
            <v>RFIC</v>
          </cell>
        </row>
        <row r="494">
          <cell r="B494" t="str">
            <v>12521725SUNB</v>
          </cell>
          <cell r="D494" t="str">
            <v>Southern Copper Corporation</v>
          </cell>
          <cell r="F494" t="str">
            <v>Renta Fija</v>
          </cell>
          <cell r="Q494" t="str">
            <v>RFIC</v>
          </cell>
        </row>
        <row r="495">
          <cell r="B495" t="str">
            <v>1252172VAD73</v>
          </cell>
          <cell r="D495" t="str">
            <v>SCCO 6 3/8 07/27/15</v>
          </cell>
          <cell r="F495" t="str">
            <v>Renta Fija</v>
          </cell>
          <cell r="Q495" t="str">
            <v>RFIC</v>
          </cell>
        </row>
        <row r="496">
          <cell r="B496" t="str">
            <v>12535622AL66</v>
          </cell>
          <cell r="D496" t="str">
            <v>Inversiones CMPC</v>
          </cell>
          <cell r="F496" t="str">
            <v>Renta Fija</v>
          </cell>
          <cell r="Q496" t="str">
            <v>RFIC</v>
          </cell>
        </row>
        <row r="497">
          <cell r="B497" t="str">
            <v>1252172VAF22</v>
          </cell>
          <cell r="D497" t="str">
            <v>Southern Copper Corporation</v>
          </cell>
          <cell r="F497" t="str">
            <v>Renta Fija</v>
          </cell>
          <cell r="Q497" t="str">
            <v>RFIC</v>
          </cell>
        </row>
        <row r="498">
          <cell r="B498" t="str">
            <v>12586329AC34</v>
          </cell>
          <cell r="D498" t="str">
            <v>Industrias Peñoles S.A.B. de C.V.</v>
          </cell>
          <cell r="F498" t="str">
            <v>Renta Fija</v>
          </cell>
          <cell r="Q498" t="str">
            <v>RFIC</v>
          </cell>
        </row>
        <row r="499">
          <cell r="B499" t="str">
            <v>12586329AB50</v>
          </cell>
          <cell r="D499" t="str">
            <v>Industrias Peñoles S.A.B. de C.V.</v>
          </cell>
          <cell r="F499" t="str">
            <v>Renta Fija</v>
          </cell>
          <cell r="Q499" t="str">
            <v>RFIC</v>
          </cell>
        </row>
        <row r="500">
          <cell r="B500" t="str">
            <v>1252172VAG05</v>
          </cell>
          <cell r="D500" t="str">
            <v>SCCO 6 3/8 07/27/15</v>
          </cell>
          <cell r="F500" t="str">
            <v>Renta Fija</v>
          </cell>
          <cell r="Q500" t="str">
            <v>RFIC</v>
          </cell>
        </row>
        <row r="501">
          <cell r="B501" t="str">
            <v>1252172VAJ44</v>
          </cell>
          <cell r="D501" t="str">
            <v>Southern Copper Corporation</v>
          </cell>
          <cell r="F501" t="str">
            <v>Renta Fija</v>
          </cell>
          <cell r="Q501" t="str">
            <v>RFIC</v>
          </cell>
        </row>
        <row r="502">
          <cell r="B502" t="str">
            <v>1252172VAE56</v>
          </cell>
          <cell r="D502" t="str">
            <v>Southern Copper Corporation</v>
          </cell>
          <cell r="F502" t="str">
            <v>Renta Fija</v>
          </cell>
          <cell r="Q502" t="str">
            <v>RFIC</v>
          </cell>
        </row>
        <row r="503">
          <cell r="B503" t="str">
            <v>12586329AA77</v>
          </cell>
          <cell r="D503" t="str">
            <v>Industrias Peñoles S.A.B. de C.V.</v>
          </cell>
          <cell r="F503" t="str">
            <v>Renta Fija</v>
          </cell>
          <cell r="Q503" t="str">
            <v>RFIC</v>
          </cell>
        </row>
        <row r="504">
          <cell r="B504" t="str">
            <v>12539028AA02</v>
          </cell>
          <cell r="D504" t="str">
            <v>México Generadora de Energía, S. de R.L.</v>
          </cell>
          <cell r="F504" t="str">
            <v>Renta Fija</v>
          </cell>
          <cell r="Q504" t="str">
            <v>RFIC</v>
          </cell>
        </row>
        <row r="505">
          <cell r="B505" t="str">
            <v>1254402NBF61</v>
          </cell>
          <cell r="D505" t="str">
            <v>Empresa Publica de Liverpool</v>
          </cell>
          <cell r="F505" t="str">
            <v>Renta Fija</v>
          </cell>
          <cell r="Q505" t="str">
            <v>RFIC</v>
          </cell>
        </row>
        <row r="506">
          <cell r="B506" t="str">
            <v>1254402NBL30</v>
          </cell>
          <cell r="D506" t="str">
            <v>Empresa Publica de Liverpool</v>
          </cell>
          <cell r="F506" t="str">
            <v>Renta Fija</v>
          </cell>
          <cell r="Q506" t="str">
            <v>RFIC</v>
          </cell>
        </row>
        <row r="507">
          <cell r="B507" t="str">
            <v>1255202KAA37</v>
          </cell>
          <cell r="D507" t="str">
            <v>Odebretch</v>
          </cell>
          <cell r="F507" t="str">
            <v>Renta Fija</v>
          </cell>
          <cell r="Q507" t="str">
            <v>RFIC</v>
          </cell>
        </row>
        <row r="508">
          <cell r="B508" t="str">
            <v>15527829AB20</v>
          </cell>
          <cell r="D508" t="str">
            <v>BBVA Bancomer</v>
          </cell>
          <cell r="F508" t="str">
            <v>Renta Fija</v>
          </cell>
          <cell r="Q508" t="str">
            <v>RFIC</v>
          </cell>
        </row>
        <row r="509">
          <cell r="B509" t="str">
            <v>15527829AK29</v>
          </cell>
          <cell r="D509" t="str">
            <v>SCCO 6 3/8 07/27/15</v>
          </cell>
          <cell r="F509" t="str">
            <v>Renta Fija</v>
          </cell>
          <cell r="Q509" t="str">
            <v>RFIC</v>
          </cell>
        </row>
        <row r="510">
          <cell r="B510" t="str">
            <v>1553242WAC49</v>
          </cell>
          <cell r="D510" t="str">
            <v>Banco Davivienda S.A.</v>
          </cell>
          <cell r="F510" t="str">
            <v>Renta Fija</v>
          </cell>
          <cell r="Q510" t="str">
            <v>RFIC</v>
          </cell>
        </row>
        <row r="511">
          <cell r="B511" t="str">
            <v>1553712BAB53</v>
          </cell>
          <cell r="D511" t="str">
            <v>Banco BTG Pactual S.A.</v>
          </cell>
          <cell r="F511" t="str">
            <v>Renta Fija</v>
          </cell>
          <cell r="Q511" t="str">
            <v>RFIC</v>
          </cell>
        </row>
        <row r="512">
          <cell r="B512" t="str">
            <v>1553782US150</v>
          </cell>
          <cell r="D512" t="str">
            <v>Banco Santander México</v>
          </cell>
          <cell r="F512" t="str">
            <v>Renta Fija</v>
          </cell>
          <cell r="Q512" t="str">
            <v>RFIC</v>
          </cell>
        </row>
        <row r="513">
          <cell r="B513" t="str">
            <v>1553782SAL18</v>
          </cell>
          <cell r="D513" t="str">
            <v>Banco Santander México</v>
          </cell>
          <cell r="F513" t="str">
            <v>Renta Fija</v>
          </cell>
          <cell r="Q513" t="str">
            <v>RFIC</v>
          </cell>
        </row>
        <row r="514">
          <cell r="B514" t="str">
            <v>1553782SAC19</v>
          </cell>
          <cell r="D514" t="str">
            <v>Banco Santander México</v>
          </cell>
          <cell r="F514" t="str">
            <v>Renta Fija</v>
          </cell>
          <cell r="Q514" t="str">
            <v>RFIC</v>
          </cell>
        </row>
        <row r="515">
          <cell r="B515" t="str">
            <v>1258642MAA01</v>
          </cell>
          <cell r="D515" t="str">
            <v>Minera México, S.A. de C.V.</v>
          </cell>
          <cell r="F515" t="str">
            <v>Renta Fija</v>
          </cell>
          <cell r="Q515" t="str">
            <v>RFIC</v>
          </cell>
        </row>
        <row r="516">
          <cell r="B516" t="str">
            <v>1258642MAB83</v>
          </cell>
          <cell r="D516" t="str">
            <v>Minera México, S.A. de C.V.</v>
          </cell>
          <cell r="F516" t="str">
            <v>Renta Fija</v>
          </cell>
          <cell r="Q516" t="str">
            <v>RFIC</v>
          </cell>
        </row>
        <row r="517">
          <cell r="B517" t="str">
            <v>59529429BQ04</v>
          </cell>
          <cell r="D517" t="str">
            <v>Comisión Federal de Electricidad</v>
          </cell>
          <cell r="F517" t="str">
            <v>Renta Fija</v>
          </cell>
          <cell r="Q517" t="str">
            <v>RFIC</v>
          </cell>
        </row>
        <row r="518">
          <cell r="B518" t="str">
            <v>1250932US358</v>
          </cell>
          <cell r="D518" t="str">
            <v>Fresnillo PLC</v>
          </cell>
          <cell r="F518" t="str">
            <v>Renta Fija</v>
          </cell>
          <cell r="Q518" t="str">
            <v>RFIC</v>
          </cell>
        </row>
        <row r="519">
          <cell r="B519" t="str">
            <v>125093272B25</v>
          </cell>
          <cell r="D519" t="str">
            <v>Fresnillo PLC</v>
          </cell>
          <cell r="F519" t="str">
            <v>Renta Fija</v>
          </cell>
          <cell r="Q519" t="str">
            <v>RFIC</v>
          </cell>
        </row>
        <row r="520">
          <cell r="B520" t="str">
            <v>1250932FRE23</v>
          </cell>
          <cell r="D520" t="str">
            <v>Fresnillo PLC</v>
          </cell>
          <cell r="F520" t="str">
            <v>Renta Fija</v>
          </cell>
          <cell r="Q520" t="str">
            <v>RFIC</v>
          </cell>
        </row>
        <row r="521">
          <cell r="B521" t="str">
            <v>1250242TAP84</v>
          </cell>
          <cell r="D521" t="str">
            <v>Vale Overseas Limited Brazil</v>
          </cell>
          <cell r="F521" t="str">
            <v>Renta Fija</v>
          </cell>
          <cell r="Q521" t="str">
            <v>RFIC</v>
          </cell>
        </row>
        <row r="522">
          <cell r="B522" t="str">
            <v>1250242TAR41</v>
          </cell>
          <cell r="D522" t="str">
            <v>VALEBZ 6 1/8 06/12/2033</v>
          </cell>
          <cell r="F522" t="str">
            <v>Renta Fija</v>
          </cell>
          <cell r="Q522" t="str">
            <v>RFIC</v>
          </cell>
        </row>
        <row r="523">
          <cell r="B523" t="str">
            <v>12SUZA2SUZ32</v>
          </cell>
          <cell r="D523" t="str">
            <v>Suzano Austria</v>
          </cell>
          <cell r="F523" t="str">
            <v>Renta Fija</v>
          </cell>
          <cell r="Q523" t="str">
            <v>RFIC</v>
          </cell>
        </row>
        <row r="524">
          <cell r="B524" t="str">
            <v>15532622AL46</v>
          </cell>
          <cell r="D524" t="str">
            <v>Banco de Bogotá</v>
          </cell>
          <cell r="F524" t="str">
            <v>Renta Fija</v>
          </cell>
          <cell r="Q524" t="str">
            <v>RFIC</v>
          </cell>
        </row>
        <row r="525">
          <cell r="B525" t="str">
            <v>1258612WAJ18</v>
          </cell>
          <cell r="D525" t="str">
            <v>Suzano Austria</v>
          </cell>
          <cell r="F525" t="str">
            <v>Renta Fija</v>
          </cell>
          <cell r="Q525" t="str">
            <v>RFIC</v>
          </cell>
        </row>
        <row r="526">
          <cell r="B526" t="str">
            <v>12SUZA2WAF95</v>
          </cell>
          <cell r="D526" t="str">
            <v>Suzano Austria</v>
          </cell>
          <cell r="F526" t="str">
            <v>Renta Fija</v>
          </cell>
          <cell r="Q526" t="str">
            <v>RFIC</v>
          </cell>
        </row>
        <row r="527">
          <cell r="B527" t="str">
            <v>12SUZA2SUZ30</v>
          </cell>
          <cell r="D527" t="str">
            <v>Suzano Austria</v>
          </cell>
          <cell r="F527" t="str">
            <v>Renta Fija</v>
          </cell>
          <cell r="Q527" t="str">
            <v>RFIC</v>
          </cell>
        </row>
        <row r="528">
          <cell r="B528" t="str">
            <v>1258612TAC20</v>
          </cell>
          <cell r="D528" t="str">
            <v>Suzano Austria</v>
          </cell>
          <cell r="F528" t="str">
            <v>Renta Fija</v>
          </cell>
          <cell r="Q528" t="str">
            <v>RFIC</v>
          </cell>
        </row>
        <row r="529">
          <cell r="B529" t="str">
            <v>1250242TAK97</v>
          </cell>
          <cell r="D529" t="str">
            <v>SCCO 6 3/8 07/27/15</v>
          </cell>
          <cell r="F529" t="str">
            <v>Renta Fija</v>
          </cell>
          <cell r="Q529" t="str">
            <v>RFIC</v>
          </cell>
        </row>
        <row r="530">
          <cell r="B530" t="str">
            <v>1252172VAH87</v>
          </cell>
          <cell r="D530" t="str">
            <v>Southern Copper Corporation</v>
          </cell>
          <cell r="F530" t="str">
            <v>Renta Fija</v>
          </cell>
          <cell r="Q530" t="str">
            <v>RFIC</v>
          </cell>
        </row>
        <row r="531">
          <cell r="B531" t="str">
            <v>1557372LAA63</v>
          </cell>
          <cell r="D531" t="str">
            <v>Sura Asset Management S.A.</v>
          </cell>
          <cell r="F531" t="str">
            <v>Renta Fija</v>
          </cell>
          <cell r="Q531" t="str">
            <v>RFIC</v>
          </cell>
        </row>
        <row r="532">
          <cell r="B532" t="str">
            <v>1250242EAA38</v>
          </cell>
          <cell r="D532" t="str">
            <v>Vale Overseas Limited Brazil</v>
          </cell>
          <cell r="F532" t="str">
            <v>Renta Fija</v>
          </cell>
          <cell r="Q532" t="str">
            <v>RFIC</v>
          </cell>
        </row>
        <row r="533">
          <cell r="B533" t="str">
            <v>08400326BZ27</v>
          </cell>
          <cell r="D533" t="str">
            <v>Gobierno de Brasil</v>
          </cell>
          <cell r="F533" t="str">
            <v>Renta Fija</v>
          </cell>
          <cell r="Q533" t="str">
            <v>RFIG</v>
          </cell>
        </row>
        <row r="534">
          <cell r="B534" t="str">
            <v>08400326CH10</v>
          </cell>
          <cell r="D534" t="str">
            <v>Gobierno de Brasil</v>
          </cell>
          <cell r="F534" t="str">
            <v>Renta Fija</v>
          </cell>
          <cell r="Q534" t="str">
            <v>RFIG</v>
          </cell>
        </row>
        <row r="535">
          <cell r="B535" t="str">
            <v>08400326CA66</v>
          </cell>
          <cell r="D535" t="str">
            <v>Gobierno de Brasil</v>
          </cell>
          <cell r="F535" t="str">
            <v>Renta Fija</v>
          </cell>
          <cell r="Q535" t="str">
            <v>RFIG</v>
          </cell>
        </row>
        <row r="536">
          <cell r="B536" t="str">
            <v>0840032BRA26</v>
          </cell>
          <cell r="D536" t="str">
            <v>Gobierno de Brasil</v>
          </cell>
          <cell r="F536" t="str">
            <v>Renta Fija</v>
          </cell>
          <cell r="Q536" t="str">
            <v>RFIG</v>
          </cell>
        </row>
        <row r="537">
          <cell r="B537" t="str">
            <v>08400326BR01</v>
          </cell>
          <cell r="D537" t="str">
            <v>Gobierno de Brasil</v>
          </cell>
          <cell r="F537" t="str">
            <v>Renta Fija</v>
          </cell>
          <cell r="Q537" t="str">
            <v>RFIG</v>
          </cell>
        </row>
        <row r="538">
          <cell r="B538" t="str">
            <v>08400326BK57</v>
          </cell>
          <cell r="D538" t="str">
            <v>Gobierno de Brasil</v>
          </cell>
          <cell r="F538" t="str">
            <v>Renta Fija</v>
          </cell>
          <cell r="Q538" t="str">
            <v>RFIG</v>
          </cell>
        </row>
        <row r="539">
          <cell r="B539" t="str">
            <v>08400326BB58</v>
          </cell>
          <cell r="D539" t="str">
            <v>Gobierno de Brasil</v>
          </cell>
          <cell r="F539" t="str">
            <v>Renta Fija</v>
          </cell>
          <cell r="Q539" t="str">
            <v>RFIG</v>
          </cell>
        </row>
        <row r="540">
          <cell r="B540" t="str">
            <v>08400326CB40</v>
          </cell>
          <cell r="D540" t="str">
            <v>Gobierno de Brasil</v>
          </cell>
          <cell r="F540" t="str">
            <v>Renta Fija</v>
          </cell>
          <cell r="Q540" t="str">
            <v>RFIG</v>
          </cell>
        </row>
        <row r="541">
          <cell r="B541" t="str">
            <v>0840032US105</v>
          </cell>
          <cell r="D541" t="str">
            <v>Gobierno de Brasil</v>
          </cell>
          <cell r="F541" t="str">
            <v>Renta Fija</v>
          </cell>
          <cell r="Q541" t="str">
            <v>RFIG</v>
          </cell>
        </row>
        <row r="542">
          <cell r="B542" t="str">
            <v>0840032USB40</v>
          </cell>
          <cell r="D542" t="str">
            <v>Gobierno de Brasil</v>
          </cell>
          <cell r="F542" t="str">
            <v>Renta Fija</v>
          </cell>
          <cell r="Q542" t="str">
            <v>RFIG</v>
          </cell>
        </row>
        <row r="543">
          <cell r="B543" t="str">
            <v>0840032BRA47</v>
          </cell>
          <cell r="D543" t="str">
            <v>Gobierno de Brasil</v>
          </cell>
          <cell r="F543" t="str">
            <v>Renta Fija</v>
          </cell>
          <cell r="Q543" t="str">
            <v>RFIG</v>
          </cell>
        </row>
        <row r="544">
          <cell r="B544" t="str">
            <v>0840032BRA25</v>
          </cell>
          <cell r="D544" t="str">
            <v>Gobierno de Brasil</v>
          </cell>
          <cell r="F544" t="str">
            <v>Renta Fija</v>
          </cell>
          <cell r="Q544" t="str">
            <v>RFIG</v>
          </cell>
        </row>
        <row r="545">
          <cell r="B545" t="str">
            <v>0840032BRA23</v>
          </cell>
          <cell r="D545" t="str">
            <v>Gobierno de Brasil</v>
          </cell>
          <cell r="F545" t="str">
            <v>Renta Fija</v>
          </cell>
          <cell r="Q545" t="str">
            <v>RFIG</v>
          </cell>
        </row>
        <row r="546">
          <cell r="B546" t="str">
            <v>0840032BRA45</v>
          </cell>
          <cell r="D546" t="str">
            <v>Gobierno de Brasil</v>
          </cell>
          <cell r="F546" t="str">
            <v>Renta Fija</v>
          </cell>
          <cell r="Q546" t="str">
            <v>RFIG</v>
          </cell>
        </row>
        <row r="547">
          <cell r="B547" t="str">
            <v>08400623AV04</v>
          </cell>
          <cell r="D547" t="str">
            <v>Gobierno de Chile</v>
          </cell>
          <cell r="F547" t="str">
            <v>Renta Fija</v>
          </cell>
          <cell r="Q547" t="str">
            <v>RFIG</v>
          </cell>
        </row>
        <row r="548">
          <cell r="B548" t="str">
            <v>08400623AW86</v>
          </cell>
          <cell r="D548" t="str">
            <v>Gobierno de Chile</v>
          </cell>
          <cell r="F548" t="str">
            <v>Renta Fija</v>
          </cell>
          <cell r="Q548" t="str">
            <v>RFIG</v>
          </cell>
        </row>
        <row r="549">
          <cell r="B549" t="str">
            <v>08400623BN78</v>
          </cell>
          <cell r="D549" t="str">
            <v>Gobierno de Chile</v>
          </cell>
          <cell r="F549" t="str">
            <v>Renta Fija</v>
          </cell>
          <cell r="Q549" t="str">
            <v>RFIG</v>
          </cell>
        </row>
        <row r="550">
          <cell r="B550" t="str">
            <v>08400623BP27</v>
          </cell>
          <cell r="D550" t="str">
            <v>Gobierno de Chile</v>
          </cell>
          <cell r="F550" t="str">
            <v>Renta Fija</v>
          </cell>
          <cell r="Q550" t="str">
            <v>RFIG</v>
          </cell>
        </row>
        <row r="551">
          <cell r="B551" t="str">
            <v>08400623BW77</v>
          </cell>
          <cell r="D551" t="str">
            <v>Gobierno de Chile</v>
          </cell>
          <cell r="F551" t="str">
            <v>Renta Fija</v>
          </cell>
          <cell r="Q551" t="str">
            <v>RFIG</v>
          </cell>
        </row>
        <row r="552">
          <cell r="B552" t="str">
            <v>08400623EA21</v>
          </cell>
          <cell r="D552" t="str">
            <v>Gobierno de Chile</v>
          </cell>
          <cell r="F552" t="str">
            <v>Renta Fija</v>
          </cell>
          <cell r="Q552" t="str">
            <v>RFIG</v>
          </cell>
        </row>
        <row r="553">
          <cell r="B553" t="str">
            <v>08400623CE60</v>
          </cell>
          <cell r="D553" t="str">
            <v>Gobierno de Chile</v>
          </cell>
          <cell r="F553" t="str">
            <v>Renta Fija</v>
          </cell>
          <cell r="Q553" t="str">
            <v>RFIG</v>
          </cell>
        </row>
        <row r="554">
          <cell r="B554" t="str">
            <v>08400425BM66</v>
          </cell>
          <cell r="D554" t="str">
            <v>Gobierno de Colombia</v>
          </cell>
          <cell r="F554" t="str">
            <v>Renta Fija</v>
          </cell>
          <cell r="Q554" t="str">
            <v>RFIG</v>
          </cell>
        </row>
        <row r="555">
          <cell r="B555" t="str">
            <v>08400425EF88</v>
          </cell>
          <cell r="D555" t="str">
            <v>Gobierno de Colombia</v>
          </cell>
          <cell r="F555" t="str">
            <v>Renta Fija</v>
          </cell>
          <cell r="Q555" t="str">
            <v>RFIG</v>
          </cell>
        </row>
        <row r="556">
          <cell r="B556" t="str">
            <v>08400425DS19</v>
          </cell>
          <cell r="D556" t="str">
            <v>Gobierno de Colombia</v>
          </cell>
          <cell r="F556" t="str">
            <v>Renta Fija</v>
          </cell>
          <cell r="Q556" t="str">
            <v>RFIG</v>
          </cell>
        </row>
        <row r="557">
          <cell r="B557" t="str">
            <v>08400425ES00</v>
          </cell>
          <cell r="D557" t="str">
            <v>Gobierno de Colombia</v>
          </cell>
          <cell r="F557" t="str">
            <v>Renta Fija</v>
          </cell>
          <cell r="Q557" t="str">
            <v>RFIG</v>
          </cell>
        </row>
        <row r="558">
          <cell r="B558" t="str">
            <v>08400425EA91</v>
          </cell>
          <cell r="D558" t="str">
            <v>Gobierno de Colombia</v>
          </cell>
          <cell r="F558" t="str">
            <v>Renta Fija</v>
          </cell>
          <cell r="Q558" t="str">
            <v>RFIG</v>
          </cell>
        </row>
        <row r="559">
          <cell r="B559" t="str">
            <v>08400425EM30</v>
          </cell>
          <cell r="D559" t="str">
            <v>Gobierno de Colombia</v>
          </cell>
          <cell r="F559" t="str">
            <v>Renta Fija</v>
          </cell>
          <cell r="Q559" t="str">
            <v>RFIG</v>
          </cell>
        </row>
        <row r="560">
          <cell r="B560" t="str">
            <v>08400425EL56</v>
          </cell>
          <cell r="D560" t="str">
            <v>Gobierno de Colombia</v>
          </cell>
          <cell r="F560" t="str">
            <v>Renta Fija</v>
          </cell>
          <cell r="Q560" t="str">
            <v>RFIG</v>
          </cell>
        </row>
        <row r="561">
          <cell r="B561" t="str">
            <v>08400425DP79</v>
          </cell>
          <cell r="D561" t="str">
            <v>Gobierno de Colombia</v>
          </cell>
          <cell r="F561" t="str">
            <v>Renta Fija</v>
          </cell>
          <cell r="Q561" t="str">
            <v>RFIG</v>
          </cell>
        </row>
        <row r="562">
          <cell r="B562" t="str">
            <v>08400425DR36</v>
          </cell>
          <cell r="D562" t="str">
            <v>Gobierno de Colombia</v>
          </cell>
          <cell r="F562" t="str">
            <v>Renta Fija</v>
          </cell>
          <cell r="Q562" t="str">
            <v>RFIG</v>
          </cell>
        </row>
        <row r="563">
          <cell r="B563" t="str">
            <v>08400425EG61</v>
          </cell>
          <cell r="D563" t="str">
            <v>Gobierno de Colombia</v>
          </cell>
          <cell r="F563" t="str">
            <v>Renta Fija</v>
          </cell>
          <cell r="Q563" t="str">
            <v>RFIG</v>
          </cell>
        </row>
        <row r="564">
          <cell r="B564" t="str">
            <v>08400425AL92</v>
          </cell>
          <cell r="D564" t="str">
            <v>Gobierno de Colombia</v>
          </cell>
          <cell r="F564" t="str">
            <v>Renta Fija</v>
          </cell>
          <cell r="Q564" t="str">
            <v>RFIG</v>
          </cell>
        </row>
        <row r="565">
          <cell r="B565" t="str">
            <v>084004225BK0</v>
          </cell>
          <cell r="D565" t="str">
            <v>Gobierno de Colombia</v>
          </cell>
          <cell r="F565" t="str">
            <v>Renta Fija</v>
          </cell>
          <cell r="Q565" t="str">
            <v>RFIG</v>
          </cell>
        </row>
        <row r="566">
          <cell r="B566" t="str">
            <v>08400425AQ89</v>
          </cell>
          <cell r="D566" t="str">
            <v>Gobierno de Colombia</v>
          </cell>
          <cell r="F566" t="str">
            <v>Renta Fija</v>
          </cell>
          <cell r="Q566" t="str">
            <v>RFIG</v>
          </cell>
        </row>
        <row r="567">
          <cell r="B567" t="str">
            <v>08400425AU91</v>
          </cell>
          <cell r="D567" t="str">
            <v>Gobierno de Colombia</v>
          </cell>
          <cell r="F567" t="str">
            <v>Renta Fija</v>
          </cell>
          <cell r="Q567" t="str">
            <v>RFIG</v>
          </cell>
        </row>
        <row r="568">
          <cell r="B568" t="str">
            <v>08400425BB02</v>
          </cell>
          <cell r="D568" t="str">
            <v>Gobierno de Colombia</v>
          </cell>
          <cell r="F568" t="str">
            <v>Renta Fija</v>
          </cell>
          <cell r="Q568" t="str">
            <v>RFIG</v>
          </cell>
        </row>
        <row r="569">
          <cell r="B569" t="str">
            <v>08400425BJ38</v>
          </cell>
          <cell r="D569" t="str">
            <v>Gobierno de Colombia</v>
          </cell>
          <cell r="F569" t="str">
            <v>Renta Fija</v>
          </cell>
          <cell r="Q569" t="str">
            <v>RFIG</v>
          </cell>
        </row>
        <row r="570">
          <cell r="B570" t="str">
            <v>08400425BL83</v>
          </cell>
          <cell r="D570" t="str">
            <v>Gobierno de Colombia</v>
          </cell>
          <cell r="F570" t="str">
            <v>Renta Fija</v>
          </cell>
          <cell r="Q570" t="str">
            <v>RFIG</v>
          </cell>
        </row>
        <row r="571">
          <cell r="B571" t="str">
            <v>08400425BN40</v>
          </cell>
          <cell r="D571" t="str">
            <v>Gobierno de Colombia</v>
          </cell>
          <cell r="F571" t="str">
            <v>Renta Fija</v>
          </cell>
          <cell r="Q571" t="str">
            <v>RFIG</v>
          </cell>
        </row>
        <row r="572">
          <cell r="B572" t="str">
            <v>08400425BQ70</v>
          </cell>
          <cell r="D572" t="str">
            <v>Gobierno de Colombia</v>
          </cell>
          <cell r="F572" t="str">
            <v>Renta Fija</v>
          </cell>
          <cell r="Q572" t="str">
            <v>RFIG</v>
          </cell>
        </row>
        <row r="573">
          <cell r="B573" t="str">
            <v>08400425BR53</v>
          </cell>
          <cell r="D573" t="str">
            <v>Gobierno de Colombia</v>
          </cell>
          <cell r="F573" t="str">
            <v>Renta Fija</v>
          </cell>
          <cell r="Q573" t="str">
            <v>RFIG</v>
          </cell>
        </row>
        <row r="574">
          <cell r="B574" t="str">
            <v>084004460236</v>
          </cell>
          <cell r="D574" t="str">
            <v>Gobierno de Colombia</v>
          </cell>
          <cell r="F574" t="str">
            <v>Renta Fija</v>
          </cell>
          <cell r="Q574" t="str">
            <v>RFIG</v>
          </cell>
        </row>
        <row r="575">
          <cell r="B575" t="str">
            <v>08400425CU73</v>
          </cell>
          <cell r="D575" t="str">
            <v>Gobierno de Colombia</v>
          </cell>
          <cell r="F575" t="str">
            <v>Renta Fija</v>
          </cell>
          <cell r="Q575" t="str">
            <v>RFIG</v>
          </cell>
        </row>
        <row r="576">
          <cell r="B576" t="str">
            <v>0840042NHK11</v>
          </cell>
          <cell r="D576" t="str">
            <v>Gobierno de Colombia</v>
          </cell>
          <cell r="F576" t="str">
            <v>Renta Fija</v>
          </cell>
          <cell r="Q576" t="str">
            <v>RFIG</v>
          </cell>
        </row>
        <row r="577">
          <cell r="B577" t="str">
            <v>08400425DL65</v>
          </cell>
          <cell r="D577" t="str">
            <v>Gobierno de Colombia</v>
          </cell>
          <cell r="F577" t="str">
            <v>Renta Fija</v>
          </cell>
          <cell r="Q577" t="str">
            <v>RFIG</v>
          </cell>
        </row>
        <row r="578">
          <cell r="B578" t="str">
            <v>08400425DQ52</v>
          </cell>
          <cell r="D578" t="str">
            <v>Gobierno de Colombia</v>
          </cell>
          <cell r="F578" t="str">
            <v>Renta Fija</v>
          </cell>
          <cell r="Q578" t="str">
            <v>RFIG</v>
          </cell>
        </row>
        <row r="579">
          <cell r="B579" t="str">
            <v>08400425DX04</v>
          </cell>
          <cell r="D579" t="str">
            <v>Gobierno de Colombia</v>
          </cell>
          <cell r="F579" t="str">
            <v>Renta Fija</v>
          </cell>
          <cell r="Q579" t="str">
            <v>RFIG</v>
          </cell>
        </row>
        <row r="580">
          <cell r="B580" t="str">
            <v>08400425DZ51</v>
          </cell>
          <cell r="D580" t="str">
            <v>Gobierno de Colombia</v>
          </cell>
          <cell r="F580" t="str">
            <v>Renta Fija</v>
          </cell>
          <cell r="Q580" t="str">
            <v>RFIG</v>
          </cell>
        </row>
        <row r="581">
          <cell r="B581" t="str">
            <v>08400425DT91</v>
          </cell>
          <cell r="D581" t="str">
            <v>Gobierno de Colombia</v>
          </cell>
          <cell r="F581" t="str">
            <v>Renta Fija</v>
          </cell>
          <cell r="Q581" t="str">
            <v>RFIG</v>
          </cell>
        </row>
        <row r="582">
          <cell r="B582" t="str">
            <v>08400425CX13</v>
          </cell>
          <cell r="D582" t="str">
            <v>Gobierno de Colombia</v>
          </cell>
          <cell r="F582" t="str">
            <v>Renta Fija</v>
          </cell>
          <cell r="Q582" t="str">
            <v>RFIG</v>
          </cell>
        </row>
        <row r="583">
          <cell r="B583" t="str">
            <v>5275112F3161</v>
          </cell>
          <cell r="D583" t="str">
            <v>BlueBay - EM Debt Unconstrained</v>
          </cell>
          <cell r="F583" t="str">
            <v>Renta Fija</v>
          </cell>
          <cell r="Q583" t="str">
            <v>RFIG</v>
          </cell>
        </row>
        <row r="584">
          <cell r="B584" t="str">
            <v>5275112F7441</v>
          </cell>
          <cell r="D584" t="str">
            <v>BlueBay - EM Debt Unconstrained</v>
          </cell>
          <cell r="F584" t="str">
            <v>Renta Fija</v>
          </cell>
          <cell r="Q584" t="str">
            <v>RFIG</v>
          </cell>
        </row>
        <row r="585">
          <cell r="B585" t="str">
            <v>5270062FCB08</v>
          </cell>
          <cell r="D585" t="str">
            <v>BNY Mellon - Emerging Market Debt Fund</v>
          </cell>
          <cell r="F585" t="str">
            <v>Renta Fija</v>
          </cell>
          <cell r="Q585" t="str">
            <v>RFIG</v>
          </cell>
        </row>
        <row r="586">
          <cell r="B586" t="str">
            <v>52702222NNFMD</v>
          </cell>
          <cell r="D586" t="str">
            <v>NN  - Frontier Markets Debt HC</v>
          </cell>
          <cell r="F586" t="str">
            <v>Renta Fija</v>
          </cell>
          <cell r="Q586" t="str">
            <v>RFIG</v>
          </cell>
        </row>
        <row r="587">
          <cell r="B587" t="str">
            <v>5270252F1414</v>
          </cell>
          <cell r="D587" t="str">
            <v>Aberdeen - Select Emerging Markets Bond</v>
          </cell>
          <cell r="F587" t="str">
            <v>Renta Fija</v>
          </cell>
          <cell r="Q587" t="str">
            <v>RFIG</v>
          </cell>
        </row>
        <row r="588">
          <cell r="B588" t="str">
            <v>5270252F8013</v>
          </cell>
          <cell r="D588" t="str">
            <v>Aberdeen - Select Emerging Markets Bond</v>
          </cell>
          <cell r="F588" t="str">
            <v>Renta Fija</v>
          </cell>
          <cell r="Q588" t="str">
            <v>RFIG</v>
          </cell>
        </row>
        <row r="589">
          <cell r="B589" t="str">
            <v>52702527606A</v>
          </cell>
          <cell r="D589" t="str">
            <v>Aberdeen - Frontier Markets Bond Fund</v>
          </cell>
          <cell r="F589" t="str">
            <v>Renta Fija</v>
          </cell>
          <cell r="Q589" t="str">
            <v>RFIG</v>
          </cell>
        </row>
        <row r="590">
          <cell r="B590" t="str">
            <v>5270512FWZK5</v>
          </cell>
          <cell r="D590" t="str">
            <v>Barings - Emerging Markets Sovereign Debt Fund</v>
          </cell>
          <cell r="F590" t="str">
            <v>Renta Fija</v>
          </cell>
          <cell r="Q590" t="str">
            <v>RFIG</v>
          </cell>
        </row>
        <row r="591">
          <cell r="B591" t="str">
            <v>5270272F7318</v>
          </cell>
          <cell r="D591" t="str">
            <v>Goldman Sachs - Emerging Markets Debt</v>
          </cell>
          <cell r="F591" t="str">
            <v>Renta Fija</v>
          </cell>
          <cell r="Q591" t="str">
            <v>RFIG</v>
          </cell>
        </row>
        <row r="592">
          <cell r="B592" t="str">
            <v>5270392F5595</v>
          </cell>
          <cell r="D592" t="str">
            <v>MFS - Emerging Markets Debt Fund</v>
          </cell>
          <cell r="F592" t="str">
            <v>Renta Fija</v>
          </cell>
          <cell r="Q592" t="str">
            <v>RFIG</v>
          </cell>
        </row>
        <row r="593">
          <cell r="B593" t="str">
            <v>5270802F6924</v>
          </cell>
          <cell r="D593" t="str">
            <v>Pictet - Global Emerging Debt</v>
          </cell>
          <cell r="F593" t="str">
            <v>Renta Fija</v>
          </cell>
          <cell r="Q593" t="str">
            <v>RFIG</v>
          </cell>
        </row>
        <row r="594">
          <cell r="B594" t="str">
            <v>5270882F2267</v>
          </cell>
          <cell r="D594" t="str">
            <v>JP Morgan - Emerging Markets Debt Fund</v>
          </cell>
          <cell r="F594" t="str">
            <v>Renta Fija</v>
          </cell>
          <cell r="Q594" t="str">
            <v>RFIG</v>
          </cell>
        </row>
        <row r="595">
          <cell r="B595" t="str">
            <v>5271112E8281</v>
          </cell>
          <cell r="D595" t="str">
            <v>BlackRock - iShares JP Morgan USD EM Bond ETF</v>
          </cell>
          <cell r="F595" t="str">
            <v>Renta Fija</v>
          </cell>
          <cell r="Q595" t="str">
            <v>RFIG</v>
          </cell>
        </row>
        <row r="596">
          <cell r="B596" t="str">
            <v>5270732EPKV6</v>
          </cell>
          <cell r="D596" t="str">
            <v>Blackrock - iShares JPM USD BND USD D</v>
          </cell>
          <cell r="F596" t="str">
            <v>Renta Fija</v>
          </cell>
          <cell r="Q596" t="str">
            <v>RFIG</v>
          </cell>
        </row>
        <row r="597">
          <cell r="B597" t="str">
            <v>5277462F5710</v>
          </cell>
          <cell r="D597" t="str">
            <v>Aquila - Solitaire Global Bond Fund</v>
          </cell>
          <cell r="F597" t="str">
            <v>Renta Fija</v>
          </cell>
          <cell r="Q597" t="str">
            <v>RFIG</v>
          </cell>
        </row>
        <row r="598">
          <cell r="B598" t="str">
            <v>5270172FWXM7</v>
          </cell>
          <cell r="D598" t="str">
            <v>Vanguard - Emerging Markets Bond Fund - I Retail</v>
          </cell>
          <cell r="F598" t="str">
            <v>Renta Fija</v>
          </cell>
          <cell r="Q598" t="str">
            <v>RFIG</v>
          </cell>
        </row>
        <row r="599">
          <cell r="B599" t="str">
            <v>5270172FWXN8</v>
          </cell>
          <cell r="D599" t="str">
            <v>Vanguard - Emerging Markets Bond Fund - II Institutional</v>
          </cell>
          <cell r="F599" t="str">
            <v>Renta Fija</v>
          </cell>
          <cell r="Q599" t="str">
            <v>RFIG</v>
          </cell>
        </row>
        <row r="600">
          <cell r="B600" t="str">
            <v>5270172E6885</v>
          </cell>
          <cell r="D600" t="str">
            <v>Vanguard - Emerging Markets Government Bond ETF</v>
          </cell>
          <cell r="F600" t="str">
            <v>Renta Fija</v>
          </cell>
          <cell r="Q600" t="str">
            <v>RFIG</v>
          </cell>
        </row>
        <row r="601">
          <cell r="B601" t="str">
            <v>52AVIV2EMMHC</v>
          </cell>
          <cell r="D601" t="str">
            <v>Aviva - Emerging Markets Bond Fund</v>
          </cell>
          <cell r="F601" t="str">
            <v>Renta Fija</v>
          </cell>
          <cell r="Q601" t="str">
            <v>RFIG</v>
          </cell>
        </row>
        <row r="602">
          <cell r="B602" t="str">
            <v>52BRAF2BEMRG</v>
          </cell>
          <cell r="D602" t="str">
            <v>BlackRock - Emerging Markets Bond Fund</v>
          </cell>
          <cell r="F602" t="str">
            <v>Renta Fija</v>
          </cell>
          <cell r="Q602" t="str">
            <v>RFIG</v>
          </cell>
        </row>
        <row r="603">
          <cell r="B603" t="str">
            <v>52GLDS2GEMDB</v>
          </cell>
          <cell r="D603" t="str">
            <v>Goldman Sachs - Emerging Markets Debt Portfolio</v>
          </cell>
          <cell r="F603" t="str">
            <v>Renta Fija</v>
          </cell>
          <cell r="Q603" t="str">
            <v>RFIG</v>
          </cell>
        </row>
        <row r="604">
          <cell r="B604" t="str">
            <v>5276802F6309</v>
          </cell>
          <cell r="D604" t="str">
            <v>Azimut Investments SA - AZ Fund 3, AZ Bond Frontier Markets Debt</v>
          </cell>
          <cell r="F604" t="str">
            <v>Renta Fija</v>
          </cell>
          <cell r="Q604" t="str">
            <v>RFIG</v>
          </cell>
        </row>
        <row r="605">
          <cell r="B605" t="str">
            <v>4874172EMBON</v>
          </cell>
          <cell r="D605" t="str">
            <v>Candriam - Bonds Emerging Markets</v>
          </cell>
          <cell r="F605" t="str">
            <v>Renta Fija</v>
          </cell>
          <cell r="Q605" t="str">
            <v>RFIG</v>
          </cell>
        </row>
        <row r="606">
          <cell r="B606" t="str">
            <v>5270492F3972</v>
          </cell>
          <cell r="D606" t="str">
            <v>Vontobel - Emerging Markets Debt</v>
          </cell>
          <cell r="F606" t="str">
            <v>Renta Fija</v>
          </cell>
          <cell r="Q606" t="str">
            <v>RFIG</v>
          </cell>
        </row>
        <row r="607">
          <cell r="B607" t="str">
            <v>5270492F2267</v>
          </cell>
          <cell r="D607" t="str">
            <v>Vontobel - Credit Opportunities</v>
          </cell>
          <cell r="F607" t="str">
            <v>Renta Fija</v>
          </cell>
          <cell r="Q607" t="str">
            <v>RFIG</v>
          </cell>
        </row>
        <row r="608">
          <cell r="B608" t="str">
            <v>5275112F6681</v>
          </cell>
          <cell r="D608" t="str">
            <v>Bluebay - EM debt Unconstrained</v>
          </cell>
          <cell r="F608" t="str">
            <v>Renta Fija</v>
          </cell>
          <cell r="Q608" t="str">
            <v>RFIG</v>
          </cell>
        </row>
        <row r="609">
          <cell r="B609" t="str">
            <v>5275112F0747</v>
          </cell>
          <cell r="D609" t="str">
            <v>BlueBay - Emerging Market Bond Fund</v>
          </cell>
          <cell r="F609" t="str">
            <v>Renta Fija</v>
          </cell>
          <cell r="Q609" t="str">
            <v>RFIG</v>
          </cell>
        </row>
        <row r="610">
          <cell r="B610" t="str">
            <v>5274122EMBFU</v>
          </cell>
          <cell r="D610" t="str">
            <v>Pimco - Emerging Markets Bond Fund</v>
          </cell>
          <cell r="F610" t="str">
            <v>Renta Fija</v>
          </cell>
          <cell r="Q610" t="str">
            <v>RFIG</v>
          </cell>
        </row>
        <row r="611">
          <cell r="B611" t="str">
            <v>5274812EMDBT</v>
          </cell>
          <cell r="D611" t="str">
            <v>Northern Trust - EM Hard Currency</v>
          </cell>
          <cell r="F611" t="str">
            <v>Renta Fija</v>
          </cell>
          <cell r="Q611" t="str">
            <v>RFIG</v>
          </cell>
        </row>
        <row r="612">
          <cell r="B612" t="str">
            <v>5270952EMDHC</v>
          </cell>
          <cell r="D612" t="str">
            <v>Neuberger Berman - Emerging Market Debt HC</v>
          </cell>
          <cell r="F612" t="str">
            <v>Renta Fija</v>
          </cell>
          <cell r="Q612" t="str">
            <v>RFIG</v>
          </cell>
        </row>
        <row r="613">
          <cell r="B613" t="str">
            <v>52NORD2EHBPU</v>
          </cell>
          <cell r="D613" t="str">
            <v>Nordea - Emerging Hard Currency Bond Fund</v>
          </cell>
          <cell r="F613" t="str">
            <v>Renta Fija</v>
          </cell>
          <cell r="Q613" t="str">
            <v>RFIG</v>
          </cell>
        </row>
        <row r="614">
          <cell r="B614" t="str">
            <v>5270432F9263</v>
          </cell>
          <cell r="D614" t="str">
            <v>AXA World Funds - US Dynamic High Yield</v>
          </cell>
          <cell r="F614" t="str">
            <v>Renta Fija</v>
          </cell>
          <cell r="Q614" t="str">
            <v>RFIG</v>
          </cell>
        </row>
        <row r="615">
          <cell r="B615" t="str">
            <v>5274372L3385</v>
          </cell>
          <cell r="D615" t="str">
            <v>M&amp;G - Global Floating Rate High Yield Fund</v>
          </cell>
          <cell r="F615" t="str">
            <v>Renta Fija</v>
          </cell>
          <cell r="Q615" t="str">
            <v>RFIG</v>
          </cell>
        </row>
        <row r="616">
          <cell r="B616" t="str">
            <v>5270492F8979</v>
          </cell>
          <cell r="D616" t="str">
            <v>Vontobel - Emerging Markets Corporate</v>
          </cell>
          <cell r="F616" t="str">
            <v>Renta Fija</v>
          </cell>
          <cell r="Q616" t="str">
            <v>RFIG</v>
          </cell>
        </row>
        <row r="617">
          <cell r="B617" t="str">
            <v>52NORD2EMBBI</v>
          </cell>
          <cell r="D617" t="str">
            <v>Nordea - Emerging Bond Fund</v>
          </cell>
          <cell r="F617" t="str">
            <v>Renta Fija</v>
          </cell>
          <cell r="Q617" t="str">
            <v>RFIG</v>
          </cell>
        </row>
        <row r="618">
          <cell r="B618" t="str">
            <v>0840052BBA70</v>
          </cell>
          <cell r="D618" t="str">
            <v>Gobierno de Mexico</v>
          </cell>
          <cell r="F618" t="str">
            <v>Renta Fija</v>
          </cell>
          <cell r="Q618" t="str">
            <v>RFIG</v>
          </cell>
        </row>
        <row r="619">
          <cell r="B619" t="str">
            <v>084005237039</v>
          </cell>
          <cell r="D619" t="str">
            <v>Gobierno de Mexico</v>
          </cell>
          <cell r="F619" t="str">
            <v>Renta Fija</v>
          </cell>
          <cell r="Q619" t="str">
            <v>RFIG</v>
          </cell>
        </row>
        <row r="620">
          <cell r="B620" t="str">
            <v>0840052BAZ31</v>
          </cell>
          <cell r="D620" t="str">
            <v>Gobierno de Mexico</v>
          </cell>
          <cell r="F620" t="str">
            <v>Renta Fija</v>
          </cell>
          <cell r="Q620" t="str">
            <v>RFIG</v>
          </cell>
        </row>
        <row r="621">
          <cell r="B621" t="str">
            <v>0840052BAS97</v>
          </cell>
          <cell r="D621" t="str">
            <v>Gobierno de Mexico</v>
          </cell>
          <cell r="F621" t="str">
            <v>Renta Fija</v>
          </cell>
          <cell r="Q621" t="str">
            <v>RFIG</v>
          </cell>
        </row>
        <row r="622">
          <cell r="B622" t="str">
            <v>0840052BAX82</v>
          </cell>
          <cell r="D622" t="str">
            <v>Gobierno de Mexico</v>
          </cell>
          <cell r="F622" t="str">
            <v>Renta Fija</v>
          </cell>
          <cell r="Q622" t="str">
            <v>RFIG</v>
          </cell>
        </row>
        <row r="623">
          <cell r="B623" t="str">
            <v>08400528AX90</v>
          </cell>
          <cell r="D623" t="str">
            <v>Gobierno de México</v>
          </cell>
          <cell r="F623" t="str">
            <v>Renta Fija</v>
          </cell>
          <cell r="Q623" t="str">
            <v>RFIG</v>
          </cell>
        </row>
        <row r="624">
          <cell r="B624" t="str">
            <v>0840052BAF76</v>
          </cell>
          <cell r="D624" t="str">
            <v>Gobierno de México</v>
          </cell>
          <cell r="F624" t="str">
            <v>Renta Fija</v>
          </cell>
          <cell r="Q624" t="str">
            <v>RFIG</v>
          </cell>
        </row>
        <row r="625">
          <cell r="B625" t="str">
            <v>0840052BAH33</v>
          </cell>
          <cell r="D625" t="str">
            <v>Gobierno de México</v>
          </cell>
          <cell r="F625" t="str">
            <v>Renta Fija</v>
          </cell>
          <cell r="Q625" t="str">
            <v>RFIG</v>
          </cell>
        </row>
        <row r="626">
          <cell r="B626" t="str">
            <v>08400528AY44</v>
          </cell>
          <cell r="D626" t="str">
            <v>Gobierno de México</v>
          </cell>
          <cell r="F626" t="str">
            <v>Renta Fija</v>
          </cell>
          <cell r="Q626" t="str">
            <v>RFIG</v>
          </cell>
        </row>
        <row r="627">
          <cell r="B627" t="str">
            <v>08400528BA89</v>
          </cell>
          <cell r="D627" t="str">
            <v>Gobierno de México</v>
          </cell>
          <cell r="F627" t="str">
            <v>Renta Fija</v>
          </cell>
          <cell r="Q627" t="str">
            <v>RFIG</v>
          </cell>
        </row>
        <row r="628">
          <cell r="B628" t="str">
            <v>08400528BD97</v>
          </cell>
          <cell r="D628" t="str">
            <v>Gobierno de México</v>
          </cell>
          <cell r="F628" t="str">
            <v>Renta Fija</v>
          </cell>
          <cell r="Q628" t="str">
            <v>RFIG</v>
          </cell>
        </row>
        <row r="629">
          <cell r="B629" t="str">
            <v>08400528BN00</v>
          </cell>
          <cell r="D629" t="str">
            <v>Gobierno de México</v>
          </cell>
          <cell r="F629" t="str">
            <v>Renta Fija</v>
          </cell>
          <cell r="Q629" t="str">
            <v>RFIG</v>
          </cell>
        </row>
        <row r="630">
          <cell r="B630" t="str">
            <v>08400528BX15</v>
          </cell>
          <cell r="D630" t="str">
            <v>Gobierno de México</v>
          </cell>
          <cell r="F630" t="str">
            <v>Renta Fija</v>
          </cell>
          <cell r="Q630" t="str">
            <v>RFIG</v>
          </cell>
        </row>
        <row r="631">
          <cell r="B631" t="str">
            <v>0840052BAC46</v>
          </cell>
          <cell r="D631" t="str">
            <v>Gobierno de México</v>
          </cell>
          <cell r="F631" t="str">
            <v>Renta Fija</v>
          </cell>
          <cell r="Q631" t="str">
            <v>RFIG</v>
          </cell>
        </row>
        <row r="632">
          <cell r="B632" t="str">
            <v>0840052QAG38</v>
          </cell>
          <cell r="D632" t="str">
            <v>Gobierno de México</v>
          </cell>
          <cell r="F632" t="str">
            <v>Renta Fija</v>
          </cell>
          <cell r="Q632" t="str">
            <v>RFIG</v>
          </cell>
        </row>
        <row r="633">
          <cell r="B633" t="str">
            <v>0840052QAJ76</v>
          </cell>
          <cell r="D633" t="str">
            <v>Gobierno de México</v>
          </cell>
          <cell r="F633" t="str">
            <v>Renta Fija</v>
          </cell>
          <cell r="Q633" t="str">
            <v>RFIG</v>
          </cell>
        </row>
        <row r="634">
          <cell r="B634" t="str">
            <v>0840052BBD10</v>
          </cell>
          <cell r="D634" t="str">
            <v>Gobierno de México</v>
          </cell>
          <cell r="F634" t="str">
            <v>Renta Fija</v>
          </cell>
          <cell r="Q634" t="str">
            <v>RFIG</v>
          </cell>
        </row>
        <row r="635">
          <cell r="B635" t="str">
            <v>0840052QAN88</v>
          </cell>
          <cell r="D635" t="str">
            <v>Gobierno de México</v>
          </cell>
          <cell r="F635" t="str">
            <v>Renta Fija</v>
          </cell>
          <cell r="Q635" t="str">
            <v>RFIG</v>
          </cell>
        </row>
        <row r="636">
          <cell r="B636" t="str">
            <v>0840052QAS75</v>
          </cell>
          <cell r="D636" t="str">
            <v>Gobierno de México</v>
          </cell>
          <cell r="F636" t="str">
            <v>Renta Fija</v>
          </cell>
          <cell r="Q636" t="str">
            <v>RFIG</v>
          </cell>
        </row>
        <row r="637">
          <cell r="B637" t="str">
            <v>0840052QAU22</v>
          </cell>
          <cell r="D637" t="str">
            <v>Gobierno de México</v>
          </cell>
          <cell r="F637" t="str">
            <v>Renta Fija</v>
          </cell>
          <cell r="Q637" t="str">
            <v>RFIG</v>
          </cell>
        </row>
        <row r="638">
          <cell r="B638" t="str">
            <v>0840052QAV05</v>
          </cell>
          <cell r="D638" t="str">
            <v>Gobierno de México</v>
          </cell>
          <cell r="F638" t="str">
            <v>Renta Fija</v>
          </cell>
          <cell r="Q638" t="str">
            <v>RFIG</v>
          </cell>
        </row>
        <row r="639">
          <cell r="B639" t="str">
            <v>0840052QAW87</v>
          </cell>
          <cell r="D639" t="str">
            <v>Gobierno de México</v>
          </cell>
          <cell r="F639" t="str">
            <v>Renta Fija</v>
          </cell>
          <cell r="Q639" t="str">
            <v>RFIG</v>
          </cell>
        </row>
        <row r="640">
          <cell r="B640" t="str">
            <v>0840052QAZ19</v>
          </cell>
          <cell r="D640" t="str">
            <v>Gobierno de México</v>
          </cell>
          <cell r="F640" t="str">
            <v>Renta Fija</v>
          </cell>
          <cell r="Q640" t="str">
            <v>RFIG</v>
          </cell>
        </row>
        <row r="641">
          <cell r="B641" t="str">
            <v>0840052QBA58</v>
          </cell>
          <cell r="D641" t="str">
            <v>Gobierno de México</v>
          </cell>
          <cell r="F641" t="str">
            <v>Renta Fija</v>
          </cell>
          <cell r="Q641" t="str">
            <v>RFIG</v>
          </cell>
        </row>
        <row r="642">
          <cell r="B642" t="str">
            <v>0840052QBB32</v>
          </cell>
          <cell r="D642" t="str">
            <v>Gobierno de México</v>
          </cell>
          <cell r="F642" t="str">
            <v>Renta Fija</v>
          </cell>
          <cell r="Q642" t="str">
            <v>RFIG</v>
          </cell>
        </row>
        <row r="643">
          <cell r="B643" t="str">
            <v>0840052QBE70</v>
          </cell>
          <cell r="D643" t="str">
            <v>Gobierno de México</v>
          </cell>
          <cell r="F643" t="str">
            <v>Renta Fija</v>
          </cell>
          <cell r="Q643" t="str">
            <v>RFIG</v>
          </cell>
        </row>
        <row r="644">
          <cell r="B644" t="str">
            <v>0840052QBF46</v>
          </cell>
          <cell r="D644" t="str">
            <v>Gobierno de México</v>
          </cell>
          <cell r="F644" t="str">
            <v>Renta Fija</v>
          </cell>
          <cell r="Q644" t="str">
            <v>RFIG</v>
          </cell>
        </row>
        <row r="645">
          <cell r="B645" t="str">
            <v>0840052BAB62</v>
          </cell>
          <cell r="D645" t="str">
            <v>Gobierno de México</v>
          </cell>
          <cell r="F645" t="str">
            <v>Renta Fija</v>
          </cell>
          <cell r="Q645" t="str">
            <v>RFIG</v>
          </cell>
        </row>
        <row r="646">
          <cell r="B646" t="str">
            <v>0840052BAG59</v>
          </cell>
          <cell r="D646" t="str">
            <v>Gobierno de México</v>
          </cell>
          <cell r="F646" t="str">
            <v>Renta Fija</v>
          </cell>
          <cell r="Q646" t="str">
            <v>RFIG</v>
          </cell>
        </row>
        <row r="647">
          <cell r="B647" t="str">
            <v>0840052BAD29</v>
          </cell>
          <cell r="D647" t="str">
            <v>Gobierno de México</v>
          </cell>
          <cell r="F647" t="str">
            <v>Renta Fija</v>
          </cell>
          <cell r="Q647" t="str">
            <v>RFIG</v>
          </cell>
        </row>
        <row r="648">
          <cell r="B648" t="str">
            <v>0840052US910</v>
          </cell>
          <cell r="D648" t="str">
            <v>Gobierno de México</v>
          </cell>
          <cell r="F648" t="str">
            <v>Renta Fija</v>
          </cell>
          <cell r="Q648" t="str">
            <v>RFIG</v>
          </cell>
        </row>
        <row r="649">
          <cell r="B649" t="str">
            <v>0840052BAK61</v>
          </cell>
          <cell r="D649" t="str">
            <v>Gobierno de México</v>
          </cell>
          <cell r="F649" t="str">
            <v>Renta Fija</v>
          </cell>
          <cell r="Q649" t="str">
            <v>RFIG</v>
          </cell>
        </row>
        <row r="650">
          <cell r="B650" t="str">
            <v>0840052BAV27</v>
          </cell>
          <cell r="D650" t="str">
            <v>Gobierno de México</v>
          </cell>
          <cell r="F650" t="str">
            <v>Renta Fija</v>
          </cell>
          <cell r="Q650" t="str">
            <v>RFIG</v>
          </cell>
        </row>
        <row r="651">
          <cell r="B651" t="str">
            <v>0840052QBG29</v>
          </cell>
          <cell r="D651" t="str">
            <v>Gobierno de México</v>
          </cell>
          <cell r="F651" t="str">
            <v>Renta Fija</v>
          </cell>
          <cell r="Q651" t="str">
            <v>RFIG</v>
          </cell>
        </row>
        <row r="652">
          <cell r="B652" t="str">
            <v>0840052BAE02</v>
          </cell>
          <cell r="D652" t="str">
            <v>Gobierno de México</v>
          </cell>
          <cell r="F652" t="str">
            <v>Renta Fija</v>
          </cell>
          <cell r="Q652" t="str">
            <v>RFIG</v>
          </cell>
        </row>
        <row r="653">
          <cell r="B653" t="str">
            <v>0840052BAN01</v>
          </cell>
          <cell r="D653" t="str">
            <v>Gobierno de México</v>
          </cell>
          <cell r="F653" t="str">
            <v>Renta Fija</v>
          </cell>
          <cell r="Q653" t="str">
            <v>RFIG</v>
          </cell>
        </row>
        <row r="654">
          <cell r="B654" t="str">
            <v>4974252S2BDC</v>
          </cell>
          <cell r="D654" t="str">
            <v>BD Capital - Senior Loans 2</v>
          </cell>
          <cell r="F654" t="str">
            <v>Renta Fija</v>
          </cell>
          <cell r="Q654" t="str">
            <v>RFLG</v>
          </cell>
        </row>
        <row r="655">
          <cell r="B655" t="str">
            <v>491105207SI3</v>
          </cell>
          <cell r="D655" t="str">
            <v>Sigma - Leasing Operativo 2</v>
          </cell>
          <cell r="F655" t="str">
            <v>Renta Fija</v>
          </cell>
          <cell r="Q655" t="str">
            <v>RFLG</v>
          </cell>
        </row>
        <row r="656">
          <cell r="B656" t="str">
            <v>4911022COABR</v>
          </cell>
          <cell r="D656" t="str">
            <v>Compass - Fondo de Inversión Acreencias High Yield</v>
          </cell>
          <cell r="F656" t="str">
            <v>Renta Fija</v>
          </cell>
          <cell r="Q656" t="str">
            <v>RFLG</v>
          </cell>
        </row>
        <row r="657">
          <cell r="B657" t="str">
            <v>4974252SLBDC</v>
          </cell>
          <cell r="D657" t="str">
            <v>BD Capital - Senior Loans A</v>
          </cell>
          <cell r="F657" t="str">
            <v>Renta Fija</v>
          </cell>
          <cell r="Q657" t="str">
            <v>RFLG</v>
          </cell>
        </row>
        <row r="658">
          <cell r="B658" t="str">
            <v>4974252SVBDC</v>
          </cell>
          <cell r="D658" t="str">
            <v>BD Capital - Senior Loans B</v>
          </cell>
          <cell r="F658" t="str">
            <v>Renta Fija</v>
          </cell>
          <cell r="Q658" t="str">
            <v>RFLG</v>
          </cell>
        </row>
        <row r="659">
          <cell r="B659" t="str">
            <v>4974252SCBDC</v>
          </cell>
          <cell r="D659" t="str">
            <v>BD Capital - Senior Loans C</v>
          </cell>
          <cell r="F659" t="str">
            <v>Renta Fija</v>
          </cell>
          <cell r="Q659" t="str">
            <v>RFLG</v>
          </cell>
        </row>
        <row r="660">
          <cell r="B660" t="str">
            <v>4911102LINAE</v>
          </cell>
          <cell r="D660" t="str">
            <v>Fond. de Inversión Activa Financiamiento Estructurado Peru II</v>
          </cell>
          <cell r="F660" t="str">
            <v>Renta Fija</v>
          </cell>
          <cell r="Q660" t="str">
            <v>RFLG</v>
          </cell>
        </row>
        <row r="661">
          <cell r="B661" t="str">
            <v>4911021COMHY</v>
          </cell>
          <cell r="D661" t="str">
            <v>Compass - Fondo de Inversión Acreencias High Yield</v>
          </cell>
          <cell r="F661" t="str">
            <v>Renta Fija</v>
          </cell>
          <cell r="Q661" t="str">
            <v>RFLG</v>
          </cell>
        </row>
        <row r="662">
          <cell r="B662" t="str">
            <v>4975141HMCPS</v>
          </cell>
          <cell r="D662" t="str">
            <v>Fondo HMC  II (PEN)</v>
          </cell>
          <cell r="F662" t="str">
            <v>Renta Fija</v>
          </cell>
          <cell r="Q662" t="str">
            <v>RFLG</v>
          </cell>
        </row>
        <row r="663">
          <cell r="B663" t="str">
            <v>4975142HMPDX</v>
          </cell>
          <cell r="D663" t="str">
            <v>Fondo HMC II (USD)</v>
          </cell>
          <cell r="F663" t="str">
            <v>Renta Fija</v>
          </cell>
          <cell r="Q663" t="str">
            <v>RFLG</v>
          </cell>
        </row>
        <row r="664">
          <cell r="B664" t="str">
            <v>4975141HM3SX</v>
          </cell>
          <cell r="D664" t="str">
            <v>Fondo HMC Crédito Perú III (PEN), FI</v>
          </cell>
          <cell r="F664" t="str">
            <v>Renta Fija</v>
          </cell>
          <cell r="Q664" t="str">
            <v>RFLG</v>
          </cell>
        </row>
        <row r="665">
          <cell r="B665" t="str">
            <v>4975142HM3DX</v>
          </cell>
          <cell r="D665" t="str">
            <v>Fondo HMC Crédito Perú III (USD), FI</v>
          </cell>
          <cell r="F665" t="str">
            <v>Renta Fija</v>
          </cell>
          <cell r="Q665" t="str">
            <v>RFLG</v>
          </cell>
        </row>
        <row r="666">
          <cell r="B666" t="str">
            <v>491105206SI1</v>
          </cell>
          <cell r="D666" t="str">
            <v>Sigma - Leasing Operativo</v>
          </cell>
          <cell r="F666" t="str">
            <v>Renta Fija</v>
          </cell>
          <cell r="Q666" t="str">
            <v>RFLG</v>
          </cell>
        </row>
        <row r="667">
          <cell r="B667" t="str">
            <v>4975142HMCHY</v>
          </cell>
          <cell r="D667" t="str">
            <v>Fondo HMC USD</v>
          </cell>
          <cell r="F667" t="str">
            <v>Renta Fija</v>
          </cell>
          <cell r="Q667" t="str">
            <v>RFLG</v>
          </cell>
        </row>
        <row r="668">
          <cell r="B668" t="str">
            <v>4911182HMCHY</v>
          </cell>
          <cell r="D668" t="str">
            <v>Fondo HMC USD</v>
          </cell>
          <cell r="F668" t="str">
            <v>Renta Fija</v>
          </cell>
          <cell r="Q668" t="str">
            <v>RFLG</v>
          </cell>
        </row>
        <row r="669">
          <cell r="B669" t="str">
            <v>18208920902A</v>
          </cell>
          <cell r="D669" t="str">
            <v xml:space="preserve">Perú LNG </v>
          </cell>
          <cell r="F669" t="str">
            <v>Renta Fija</v>
          </cell>
          <cell r="Q669" t="str">
            <v>RFLC</v>
          </cell>
        </row>
        <row r="670">
          <cell r="B670" t="str">
            <v>18208920903A</v>
          </cell>
          <cell r="D670" t="str">
            <v xml:space="preserve">Perú LNG </v>
          </cell>
          <cell r="F670" t="str">
            <v>Renta Fija</v>
          </cell>
          <cell r="Q670" t="str">
            <v>RFLC</v>
          </cell>
        </row>
        <row r="671">
          <cell r="B671" t="str">
            <v>18208920904A</v>
          </cell>
          <cell r="D671" t="str">
            <v xml:space="preserve">Perú LNG </v>
          </cell>
          <cell r="F671" t="str">
            <v>Renta Fija</v>
          </cell>
          <cell r="Q671" t="str">
            <v>RFLC</v>
          </cell>
        </row>
        <row r="672">
          <cell r="B672" t="str">
            <v>20001120901A</v>
          </cell>
          <cell r="D672" t="str">
            <v>Banco Continental</v>
          </cell>
          <cell r="F672" t="str">
            <v>Renta Fija</v>
          </cell>
          <cell r="Q672" t="str">
            <v>RFLC</v>
          </cell>
        </row>
        <row r="673">
          <cell r="B673" t="str">
            <v>20002221503U</v>
          </cell>
          <cell r="D673" t="str">
            <v>Banco Santander</v>
          </cell>
          <cell r="F673" t="str">
            <v>Renta Fija</v>
          </cell>
          <cell r="Q673" t="str">
            <v>RFLC</v>
          </cell>
        </row>
        <row r="674">
          <cell r="B674" t="str">
            <v>20009821004A</v>
          </cell>
          <cell r="D674" t="str">
            <v>Leasing Total</v>
          </cell>
          <cell r="F674" t="str">
            <v>Renta Fija</v>
          </cell>
          <cell r="Q674" t="str">
            <v>RFLC</v>
          </cell>
        </row>
        <row r="675">
          <cell r="B675" t="str">
            <v>20009821205A</v>
          </cell>
          <cell r="D675" t="str">
            <v>Leasing Total</v>
          </cell>
          <cell r="F675" t="str">
            <v>Renta Fija</v>
          </cell>
          <cell r="Q675" t="str">
            <v>RFLC</v>
          </cell>
        </row>
        <row r="676">
          <cell r="B676" t="str">
            <v>20009821303A</v>
          </cell>
          <cell r="D676" t="str">
            <v>Leasing Total</v>
          </cell>
          <cell r="F676" t="str">
            <v>Renta Fija</v>
          </cell>
          <cell r="Q676" t="str">
            <v>RFLC</v>
          </cell>
        </row>
        <row r="677">
          <cell r="B677" t="str">
            <v>21000220301A</v>
          </cell>
          <cell r="D677" t="str">
            <v>Banco de Crédito del Perú</v>
          </cell>
          <cell r="F677" t="str">
            <v>Renta Fija</v>
          </cell>
          <cell r="Q677" t="str">
            <v>RFLC</v>
          </cell>
        </row>
        <row r="678">
          <cell r="B678" t="str">
            <v>21000220301B</v>
          </cell>
          <cell r="D678" t="str">
            <v>Banco de Crédito del Perú</v>
          </cell>
          <cell r="F678" t="str">
            <v>Renta Fija</v>
          </cell>
          <cell r="Q678" t="str">
            <v>RFLC</v>
          </cell>
        </row>
        <row r="679">
          <cell r="B679" t="str">
            <v>21000220904A</v>
          </cell>
          <cell r="D679" t="str">
            <v>Banco de Crédito del Perú</v>
          </cell>
          <cell r="F679" t="str">
            <v>Renta Fija</v>
          </cell>
          <cell r="Q679" t="str">
            <v>RFLC</v>
          </cell>
        </row>
        <row r="680">
          <cell r="B680" t="str">
            <v>21000220904B</v>
          </cell>
          <cell r="D680" t="str">
            <v>Banco de Crédito del Perú</v>
          </cell>
          <cell r="F680" t="str">
            <v>Renta Fija</v>
          </cell>
          <cell r="Q680" t="str">
            <v>RFLC</v>
          </cell>
        </row>
        <row r="681">
          <cell r="B681" t="str">
            <v>21000220904C</v>
          </cell>
          <cell r="D681" t="str">
            <v>Banco de Crédito del Perú</v>
          </cell>
          <cell r="F681" t="str">
            <v>Renta Fija</v>
          </cell>
          <cell r="Q681" t="str">
            <v>RFLC</v>
          </cell>
        </row>
        <row r="682">
          <cell r="B682" t="str">
            <v>21000220904D</v>
          </cell>
          <cell r="D682" t="str">
            <v>Banco de Crédito del Perú</v>
          </cell>
          <cell r="F682" t="str">
            <v>Renta Fija</v>
          </cell>
          <cell r="Q682" t="str">
            <v>RFLC</v>
          </cell>
        </row>
        <row r="683">
          <cell r="B683" t="str">
            <v>21000320802B</v>
          </cell>
          <cell r="D683" t="str">
            <v xml:space="preserve">Banco Internacional del Perú </v>
          </cell>
          <cell r="F683" t="str">
            <v>Renta Fija</v>
          </cell>
          <cell r="Q683" t="str">
            <v>RFLC</v>
          </cell>
        </row>
        <row r="684">
          <cell r="B684" t="str">
            <v>21000320906A</v>
          </cell>
          <cell r="D684" t="str">
            <v xml:space="preserve">Banco Internacional del Perú </v>
          </cell>
          <cell r="F684" t="str">
            <v>Renta Fija</v>
          </cell>
          <cell r="Q684" t="str">
            <v>RFLC</v>
          </cell>
        </row>
        <row r="685">
          <cell r="B685" t="str">
            <v>21000321303A</v>
          </cell>
          <cell r="D685" t="str">
            <v xml:space="preserve">Banco Internacional del Perú </v>
          </cell>
          <cell r="F685" t="str">
            <v>Renta Fija</v>
          </cell>
          <cell r="Q685" t="str">
            <v>RFLC</v>
          </cell>
        </row>
        <row r="686">
          <cell r="B686" t="str">
            <v>21001120701A</v>
          </cell>
          <cell r="D686" t="str">
            <v>Banco Continental</v>
          </cell>
          <cell r="F686" t="str">
            <v>Renta Fija</v>
          </cell>
          <cell r="Q686" t="str">
            <v>RFLC</v>
          </cell>
        </row>
        <row r="687">
          <cell r="B687" t="str">
            <v>21001120702A</v>
          </cell>
          <cell r="D687" t="str">
            <v>Banco Continental</v>
          </cell>
          <cell r="F687" t="str">
            <v>Renta Fija</v>
          </cell>
          <cell r="Q687" t="str">
            <v>RFLC</v>
          </cell>
        </row>
        <row r="688">
          <cell r="B688" t="str">
            <v>21001120803A</v>
          </cell>
          <cell r="D688" t="str">
            <v>Banco Continental</v>
          </cell>
          <cell r="F688" t="str">
            <v>Renta Fija</v>
          </cell>
          <cell r="Q688" t="str">
            <v>RFLC</v>
          </cell>
        </row>
        <row r="689">
          <cell r="B689" t="str">
            <v>21001121301U</v>
          </cell>
          <cell r="D689" t="str">
            <v>Banco Continental</v>
          </cell>
          <cell r="F689" t="str">
            <v>Renta Fija</v>
          </cell>
          <cell r="Q689" t="str">
            <v>RFLC</v>
          </cell>
        </row>
        <row r="690">
          <cell r="B690" t="str">
            <v>21003521503U</v>
          </cell>
          <cell r="D690" t="str">
            <v>Banco Financiero</v>
          </cell>
          <cell r="F690" t="str">
            <v>Renta Fija</v>
          </cell>
          <cell r="Q690" t="str">
            <v>RFLC</v>
          </cell>
        </row>
        <row r="691">
          <cell r="B691" t="str">
            <v>22583521701U</v>
          </cell>
          <cell r="D691" t="str">
            <v>Inca Rail</v>
          </cell>
          <cell r="F691" t="str">
            <v>Renta Fija</v>
          </cell>
          <cell r="Q691" t="str">
            <v>RFLC</v>
          </cell>
        </row>
        <row r="692">
          <cell r="B692" t="str">
            <v>21003820905A</v>
          </cell>
          <cell r="D692" t="str">
            <v>Banco Interamericano de Finanzas</v>
          </cell>
          <cell r="F692" t="str">
            <v>Renta Fija</v>
          </cell>
          <cell r="Q692" t="str">
            <v>RFLC</v>
          </cell>
        </row>
        <row r="693">
          <cell r="B693" t="str">
            <v>21003821703C</v>
          </cell>
          <cell r="D693" t="str">
            <v>Banco Interamericano de Finanzas</v>
          </cell>
          <cell r="F693" t="str">
            <v>Renta Fija</v>
          </cell>
          <cell r="Q693" t="str">
            <v>RFLC</v>
          </cell>
        </row>
        <row r="694">
          <cell r="B694" t="str">
            <v>21015121401U</v>
          </cell>
          <cell r="D694" t="str">
            <v>Interseguro</v>
          </cell>
          <cell r="F694" t="str">
            <v>Renta Fija</v>
          </cell>
          <cell r="Q694" t="str">
            <v>RFLC</v>
          </cell>
        </row>
        <row r="695">
          <cell r="B695" t="str">
            <v>21015121402U</v>
          </cell>
          <cell r="D695" t="str">
            <v>Interseguro</v>
          </cell>
          <cell r="F695" t="str">
            <v>Renta Fija</v>
          </cell>
          <cell r="Q695" t="str">
            <v>RFLC</v>
          </cell>
        </row>
        <row r="696">
          <cell r="B696" t="str">
            <v>21015122401A</v>
          </cell>
          <cell r="D696" t="str">
            <v>Interseguro</v>
          </cell>
          <cell r="F696" t="str">
            <v>Renta Fija</v>
          </cell>
          <cell r="Q696" t="str">
            <v>RFLC</v>
          </cell>
        </row>
        <row r="697">
          <cell r="B697" t="str">
            <v>2702042CA11U</v>
          </cell>
          <cell r="D697" t="str">
            <v>Casa Andina (Scotia Sociedad Titulizadora)</v>
          </cell>
          <cell r="F697" t="str">
            <v>Renta Fija</v>
          </cell>
          <cell r="Q697" t="str">
            <v>RFLC</v>
          </cell>
        </row>
        <row r="698">
          <cell r="B698" t="str">
            <v>27020422001U</v>
          </cell>
          <cell r="D698" t="str">
            <v>Hoteles Costa del Sol (Scotia Sociedad Titulizadora)</v>
          </cell>
          <cell r="F698" t="str">
            <v>Renta Fija</v>
          </cell>
          <cell r="Q698" t="str">
            <v>RFLC</v>
          </cell>
        </row>
        <row r="699">
          <cell r="B699" t="str">
            <v>21015421101A</v>
          </cell>
          <cell r="D699" t="str">
            <v>Pacífico Peruano Suiza</v>
          </cell>
          <cell r="F699" t="str">
            <v>Renta Fija</v>
          </cell>
          <cell r="Q699" t="str">
            <v>RFLC</v>
          </cell>
        </row>
        <row r="700">
          <cell r="B700" t="str">
            <v>2702022AT02A</v>
          </cell>
          <cell r="D700" t="str">
            <v xml:space="preserve">Creditítulos Sociedad Titulizadora </v>
          </cell>
          <cell r="F700" t="str">
            <v>Renta Fija</v>
          </cell>
          <cell r="Q700" t="str">
            <v>RFLC</v>
          </cell>
        </row>
        <row r="701">
          <cell r="B701" t="str">
            <v>2702022ADP4U</v>
          </cell>
          <cell r="D701" t="str">
            <v xml:space="preserve">Creditítulos Sociedad Titulizadora </v>
          </cell>
          <cell r="F701" t="str">
            <v>Renta Fija</v>
          </cell>
          <cell r="Q701" t="str">
            <v>RFLC</v>
          </cell>
        </row>
        <row r="702">
          <cell r="B702" t="str">
            <v>22206121006A</v>
          </cell>
          <cell r="D702" t="str">
            <v xml:space="preserve">Energía del Sur </v>
          </cell>
          <cell r="F702" t="str">
            <v>Renta Fija</v>
          </cell>
          <cell r="Q702" t="str">
            <v>RFLC</v>
          </cell>
        </row>
        <row r="703">
          <cell r="B703" t="str">
            <v>22200221003A</v>
          </cell>
          <cell r="D703" t="str">
            <v>Cemento Andino</v>
          </cell>
          <cell r="F703" t="str">
            <v>Renta Fija</v>
          </cell>
          <cell r="Q703" t="str">
            <v>RFLC</v>
          </cell>
        </row>
        <row r="704">
          <cell r="B704" t="str">
            <v>22203220808A</v>
          </cell>
          <cell r="D704" t="str">
            <v xml:space="preserve">Edegel </v>
          </cell>
          <cell r="F704" t="str">
            <v>Renta Fija</v>
          </cell>
          <cell r="Q704" t="str">
            <v>RFLC</v>
          </cell>
        </row>
        <row r="705">
          <cell r="B705" t="str">
            <v>22203220810A</v>
          </cell>
          <cell r="D705" t="str">
            <v xml:space="preserve">Edegel </v>
          </cell>
          <cell r="F705" t="str">
            <v>Renta Fija</v>
          </cell>
          <cell r="Q705" t="str">
            <v>RFLC</v>
          </cell>
        </row>
        <row r="706">
          <cell r="B706" t="str">
            <v>22203220911A</v>
          </cell>
          <cell r="D706" t="str">
            <v xml:space="preserve">Edegel </v>
          </cell>
          <cell r="F706" t="str">
            <v>Renta Fija</v>
          </cell>
          <cell r="Q706" t="str">
            <v>RFLC</v>
          </cell>
        </row>
        <row r="707">
          <cell r="B707" t="str">
            <v>22203221004A</v>
          </cell>
          <cell r="D707" t="str">
            <v xml:space="preserve">Edegel </v>
          </cell>
          <cell r="F707" t="str">
            <v>Renta Fija</v>
          </cell>
          <cell r="Q707" t="str">
            <v>RFLC</v>
          </cell>
        </row>
        <row r="708">
          <cell r="B708" t="str">
            <v>22203221005A</v>
          </cell>
          <cell r="D708" t="str">
            <v xml:space="preserve">Edegel </v>
          </cell>
          <cell r="F708" t="str">
            <v>Renta Fija</v>
          </cell>
          <cell r="Q708" t="str">
            <v>RFLC</v>
          </cell>
        </row>
        <row r="709">
          <cell r="B709" t="str">
            <v>22204721101A</v>
          </cell>
          <cell r="D709" t="str">
            <v xml:space="preserve">Duke Energy International Egenor </v>
          </cell>
          <cell r="F709" t="str">
            <v>Renta Fija</v>
          </cell>
          <cell r="Q709" t="str">
            <v>RFLC</v>
          </cell>
        </row>
        <row r="710">
          <cell r="B710" t="str">
            <v>22204721202A</v>
          </cell>
          <cell r="D710" t="str">
            <v xml:space="preserve">Duke Energy International Egenor </v>
          </cell>
          <cell r="F710" t="str">
            <v>Renta Fija</v>
          </cell>
          <cell r="Q710" t="str">
            <v>RFLC</v>
          </cell>
        </row>
        <row r="711">
          <cell r="B711" t="str">
            <v>22205420101B</v>
          </cell>
          <cell r="D711" t="str">
            <v xml:space="preserve">Consorcio Agua Azul </v>
          </cell>
          <cell r="F711" t="str">
            <v>Renta Fija</v>
          </cell>
          <cell r="Q711" t="str">
            <v>RFLC</v>
          </cell>
        </row>
        <row r="712">
          <cell r="B712" t="str">
            <v>22205420201C</v>
          </cell>
          <cell r="D712" t="str">
            <v xml:space="preserve">Consorcio Agua Azul </v>
          </cell>
          <cell r="F712" t="str">
            <v>Renta Fija</v>
          </cell>
          <cell r="Q712" t="str">
            <v>RFLC</v>
          </cell>
        </row>
        <row r="713">
          <cell r="B713" t="str">
            <v>22205820405A</v>
          </cell>
          <cell r="D713" t="str">
            <v xml:space="preserve">Red de Energía del Perú </v>
          </cell>
          <cell r="F713" t="str">
            <v>Renta Fija</v>
          </cell>
          <cell r="Q713" t="str">
            <v>RFLC</v>
          </cell>
        </row>
        <row r="714">
          <cell r="B714" t="str">
            <v>22205820704A</v>
          </cell>
          <cell r="D714" t="str">
            <v xml:space="preserve">Red de Energía del Perú </v>
          </cell>
          <cell r="F714" t="str">
            <v>Renta Fija</v>
          </cell>
          <cell r="Q714" t="str">
            <v>RFLC</v>
          </cell>
        </row>
        <row r="715">
          <cell r="B715" t="str">
            <v>22205820915A</v>
          </cell>
          <cell r="D715" t="str">
            <v>Leasing Total</v>
          </cell>
          <cell r="F715" t="str">
            <v>Renta Fija</v>
          </cell>
          <cell r="Q715" t="str">
            <v>RFLC</v>
          </cell>
        </row>
        <row r="716">
          <cell r="B716" t="str">
            <v>22205821017A</v>
          </cell>
          <cell r="D716" t="str">
            <v xml:space="preserve">Red de Energía del Perú </v>
          </cell>
          <cell r="F716" t="str">
            <v>Renta Fija</v>
          </cell>
          <cell r="Q716" t="str">
            <v>RFLC</v>
          </cell>
        </row>
        <row r="717">
          <cell r="B717" t="str">
            <v>22205821020A</v>
          </cell>
          <cell r="D717" t="str">
            <v xml:space="preserve">Red de Energía del Perú </v>
          </cell>
          <cell r="F717" t="str">
            <v>Renta Fija</v>
          </cell>
          <cell r="Q717" t="str">
            <v>RFLC</v>
          </cell>
        </row>
        <row r="718">
          <cell r="B718" t="str">
            <v>22584221801U</v>
          </cell>
          <cell r="D718" t="str">
            <v>Inversiones Nacionales de Turismo S.A.</v>
          </cell>
          <cell r="F718" t="str">
            <v>Renta Fija</v>
          </cell>
          <cell r="Q718" t="str">
            <v>RFLC</v>
          </cell>
        </row>
        <row r="719">
          <cell r="B719" t="str">
            <v>22205821303A</v>
          </cell>
          <cell r="D719" t="str">
            <v xml:space="preserve">Red de Energía del Perú </v>
          </cell>
          <cell r="F719" t="str">
            <v>Renta Fija</v>
          </cell>
          <cell r="Q719" t="str">
            <v>RFLC</v>
          </cell>
        </row>
        <row r="720">
          <cell r="B720" t="str">
            <v>22205821407A</v>
          </cell>
          <cell r="D720" t="str">
            <v xml:space="preserve">Red de Energía del Perú </v>
          </cell>
          <cell r="F720" t="str">
            <v>Renta Fija</v>
          </cell>
          <cell r="Q720" t="str">
            <v>RFLC</v>
          </cell>
        </row>
        <row r="721">
          <cell r="B721" t="str">
            <v>22206120803U</v>
          </cell>
          <cell r="D721" t="str">
            <v xml:space="preserve">Energía del Sur </v>
          </cell>
          <cell r="F721" t="str">
            <v>Renta Fija</v>
          </cell>
          <cell r="Q721" t="str">
            <v>RFLC</v>
          </cell>
        </row>
        <row r="722">
          <cell r="B722" t="str">
            <v>21015121901U</v>
          </cell>
          <cell r="D722" t="str">
            <v>Interseguro</v>
          </cell>
          <cell r="F722" t="str">
            <v>Renta Fija</v>
          </cell>
          <cell r="Q722" t="str">
            <v>RFLC</v>
          </cell>
        </row>
        <row r="723">
          <cell r="B723" t="str">
            <v>22207120601A</v>
          </cell>
          <cell r="D723" t="str">
            <v xml:space="preserve">Concesionario Trasvase Olmos </v>
          </cell>
          <cell r="F723" t="str">
            <v>Renta Fija</v>
          </cell>
          <cell r="Q723" t="str">
            <v>RFLC</v>
          </cell>
        </row>
        <row r="724">
          <cell r="B724" t="str">
            <v>22207120702A</v>
          </cell>
          <cell r="D724" t="str">
            <v xml:space="preserve">Concesionario Trasvase Olmos </v>
          </cell>
          <cell r="F724" t="str">
            <v>Renta Fija</v>
          </cell>
          <cell r="Q724" t="str">
            <v>RFLC</v>
          </cell>
        </row>
        <row r="725">
          <cell r="B725" t="str">
            <v>22207620601A</v>
          </cell>
          <cell r="D725" t="str">
            <v xml:space="preserve">Pluspetrol Camisea </v>
          </cell>
          <cell r="F725" t="str">
            <v>Renta Fija</v>
          </cell>
          <cell r="Q725" t="str">
            <v>RFLC</v>
          </cell>
        </row>
        <row r="726">
          <cell r="B726" t="str">
            <v>22207620601B</v>
          </cell>
          <cell r="D726" t="str">
            <v xml:space="preserve">Pluspetrol Camisea </v>
          </cell>
          <cell r="F726" t="str">
            <v>Renta Fija</v>
          </cell>
          <cell r="Q726" t="str">
            <v>RFLC</v>
          </cell>
        </row>
        <row r="727">
          <cell r="B727" t="str">
            <v>22208820901U</v>
          </cell>
          <cell r="D727" t="str">
            <v>Kallpa Generación S.A</v>
          </cell>
          <cell r="F727" t="str">
            <v>Renta Fija</v>
          </cell>
          <cell r="Q727" t="str">
            <v>RFLC</v>
          </cell>
        </row>
        <row r="728">
          <cell r="B728" t="str">
            <v>22209321001A</v>
          </cell>
          <cell r="D728" t="str">
            <v>Pluspetrol Lote 56</v>
          </cell>
          <cell r="F728" t="str">
            <v>Renta Fija</v>
          </cell>
          <cell r="Q728" t="str">
            <v>RFLC</v>
          </cell>
        </row>
        <row r="729">
          <cell r="B729" t="str">
            <v>22209321002A</v>
          </cell>
          <cell r="D729" t="str">
            <v>Pluspetrol Lote 56</v>
          </cell>
          <cell r="F729" t="str">
            <v>Renta Fija</v>
          </cell>
          <cell r="Q729" t="str">
            <v>RFLC</v>
          </cell>
        </row>
        <row r="730">
          <cell r="B730" t="str">
            <v>22210821102A</v>
          </cell>
          <cell r="D730" t="str">
            <v>Ferreycorp S.A.A.</v>
          </cell>
          <cell r="F730" t="str">
            <v>Renta Fija</v>
          </cell>
          <cell r="Q730" t="str">
            <v>RFLC</v>
          </cell>
        </row>
        <row r="731">
          <cell r="B731" t="str">
            <v>22210821102B</v>
          </cell>
          <cell r="D731" t="str">
            <v>Ferreycorp S.A.A.</v>
          </cell>
          <cell r="F731" t="str">
            <v>Renta Fija</v>
          </cell>
          <cell r="Q731" t="str">
            <v>RFLC</v>
          </cell>
        </row>
        <row r="732">
          <cell r="B732" t="str">
            <v>21015121902U</v>
          </cell>
          <cell r="D732" t="str">
            <v>Interseguro</v>
          </cell>
          <cell r="F732" t="str">
            <v>Renta Fija</v>
          </cell>
          <cell r="Q732" t="str">
            <v>RFLC</v>
          </cell>
        </row>
        <row r="733">
          <cell r="B733" t="str">
            <v>21015122003U</v>
          </cell>
          <cell r="D733" t="str">
            <v>Interseguro</v>
          </cell>
          <cell r="F733" t="str">
            <v>Renta Fija</v>
          </cell>
          <cell r="Q733" t="str">
            <v>RFLC</v>
          </cell>
        </row>
        <row r="734">
          <cell r="B734" t="str">
            <v>22230420945A</v>
          </cell>
          <cell r="D734" t="str">
            <v xml:space="preserve">Telefónica del Perú </v>
          </cell>
          <cell r="F734" t="str">
            <v>Renta Fija</v>
          </cell>
          <cell r="Q734" t="str">
            <v>RFLC</v>
          </cell>
        </row>
        <row r="735">
          <cell r="B735" t="str">
            <v>22212521501A</v>
          </cell>
          <cell r="D735" t="str">
            <v>Jockey Plaza</v>
          </cell>
          <cell r="F735" t="str">
            <v>Renta Fija</v>
          </cell>
          <cell r="Q735" t="str">
            <v>RFLC</v>
          </cell>
        </row>
        <row r="736">
          <cell r="B736" t="str">
            <v>25001120704A</v>
          </cell>
          <cell r="D736" t="str">
            <v>Banco Continental</v>
          </cell>
          <cell r="F736" t="str">
            <v>Renta Fija</v>
          </cell>
          <cell r="Q736" t="str">
            <v>RFLC</v>
          </cell>
        </row>
        <row r="737">
          <cell r="B737" t="str">
            <v>25008721306A</v>
          </cell>
          <cell r="D737" t="str">
            <v>Banco Falabella</v>
          </cell>
          <cell r="F737" t="str">
            <v>Renta Fija</v>
          </cell>
          <cell r="Q737" t="str">
            <v>RFLC</v>
          </cell>
        </row>
        <row r="738">
          <cell r="B738" t="str">
            <v>2702022AT01A</v>
          </cell>
          <cell r="D738" t="str">
            <v>Leasing Total</v>
          </cell>
          <cell r="F738" t="str">
            <v>Renta Fija</v>
          </cell>
          <cell r="Q738" t="str">
            <v>RFLC</v>
          </cell>
        </row>
        <row r="739">
          <cell r="B739" t="str">
            <v>2702022H101A</v>
          </cell>
          <cell r="D739" t="str">
            <v xml:space="preserve">Creditítulos Sociedad Titulizadora </v>
          </cell>
          <cell r="F739" t="str">
            <v>Renta Fija</v>
          </cell>
          <cell r="Q739" t="str">
            <v>RFLC</v>
          </cell>
        </row>
        <row r="740">
          <cell r="B740" t="str">
            <v>2702022H102A</v>
          </cell>
          <cell r="D740" t="str">
            <v xml:space="preserve">Creditítulos Sociedad Titulizadora </v>
          </cell>
          <cell r="F740" t="str">
            <v>Renta Fija</v>
          </cell>
          <cell r="Q740" t="str">
            <v>RFLC</v>
          </cell>
        </row>
        <row r="741">
          <cell r="B741" t="str">
            <v>2702022H103A</v>
          </cell>
          <cell r="D741" t="str">
            <v xml:space="preserve">Creditítulos Sociedad Titulizadora </v>
          </cell>
          <cell r="F741" t="str">
            <v>Renta Fija</v>
          </cell>
          <cell r="Q741" t="str">
            <v>RFLC</v>
          </cell>
        </row>
        <row r="742">
          <cell r="B742" t="str">
            <v>2702022H307A</v>
          </cell>
          <cell r="D742" t="str">
            <v xml:space="preserve">Creditítulos Sociedad Titulizadora </v>
          </cell>
          <cell r="F742" t="str">
            <v>Renta Fija</v>
          </cell>
          <cell r="Q742" t="str">
            <v>RFLC</v>
          </cell>
        </row>
        <row r="743">
          <cell r="B743" t="str">
            <v>2702022H308A</v>
          </cell>
          <cell r="D743" t="str">
            <v xml:space="preserve">Creditítulos Sociedad Titulizadora </v>
          </cell>
          <cell r="F743" t="str">
            <v>Renta Fija</v>
          </cell>
          <cell r="Q743" t="str">
            <v>RFLC</v>
          </cell>
        </row>
        <row r="744">
          <cell r="B744" t="str">
            <v>2702022H310A</v>
          </cell>
          <cell r="D744" t="str">
            <v xml:space="preserve">Creditítulos Sociedad Titulizadora </v>
          </cell>
          <cell r="F744" t="str">
            <v>Renta Fija</v>
          </cell>
          <cell r="Q744" t="str">
            <v>RFLC</v>
          </cell>
        </row>
        <row r="745">
          <cell r="B745" t="str">
            <v>27020321301A</v>
          </cell>
          <cell r="D745" t="str">
            <v>Continental Sociedad Titulizadora</v>
          </cell>
          <cell r="F745" t="str">
            <v>Renta Fija</v>
          </cell>
          <cell r="Q745" t="str">
            <v>RFLC</v>
          </cell>
        </row>
        <row r="746">
          <cell r="B746" t="str">
            <v>2702042LR01U</v>
          </cell>
          <cell r="D746" t="str">
            <v xml:space="preserve">Scotia Sociedad Titulizadora </v>
          </cell>
          <cell r="F746" t="str">
            <v>Renta Fija</v>
          </cell>
          <cell r="Q746" t="str">
            <v>RFLC</v>
          </cell>
        </row>
        <row r="747">
          <cell r="B747" t="str">
            <v>2702042TRSU1</v>
          </cell>
          <cell r="D747" t="str">
            <v xml:space="preserve">Scotia Sociedad Titulizadora </v>
          </cell>
          <cell r="F747" t="str">
            <v>Renta Fija</v>
          </cell>
          <cell r="Q747" t="str">
            <v>RFLC</v>
          </cell>
        </row>
        <row r="748">
          <cell r="B748" t="str">
            <v>2702042TRSU2</v>
          </cell>
          <cell r="D748" t="str">
            <v xml:space="preserve">Scotia Sociedad Titulizadora </v>
          </cell>
          <cell r="F748" t="str">
            <v>Renta Fija</v>
          </cell>
          <cell r="Q748" t="str">
            <v>RFLC</v>
          </cell>
        </row>
        <row r="749">
          <cell r="B749" t="str">
            <v>21015422002A</v>
          </cell>
          <cell r="D749" t="str">
            <v>Pacífico Peruano Suiza</v>
          </cell>
          <cell r="F749" t="str">
            <v>Renta Fija</v>
          </cell>
          <cell r="Q749" t="str">
            <v>RFLC</v>
          </cell>
        </row>
        <row r="750">
          <cell r="B750" t="str">
            <v>21015422302B</v>
          </cell>
          <cell r="D750" t="str">
            <v>Pacífico Peruano Suiza</v>
          </cell>
          <cell r="F750" t="str">
            <v>Renta Fija</v>
          </cell>
          <cell r="Q750" t="str">
            <v>RFLC</v>
          </cell>
        </row>
        <row r="751">
          <cell r="B751" t="str">
            <v>2743342RDOR1</v>
          </cell>
          <cell r="D751" t="str">
            <v>Red Dorsal</v>
          </cell>
          <cell r="F751" t="str">
            <v>Renta Fija</v>
          </cell>
          <cell r="Q751" t="str">
            <v>RFLC</v>
          </cell>
        </row>
        <row r="752">
          <cell r="B752" t="str">
            <v>28000320401A</v>
          </cell>
          <cell r="D752" t="str">
            <v xml:space="preserve">Banco Internacional del Perú </v>
          </cell>
          <cell r="F752" t="str">
            <v>Renta Fija</v>
          </cell>
          <cell r="Q752" t="str">
            <v>RFLC</v>
          </cell>
        </row>
        <row r="753">
          <cell r="B753" t="str">
            <v>28000320502B</v>
          </cell>
          <cell r="D753" t="str">
            <v xml:space="preserve">Banco Internacional del Perú </v>
          </cell>
          <cell r="F753" t="str">
            <v>Renta Fija</v>
          </cell>
          <cell r="Q753" t="str">
            <v>RFLC</v>
          </cell>
        </row>
        <row r="754">
          <cell r="B754" t="str">
            <v>28003820702B</v>
          </cell>
          <cell r="D754" t="str">
            <v>Banco Interamericano de Finanzas</v>
          </cell>
          <cell r="F754" t="str">
            <v>Renta Fija</v>
          </cell>
          <cell r="Q754" t="str">
            <v>RFLC</v>
          </cell>
        </row>
        <row r="755">
          <cell r="B755" t="str">
            <v>28003820702C</v>
          </cell>
          <cell r="D755" t="str">
            <v>Banco Interamericano de Finanzas</v>
          </cell>
          <cell r="F755" t="str">
            <v>Renta Fija</v>
          </cell>
          <cell r="Q755" t="str">
            <v>RFLC</v>
          </cell>
        </row>
        <row r="756">
          <cell r="B756" t="str">
            <v>3743332FINF2</v>
          </cell>
          <cell r="D756" t="str">
            <v>Scotia - Fideicomiso de Infraestructura</v>
          </cell>
          <cell r="F756" t="str">
            <v>Renta Fija</v>
          </cell>
          <cell r="Q756" t="str">
            <v>RFLC</v>
          </cell>
        </row>
        <row r="757">
          <cell r="B757" t="str">
            <v>47020221001J</v>
          </cell>
          <cell r="D757" t="str">
            <v xml:space="preserve">Creditítulos Sociedad Titulizadora </v>
          </cell>
          <cell r="F757" t="str">
            <v>Renta Fija</v>
          </cell>
          <cell r="Q757" t="str">
            <v>RFLC</v>
          </cell>
        </row>
        <row r="758">
          <cell r="B758" t="str">
            <v>47020221001P</v>
          </cell>
          <cell r="D758" t="str">
            <v xml:space="preserve">Creditítulos Sociedad Titulizadora </v>
          </cell>
          <cell r="F758" t="str">
            <v>Renta Fija</v>
          </cell>
          <cell r="Q758" t="str">
            <v>RFLC</v>
          </cell>
        </row>
        <row r="759">
          <cell r="B759" t="str">
            <v>47020320701J</v>
          </cell>
          <cell r="D759" t="str">
            <v>Continental Sociedad Titulizadora</v>
          </cell>
          <cell r="F759" t="str">
            <v>Renta Fija</v>
          </cell>
          <cell r="Q759" t="str">
            <v>RFLC</v>
          </cell>
        </row>
        <row r="760">
          <cell r="B760" t="str">
            <v>47020320701P</v>
          </cell>
          <cell r="D760" t="str">
            <v>Continental Sociedad Titulizadora</v>
          </cell>
          <cell r="F760" t="str">
            <v>Renta Fija</v>
          </cell>
          <cell r="Q760" t="str">
            <v>RFLC</v>
          </cell>
        </row>
        <row r="761">
          <cell r="B761" t="str">
            <v>21004921601A</v>
          </cell>
          <cell r="D761" t="str">
            <v>GNB</v>
          </cell>
          <cell r="F761" t="str">
            <v>Renta Fija</v>
          </cell>
          <cell r="Q761" t="str">
            <v>RFLC</v>
          </cell>
        </row>
        <row r="762">
          <cell r="B762" t="str">
            <v>22206120904A</v>
          </cell>
          <cell r="D762" t="str">
            <v>Energía del Sur</v>
          </cell>
          <cell r="F762" t="str">
            <v>Renta Fija</v>
          </cell>
          <cell r="Q762" t="str">
            <v>RFLC</v>
          </cell>
        </row>
        <row r="763">
          <cell r="B763" t="str">
            <v>22203220901A</v>
          </cell>
          <cell r="D763" t="str">
            <v>Edegel</v>
          </cell>
          <cell r="F763" t="str">
            <v>Renta Fija</v>
          </cell>
          <cell r="Q763" t="str">
            <v>RFLC</v>
          </cell>
        </row>
        <row r="764">
          <cell r="B764" t="str">
            <v>25001121206A</v>
          </cell>
          <cell r="D764" t="str">
            <v>Banco Continental</v>
          </cell>
          <cell r="F764" t="str">
            <v>Renta Fija</v>
          </cell>
          <cell r="Q764" t="str">
            <v>RFLC</v>
          </cell>
        </row>
        <row r="765">
          <cell r="B765" t="str">
            <v>23204321701B</v>
          </cell>
          <cell r="D765" t="str">
            <v>Volcan Cia. Minera</v>
          </cell>
          <cell r="F765" t="str">
            <v>Renta Fija</v>
          </cell>
          <cell r="Q765" t="str">
            <v>RFLC</v>
          </cell>
        </row>
        <row r="766">
          <cell r="B766" t="str">
            <v>25003520804A</v>
          </cell>
          <cell r="D766" t="str">
            <v>Banco Financiero</v>
          </cell>
          <cell r="F766" t="str">
            <v>Renta Fija</v>
          </cell>
          <cell r="Q766" t="str">
            <v>RFLC</v>
          </cell>
        </row>
        <row r="767">
          <cell r="B767" t="str">
            <v>05202922101U</v>
          </cell>
          <cell r="D767" t="str">
            <v>AENZA S.A.A. (antes Graña &amp; Montero S.A.A.)</v>
          </cell>
          <cell r="F767" t="str">
            <v>Renta Fija</v>
          </cell>
          <cell r="Q767" t="str">
            <v>RFLC</v>
          </cell>
        </row>
        <row r="768">
          <cell r="B768" t="str">
            <v>22205821204A</v>
          </cell>
          <cell r="D768" t="str">
            <v xml:space="preserve">Red de Energía del Perú </v>
          </cell>
          <cell r="F768" t="str">
            <v>Renta Fija</v>
          </cell>
          <cell r="Q768" t="str">
            <v>RFLC</v>
          </cell>
        </row>
        <row r="769">
          <cell r="B769" t="str">
            <v>1256692LAA47</v>
          </cell>
          <cell r="D769" t="str">
            <v>CEMPRO 7 1/8 11/06/23</v>
          </cell>
          <cell r="F769" t="str">
            <v>Renta Fija</v>
          </cell>
          <cell r="Q769" t="str">
            <v>RFLC</v>
          </cell>
        </row>
        <row r="770">
          <cell r="B770" t="str">
            <v>1257382RAD81</v>
          </cell>
          <cell r="D770" t="str">
            <v>Ocensa</v>
          </cell>
          <cell r="F770" t="str">
            <v>Renta Fija</v>
          </cell>
          <cell r="Q770" t="str">
            <v>RFLC</v>
          </cell>
        </row>
        <row r="771">
          <cell r="B771" t="str">
            <v>1257382RAC09</v>
          </cell>
          <cell r="D771" t="str">
            <v>Ocensa</v>
          </cell>
          <cell r="F771" t="str">
            <v>Renta Fija</v>
          </cell>
          <cell r="Q771" t="str">
            <v>RFLC</v>
          </cell>
        </row>
        <row r="772">
          <cell r="B772" t="str">
            <v>165172231857</v>
          </cell>
          <cell r="D772" t="str">
            <v>IFH Perú Ltd.</v>
          </cell>
          <cell r="F772" t="str">
            <v>Renta Fija</v>
          </cell>
          <cell r="Q772" t="str">
            <v>RFLC</v>
          </cell>
        </row>
        <row r="773">
          <cell r="B773" t="str">
            <v>182111238405</v>
          </cell>
          <cell r="D773" t="str">
            <v>Reserva Fría Etén</v>
          </cell>
          <cell r="F773" t="str">
            <v>Renta Fija</v>
          </cell>
          <cell r="Q773" t="str">
            <v>RFLC</v>
          </cell>
        </row>
        <row r="774">
          <cell r="B774" t="str">
            <v>2100022V2D64</v>
          </cell>
          <cell r="D774" t="str">
            <v>Banco de Crédito del Perú</v>
          </cell>
          <cell r="F774" t="str">
            <v>Renta Fija</v>
          </cell>
          <cell r="Q774" t="str">
            <v>RFLC</v>
          </cell>
        </row>
        <row r="775">
          <cell r="B775" t="str">
            <v>2100022V2H78</v>
          </cell>
          <cell r="D775" t="str">
            <v>Banco de Crédito del Perú</v>
          </cell>
          <cell r="F775" t="str">
            <v>Renta Fija</v>
          </cell>
          <cell r="Q775" t="str">
            <v>RFLC</v>
          </cell>
        </row>
        <row r="776">
          <cell r="B776" t="str">
            <v>2100022V2K08</v>
          </cell>
          <cell r="D776" t="str">
            <v>Banco de Crédito del Perú</v>
          </cell>
          <cell r="F776" t="str">
            <v>Renta Fija</v>
          </cell>
          <cell r="Q776" t="str">
            <v>RFLC</v>
          </cell>
        </row>
        <row r="777">
          <cell r="B777" t="str">
            <v>2100022V2J35</v>
          </cell>
          <cell r="D777" t="str">
            <v>Banco de Crédito del Perú</v>
          </cell>
          <cell r="F777" t="str">
            <v>Renta Fija</v>
          </cell>
          <cell r="Q777" t="str">
            <v>RFLC</v>
          </cell>
        </row>
        <row r="778">
          <cell r="B778" t="str">
            <v>21000224AB92</v>
          </cell>
          <cell r="D778" t="str">
            <v>Banco de Crédito del Perú</v>
          </cell>
          <cell r="F778" t="str">
            <v>Renta Fija</v>
          </cell>
          <cell r="Q778" t="str">
            <v>RFLC</v>
          </cell>
        </row>
        <row r="779">
          <cell r="B779" t="str">
            <v>21000225AA37</v>
          </cell>
          <cell r="D779" t="str">
            <v>Banco de Crédito del Perú</v>
          </cell>
          <cell r="F779" t="str">
            <v>Renta Fija</v>
          </cell>
          <cell r="Q779" t="str">
            <v>RFLC</v>
          </cell>
        </row>
        <row r="780">
          <cell r="B780" t="str">
            <v>21000226AD58</v>
          </cell>
          <cell r="D780" t="str">
            <v>Banco de Crédito del Perú</v>
          </cell>
          <cell r="F780" t="str">
            <v>Renta Fija</v>
          </cell>
          <cell r="Q780" t="str">
            <v>RFLC</v>
          </cell>
        </row>
        <row r="781">
          <cell r="B781" t="str">
            <v>21000226AE32</v>
          </cell>
          <cell r="D781" t="str">
            <v>Banco de Crédito del Perú</v>
          </cell>
          <cell r="F781" t="str">
            <v>Renta Fija</v>
          </cell>
          <cell r="Q781" t="str">
            <v>RFLC</v>
          </cell>
        </row>
        <row r="782">
          <cell r="B782" t="str">
            <v>21000226AG89</v>
          </cell>
          <cell r="D782" t="str">
            <v>Banco de Crédito del Perú</v>
          </cell>
          <cell r="F782" t="str">
            <v>Renta Fija</v>
          </cell>
          <cell r="Q782" t="str">
            <v>RFLC</v>
          </cell>
        </row>
        <row r="783">
          <cell r="B783" t="str">
            <v>2100022TAA97</v>
          </cell>
          <cell r="D783" t="str">
            <v>Banco de Crédito del Perú</v>
          </cell>
          <cell r="F783" t="str">
            <v>Renta Fija</v>
          </cell>
          <cell r="Q783" t="str">
            <v>RFLC</v>
          </cell>
        </row>
        <row r="784">
          <cell r="B784" t="str">
            <v>2100022TAC53</v>
          </cell>
          <cell r="D784" t="str">
            <v>Banco de Crédito del Perú</v>
          </cell>
          <cell r="F784" t="str">
            <v>Renta Fija</v>
          </cell>
          <cell r="Q784" t="str">
            <v>RFLC</v>
          </cell>
        </row>
        <row r="785">
          <cell r="B785" t="str">
            <v>21001120AH74</v>
          </cell>
          <cell r="D785" t="str">
            <v>Banco Continental</v>
          </cell>
          <cell r="F785" t="str">
            <v>Renta Fija</v>
          </cell>
          <cell r="Q785" t="str">
            <v>RFLC</v>
          </cell>
        </row>
        <row r="786">
          <cell r="B786" t="str">
            <v>21000325AA33</v>
          </cell>
          <cell r="D786" t="str">
            <v xml:space="preserve">Banco Internacional del Perú </v>
          </cell>
          <cell r="F786" t="str">
            <v>Renta Fija</v>
          </cell>
          <cell r="Q786" t="str">
            <v>RFLC</v>
          </cell>
        </row>
        <row r="787">
          <cell r="B787" t="str">
            <v>2100022V2C81</v>
          </cell>
          <cell r="D787" t="str">
            <v>Banco de Crédito del Perú</v>
          </cell>
          <cell r="F787" t="str">
            <v>Renta Fija</v>
          </cell>
          <cell r="Q787" t="str">
            <v>RFLC</v>
          </cell>
        </row>
        <row r="788">
          <cell r="B788" t="str">
            <v>21000325AD71</v>
          </cell>
          <cell r="D788" t="str">
            <v xml:space="preserve">Banco Internacional del Perú </v>
          </cell>
          <cell r="F788" t="str">
            <v>Renta Fija</v>
          </cell>
          <cell r="Q788" t="str">
            <v>RFLC</v>
          </cell>
        </row>
        <row r="789">
          <cell r="B789" t="str">
            <v>21000325AG03</v>
          </cell>
          <cell r="D789" t="str">
            <v xml:space="preserve">Banco Internacional del Perú </v>
          </cell>
          <cell r="F789" t="str">
            <v>Renta Fija</v>
          </cell>
          <cell r="Q789" t="str">
            <v>RFLC</v>
          </cell>
        </row>
        <row r="790">
          <cell r="B790" t="str">
            <v>210003271536</v>
          </cell>
          <cell r="D790" t="str">
            <v xml:space="preserve">Banco Internacional del Perú </v>
          </cell>
          <cell r="F790" t="str">
            <v>Renta Fija</v>
          </cell>
          <cell r="Q790" t="str">
            <v>RFLC</v>
          </cell>
        </row>
        <row r="791">
          <cell r="B791" t="str">
            <v>25000325AB16</v>
          </cell>
          <cell r="D791" t="str">
            <v xml:space="preserve">Banco Internacional del Perú </v>
          </cell>
          <cell r="F791" t="str">
            <v>Renta Fija</v>
          </cell>
          <cell r="Q791" t="str">
            <v>RFLC</v>
          </cell>
        </row>
        <row r="792">
          <cell r="B792" t="str">
            <v>25000325AC98</v>
          </cell>
          <cell r="D792" t="str">
            <v xml:space="preserve">Banco Internacional del Perú </v>
          </cell>
          <cell r="F792" t="str">
            <v>Renta Fija</v>
          </cell>
          <cell r="Q792" t="str">
            <v>RFLC</v>
          </cell>
        </row>
        <row r="793">
          <cell r="B793" t="str">
            <v>2100092TAP23</v>
          </cell>
          <cell r="D793" t="str">
            <v>Scotiabank Peru</v>
          </cell>
          <cell r="F793" t="str">
            <v>Renta Fija</v>
          </cell>
          <cell r="Q793" t="str">
            <v>RFLC</v>
          </cell>
        </row>
        <row r="794">
          <cell r="B794" t="str">
            <v>21001126AG98</v>
          </cell>
          <cell r="D794" t="str">
            <v>Banco Continental</v>
          </cell>
          <cell r="F794" t="str">
            <v>Renta Fija</v>
          </cell>
          <cell r="Q794" t="str">
            <v>RFLC</v>
          </cell>
        </row>
        <row r="795">
          <cell r="B795" t="str">
            <v>21000325AF20</v>
          </cell>
          <cell r="D795" t="str">
            <v xml:space="preserve">Banco Internacional del Perú </v>
          </cell>
          <cell r="F795" t="str">
            <v>Renta Fija</v>
          </cell>
          <cell r="Q795" t="str">
            <v>RFLC</v>
          </cell>
        </row>
        <row r="796">
          <cell r="B796" t="str">
            <v>2100862GAA71</v>
          </cell>
          <cell r="D796" t="str">
            <v>COFIDE</v>
          </cell>
          <cell r="F796" t="str">
            <v>Renta Fija</v>
          </cell>
          <cell r="Q796" t="str">
            <v>RFLC</v>
          </cell>
        </row>
        <row r="797">
          <cell r="B797" t="str">
            <v>1254342KAB22</v>
          </cell>
          <cell r="D797" t="str">
            <v>Grupo Nutresa S.A.</v>
          </cell>
          <cell r="F797" t="str">
            <v>Renta Fija</v>
          </cell>
          <cell r="Q797" t="str">
            <v>RFIC</v>
          </cell>
        </row>
        <row r="798">
          <cell r="B798" t="str">
            <v>12583828AA38</v>
          </cell>
          <cell r="D798" t="str">
            <v>Nexa Resources S.A.</v>
          </cell>
          <cell r="F798" t="str">
            <v>Renta Fija</v>
          </cell>
          <cell r="Q798" t="str">
            <v>RFLC</v>
          </cell>
        </row>
        <row r="799">
          <cell r="B799" t="str">
            <v>12583829AB21</v>
          </cell>
          <cell r="D799" t="str">
            <v>Nexa Resources S.A.</v>
          </cell>
          <cell r="F799" t="str">
            <v>Renta Fija</v>
          </cell>
          <cell r="Q799" t="str">
            <v>RFLC</v>
          </cell>
        </row>
        <row r="800">
          <cell r="B800" t="str">
            <v>1258742AAA18</v>
          </cell>
          <cell r="D800" t="str">
            <v>AUNA</v>
          </cell>
          <cell r="F800" t="str">
            <v>Renta Fija</v>
          </cell>
          <cell r="Q800" t="str">
            <v>RFLC</v>
          </cell>
        </row>
        <row r="801">
          <cell r="B801" t="str">
            <v>1258742VAA63</v>
          </cell>
          <cell r="D801" t="str">
            <v>AUNA</v>
          </cell>
          <cell r="F801" t="str">
            <v>Renta Fija</v>
          </cell>
          <cell r="Q801" t="str">
            <v>RFLC</v>
          </cell>
        </row>
        <row r="802">
          <cell r="B802" t="str">
            <v>2258742VAA63</v>
          </cell>
          <cell r="D802" t="str">
            <v>AUNA</v>
          </cell>
          <cell r="F802" t="str">
            <v>Renta Fija</v>
          </cell>
          <cell r="Q802" t="str">
            <v>RFLC</v>
          </cell>
        </row>
        <row r="803">
          <cell r="B803" t="str">
            <v>2220082PAA95</v>
          </cell>
          <cell r="D803" t="str">
            <v>Buenaventura</v>
          </cell>
          <cell r="F803" t="str">
            <v>Renta Fija</v>
          </cell>
          <cell r="Q803" t="str">
            <v>RFLC</v>
          </cell>
        </row>
        <row r="804">
          <cell r="B804" t="str">
            <v>2220082PAB78</v>
          </cell>
          <cell r="D804" t="str">
            <v>Buenaventura</v>
          </cell>
          <cell r="F804" t="str">
            <v>Renta Fija</v>
          </cell>
          <cell r="Q804" t="str">
            <v>RFLC</v>
          </cell>
        </row>
        <row r="805">
          <cell r="B805" t="str">
            <v>2220022YAC77</v>
          </cell>
          <cell r="D805" t="str">
            <v>Unión Andina de Cementos</v>
          </cell>
          <cell r="F805" t="str">
            <v>Renta Fija</v>
          </cell>
          <cell r="Q805" t="str">
            <v>RFLC</v>
          </cell>
        </row>
        <row r="806">
          <cell r="B806" t="str">
            <v>2220112KDN02</v>
          </cell>
          <cell r="D806" t="str">
            <v xml:space="preserve">Alicorp </v>
          </cell>
          <cell r="F806" t="str">
            <v>Renta Fija</v>
          </cell>
          <cell r="Q806" t="str">
            <v>RFLC</v>
          </cell>
        </row>
        <row r="807">
          <cell r="B807" t="str">
            <v>2220392TAA36</v>
          </cell>
          <cell r="D807" t="str">
            <v>MINSUR</v>
          </cell>
          <cell r="F807" t="str">
            <v>Renta Fija</v>
          </cell>
          <cell r="Q807" t="str">
            <v>RFLC</v>
          </cell>
        </row>
        <row r="808">
          <cell r="B808" t="str">
            <v>22209729AE26</v>
          </cell>
          <cell r="D808" t="str">
            <v>Camposol S.A.</v>
          </cell>
          <cell r="F808" t="str">
            <v>Renta Fija</v>
          </cell>
          <cell r="Q808" t="str">
            <v>RFLC</v>
          </cell>
        </row>
        <row r="809">
          <cell r="B809" t="str">
            <v>2258402PAC79</v>
          </cell>
          <cell r="D809" t="str">
            <v>Hunt Oil</v>
          </cell>
          <cell r="F809" t="str">
            <v>Renta Fija</v>
          </cell>
          <cell r="Q809" t="str">
            <v>RFLC</v>
          </cell>
        </row>
        <row r="810">
          <cell r="B810" t="str">
            <v>2258402PAE36</v>
          </cell>
          <cell r="D810" t="str">
            <v>Hunt Oil</v>
          </cell>
          <cell r="F810" t="str">
            <v>Renta Fija</v>
          </cell>
          <cell r="Q810" t="str">
            <v>RFLC</v>
          </cell>
        </row>
        <row r="811">
          <cell r="B811" t="str">
            <v>22204327AA42</v>
          </cell>
          <cell r="D811" t="str">
            <v>Volcan Cia. Minera</v>
          </cell>
          <cell r="F811" t="str">
            <v>Renta Fija</v>
          </cell>
          <cell r="Q811" t="str">
            <v>RFLC</v>
          </cell>
        </row>
        <row r="812">
          <cell r="B812" t="str">
            <v>27211826AB16</v>
          </cell>
          <cell r="D812" t="str">
            <v>InRetail Consumer</v>
          </cell>
          <cell r="F812" t="str">
            <v>Renta Fija</v>
          </cell>
          <cell r="Q812" t="str">
            <v>RFLC</v>
          </cell>
        </row>
        <row r="813">
          <cell r="B813" t="str">
            <v>22205124PAA7</v>
          </cell>
          <cell r="D813" t="str">
            <v>Cementos Pacasmayo</v>
          </cell>
          <cell r="F813" t="str">
            <v>Renta Fija</v>
          </cell>
          <cell r="Q813" t="str">
            <v>RFLC</v>
          </cell>
        </row>
        <row r="814">
          <cell r="B814" t="str">
            <v>2220552SAF22</v>
          </cell>
          <cell r="D814" t="str">
            <v>Consorcio Transmantaro</v>
          </cell>
          <cell r="F814" t="str">
            <v>Renta Fija</v>
          </cell>
          <cell r="Q814" t="str">
            <v>RFLC</v>
          </cell>
        </row>
        <row r="815">
          <cell r="B815" t="str">
            <v>2220552SAC90</v>
          </cell>
          <cell r="D815" t="str">
            <v>Consorcio Transmantaro</v>
          </cell>
          <cell r="F815" t="str">
            <v>Renta Fija</v>
          </cell>
          <cell r="Q815" t="str">
            <v>RFLC</v>
          </cell>
        </row>
        <row r="816">
          <cell r="B816" t="str">
            <v>2220552SAD73</v>
          </cell>
          <cell r="D816" t="str">
            <v>Consorcio Transmantaro</v>
          </cell>
          <cell r="F816" t="str">
            <v>Renta Fija</v>
          </cell>
          <cell r="Q816" t="str">
            <v>RFLC</v>
          </cell>
        </row>
        <row r="817">
          <cell r="B817" t="str">
            <v>2220642RAG67</v>
          </cell>
          <cell r="D817" t="str">
            <v xml:space="preserve">Transportadora de Gas del Perú </v>
          </cell>
          <cell r="F817" t="str">
            <v>Renta Fija</v>
          </cell>
          <cell r="Q817" t="str">
            <v>RFLC</v>
          </cell>
        </row>
        <row r="818">
          <cell r="B818" t="str">
            <v>2220682AAA45</v>
          </cell>
          <cell r="D818" t="str">
            <v>Exalmar</v>
          </cell>
          <cell r="F818" t="str">
            <v>Renta Fija</v>
          </cell>
          <cell r="Q818" t="str">
            <v>RFLC</v>
          </cell>
        </row>
        <row r="819">
          <cell r="B819" t="str">
            <v>27211723AD31</v>
          </cell>
          <cell r="D819" t="str">
            <v>InRetail Shopping Malls</v>
          </cell>
          <cell r="F819" t="str">
            <v>Renta Fija</v>
          </cell>
          <cell r="Q819" t="str">
            <v>RFLC</v>
          </cell>
        </row>
        <row r="820">
          <cell r="B820" t="str">
            <v>2221292BAC11</v>
          </cell>
          <cell r="D820" t="str">
            <v>Petroleos del Peru S.A.</v>
          </cell>
          <cell r="F820" t="str">
            <v>Renta Fija</v>
          </cell>
          <cell r="Q820" t="str">
            <v>RFLC</v>
          </cell>
        </row>
        <row r="821">
          <cell r="B821" t="str">
            <v>27430325AB80</v>
          </cell>
          <cell r="D821" t="str">
            <v>Interoceanica IV Finance Limited</v>
          </cell>
          <cell r="F821" t="str">
            <v>Renta Fija</v>
          </cell>
          <cell r="Q821" t="str">
            <v>RFLC</v>
          </cell>
        </row>
        <row r="822">
          <cell r="B822" t="str">
            <v>22208522AA77</v>
          </cell>
          <cell r="D822" t="str">
            <v>Corporación J.R. Lindley</v>
          </cell>
          <cell r="F822" t="str">
            <v>Renta Fija</v>
          </cell>
          <cell r="Q822" t="str">
            <v>RFLC</v>
          </cell>
        </row>
        <row r="823">
          <cell r="B823" t="str">
            <v>22208522AC34</v>
          </cell>
          <cell r="D823" t="str">
            <v>Corporación J.R. Lindley</v>
          </cell>
          <cell r="F823" t="str">
            <v>Renta Fija</v>
          </cell>
          <cell r="Q823" t="str">
            <v>RFLC</v>
          </cell>
        </row>
        <row r="824">
          <cell r="B824" t="str">
            <v>22208727AA71</v>
          </cell>
          <cell r="D824" t="str">
            <v>Lima Airport Partners</v>
          </cell>
          <cell r="F824" t="str">
            <v>Renta Fija</v>
          </cell>
          <cell r="Q824" t="str">
            <v>RFLC</v>
          </cell>
        </row>
        <row r="825">
          <cell r="B825" t="str">
            <v>2220872RAA51</v>
          </cell>
          <cell r="D825" t="str">
            <v>Lima Airport Partners</v>
          </cell>
          <cell r="F825" t="str">
            <v>Renta Fija</v>
          </cell>
          <cell r="Q825" t="str">
            <v>RFLC</v>
          </cell>
        </row>
        <row r="826">
          <cell r="B826" t="str">
            <v>2220882KAB37</v>
          </cell>
          <cell r="D826" t="str">
            <v>Kallpa Generación S.A</v>
          </cell>
          <cell r="F826" t="str">
            <v>Renta Fija</v>
          </cell>
          <cell r="Q826" t="str">
            <v>RFLC</v>
          </cell>
        </row>
        <row r="827">
          <cell r="B827" t="str">
            <v>2220882PAA77</v>
          </cell>
          <cell r="D827" t="str">
            <v>Kallpa Generación S.A</v>
          </cell>
          <cell r="F827" t="str">
            <v>Renta Fija</v>
          </cell>
          <cell r="Q827" t="str">
            <v>RFLC</v>
          </cell>
        </row>
        <row r="828">
          <cell r="B828" t="str">
            <v>2220882KAC10</v>
          </cell>
          <cell r="D828" t="str">
            <v>Kallpa Generación S.A</v>
          </cell>
          <cell r="F828" t="str">
            <v>Renta Fija</v>
          </cell>
          <cell r="Q828" t="str">
            <v>RFLC</v>
          </cell>
        </row>
        <row r="829">
          <cell r="B829" t="str">
            <v>2220882KAD92</v>
          </cell>
          <cell r="D829" t="str">
            <v>Kallpa Generación S.A</v>
          </cell>
          <cell r="F829" t="str">
            <v>Renta Fija</v>
          </cell>
          <cell r="Q829" t="str">
            <v>RFLC</v>
          </cell>
        </row>
        <row r="830">
          <cell r="B830" t="str">
            <v>22300220AB35</v>
          </cell>
          <cell r="D830" t="str">
            <v>Fenix Power Peru S.A.</v>
          </cell>
          <cell r="F830" t="str">
            <v>Renta Fija</v>
          </cell>
          <cell r="Q830" t="str">
            <v>RFLC</v>
          </cell>
        </row>
        <row r="831">
          <cell r="B831" t="str">
            <v>22209123AA96</v>
          </cell>
          <cell r="D831" t="str">
            <v>Copeinca</v>
          </cell>
          <cell r="F831" t="str">
            <v>Renta Fija</v>
          </cell>
          <cell r="Q831" t="str">
            <v>RFLC</v>
          </cell>
        </row>
        <row r="832">
          <cell r="B832" t="str">
            <v>22209729AA04</v>
          </cell>
          <cell r="D832" t="str">
            <v>Camposol S.A.</v>
          </cell>
          <cell r="F832" t="str">
            <v>Renta Fija</v>
          </cell>
          <cell r="Q832" t="str">
            <v>RFLC</v>
          </cell>
        </row>
        <row r="833">
          <cell r="B833" t="str">
            <v>22209729AB86</v>
          </cell>
          <cell r="D833" t="str">
            <v>Camposol S.A.</v>
          </cell>
          <cell r="F833" t="str">
            <v>Renta Fija</v>
          </cell>
          <cell r="Q833" t="str">
            <v>RFLC</v>
          </cell>
        </row>
        <row r="834">
          <cell r="B834" t="str">
            <v>22209729AC69</v>
          </cell>
          <cell r="D834" t="str">
            <v>Camposol S.A.</v>
          </cell>
          <cell r="F834" t="str">
            <v>Renta Fija</v>
          </cell>
          <cell r="Q834" t="str">
            <v>RFLC</v>
          </cell>
        </row>
        <row r="835">
          <cell r="B835" t="str">
            <v>2743032NAB38</v>
          </cell>
          <cell r="D835" t="str">
            <v>Interoceanica IV Finance Limited</v>
          </cell>
          <cell r="F835" t="str">
            <v>Renta Fija</v>
          </cell>
          <cell r="Q835" t="str">
            <v>RFLC</v>
          </cell>
        </row>
        <row r="836">
          <cell r="B836" t="str">
            <v>22209828AA74</v>
          </cell>
          <cell r="D836" t="str">
            <v>Terminales Portuarios Euroandinos Paita S.A.</v>
          </cell>
          <cell r="F836" t="str">
            <v>Renta Fija</v>
          </cell>
          <cell r="Q836" t="str">
            <v>RFLC</v>
          </cell>
        </row>
        <row r="837">
          <cell r="B837" t="str">
            <v>22209923AA66</v>
          </cell>
          <cell r="D837" t="str">
            <v>Corporación Azucarera del Perú S.A.</v>
          </cell>
          <cell r="F837" t="str">
            <v>Renta Fija</v>
          </cell>
          <cell r="Q837" t="str">
            <v>RFLC</v>
          </cell>
        </row>
        <row r="838">
          <cell r="B838" t="str">
            <v>2221002CAA73</v>
          </cell>
          <cell r="D838" t="str">
            <v>Maestro Perú</v>
          </cell>
          <cell r="F838" t="str">
            <v>Renta Fija</v>
          </cell>
          <cell r="Q838" t="str">
            <v>RFLC</v>
          </cell>
        </row>
        <row r="839">
          <cell r="B839" t="str">
            <v>22210623AA63</v>
          </cell>
          <cell r="D839" t="str">
            <v>Callao</v>
          </cell>
          <cell r="F839" t="str">
            <v>Renta Fija</v>
          </cell>
          <cell r="Q839" t="str">
            <v>RFLC</v>
          </cell>
        </row>
        <row r="840">
          <cell r="B840" t="str">
            <v>22210728AA11</v>
          </cell>
          <cell r="D840" t="str">
            <v>Ferreycorp S.A.A.</v>
          </cell>
          <cell r="F840" t="str">
            <v>Renta Fija</v>
          </cell>
          <cell r="Q840" t="str">
            <v>RFLC</v>
          </cell>
        </row>
        <row r="841">
          <cell r="B841" t="str">
            <v>2221092NAC67</v>
          </cell>
          <cell r="D841" t="str">
            <v>Andino Investment Holding</v>
          </cell>
          <cell r="F841" t="str">
            <v>Renta Fija</v>
          </cell>
          <cell r="Q841" t="str">
            <v>RFLC</v>
          </cell>
        </row>
        <row r="842">
          <cell r="B842" t="str">
            <v>22211023AA03</v>
          </cell>
          <cell r="D842" t="str">
            <v>San Miguel Industrias Pet S.A.</v>
          </cell>
          <cell r="F842" t="str">
            <v>Renta Fija</v>
          </cell>
          <cell r="Q842" t="str">
            <v>RFLC</v>
          </cell>
        </row>
        <row r="843">
          <cell r="B843" t="str">
            <v>2221102PAB22</v>
          </cell>
          <cell r="D843" t="str">
            <v>San Miguel Industrias Pet S.A.</v>
          </cell>
          <cell r="F843" t="str">
            <v>Renta Fija</v>
          </cell>
          <cell r="Q843" t="str">
            <v>RFLC</v>
          </cell>
        </row>
        <row r="844">
          <cell r="B844" t="str">
            <v>2220392TAB19</v>
          </cell>
          <cell r="D844" t="str">
            <v>MINSUR</v>
          </cell>
          <cell r="F844" t="str">
            <v>Renta Fija</v>
          </cell>
          <cell r="Q844" t="str">
            <v>RFLC</v>
          </cell>
        </row>
        <row r="845">
          <cell r="B845" t="str">
            <v>2220292FAB50</v>
          </cell>
          <cell r="D845" t="str">
            <v>AENZA S.A.A. (antes Graña &amp; Montero S.A.A.)</v>
          </cell>
          <cell r="F845" t="str">
            <v>Renta Fija</v>
          </cell>
          <cell r="Q845" t="str">
            <v>RFLC</v>
          </cell>
        </row>
        <row r="846">
          <cell r="B846" t="str">
            <v>22211023AB85</v>
          </cell>
          <cell r="D846" t="str">
            <v>San Miguel Industrias Pet S.A.</v>
          </cell>
          <cell r="F846" t="str">
            <v>Renta Fija</v>
          </cell>
          <cell r="Q846" t="str">
            <v>RFLC</v>
          </cell>
        </row>
        <row r="847">
          <cell r="B847" t="str">
            <v>2221122GAA69</v>
          </cell>
          <cell r="D847" t="str">
            <v>Cia. Minera Áres</v>
          </cell>
          <cell r="F847" t="str">
            <v>Renta Fija</v>
          </cell>
          <cell r="Q847" t="str">
            <v>RFLC</v>
          </cell>
        </row>
        <row r="848">
          <cell r="B848" t="str">
            <v>22211323AA51</v>
          </cell>
          <cell r="D848" t="str">
            <v>Abengoa</v>
          </cell>
          <cell r="F848" t="str">
            <v>Renta Fija</v>
          </cell>
          <cell r="Q848" t="str">
            <v>RFLC</v>
          </cell>
        </row>
        <row r="849">
          <cell r="B849" t="str">
            <v>2221192QAA24</v>
          </cell>
          <cell r="D849" t="str">
            <v>Energía Eólica</v>
          </cell>
          <cell r="F849" t="str">
            <v>Renta Fija</v>
          </cell>
          <cell r="Q849" t="str">
            <v>RFLC</v>
          </cell>
        </row>
        <row r="850">
          <cell r="B850" t="str">
            <v>22284528AA22</v>
          </cell>
          <cell r="D850" t="str">
            <v>Milpo</v>
          </cell>
          <cell r="F850" t="str">
            <v>Renta Fija</v>
          </cell>
          <cell r="Q850" t="str">
            <v>RFLC</v>
          </cell>
        </row>
        <row r="851">
          <cell r="B851" t="str">
            <v>25000225AG07</v>
          </cell>
          <cell r="D851" t="str">
            <v>Banco de Crédito del Perú</v>
          </cell>
          <cell r="F851" t="str">
            <v>Renta Fija</v>
          </cell>
          <cell r="Q851" t="str">
            <v>RFLC</v>
          </cell>
        </row>
        <row r="852">
          <cell r="B852" t="str">
            <v>25000226AC75</v>
          </cell>
          <cell r="D852" t="str">
            <v>Banco de Crédito del Perú</v>
          </cell>
          <cell r="F852" t="str">
            <v>Renta Fija</v>
          </cell>
          <cell r="Q852" t="str">
            <v>RFLC</v>
          </cell>
        </row>
        <row r="853">
          <cell r="B853" t="str">
            <v>25000226AH62</v>
          </cell>
          <cell r="D853" t="str">
            <v>Banco de Crédito del Perú</v>
          </cell>
          <cell r="F853" t="str">
            <v>Renta Fija</v>
          </cell>
          <cell r="Q853" t="str">
            <v>RFLC</v>
          </cell>
        </row>
        <row r="854">
          <cell r="B854" t="str">
            <v>2500022JCG87</v>
          </cell>
          <cell r="D854" t="str">
            <v>Banco de Crédito del Perú</v>
          </cell>
          <cell r="F854" t="str">
            <v>Renta Fija</v>
          </cell>
          <cell r="Q854" t="str">
            <v>RFLC</v>
          </cell>
        </row>
        <row r="855">
          <cell r="B855" t="str">
            <v>2500022JCJ27</v>
          </cell>
          <cell r="D855" t="str">
            <v>Banco de Crédito del Perú</v>
          </cell>
          <cell r="F855" t="str">
            <v>Renta Fija</v>
          </cell>
          <cell r="Q855" t="str">
            <v>RFLC</v>
          </cell>
        </row>
        <row r="856">
          <cell r="B856" t="str">
            <v>2500022V2A26</v>
          </cell>
          <cell r="D856" t="str">
            <v>Banco de Crédito del Perú</v>
          </cell>
          <cell r="F856" t="str">
            <v>Renta Fija</v>
          </cell>
          <cell r="Q856" t="str">
            <v>RFLC</v>
          </cell>
        </row>
        <row r="857">
          <cell r="B857" t="str">
            <v>8102031ENE4U</v>
          </cell>
          <cell r="D857" t="str">
            <v>Banco BBVA</v>
          </cell>
          <cell r="F857" t="str">
            <v>Renta Fija</v>
          </cell>
          <cell r="Q857" t="str">
            <v>RFLC</v>
          </cell>
        </row>
        <row r="858">
          <cell r="B858" t="str">
            <v>2500032SAC00</v>
          </cell>
          <cell r="D858" t="str">
            <v xml:space="preserve">Banco Internacional del Perú </v>
          </cell>
          <cell r="F858" t="str">
            <v>Renta Fija</v>
          </cell>
          <cell r="Q858" t="str">
            <v>RFLC</v>
          </cell>
        </row>
        <row r="859">
          <cell r="B859" t="str">
            <v>2100132IFSPE</v>
          </cell>
          <cell r="D859" t="str">
            <v>Intercorp Financial Services</v>
          </cell>
          <cell r="F859" t="str">
            <v>Renta Fija</v>
          </cell>
          <cell r="Q859" t="str">
            <v>RFLC</v>
          </cell>
        </row>
        <row r="860">
          <cell r="B860" t="str">
            <v>2500132FAA05</v>
          </cell>
          <cell r="D860" t="str">
            <v>Intercorp Financial Services</v>
          </cell>
          <cell r="F860" t="str">
            <v>Renta Fija</v>
          </cell>
          <cell r="Q860" t="str">
            <v>RFLC</v>
          </cell>
        </row>
        <row r="861">
          <cell r="B861" t="str">
            <v>25001120AA28</v>
          </cell>
          <cell r="D861" t="str">
            <v>Banco Continental</v>
          </cell>
          <cell r="F861" t="str">
            <v>Renta Fija</v>
          </cell>
          <cell r="Q861" t="str">
            <v>RFLC</v>
          </cell>
        </row>
        <row r="862">
          <cell r="B862" t="str">
            <v>25001126AF16</v>
          </cell>
          <cell r="D862" t="str">
            <v>Banco Continental</v>
          </cell>
          <cell r="F862" t="str">
            <v>Renta Fija</v>
          </cell>
          <cell r="Q862" t="str">
            <v>RFLC</v>
          </cell>
        </row>
        <row r="863">
          <cell r="B863" t="str">
            <v>25008629AY82</v>
          </cell>
          <cell r="D863" t="str">
            <v>CORPORACION FINANCIERA DE DESARROLLO</v>
          </cell>
          <cell r="F863" t="str">
            <v>Renta Fija</v>
          </cell>
          <cell r="Q863" t="str">
            <v>RFLC</v>
          </cell>
        </row>
        <row r="864">
          <cell r="B864" t="str">
            <v>2500862GAF68</v>
          </cell>
          <cell r="D864" t="str">
            <v>CORPORACION FINANCIERA DE DESARROLLO</v>
          </cell>
          <cell r="F864" t="str">
            <v>Renta Fija</v>
          </cell>
          <cell r="Q864" t="str">
            <v>RFLC</v>
          </cell>
        </row>
        <row r="865">
          <cell r="B865" t="str">
            <v>2500862GAK53</v>
          </cell>
          <cell r="D865" t="str">
            <v>CORPORACION FINANCIERA DE DESARROLLO</v>
          </cell>
          <cell r="F865" t="str">
            <v>Renta Fija</v>
          </cell>
          <cell r="Q865" t="str">
            <v>RFLC</v>
          </cell>
        </row>
        <row r="866">
          <cell r="B866" t="str">
            <v>2500862GAL37</v>
          </cell>
          <cell r="D866" t="str">
            <v>CORPORACION FINANCIERA DE DESARROLLO</v>
          </cell>
          <cell r="F866" t="str">
            <v>Renta Fija</v>
          </cell>
          <cell r="Q866" t="str">
            <v>RFLC</v>
          </cell>
        </row>
        <row r="867">
          <cell r="B867" t="str">
            <v>1254072TJW01</v>
          </cell>
          <cell r="D867" t="str">
            <v>Cemex S.A.B. de CV</v>
          </cell>
          <cell r="F867" t="str">
            <v>Renta Fija</v>
          </cell>
          <cell r="Q867" t="str">
            <v>RFIC</v>
          </cell>
        </row>
        <row r="868">
          <cell r="B868" t="str">
            <v>250153209291</v>
          </cell>
          <cell r="D868" t="str">
            <v>Grupo ACP Inversiones y Desarrollo</v>
          </cell>
          <cell r="F868" t="str">
            <v>Renta Fija</v>
          </cell>
          <cell r="Q868" t="str">
            <v>RFLC</v>
          </cell>
        </row>
        <row r="869">
          <cell r="B869" t="str">
            <v>25210529AE34</v>
          </cell>
          <cell r="D869" t="str">
            <v>Fondo Mi Vivienda</v>
          </cell>
          <cell r="F869" t="str">
            <v>Renta Fija</v>
          </cell>
          <cell r="Q869" t="str">
            <v>RFLC</v>
          </cell>
        </row>
        <row r="870">
          <cell r="B870" t="str">
            <v>25210529AA12</v>
          </cell>
          <cell r="D870" t="str">
            <v>Fondo Mi Vivienda</v>
          </cell>
          <cell r="F870" t="str">
            <v>Renta Fija</v>
          </cell>
          <cell r="Q870" t="str">
            <v>RFLC</v>
          </cell>
        </row>
        <row r="871">
          <cell r="B871" t="str">
            <v>25210529AB94</v>
          </cell>
          <cell r="D871" t="str">
            <v>Fondo Mi Vivienda</v>
          </cell>
          <cell r="F871" t="str">
            <v>Renta Fija</v>
          </cell>
          <cell r="Q871" t="str">
            <v>RFLC</v>
          </cell>
        </row>
        <row r="872">
          <cell r="B872" t="str">
            <v>25210529AC77</v>
          </cell>
          <cell r="D872" t="str">
            <v>Fondo Mi Vivienda</v>
          </cell>
          <cell r="F872" t="str">
            <v>Renta Fija</v>
          </cell>
          <cell r="Q872" t="str">
            <v>RFLC</v>
          </cell>
        </row>
        <row r="873">
          <cell r="B873" t="str">
            <v>2551722XAB03</v>
          </cell>
          <cell r="D873" t="str">
            <v>Intercorp Perú</v>
          </cell>
          <cell r="F873" t="str">
            <v>Renta Fija</v>
          </cell>
          <cell r="Q873" t="str">
            <v>RFLC</v>
          </cell>
        </row>
        <row r="874">
          <cell r="B874" t="str">
            <v>2551722XAC85</v>
          </cell>
          <cell r="D874" t="str">
            <v>Intercorp Perú</v>
          </cell>
          <cell r="F874" t="str">
            <v>Renta Fija</v>
          </cell>
          <cell r="Q874" t="str">
            <v>RFLC</v>
          </cell>
        </row>
        <row r="875">
          <cell r="B875" t="str">
            <v>27211723AA91</v>
          </cell>
          <cell r="D875" t="str">
            <v>InRetail Shopping Malls</v>
          </cell>
          <cell r="F875" t="str">
            <v>Renta Fija</v>
          </cell>
          <cell r="Q875" t="str">
            <v>RFLC</v>
          </cell>
        </row>
        <row r="876">
          <cell r="B876" t="str">
            <v>27211723AE14</v>
          </cell>
          <cell r="D876" t="str">
            <v>InRetail Shopping Malls</v>
          </cell>
          <cell r="F876" t="str">
            <v>Renta Fija</v>
          </cell>
          <cell r="Q876" t="str">
            <v>RFLC</v>
          </cell>
        </row>
        <row r="877">
          <cell r="B877" t="str">
            <v>2220472BAA19</v>
          </cell>
          <cell r="D877" t="str">
            <v>Orazen</v>
          </cell>
          <cell r="F877" t="str">
            <v>Renta Fija</v>
          </cell>
          <cell r="Q877" t="str">
            <v>RFLC</v>
          </cell>
        </row>
        <row r="878">
          <cell r="B878" t="str">
            <v>22204726AA03</v>
          </cell>
          <cell r="D878" t="str">
            <v>Orazen</v>
          </cell>
          <cell r="F878" t="str">
            <v>Renta Fija</v>
          </cell>
          <cell r="Q878" t="str">
            <v>RFLC</v>
          </cell>
        </row>
        <row r="879">
          <cell r="B879" t="str">
            <v>2220892BAE13</v>
          </cell>
          <cell r="D879" t="str">
            <v>Peru LNG</v>
          </cell>
          <cell r="F879" t="str">
            <v>Renta Fija</v>
          </cell>
          <cell r="Q879" t="str">
            <v>RFLC</v>
          </cell>
        </row>
        <row r="880">
          <cell r="B880" t="str">
            <v>27211826AA33</v>
          </cell>
          <cell r="D880" t="str">
            <v>InRetail Consumer</v>
          </cell>
          <cell r="F880" t="str">
            <v>Renta Fija</v>
          </cell>
          <cell r="Q880" t="str">
            <v>RFLC</v>
          </cell>
        </row>
        <row r="881">
          <cell r="B881" t="str">
            <v>2743022PTS11</v>
          </cell>
          <cell r="D881" t="str">
            <v xml:space="preserve">Peru Enhanced Pass Trough SSCN </v>
          </cell>
          <cell r="F881" t="str">
            <v>Renta Fija</v>
          </cell>
          <cell r="Q881" t="str">
            <v>RFLC</v>
          </cell>
        </row>
        <row r="882">
          <cell r="B882" t="str">
            <v>2743022PTS22</v>
          </cell>
          <cell r="D882" t="str">
            <v xml:space="preserve">Peru Enhanced Pass Trough SSCN </v>
          </cell>
          <cell r="F882" t="str">
            <v>Renta Fija</v>
          </cell>
          <cell r="Q882" t="str">
            <v>RFLC</v>
          </cell>
        </row>
        <row r="883">
          <cell r="B883" t="str">
            <v>2743022PTSA1</v>
          </cell>
          <cell r="D883" t="str">
            <v xml:space="preserve">Peru Enhanced Pass Trough SSCN </v>
          </cell>
          <cell r="F883" t="str">
            <v>Renta Fija</v>
          </cell>
          <cell r="Q883" t="str">
            <v>RFLC</v>
          </cell>
        </row>
        <row r="884">
          <cell r="B884" t="str">
            <v>2743022PTSA2</v>
          </cell>
          <cell r="D884" t="str">
            <v xml:space="preserve">Peru Enhanced Pass Trough SSCN </v>
          </cell>
          <cell r="F884" t="str">
            <v>Renta Fija</v>
          </cell>
          <cell r="Q884" t="str">
            <v>RFLC</v>
          </cell>
        </row>
        <row r="885">
          <cell r="B885" t="str">
            <v>27430325AA08</v>
          </cell>
          <cell r="D885" t="str">
            <v>Interoceanica IV Finance Limited</v>
          </cell>
          <cell r="F885" t="str">
            <v>Renta Fija</v>
          </cell>
          <cell r="Q885" t="str">
            <v>RFLC</v>
          </cell>
        </row>
        <row r="886">
          <cell r="B886" t="str">
            <v>2221292BAA54</v>
          </cell>
          <cell r="D886" t="str">
            <v>Petroleos del Peru S.A.</v>
          </cell>
          <cell r="F886" t="str">
            <v>Renta Fija</v>
          </cell>
          <cell r="Q886" t="str">
            <v>RFLC</v>
          </cell>
        </row>
        <row r="887">
          <cell r="B887" t="str">
            <v>2743032NAA54</v>
          </cell>
          <cell r="D887" t="str">
            <v>Interoceanica IV Finance Limited</v>
          </cell>
          <cell r="F887" t="str">
            <v>Renta Fija</v>
          </cell>
          <cell r="Q887" t="str">
            <v>RFLC</v>
          </cell>
        </row>
        <row r="888">
          <cell r="B888" t="str">
            <v>2221292BAB38</v>
          </cell>
          <cell r="D888" t="str">
            <v>Petroleos del Peru S.A.</v>
          </cell>
          <cell r="F888" t="str">
            <v>Renta Fija</v>
          </cell>
          <cell r="Q888" t="str">
            <v>RFLC</v>
          </cell>
        </row>
        <row r="889">
          <cell r="B889" t="str">
            <v>27430522AC59</v>
          </cell>
          <cell r="D889" t="str">
            <v>Interoceanica IV Finance Limited</v>
          </cell>
          <cell r="F889" t="str">
            <v>Renta Fija</v>
          </cell>
          <cell r="Q889" t="str">
            <v>RFLC</v>
          </cell>
        </row>
        <row r="890">
          <cell r="B890" t="str">
            <v>2743052JAC09</v>
          </cell>
          <cell r="D890" t="str">
            <v>Interoceanica V Finance Limited</v>
          </cell>
          <cell r="F890" t="str">
            <v>Renta Fija</v>
          </cell>
          <cell r="Q890" t="str">
            <v>RFLC</v>
          </cell>
        </row>
        <row r="891">
          <cell r="B891" t="str">
            <v>27430620AA82</v>
          </cell>
          <cell r="D891" t="str">
            <v>IIRSA Norte Finance Limited</v>
          </cell>
          <cell r="F891" t="str">
            <v>Renta Fija</v>
          </cell>
          <cell r="Q891" t="str">
            <v>RFLC</v>
          </cell>
        </row>
        <row r="892">
          <cell r="B892" t="str">
            <v>27430628AA69</v>
          </cell>
          <cell r="D892" t="str">
            <v>IIRSA Norte Finance Limited</v>
          </cell>
          <cell r="F892" t="str">
            <v>Renta Fija</v>
          </cell>
          <cell r="Q892" t="str">
            <v>RFLC</v>
          </cell>
        </row>
        <row r="893">
          <cell r="B893" t="str">
            <v>274308284595</v>
          </cell>
          <cell r="D893" t="str">
            <v>IBK DPR Securitizadora</v>
          </cell>
          <cell r="F893" t="str">
            <v>Renta Fija</v>
          </cell>
          <cell r="Q893" t="str">
            <v>RFLC</v>
          </cell>
        </row>
        <row r="894">
          <cell r="B894" t="str">
            <v>2743242PAB16</v>
          </cell>
          <cell r="D894" t="str">
            <v>Scotiabank Peru DPR Finance Co.</v>
          </cell>
          <cell r="F894" t="str">
            <v>Renta Fija</v>
          </cell>
          <cell r="Q894" t="str">
            <v>RFLC</v>
          </cell>
        </row>
        <row r="895">
          <cell r="B895" t="str">
            <v>18210231202U</v>
          </cell>
          <cell r="D895" t="str">
            <v>H2Olmos S.A.</v>
          </cell>
          <cell r="F895" t="str">
            <v>Renta Fija</v>
          </cell>
          <cell r="Q895" t="str">
            <v>RFLC</v>
          </cell>
        </row>
        <row r="896">
          <cell r="B896" t="str">
            <v>274310115N24</v>
          </cell>
          <cell r="D896" t="str">
            <v>CRPAO Vac Trust</v>
          </cell>
          <cell r="F896" t="str">
            <v>Renta Fija</v>
          </cell>
          <cell r="Q896" t="str">
            <v>RFLC</v>
          </cell>
        </row>
        <row r="897">
          <cell r="B897" t="str">
            <v>22207130603A</v>
          </cell>
          <cell r="D897" t="str">
            <v xml:space="preserve">Concesionario Trasvase Olmos </v>
          </cell>
          <cell r="F897" t="str">
            <v>Renta Fija</v>
          </cell>
          <cell r="Q897" t="str">
            <v>RFLC</v>
          </cell>
        </row>
        <row r="898">
          <cell r="B898" t="str">
            <v>27432729AA53</v>
          </cell>
          <cell r="D898" t="str">
            <v>Continental Trust</v>
          </cell>
          <cell r="F898" t="str">
            <v>Renta Fija</v>
          </cell>
          <cell r="Q898" t="str">
            <v>RFLC</v>
          </cell>
        </row>
        <row r="899">
          <cell r="B899" t="str">
            <v>2743282RAA52</v>
          </cell>
          <cell r="D899" t="str">
            <v>Continetal Senior Trust</v>
          </cell>
          <cell r="F899" t="str">
            <v>Renta Fija</v>
          </cell>
          <cell r="Q899" t="str">
            <v>RFLC</v>
          </cell>
        </row>
        <row r="900">
          <cell r="B900" t="str">
            <v>2743302GAA88</v>
          </cell>
          <cell r="D900" t="str">
            <v>Continetal Senior Trust II</v>
          </cell>
          <cell r="F900" t="str">
            <v>Renta Fija</v>
          </cell>
          <cell r="Q900" t="str">
            <v>RFLC</v>
          </cell>
        </row>
        <row r="901">
          <cell r="B901" t="str">
            <v>274331229698</v>
          </cell>
          <cell r="D901" t="str">
            <v>Peru Payroll Deduction Finance Limited</v>
          </cell>
          <cell r="F901" t="str">
            <v>Renta Fija</v>
          </cell>
          <cell r="Q901" t="str">
            <v>RFLC</v>
          </cell>
        </row>
        <row r="902">
          <cell r="B902" t="str">
            <v>2743352L2ML1</v>
          </cell>
          <cell r="D902" t="str">
            <v>Interproperties Finance Trust</v>
          </cell>
          <cell r="F902" t="str">
            <v>Renta Fija</v>
          </cell>
          <cell r="Q902" t="str">
            <v>RFLC</v>
          </cell>
        </row>
        <row r="903">
          <cell r="B903" t="str">
            <v>27532021AA72</v>
          </cell>
          <cell r="D903" t="str">
            <v>Intercorp Retail Trust</v>
          </cell>
          <cell r="F903" t="str">
            <v>Renta Fija</v>
          </cell>
          <cell r="Q903" t="str">
            <v>RFLC</v>
          </cell>
        </row>
        <row r="904">
          <cell r="B904" t="str">
            <v>275321293727</v>
          </cell>
          <cell r="D904" t="str">
            <v>Interproperties Finance Trust</v>
          </cell>
          <cell r="F904" t="str">
            <v>Renta Fija</v>
          </cell>
          <cell r="Q904" t="str">
            <v>RFLC</v>
          </cell>
        </row>
        <row r="905">
          <cell r="B905" t="str">
            <v>275361279716</v>
          </cell>
          <cell r="D905" t="str">
            <v>CCR Inc. MT-100 Payment Rights Master Trust</v>
          </cell>
          <cell r="F905" t="str">
            <v>Renta Fija</v>
          </cell>
          <cell r="Q905" t="str">
            <v>RFLC</v>
          </cell>
        </row>
        <row r="906">
          <cell r="B906" t="str">
            <v>2753612YAP88</v>
          </cell>
          <cell r="D906" t="str">
            <v>CCR Inc. MT-100 Payment Rights Master Trust</v>
          </cell>
          <cell r="F906" t="str">
            <v>Renta Fija</v>
          </cell>
          <cell r="Q906" t="str">
            <v>RFLC</v>
          </cell>
        </row>
        <row r="907">
          <cell r="B907" t="str">
            <v>25001126AE41</v>
          </cell>
          <cell r="D907" t="str">
            <v>Banco Continental</v>
          </cell>
          <cell r="F907" t="str">
            <v>Renta Fija</v>
          </cell>
          <cell r="Q907" t="str">
            <v>RFLC</v>
          </cell>
        </row>
        <row r="908">
          <cell r="B908" t="str">
            <v>22211027AA17</v>
          </cell>
          <cell r="D908" t="str">
            <v>San Miguel Industrias Pet S.A.</v>
          </cell>
          <cell r="F908" t="str">
            <v>Renta Fija</v>
          </cell>
          <cell r="Q908" t="str">
            <v>RFLC</v>
          </cell>
        </row>
        <row r="909">
          <cell r="B909" t="str">
            <v>2220432UAB26</v>
          </cell>
          <cell r="D909" t="str">
            <v>Volcan Cia. Minera</v>
          </cell>
          <cell r="F909" t="str">
            <v>Renta Fija</v>
          </cell>
          <cell r="Q909" t="str">
            <v>RFLC</v>
          </cell>
        </row>
        <row r="910">
          <cell r="B910" t="str">
            <v>22204327AE63</v>
          </cell>
          <cell r="D910" t="str">
            <v>Volcan Cia. Minera</v>
          </cell>
          <cell r="F910" t="str">
            <v>Renta Fija</v>
          </cell>
          <cell r="Q910" t="str">
            <v>RFLC</v>
          </cell>
        </row>
        <row r="911">
          <cell r="B911" t="str">
            <v>22583927AA16</v>
          </cell>
          <cell r="D911" t="str">
            <v>InRetail Pharma</v>
          </cell>
          <cell r="F911" t="str">
            <v>Renta Fija</v>
          </cell>
          <cell r="Q911" t="str">
            <v>RFLC</v>
          </cell>
        </row>
        <row r="912">
          <cell r="B912" t="str">
            <v>12583328AA38</v>
          </cell>
          <cell r="D912" t="str">
            <v>Nexa Resources</v>
          </cell>
          <cell r="F912" t="str">
            <v>Renta Fija</v>
          </cell>
          <cell r="Q912" t="str">
            <v>RFLC</v>
          </cell>
        </row>
        <row r="913">
          <cell r="B913" t="str">
            <v>12583329AA48</v>
          </cell>
          <cell r="D913" t="str">
            <v>Nexa Resources</v>
          </cell>
          <cell r="F913" t="str">
            <v>Renta Fija</v>
          </cell>
          <cell r="Q913" t="str">
            <v>RFLC</v>
          </cell>
        </row>
        <row r="914">
          <cell r="B914" t="str">
            <v>12583829AA48</v>
          </cell>
          <cell r="D914" t="str">
            <v>Nexa Resources</v>
          </cell>
          <cell r="F914" t="str">
            <v>Renta Fija</v>
          </cell>
          <cell r="Q914" t="str">
            <v>RFLC</v>
          </cell>
        </row>
        <row r="915">
          <cell r="B915" t="str">
            <v>12583329AC04</v>
          </cell>
          <cell r="D915" t="str">
            <v>Nexa Resources</v>
          </cell>
          <cell r="F915" t="str">
            <v>Renta Fija</v>
          </cell>
          <cell r="Q915" t="str">
            <v>RFLC</v>
          </cell>
        </row>
        <row r="916">
          <cell r="B916" t="str">
            <v>2258402PAB96</v>
          </cell>
          <cell r="D916" t="str">
            <v>Hunt Oil</v>
          </cell>
          <cell r="F916" t="str">
            <v>Renta Fija</v>
          </cell>
          <cell r="Q916" t="str">
            <v>RFLC</v>
          </cell>
        </row>
        <row r="917">
          <cell r="B917" t="str">
            <v>22204327AC08</v>
          </cell>
          <cell r="D917" t="str">
            <v>Volcan Cia. Minera</v>
          </cell>
          <cell r="F917" t="str">
            <v>Renta Fija</v>
          </cell>
          <cell r="Q917" t="str">
            <v>RFLC</v>
          </cell>
        </row>
        <row r="918">
          <cell r="B918" t="str">
            <v>2259312AAA18</v>
          </cell>
          <cell r="D918" t="str">
            <v>Niagara Energy</v>
          </cell>
          <cell r="F918" t="str">
            <v>Renta Fija</v>
          </cell>
          <cell r="Q918" t="str">
            <v>RFLC</v>
          </cell>
        </row>
        <row r="919">
          <cell r="B919" t="str">
            <v>22207621020A</v>
          </cell>
          <cell r="D919" t="str">
            <v xml:space="preserve">Pluspetrol Camisea </v>
          </cell>
          <cell r="F919" t="str">
            <v>Renta Fija</v>
          </cell>
          <cell r="Q919" t="str">
            <v>RFLC</v>
          </cell>
        </row>
        <row r="920">
          <cell r="B920" t="str">
            <v>01100028DF60</v>
          </cell>
          <cell r="D920" t="str">
            <v>Gobierno Central</v>
          </cell>
          <cell r="F920" t="str">
            <v>Renta Fija</v>
          </cell>
          <cell r="Q920" t="str">
            <v>RFLG</v>
          </cell>
        </row>
        <row r="921">
          <cell r="B921" t="str">
            <v>01100028DU38</v>
          </cell>
          <cell r="D921" t="str">
            <v>Gobierno Central</v>
          </cell>
          <cell r="F921" t="str">
            <v>Renta Fija</v>
          </cell>
          <cell r="Q921" t="str">
            <v>RFLG</v>
          </cell>
        </row>
        <row r="922">
          <cell r="B922" t="str">
            <v>01100028DW93</v>
          </cell>
          <cell r="D922" t="str">
            <v>Gobierno Central</v>
          </cell>
          <cell r="F922" t="str">
            <v>Renta Fija</v>
          </cell>
          <cell r="Q922" t="str">
            <v>RFLG</v>
          </cell>
        </row>
        <row r="923">
          <cell r="B923" t="str">
            <v>01100028DP43</v>
          </cell>
          <cell r="D923" t="str">
            <v>Gobierno Central</v>
          </cell>
          <cell r="F923" t="str">
            <v>Renta Fija</v>
          </cell>
          <cell r="Q923" t="str">
            <v>RFLG</v>
          </cell>
        </row>
        <row r="924">
          <cell r="B924" t="str">
            <v>01100028DQ26</v>
          </cell>
          <cell r="D924" t="str">
            <v>Gobierno Central</v>
          </cell>
          <cell r="F924" t="str">
            <v>Renta Fija</v>
          </cell>
          <cell r="Q924" t="str">
            <v>RFLG</v>
          </cell>
        </row>
        <row r="925">
          <cell r="B925" t="str">
            <v>01100028DR09</v>
          </cell>
          <cell r="D925" t="str">
            <v>Gobierno Central</v>
          </cell>
          <cell r="F925" t="str">
            <v>Renta Fija</v>
          </cell>
          <cell r="Q925" t="str">
            <v>RFLG</v>
          </cell>
        </row>
        <row r="926">
          <cell r="B926" t="str">
            <v>011000238AS1</v>
          </cell>
          <cell r="D926" t="str">
            <v>Gobierno Central</v>
          </cell>
          <cell r="F926" t="str">
            <v>Renta Fija</v>
          </cell>
          <cell r="Q926" t="str">
            <v>RFLG</v>
          </cell>
        </row>
        <row r="927">
          <cell r="B927" t="str">
            <v>011000238AU6</v>
          </cell>
          <cell r="D927" t="str">
            <v>Gobierno Central</v>
          </cell>
          <cell r="F927" t="str">
            <v>Renta Fija</v>
          </cell>
          <cell r="Q927" t="str">
            <v>RFLG</v>
          </cell>
        </row>
        <row r="928">
          <cell r="B928" t="str">
            <v>01100028AN22</v>
          </cell>
          <cell r="D928" t="str">
            <v>Gobierno Central</v>
          </cell>
          <cell r="F928" t="str">
            <v>Renta Fija</v>
          </cell>
          <cell r="Q928" t="str">
            <v>RFLG</v>
          </cell>
        </row>
        <row r="929">
          <cell r="B929" t="str">
            <v>01100028DA73</v>
          </cell>
          <cell r="D929" t="str">
            <v>Gobierno Central</v>
          </cell>
          <cell r="F929" t="str">
            <v>Renta Fija</v>
          </cell>
          <cell r="Q929" t="str">
            <v>RFLG</v>
          </cell>
        </row>
        <row r="930">
          <cell r="B930" t="str">
            <v>01100028AP79</v>
          </cell>
          <cell r="D930" t="str">
            <v>Gobierno Central</v>
          </cell>
          <cell r="F930" t="str">
            <v>Renta Fija</v>
          </cell>
          <cell r="Q930" t="str">
            <v>RFLG</v>
          </cell>
        </row>
        <row r="931">
          <cell r="B931" t="str">
            <v>01100028AQ52</v>
          </cell>
          <cell r="D931" t="str">
            <v>Gobierno Central</v>
          </cell>
          <cell r="F931" t="str">
            <v>Renta Fija</v>
          </cell>
          <cell r="Q931" t="str">
            <v>RFLG</v>
          </cell>
        </row>
        <row r="932">
          <cell r="B932" t="str">
            <v>01100028AW21</v>
          </cell>
          <cell r="D932" t="str">
            <v>Gobierno Central</v>
          </cell>
          <cell r="F932" t="str">
            <v>Renta Fija</v>
          </cell>
          <cell r="Q932" t="str">
            <v>RFLG</v>
          </cell>
        </row>
        <row r="933">
          <cell r="B933" t="str">
            <v>01100028BM30</v>
          </cell>
          <cell r="D933" t="str">
            <v>Gobierno Central</v>
          </cell>
          <cell r="F933" t="str">
            <v>Renta Fija</v>
          </cell>
          <cell r="Q933" t="str">
            <v>RFLG</v>
          </cell>
        </row>
        <row r="934">
          <cell r="B934" t="str">
            <v>01100028DT64</v>
          </cell>
          <cell r="D934" t="str">
            <v>Gobierno Central</v>
          </cell>
          <cell r="F934" t="str">
            <v>Renta Fija</v>
          </cell>
          <cell r="Q934" t="str">
            <v>RFLG</v>
          </cell>
        </row>
        <row r="935">
          <cell r="B935" t="str">
            <v>01100028BU55</v>
          </cell>
          <cell r="D935" t="str">
            <v>Gobierno Central</v>
          </cell>
          <cell r="F935" t="str">
            <v>Renta Fija</v>
          </cell>
          <cell r="Q935" t="str">
            <v>RFLG</v>
          </cell>
        </row>
        <row r="936">
          <cell r="B936" t="str">
            <v>01100028FC12</v>
          </cell>
          <cell r="D936" t="str">
            <v>Gobierno Central</v>
          </cell>
          <cell r="F936" t="str">
            <v>Renta Fija</v>
          </cell>
          <cell r="Q936" t="str">
            <v>RFLG</v>
          </cell>
        </row>
        <row r="937">
          <cell r="B937" t="str">
            <v>011000481182</v>
          </cell>
          <cell r="D937" t="str">
            <v>Gobierno Central</v>
          </cell>
          <cell r="F937" t="str">
            <v>Renta Fija</v>
          </cell>
          <cell r="Q937" t="str">
            <v>RFLG</v>
          </cell>
        </row>
        <row r="938">
          <cell r="B938" t="str">
            <v>011000481708</v>
          </cell>
          <cell r="D938" t="str">
            <v>Gobierno Central</v>
          </cell>
          <cell r="F938" t="str">
            <v>Renta Fija</v>
          </cell>
          <cell r="Q938" t="str">
            <v>RFLG</v>
          </cell>
        </row>
        <row r="939">
          <cell r="B939" t="str">
            <v>5211082FRFML</v>
          </cell>
          <cell r="D939" t="str">
            <v xml:space="preserve">Larrain Vial </v>
          </cell>
          <cell r="F939" t="str">
            <v>Renta Fija</v>
          </cell>
          <cell r="Q939" t="str">
            <v>RFLG</v>
          </cell>
        </row>
        <row r="940">
          <cell r="B940" t="str">
            <v>5277512F3236</v>
          </cell>
          <cell r="D940" t="str">
            <v>DNCA - Alpha Bonds</v>
          </cell>
          <cell r="F940" t="str">
            <v>Renta Fija</v>
          </cell>
          <cell r="Q940" t="str">
            <v>RFIG</v>
          </cell>
        </row>
        <row r="941">
          <cell r="B941" t="str">
            <v>5274822F3552</v>
          </cell>
          <cell r="D941" t="str">
            <v>Moneda - Deuda Latam LCC</v>
          </cell>
          <cell r="F941" t="str">
            <v>Renta Fija</v>
          </cell>
          <cell r="Q941" t="str">
            <v>RFLG</v>
          </cell>
        </row>
        <row r="942">
          <cell r="B942" t="str">
            <v>5270582MDLOC</v>
          </cell>
          <cell r="D942" t="str">
            <v>Moneda - Deuda Latinoamericana</v>
          </cell>
          <cell r="F942" t="str">
            <v>Renta Fija</v>
          </cell>
          <cell r="Q942" t="str">
            <v>RFLG</v>
          </cell>
        </row>
        <row r="943">
          <cell r="B943" t="str">
            <v>1250248VAL22</v>
          </cell>
          <cell r="D943" t="str">
            <v>VALEBZ 6.6252 08/15/22</v>
          </cell>
          <cell r="F943" t="str">
            <v>Renta Fija</v>
          </cell>
          <cell r="Q943" t="str">
            <v>RFIC</v>
          </cell>
        </row>
        <row r="944">
          <cell r="B944" t="str">
            <v>12509981AB24</v>
          </cell>
          <cell r="D944" t="str">
            <v>Cosan S.A. Industria y Comercio</v>
          </cell>
          <cell r="F944" t="str">
            <v>Renta Fija</v>
          </cell>
          <cell r="Q944" t="str">
            <v>RFIC</v>
          </cell>
        </row>
        <row r="945">
          <cell r="B945" t="str">
            <v>1251818EAN07</v>
          </cell>
          <cell r="D945" t="str">
            <v>Odebretch</v>
          </cell>
          <cell r="F945" t="str">
            <v>Renta Fija</v>
          </cell>
          <cell r="Q945" t="str">
            <v>RFIC</v>
          </cell>
        </row>
        <row r="946">
          <cell r="B946" t="str">
            <v>125392FZAB50</v>
          </cell>
          <cell r="D946" t="str">
            <v xml:space="preserve">Empresa de Telecomunicaciones de Bogotá S.A. </v>
          </cell>
          <cell r="F946" t="str">
            <v>Renta Fija</v>
          </cell>
          <cell r="Q946" t="str">
            <v>RFIC</v>
          </cell>
        </row>
        <row r="947">
          <cell r="B947" t="str">
            <v>15527890A0051</v>
          </cell>
          <cell r="D947" t="str">
            <v>BBVA Bancomer</v>
          </cell>
          <cell r="F947" t="str">
            <v>Renta Fija</v>
          </cell>
          <cell r="Q947" t="str">
            <v>RFIC</v>
          </cell>
        </row>
        <row r="948">
          <cell r="B948" t="str">
            <v>155800F0AA25</v>
          </cell>
          <cell r="D948" t="str">
            <v>Findeter</v>
          </cell>
          <cell r="F948" t="str">
            <v>Renta Fija</v>
          </cell>
          <cell r="Q948" t="str">
            <v>RFIC</v>
          </cell>
        </row>
        <row r="949">
          <cell r="B949" t="str">
            <v>595132FRAV98</v>
          </cell>
          <cell r="D949" t="str">
            <v>Empresas Públicas Medellin</v>
          </cell>
          <cell r="F949" t="str">
            <v>Renta Fija</v>
          </cell>
          <cell r="Q949" t="str">
            <v>RFIC</v>
          </cell>
        </row>
        <row r="950">
          <cell r="B950" t="str">
            <v>595132FRBB26</v>
          </cell>
          <cell r="D950" t="str">
            <v>Empresas Públicas Medellin</v>
          </cell>
          <cell r="F950" t="str">
            <v>Renta Fija</v>
          </cell>
          <cell r="Q950" t="str">
            <v>RFIC</v>
          </cell>
        </row>
        <row r="951">
          <cell r="B951" t="str">
            <v>1250248VAL21</v>
          </cell>
          <cell r="D951" t="str">
            <v>Vale Overseas Limited Brazil</v>
          </cell>
          <cell r="F951" t="str">
            <v>Renta Fija</v>
          </cell>
          <cell r="Q951" t="str">
            <v>RFIC</v>
          </cell>
        </row>
        <row r="952">
          <cell r="B952" t="str">
            <v>595132FRAZ03</v>
          </cell>
          <cell r="D952" t="str">
            <v>Empresas Públicas Medellin</v>
          </cell>
          <cell r="F952" t="str">
            <v>Renta Fija</v>
          </cell>
          <cell r="Q952" t="str">
            <v>RFIC</v>
          </cell>
        </row>
        <row r="953">
          <cell r="B953" t="str">
            <v>595132FRBD81</v>
          </cell>
          <cell r="D953" t="str">
            <v>Empresas Públicas Medellin</v>
          </cell>
          <cell r="F953" t="str">
            <v>Renta Fija</v>
          </cell>
          <cell r="Q953" t="str">
            <v>RFIC</v>
          </cell>
        </row>
        <row r="954">
          <cell r="B954" t="str">
            <v>1250308CAC49</v>
          </cell>
          <cell r="D954" t="str">
            <v>Brasil Foods</v>
          </cell>
          <cell r="F954" t="str">
            <v>Renta Fija</v>
          </cell>
          <cell r="Q954" t="str">
            <v>RFIC</v>
          </cell>
        </row>
        <row r="955">
          <cell r="B955" t="str">
            <v>125037906935</v>
          </cell>
          <cell r="D955" t="str">
            <v>América Móvil</v>
          </cell>
          <cell r="F955" t="str">
            <v>Renta Fija</v>
          </cell>
          <cell r="Q955" t="str">
            <v>RFIC</v>
          </cell>
        </row>
        <row r="956">
          <cell r="B956" t="str">
            <v>125037959440</v>
          </cell>
          <cell r="D956" t="str">
            <v>América Móvil</v>
          </cell>
          <cell r="F956" t="str">
            <v>Renta Fija</v>
          </cell>
          <cell r="Q956" t="str">
            <v>RFIC</v>
          </cell>
        </row>
        <row r="957">
          <cell r="B957" t="str">
            <v>125072963779</v>
          </cell>
          <cell r="D957" t="str">
            <v>Televisa</v>
          </cell>
          <cell r="F957" t="str">
            <v>Renta Fija</v>
          </cell>
          <cell r="Q957" t="str">
            <v>RFIC</v>
          </cell>
        </row>
        <row r="958">
          <cell r="B958" t="str">
            <v>125074C0AB64</v>
          </cell>
          <cell r="D958" t="str">
            <v>SACI Falabella</v>
          </cell>
          <cell r="F958" t="str">
            <v>Renta Fija</v>
          </cell>
          <cell r="Q958" t="str">
            <v>RFIC</v>
          </cell>
        </row>
        <row r="959">
          <cell r="B959" t="str">
            <v>125272FCAA82</v>
          </cell>
          <cell r="D959" t="str">
            <v>Emgesa S.A. E.S.P</v>
          </cell>
          <cell r="F959" t="str">
            <v>Renta Fija</v>
          </cell>
          <cell r="Q959" t="str">
            <v>RFIC</v>
          </cell>
        </row>
        <row r="960">
          <cell r="B960" t="str">
            <v>12530087AA09</v>
          </cell>
          <cell r="D960" t="str">
            <v>Compañía de Electricidad de Estado de Bahía</v>
          </cell>
          <cell r="F960" t="str">
            <v>Renta Fija</v>
          </cell>
          <cell r="Q960" t="str">
            <v>RFIC</v>
          </cell>
        </row>
        <row r="961">
          <cell r="B961" t="str">
            <v>15510182CAP8</v>
          </cell>
          <cell r="D961" t="str">
            <v>Merry Lynch &amp; Co</v>
          </cell>
          <cell r="F961" t="str">
            <v>Renta Fija</v>
          </cell>
          <cell r="Q961" t="str">
            <v>RFIC</v>
          </cell>
        </row>
        <row r="962">
          <cell r="B962" t="str">
            <v>155104920379</v>
          </cell>
          <cell r="D962" t="str">
            <v>JP Morgan Chase &amp; Co</v>
          </cell>
          <cell r="F962" t="str">
            <v>Renta Fija</v>
          </cell>
          <cell r="Q962" t="str">
            <v>RFIC</v>
          </cell>
        </row>
        <row r="963">
          <cell r="B963" t="str">
            <v>15510587YBA2</v>
          </cell>
          <cell r="D963" t="str">
            <v>Morgan Stanley</v>
          </cell>
          <cell r="F963" t="str">
            <v>Renta Fija</v>
          </cell>
          <cell r="Q963" t="str">
            <v>RFIC</v>
          </cell>
        </row>
        <row r="964">
          <cell r="B964" t="str">
            <v>155165C9AL46</v>
          </cell>
          <cell r="D964" t="str">
            <v>Banco Santander de Chile</v>
          </cell>
          <cell r="F964" t="str">
            <v>Renta Fija</v>
          </cell>
          <cell r="Q964" t="str">
            <v>RFIC</v>
          </cell>
        </row>
        <row r="965">
          <cell r="B965" t="str">
            <v>15520186EU29</v>
          </cell>
          <cell r="D965" t="str">
            <v>Santander Brasil</v>
          </cell>
          <cell r="F965" t="str">
            <v>Renta Fija</v>
          </cell>
          <cell r="Q965" t="str">
            <v>RFIC</v>
          </cell>
        </row>
        <row r="966">
          <cell r="B966" t="str">
            <v>1552018UAR59</v>
          </cell>
          <cell r="D966" t="str">
            <v>Santander Brasil</v>
          </cell>
          <cell r="F966" t="str">
            <v>Renta Fija</v>
          </cell>
          <cell r="Q966" t="str">
            <v>RFIC</v>
          </cell>
        </row>
        <row r="967">
          <cell r="B967" t="str">
            <v>155310165785</v>
          </cell>
          <cell r="D967" t="str">
            <v>Export-Import Bank of Korea</v>
          </cell>
          <cell r="F967" t="str">
            <v>Renta Fija</v>
          </cell>
          <cell r="Q967" t="str">
            <v>RFIC</v>
          </cell>
        </row>
        <row r="968">
          <cell r="B968" t="str">
            <v>155324FWAF79</v>
          </cell>
          <cell r="D968" t="str">
            <v>Banco Davivienda S.A.</v>
          </cell>
          <cell r="F968" t="str">
            <v>Renta Fija</v>
          </cell>
          <cell r="Q968" t="str">
            <v>RFIC</v>
          </cell>
        </row>
        <row r="969">
          <cell r="B969" t="str">
            <v>155371F07087</v>
          </cell>
          <cell r="D969" t="str">
            <v>Banco BTG Pactual S.A.</v>
          </cell>
          <cell r="F969" t="str">
            <v>Renta Fija</v>
          </cell>
          <cell r="Q969" t="str">
            <v>RFIC</v>
          </cell>
        </row>
        <row r="970">
          <cell r="B970" t="str">
            <v>1603001DBA17</v>
          </cell>
          <cell r="D970" t="str">
            <v xml:space="preserve">Deutsche Bank, London Branch - Perú </v>
          </cell>
          <cell r="F970" t="str">
            <v>Renta Fija</v>
          </cell>
          <cell r="Q970" t="str">
            <v>RFIC</v>
          </cell>
        </row>
        <row r="971">
          <cell r="B971" t="str">
            <v>160301123346</v>
          </cell>
          <cell r="D971" t="str">
            <v>JP Morgan Chase &amp; Co - Perú</v>
          </cell>
          <cell r="F971" t="str">
            <v>Renta Fija</v>
          </cell>
          <cell r="Q971" t="str">
            <v>RFIC</v>
          </cell>
        </row>
        <row r="972">
          <cell r="B972" t="str">
            <v>270300887474</v>
          </cell>
          <cell r="D972" t="str">
            <v xml:space="preserve">Deutsche Bank, London Branch - Perú </v>
          </cell>
          <cell r="F972" t="str">
            <v>Renta Fija</v>
          </cell>
          <cell r="Q972" t="str">
            <v>RFIC</v>
          </cell>
        </row>
        <row r="973">
          <cell r="B973" t="str">
            <v>294102106139</v>
          </cell>
          <cell r="D973" t="str">
            <v>Banco Interamericano de Desarrollo</v>
          </cell>
          <cell r="F973" t="str">
            <v>Renta Fija</v>
          </cell>
          <cell r="Q973" t="str">
            <v>RFIC</v>
          </cell>
        </row>
        <row r="974">
          <cell r="B974" t="str">
            <v>595132FRAB35</v>
          </cell>
          <cell r="D974" t="str">
            <v>Empresas Públicas Medellin</v>
          </cell>
          <cell r="F974" t="str">
            <v>Renta Fija</v>
          </cell>
          <cell r="Q974" t="str">
            <v>RFIC</v>
          </cell>
        </row>
        <row r="975">
          <cell r="B975" t="str">
            <v>0840038TF147</v>
          </cell>
          <cell r="D975" t="str">
            <v>Gobierno de Brasil</v>
          </cell>
          <cell r="F975" t="str">
            <v>Renta Fija</v>
          </cell>
          <cell r="Q975" t="str">
            <v>RFIG</v>
          </cell>
        </row>
        <row r="976">
          <cell r="B976" t="str">
            <v>0840038BRA16</v>
          </cell>
          <cell r="D976" t="str">
            <v>Gobierno de Brasil</v>
          </cell>
          <cell r="F976" t="str">
            <v>Renta Fija</v>
          </cell>
          <cell r="Q976" t="str">
            <v>RFIG</v>
          </cell>
        </row>
        <row r="977">
          <cell r="B977" t="str">
            <v>0840038TF238</v>
          </cell>
          <cell r="D977" t="str">
            <v>Gobierno de Brasil</v>
          </cell>
          <cell r="F977" t="str">
            <v>Renta Fija</v>
          </cell>
          <cell r="Q977" t="str">
            <v>RFIG</v>
          </cell>
        </row>
        <row r="978">
          <cell r="B978" t="str">
            <v>08400386BT66</v>
          </cell>
          <cell r="D978" t="str">
            <v>Gobierno de Brasil</v>
          </cell>
          <cell r="F978" t="str">
            <v>Renta Fija</v>
          </cell>
          <cell r="Q978" t="str">
            <v>RFIG</v>
          </cell>
        </row>
        <row r="979">
          <cell r="B979" t="str">
            <v>0840038TF212</v>
          </cell>
          <cell r="D979" t="str">
            <v>Gobierno de Brasil</v>
          </cell>
          <cell r="F979" t="str">
            <v>Renta Fija</v>
          </cell>
          <cell r="Q979" t="str">
            <v>RFIG</v>
          </cell>
        </row>
        <row r="980">
          <cell r="B980" t="str">
            <v>0840038TF1Q6</v>
          </cell>
          <cell r="D980" t="str">
            <v>Gobierno de Brasil</v>
          </cell>
          <cell r="F980" t="str">
            <v>Renta Fija</v>
          </cell>
          <cell r="Q980" t="str">
            <v>RFIG</v>
          </cell>
        </row>
        <row r="981">
          <cell r="B981" t="str">
            <v>0840038TF0N5</v>
          </cell>
          <cell r="D981" t="str">
            <v>Gobierno de Brasil</v>
          </cell>
          <cell r="F981" t="str">
            <v>Renta Fija</v>
          </cell>
          <cell r="Q981" t="str">
            <v>RFIG</v>
          </cell>
        </row>
        <row r="982">
          <cell r="B982" t="str">
            <v>0840038TF7J0</v>
          </cell>
          <cell r="D982" t="str">
            <v>Gobierno de Brasil</v>
          </cell>
          <cell r="F982" t="str">
            <v>Renta Fija</v>
          </cell>
          <cell r="Q982" t="str">
            <v>RFIG</v>
          </cell>
        </row>
        <row r="983">
          <cell r="B983" t="str">
            <v>0840038TF1P8</v>
          </cell>
          <cell r="D983" t="str">
            <v>Gobierno de Brasil</v>
          </cell>
          <cell r="F983" t="str">
            <v>Renta Fija</v>
          </cell>
          <cell r="Q983" t="str">
            <v>RFIG</v>
          </cell>
        </row>
        <row r="984">
          <cell r="B984" t="str">
            <v>0840038TF170</v>
          </cell>
          <cell r="D984" t="str">
            <v>Gobierno de Brasil</v>
          </cell>
          <cell r="F984" t="str">
            <v>Renta Fija</v>
          </cell>
          <cell r="Q984" t="str">
            <v>RFIG</v>
          </cell>
        </row>
        <row r="985">
          <cell r="B985" t="str">
            <v>0840038TN7S1</v>
          </cell>
          <cell r="D985" t="str">
            <v>Gobierno de Brasil</v>
          </cell>
          <cell r="F985" t="str">
            <v>Renta Fija</v>
          </cell>
          <cell r="Q985" t="str">
            <v>RFIG</v>
          </cell>
        </row>
        <row r="986">
          <cell r="B986" t="str">
            <v>0840038BRAZ21</v>
          </cell>
          <cell r="D986" t="str">
            <v>Gobierno de Brasil</v>
          </cell>
          <cell r="F986" t="str">
            <v>Renta Fija</v>
          </cell>
          <cell r="Q986" t="str">
            <v>RFIG</v>
          </cell>
        </row>
        <row r="987">
          <cell r="B987" t="str">
            <v>0840038TF204</v>
          </cell>
          <cell r="D987" t="str">
            <v>Gobierno de Brasil</v>
          </cell>
          <cell r="F987" t="str">
            <v>Renta Fija</v>
          </cell>
          <cell r="Q987" t="str">
            <v>RFIG</v>
          </cell>
        </row>
        <row r="988">
          <cell r="B988" t="str">
            <v>0840038BRALT</v>
          </cell>
          <cell r="D988" t="str">
            <v>Gobierno de Brasil</v>
          </cell>
          <cell r="F988" t="str">
            <v>Renta Fija</v>
          </cell>
          <cell r="Q988" t="str">
            <v>RFIG</v>
          </cell>
        </row>
        <row r="989">
          <cell r="B989" t="str">
            <v>0840038BRA22</v>
          </cell>
          <cell r="D989" t="str">
            <v>Gobierno de Brasil</v>
          </cell>
          <cell r="F989" t="str">
            <v>Renta Fija</v>
          </cell>
          <cell r="Q989" t="str">
            <v>RFIG</v>
          </cell>
        </row>
        <row r="990">
          <cell r="B990" t="str">
            <v>08400386BN96</v>
          </cell>
          <cell r="D990" t="str">
            <v>Gobierno de Brasil</v>
          </cell>
          <cell r="F990" t="str">
            <v>Renta Fija</v>
          </cell>
          <cell r="Q990" t="str">
            <v>RFIG</v>
          </cell>
        </row>
        <row r="991">
          <cell r="B991" t="str">
            <v>084006C40138</v>
          </cell>
          <cell r="D991" t="str">
            <v>Gobierno de Chile</v>
          </cell>
          <cell r="F991" t="str">
            <v>Renta Fija</v>
          </cell>
          <cell r="Q991" t="str">
            <v>RFIG</v>
          </cell>
        </row>
        <row r="992">
          <cell r="B992" t="str">
            <v>084006C98016</v>
          </cell>
          <cell r="D992" t="str">
            <v>Gobierno de Chile</v>
          </cell>
          <cell r="F992" t="str">
            <v>Renta Fija</v>
          </cell>
          <cell r="Q992" t="str">
            <v>RFIG</v>
          </cell>
        </row>
        <row r="993">
          <cell r="B993" t="str">
            <v>084006C74774</v>
          </cell>
          <cell r="D993" t="str">
            <v>Gobierno de Chile</v>
          </cell>
          <cell r="F993" t="str">
            <v>Renta Fija</v>
          </cell>
          <cell r="Q993" t="str">
            <v>RFIG</v>
          </cell>
        </row>
        <row r="994">
          <cell r="B994" t="str">
            <v>084006C39505</v>
          </cell>
          <cell r="D994" t="str">
            <v>Gobierno de Chile</v>
          </cell>
          <cell r="F994" t="str">
            <v>Renta Fija</v>
          </cell>
          <cell r="Q994" t="str">
            <v>RFIG</v>
          </cell>
        </row>
        <row r="995">
          <cell r="B995" t="str">
            <v>084006C04540</v>
          </cell>
          <cell r="D995" t="str">
            <v>Gobierno de Chile</v>
          </cell>
          <cell r="F995" t="str">
            <v>Renta Fija</v>
          </cell>
          <cell r="Q995" t="str">
            <v>RFIG</v>
          </cell>
        </row>
        <row r="996">
          <cell r="B996" t="str">
            <v>084006C37767</v>
          </cell>
          <cell r="D996" t="str">
            <v>Gobierno de Chile</v>
          </cell>
          <cell r="F996" t="str">
            <v>Renta Fija</v>
          </cell>
          <cell r="Q996" t="str">
            <v>RFIG</v>
          </cell>
        </row>
        <row r="997">
          <cell r="B997" t="str">
            <v>084006C52621</v>
          </cell>
          <cell r="D997" t="str">
            <v>Gobierno de Chile</v>
          </cell>
          <cell r="F997" t="str">
            <v>Renta Fija</v>
          </cell>
          <cell r="Q997" t="str">
            <v>RFIG</v>
          </cell>
        </row>
        <row r="998">
          <cell r="B998" t="str">
            <v>084006C55640</v>
          </cell>
          <cell r="D998" t="str">
            <v>Gobierno de Chile</v>
          </cell>
          <cell r="F998" t="str">
            <v>Renta Fija</v>
          </cell>
          <cell r="Q998" t="str">
            <v>RFIG</v>
          </cell>
        </row>
        <row r="999">
          <cell r="B999" t="str">
            <v>084006C03013</v>
          </cell>
          <cell r="D999" t="str">
            <v>Gobierno de Chile</v>
          </cell>
          <cell r="F999" t="str">
            <v>Renta Fija</v>
          </cell>
          <cell r="Q999" t="str">
            <v>RFIG</v>
          </cell>
        </row>
        <row r="1000">
          <cell r="B1000" t="str">
            <v>084006C55668</v>
          </cell>
          <cell r="D1000" t="str">
            <v>Gobierno de Chile</v>
          </cell>
          <cell r="F1000" t="str">
            <v>Renta Fija</v>
          </cell>
          <cell r="Q1000" t="str">
            <v>RFIG</v>
          </cell>
        </row>
        <row r="1001">
          <cell r="B1001" t="str">
            <v>084006C69331</v>
          </cell>
          <cell r="D1001" t="str">
            <v>Gobierno de Chile</v>
          </cell>
          <cell r="F1001" t="str">
            <v>Renta Fija</v>
          </cell>
          <cell r="Q1001" t="str">
            <v>RFIG</v>
          </cell>
        </row>
        <row r="1002">
          <cell r="B1002" t="str">
            <v>084006C72501</v>
          </cell>
          <cell r="D1002" t="str">
            <v>Gobierno de Chile</v>
          </cell>
          <cell r="F1002" t="str">
            <v>Renta Fija</v>
          </cell>
          <cell r="Q1002" t="str">
            <v>RFIG</v>
          </cell>
        </row>
        <row r="1003">
          <cell r="B1003" t="str">
            <v>084006C48207</v>
          </cell>
          <cell r="D1003" t="str">
            <v>Gobierno de Chile</v>
          </cell>
          <cell r="F1003" t="str">
            <v>Renta Fija</v>
          </cell>
          <cell r="Q1003" t="str">
            <v>RFIG</v>
          </cell>
        </row>
        <row r="1004">
          <cell r="B1004" t="str">
            <v>084006C86989</v>
          </cell>
          <cell r="D1004" t="str">
            <v>Gobierno de Chile</v>
          </cell>
          <cell r="F1004" t="str">
            <v>Renta Fija</v>
          </cell>
          <cell r="Q1004" t="str">
            <v>RFIG</v>
          </cell>
        </row>
        <row r="1005">
          <cell r="B1005" t="str">
            <v>084006C87822</v>
          </cell>
          <cell r="D1005" t="str">
            <v>Gobierno de Chile</v>
          </cell>
          <cell r="F1005" t="str">
            <v>Renta Fija</v>
          </cell>
          <cell r="Q1005" t="str">
            <v>RFIG</v>
          </cell>
        </row>
        <row r="1006">
          <cell r="B1006" t="str">
            <v>084006C56457</v>
          </cell>
          <cell r="D1006" t="str">
            <v>Gobierno de Chile</v>
          </cell>
          <cell r="F1006" t="str">
            <v>Renta Fija</v>
          </cell>
          <cell r="Q1006" t="str">
            <v>RFIG</v>
          </cell>
        </row>
        <row r="1007">
          <cell r="B1007" t="str">
            <v>084006C57422</v>
          </cell>
          <cell r="D1007" t="str">
            <v>Gobierno de Chile</v>
          </cell>
          <cell r="F1007" t="str">
            <v>Renta Fija</v>
          </cell>
          <cell r="Q1007" t="str">
            <v>RFIG</v>
          </cell>
        </row>
        <row r="1008">
          <cell r="B1008" t="str">
            <v>084006C54230</v>
          </cell>
          <cell r="D1008" t="str">
            <v>Gobierno de Chile</v>
          </cell>
          <cell r="F1008" t="str">
            <v>Renta Fija</v>
          </cell>
          <cell r="Q1008" t="str">
            <v>RFIG</v>
          </cell>
        </row>
        <row r="1009">
          <cell r="B1009" t="str">
            <v>084006C54248</v>
          </cell>
          <cell r="D1009" t="str">
            <v>Gobierno de Chile</v>
          </cell>
          <cell r="F1009" t="str">
            <v>Renta Fija</v>
          </cell>
          <cell r="Q1009" t="str">
            <v>RFIG</v>
          </cell>
        </row>
        <row r="1010">
          <cell r="B1010" t="str">
            <v>084006C20275</v>
          </cell>
          <cell r="D1010" t="str">
            <v>Gobierno de Chile</v>
          </cell>
          <cell r="F1010" t="str">
            <v>Renta Fija</v>
          </cell>
          <cell r="Q1010" t="str">
            <v>RFIG</v>
          </cell>
        </row>
        <row r="1011">
          <cell r="B1011" t="str">
            <v>084006C57349</v>
          </cell>
          <cell r="D1011" t="str">
            <v>Gobierno de Chile</v>
          </cell>
          <cell r="F1011" t="str">
            <v>Renta Fija</v>
          </cell>
          <cell r="Q1011" t="str">
            <v>RFIG</v>
          </cell>
        </row>
        <row r="1012">
          <cell r="B1012" t="str">
            <v>084006C58669</v>
          </cell>
          <cell r="D1012" t="str">
            <v>Gobierno de Chile</v>
          </cell>
          <cell r="F1012" t="str">
            <v>Renta Fija</v>
          </cell>
          <cell r="Q1012" t="str">
            <v>RFIG</v>
          </cell>
        </row>
        <row r="1013">
          <cell r="B1013" t="str">
            <v>084006C57778</v>
          </cell>
          <cell r="D1013" t="str">
            <v>Gobierno de Chile</v>
          </cell>
          <cell r="F1013" t="str">
            <v>Renta Fija</v>
          </cell>
          <cell r="Q1013" t="str">
            <v>RFIG</v>
          </cell>
        </row>
        <row r="1014">
          <cell r="B1014" t="str">
            <v>084006C99166</v>
          </cell>
          <cell r="D1014" t="str">
            <v>Gobierno de Chile</v>
          </cell>
          <cell r="F1014" t="str">
            <v>Renta Fija</v>
          </cell>
          <cell r="Q1014" t="str">
            <v>RFIG</v>
          </cell>
        </row>
        <row r="1015">
          <cell r="B1015" t="str">
            <v>084004F72122</v>
          </cell>
          <cell r="D1015" t="str">
            <v>Gobierno de Colombia</v>
          </cell>
          <cell r="F1015" t="str">
            <v>Renta Fija</v>
          </cell>
          <cell r="Q1015" t="str">
            <v>RFIG</v>
          </cell>
        </row>
        <row r="1016">
          <cell r="B1016" t="str">
            <v>084004F58444</v>
          </cell>
          <cell r="D1016" t="str">
            <v>Gobierno de Colombia</v>
          </cell>
          <cell r="F1016" t="str">
            <v>Renta Fija</v>
          </cell>
          <cell r="Q1016" t="str">
            <v>RFIG</v>
          </cell>
        </row>
        <row r="1017">
          <cell r="B1017" t="str">
            <v>084004F04084</v>
          </cell>
          <cell r="D1017" t="str">
            <v>Gobierno de Colombia</v>
          </cell>
          <cell r="F1017" t="str">
            <v>Renta Fija</v>
          </cell>
          <cell r="Q1017" t="str">
            <v>RFIG</v>
          </cell>
        </row>
        <row r="1018">
          <cell r="B1018" t="str">
            <v>084004F03862</v>
          </cell>
          <cell r="D1018" t="str">
            <v>Gobierno de Colombia</v>
          </cell>
          <cell r="F1018" t="str">
            <v>Renta Fija</v>
          </cell>
          <cell r="Q1018" t="str">
            <v>RFIG</v>
          </cell>
        </row>
        <row r="1019">
          <cell r="B1019" t="str">
            <v>084004F03813</v>
          </cell>
          <cell r="D1019" t="str">
            <v>Gobierno de Colombia</v>
          </cell>
          <cell r="F1019" t="str">
            <v>Renta Fija</v>
          </cell>
          <cell r="Q1019" t="str">
            <v>RFIG</v>
          </cell>
        </row>
        <row r="1020">
          <cell r="B1020" t="str">
            <v>084004F03938</v>
          </cell>
          <cell r="D1020" t="str">
            <v>Gobierno de Colombia</v>
          </cell>
          <cell r="F1020" t="str">
            <v>Renta Fija</v>
          </cell>
          <cell r="Q1020" t="str">
            <v>RFIG</v>
          </cell>
        </row>
        <row r="1021">
          <cell r="B1021" t="str">
            <v>084004F03771</v>
          </cell>
          <cell r="D1021" t="str">
            <v>Gobierno de Colombia</v>
          </cell>
          <cell r="F1021" t="str">
            <v>Renta Fija</v>
          </cell>
          <cell r="Q1021" t="str">
            <v>RFIG</v>
          </cell>
        </row>
        <row r="1022">
          <cell r="B1022" t="str">
            <v>084004F03557</v>
          </cell>
          <cell r="D1022" t="str">
            <v>Gobierno de Colombia</v>
          </cell>
          <cell r="F1022" t="str">
            <v>Renta Fija</v>
          </cell>
          <cell r="Q1022" t="str">
            <v>RFIG</v>
          </cell>
        </row>
        <row r="1023">
          <cell r="B1023" t="str">
            <v>084004F03722</v>
          </cell>
          <cell r="D1023" t="str">
            <v>Gobierno de Colombia</v>
          </cell>
          <cell r="F1023" t="str">
            <v>Renta Fija</v>
          </cell>
          <cell r="Q1023" t="str">
            <v>RFIG</v>
          </cell>
        </row>
        <row r="1024">
          <cell r="B1024" t="str">
            <v>084004F03615</v>
          </cell>
          <cell r="D1024" t="str">
            <v>Gobierno de Colombia</v>
          </cell>
          <cell r="F1024" t="str">
            <v>Renta Fija</v>
          </cell>
          <cell r="Q1024" t="str">
            <v>RFIG</v>
          </cell>
        </row>
        <row r="1025">
          <cell r="B1025" t="str">
            <v>084004F03490</v>
          </cell>
          <cell r="D1025" t="str">
            <v>Gobierno de Colombia</v>
          </cell>
          <cell r="F1025" t="str">
            <v>Renta Fija</v>
          </cell>
          <cell r="Q1025" t="str">
            <v>RFIG</v>
          </cell>
        </row>
        <row r="1026">
          <cell r="B1026" t="str">
            <v>084004F03672</v>
          </cell>
          <cell r="D1026" t="str">
            <v>Gobierno de Colombia</v>
          </cell>
          <cell r="F1026" t="str">
            <v>Renta Fija</v>
          </cell>
          <cell r="Q1026" t="str">
            <v>RFIG</v>
          </cell>
        </row>
        <row r="1027">
          <cell r="B1027" t="str">
            <v>084004F02625</v>
          </cell>
          <cell r="D1027" t="str">
            <v>Gobierno de Colombia</v>
          </cell>
          <cell r="F1027" t="str">
            <v>Renta Fija</v>
          </cell>
          <cell r="Q1027" t="str">
            <v>RFIG</v>
          </cell>
        </row>
        <row r="1028">
          <cell r="B1028" t="str">
            <v>084004F03011</v>
          </cell>
          <cell r="D1028" t="str">
            <v>Gobierno de Colombia</v>
          </cell>
          <cell r="F1028" t="str">
            <v>Renta Fija</v>
          </cell>
          <cell r="Q1028" t="str">
            <v>RFIG</v>
          </cell>
        </row>
        <row r="1029">
          <cell r="B1029" t="str">
            <v>084004F22065</v>
          </cell>
          <cell r="D1029" t="str">
            <v>Gobierno de Colombia</v>
          </cell>
          <cell r="F1029" t="str">
            <v>Renta Fija</v>
          </cell>
          <cell r="Q1029" t="str">
            <v>RFIG</v>
          </cell>
        </row>
        <row r="1030">
          <cell r="B1030" t="str">
            <v>084004F02302</v>
          </cell>
          <cell r="D1030" t="str">
            <v>Gobierno de Colombia</v>
          </cell>
          <cell r="F1030" t="str">
            <v>Renta Fija</v>
          </cell>
          <cell r="Q1030" t="str">
            <v>RFIG</v>
          </cell>
        </row>
        <row r="1031">
          <cell r="B1031" t="str">
            <v>084004F02385</v>
          </cell>
          <cell r="D1031" t="str">
            <v>Gobierno de Colombia</v>
          </cell>
          <cell r="F1031" t="str">
            <v>Renta Fija</v>
          </cell>
          <cell r="Q1031" t="str">
            <v>RFIG</v>
          </cell>
        </row>
        <row r="1032">
          <cell r="B1032" t="str">
            <v>084004F03342</v>
          </cell>
          <cell r="D1032" t="str">
            <v>Gobierno de Colombia</v>
          </cell>
          <cell r="F1032" t="str">
            <v>Renta Fija</v>
          </cell>
          <cell r="Q1032" t="str">
            <v>RFIG</v>
          </cell>
        </row>
        <row r="1033">
          <cell r="B1033" t="str">
            <v>084004F02864</v>
          </cell>
          <cell r="D1033" t="str">
            <v>Gobierno de Colombia</v>
          </cell>
          <cell r="F1033" t="str">
            <v>Renta Fija</v>
          </cell>
          <cell r="Q1033" t="str">
            <v>RFIG</v>
          </cell>
        </row>
        <row r="1034">
          <cell r="B1034" t="str">
            <v>084004F02914</v>
          </cell>
          <cell r="D1034" t="str">
            <v>Gobierno de Colombia</v>
          </cell>
          <cell r="F1034" t="str">
            <v>Renta Fija</v>
          </cell>
          <cell r="Q1034" t="str">
            <v>RFIG</v>
          </cell>
        </row>
        <row r="1035">
          <cell r="B1035" t="str">
            <v>084004FCOL28</v>
          </cell>
          <cell r="D1035" t="str">
            <v>Gobierno de Colombia</v>
          </cell>
          <cell r="F1035" t="str">
            <v>Renta Fija</v>
          </cell>
          <cell r="Q1035" t="str">
            <v>RFIG</v>
          </cell>
        </row>
        <row r="1036">
          <cell r="B1036" t="str">
            <v>084004F03748</v>
          </cell>
          <cell r="D1036" t="str">
            <v>Gobierno de Colombia</v>
          </cell>
          <cell r="F1036" t="str">
            <v>Renta Fija</v>
          </cell>
          <cell r="Q1036" t="str">
            <v>RFIG</v>
          </cell>
        </row>
        <row r="1037">
          <cell r="B1037" t="str">
            <v>084004F03581</v>
          </cell>
          <cell r="D1037" t="str">
            <v>Gobierno de Colombia</v>
          </cell>
          <cell r="F1037" t="str">
            <v>Renta Fija</v>
          </cell>
          <cell r="Q1037" t="str">
            <v>RFIG</v>
          </cell>
        </row>
        <row r="1038">
          <cell r="B1038" t="str">
            <v>5276642FJ177</v>
          </cell>
          <cell r="D1038" t="str">
            <v>Colchester Local Markets Bond Fund USD Unhedged</v>
          </cell>
          <cell r="F1038" t="str">
            <v>Renta Fija</v>
          </cell>
          <cell r="Q1038" t="str">
            <v>RFIG</v>
          </cell>
        </row>
        <row r="1039">
          <cell r="B1039" t="str">
            <v>5270062FFN53</v>
          </cell>
          <cell r="D1039" t="str">
            <v>BNY Mellon - Emerging Market Debt LC Fund</v>
          </cell>
          <cell r="F1039" t="str">
            <v>Renta Fija</v>
          </cell>
          <cell r="Q1039" t="str">
            <v>RFIG</v>
          </cell>
        </row>
        <row r="1040">
          <cell r="B1040" t="str">
            <v>5270064EMDEB</v>
          </cell>
          <cell r="D1040" t="str">
            <v>BNY Mellon - Emerging Market Debt LC Fund</v>
          </cell>
          <cell r="F1040" t="str">
            <v>Renta Fija</v>
          </cell>
          <cell r="Q1040" t="str">
            <v>RFIG</v>
          </cell>
        </row>
        <row r="1041">
          <cell r="B1041" t="str">
            <v>5270182F5243</v>
          </cell>
          <cell r="D1041" t="str">
            <v>GAM - Local Emerging Bond Fund</v>
          </cell>
          <cell r="F1041" t="str">
            <v>Renta Fija</v>
          </cell>
          <cell r="Q1041" t="str">
            <v>RFIG</v>
          </cell>
        </row>
        <row r="1042">
          <cell r="B1042" t="str">
            <v>5270802F2756</v>
          </cell>
          <cell r="D1042" t="str">
            <v>Pictet - Latin America Local Currency Debt</v>
          </cell>
          <cell r="F1042" t="str">
            <v>Renta Fija</v>
          </cell>
          <cell r="Q1042" t="str">
            <v>RFIG</v>
          </cell>
        </row>
        <row r="1043">
          <cell r="B1043" t="str">
            <v>5270804F2853</v>
          </cell>
          <cell r="D1043" t="str">
            <v>Pictet - Latin America Local Currency Debt</v>
          </cell>
          <cell r="F1043" t="str">
            <v>Renta Fija</v>
          </cell>
          <cell r="Q1043" t="str">
            <v>RFIG</v>
          </cell>
        </row>
        <row r="1044">
          <cell r="B1044" t="str">
            <v>5270512FGKM4</v>
          </cell>
          <cell r="D1044" t="str">
            <v>Barings - Emerging Markets Local Debt Fund</v>
          </cell>
          <cell r="F1044" t="str">
            <v>Renta Fija</v>
          </cell>
          <cell r="Q1044" t="str">
            <v>RFIG</v>
          </cell>
        </row>
        <row r="1045">
          <cell r="B1045" t="str">
            <v>5270296FDJP0</v>
          </cell>
          <cell r="D1045" t="str">
            <v>Investec - Emerging Markets  LC Debt Fund</v>
          </cell>
          <cell r="F1045" t="str">
            <v>Renta Fija</v>
          </cell>
          <cell r="Q1045" t="str">
            <v>RFIG</v>
          </cell>
        </row>
        <row r="1046">
          <cell r="B1046" t="str">
            <v>5270462F0367</v>
          </cell>
          <cell r="D1046" t="str">
            <v>Parvest - Bond World Emerging Local</v>
          </cell>
          <cell r="F1046" t="str">
            <v>Renta Fija</v>
          </cell>
          <cell r="Q1046" t="str">
            <v>RFIG</v>
          </cell>
        </row>
        <row r="1047">
          <cell r="B1047" t="str">
            <v>5270652EF494</v>
          </cell>
          <cell r="D1047" t="str">
            <v>VanEck - JPM EM LC Bond ETF</v>
          </cell>
          <cell r="F1047" t="str">
            <v>Renta Fija</v>
          </cell>
          <cell r="Q1047" t="str">
            <v>RFIG</v>
          </cell>
        </row>
        <row r="1048">
          <cell r="B1048" t="str">
            <v>5270772F5196</v>
          </cell>
          <cell r="D1048" t="str">
            <v>Franklin Templeton - Emerging Markets Bond Fund</v>
          </cell>
          <cell r="F1048" t="str">
            <v>Renta Fija</v>
          </cell>
          <cell r="Q1048" t="str">
            <v>RFIG</v>
          </cell>
        </row>
        <row r="1049">
          <cell r="B1049" t="str">
            <v>5270772F5315</v>
          </cell>
          <cell r="D1049" t="str">
            <v>Franklin Templeton - Global Total Return Fund</v>
          </cell>
          <cell r="F1049" t="str">
            <v>Renta Fija</v>
          </cell>
          <cell r="Q1049" t="str">
            <v>RFIG</v>
          </cell>
        </row>
        <row r="1050">
          <cell r="B1050" t="str">
            <v>5270772F9726</v>
          </cell>
          <cell r="D1050" t="str">
            <v>Franklin Templeton - Global Fund</v>
          </cell>
          <cell r="F1050" t="str">
            <v>Renta Fija</v>
          </cell>
          <cell r="Q1050" t="str">
            <v>RFIG</v>
          </cell>
        </row>
        <row r="1051">
          <cell r="B1051" t="str">
            <v>5270802F0077</v>
          </cell>
          <cell r="D1051" t="str">
            <v>Pictet Chinese LC Debt</v>
          </cell>
          <cell r="F1051" t="str">
            <v>Renta Fija</v>
          </cell>
          <cell r="Q1051" t="str">
            <v>RFIG</v>
          </cell>
        </row>
        <row r="1052">
          <cell r="B1052" t="str">
            <v>5270802F9801</v>
          </cell>
          <cell r="D1052" t="str">
            <v>Pictet - EM Local Currency</v>
          </cell>
          <cell r="F1052" t="str">
            <v>Renta Fija</v>
          </cell>
          <cell r="Q1052" t="str">
            <v>RFIG</v>
          </cell>
        </row>
        <row r="1053">
          <cell r="B1053" t="str">
            <v>5270734IE00B</v>
          </cell>
          <cell r="D1053" t="str">
            <v>BlackRock - iShares China CNY Bond UCITS ETF</v>
          </cell>
          <cell r="F1053" t="str">
            <v>Renta Fija</v>
          </cell>
          <cell r="Q1053" t="str">
            <v>RFIG</v>
          </cell>
        </row>
        <row r="1054">
          <cell r="B1054" t="str">
            <v>5270732E4WH5</v>
          </cell>
          <cell r="D1054" t="str">
            <v>BlackRock - iShares JPM EM Local Government Bond</v>
          </cell>
          <cell r="F1054" t="str">
            <v>Renta Fija</v>
          </cell>
          <cell r="Q1054" t="str">
            <v>RFIG</v>
          </cell>
        </row>
        <row r="1055">
          <cell r="B1055" t="str">
            <v>5271112E6517</v>
          </cell>
          <cell r="D1055" t="str">
            <v>BlackRock - iShares JP Morgan EM Local Currency</v>
          </cell>
          <cell r="F1055" t="str">
            <v>Renta Fija</v>
          </cell>
          <cell r="Q1055" t="str">
            <v>RFIG</v>
          </cell>
        </row>
        <row r="1056">
          <cell r="B1056" t="str">
            <v>5274142F4590</v>
          </cell>
          <cell r="D1056" t="str">
            <v>Ashmore - Emerging Markets Local Currency Bond Fund</v>
          </cell>
          <cell r="F1056" t="str">
            <v>Renta Fija</v>
          </cell>
          <cell r="Q1056" t="str">
            <v>RFIG</v>
          </cell>
        </row>
        <row r="1057">
          <cell r="B1057" t="str">
            <v>52AVIV2EMLC</v>
          </cell>
          <cell r="D1057" t="str">
            <v>Aviva - Emerging Markets Local Currency Bond Fund</v>
          </cell>
          <cell r="F1057" t="str">
            <v>Renta Fija</v>
          </cell>
          <cell r="Q1057" t="str">
            <v>RFIG</v>
          </cell>
        </row>
        <row r="1058">
          <cell r="B1058" t="str">
            <v>4874174EMLCC</v>
          </cell>
          <cell r="D1058" t="str">
            <v>Candriam - Bonds EM Debt Local Currencies</v>
          </cell>
          <cell r="F1058" t="str">
            <v>Renta Fija</v>
          </cell>
          <cell r="Q1058" t="str">
            <v>RFIG</v>
          </cell>
        </row>
        <row r="1059">
          <cell r="B1059" t="str">
            <v>5275502U1193</v>
          </cell>
          <cell r="D1059" t="str">
            <v>Aktia EM Frontier Bond+ CapCap</v>
          </cell>
          <cell r="F1059" t="str">
            <v>Renta Fija</v>
          </cell>
          <cell r="Q1059" t="str">
            <v>RFIG</v>
          </cell>
        </row>
        <row r="1060">
          <cell r="B1060" t="str">
            <v>5274262F6624</v>
          </cell>
          <cell r="D1060" t="str">
            <v>Global Evolution Funds - Frontier Markets Fund</v>
          </cell>
          <cell r="F1060" t="str">
            <v>Renta Fija</v>
          </cell>
          <cell r="Q1060" t="str">
            <v>RFIG</v>
          </cell>
        </row>
        <row r="1061">
          <cell r="B1061" t="str">
            <v>5275152LU084</v>
          </cell>
          <cell r="D1061" t="str">
            <v>Schroder - Selection Fund China Local Currency Bond</v>
          </cell>
          <cell r="F1061" t="str">
            <v>Renta Fija</v>
          </cell>
          <cell r="Q1061" t="str">
            <v>RFIG</v>
          </cell>
        </row>
        <row r="1062">
          <cell r="B1062" t="str">
            <v>5274082LU201</v>
          </cell>
          <cell r="D1062" t="str">
            <v>Invesco - EM Local Debt Fund</v>
          </cell>
          <cell r="F1062" t="str">
            <v>Renta Fija</v>
          </cell>
          <cell r="Q1062" t="str">
            <v>RFIG</v>
          </cell>
        </row>
        <row r="1063">
          <cell r="B1063" t="str">
            <v>5274122FK0P9</v>
          </cell>
          <cell r="D1063" t="str">
            <v>Pimco - Emerging Markets Local Bond Fund</v>
          </cell>
          <cell r="F1063" t="str">
            <v>Renta Fija</v>
          </cell>
          <cell r="Q1063" t="str">
            <v>RFIG</v>
          </cell>
        </row>
        <row r="1064">
          <cell r="B1064" t="str">
            <v>52WELI2NVR20</v>
          </cell>
          <cell r="D1064" t="str">
            <v>Wellington - Emerging Local Debt Fund</v>
          </cell>
          <cell r="F1064" t="str">
            <v>Renta Fija</v>
          </cell>
          <cell r="Q1064" t="str">
            <v>RFIG</v>
          </cell>
        </row>
        <row r="1065">
          <cell r="B1065" t="str">
            <v>5274472F3543</v>
          </cell>
          <cell r="D1065" t="str">
            <v>Degroof - EM  Sustainable Debt</v>
          </cell>
          <cell r="F1065" t="str">
            <v>Renta Fija</v>
          </cell>
          <cell r="Q1065" t="str">
            <v>RFIG</v>
          </cell>
        </row>
        <row r="1066">
          <cell r="B1066" t="str">
            <v>52DTRG2EDMLC</v>
          </cell>
          <cell r="D1066" t="str">
            <v>DMS - EM Local Currency</v>
          </cell>
          <cell r="F1066" t="str">
            <v>Renta Fija</v>
          </cell>
          <cell r="Q1066" t="str">
            <v>RFIG</v>
          </cell>
        </row>
        <row r="1067">
          <cell r="B1067" t="str">
            <v>5274352INVDY</v>
          </cell>
          <cell r="D1067" t="str">
            <v>Investec Luxembourg - EM Local Currency</v>
          </cell>
          <cell r="F1067" t="str">
            <v>Renta Fija</v>
          </cell>
          <cell r="Q1067" t="str">
            <v>RFIG</v>
          </cell>
        </row>
        <row r="1068">
          <cell r="B1068" t="str">
            <v>084005900015</v>
          </cell>
          <cell r="D1068" t="str">
            <v>Gobierno de México</v>
          </cell>
          <cell r="F1068" t="str">
            <v>Renta Fija</v>
          </cell>
          <cell r="Q1068" t="str">
            <v>RFIG</v>
          </cell>
        </row>
        <row r="1069">
          <cell r="B1069" t="str">
            <v>084005900056</v>
          </cell>
          <cell r="D1069" t="str">
            <v>Gobierno de México</v>
          </cell>
          <cell r="F1069" t="str">
            <v>Renta Fija</v>
          </cell>
          <cell r="Q1069" t="str">
            <v>RFIG</v>
          </cell>
        </row>
        <row r="1070">
          <cell r="B1070" t="str">
            <v>0840059000B2</v>
          </cell>
          <cell r="D1070" t="str">
            <v>Gobierno de México</v>
          </cell>
          <cell r="F1070" t="str">
            <v>Renta Fija</v>
          </cell>
          <cell r="Q1070" t="str">
            <v>RFIG</v>
          </cell>
        </row>
        <row r="1071">
          <cell r="B1071" t="str">
            <v>0840059000CO</v>
          </cell>
          <cell r="D1071" t="str">
            <v>Gobierno de México</v>
          </cell>
          <cell r="F1071" t="str">
            <v>Renta Fija</v>
          </cell>
          <cell r="Q1071" t="str">
            <v>RFIG</v>
          </cell>
        </row>
        <row r="1072">
          <cell r="B1072" t="str">
            <v>0840059000D8</v>
          </cell>
          <cell r="D1072" t="str">
            <v>Gobierno de México</v>
          </cell>
          <cell r="F1072" t="str">
            <v>Renta Fija</v>
          </cell>
          <cell r="Q1072" t="str">
            <v>RFIG</v>
          </cell>
        </row>
        <row r="1073">
          <cell r="B1073" t="str">
            <v>0840059000U2</v>
          </cell>
          <cell r="D1073" t="str">
            <v>Gobierno de México</v>
          </cell>
          <cell r="F1073" t="str">
            <v>Renta Fija</v>
          </cell>
          <cell r="Q1073" t="str">
            <v>RFIG</v>
          </cell>
        </row>
        <row r="1074">
          <cell r="B1074" t="str">
            <v>0840059000F3</v>
          </cell>
          <cell r="D1074" t="str">
            <v>Gobierno de México</v>
          </cell>
          <cell r="F1074" t="str">
            <v>Renta Fija</v>
          </cell>
          <cell r="Q1074" t="str">
            <v>RFIG</v>
          </cell>
        </row>
        <row r="1075">
          <cell r="B1075" t="str">
            <v>0840059000G1</v>
          </cell>
          <cell r="D1075" t="str">
            <v>Gobierno de México</v>
          </cell>
          <cell r="F1075" t="str">
            <v>Renta Fija</v>
          </cell>
          <cell r="Q1075" t="str">
            <v>RFIG</v>
          </cell>
        </row>
        <row r="1076">
          <cell r="B1076" t="str">
            <v>0840059000H9</v>
          </cell>
          <cell r="D1076" t="str">
            <v>Gobierno de México</v>
          </cell>
          <cell r="F1076" t="str">
            <v>Renta Fija</v>
          </cell>
          <cell r="Q1076" t="str">
            <v>RFIG</v>
          </cell>
        </row>
        <row r="1077">
          <cell r="B1077" t="str">
            <v>0840059001F1</v>
          </cell>
          <cell r="D1077" t="str">
            <v>Gobierno de México</v>
          </cell>
          <cell r="F1077" t="str">
            <v>Renta Fija</v>
          </cell>
          <cell r="Q1077" t="str">
            <v>RFIG</v>
          </cell>
        </row>
        <row r="1078">
          <cell r="B1078" t="str">
            <v>0840059000J5</v>
          </cell>
          <cell r="D1078" t="str">
            <v>Gobierno de México</v>
          </cell>
          <cell r="F1078" t="str">
            <v>Renta Fija</v>
          </cell>
          <cell r="Q1078" t="str">
            <v>RFIG</v>
          </cell>
        </row>
        <row r="1079">
          <cell r="B1079" t="str">
            <v>0840059000L1</v>
          </cell>
          <cell r="D1079" t="str">
            <v>Gobierno de México</v>
          </cell>
          <cell r="F1079" t="str">
            <v>Renta Fija</v>
          </cell>
          <cell r="Q1079" t="str">
            <v>RFIG</v>
          </cell>
        </row>
        <row r="1080">
          <cell r="B1080" t="str">
            <v>0840059000N7</v>
          </cell>
          <cell r="D1080" t="str">
            <v>Gobierno de México</v>
          </cell>
          <cell r="F1080" t="str">
            <v>Renta Fija</v>
          </cell>
          <cell r="Q1080" t="str">
            <v>RFIG</v>
          </cell>
        </row>
        <row r="1081">
          <cell r="B1081" t="str">
            <v>0840059000P2</v>
          </cell>
          <cell r="D1081" t="str">
            <v>Gobierno de México</v>
          </cell>
          <cell r="F1081" t="str">
            <v>Renta Fija</v>
          </cell>
          <cell r="Q1081" t="str">
            <v>RFIG</v>
          </cell>
        </row>
        <row r="1082">
          <cell r="B1082" t="str">
            <v>0840059000Q0</v>
          </cell>
          <cell r="D1082" t="str">
            <v>Gobierno de México</v>
          </cell>
          <cell r="F1082" t="str">
            <v>Renta Fija</v>
          </cell>
          <cell r="Q1082" t="str">
            <v>RFIG</v>
          </cell>
        </row>
        <row r="1083">
          <cell r="B1083" t="str">
            <v>0840059001D6</v>
          </cell>
          <cell r="D1083" t="str">
            <v>Gobierno de Mexico</v>
          </cell>
          <cell r="F1083" t="str">
            <v>Renta Fija</v>
          </cell>
          <cell r="Q1083" t="str">
            <v>RFIG</v>
          </cell>
        </row>
        <row r="1084">
          <cell r="B1084" t="str">
            <v>0840059001E4</v>
          </cell>
          <cell r="D1084" t="str">
            <v>Gobierno de Mexico</v>
          </cell>
          <cell r="F1084" t="str">
            <v>Renta Fija</v>
          </cell>
          <cell r="Q1084" t="str">
            <v>RFIG</v>
          </cell>
        </row>
        <row r="1085">
          <cell r="B1085" t="str">
            <v>0840059000R8</v>
          </cell>
          <cell r="D1085" t="str">
            <v>Gobierno de México</v>
          </cell>
          <cell r="F1085" t="str">
            <v>Renta Fija</v>
          </cell>
          <cell r="Q1085" t="str">
            <v>RFIG</v>
          </cell>
        </row>
        <row r="1086">
          <cell r="B1086" t="str">
            <v>084005900GF0</v>
          </cell>
          <cell r="D1086" t="str">
            <v>Gobierno de México</v>
          </cell>
          <cell r="F1086" t="str">
            <v>Renta Fija</v>
          </cell>
          <cell r="Q1086" t="str">
            <v>RFIG</v>
          </cell>
        </row>
        <row r="1087">
          <cell r="B1087" t="str">
            <v>084005900OA5</v>
          </cell>
          <cell r="D1087" t="str">
            <v>Gobierno de México</v>
          </cell>
          <cell r="F1087" t="str">
            <v>Renta Fija</v>
          </cell>
          <cell r="Q1087" t="str">
            <v>RFIG</v>
          </cell>
        </row>
        <row r="1088">
          <cell r="B1088" t="str">
            <v>084005900M95</v>
          </cell>
          <cell r="D1088" t="str">
            <v>Gobierno de México</v>
          </cell>
          <cell r="F1088" t="str">
            <v>Renta Fija</v>
          </cell>
          <cell r="Q1088" t="str">
            <v>RFIG</v>
          </cell>
        </row>
        <row r="1089">
          <cell r="B1089" t="str">
            <v>084005900GL8</v>
          </cell>
          <cell r="D1089" t="str">
            <v>Gobierno de México</v>
          </cell>
          <cell r="F1089" t="str">
            <v>Renta Fija</v>
          </cell>
          <cell r="Q1089" t="str">
            <v>RFIG</v>
          </cell>
        </row>
        <row r="1090">
          <cell r="B1090" t="str">
            <v>084005900GV7</v>
          </cell>
          <cell r="D1090" t="str">
            <v>Gobierno de México</v>
          </cell>
          <cell r="F1090" t="str">
            <v>Renta Fija</v>
          </cell>
          <cell r="Q1090" t="str">
            <v>RFIG</v>
          </cell>
        </row>
        <row r="1091">
          <cell r="B1091" t="str">
            <v>084005900GW5</v>
          </cell>
          <cell r="D1091" t="str">
            <v>Gobierno de México</v>
          </cell>
          <cell r="F1091" t="str">
            <v>Renta Fija</v>
          </cell>
          <cell r="Q1091" t="str">
            <v>RFIG</v>
          </cell>
        </row>
        <row r="1092">
          <cell r="B1092" t="str">
            <v>084005900H43</v>
          </cell>
          <cell r="D1092" t="str">
            <v>Gobierno de México</v>
          </cell>
          <cell r="F1092" t="str">
            <v>Renta Fija</v>
          </cell>
          <cell r="Q1092" t="str">
            <v>RFIG</v>
          </cell>
        </row>
        <row r="1093">
          <cell r="B1093" t="str">
            <v>084005900H50</v>
          </cell>
          <cell r="D1093" t="str">
            <v>Gobierno de México</v>
          </cell>
          <cell r="F1093" t="str">
            <v>Renta Fija</v>
          </cell>
          <cell r="Q1093" t="str">
            <v>RFIG</v>
          </cell>
        </row>
        <row r="1094">
          <cell r="B1094" t="str">
            <v>084005900HH4</v>
          </cell>
          <cell r="D1094" t="str">
            <v>Gobierno de México</v>
          </cell>
          <cell r="F1094" t="str">
            <v>Renta Fija</v>
          </cell>
          <cell r="Q1094" t="str">
            <v>RFIG</v>
          </cell>
        </row>
        <row r="1095">
          <cell r="B1095" t="str">
            <v>084005900HR3</v>
          </cell>
          <cell r="D1095" t="str">
            <v>Gobierno de México</v>
          </cell>
          <cell r="F1095" t="str">
            <v>Renta Fija</v>
          </cell>
          <cell r="Q1095" t="str">
            <v>RFIG</v>
          </cell>
        </row>
        <row r="1096">
          <cell r="B1096" t="str">
            <v>084005900JZ2</v>
          </cell>
          <cell r="D1096" t="str">
            <v>Gobierno de México</v>
          </cell>
          <cell r="F1096" t="str">
            <v>Renta Fija</v>
          </cell>
          <cell r="Q1096" t="str">
            <v>RFIG</v>
          </cell>
        </row>
        <row r="1097">
          <cell r="B1097" t="str">
            <v>084005900K22</v>
          </cell>
          <cell r="D1097" t="str">
            <v>Gobierno de México</v>
          </cell>
          <cell r="F1097" t="str">
            <v>Renta Fija</v>
          </cell>
          <cell r="Q1097" t="str">
            <v>RFIG</v>
          </cell>
        </row>
        <row r="1098">
          <cell r="B1098" t="str">
            <v>084005900KJ4</v>
          </cell>
          <cell r="D1098" t="str">
            <v>Gobierno de México</v>
          </cell>
          <cell r="F1098" t="str">
            <v>Renta Fija</v>
          </cell>
          <cell r="Q1098" t="str">
            <v>RFIG</v>
          </cell>
        </row>
        <row r="1099">
          <cell r="B1099" t="str">
            <v>084005900KL0</v>
          </cell>
          <cell r="D1099" t="str">
            <v>Gobierno de México</v>
          </cell>
          <cell r="F1099" t="str">
            <v>Renta Fija</v>
          </cell>
          <cell r="Q1099" t="str">
            <v>RFIG</v>
          </cell>
        </row>
        <row r="1100">
          <cell r="B1100" t="str">
            <v>084005900LR5</v>
          </cell>
          <cell r="D1100" t="str">
            <v>Gobierno de México</v>
          </cell>
          <cell r="F1100" t="str">
            <v>Renta Fija</v>
          </cell>
          <cell r="Q1100" t="str">
            <v>RFIG</v>
          </cell>
        </row>
        <row r="1101">
          <cell r="B1101" t="str">
            <v>084005900LE3</v>
          </cell>
          <cell r="D1101" t="str">
            <v>Gobierno de México</v>
          </cell>
          <cell r="F1101" t="str">
            <v>Renta Fija</v>
          </cell>
          <cell r="Q1101" t="str">
            <v>RFIG</v>
          </cell>
        </row>
        <row r="1102">
          <cell r="B1102" t="str">
            <v>084005900NA7</v>
          </cell>
          <cell r="D1102" t="str">
            <v>Gobierno de México</v>
          </cell>
          <cell r="F1102" t="str">
            <v>Renta Fija</v>
          </cell>
          <cell r="Q1102" t="str">
            <v>RFIG</v>
          </cell>
        </row>
        <row r="1103">
          <cell r="B1103" t="str">
            <v>084005900NO8</v>
          </cell>
          <cell r="D1103" t="str">
            <v>Gobierno de México</v>
          </cell>
          <cell r="F1103" t="str">
            <v>Renta Fija</v>
          </cell>
          <cell r="Q1103" t="str">
            <v>RFIG</v>
          </cell>
        </row>
        <row r="1104">
          <cell r="B1104" t="str">
            <v>084005900N52</v>
          </cell>
          <cell r="D1104" t="str">
            <v>Gobierno de México</v>
          </cell>
          <cell r="F1104" t="str">
            <v>Renta Fija</v>
          </cell>
          <cell r="Q1104" t="str">
            <v>RFIG</v>
          </cell>
        </row>
        <row r="1105">
          <cell r="B1105" t="str">
            <v>0840059MCET2</v>
          </cell>
          <cell r="D1105" t="str">
            <v>Gobierno de México</v>
          </cell>
          <cell r="F1105" t="str">
            <v>Renta Fija</v>
          </cell>
          <cell r="Q1105" t="str">
            <v>RFIG</v>
          </cell>
        </row>
        <row r="1106">
          <cell r="B1106" t="str">
            <v>084005900OK4</v>
          </cell>
          <cell r="D1106" t="str">
            <v>Gobierno de México</v>
          </cell>
          <cell r="F1106" t="str">
            <v>Renta Fija</v>
          </cell>
          <cell r="Q1106" t="str">
            <v>RFIG</v>
          </cell>
        </row>
        <row r="1107">
          <cell r="B1107" t="str">
            <v>08400590CO78</v>
          </cell>
          <cell r="D1107" t="str">
            <v>Gobierno de México</v>
          </cell>
          <cell r="F1107" t="str">
            <v>Renta Fija</v>
          </cell>
          <cell r="Q1107" t="str">
            <v>RFIG</v>
          </cell>
        </row>
        <row r="1108">
          <cell r="B1108" t="str">
            <v>084005900078</v>
          </cell>
          <cell r="D1108" t="str">
            <v>Gobierno de México</v>
          </cell>
          <cell r="F1108" t="str">
            <v>Renta Fija</v>
          </cell>
          <cell r="Q1108" t="str">
            <v>RFIG</v>
          </cell>
        </row>
        <row r="1109">
          <cell r="B1109" t="str">
            <v>0840059000Y4</v>
          </cell>
          <cell r="D1109" t="str">
            <v>Gobierno de México</v>
          </cell>
          <cell r="F1109" t="str">
            <v>Renta Fija</v>
          </cell>
          <cell r="Q1109" t="str">
            <v>RFIG</v>
          </cell>
        </row>
        <row r="1110">
          <cell r="B1110" t="str">
            <v>084005900M38</v>
          </cell>
          <cell r="D1110" t="str">
            <v>Gobierno de México</v>
          </cell>
          <cell r="F1110" t="str">
            <v>Renta Fija</v>
          </cell>
          <cell r="Q1110" t="str">
            <v>RFIG</v>
          </cell>
        </row>
        <row r="1111">
          <cell r="B1111" t="str">
            <v>084005900MQ5</v>
          </cell>
          <cell r="D1111" t="str">
            <v>Gobierno de México</v>
          </cell>
          <cell r="F1111" t="str">
            <v>Renta Fija</v>
          </cell>
          <cell r="Q1111" t="str">
            <v>RFIG</v>
          </cell>
        </row>
        <row r="1112">
          <cell r="B1112" t="str">
            <v>084005900MJ0</v>
          </cell>
          <cell r="D1112" t="str">
            <v>Gobierno de México</v>
          </cell>
          <cell r="F1112" t="str">
            <v>Renta Fija</v>
          </cell>
          <cell r="Q1112" t="str">
            <v>RFIG</v>
          </cell>
        </row>
        <row r="1113">
          <cell r="B1113" t="str">
            <v>084015T25972</v>
          </cell>
          <cell r="D1113" t="str">
            <v>Gobierno de Sudáfrica</v>
          </cell>
          <cell r="F1113" t="str">
            <v>Renta Fija</v>
          </cell>
          <cell r="Q1113" t="str">
            <v>RFIG</v>
          </cell>
        </row>
        <row r="1114">
          <cell r="B1114" t="str">
            <v>084007XJTJL3</v>
          </cell>
          <cell r="D1114" t="str">
            <v>RFLB 7 01/25/23</v>
          </cell>
          <cell r="F1114" t="str">
            <v>Renta Fija</v>
          </cell>
          <cell r="Q1114" t="str">
            <v>RFIG</v>
          </cell>
        </row>
        <row r="1115">
          <cell r="B1115" t="str">
            <v>4975141HMPSX</v>
          </cell>
          <cell r="D1115" t="str">
            <v xml:space="preserve"> Fondo HMC II (PEN)</v>
          </cell>
          <cell r="F1115" t="str">
            <v>Renta Fija</v>
          </cell>
          <cell r="Q1115" t="str">
            <v>RFLG</v>
          </cell>
        </row>
        <row r="1116">
          <cell r="B1116" t="str">
            <v>4911021PYME1</v>
          </cell>
          <cell r="D1116" t="str">
            <v>Compass - Pymes</v>
          </cell>
          <cell r="F1116" t="str">
            <v>Renta Fija</v>
          </cell>
          <cell r="Q1116" t="str">
            <v>RFLG</v>
          </cell>
        </row>
        <row r="1117">
          <cell r="B1117" t="str">
            <v>4911021PYMR2</v>
          </cell>
          <cell r="D1117" t="str">
            <v>Compass - Pymes 2</v>
          </cell>
          <cell r="F1117" t="str">
            <v>Renta Fija</v>
          </cell>
          <cell r="Q1117" t="str">
            <v>RFLG</v>
          </cell>
        </row>
        <row r="1118">
          <cell r="B1118" t="str">
            <v>4911021PYMR3</v>
          </cell>
          <cell r="D1118" t="str">
            <v>Compass - Pymes 3</v>
          </cell>
          <cell r="F1118" t="str">
            <v>Renta Fija</v>
          </cell>
          <cell r="Q1118" t="str">
            <v>RFLG</v>
          </cell>
        </row>
        <row r="1119">
          <cell r="B1119" t="str">
            <v>4911011FCDS1</v>
          </cell>
          <cell r="D1119" t="str">
            <v>Fondo Credicorp Deuda Soles</v>
          </cell>
          <cell r="F1119" t="str">
            <v>Renta Fija</v>
          </cell>
          <cell r="Q1119" t="str">
            <v>RFLG</v>
          </cell>
        </row>
        <row r="1120">
          <cell r="B1120" t="str">
            <v>4911011FCDS2</v>
          </cell>
          <cell r="D1120" t="str">
            <v>Fondo Credicorp Deuda Soles II</v>
          </cell>
          <cell r="F1120" t="str">
            <v>Renta Fija</v>
          </cell>
          <cell r="Q1120" t="str">
            <v>RFLG</v>
          </cell>
        </row>
        <row r="1121">
          <cell r="B1121" t="str">
            <v>4911011CCDTI</v>
          </cell>
          <cell r="D1121" t="str">
            <v>Fondo Credicorp Deuda Titulizada Clase C</v>
          </cell>
          <cell r="F1121" t="str">
            <v>Renta Fija</v>
          </cell>
          <cell r="Q1121" t="str">
            <v>RFLG</v>
          </cell>
        </row>
        <row r="1122">
          <cell r="B1122" t="str">
            <v>4975142HMCPD</v>
          </cell>
          <cell r="D1122" t="str">
            <v>Fondo HMC II (USD)</v>
          </cell>
          <cell r="F1122" t="str">
            <v>Renta Fija</v>
          </cell>
          <cell r="Q1122" t="str">
            <v>RFLG</v>
          </cell>
        </row>
        <row r="1123">
          <cell r="B1123" t="str">
            <v>4911141MIND1</v>
          </cell>
          <cell r="D1123" t="str">
            <v>Macrocapitales SAFI S.A.</v>
          </cell>
          <cell r="F1123" t="str">
            <v>Renta Fija</v>
          </cell>
          <cell r="Q1123" t="str">
            <v>RFLG</v>
          </cell>
        </row>
        <row r="1124">
          <cell r="B1124" t="str">
            <v>4975141HMCSY</v>
          </cell>
          <cell r="D1124" t="str">
            <v>Fondo HMC PEN</v>
          </cell>
          <cell r="F1124" t="str">
            <v>Renta Fija</v>
          </cell>
          <cell r="Q1124" t="str">
            <v>RFLG</v>
          </cell>
        </row>
        <row r="1125">
          <cell r="B1125" t="str">
            <v>4911181HMCSY</v>
          </cell>
          <cell r="D1125" t="str">
            <v>Fondo HMC PEN</v>
          </cell>
          <cell r="F1125" t="str">
            <v>Renta Fija</v>
          </cell>
          <cell r="Q1125" t="str">
            <v>RFLG</v>
          </cell>
        </row>
        <row r="1126">
          <cell r="B1126" t="str">
            <v>2702021PAT1U</v>
          </cell>
          <cell r="D1126" t="str">
            <v>Credicorp Capital Sociedad Titulizadora S.A.</v>
          </cell>
          <cell r="F1126" t="str">
            <v>Renta Fija</v>
          </cell>
          <cell r="Q1126" t="str">
            <v>RFLC</v>
          </cell>
        </row>
        <row r="1127">
          <cell r="B1127" t="str">
            <v>22201111801A</v>
          </cell>
          <cell r="D1127" t="str">
            <v xml:space="preserve">Alicorp </v>
          </cell>
          <cell r="F1127" t="str">
            <v>Renta Fija</v>
          </cell>
          <cell r="Q1127" t="str">
            <v>RFLC</v>
          </cell>
        </row>
        <row r="1128">
          <cell r="B1128" t="str">
            <v>2220111KEA71</v>
          </cell>
          <cell r="D1128" t="str">
            <v xml:space="preserve">Alicorp </v>
          </cell>
          <cell r="F1128" t="str">
            <v>Renta Fija</v>
          </cell>
          <cell r="Q1128" t="str">
            <v>RFLC</v>
          </cell>
        </row>
        <row r="1129">
          <cell r="B1129" t="str">
            <v>22201112303A</v>
          </cell>
          <cell r="D1129" t="str">
            <v xml:space="preserve">Alicorp </v>
          </cell>
          <cell r="F1129" t="str">
            <v>Renta Fija</v>
          </cell>
          <cell r="Q1129" t="str">
            <v>RFLC</v>
          </cell>
        </row>
        <row r="1130">
          <cell r="B1130" t="str">
            <v>094104130111</v>
          </cell>
          <cell r="D1130" t="str">
            <v>Central American Bank for Economic IntegratioN</v>
          </cell>
          <cell r="F1130" t="str">
            <v>Renta Fija</v>
          </cell>
          <cell r="Q1130" t="str">
            <v>RFLC</v>
          </cell>
        </row>
        <row r="1131">
          <cell r="B1131" t="str">
            <v>1641031BLA72</v>
          </cell>
          <cell r="D1131" t="str">
            <v>Banco Latinoamericano de Exportaciones</v>
          </cell>
          <cell r="F1131" t="str">
            <v>Renta Fija</v>
          </cell>
          <cell r="Q1131" t="str">
            <v>RFLC</v>
          </cell>
        </row>
        <row r="1132">
          <cell r="B1132" t="str">
            <v>22201111502A</v>
          </cell>
          <cell r="D1132" t="str">
            <v xml:space="preserve">Alicorp </v>
          </cell>
          <cell r="F1132" t="str">
            <v>Renta Fija</v>
          </cell>
          <cell r="Q1132" t="str">
            <v>RFLC</v>
          </cell>
        </row>
        <row r="1133">
          <cell r="B1133" t="str">
            <v>17030210802A</v>
          </cell>
          <cell r="D1133" t="str">
            <v>Cencosud Perú</v>
          </cell>
          <cell r="F1133" t="str">
            <v>Renta Fija</v>
          </cell>
          <cell r="Q1133" t="str">
            <v>RFLC</v>
          </cell>
        </row>
        <row r="1134">
          <cell r="B1134" t="str">
            <v>1703021CEA08</v>
          </cell>
          <cell r="D1134" t="str">
            <v>Cencosud Perú</v>
          </cell>
          <cell r="F1134" t="str">
            <v>Renta Fija</v>
          </cell>
          <cell r="Q1134" t="str">
            <v>RFLC</v>
          </cell>
        </row>
        <row r="1135">
          <cell r="B1135" t="str">
            <v>1703031CHO1A</v>
          </cell>
          <cell r="D1135" t="str">
            <v>Compañía Nacional de Chocolates</v>
          </cell>
          <cell r="F1135" t="str">
            <v>Renta Fija</v>
          </cell>
          <cell r="Q1135" t="str">
            <v>RFLC</v>
          </cell>
        </row>
        <row r="1136">
          <cell r="B1136" t="str">
            <v>17030510801U</v>
          </cell>
          <cell r="D1136" t="str">
            <v>Ripley Corp</v>
          </cell>
          <cell r="F1136" t="str">
            <v>Renta Fija</v>
          </cell>
          <cell r="Q1136" t="str">
            <v>RFLC</v>
          </cell>
        </row>
        <row r="1137">
          <cell r="B1137" t="str">
            <v>17030710M018</v>
          </cell>
          <cell r="D1137" t="str">
            <v>Sab Miller PLC-Perú</v>
          </cell>
          <cell r="F1137" t="str">
            <v>Renta Fija</v>
          </cell>
          <cell r="Q1137" t="str">
            <v>RFLC</v>
          </cell>
        </row>
        <row r="1138">
          <cell r="B1138" t="str">
            <v>18210211201U</v>
          </cell>
          <cell r="D1138" t="str">
            <v>H2Olmos S.A.</v>
          </cell>
          <cell r="F1138" t="str">
            <v>Renta Fija</v>
          </cell>
          <cell r="Q1138" t="str">
            <v>RFLC</v>
          </cell>
        </row>
        <row r="1139">
          <cell r="B1139" t="str">
            <v>20000210806A</v>
          </cell>
          <cell r="D1139" t="str">
            <v>Banco de Crédito del Perú</v>
          </cell>
          <cell r="F1139" t="str">
            <v>Renta Fija</v>
          </cell>
          <cell r="Q1139" t="str">
            <v>RFLC</v>
          </cell>
        </row>
        <row r="1140">
          <cell r="B1140" t="str">
            <v>20001110902A</v>
          </cell>
          <cell r="D1140" t="str">
            <v>Banco Continental</v>
          </cell>
          <cell r="F1140" t="str">
            <v>Renta Fija</v>
          </cell>
          <cell r="Q1140" t="str">
            <v>RFLC</v>
          </cell>
        </row>
        <row r="1141">
          <cell r="B1141" t="str">
            <v>20001110903A</v>
          </cell>
          <cell r="D1141" t="str">
            <v>Banco Continental</v>
          </cell>
          <cell r="F1141" t="str">
            <v>Renta Fija</v>
          </cell>
          <cell r="Q1141" t="str">
            <v>RFLC</v>
          </cell>
        </row>
        <row r="1142">
          <cell r="B1142" t="str">
            <v>20001111401A</v>
          </cell>
          <cell r="D1142" t="str">
            <v>Banco Continental</v>
          </cell>
          <cell r="F1142" t="str">
            <v>Renta Fija</v>
          </cell>
          <cell r="Q1142" t="str">
            <v>RFLC</v>
          </cell>
        </row>
        <row r="1143">
          <cell r="B1143" t="str">
            <v>20001111601B</v>
          </cell>
          <cell r="D1143" t="str">
            <v>Banco Continental</v>
          </cell>
          <cell r="F1143" t="str">
            <v>Renta Fija</v>
          </cell>
          <cell r="Q1143" t="str">
            <v>RFLC</v>
          </cell>
        </row>
        <row r="1144">
          <cell r="B1144" t="str">
            <v>20001111702A</v>
          </cell>
          <cell r="D1144" t="str">
            <v>Banco Continental</v>
          </cell>
          <cell r="F1144" t="str">
            <v>Renta Fija</v>
          </cell>
          <cell r="Q1144" t="str">
            <v>RFLC</v>
          </cell>
        </row>
        <row r="1145">
          <cell r="B1145" t="str">
            <v>20001111701C</v>
          </cell>
          <cell r="D1145" t="str">
            <v>Banco Continental</v>
          </cell>
          <cell r="F1145" t="str">
            <v>Renta Fija</v>
          </cell>
          <cell r="Q1145" t="str">
            <v>RFLC</v>
          </cell>
        </row>
        <row r="1146">
          <cell r="B1146" t="str">
            <v>25001111802A</v>
          </cell>
          <cell r="D1146" t="str">
            <v>Banco Continental</v>
          </cell>
          <cell r="F1146" t="str">
            <v>Renta Fija</v>
          </cell>
          <cell r="Q1146" t="str">
            <v>RFLC</v>
          </cell>
        </row>
        <row r="1147">
          <cell r="B1147" t="str">
            <v>20003811402B</v>
          </cell>
          <cell r="D1147" t="str">
            <v>Banco Financiero</v>
          </cell>
          <cell r="F1147" t="str">
            <v>Renta Fija</v>
          </cell>
          <cell r="Q1147" t="str">
            <v>RFLC</v>
          </cell>
        </row>
        <row r="1148">
          <cell r="B1148" t="str">
            <v>20003811402C</v>
          </cell>
          <cell r="D1148" t="str">
            <v>Banco Financiero</v>
          </cell>
          <cell r="F1148" t="str">
            <v>Renta Fija</v>
          </cell>
          <cell r="Q1148" t="str">
            <v>RFLC</v>
          </cell>
        </row>
        <row r="1149">
          <cell r="B1149" t="str">
            <v>21000210701A</v>
          </cell>
          <cell r="D1149" t="str">
            <v>Banco de Crédito del Perú</v>
          </cell>
          <cell r="F1149" t="str">
            <v>Renta Fija</v>
          </cell>
          <cell r="Q1149" t="str">
            <v>RFLC</v>
          </cell>
        </row>
        <row r="1150">
          <cell r="B1150" t="str">
            <v>21000310905A</v>
          </cell>
          <cell r="D1150" t="str">
            <v xml:space="preserve">Banco Internacional del Perú </v>
          </cell>
          <cell r="F1150" t="str">
            <v>Renta Fija</v>
          </cell>
          <cell r="Q1150" t="str">
            <v>RFLC</v>
          </cell>
        </row>
        <row r="1151">
          <cell r="B1151" t="str">
            <v>21000311208A</v>
          </cell>
          <cell r="D1151" t="str">
            <v xml:space="preserve">Banco Internacional del Perú </v>
          </cell>
          <cell r="F1151" t="str">
            <v>Renta Fija</v>
          </cell>
          <cell r="Q1151" t="str">
            <v>RFLC</v>
          </cell>
        </row>
        <row r="1152">
          <cell r="B1152" t="str">
            <v>21000311302A</v>
          </cell>
          <cell r="D1152" t="str">
            <v xml:space="preserve">Banco Internacional del Perú </v>
          </cell>
          <cell r="F1152" t="str">
            <v>Renta Fija</v>
          </cell>
          <cell r="Q1152" t="str">
            <v>RFLC</v>
          </cell>
        </row>
        <row r="1153">
          <cell r="B1153" t="str">
            <v>21003811902A</v>
          </cell>
          <cell r="D1153" t="str">
            <v>Banco Interamericano de Finanzas</v>
          </cell>
          <cell r="F1153" t="str">
            <v>Renta Fija</v>
          </cell>
          <cell r="Q1153" t="str">
            <v>RFLC</v>
          </cell>
        </row>
        <row r="1154">
          <cell r="B1154" t="str">
            <v>63000311901A</v>
          </cell>
          <cell r="D1154" t="str">
            <v xml:space="preserve">Banco Internacional del Perú </v>
          </cell>
          <cell r="F1154" t="str">
            <v>Renta Fija</v>
          </cell>
          <cell r="Q1154" t="str">
            <v>RFLC</v>
          </cell>
        </row>
        <row r="1155">
          <cell r="B1155" t="str">
            <v>21003811903A</v>
          </cell>
          <cell r="D1155" t="str">
            <v>Banco Interamericano de Finanzas</v>
          </cell>
          <cell r="F1155" t="str">
            <v>Renta Fija</v>
          </cell>
          <cell r="Q1155" t="str">
            <v>RFLC</v>
          </cell>
        </row>
        <row r="1156">
          <cell r="B1156" t="str">
            <v>25001111902C</v>
          </cell>
          <cell r="D1156" t="str">
            <v>Banco Continental</v>
          </cell>
          <cell r="F1156" t="str">
            <v>Renta Fija</v>
          </cell>
          <cell r="Q1156" t="str">
            <v>RFLC</v>
          </cell>
        </row>
        <row r="1157">
          <cell r="B1157" t="str">
            <v>21001110701A</v>
          </cell>
          <cell r="D1157" t="str">
            <v>Banco Continental</v>
          </cell>
          <cell r="F1157" t="str">
            <v>Renta Fija</v>
          </cell>
          <cell r="Q1157" t="str">
            <v>RFLC</v>
          </cell>
        </row>
        <row r="1158">
          <cell r="B1158" t="str">
            <v>25001111901D</v>
          </cell>
          <cell r="D1158" t="str">
            <v>Banco Continental</v>
          </cell>
          <cell r="F1158" t="str">
            <v>Renta Fija</v>
          </cell>
          <cell r="Q1158" t="str">
            <v>RFLC</v>
          </cell>
        </row>
        <row r="1159">
          <cell r="B1159" t="str">
            <v>25001111901E</v>
          </cell>
          <cell r="D1159" t="str">
            <v>Banco Continental</v>
          </cell>
          <cell r="F1159" t="str">
            <v>Renta Fija</v>
          </cell>
          <cell r="Q1159" t="str">
            <v>RFLC</v>
          </cell>
        </row>
        <row r="1160">
          <cell r="B1160" t="str">
            <v>25001111901F</v>
          </cell>
          <cell r="D1160" t="str">
            <v>Banco Continental</v>
          </cell>
          <cell r="F1160" t="str">
            <v>Renta Fija</v>
          </cell>
          <cell r="Q1160" t="str">
            <v>RFLC</v>
          </cell>
        </row>
        <row r="1161">
          <cell r="B1161" t="str">
            <v>21001811601A</v>
          </cell>
          <cell r="D1161" t="str">
            <v>Banco de la Nación</v>
          </cell>
          <cell r="F1161" t="str">
            <v>Renta Fija</v>
          </cell>
          <cell r="Q1161" t="str">
            <v>RFLC</v>
          </cell>
        </row>
        <row r="1162">
          <cell r="B1162" t="str">
            <v>21003511301A</v>
          </cell>
          <cell r="D1162" t="str">
            <v>Banco Financiero</v>
          </cell>
          <cell r="F1162" t="str">
            <v>Renta Fija</v>
          </cell>
          <cell r="Q1162" t="str">
            <v>RFLC</v>
          </cell>
        </row>
        <row r="1163">
          <cell r="B1163" t="str">
            <v>63003511902A</v>
          </cell>
          <cell r="D1163" t="str">
            <v>Banco Financiero</v>
          </cell>
          <cell r="F1163" t="str">
            <v>Renta Fija</v>
          </cell>
          <cell r="Q1163" t="str">
            <v>RFLC</v>
          </cell>
        </row>
        <row r="1164">
          <cell r="B1164" t="str">
            <v>2702021ADP1A</v>
          </cell>
          <cell r="D1164" t="str">
            <v>ADP</v>
          </cell>
          <cell r="F1164" t="str">
            <v>Renta Fija</v>
          </cell>
          <cell r="Q1164" t="str">
            <v>RFLC</v>
          </cell>
        </row>
        <row r="1165">
          <cell r="B1165" t="str">
            <v>22210611802U</v>
          </cell>
          <cell r="D1165" t="str">
            <v>Calidda</v>
          </cell>
          <cell r="F1165" t="str">
            <v>Renta Fija</v>
          </cell>
          <cell r="Q1165" t="str">
            <v>RFLC</v>
          </cell>
        </row>
        <row r="1166">
          <cell r="B1166" t="str">
            <v>22210611905U</v>
          </cell>
          <cell r="D1166" t="str">
            <v>Calidda</v>
          </cell>
          <cell r="F1166" t="str">
            <v>Renta Fija</v>
          </cell>
          <cell r="Q1166" t="str">
            <v>RFLC</v>
          </cell>
        </row>
        <row r="1167">
          <cell r="B1167" t="str">
            <v>21004811601A</v>
          </cell>
          <cell r="D1167" t="str">
            <v>Mibanco</v>
          </cell>
          <cell r="F1167" t="str">
            <v>Renta Fija</v>
          </cell>
          <cell r="Q1167" t="str">
            <v>RFLC</v>
          </cell>
        </row>
        <row r="1168">
          <cell r="B1168" t="str">
            <v>22211511901A</v>
          </cell>
          <cell r="D1168" t="str">
            <v>Cineplex</v>
          </cell>
          <cell r="F1168" t="str">
            <v>Renta Fija</v>
          </cell>
          <cell r="Q1168" t="str">
            <v>RFLC</v>
          </cell>
        </row>
        <row r="1169">
          <cell r="B1169" t="str">
            <v>22200210701U</v>
          </cell>
          <cell r="D1169" t="str">
            <v>Unión Andina de Cementos</v>
          </cell>
          <cell r="F1169" t="str">
            <v>Renta Fija</v>
          </cell>
          <cell r="Q1169" t="str">
            <v>RFLC</v>
          </cell>
        </row>
        <row r="1170">
          <cell r="B1170" t="str">
            <v>22200210702U</v>
          </cell>
          <cell r="D1170" t="str">
            <v>Unión Andina de Cementos</v>
          </cell>
          <cell r="F1170" t="str">
            <v>Renta Fija</v>
          </cell>
          <cell r="Q1170" t="str">
            <v>RFLC</v>
          </cell>
        </row>
        <row r="1171">
          <cell r="B1171" t="str">
            <v>22200210703U</v>
          </cell>
          <cell r="D1171" t="str">
            <v>Unión Andina de Cementos</v>
          </cell>
          <cell r="F1171" t="str">
            <v>Renta Fija</v>
          </cell>
          <cell r="Q1171" t="str">
            <v>RFLC</v>
          </cell>
        </row>
        <row r="1172">
          <cell r="B1172" t="str">
            <v>22200210906U</v>
          </cell>
          <cell r="D1172" t="str">
            <v>Unión Andina de Cementos</v>
          </cell>
          <cell r="F1172" t="str">
            <v>Renta Fija</v>
          </cell>
          <cell r="Q1172" t="str">
            <v>RFLC</v>
          </cell>
        </row>
        <row r="1173">
          <cell r="B1173" t="str">
            <v>22200210908U</v>
          </cell>
          <cell r="D1173" t="str">
            <v>Unión Andina de Cementos</v>
          </cell>
          <cell r="F1173" t="str">
            <v>Renta Fija</v>
          </cell>
          <cell r="Q1173" t="str">
            <v>RFLC</v>
          </cell>
        </row>
        <row r="1174">
          <cell r="B1174" t="str">
            <v>22200211301A</v>
          </cell>
          <cell r="D1174" t="str">
            <v>Unión Andina de Cementos</v>
          </cell>
          <cell r="F1174" t="str">
            <v>Renta Fija</v>
          </cell>
          <cell r="Q1174" t="str">
            <v>RFLC</v>
          </cell>
        </row>
        <row r="1175">
          <cell r="B1175" t="str">
            <v>22200211302A</v>
          </cell>
          <cell r="D1175" t="str">
            <v>Unión Andina de Cementos</v>
          </cell>
          <cell r="F1175" t="str">
            <v>Renta Fija</v>
          </cell>
          <cell r="Q1175" t="str">
            <v>RFLC</v>
          </cell>
        </row>
        <row r="1176">
          <cell r="B1176" t="str">
            <v>22200211303A</v>
          </cell>
          <cell r="D1176" t="str">
            <v>Unión Andina de Cementos</v>
          </cell>
          <cell r="F1176" t="str">
            <v>Renta Fija</v>
          </cell>
          <cell r="Q1176" t="str">
            <v>RFLC</v>
          </cell>
        </row>
        <row r="1177">
          <cell r="B1177" t="str">
            <v>22200910711A</v>
          </cell>
          <cell r="D1177" t="str">
            <v xml:space="preserve">Luz del Sur </v>
          </cell>
          <cell r="F1177" t="str">
            <v>Renta Fija</v>
          </cell>
          <cell r="Q1177" t="str">
            <v>RFLC</v>
          </cell>
        </row>
        <row r="1178">
          <cell r="B1178" t="str">
            <v>22200910711B</v>
          </cell>
          <cell r="D1178" t="str">
            <v xml:space="preserve">Luz del Sur </v>
          </cell>
          <cell r="F1178" t="str">
            <v>Renta Fija</v>
          </cell>
          <cell r="Q1178" t="str">
            <v>RFLC</v>
          </cell>
        </row>
        <row r="1179">
          <cell r="B1179" t="str">
            <v>22200910712A</v>
          </cell>
          <cell r="D1179" t="str">
            <v xml:space="preserve">Luz del Sur </v>
          </cell>
          <cell r="F1179" t="str">
            <v>Renta Fija</v>
          </cell>
          <cell r="Q1179" t="str">
            <v>RFLC</v>
          </cell>
        </row>
        <row r="1180">
          <cell r="B1180" t="str">
            <v>22200910813A</v>
          </cell>
          <cell r="D1180" t="str">
            <v xml:space="preserve">Luz del Sur </v>
          </cell>
          <cell r="F1180" t="str">
            <v>Renta Fija</v>
          </cell>
          <cell r="Q1180" t="str">
            <v>RFLC</v>
          </cell>
        </row>
        <row r="1181">
          <cell r="B1181" t="str">
            <v>22200910915A</v>
          </cell>
          <cell r="D1181" t="str">
            <v xml:space="preserve">Luz del Sur </v>
          </cell>
          <cell r="F1181" t="str">
            <v>Renta Fija</v>
          </cell>
          <cell r="Q1181" t="str">
            <v>RFLC</v>
          </cell>
        </row>
        <row r="1182">
          <cell r="B1182" t="str">
            <v>22200911016U</v>
          </cell>
          <cell r="D1182" t="str">
            <v xml:space="preserve">Luz del Sur </v>
          </cell>
          <cell r="F1182" t="str">
            <v>Renta Fija</v>
          </cell>
          <cell r="Q1182" t="str">
            <v>RFLC</v>
          </cell>
        </row>
        <row r="1183">
          <cell r="B1183" t="str">
            <v>22200911101U</v>
          </cell>
          <cell r="D1183" t="str">
            <v xml:space="preserve">Luz del Sur </v>
          </cell>
          <cell r="F1183" t="str">
            <v>Renta Fija</v>
          </cell>
          <cell r="Q1183" t="str">
            <v>RFLC</v>
          </cell>
        </row>
        <row r="1184">
          <cell r="B1184" t="str">
            <v>22200911102U</v>
          </cell>
          <cell r="D1184" t="str">
            <v xml:space="preserve">Luz del Sur </v>
          </cell>
          <cell r="F1184" t="str">
            <v>Renta Fija</v>
          </cell>
          <cell r="Q1184" t="str">
            <v>RFLC</v>
          </cell>
        </row>
        <row r="1185">
          <cell r="B1185" t="str">
            <v>22200911203U</v>
          </cell>
          <cell r="D1185" t="str">
            <v xml:space="preserve">Luz del Sur </v>
          </cell>
          <cell r="F1185" t="str">
            <v>Renta Fija</v>
          </cell>
          <cell r="Q1185" t="str">
            <v>RFLC</v>
          </cell>
        </row>
        <row r="1186">
          <cell r="B1186" t="str">
            <v>22200911204U</v>
          </cell>
          <cell r="D1186" t="str">
            <v xml:space="preserve">Luz del Sur </v>
          </cell>
          <cell r="F1186" t="str">
            <v>Renta Fija</v>
          </cell>
          <cell r="Q1186" t="str">
            <v>RFLC</v>
          </cell>
        </row>
        <row r="1187">
          <cell r="B1187" t="str">
            <v>22200911205U</v>
          </cell>
          <cell r="D1187" t="str">
            <v xml:space="preserve">Luz del Sur </v>
          </cell>
          <cell r="F1187" t="str">
            <v>Renta Fija</v>
          </cell>
          <cell r="Q1187" t="str">
            <v>RFLC</v>
          </cell>
        </row>
        <row r="1188">
          <cell r="B1188" t="str">
            <v>22200911206U</v>
          </cell>
          <cell r="D1188" t="str">
            <v xml:space="preserve">Luz del Sur </v>
          </cell>
          <cell r="F1188" t="str">
            <v>Renta Fija</v>
          </cell>
          <cell r="Q1188" t="str">
            <v>RFLC</v>
          </cell>
        </row>
        <row r="1189">
          <cell r="B1189" t="str">
            <v>22200911207U</v>
          </cell>
          <cell r="D1189" t="str">
            <v xml:space="preserve">Luz del Sur </v>
          </cell>
          <cell r="F1189" t="str">
            <v>Renta Fija</v>
          </cell>
          <cell r="Q1189" t="str">
            <v>RFLC</v>
          </cell>
        </row>
        <row r="1190">
          <cell r="B1190" t="str">
            <v>22200911308U</v>
          </cell>
          <cell r="D1190" t="str">
            <v xml:space="preserve">Luz del Sur </v>
          </cell>
          <cell r="F1190" t="str">
            <v>Renta Fija</v>
          </cell>
          <cell r="Q1190" t="str">
            <v>RFLC</v>
          </cell>
        </row>
        <row r="1191">
          <cell r="B1191" t="str">
            <v>22200911309U</v>
          </cell>
          <cell r="D1191" t="str">
            <v xml:space="preserve">Luz del Sur </v>
          </cell>
          <cell r="F1191" t="str">
            <v>Renta Fija</v>
          </cell>
          <cell r="Q1191" t="str">
            <v>RFLC</v>
          </cell>
        </row>
        <row r="1192">
          <cell r="B1192" t="str">
            <v>22200911401A</v>
          </cell>
          <cell r="D1192" t="str">
            <v xml:space="preserve">Luz del Sur </v>
          </cell>
          <cell r="F1192" t="str">
            <v>Renta Fija</v>
          </cell>
          <cell r="Q1192" t="str">
            <v>RFLC</v>
          </cell>
        </row>
        <row r="1193">
          <cell r="B1193" t="str">
            <v>22200911403A</v>
          </cell>
          <cell r="D1193" t="str">
            <v xml:space="preserve">Luz del Sur </v>
          </cell>
          <cell r="F1193" t="str">
            <v>Renta Fija</v>
          </cell>
          <cell r="Q1193" t="str">
            <v>RFLC</v>
          </cell>
        </row>
        <row r="1194">
          <cell r="B1194" t="str">
            <v>22200911410U</v>
          </cell>
          <cell r="D1194" t="str">
            <v xml:space="preserve">Luz del Sur </v>
          </cell>
          <cell r="F1194" t="str">
            <v>Renta Fija</v>
          </cell>
          <cell r="Q1194" t="str">
            <v>RFLC</v>
          </cell>
        </row>
        <row r="1195">
          <cell r="B1195" t="str">
            <v>22209911601A</v>
          </cell>
          <cell r="D1195" t="str">
            <v>Corporación Azucarera del Perú S.A.</v>
          </cell>
          <cell r="F1195" t="str">
            <v>Renta Fija</v>
          </cell>
          <cell r="Q1195" t="str">
            <v>RFLC</v>
          </cell>
        </row>
        <row r="1196">
          <cell r="B1196" t="str">
            <v>22200911604A</v>
          </cell>
          <cell r="D1196" t="str">
            <v xml:space="preserve">Luz del Sur </v>
          </cell>
          <cell r="F1196" t="str">
            <v>Renta Fija</v>
          </cell>
          <cell r="Q1196" t="str">
            <v>RFLC</v>
          </cell>
        </row>
        <row r="1197">
          <cell r="B1197" t="str">
            <v>22200911705A</v>
          </cell>
          <cell r="D1197" t="str">
            <v xml:space="preserve">Luz del Sur </v>
          </cell>
          <cell r="F1197" t="str">
            <v>Renta Fija</v>
          </cell>
          <cell r="Q1197" t="str">
            <v>RFLC</v>
          </cell>
        </row>
        <row r="1198">
          <cell r="B1198" t="str">
            <v>25008611610A</v>
          </cell>
          <cell r="D1198" t="str">
            <v>CORPORACION FINANCIERA DE DESARROLLO</v>
          </cell>
          <cell r="F1198" t="str">
            <v>Renta Fija</v>
          </cell>
          <cell r="Q1198" t="str">
            <v>RFLC</v>
          </cell>
        </row>
        <row r="1199">
          <cell r="B1199" t="str">
            <v>22200911908A</v>
          </cell>
          <cell r="D1199" t="str">
            <v xml:space="preserve">Luz del Sur </v>
          </cell>
          <cell r="F1199" t="str">
            <v>Renta Fija</v>
          </cell>
          <cell r="Q1199" t="str">
            <v>RFLC</v>
          </cell>
        </row>
        <row r="1200">
          <cell r="B1200" t="str">
            <v>22200911901A</v>
          </cell>
          <cell r="D1200" t="str">
            <v xml:space="preserve">Luz del Sur </v>
          </cell>
          <cell r="F1200" t="str">
            <v>Renta Fija</v>
          </cell>
          <cell r="Q1200" t="str">
            <v>RFLC</v>
          </cell>
        </row>
        <row r="1201">
          <cell r="B1201" t="str">
            <v>2220091VAC83</v>
          </cell>
          <cell r="D1201" t="str">
            <v xml:space="preserve">Luz del Sur </v>
          </cell>
          <cell r="F1201" t="str">
            <v>Renta Fija</v>
          </cell>
          <cell r="Q1201" t="str">
            <v>RFLC</v>
          </cell>
        </row>
        <row r="1202">
          <cell r="B1202" t="str">
            <v>22201110702U</v>
          </cell>
          <cell r="D1202" t="str">
            <v xml:space="preserve">Alicorp </v>
          </cell>
          <cell r="F1202" t="str">
            <v>Renta Fija</v>
          </cell>
          <cell r="Q1202" t="str">
            <v>RFLC</v>
          </cell>
        </row>
        <row r="1203">
          <cell r="B1203" t="str">
            <v>22201110903A</v>
          </cell>
          <cell r="D1203" t="str">
            <v xml:space="preserve">Alicorp </v>
          </cell>
          <cell r="F1203" t="str">
            <v>Renta Fija</v>
          </cell>
          <cell r="Q1203" t="str">
            <v>RFLC</v>
          </cell>
        </row>
        <row r="1204">
          <cell r="B1204" t="str">
            <v>22201111401A</v>
          </cell>
          <cell r="D1204" t="str">
            <v xml:space="preserve">Alicorp </v>
          </cell>
          <cell r="F1204" t="str">
            <v>Renta Fija</v>
          </cell>
          <cell r="Q1204" t="str">
            <v>RFLC</v>
          </cell>
        </row>
        <row r="1205">
          <cell r="B1205" t="str">
            <v>25008611209A</v>
          </cell>
          <cell r="D1205" t="str">
            <v>COFIDE</v>
          </cell>
          <cell r="F1205" t="str">
            <v>Renta Fija</v>
          </cell>
          <cell r="Q1205" t="str">
            <v>RFLC</v>
          </cell>
        </row>
        <row r="1206">
          <cell r="B1206" t="str">
            <v>22201111603A</v>
          </cell>
          <cell r="D1206" t="str">
            <v xml:space="preserve">Alicorp </v>
          </cell>
          <cell r="F1206" t="str">
            <v>Renta Fija</v>
          </cell>
          <cell r="Q1206" t="str">
            <v>RFLC</v>
          </cell>
        </row>
        <row r="1207">
          <cell r="B1207" t="str">
            <v>22201111604A</v>
          </cell>
          <cell r="D1207" t="str">
            <v xml:space="preserve">Alicorp </v>
          </cell>
          <cell r="F1207" t="str">
            <v>Renta Fija</v>
          </cell>
          <cell r="Q1207" t="str">
            <v>RFLC</v>
          </cell>
        </row>
        <row r="1208">
          <cell r="B1208" t="str">
            <v>22201111705A</v>
          </cell>
          <cell r="D1208" t="str">
            <v xml:space="preserve">Alicorp </v>
          </cell>
          <cell r="F1208" t="str">
            <v>Renta Fija</v>
          </cell>
          <cell r="Q1208" t="str">
            <v>RFLC</v>
          </cell>
        </row>
        <row r="1209">
          <cell r="B1209" t="str">
            <v>22202110605A</v>
          </cell>
          <cell r="D1209" t="str">
            <v>Gloria</v>
          </cell>
          <cell r="F1209" t="str">
            <v>Renta Fija</v>
          </cell>
          <cell r="Q1209" t="str">
            <v>RFLC</v>
          </cell>
        </row>
        <row r="1210">
          <cell r="B1210" t="str">
            <v>22202110706A</v>
          </cell>
          <cell r="D1210" t="str">
            <v>Gloria</v>
          </cell>
          <cell r="F1210" t="str">
            <v>Renta Fija</v>
          </cell>
          <cell r="Q1210" t="str">
            <v>RFLC</v>
          </cell>
        </row>
        <row r="1211">
          <cell r="B1211" t="str">
            <v>22202110707A</v>
          </cell>
          <cell r="D1211" t="str">
            <v>Gloria</v>
          </cell>
          <cell r="F1211" t="str">
            <v>Renta Fija</v>
          </cell>
          <cell r="Q1211" t="str">
            <v>RFLC</v>
          </cell>
        </row>
        <row r="1212">
          <cell r="B1212" t="str">
            <v>22202110708A</v>
          </cell>
          <cell r="D1212" t="str">
            <v>Gloria</v>
          </cell>
          <cell r="F1212" t="str">
            <v>Renta Fija</v>
          </cell>
          <cell r="Q1212" t="str">
            <v>RFLC</v>
          </cell>
        </row>
        <row r="1213">
          <cell r="B1213" t="str">
            <v>22202111402A</v>
          </cell>
          <cell r="D1213" t="str">
            <v>Gloria</v>
          </cell>
          <cell r="F1213" t="str">
            <v>Renta Fija</v>
          </cell>
          <cell r="Q1213" t="str">
            <v>RFLC</v>
          </cell>
        </row>
        <row r="1214">
          <cell r="B1214" t="str">
            <v>22202111503A</v>
          </cell>
          <cell r="D1214" t="str">
            <v>Gloria</v>
          </cell>
          <cell r="F1214" t="str">
            <v>Renta Fija</v>
          </cell>
          <cell r="Q1214" t="str">
            <v>RFLC</v>
          </cell>
        </row>
        <row r="1215">
          <cell r="B1215" t="str">
            <v>22202111504A</v>
          </cell>
          <cell r="D1215" t="str">
            <v>Gloria</v>
          </cell>
          <cell r="F1215" t="str">
            <v>Renta Fija</v>
          </cell>
          <cell r="Q1215" t="str">
            <v>RFLC</v>
          </cell>
        </row>
        <row r="1216">
          <cell r="B1216" t="str">
            <v>22202111505A</v>
          </cell>
          <cell r="D1216" t="str">
            <v>Gloria</v>
          </cell>
          <cell r="F1216" t="str">
            <v>Renta Fija</v>
          </cell>
          <cell r="Q1216" t="str">
            <v>RFLC</v>
          </cell>
        </row>
        <row r="1217">
          <cell r="B1217" t="str">
            <v>2702011INS3U</v>
          </cell>
          <cell r="D1217" t="str">
            <v>Colegios Peruanos - Internacional de Titulos Soc. Titulizadora</v>
          </cell>
          <cell r="F1217" t="str">
            <v>Renta Fija</v>
          </cell>
          <cell r="Q1217" t="str">
            <v>RFLC</v>
          </cell>
        </row>
        <row r="1218">
          <cell r="B1218" t="str">
            <v>22212411501A</v>
          </cell>
          <cell r="D1218" t="str">
            <v>Cosapi S.A.</v>
          </cell>
          <cell r="F1218" t="str">
            <v>Renta Fija</v>
          </cell>
          <cell r="Q1218" t="str">
            <v>RFLC</v>
          </cell>
        </row>
        <row r="1219">
          <cell r="B1219" t="str">
            <v>22203010503A</v>
          </cell>
          <cell r="D1219" t="str">
            <v>Edelnor</v>
          </cell>
          <cell r="F1219" t="str">
            <v>Renta Fija</v>
          </cell>
          <cell r="Q1219" t="str">
            <v>RFLC</v>
          </cell>
        </row>
        <row r="1220">
          <cell r="B1220" t="str">
            <v>22203010514U</v>
          </cell>
          <cell r="D1220" t="str">
            <v>Edelnor</v>
          </cell>
          <cell r="F1220" t="str">
            <v>Renta Fija</v>
          </cell>
          <cell r="Q1220" t="str">
            <v>RFLC</v>
          </cell>
        </row>
        <row r="1221">
          <cell r="B1221" t="str">
            <v>22203010603B</v>
          </cell>
          <cell r="D1221" t="str">
            <v>Edelnor</v>
          </cell>
          <cell r="F1221" t="str">
            <v>Renta Fija</v>
          </cell>
          <cell r="Q1221" t="str">
            <v>RFLC</v>
          </cell>
        </row>
        <row r="1222">
          <cell r="B1222" t="str">
            <v>22203010605A</v>
          </cell>
          <cell r="D1222" t="str">
            <v>Edelnor</v>
          </cell>
          <cell r="F1222" t="str">
            <v>Renta Fija</v>
          </cell>
          <cell r="Q1222" t="str">
            <v>RFLC</v>
          </cell>
        </row>
        <row r="1223">
          <cell r="B1223" t="str">
            <v>22203010610U</v>
          </cell>
          <cell r="D1223" t="str">
            <v>Edelnor</v>
          </cell>
          <cell r="F1223" t="str">
            <v>Renta Fija</v>
          </cell>
          <cell r="Q1223" t="str">
            <v>RFLC</v>
          </cell>
        </row>
        <row r="1224">
          <cell r="B1224" t="str">
            <v>22203010701A</v>
          </cell>
          <cell r="D1224" t="str">
            <v>Edelnor</v>
          </cell>
          <cell r="F1224" t="str">
            <v>Renta Fija</v>
          </cell>
          <cell r="Q1224" t="str">
            <v>RFLC</v>
          </cell>
        </row>
        <row r="1225">
          <cell r="B1225" t="str">
            <v>22203010718A</v>
          </cell>
          <cell r="D1225" t="str">
            <v>Edelnor</v>
          </cell>
          <cell r="F1225" t="str">
            <v>Renta Fija</v>
          </cell>
          <cell r="Q1225" t="str">
            <v>RFLC</v>
          </cell>
        </row>
        <row r="1226">
          <cell r="B1226" t="str">
            <v>22203010806A</v>
          </cell>
          <cell r="D1226" t="str">
            <v>Edelnor</v>
          </cell>
          <cell r="F1226" t="str">
            <v>Renta Fija</v>
          </cell>
          <cell r="Q1226" t="str">
            <v>RFLC</v>
          </cell>
        </row>
        <row r="1227">
          <cell r="B1227" t="str">
            <v>22203010807A</v>
          </cell>
          <cell r="D1227" t="str">
            <v>Edelnor</v>
          </cell>
          <cell r="F1227" t="str">
            <v>Renta Fija</v>
          </cell>
          <cell r="Q1227" t="str">
            <v>RFLC</v>
          </cell>
        </row>
        <row r="1228">
          <cell r="B1228" t="str">
            <v>22203010913A</v>
          </cell>
          <cell r="D1228" t="str">
            <v>Edelnor</v>
          </cell>
          <cell r="F1228" t="str">
            <v>Renta Fija</v>
          </cell>
          <cell r="Q1228" t="str">
            <v>RFLC</v>
          </cell>
        </row>
        <row r="1229">
          <cell r="B1229" t="str">
            <v>22203010917A</v>
          </cell>
          <cell r="D1229" t="str">
            <v>Edelnor</v>
          </cell>
          <cell r="F1229" t="str">
            <v>Renta Fija</v>
          </cell>
          <cell r="Q1229" t="str">
            <v>RFLC</v>
          </cell>
        </row>
        <row r="1230">
          <cell r="B1230" t="str">
            <v>22203011001A</v>
          </cell>
          <cell r="D1230" t="str">
            <v>Edelnor</v>
          </cell>
          <cell r="F1230" t="str">
            <v>Renta Fija</v>
          </cell>
          <cell r="Q1230" t="str">
            <v>RFLC</v>
          </cell>
        </row>
        <row r="1231">
          <cell r="B1231" t="str">
            <v>22203011001B</v>
          </cell>
          <cell r="D1231" t="str">
            <v>Edelnor</v>
          </cell>
          <cell r="F1231" t="str">
            <v>Renta Fija</v>
          </cell>
          <cell r="Q1231" t="str">
            <v>RFLC</v>
          </cell>
        </row>
        <row r="1232">
          <cell r="B1232" t="str">
            <v>22203011003A</v>
          </cell>
          <cell r="D1232" t="str">
            <v>Edelnor</v>
          </cell>
          <cell r="F1232" t="str">
            <v>Renta Fija</v>
          </cell>
          <cell r="Q1232" t="str">
            <v>RFLC</v>
          </cell>
        </row>
        <row r="1233">
          <cell r="B1233" t="str">
            <v>22203011005A</v>
          </cell>
          <cell r="D1233" t="str">
            <v>Edelnor</v>
          </cell>
          <cell r="F1233" t="str">
            <v>Renta Fija</v>
          </cell>
          <cell r="Q1233" t="str">
            <v>RFLC</v>
          </cell>
        </row>
        <row r="1234">
          <cell r="B1234" t="str">
            <v>22203011104A</v>
          </cell>
          <cell r="D1234" t="str">
            <v>Edelnor</v>
          </cell>
          <cell r="F1234" t="str">
            <v>Renta Fija</v>
          </cell>
          <cell r="Q1234" t="str">
            <v>RFLC</v>
          </cell>
        </row>
        <row r="1235">
          <cell r="B1235" t="str">
            <v>22203011213A</v>
          </cell>
          <cell r="D1235" t="str">
            <v>Edelnor</v>
          </cell>
          <cell r="F1235" t="str">
            <v>Renta Fija</v>
          </cell>
          <cell r="Q1235" t="str">
            <v>RFLC</v>
          </cell>
        </row>
        <row r="1236">
          <cell r="B1236" t="str">
            <v>22203011215A</v>
          </cell>
          <cell r="D1236" t="str">
            <v>Edelnor</v>
          </cell>
          <cell r="F1236" t="str">
            <v>Renta Fija</v>
          </cell>
          <cell r="Q1236" t="str">
            <v>RFLC</v>
          </cell>
        </row>
        <row r="1237">
          <cell r="B1237" t="str">
            <v>22203011301A</v>
          </cell>
          <cell r="D1237" t="str">
            <v>Edelnor</v>
          </cell>
          <cell r="F1237" t="str">
            <v>Renta Fija</v>
          </cell>
          <cell r="Q1237" t="str">
            <v>RFLC</v>
          </cell>
        </row>
        <row r="1238">
          <cell r="B1238" t="str">
            <v>22203011301B</v>
          </cell>
          <cell r="D1238" t="str">
            <v>Edelnor</v>
          </cell>
          <cell r="F1238" t="str">
            <v>Renta Fija</v>
          </cell>
          <cell r="Q1238" t="str">
            <v>RFLC</v>
          </cell>
        </row>
        <row r="1239">
          <cell r="B1239" t="str">
            <v>22205111901A</v>
          </cell>
          <cell r="D1239" t="str">
            <v>Cementos Pacasmayo</v>
          </cell>
          <cell r="F1239" t="str">
            <v>Renta Fija</v>
          </cell>
          <cell r="Q1239" t="str">
            <v>RFLC</v>
          </cell>
        </row>
        <row r="1240">
          <cell r="B1240" t="str">
            <v>222030113A22</v>
          </cell>
          <cell r="D1240" t="str">
            <v>Edelnor</v>
          </cell>
          <cell r="F1240" t="str">
            <v>Renta Fija</v>
          </cell>
          <cell r="Q1240" t="str">
            <v>RFLC</v>
          </cell>
        </row>
        <row r="1241">
          <cell r="B1241" t="str">
            <v>22203011402A</v>
          </cell>
          <cell r="D1241" t="str">
            <v>Edelnor</v>
          </cell>
          <cell r="F1241" t="str">
            <v>Renta Fija</v>
          </cell>
          <cell r="Q1241" t="str">
            <v>RFLC</v>
          </cell>
        </row>
        <row r="1242">
          <cell r="B1242" t="str">
            <v>22203011409A</v>
          </cell>
          <cell r="D1242" t="str">
            <v xml:space="preserve">Edegel </v>
          </cell>
          <cell r="F1242" t="str">
            <v>Renta Fija</v>
          </cell>
          <cell r="Q1242" t="str">
            <v>RFLC</v>
          </cell>
        </row>
        <row r="1243">
          <cell r="B1243" t="str">
            <v>22203011410A</v>
          </cell>
          <cell r="D1243" t="str">
            <v>Edelnor</v>
          </cell>
          <cell r="F1243" t="str">
            <v>Renta Fija</v>
          </cell>
          <cell r="Q1243" t="str">
            <v>RFLC</v>
          </cell>
        </row>
        <row r="1244">
          <cell r="B1244" t="str">
            <v>22203011411A</v>
          </cell>
          <cell r="D1244" t="str">
            <v xml:space="preserve">Edegel </v>
          </cell>
          <cell r="F1244" t="str">
            <v>Renta Fija</v>
          </cell>
          <cell r="Q1244" t="str">
            <v>RFLC</v>
          </cell>
        </row>
        <row r="1245">
          <cell r="B1245" t="str">
            <v>22203011412A</v>
          </cell>
          <cell r="D1245" t="str">
            <v>Edelnor</v>
          </cell>
          <cell r="F1245" t="str">
            <v>Renta Fija</v>
          </cell>
          <cell r="Q1245" t="str">
            <v>RFLC</v>
          </cell>
        </row>
        <row r="1246">
          <cell r="B1246" t="str">
            <v>22203011517A</v>
          </cell>
          <cell r="D1246" t="str">
            <v>Edelnor</v>
          </cell>
          <cell r="F1246" t="str">
            <v>Renta Fija</v>
          </cell>
          <cell r="Q1246" t="str">
            <v>RFLC</v>
          </cell>
        </row>
        <row r="1247">
          <cell r="B1247" t="str">
            <v>22203011619A</v>
          </cell>
          <cell r="D1247" t="str">
            <v>Edelnor</v>
          </cell>
          <cell r="F1247" t="str">
            <v>Renta Fija</v>
          </cell>
          <cell r="Q1247" t="str">
            <v>RFLC</v>
          </cell>
        </row>
        <row r="1248">
          <cell r="B1248" t="str">
            <v>22203011620A</v>
          </cell>
          <cell r="D1248" t="str">
            <v>Edelnor</v>
          </cell>
          <cell r="F1248" t="str">
            <v>Renta Fija</v>
          </cell>
          <cell r="Q1248" t="str">
            <v>RFLC</v>
          </cell>
        </row>
        <row r="1249">
          <cell r="B1249" t="str">
            <v>22203110701A</v>
          </cell>
          <cell r="D1249" t="str">
            <v xml:space="preserve">Cementos Yura </v>
          </cell>
          <cell r="F1249" t="str">
            <v>Renta Fija</v>
          </cell>
          <cell r="Q1249" t="str">
            <v>RFLC</v>
          </cell>
        </row>
        <row r="1250">
          <cell r="B1250" t="str">
            <v>22203110801B</v>
          </cell>
          <cell r="D1250" t="str">
            <v xml:space="preserve">Cementos Yura </v>
          </cell>
          <cell r="F1250" t="str">
            <v>Renta Fija</v>
          </cell>
          <cell r="Q1250" t="str">
            <v>RFLC</v>
          </cell>
        </row>
        <row r="1251">
          <cell r="B1251" t="str">
            <v>22203111803A</v>
          </cell>
          <cell r="D1251" t="str">
            <v xml:space="preserve">Cementos Yura </v>
          </cell>
          <cell r="F1251" t="str">
            <v>Renta Fija</v>
          </cell>
          <cell r="Q1251" t="str">
            <v>RFLC</v>
          </cell>
        </row>
        <row r="1252">
          <cell r="B1252" t="str">
            <v>22203111501A</v>
          </cell>
          <cell r="D1252" t="str">
            <v xml:space="preserve">Cementos Yura </v>
          </cell>
          <cell r="F1252" t="str">
            <v>Renta Fija</v>
          </cell>
          <cell r="Q1252" t="str">
            <v>RFLC</v>
          </cell>
        </row>
        <row r="1253">
          <cell r="B1253" t="str">
            <v>22203111502A</v>
          </cell>
          <cell r="D1253" t="str">
            <v xml:space="preserve">Cementos Yura </v>
          </cell>
          <cell r="F1253" t="str">
            <v>Renta Fija</v>
          </cell>
          <cell r="Q1253" t="str">
            <v>RFLC</v>
          </cell>
        </row>
        <row r="1254">
          <cell r="B1254" t="str">
            <v>22584111801A</v>
          </cell>
          <cell r="D1254" t="str">
            <v>Productos Tissue del Perú</v>
          </cell>
          <cell r="F1254" t="str">
            <v>Renta Fija</v>
          </cell>
          <cell r="Q1254" t="str">
            <v>RFLC</v>
          </cell>
        </row>
        <row r="1255">
          <cell r="B1255" t="str">
            <v>22203210701A</v>
          </cell>
          <cell r="D1255" t="str">
            <v xml:space="preserve">Edegel </v>
          </cell>
          <cell r="F1255" t="str">
            <v>Renta Fija</v>
          </cell>
          <cell r="Q1255" t="str">
            <v>RFLC</v>
          </cell>
        </row>
        <row r="1256">
          <cell r="B1256" t="str">
            <v>22203210703A</v>
          </cell>
          <cell r="D1256" t="str">
            <v xml:space="preserve">Edegel </v>
          </cell>
          <cell r="F1256" t="str">
            <v>Renta Fija</v>
          </cell>
          <cell r="Q1256" t="str">
            <v>RFLC</v>
          </cell>
        </row>
        <row r="1257">
          <cell r="B1257" t="str">
            <v>22203210704A</v>
          </cell>
          <cell r="D1257" t="str">
            <v xml:space="preserve">Edegel </v>
          </cell>
          <cell r="F1257" t="str">
            <v>Renta Fija</v>
          </cell>
          <cell r="Q1257" t="str">
            <v>RFLC</v>
          </cell>
        </row>
        <row r="1258">
          <cell r="B1258" t="str">
            <v>22203210809A</v>
          </cell>
          <cell r="D1258" t="str">
            <v xml:space="preserve">Edegel </v>
          </cell>
          <cell r="F1258" t="str">
            <v>Renta Fija</v>
          </cell>
          <cell r="Q1258" t="str">
            <v>RFLC</v>
          </cell>
        </row>
        <row r="1259">
          <cell r="B1259" t="str">
            <v>21004211201A</v>
          </cell>
          <cell r="D1259" t="str">
            <v>Crediscotia</v>
          </cell>
          <cell r="F1259" t="str">
            <v>Renta Fija</v>
          </cell>
          <cell r="Q1259" t="str">
            <v>RFLC</v>
          </cell>
        </row>
        <row r="1260">
          <cell r="B1260" t="str">
            <v>22205111902A</v>
          </cell>
          <cell r="D1260" t="str">
            <v>Cementos Pacasmayo</v>
          </cell>
          <cell r="F1260" t="str">
            <v>Renta Fija</v>
          </cell>
          <cell r="Q1260" t="str">
            <v>RFLC</v>
          </cell>
        </row>
        <row r="1261">
          <cell r="B1261" t="str">
            <v>22203011211A</v>
          </cell>
          <cell r="D1261" t="str">
            <v>Edelnor</v>
          </cell>
          <cell r="F1261" t="str">
            <v>Renta Fija</v>
          </cell>
          <cell r="Q1261" t="str">
            <v>RFLC</v>
          </cell>
        </row>
        <row r="1262">
          <cell r="B1262" t="str">
            <v>22205811201A</v>
          </cell>
          <cell r="D1262" t="str">
            <v xml:space="preserve">Red de Energía del Perú </v>
          </cell>
          <cell r="F1262" t="str">
            <v>Renta Fija</v>
          </cell>
          <cell r="Q1262" t="str">
            <v>RFLC</v>
          </cell>
        </row>
        <row r="1263">
          <cell r="B1263" t="str">
            <v>22205811301B</v>
          </cell>
          <cell r="D1263" t="str">
            <v xml:space="preserve">Red de Energía del Perú </v>
          </cell>
          <cell r="F1263" t="str">
            <v>Renta Fija</v>
          </cell>
          <cell r="Q1263" t="str">
            <v>RFLC</v>
          </cell>
        </row>
        <row r="1264">
          <cell r="B1264" t="str">
            <v>22206110701U</v>
          </cell>
          <cell r="D1264" t="str">
            <v xml:space="preserve">Energía del Sur </v>
          </cell>
          <cell r="F1264" t="str">
            <v>Renta Fija</v>
          </cell>
          <cell r="Q1264" t="str">
            <v>RFLC</v>
          </cell>
        </row>
        <row r="1265">
          <cell r="B1265" t="str">
            <v>22206110802U</v>
          </cell>
          <cell r="D1265" t="str">
            <v xml:space="preserve">Energía del Sur </v>
          </cell>
          <cell r="F1265" t="str">
            <v>Renta Fija</v>
          </cell>
          <cell r="Q1265" t="str">
            <v>RFLC</v>
          </cell>
        </row>
        <row r="1266">
          <cell r="B1266" t="str">
            <v>22206110905A</v>
          </cell>
          <cell r="D1266" t="str">
            <v xml:space="preserve">Energía del Sur </v>
          </cell>
          <cell r="F1266" t="str">
            <v>Renta Fija</v>
          </cell>
          <cell r="Q1266" t="str">
            <v>RFLC</v>
          </cell>
        </row>
        <row r="1267">
          <cell r="B1267" t="str">
            <v>22206111007A</v>
          </cell>
          <cell r="D1267" t="str">
            <v xml:space="preserve">Energía del Sur </v>
          </cell>
          <cell r="F1267" t="str">
            <v>Renta Fija</v>
          </cell>
          <cell r="Q1267" t="str">
            <v>RFLC</v>
          </cell>
        </row>
        <row r="1268">
          <cell r="B1268" t="str">
            <v>22206111601A</v>
          </cell>
          <cell r="D1268" t="str">
            <v xml:space="preserve">Energía del Sur </v>
          </cell>
          <cell r="F1268" t="str">
            <v>Renta Fija</v>
          </cell>
          <cell r="Q1268" t="str">
            <v>RFLC</v>
          </cell>
        </row>
        <row r="1269">
          <cell r="B1269" t="str">
            <v>22203011312A</v>
          </cell>
          <cell r="D1269" t="str">
            <v xml:space="preserve">Edegel </v>
          </cell>
          <cell r="F1269" t="str">
            <v>Renta Fija</v>
          </cell>
          <cell r="Q1269" t="str">
            <v>RFLC</v>
          </cell>
        </row>
        <row r="1270">
          <cell r="B1270" t="str">
            <v>22207410703U</v>
          </cell>
          <cell r="D1270" t="str">
            <v xml:space="preserve">Supermercados Peruanos </v>
          </cell>
          <cell r="F1270" t="str">
            <v>Renta Fija</v>
          </cell>
          <cell r="Q1270" t="str">
            <v>RFLC</v>
          </cell>
        </row>
        <row r="1271">
          <cell r="B1271" t="str">
            <v>22207410901U</v>
          </cell>
          <cell r="D1271" t="str">
            <v xml:space="preserve">Supermercados Peruanos </v>
          </cell>
          <cell r="F1271" t="str">
            <v>Renta Fija</v>
          </cell>
          <cell r="Q1271" t="str">
            <v>RFLC</v>
          </cell>
        </row>
        <row r="1272">
          <cell r="B1272" t="str">
            <v>22207410902U</v>
          </cell>
          <cell r="D1272" t="str">
            <v xml:space="preserve">Supermercados Peruanos </v>
          </cell>
          <cell r="F1272" t="str">
            <v>Renta Fija</v>
          </cell>
          <cell r="Q1272" t="str">
            <v>RFLC</v>
          </cell>
        </row>
        <row r="1273">
          <cell r="B1273" t="str">
            <v>22207511001A</v>
          </cell>
          <cell r="D1273" t="str">
            <v xml:space="preserve">Saga Falabella </v>
          </cell>
          <cell r="F1273" t="str">
            <v>Renta Fija</v>
          </cell>
          <cell r="Q1273" t="str">
            <v>RFLC</v>
          </cell>
        </row>
        <row r="1274">
          <cell r="B1274" t="str">
            <v>22207511101B</v>
          </cell>
          <cell r="D1274" t="str">
            <v>Sab Miller PLC-Perú</v>
          </cell>
          <cell r="F1274" t="str">
            <v>Renta Fija</v>
          </cell>
          <cell r="Q1274" t="str">
            <v>RFLC</v>
          </cell>
        </row>
        <row r="1275">
          <cell r="B1275" t="str">
            <v>22207511102B</v>
          </cell>
          <cell r="D1275" t="str">
            <v xml:space="preserve">Saga Falabella </v>
          </cell>
          <cell r="F1275" t="str">
            <v>Renta Fija</v>
          </cell>
          <cell r="Q1275" t="str">
            <v>RFLC</v>
          </cell>
        </row>
        <row r="1276">
          <cell r="B1276" t="str">
            <v>22207511201A</v>
          </cell>
          <cell r="D1276" t="str">
            <v xml:space="preserve">Saga Falabella </v>
          </cell>
          <cell r="F1276" t="str">
            <v>Renta Fija</v>
          </cell>
          <cell r="Q1276" t="str">
            <v>RFLC</v>
          </cell>
        </row>
        <row r="1277">
          <cell r="B1277" t="str">
            <v>22207511201B</v>
          </cell>
          <cell r="D1277" t="str">
            <v xml:space="preserve">Saga Falabella </v>
          </cell>
          <cell r="F1277" t="str">
            <v>Renta Fija</v>
          </cell>
          <cell r="Q1277" t="str">
            <v>RFLC</v>
          </cell>
        </row>
        <row r="1278">
          <cell r="B1278" t="str">
            <v>22207511302A</v>
          </cell>
          <cell r="D1278" t="str">
            <v xml:space="preserve">Saga Falabella </v>
          </cell>
          <cell r="F1278" t="str">
            <v>Renta Fija</v>
          </cell>
          <cell r="Q1278" t="str">
            <v>RFLC</v>
          </cell>
        </row>
        <row r="1279">
          <cell r="B1279" t="str">
            <v>22207710702A</v>
          </cell>
          <cell r="D1279" t="str">
            <v xml:space="preserve">Palmas del Espino </v>
          </cell>
          <cell r="F1279" t="str">
            <v>Renta Fija</v>
          </cell>
          <cell r="Q1279" t="str">
            <v>RFLC</v>
          </cell>
        </row>
        <row r="1280">
          <cell r="B1280" t="str">
            <v>22203011903A</v>
          </cell>
          <cell r="D1280" t="str">
            <v>Enel Distribución Peru</v>
          </cell>
          <cell r="F1280" t="str">
            <v>Renta Fija</v>
          </cell>
          <cell r="Q1280" t="str">
            <v>RFLC</v>
          </cell>
        </row>
        <row r="1281">
          <cell r="B1281" t="str">
            <v>22207711704A</v>
          </cell>
          <cell r="D1281" t="str">
            <v xml:space="preserve">Palmas del Espino </v>
          </cell>
          <cell r="F1281" t="str">
            <v>Renta Fija</v>
          </cell>
          <cell r="Q1281" t="str">
            <v>RFLC</v>
          </cell>
        </row>
        <row r="1282">
          <cell r="B1282" t="str">
            <v>22207711705A</v>
          </cell>
          <cell r="D1282" t="str">
            <v xml:space="preserve">Palmas del Espino </v>
          </cell>
          <cell r="F1282" t="str">
            <v>Renta Fija</v>
          </cell>
          <cell r="Q1282" t="str">
            <v>RFLC</v>
          </cell>
        </row>
        <row r="1283">
          <cell r="B1283" t="str">
            <v>22208511601A</v>
          </cell>
          <cell r="D1283" t="str">
            <v>Corporación J.R. Lindley</v>
          </cell>
          <cell r="F1283" t="str">
            <v>Renta Fija</v>
          </cell>
          <cell r="Q1283" t="str">
            <v>RFLC</v>
          </cell>
        </row>
        <row r="1284">
          <cell r="B1284" t="str">
            <v>22209211001U</v>
          </cell>
          <cell r="D1284" t="str">
            <v>Inmuebles</v>
          </cell>
          <cell r="F1284" t="str">
            <v>Renta Fija</v>
          </cell>
          <cell r="Q1284" t="str">
            <v>RFLC</v>
          </cell>
        </row>
        <row r="1285">
          <cell r="B1285" t="str">
            <v>22209410613A</v>
          </cell>
          <cell r="D1285" t="str">
            <v>Chinango</v>
          </cell>
          <cell r="F1285" t="str">
            <v>Renta Fija</v>
          </cell>
          <cell r="Q1285" t="str">
            <v>RFLC</v>
          </cell>
        </row>
        <row r="1286">
          <cell r="B1286" t="str">
            <v>22209410713B</v>
          </cell>
          <cell r="D1286" t="str">
            <v>Chinango</v>
          </cell>
          <cell r="F1286" t="str">
            <v>Renta Fija</v>
          </cell>
          <cell r="Q1286" t="str">
            <v>RFLC</v>
          </cell>
        </row>
        <row r="1287">
          <cell r="B1287" t="str">
            <v>22203011904A</v>
          </cell>
          <cell r="D1287" t="str">
            <v>Enel Distribución Peru</v>
          </cell>
          <cell r="F1287" t="str">
            <v>Renta Fija</v>
          </cell>
          <cell r="Q1287" t="str">
            <v>RFLC</v>
          </cell>
        </row>
        <row r="1288">
          <cell r="B1288" t="str">
            <v>22211511401A</v>
          </cell>
          <cell r="D1288" t="str">
            <v>Cineplex</v>
          </cell>
          <cell r="F1288" t="str">
            <v>Renta Fija</v>
          </cell>
          <cell r="Q1288" t="str">
            <v>RFLC</v>
          </cell>
        </row>
        <row r="1289">
          <cell r="B1289" t="str">
            <v>22203012105A</v>
          </cell>
          <cell r="D1289" t="str">
            <v>Edelnor</v>
          </cell>
          <cell r="F1289" t="str">
            <v>Renta Fija</v>
          </cell>
          <cell r="Q1289" t="str">
            <v>RFLC</v>
          </cell>
        </row>
        <row r="1290">
          <cell r="B1290" t="str">
            <v>22212011501A</v>
          </cell>
          <cell r="D1290" t="str">
            <v>IICGSA</v>
          </cell>
          <cell r="F1290" t="str">
            <v>Renta Fija</v>
          </cell>
          <cell r="Q1290" t="str">
            <v>RFLC</v>
          </cell>
        </row>
        <row r="1291">
          <cell r="B1291" t="str">
            <v>22212211501U</v>
          </cell>
          <cell r="D1291" t="str">
            <v>Norvial</v>
          </cell>
          <cell r="F1291" t="str">
            <v>Renta Fija</v>
          </cell>
          <cell r="Q1291" t="str">
            <v>RFLC</v>
          </cell>
        </row>
        <row r="1292">
          <cell r="B1292" t="str">
            <v>22206111703A</v>
          </cell>
          <cell r="D1292" t="str">
            <v xml:space="preserve">Energía del Sur </v>
          </cell>
          <cell r="F1292" t="str">
            <v>Renta Fija</v>
          </cell>
          <cell r="Q1292" t="str">
            <v>RFLC</v>
          </cell>
        </row>
        <row r="1293">
          <cell r="B1293" t="str">
            <v>22212311501A</v>
          </cell>
          <cell r="D1293" t="str">
            <v>Falabella Perú</v>
          </cell>
          <cell r="F1293" t="str">
            <v>Renta Fija</v>
          </cell>
          <cell r="Q1293" t="str">
            <v>RFLC</v>
          </cell>
        </row>
        <row r="1294">
          <cell r="B1294" t="str">
            <v>22212311603A</v>
          </cell>
          <cell r="D1294" t="str">
            <v>Falabella Perú</v>
          </cell>
          <cell r="F1294" t="str">
            <v>Renta Fija</v>
          </cell>
          <cell r="Q1294" t="str">
            <v>RFLC</v>
          </cell>
        </row>
        <row r="1295">
          <cell r="B1295" t="str">
            <v>22212311603B</v>
          </cell>
          <cell r="D1295" t="str">
            <v>Falabella Perú</v>
          </cell>
          <cell r="F1295" t="str">
            <v>Renta Fija</v>
          </cell>
          <cell r="Q1295" t="str">
            <v>RFLC</v>
          </cell>
        </row>
        <row r="1296">
          <cell r="B1296" t="str">
            <v>22212311701A</v>
          </cell>
          <cell r="D1296" t="str">
            <v>Falabella Perú</v>
          </cell>
          <cell r="F1296" t="str">
            <v>Renta Fija</v>
          </cell>
          <cell r="Q1296" t="str">
            <v>RFLC</v>
          </cell>
        </row>
        <row r="1297">
          <cell r="B1297" t="str">
            <v>22212311802A</v>
          </cell>
          <cell r="D1297" t="str">
            <v>Falabella Perú</v>
          </cell>
          <cell r="F1297" t="str">
            <v>Renta Fija</v>
          </cell>
          <cell r="Q1297" t="str">
            <v>RFLC</v>
          </cell>
        </row>
        <row r="1298">
          <cell r="B1298" t="str">
            <v>22230411713A</v>
          </cell>
          <cell r="D1298" t="str">
            <v xml:space="preserve">Telefónica del Perú </v>
          </cell>
          <cell r="F1298" t="str">
            <v>Renta Fija</v>
          </cell>
          <cell r="Q1298" t="str">
            <v>RFLC</v>
          </cell>
        </row>
        <row r="1299">
          <cell r="B1299" t="str">
            <v>25210512503A</v>
          </cell>
          <cell r="D1299" t="str">
            <v>Fondo Mi Vivienda</v>
          </cell>
          <cell r="F1299" t="str">
            <v>Renta Fija</v>
          </cell>
          <cell r="Q1299" t="str">
            <v>RFLC</v>
          </cell>
        </row>
        <row r="1300">
          <cell r="B1300" t="str">
            <v>25210511701U</v>
          </cell>
          <cell r="D1300" t="str">
            <v>Fondo Mi Vivienda</v>
          </cell>
          <cell r="F1300" t="str">
            <v>Renta Fija</v>
          </cell>
          <cell r="Q1300" t="str">
            <v>RFLC</v>
          </cell>
        </row>
        <row r="1301">
          <cell r="B1301" t="str">
            <v>25210511604A</v>
          </cell>
          <cell r="D1301" t="str">
            <v>Fondo Mi Vivienda</v>
          </cell>
          <cell r="F1301" t="str">
            <v>Renta Fija</v>
          </cell>
          <cell r="Q1301" t="str">
            <v>RFLC</v>
          </cell>
        </row>
        <row r="1302">
          <cell r="B1302" t="str">
            <v>22230411812B</v>
          </cell>
          <cell r="D1302" t="str">
            <v xml:space="preserve">Telefónica del Perú </v>
          </cell>
          <cell r="F1302" t="str">
            <v>Renta Fija</v>
          </cell>
          <cell r="Q1302" t="str">
            <v>RFLC</v>
          </cell>
        </row>
        <row r="1303">
          <cell r="B1303" t="str">
            <v>22230411009A</v>
          </cell>
          <cell r="D1303" t="str">
            <v xml:space="preserve">Telefónica del Perú </v>
          </cell>
          <cell r="F1303" t="str">
            <v>Renta Fija</v>
          </cell>
          <cell r="Q1303" t="str">
            <v>RFLC</v>
          </cell>
        </row>
        <row r="1304">
          <cell r="B1304" t="str">
            <v>22230411009B</v>
          </cell>
          <cell r="D1304" t="str">
            <v xml:space="preserve">Telefónica del Perú </v>
          </cell>
          <cell r="F1304" t="str">
            <v>Renta Fija</v>
          </cell>
          <cell r="Q1304" t="str">
            <v>RFLC</v>
          </cell>
        </row>
        <row r="1305">
          <cell r="B1305" t="str">
            <v>22230411011A</v>
          </cell>
          <cell r="D1305" t="str">
            <v xml:space="preserve">Telefónica del Perú </v>
          </cell>
          <cell r="F1305" t="str">
            <v>Renta Fija</v>
          </cell>
          <cell r="Q1305" t="str">
            <v>RFLC</v>
          </cell>
        </row>
        <row r="1306">
          <cell r="B1306" t="str">
            <v>22230411033A</v>
          </cell>
          <cell r="D1306" t="str">
            <v xml:space="preserve">Telefónica del Perú </v>
          </cell>
          <cell r="F1306" t="str">
            <v>Renta Fija</v>
          </cell>
          <cell r="Q1306" t="str">
            <v>RFLC</v>
          </cell>
        </row>
        <row r="1307">
          <cell r="B1307" t="str">
            <v>22230411111B</v>
          </cell>
          <cell r="D1307" t="str">
            <v xml:space="preserve">Telefónica del Perú </v>
          </cell>
          <cell r="F1307" t="str">
            <v>Renta Fija</v>
          </cell>
          <cell r="Q1307" t="str">
            <v>RFLC</v>
          </cell>
        </row>
        <row r="1308">
          <cell r="B1308" t="str">
            <v>22230411227A</v>
          </cell>
          <cell r="D1308" t="str">
            <v xml:space="preserve">Telefónica del Perú </v>
          </cell>
          <cell r="F1308" t="str">
            <v>Renta Fija</v>
          </cell>
          <cell r="Q1308" t="str">
            <v>RFLC</v>
          </cell>
        </row>
        <row r="1309">
          <cell r="B1309" t="str">
            <v>22230411611A</v>
          </cell>
          <cell r="D1309" t="str">
            <v xml:space="preserve">Telefónica del Perú </v>
          </cell>
          <cell r="F1309" t="str">
            <v>Renta Fija</v>
          </cell>
          <cell r="Q1309" t="str">
            <v>RFLC</v>
          </cell>
        </row>
        <row r="1310">
          <cell r="B1310" t="str">
            <v>22230510918A</v>
          </cell>
          <cell r="D1310" t="str">
            <v xml:space="preserve">Telefónica Móviles </v>
          </cell>
          <cell r="F1310" t="str">
            <v>Renta Fija</v>
          </cell>
          <cell r="Q1310" t="str">
            <v>RFLC</v>
          </cell>
        </row>
        <row r="1311">
          <cell r="B1311" t="str">
            <v>22230510918B</v>
          </cell>
          <cell r="D1311" t="str">
            <v xml:space="preserve">Telefónica Móviles </v>
          </cell>
          <cell r="F1311" t="str">
            <v>Renta Fija</v>
          </cell>
          <cell r="Q1311" t="str">
            <v>RFLC</v>
          </cell>
        </row>
        <row r="1312">
          <cell r="B1312" t="str">
            <v>22230511009A</v>
          </cell>
          <cell r="D1312" t="str">
            <v xml:space="preserve">Telefónica Móviles </v>
          </cell>
          <cell r="F1312" t="str">
            <v>Renta Fija</v>
          </cell>
          <cell r="Q1312" t="str">
            <v>RFLC</v>
          </cell>
        </row>
        <row r="1313">
          <cell r="B1313" t="str">
            <v>22230511009B</v>
          </cell>
          <cell r="D1313" t="str">
            <v xml:space="preserve">Telefónica Móviles </v>
          </cell>
          <cell r="F1313" t="str">
            <v>Renta Fija</v>
          </cell>
          <cell r="Q1313" t="str">
            <v>RFLC</v>
          </cell>
        </row>
        <row r="1314">
          <cell r="B1314" t="str">
            <v>22230511011A</v>
          </cell>
          <cell r="D1314" t="str">
            <v xml:space="preserve">Telefónica Móviles </v>
          </cell>
          <cell r="F1314" t="str">
            <v>Renta Fija</v>
          </cell>
          <cell r="Q1314" t="str">
            <v>RFLC</v>
          </cell>
        </row>
        <row r="1315">
          <cell r="B1315" t="str">
            <v>22230511111B</v>
          </cell>
          <cell r="D1315" t="str">
            <v xml:space="preserve">Telefónica Móviles </v>
          </cell>
          <cell r="F1315" t="str">
            <v>Renta Fija</v>
          </cell>
          <cell r="Q1315" t="str">
            <v>RFLC</v>
          </cell>
        </row>
        <row r="1316">
          <cell r="B1316" t="str">
            <v>22230511227A</v>
          </cell>
          <cell r="D1316" t="str">
            <v xml:space="preserve">Telefónica Móviles </v>
          </cell>
          <cell r="F1316" t="str">
            <v>Renta Fija</v>
          </cell>
          <cell r="Q1316" t="str">
            <v>RFLC</v>
          </cell>
        </row>
        <row r="1317">
          <cell r="B1317" t="str">
            <v>27020219AB41</v>
          </cell>
          <cell r="D1317" t="str">
            <v>Municipalidad de Lima</v>
          </cell>
          <cell r="F1317" t="str">
            <v>Renta Fija</v>
          </cell>
          <cell r="Q1317" t="str">
            <v>RFLC</v>
          </cell>
        </row>
        <row r="1318">
          <cell r="B1318" t="str">
            <v>25210511905A</v>
          </cell>
          <cell r="D1318" t="str">
            <v>Fondo Mi Vivienda</v>
          </cell>
          <cell r="F1318" t="str">
            <v>Renta Fija</v>
          </cell>
          <cell r="Q1318" t="str">
            <v>RFLC</v>
          </cell>
        </row>
        <row r="1319">
          <cell r="B1319" t="str">
            <v>22582511601A</v>
          </cell>
          <cell r="D1319" t="str">
            <v>Primax</v>
          </cell>
          <cell r="F1319" t="str">
            <v>Renta Fija</v>
          </cell>
          <cell r="Q1319" t="str">
            <v>RFLC</v>
          </cell>
        </row>
        <row r="1320">
          <cell r="B1320" t="str">
            <v>25210512006A</v>
          </cell>
          <cell r="D1320" t="str">
            <v>Fondo Mi Vivienda</v>
          </cell>
          <cell r="F1320" t="str">
            <v>Renta Fija</v>
          </cell>
          <cell r="Q1320" t="str">
            <v>RFLC</v>
          </cell>
        </row>
        <row r="1321">
          <cell r="B1321" t="str">
            <v>25010512202A</v>
          </cell>
          <cell r="D1321" t="str">
            <v>Financiera Oh! S.A.</v>
          </cell>
          <cell r="F1321" t="str">
            <v>Renta Fija</v>
          </cell>
          <cell r="Q1321" t="str">
            <v>RFLC</v>
          </cell>
        </row>
        <row r="1322">
          <cell r="B1322" t="str">
            <v>22582811701A</v>
          </cell>
          <cell r="D1322" t="str">
            <v>Hermes</v>
          </cell>
          <cell r="F1322" t="str">
            <v>Renta Fija</v>
          </cell>
          <cell r="Q1322" t="str">
            <v>RFLC</v>
          </cell>
        </row>
        <row r="1323">
          <cell r="B1323" t="str">
            <v>25000310A109</v>
          </cell>
          <cell r="D1323" t="str">
            <v xml:space="preserve">Banco Internacional del Perú </v>
          </cell>
          <cell r="F1323" t="str">
            <v>Renta Fija</v>
          </cell>
          <cell r="Q1323" t="str">
            <v>RFLC</v>
          </cell>
        </row>
        <row r="1324">
          <cell r="B1324" t="str">
            <v>2702011INSC2</v>
          </cell>
          <cell r="D1324" t="str">
            <v>Internacional de Titulos Soc. Titulizadora</v>
          </cell>
          <cell r="F1324" t="str">
            <v>Renta Fija</v>
          </cell>
          <cell r="Q1324" t="str">
            <v>RFLC</v>
          </cell>
        </row>
        <row r="1325">
          <cell r="B1325" t="str">
            <v>22583911801U</v>
          </cell>
          <cell r="D1325" t="str">
            <v>InRetail Pharma</v>
          </cell>
          <cell r="F1325" t="str">
            <v>Renta Fija</v>
          </cell>
          <cell r="Q1325" t="str">
            <v>RFLC</v>
          </cell>
        </row>
        <row r="1326">
          <cell r="B1326" t="str">
            <v>23230411603A</v>
          </cell>
          <cell r="D1326" t="str">
            <v xml:space="preserve">Telefónica del Perú </v>
          </cell>
          <cell r="F1326" t="str">
            <v>Renta Fija</v>
          </cell>
          <cell r="Q1326" t="str">
            <v>RFLC</v>
          </cell>
        </row>
        <row r="1327">
          <cell r="B1327" t="str">
            <v>25002211901U</v>
          </cell>
          <cell r="D1327" t="str">
            <v>Banco Santander Perú</v>
          </cell>
          <cell r="F1327" t="str">
            <v>Renta Fija</v>
          </cell>
          <cell r="Q1327" t="str">
            <v>RFLC</v>
          </cell>
        </row>
        <row r="1328">
          <cell r="B1328" t="str">
            <v>25000210701A</v>
          </cell>
          <cell r="D1328" t="str">
            <v>Banco de Crédito del Perú</v>
          </cell>
          <cell r="F1328" t="str">
            <v>Renta Fija</v>
          </cell>
          <cell r="Q1328" t="str">
            <v>RFLC</v>
          </cell>
        </row>
        <row r="1329">
          <cell r="B1329" t="str">
            <v>25000210801B</v>
          </cell>
          <cell r="D1329" t="str">
            <v>Banco de Crédito del Perú</v>
          </cell>
          <cell r="F1329" t="str">
            <v>Renta Fija</v>
          </cell>
          <cell r="Q1329" t="str">
            <v>RFLC</v>
          </cell>
        </row>
        <row r="1330">
          <cell r="B1330" t="str">
            <v>25000210803A</v>
          </cell>
          <cell r="D1330" t="str">
            <v>Banco de Crédito del Perú</v>
          </cell>
          <cell r="F1330" t="str">
            <v>Renta Fija</v>
          </cell>
          <cell r="Q1330" t="str">
            <v>RFLC</v>
          </cell>
        </row>
        <row r="1331">
          <cell r="B1331" t="str">
            <v>25000210803B</v>
          </cell>
          <cell r="D1331" t="str">
            <v>Banco de Crédito del Perú</v>
          </cell>
          <cell r="F1331" t="str">
            <v>Renta Fija</v>
          </cell>
          <cell r="Q1331" t="str">
            <v>RFLC</v>
          </cell>
        </row>
        <row r="1332">
          <cell r="B1332" t="str">
            <v>25000210904A</v>
          </cell>
          <cell r="D1332" t="str">
            <v>Banco de Crédito del Perú</v>
          </cell>
          <cell r="F1332" t="str">
            <v>Renta Fija</v>
          </cell>
          <cell r="Q1332" t="str">
            <v>RFLC</v>
          </cell>
        </row>
        <row r="1333">
          <cell r="B1333" t="str">
            <v>25000210904B</v>
          </cell>
          <cell r="D1333" t="str">
            <v>Banco de Crédito del Perú</v>
          </cell>
          <cell r="F1333" t="str">
            <v>Renta Fija</v>
          </cell>
          <cell r="Q1333" t="str">
            <v>RFLC</v>
          </cell>
        </row>
        <row r="1334">
          <cell r="B1334" t="str">
            <v>25000210904C</v>
          </cell>
          <cell r="D1334" t="str">
            <v>Banco de Crédito del Perú</v>
          </cell>
          <cell r="F1334" t="str">
            <v>Renta Fija</v>
          </cell>
          <cell r="Q1334" t="str">
            <v>RFLC</v>
          </cell>
        </row>
        <row r="1335">
          <cell r="B1335" t="str">
            <v>25000210904D</v>
          </cell>
          <cell r="D1335" t="str">
            <v>Banco de Crédito del Perú</v>
          </cell>
          <cell r="F1335" t="str">
            <v>Renta Fija</v>
          </cell>
          <cell r="Q1335" t="str">
            <v>RFLC</v>
          </cell>
        </row>
        <row r="1336">
          <cell r="B1336" t="str">
            <v>25000211110A</v>
          </cell>
          <cell r="D1336" t="str">
            <v>Banco de Crédito del Perú</v>
          </cell>
          <cell r="F1336" t="str">
            <v>Renta Fija</v>
          </cell>
          <cell r="Q1336" t="str">
            <v>RFLC</v>
          </cell>
        </row>
        <row r="1337">
          <cell r="B1337" t="str">
            <v>25000211210B</v>
          </cell>
          <cell r="D1337" t="str">
            <v>Banco de Crédito del Perú</v>
          </cell>
          <cell r="F1337" t="str">
            <v>Renta Fija</v>
          </cell>
          <cell r="Q1337" t="str">
            <v>RFLC</v>
          </cell>
        </row>
        <row r="1338">
          <cell r="B1338" t="str">
            <v>25000211210C</v>
          </cell>
          <cell r="D1338" t="str">
            <v>Banco de Crédito del Perú</v>
          </cell>
          <cell r="F1338" t="str">
            <v>Renta Fija</v>
          </cell>
          <cell r="Q1338" t="str">
            <v>RFLC</v>
          </cell>
        </row>
        <row r="1339">
          <cell r="B1339" t="str">
            <v>25000211601A</v>
          </cell>
          <cell r="D1339" t="str">
            <v>Banco de Crédito del Perú</v>
          </cell>
          <cell r="F1339" t="str">
            <v>Renta Fija</v>
          </cell>
          <cell r="Q1339" t="str">
            <v>RFLC</v>
          </cell>
        </row>
        <row r="1340">
          <cell r="B1340" t="str">
            <v>25000211601B</v>
          </cell>
          <cell r="D1340" t="str">
            <v>Banco de Crédito del Perú</v>
          </cell>
          <cell r="F1340" t="str">
            <v>Renta Fija</v>
          </cell>
          <cell r="Q1340" t="str">
            <v>RFLC</v>
          </cell>
        </row>
        <row r="1341">
          <cell r="B1341" t="str">
            <v>25000211601C</v>
          </cell>
          <cell r="D1341" t="str">
            <v>Banco de Crédito del Perú</v>
          </cell>
          <cell r="F1341" t="str">
            <v>Renta Fija</v>
          </cell>
          <cell r="Q1341" t="str">
            <v>RFLC</v>
          </cell>
        </row>
        <row r="1342">
          <cell r="B1342" t="str">
            <v>25000211701D</v>
          </cell>
          <cell r="D1342" t="str">
            <v>Banco de Crédito del Perú</v>
          </cell>
          <cell r="F1342" t="str">
            <v>Renta Fija</v>
          </cell>
          <cell r="Q1342" t="str">
            <v>RFLC</v>
          </cell>
        </row>
        <row r="1343">
          <cell r="B1343" t="str">
            <v>25000211903C</v>
          </cell>
          <cell r="D1343" t="str">
            <v>Banco de Crédito del Perú</v>
          </cell>
          <cell r="F1343" t="str">
            <v>Renta Fija</v>
          </cell>
          <cell r="Q1343" t="str">
            <v>RFLC</v>
          </cell>
        </row>
        <row r="1344">
          <cell r="B1344" t="str">
            <v>25000910905A</v>
          </cell>
          <cell r="D1344" t="str">
            <v>Scotiabank Peru</v>
          </cell>
          <cell r="F1344" t="str">
            <v>Renta Fija</v>
          </cell>
          <cell r="Q1344" t="str">
            <v>RFLC</v>
          </cell>
        </row>
        <row r="1345">
          <cell r="B1345" t="str">
            <v>25000910905B</v>
          </cell>
          <cell r="D1345" t="str">
            <v>Scotiabank Peru</v>
          </cell>
          <cell r="F1345" t="str">
            <v>Renta Fija</v>
          </cell>
          <cell r="Q1345" t="str">
            <v>RFLC</v>
          </cell>
        </row>
        <row r="1346">
          <cell r="B1346" t="str">
            <v>25000910905C</v>
          </cell>
          <cell r="D1346" t="str">
            <v>Scotiabank Peru</v>
          </cell>
          <cell r="F1346" t="str">
            <v>Renta Fija</v>
          </cell>
          <cell r="Q1346" t="str">
            <v>RFLC</v>
          </cell>
        </row>
        <row r="1347">
          <cell r="B1347" t="str">
            <v>25000911007A</v>
          </cell>
          <cell r="D1347" t="str">
            <v>Scotiabank Peru</v>
          </cell>
          <cell r="F1347" t="str">
            <v>Renta Fija</v>
          </cell>
          <cell r="Q1347" t="str">
            <v>RFLC</v>
          </cell>
        </row>
        <row r="1348">
          <cell r="B1348" t="str">
            <v>25000911008A</v>
          </cell>
          <cell r="D1348" t="str">
            <v>Scotiabank Peru</v>
          </cell>
          <cell r="F1348" t="str">
            <v>Renta Fija</v>
          </cell>
          <cell r="Q1348" t="str">
            <v>RFLC</v>
          </cell>
        </row>
        <row r="1349">
          <cell r="B1349" t="str">
            <v>25000911103A</v>
          </cell>
          <cell r="D1349" t="str">
            <v>Scotiabank Peru</v>
          </cell>
          <cell r="F1349" t="str">
            <v>Renta Fija</v>
          </cell>
          <cell r="Q1349" t="str">
            <v>RFLC</v>
          </cell>
        </row>
        <row r="1350">
          <cell r="B1350" t="str">
            <v>25000911201A</v>
          </cell>
          <cell r="D1350" t="str">
            <v>Scotiabank Peru</v>
          </cell>
          <cell r="F1350" t="str">
            <v>Renta Fija</v>
          </cell>
          <cell r="Q1350" t="str">
            <v>RFLC</v>
          </cell>
        </row>
        <row r="1351">
          <cell r="B1351" t="str">
            <v>25000911201B</v>
          </cell>
          <cell r="D1351" t="str">
            <v>Scotiabank Peru</v>
          </cell>
          <cell r="F1351" t="str">
            <v>Renta Fija</v>
          </cell>
          <cell r="Q1351" t="str">
            <v>RFLC</v>
          </cell>
        </row>
        <row r="1352">
          <cell r="B1352" t="str">
            <v>25000911201C</v>
          </cell>
          <cell r="D1352" t="str">
            <v>Scotiabank Peru</v>
          </cell>
          <cell r="F1352" t="str">
            <v>Renta Fija</v>
          </cell>
          <cell r="Q1352" t="str">
            <v>RFLC</v>
          </cell>
        </row>
        <row r="1353">
          <cell r="B1353" t="str">
            <v>25000911203B</v>
          </cell>
          <cell r="D1353" t="str">
            <v>Scotiabank Peru</v>
          </cell>
          <cell r="F1353" t="str">
            <v>Renta Fija</v>
          </cell>
          <cell r="Q1353" t="str">
            <v>RFLC</v>
          </cell>
        </row>
        <row r="1354">
          <cell r="B1354" t="str">
            <v>25000911205A</v>
          </cell>
          <cell r="D1354" t="str">
            <v>Scotiabank Peru</v>
          </cell>
          <cell r="F1354" t="str">
            <v>Renta Fija</v>
          </cell>
          <cell r="Q1354" t="str">
            <v>RFLC</v>
          </cell>
        </row>
        <row r="1355">
          <cell r="B1355" t="str">
            <v>25000911305B</v>
          </cell>
          <cell r="D1355" t="str">
            <v>Scotiabank Peru</v>
          </cell>
          <cell r="F1355" t="str">
            <v>Renta Fija</v>
          </cell>
          <cell r="Q1355" t="str">
            <v>RFLC</v>
          </cell>
        </row>
        <row r="1356">
          <cell r="B1356" t="str">
            <v>25000911409A</v>
          </cell>
          <cell r="D1356" t="str">
            <v>Scotiabank Peru</v>
          </cell>
          <cell r="F1356" t="str">
            <v>Renta Fija</v>
          </cell>
          <cell r="Q1356" t="str">
            <v>RFLC</v>
          </cell>
        </row>
        <row r="1357">
          <cell r="B1357" t="str">
            <v>25000911409B</v>
          </cell>
          <cell r="D1357" t="str">
            <v>Scotiabank Peru</v>
          </cell>
          <cell r="F1357" t="str">
            <v>Renta Fija</v>
          </cell>
          <cell r="Q1357" t="str">
            <v>RFLC</v>
          </cell>
        </row>
        <row r="1358">
          <cell r="B1358" t="str">
            <v>25000911509C</v>
          </cell>
          <cell r="D1358" t="str">
            <v>Scotiabank Peru</v>
          </cell>
          <cell r="F1358" t="str">
            <v>Renta Fija</v>
          </cell>
          <cell r="Q1358" t="str">
            <v>RFLC</v>
          </cell>
        </row>
        <row r="1359">
          <cell r="B1359" t="str">
            <v>25001110807U</v>
          </cell>
          <cell r="D1359" t="str">
            <v>Banco Continental</v>
          </cell>
          <cell r="F1359" t="str">
            <v>Renta Fija</v>
          </cell>
          <cell r="Q1359" t="str">
            <v>RFLC</v>
          </cell>
        </row>
        <row r="1360">
          <cell r="B1360" t="str">
            <v>25001111001U</v>
          </cell>
          <cell r="D1360" t="str">
            <v>Banco Continental</v>
          </cell>
          <cell r="F1360" t="str">
            <v>Renta Fija</v>
          </cell>
          <cell r="Q1360" t="str">
            <v>RFLC</v>
          </cell>
        </row>
        <row r="1361">
          <cell r="B1361" t="str">
            <v>25001111002A</v>
          </cell>
          <cell r="D1361" t="str">
            <v>Banco Continental</v>
          </cell>
          <cell r="F1361" t="str">
            <v>Renta Fija</v>
          </cell>
          <cell r="Q1361" t="str">
            <v>RFLC</v>
          </cell>
        </row>
        <row r="1362">
          <cell r="B1362" t="str">
            <v>25001111101A</v>
          </cell>
          <cell r="D1362" t="str">
            <v>Banco Continental</v>
          </cell>
          <cell r="F1362" t="str">
            <v>Renta Fija</v>
          </cell>
          <cell r="Q1362" t="str">
            <v>RFLC</v>
          </cell>
        </row>
        <row r="1363">
          <cell r="B1363" t="str">
            <v>25001111102A</v>
          </cell>
          <cell r="D1363" t="str">
            <v>Banco Continental</v>
          </cell>
          <cell r="F1363" t="str">
            <v>Renta Fija</v>
          </cell>
          <cell r="Q1363" t="str">
            <v>RFLC</v>
          </cell>
        </row>
        <row r="1364">
          <cell r="B1364" t="str">
            <v>25001111103A</v>
          </cell>
          <cell r="D1364" t="str">
            <v>Banco Continental</v>
          </cell>
          <cell r="F1364" t="str">
            <v>Renta Fija</v>
          </cell>
          <cell r="Q1364" t="str">
            <v>RFLC</v>
          </cell>
        </row>
        <row r="1365">
          <cell r="B1365" t="str">
            <v>25001111205U</v>
          </cell>
          <cell r="D1365" t="str">
            <v>Banco Continental</v>
          </cell>
          <cell r="F1365" t="str">
            <v>Renta Fija</v>
          </cell>
          <cell r="Q1365" t="str">
            <v>RFLC</v>
          </cell>
        </row>
        <row r="1366">
          <cell r="B1366" t="str">
            <v>25001111601A</v>
          </cell>
          <cell r="D1366" t="str">
            <v>Banco Continental</v>
          </cell>
          <cell r="F1366" t="str">
            <v>Renta Fija</v>
          </cell>
          <cell r="Q1366" t="str">
            <v>RFLC</v>
          </cell>
        </row>
        <row r="1367">
          <cell r="B1367" t="str">
            <v>25001111601B</v>
          </cell>
          <cell r="D1367" t="str">
            <v>Banco Continental</v>
          </cell>
          <cell r="F1367" t="str">
            <v>Renta Fija</v>
          </cell>
          <cell r="Q1367" t="str">
            <v>RFLC</v>
          </cell>
        </row>
        <row r="1368">
          <cell r="B1368" t="str">
            <v>25001111703A</v>
          </cell>
          <cell r="D1368" t="str">
            <v>Banco Continental</v>
          </cell>
          <cell r="F1368" t="str">
            <v>Renta Fija</v>
          </cell>
          <cell r="Q1368" t="str">
            <v>RFLC</v>
          </cell>
        </row>
        <row r="1369">
          <cell r="B1369" t="str">
            <v>25001111602A</v>
          </cell>
          <cell r="D1369" t="str">
            <v>Banco Continental</v>
          </cell>
          <cell r="F1369" t="str">
            <v>Renta Fija</v>
          </cell>
          <cell r="Q1369" t="str">
            <v>RFLC</v>
          </cell>
        </row>
        <row r="1370">
          <cell r="B1370" t="str">
            <v>25003511301A</v>
          </cell>
          <cell r="D1370" t="str">
            <v>Banco Financiero</v>
          </cell>
          <cell r="F1370" t="str">
            <v>Renta Fija</v>
          </cell>
          <cell r="Q1370" t="str">
            <v>RFLC</v>
          </cell>
        </row>
        <row r="1371">
          <cell r="B1371" t="str">
            <v>25003511503A</v>
          </cell>
          <cell r="D1371" t="str">
            <v>Banco Financiero</v>
          </cell>
          <cell r="F1371" t="str">
            <v>Renta Fija</v>
          </cell>
          <cell r="Q1371" t="str">
            <v>RFLC</v>
          </cell>
        </row>
        <row r="1372">
          <cell r="B1372" t="str">
            <v>25004211102A</v>
          </cell>
          <cell r="D1372" t="str">
            <v>Crediscotia</v>
          </cell>
          <cell r="F1372" t="str">
            <v>Renta Fija</v>
          </cell>
          <cell r="Q1372" t="str">
            <v>RFLC</v>
          </cell>
        </row>
        <row r="1373">
          <cell r="B1373" t="str">
            <v>25004211102B</v>
          </cell>
          <cell r="D1373" t="str">
            <v>Crediscotia</v>
          </cell>
          <cell r="F1373" t="str">
            <v>Renta Fija</v>
          </cell>
          <cell r="Q1373" t="str">
            <v>RFLC</v>
          </cell>
        </row>
        <row r="1374">
          <cell r="B1374" t="str">
            <v>25004211202C</v>
          </cell>
          <cell r="D1374" t="str">
            <v>Crediscotia</v>
          </cell>
          <cell r="F1374" t="str">
            <v>Renta Fija</v>
          </cell>
          <cell r="Q1374" t="str">
            <v>RFLC</v>
          </cell>
        </row>
        <row r="1375">
          <cell r="B1375" t="str">
            <v>25004211304A</v>
          </cell>
          <cell r="D1375" t="str">
            <v>Crediscotia Financiera</v>
          </cell>
          <cell r="F1375" t="str">
            <v>Renta Fija</v>
          </cell>
          <cell r="Q1375" t="str">
            <v>RFLC</v>
          </cell>
        </row>
        <row r="1376">
          <cell r="B1376" t="str">
            <v>25004811201A</v>
          </cell>
          <cell r="D1376" t="str">
            <v>Mibanco</v>
          </cell>
          <cell r="F1376" t="str">
            <v>Renta Fija</v>
          </cell>
          <cell r="Q1376" t="str">
            <v>RFLC</v>
          </cell>
        </row>
        <row r="1377">
          <cell r="B1377" t="str">
            <v>25004811201B</v>
          </cell>
          <cell r="D1377" t="str">
            <v>Mibanco</v>
          </cell>
          <cell r="F1377" t="str">
            <v>Renta Fija</v>
          </cell>
          <cell r="Q1377" t="str">
            <v>RFLC</v>
          </cell>
        </row>
        <row r="1378">
          <cell r="B1378" t="str">
            <v>25004811202A</v>
          </cell>
          <cell r="D1378" t="str">
            <v>Mibanco</v>
          </cell>
          <cell r="F1378" t="str">
            <v>Renta Fija</v>
          </cell>
          <cell r="Q1378" t="str">
            <v>RFLC</v>
          </cell>
        </row>
        <row r="1379">
          <cell r="B1379" t="str">
            <v>25004811204A</v>
          </cell>
          <cell r="D1379" t="str">
            <v>Mibanco</v>
          </cell>
          <cell r="F1379" t="str">
            <v>Renta Fija</v>
          </cell>
          <cell r="Q1379" t="str">
            <v>RFLC</v>
          </cell>
        </row>
        <row r="1380">
          <cell r="B1380" t="str">
            <v>25004811305A</v>
          </cell>
          <cell r="D1380" t="str">
            <v>Mibanco</v>
          </cell>
          <cell r="F1380" t="str">
            <v>Renta Fija</v>
          </cell>
          <cell r="Q1380" t="str">
            <v>RFLC</v>
          </cell>
        </row>
        <row r="1381">
          <cell r="B1381" t="str">
            <v>25004811305B</v>
          </cell>
          <cell r="D1381" t="str">
            <v>Mibanco</v>
          </cell>
          <cell r="F1381" t="str">
            <v>Renta Fija</v>
          </cell>
          <cell r="Q1381" t="str">
            <v>RFLC</v>
          </cell>
        </row>
        <row r="1382">
          <cell r="B1382" t="str">
            <v>25004811501A</v>
          </cell>
          <cell r="D1382" t="str">
            <v>Mibanco</v>
          </cell>
          <cell r="F1382" t="str">
            <v>Renta Fija</v>
          </cell>
          <cell r="Q1382" t="str">
            <v>RFLC</v>
          </cell>
        </row>
        <row r="1383">
          <cell r="B1383" t="str">
            <v>25004811601B</v>
          </cell>
          <cell r="D1383" t="str">
            <v>Mibanco</v>
          </cell>
          <cell r="F1383" t="str">
            <v>Renta Fija</v>
          </cell>
          <cell r="Q1383" t="str">
            <v>RFLC</v>
          </cell>
        </row>
        <row r="1384">
          <cell r="B1384" t="str">
            <v>25517212A026</v>
          </cell>
          <cell r="D1384" t="str">
            <v>Intercorp Perú</v>
          </cell>
          <cell r="F1384" t="str">
            <v>Renta Fija</v>
          </cell>
          <cell r="Q1384" t="str">
            <v>RFLC</v>
          </cell>
        </row>
        <row r="1385">
          <cell r="B1385" t="str">
            <v>25008610708A</v>
          </cell>
          <cell r="D1385" t="str">
            <v>COFIDE</v>
          </cell>
          <cell r="F1385" t="str">
            <v>Renta Fija</v>
          </cell>
          <cell r="Q1385" t="str">
            <v>RFLC</v>
          </cell>
        </row>
        <row r="1386">
          <cell r="B1386" t="str">
            <v>25008610808B</v>
          </cell>
          <cell r="D1386" t="str">
            <v>COFIDE</v>
          </cell>
          <cell r="F1386" t="str">
            <v>Renta Fija</v>
          </cell>
          <cell r="Q1386" t="str">
            <v>RFLC</v>
          </cell>
        </row>
        <row r="1387">
          <cell r="B1387" t="str">
            <v>25008610912A</v>
          </cell>
          <cell r="D1387" t="str">
            <v>CORPORACION FINANCIERA DE DESARROLLO</v>
          </cell>
          <cell r="F1387" t="str">
            <v>Renta Fija</v>
          </cell>
          <cell r="Q1387" t="str">
            <v>RFLC</v>
          </cell>
        </row>
        <row r="1388">
          <cell r="B1388" t="str">
            <v>25008611001A</v>
          </cell>
          <cell r="D1388" t="str">
            <v>CORPORACION FINANCIERA DE DESARROLLO</v>
          </cell>
          <cell r="F1388" t="str">
            <v>Renta Fija</v>
          </cell>
          <cell r="Q1388" t="str">
            <v>RFLC</v>
          </cell>
        </row>
        <row r="1389">
          <cell r="B1389" t="str">
            <v>25008611104A</v>
          </cell>
          <cell r="D1389" t="str">
            <v>COFIDE</v>
          </cell>
          <cell r="F1389" t="str">
            <v>Renta Fija</v>
          </cell>
          <cell r="Q1389" t="str">
            <v>RFLC</v>
          </cell>
        </row>
        <row r="1390">
          <cell r="B1390" t="str">
            <v>25008611105A</v>
          </cell>
          <cell r="D1390" t="str">
            <v>COFIDE</v>
          </cell>
          <cell r="F1390" t="str">
            <v>Renta Fija</v>
          </cell>
          <cell r="Q1390" t="str">
            <v>RFLC</v>
          </cell>
        </row>
        <row r="1391">
          <cell r="B1391" t="str">
            <v>25517212A018</v>
          </cell>
          <cell r="D1391" t="str">
            <v>Intercorp Perú</v>
          </cell>
          <cell r="F1391" t="str">
            <v>Renta Fija</v>
          </cell>
          <cell r="Q1391" t="str">
            <v>RFLC</v>
          </cell>
        </row>
        <row r="1392">
          <cell r="B1392" t="str">
            <v>25008611210A</v>
          </cell>
          <cell r="D1392" t="str">
            <v>CORPORACION FINANCIERA DE DESARROLLO</v>
          </cell>
          <cell r="F1392" t="str">
            <v>Renta Fija</v>
          </cell>
          <cell r="Q1392" t="str">
            <v>RFLC</v>
          </cell>
        </row>
        <row r="1393">
          <cell r="B1393" t="str">
            <v>25008611211A</v>
          </cell>
          <cell r="D1393" t="str">
            <v>COFIDE</v>
          </cell>
          <cell r="F1393" t="str">
            <v>Renta Fija</v>
          </cell>
          <cell r="Q1393" t="str">
            <v>RFLC</v>
          </cell>
        </row>
        <row r="1394">
          <cell r="B1394" t="str">
            <v>25008611505A</v>
          </cell>
          <cell r="D1394" t="str">
            <v>CORPORACION FINANCIERA DE DESARROLLO</v>
          </cell>
          <cell r="F1394" t="str">
            <v>Renta Fija</v>
          </cell>
          <cell r="Q1394" t="str">
            <v>RFLC</v>
          </cell>
        </row>
        <row r="1395">
          <cell r="B1395" t="str">
            <v>182096345816</v>
          </cell>
          <cell r="D1395" t="str">
            <v>Línea Amarilla S.A.C.</v>
          </cell>
          <cell r="F1395" t="str">
            <v>Renta Fija</v>
          </cell>
          <cell r="Q1395" t="str">
            <v>RFLC</v>
          </cell>
        </row>
        <row r="1396">
          <cell r="B1396" t="str">
            <v>25008611610B</v>
          </cell>
          <cell r="D1396" t="str">
            <v>CORPORACION FINANCIERA DE DESARROLLO</v>
          </cell>
          <cell r="F1396" t="str">
            <v>Renta Fija</v>
          </cell>
          <cell r="Q1396" t="str">
            <v>RFLC</v>
          </cell>
        </row>
        <row r="1397">
          <cell r="B1397" t="str">
            <v>25008611611A</v>
          </cell>
          <cell r="D1397" t="str">
            <v>CORPORACION FINANCIERA DE DESARROLLO</v>
          </cell>
          <cell r="F1397" t="str">
            <v>Renta Fija</v>
          </cell>
          <cell r="Q1397" t="str">
            <v>RFLC</v>
          </cell>
        </row>
        <row r="1398">
          <cell r="B1398" t="str">
            <v>23008611901C</v>
          </cell>
          <cell r="D1398" t="str">
            <v>CORPORACION FINANCIERA DE DESARROLLO</v>
          </cell>
          <cell r="F1398" t="str">
            <v>Renta Fija</v>
          </cell>
          <cell r="Q1398" t="str">
            <v>RFLC</v>
          </cell>
        </row>
        <row r="1399">
          <cell r="B1399" t="str">
            <v>23008611901B</v>
          </cell>
          <cell r="D1399" t="str">
            <v>CORPORACION FINANCIERA DE DESARROLLO</v>
          </cell>
          <cell r="F1399" t="str">
            <v>Renta Fija</v>
          </cell>
          <cell r="Q1399" t="str">
            <v>RFLC</v>
          </cell>
        </row>
        <row r="1400">
          <cell r="B1400" t="str">
            <v>23008611901A</v>
          </cell>
          <cell r="D1400" t="str">
            <v>CORPORACION FINANCIERA DE DESARROLLO</v>
          </cell>
          <cell r="F1400" t="str">
            <v>Renta Fija</v>
          </cell>
          <cell r="Q1400" t="str">
            <v>RFLC</v>
          </cell>
        </row>
        <row r="1401">
          <cell r="B1401" t="str">
            <v>25008611901A</v>
          </cell>
          <cell r="D1401" t="str">
            <v>CORPORACION FINANCIERA DE DESARROLLO</v>
          </cell>
          <cell r="F1401" t="str">
            <v>Renta Fija</v>
          </cell>
          <cell r="Q1401" t="str">
            <v>RFLC</v>
          </cell>
        </row>
        <row r="1402">
          <cell r="B1402" t="str">
            <v>25008611903A</v>
          </cell>
          <cell r="D1402" t="str">
            <v>CORPORACION FINANCIERA DE DESARROLLO</v>
          </cell>
          <cell r="F1402" t="str">
            <v>Renta Fija</v>
          </cell>
          <cell r="Q1402" t="str">
            <v>RFLC</v>
          </cell>
        </row>
        <row r="1403">
          <cell r="B1403" t="str">
            <v>25008711101B</v>
          </cell>
          <cell r="D1403" t="str">
            <v>Banco Falabella</v>
          </cell>
          <cell r="F1403" t="str">
            <v>Renta Fija</v>
          </cell>
          <cell r="Q1403" t="str">
            <v>RFLC</v>
          </cell>
        </row>
        <row r="1404">
          <cell r="B1404" t="str">
            <v>25008711102A</v>
          </cell>
          <cell r="D1404" t="str">
            <v>Banco Falabella</v>
          </cell>
          <cell r="F1404" t="str">
            <v>Renta Fija</v>
          </cell>
          <cell r="Q1404" t="str">
            <v>RFLC</v>
          </cell>
        </row>
        <row r="1405">
          <cell r="B1405" t="str">
            <v>25008711102B</v>
          </cell>
          <cell r="D1405" t="str">
            <v>Banco Falabella</v>
          </cell>
          <cell r="F1405" t="str">
            <v>Renta Fija</v>
          </cell>
          <cell r="Q1405" t="str">
            <v>RFLC</v>
          </cell>
        </row>
        <row r="1406">
          <cell r="B1406" t="str">
            <v>25008711304A</v>
          </cell>
          <cell r="D1406" t="str">
            <v>Banco Falabella</v>
          </cell>
          <cell r="F1406" t="str">
            <v>Renta Fija</v>
          </cell>
          <cell r="Q1406" t="str">
            <v>RFLC</v>
          </cell>
        </row>
        <row r="1407">
          <cell r="B1407" t="str">
            <v>25008711407A</v>
          </cell>
          <cell r="D1407" t="str">
            <v>Banco Falabella</v>
          </cell>
          <cell r="F1407" t="str">
            <v>Renta Fija</v>
          </cell>
          <cell r="Q1407" t="str">
            <v>RFLC</v>
          </cell>
        </row>
        <row r="1408">
          <cell r="B1408" t="str">
            <v>25008811201U</v>
          </cell>
          <cell r="D1408" t="str">
            <v>Banco Ripley</v>
          </cell>
          <cell r="F1408" t="str">
            <v>Renta Fija</v>
          </cell>
          <cell r="Q1408" t="str">
            <v>RFLC</v>
          </cell>
        </row>
        <row r="1409">
          <cell r="B1409" t="str">
            <v>25008811302U</v>
          </cell>
          <cell r="D1409" t="str">
            <v>Banco Ripley</v>
          </cell>
          <cell r="F1409" t="str">
            <v>Renta Fija</v>
          </cell>
          <cell r="Q1409" t="str">
            <v>RFLC</v>
          </cell>
        </row>
        <row r="1410">
          <cell r="B1410" t="str">
            <v>25008811303A</v>
          </cell>
          <cell r="D1410" t="str">
            <v>Banco Ripley</v>
          </cell>
          <cell r="F1410" t="str">
            <v>Renta Fija</v>
          </cell>
          <cell r="Q1410" t="str">
            <v>RFLC</v>
          </cell>
        </row>
        <row r="1411">
          <cell r="B1411" t="str">
            <v>25008811401A</v>
          </cell>
          <cell r="D1411" t="str">
            <v>Banco Ripley</v>
          </cell>
          <cell r="F1411" t="str">
            <v>Renta Fija</v>
          </cell>
          <cell r="Q1411" t="str">
            <v>RFLC</v>
          </cell>
        </row>
        <row r="1412">
          <cell r="B1412" t="str">
            <v>25008811501B</v>
          </cell>
          <cell r="D1412" t="str">
            <v>Banco Ripley</v>
          </cell>
          <cell r="F1412" t="str">
            <v>Renta Fija</v>
          </cell>
          <cell r="Q1412" t="str">
            <v>RFLC</v>
          </cell>
        </row>
        <row r="1413">
          <cell r="B1413" t="str">
            <v>25008811602A</v>
          </cell>
          <cell r="D1413" t="str">
            <v>Banco Ripley</v>
          </cell>
          <cell r="F1413" t="str">
            <v>Renta Fija</v>
          </cell>
          <cell r="Q1413" t="str">
            <v>RFLC</v>
          </cell>
        </row>
        <row r="1414">
          <cell r="B1414" t="str">
            <v>25008811702B</v>
          </cell>
          <cell r="D1414" t="str">
            <v>Banco Ripley</v>
          </cell>
          <cell r="F1414" t="str">
            <v>Renta Fija</v>
          </cell>
          <cell r="Q1414" t="str">
            <v>RFLC</v>
          </cell>
        </row>
        <row r="1415">
          <cell r="B1415" t="str">
            <v>25008811803B</v>
          </cell>
          <cell r="D1415" t="str">
            <v>Banco Ripley</v>
          </cell>
          <cell r="F1415" t="str">
            <v>Renta Fija</v>
          </cell>
          <cell r="Q1415" t="str">
            <v>RFLC</v>
          </cell>
        </row>
        <row r="1416">
          <cell r="B1416" t="str">
            <v>63008811901F</v>
          </cell>
          <cell r="D1416" t="str">
            <v>Banco Ripley</v>
          </cell>
          <cell r="F1416" t="str">
            <v>Renta Fija</v>
          </cell>
          <cell r="Q1416" t="str">
            <v>RFLC</v>
          </cell>
        </row>
        <row r="1417">
          <cell r="B1417" t="str">
            <v>63008811801B</v>
          </cell>
          <cell r="D1417" t="str">
            <v>Banco Ripley</v>
          </cell>
          <cell r="F1417" t="str">
            <v>Renta Fija</v>
          </cell>
          <cell r="Q1417" t="str">
            <v>RFLC</v>
          </cell>
        </row>
        <row r="1418">
          <cell r="B1418" t="str">
            <v>63008811901D</v>
          </cell>
          <cell r="D1418" t="str">
            <v>Banco Ripley</v>
          </cell>
          <cell r="F1418" t="str">
            <v>Renta Fija</v>
          </cell>
          <cell r="Q1418" t="str">
            <v>RFLC</v>
          </cell>
        </row>
        <row r="1419">
          <cell r="B1419" t="str">
            <v>63008811901E</v>
          </cell>
          <cell r="D1419" t="str">
            <v>Banco Ripley</v>
          </cell>
          <cell r="F1419" t="str">
            <v>Renta Fija</v>
          </cell>
          <cell r="Q1419" t="str">
            <v>RFLC</v>
          </cell>
        </row>
        <row r="1420">
          <cell r="B1420" t="str">
            <v>63008811801L</v>
          </cell>
          <cell r="D1420" t="str">
            <v>Banco Ripley</v>
          </cell>
          <cell r="F1420" t="str">
            <v>Renta Fija</v>
          </cell>
          <cell r="Q1420" t="str">
            <v>RFLC</v>
          </cell>
        </row>
        <row r="1421">
          <cell r="B1421" t="str">
            <v>63008811902A</v>
          </cell>
          <cell r="D1421" t="str">
            <v>Banco Ripley</v>
          </cell>
          <cell r="F1421" t="str">
            <v>Renta Fija</v>
          </cell>
          <cell r="Q1421" t="str">
            <v>RFLC</v>
          </cell>
        </row>
        <row r="1422">
          <cell r="B1422" t="str">
            <v>25009911201A</v>
          </cell>
          <cell r="D1422" t="str">
            <v>Edyficar</v>
          </cell>
          <cell r="F1422" t="str">
            <v>Renta Fija</v>
          </cell>
          <cell r="Q1422" t="str">
            <v>RFLC</v>
          </cell>
        </row>
        <row r="1423">
          <cell r="B1423" t="str">
            <v>25009911202A</v>
          </cell>
          <cell r="D1423" t="str">
            <v>Edyficar</v>
          </cell>
          <cell r="F1423" t="str">
            <v>Renta Fija</v>
          </cell>
          <cell r="Q1423" t="str">
            <v>RFLC</v>
          </cell>
        </row>
        <row r="1424">
          <cell r="B1424" t="str">
            <v>25010411301A</v>
          </cell>
          <cell r="D1424" t="str">
            <v>Financiera Efectiva</v>
          </cell>
          <cell r="F1424" t="str">
            <v>Renta Fija</v>
          </cell>
          <cell r="Q1424" t="str">
            <v>RFLC</v>
          </cell>
        </row>
        <row r="1425">
          <cell r="B1425" t="str">
            <v>25010511701A</v>
          </cell>
          <cell r="D1425" t="str">
            <v>Financiera OH</v>
          </cell>
          <cell r="F1425" t="str">
            <v>Renta Fija</v>
          </cell>
          <cell r="Q1425" t="str">
            <v>RFLC</v>
          </cell>
        </row>
        <row r="1426">
          <cell r="B1426" t="str">
            <v>63010512203A</v>
          </cell>
          <cell r="D1426" t="str">
            <v>Financiera OH</v>
          </cell>
          <cell r="F1426" t="str">
            <v>Renta Fija</v>
          </cell>
          <cell r="Q1426" t="str">
            <v>RFLC</v>
          </cell>
        </row>
        <row r="1427">
          <cell r="B1427" t="str">
            <v>63010511801E</v>
          </cell>
          <cell r="D1427" t="str">
            <v>Financiera OH</v>
          </cell>
          <cell r="F1427" t="str">
            <v>Renta Fija</v>
          </cell>
          <cell r="Q1427" t="str">
            <v>RFLC</v>
          </cell>
        </row>
        <row r="1428">
          <cell r="B1428" t="str">
            <v>63010511802C</v>
          </cell>
          <cell r="D1428" t="str">
            <v>Financiera OH</v>
          </cell>
          <cell r="F1428" t="str">
            <v>Renta Fija</v>
          </cell>
          <cell r="Q1428" t="str">
            <v>RFLC</v>
          </cell>
        </row>
        <row r="1429">
          <cell r="B1429" t="str">
            <v>63010511902E</v>
          </cell>
          <cell r="D1429" t="str">
            <v>Financiera OH</v>
          </cell>
          <cell r="F1429" t="str">
            <v>Renta Fija</v>
          </cell>
          <cell r="Q1429" t="str">
            <v>RFLC</v>
          </cell>
        </row>
        <row r="1430">
          <cell r="B1430" t="str">
            <v>63010511901C</v>
          </cell>
          <cell r="D1430" t="str">
            <v>Financiera OH</v>
          </cell>
          <cell r="F1430" t="str">
            <v>Renta Fija</v>
          </cell>
          <cell r="Q1430" t="str">
            <v>RFLC</v>
          </cell>
        </row>
        <row r="1431">
          <cell r="B1431" t="str">
            <v>63010511902A</v>
          </cell>
          <cell r="D1431" t="str">
            <v>Financiera OH</v>
          </cell>
          <cell r="F1431" t="str">
            <v>Renta Fija</v>
          </cell>
          <cell r="Q1431" t="str">
            <v>RFLC</v>
          </cell>
        </row>
        <row r="1432">
          <cell r="B1432" t="str">
            <v>25210511601A</v>
          </cell>
          <cell r="D1432" t="str">
            <v>Fondo Mi Vivienda</v>
          </cell>
          <cell r="F1432" t="str">
            <v>Renta Fija</v>
          </cell>
          <cell r="Q1432" t="str">
            <v>RFLC</v>
          </cell>
        </row>
        <row r="1433">
          <cell r="B1433" t="str">
            <v>22212511502A</v>
          </cell>
          <cell r="D1433" t="str">
            <v>Jockey Plaza</v>
          </cell>
          <cell r="F1433" t="str">
            <v>Renta Fija</v>
          </cell>
          <cell r="Q1433" t="str">
            <v>RFLC</v>
          </cell>
        </row>
        <row r="1434">
          <cell r="B1434" t="str">
            <v>22212511603A</v>
          </cell>
          <cell r="D1434" t="str">
            <v>Jockey Plaza</v>
          </cell>
          <cell r="F1434" t="str">
            <v>Renta Fija</v>
          </cell>
          <cell r="Q1434" t="str">
            <v>RFLC</v>
          </cell>
        </row>
        <row r="1435">
          <cell r="B1435" t="str">
            <v>22200911502A</v>
          </cell>
          <cell r="D1435" t="str">
            <v xml:space="preserve">Luz del Sur </v>
          </cell>
          <cell r="F1435" t="str">
            <v>Renta Fija</v>
          </cell>
          <cell r="Q1435" t="str">
            <v>RFLC</v>
          </cell>
        </row>
        <row r="1436">
          <cell r="B1436" t="str">
            <v>22200911807A</v>
          </cell>
          <cell r="D1436" t="str">
            <v xml:space="preserve">Luz del Sur </v>
          </cell>
          <cell r="F1436" t="str">
            <v>Renta Fija</v>
          </cell>
          <cell r="Q1436" t="str">
            <v>RFLC</v>
          </cell>
        </row>
        <row r="1437">
          <cell r="B1437" t="str">
            <v>21004811701B</v>
          </cell>
          <cell r="D1437" t="str">
            <v>Mibanco</v>
          </cell>
          <cell r="F1437" t="str">
            <v>Renta Fija</v>
          </cell>
          <cell r="Q1437" t="str">
            <v>RFLC</v>
          </cell>
        </row>
        <row r="1438">
          <cell r="B1438" t="str">
            <v>22212211502U</v>
          </cell>
          <cell r="D1438" t="str">
            <v>Norvial</v>
          </cell>
          <cell r="F1438" t="str">
            <v>Renta Fija</v>
          </cell>
          <cell r="Q1438" t="str">
            <v>RFLC</v>
          </cell>
        </row>
        <row r="1439">
          <cell r="B1439" t="str">
            <v>22583211701A</v>
          </cell>
          <cell r="D1439" t="str">
            <v>Pacifico S.A. Entidad Prestadora de Salud</v>
          </cell>
          <cell r="F1439" t="str">
            <v>Renta Fija</v>
          </cell>
          <cell r="Q1439" t="str">
            <v>RFLC</v>
          </cell>
        </row>
        <row r="1440">
          <cell r="B1440" t="str">
            <v>22585911901A</v>
          </cell>
          <cell r="D1440" t="str">
            <v>Palo Alto</v>
          </cell>
          <cell r="F1440" t="str">
            <v>Renta Fija</v>
          </cell>
          <cell r="Q1440" t="str">
            <v>RFLC</v>
          </cell>
        </row>
        <row r="1441">
          <cell r="B1441" t="str">
            <v>2702011INSC3</v>
          </cell>
          <cell r="D1441" t="str">
            <v>Internacional de Titulos Soc. Titulizadora</v>
          </cell>
          <cell r="F1441" t="str">
            <v>Renta Fija</v>
          </cell>
          <cell r="Q1441" t="str">
            <v>RFLC</v>
          </cell>
        </row>
        <row r="1442">
          <cell r="B1442" t="str">
            <v>22587612001A</v>
          </cell>
          <cell r="D1442" t="str">
            <v>Electro Dunas s.a.a</v>
          </cell>
          <cell r="F1442" t="str">
            <v>Renta Fija</v>
          </cell>
          <cell r="Q1442" t="str">
            <v>RFLC</v>
          </cell>
        </row>
        <row r="1443">
          <cell r="B1443" t="str">
            <v>2702011HCP1U</v>
          </cell>
          <cell r="D1443" t="str">
            <v>Internacional de Titulos Soc. Titulizadora (Promart)</v>
          </cell>
          <cell r="F1443" t="str">
            <v>Renta Fija</v>
          </cell>
          <cell r="Q1443" t="str">
            <v>RFLC</v>
          </cell>
        </row>
        <row r="1444">
          <cell r="B1444" t="str">
            <v>22582511602A</v>
          </cell>
          <cell r="D1444" t="str">
            <v>Primax</v>
          </cell>
          <cell r="F1444" t="str">
            <v>Renta Fija</v>
          </cell>
          <cell r="Q1444" t="str">
            <v>RFLC</v>
          </cell>
        </row>
        <row r="1445">
          <cell r="B1445" t="str">
            <v>22582511603A</v>
          </cell>
          <cell r="D1445" t="str">
            <v>Primax</v>
          </cell>
          <cell r="F1445" t="str">
            <v>Renta Fija</v>
          </cell>
          <cell r="Q1445" t="str">
            <v>RFLC</v>
          </cell>
        </row>
        <row r="1446">
          <cell r="B1446" t="str">
            <v>2702021CMR4A</v>
          </cell>
          <cell r="D1446" t="str">
            <v xml:space="preserve">Creditítulos Sociedad Titulizadora </v>
          </cell>
          <cell r="F1446" t="str">
            <v>Renta Fija</v>
          </cell>
          <cell r="Q1446" t="str">
            <v>RFLC</v>
          </cell>
        </row>
        <row r="1447">
          <cell r="B1447" t="str">
            <v>2702021IP01U</v>
          </cell>
          <cell r="D1447" t="str">
            <v xml:space="preserve">Creditítulos Sociedad Titulizadora </v>
          </cell>
          <cell r="F1447" t="str">
            <v>Renta Fija</v>
          </cell>
          <cell r="Q1447" t="str">
            <v>RFLC</v>
          </cell>
        </row>
        <row r="1448">
          <cell r="B1448" t="str">
            <v>2702021IP02U</v>
          </cell>
          <cell r="D1448" t="str">
            <v xml:space="preserve">Creditítulos Sociedad Titulizadora </v>
          </cell>
          <cell r="F1448" t="str">
            <v>Renta Fija</v>
          </cell>
          <cell r="Q1448" t="str">
            <v>RFLC</v>
          </cell>
        </row>
        <row r="1449">
          <cell r="B1449" t="str">
            <v>2702041AP01U</v>
          </cell>
          <cell r="D1449" t="str">
            <v xml:space="preserve">Scotia Sociedad Titulizadora </v>
          </cell>
          <cell r="F1449" t="str">
            <v>Renta Fija</v>
          </cell>
          <cell r="Q1449" t="str">
            <v>RFLC</v>
          </cell>
        </row>
        <row r="1450">
          <cell r="B1450" t="str">
            <v>2702041CM071</v>
          </cell>
          <cell r="D1450" t="str">
            <v xml:space="preserve">Scotia Sociedad Titulizadora </v>
          </cell>
          <cell r="F1450" t="str">
            <v>Renta Fija</v>
          </cell>
          <cell r="Q1450" t="str">
            <v>RFLC</v>
          </cell>
        </row>
        <row r="1451">
          <cell r="B1451" t="str">
            <v>2702041MA01U</v>
          </cell>
          <cell r="D1451" t="str">
            <v xml:space="preserve">Scotia Sociedad Titulizadora </v>
          </cell>
          <cell r="F1451" t="str">
            <v>Renta Fija</v>
          </cell>
          <cell r="Q1451" t="str">
            <v>RFLC</v>
          </cell>
        </row>
        <row r="1452">
          <cell r="B1452" t="str">
            <v>22582511904A</v>
          </cell>
          <cell r="D1452" t="str">
            <v>Primax</v>
          </cell>
          <cell r="F1452" t="str">
            <v>Renta Fija</v>
          </cell>
          <cell r="Q1452" t="str">
            <v>RFLC</v>
          </cell>
        </row>
        <row r="1453">
          <cell r="B1453" t="str">
            <v>22582511801A</v>
          </cell>
          <cell r="D1453" t="str">
            <v>Primax</v>
          </cell>
          <cell r="F1453" t="str">
            <v>Renta Fija</v>
          </cell>
          <cell r="Q1453" t="str">
            <v>RFLC</v>
          </cell>
        </row>
        <row r="1454">
          <cell r="B1454" t="str">
            <v>2721181IRCO1</v>
          </cell>
          <cell r="D1454" t="str">
            <v>TITIRSM1 - InRetail</v>
          </cell>
          <cell r="F1454" t="str">
            <v>Renta Fija</v>
          </cell>
          <cell r="Q1454" t="str">
            <v>RFLC</v>
          </cell>
        </row>
        <row r="1455">
          <cell r="B1455" t="str">
            <v>22582511802A</v>
          </cell>
          <cell r="D1455" t="str">
            <v>Primax</v>
          </cell>
          <cell r="F1455" t="str">
            <v>Renta Fija</v>
          </cell>
          <cell r="Q1455" t="str">
            <v>RFLC</v>
          </cell>
        </row>
        <row r="1456">
          <cell r="B1456" t="str">
            <v>29410110601U</v>
          </cell>
          <cell r="D1456" t="str">
            <v>Corporación Andina de Fomento</v>
          </cell>
          <cell r="F1456" t="str">
            <v>Renta Fija</v>
          </cell>
          <cell r="Q1456" t="str">
            <v>RFLC</v>
          </cell>
        </row>
        <row r="1457">
          <cell r="B1457" t="str">
            <v>29410110901A</v>
          </cell>
          <cell r="D1457" t="str">
            <v>Corporación Andina de Fomento</v>
          </cell>
          <cell r="F1457" t="str">
            <v>Renta Fija</v>
          </cell>
          <cell r="Q1457" t="str">
            <v>RFLC</v>
          </cell>
        </row>
        <row r="1458">
          <cell r="B1458" t="str">
            <v>63000211403A</v>
          </cell>
          <cell r="D1458" t="str">
            <v>Banco de Crédito del Perú</v>
          </cell>
          <cell r="F1458" t="str">
            <v>Renta Fija</v>
          </cell>
          <cell r="Q1458" t="str">
            <v>RFLC</v>
          </cell>
        </row>
        <row r="1459">
          <cell r="B1459" t="str">
            <v>63000211403B</v>
          </cell>
          <cell r="D1459" t="str">
            <v>Banco de Crédito del Perú</v>
          </cell>
          <cell r="F1459" t="str">
            <v>Renta Fija</v>
          </cell>
          <cell r="Q1459" t="str">
            <v>RFLC</v>
          </cell>
        </row>
        <row r="1460">
          <cell r="B1460" t="str">
            <v>63000211403C</v>
          </cell>
          <cell r="D1460" t="str">
            <v>Banco de Crédito del Perú</v>
          </cell>
          <cell r="F1460" t="str">
            <v>Renta Fija</v>
          </cell>
          <cell r="Q1460" t="str">
            <v>RFLC</v>
          </cell>
        </row>
        <row r="1461">
          <cell r="B1461" t="str">
            <v>63001111903A</v>
          </cell>
          <cell r="D1461" t="str">
            <v>Banco Continental</v>
          </cell>
          <cell r="F1461" t="str">
            <v>Renta Fija</v>
          </cell>
          <cell r="Q1461" t="str">
            <v>RFLC</v>
          </cell>
        </row>
        <row r="1462">
          <cell r="B1462" t="str">
            <v>63001111601A</v>
          </cell>
          <cell r="D1462" t="str">
            <v>Banco Continental</v>
          </cell>
          <cell r="F1462" t="str">
            <v>Renta Fija</v>
          </cell>
          <cell r="Q1462" t="str">
            <v>RFLC</v>
          </cell>
        </row>
        <row r="1463">
          <cell r="B1463" t="str">
            <v>63003811401A</v>
          </cell>
          <cell r="D1463" t="str">
            <v>Banco Interamericano de Finanzas</v>
          </cell>
          <cell r="F1463" t="str">
            <v>Renta Fija</v>
          </cell>
          <cell r="Q1463" t="str">
            <v>RFLC</v>
          </cell>
        </row>
        <row r="1464">
          <cell r="B1464" t="str">
            <v>63003811501C</v>
          </cell>
          <cell r="D1464" t="str">
            <v>Banco Interamericano de Finanzas</v>
          </cell>
          <cell r="F1464" t="str">
            <v>Renta Fija</v>
          </cell>
          <cell r="Q1464" t="str">
            <v>RFLC</v>
          </cell>
        </row>
        <row r="1465">
          <cell r="B1465" t="str">
            <v>63003811501D</v>
          </cell>
          <cell r="D1465" t="str">
            <v>Banco Interamericano de Finanzas</v>
          </cell>
          <cell r="F1465" t="str">
            <v>Renta Fija</v>
          </cell>
          <cell r="Q1465" t="str">
            <v>RFLC</v>
          </cell>
        </row>
        <row r="1466">
          <cell r="B1466" t="str">
            <v>63003811902A</v>
          </cell>
          <cell r="D1466" t="str">
            <v>Banco Interamericano de Finanzas</v>
          </cell>
          <cell r="F1466" t="str">
            <v>Renta Fija</v>
          </cell>
          <cell r="Q1466" t="str">
            <v>RFLC</v>
          </cell>
        </row>
        <row r="1467">
          <cell r="B1467" t="str">
            <v>63004211401D</v>
          </cell>
          <cell r="D1467" t="str">
            <v>Crediscotia Financiera</v>
          </cell>
          <cell r="F1467" t="str">
            <v>Renta Fija</v>
          </cell>
          <cell r="Q1467" t="str">
            <v>RFLC</v>
          </cell>
        </row>
        <row r="1468">
          <cell r="B1468" t="str">
            <v>63004211401E</v>
          </cell>
          <cell r="D1468" t="str">
            <v>Crediscotia Financiera</v>
          </cell>
          <cell r="F1468" t="str">
            <v>Renta Fija</v>
          </cell>
          <cell r="Q1468" t="str">
            <v>RFLC</v>
          </cell>
        </row>
        <row r="1469">
          <cell r="B1469" t="str">
            <v>63004211901A</v>
          </cell>
          <cell r="D1469" t="str">
            <v>Crediscotia Financiera</v>
          </cell>
          <cell r="F1469" t="str">
            <v>Renta Fija</v>
          </cell>
          <cell r="Q1469" t="str">
            <v>RFLC</v>
          </cell>
        </row>
        <row r="1470">
          <cell r="B1470" t="str">
            <v>63004911401A</v>
          </cell>
          <cell r="D1470" t="str">
            <v>GNB</v>
          </cell>
          <cell r="F1470" t="str">
            <v>Renta Fija</v>
          </cell>
          <cell r="Q1470" t="str">
            <v>RFLC</v>
          </cell>
        </row>
        <row r="1471">
          <cell r="B1471" t="str">
            <v>63004911402A</v>
          </cell>
          <cell r="D1471" t="str">
            <v>GNB</v>
          </cell>
          <cell r="F1471" t="str">
            <v>Renta Fija</v>
          </cell>
          <cell r="Q1471" t="str">
            <v>RFLC</v>
          </cell>
        </row>
        <row r="1472">
          <cell r="B1472" t="str">
            <v>63004911603A</v>
          </cell>
          <cell r="D1472" t="str">
            <v>GNB</v>
          </cell>
          <cell r="F1472" t="str">
            <v>Renta Fija</v>
          </cell>
          <cell r="Q1472" t="str">
            <v>RFLC</v>
          </cell>
        </row>
        <row r="1473">
          <cell r="B1473" t="str">
            <v>63004911901A</v>
          </cell>
          <cell r="D1473" t="str">
            <v>GNB</v>
          </cell>
          <cell r="F1473" t="str">
            <v>Renta Fija</v>
          </cell>
          <cell r="Q1473" t="str">
            <v>RFLC</v>
          </cell>
        </row>
        <row r="1474">
          <cell r="B1474" t="str">
            <v>25004911802A</v>
          </cell>
          <cell r="D1474" t="str">
            <v>GNB</v>
          </cell>
          <cell r="F1474" t="str">
            <v>Renta Fija</v>
          </cell>
          <cell r="Q1474" t="str">
            <v>RFLC</v>
          </cell>
        </row>
        <row r="1475">
          <cell r="B1475" t="str">
            <v>63008611503A</v>
          </cell>
          <cell r="D1475" t="str">
            <v>COFIDE</v>
          </cell>
          <cell r="F1475" t="str">
            <v>Renta Fija</v>
          </cell>
          <cell r="Q1475" t="str">
            <v>RFLC</v>
          </cell>
        </row>
        <row r="1476">
          <cell r="B1476" t="str">
            <v>63008611504A</v>
          </cell>
          <cell r="D1476" t="str">
            <v>CORPORACION FINANCIERA DE DESARROLLO</v>
          </cell>
          <cell r="F1476" t="str">
            <v>Renta Fija</v>
          </cell>
          <cell r="Q1476" t="str">
            <v>RFLC</v>
          </cell>
        </row>
        <row r="1477">
          <cell r="B1477" t="str">
            <v>63008611504B</v>
          </cell>
          <cell r="D1477" t="str">
            <v>COFIDE</v>
          </cell>
          <cell r="F1477" t="str">
            <v>Renta Fija</v>
          </cell>
          <cell r="Q1477" t="str">
            <v>RFLC</v>
          </cell>
        </row>
        <row r="1478">
          <cell r="B1478" t="str">
            <v>63008611805A</v>
          </cell>
          <cell r="D1478" t="str">
            <v>COFIDE</v>
          </cell>
          <cell r="F1478" t="str">
            <v>Renta Fija</v>
          </cell>
          <cell r="Q1478" t="str">
            <v>RFLC</v>
          </cell>
        </row>
        <row r="1479">
          <cell r="B1479" t="str">
            <v>63008711302A</v>
          </cell>
          <cell r="D1479" t="str">
            <v>Banco Falabella</v>
          </cell>
          <cell r="F1479" t="str">
            <v>Renta Fija</v>
          </cell>
          <cell r="Q1479" t="str">
            <v>RFLC</v>
          </cell>
        </row>
        <row r="1480">
          <cell r="B1480" t="str">
            <v>63008811801C</v>
          </cell>
          <cell r="D1480" t="str">
            <v>Banco Ripley</v>
          </cell>
          <cell r="F1480" t="str">
            <v>Renta Fija</v>
          </cell>
          <cell r="Q1480" t="str">
            <v>RFLC</v>
          </cell>
        </row>
        <row r="1481">
          <cell r="B1481" t="str">
            <v>63008811203A</v>
          </cell>
          <cell r="D1481" t="str">
            <v>Banco Ripley</v>
          </cell>
          <cell r="F1481" t="str">
            <v>Renta Fija</v>
          </cell>
          <cell r="Q1481" t="str">
            <v>RFLC</v>
          </cell>
        </row>
        <row r="1482">
          <cell r="B1482" t="str">
            <v>63008811401A</v>
          </cell>
          <cell r="D1482" t="str">
            <v>Banco Ripley</v>
          </cell>
          <cell r="F1482" t="str">
            <v>Renta Fija</v>
          </cell>
          <cell r="Q1482" t="str">
            <v>RFLC</v>
          </cell>
        </row>
        <row r="1483">
          <cell r="B1483" t="str">
            <v>63008811401B</v>
          </cell>
          <cell r="D1483" t="str">
            <v>Banco Ripley</v>
          </cell>
          <cell r="F1483" t="str">
            <v>Renta Fija</v>
          </cell>
          <cell r="Q1483" t="str">
            <v>RFLC</v>
          </cell>
        </row>
        <row r="1484">
          <cell r="B1484" t="str">
            <v>63008811501D</v>
          </cell>
          <cell r="D1484" t="str">
            <v>Banco Ripley</v>
          </cell>
          <cell r="F1484" t="str">
            <v>Renta Fija</v>
          </cell>
          <cell r="Q1484" t="str">
            <v>RFLC</v>
          </cell>
        </row>
        <row r="1485">
          <cell r="B1485" t="str">
            <v>63008811601F</v>
          </cell>
          <cell r="D1485" t="str">
            <v>Banco Ripley</v>
          </cell>
          <cell r="F1485" t="str">
            <v>Renta Fija</v>
          </cell>
          <cell r="Q1485" t="str">
            <v>RFLC</v>
          </cell>
        </row>
        <row r="1486">
          <cell r="B1486" t="str">
            <v>63008811601G</v>
          </cell>
          <cell r="D1486" t="str">
            <v>Banco Ripley</v>
          </cell>
          <cell r="F1486" t="str">
            <v>Renta Fija</v>
          </cell>
          <cell r="Q1486" t="str">
            <v>RFLC</v>
          </cell>
        </row>
        <row r="1487">
          <cell r="B1487" t="str">
            <v>63010011302A</v>
          </cell>
          <cell r="D1487" t="str">
            <v>Caja Municipal de Ahorro y Crédito de Arequipa</v>
          </cell>
          <cell r="F1487" t="str">
            <v>Renta Fija</v>
          </cell>
          <cell r="Q1487" t="str">
            <v>RFLC</v>
          </cell>
        </row>
        <row r="1488">
          <cell r="B1488" t="str">
            <v>63010111201B</v>
          </cell>
          <cell r="D1488" t="str">
            <v>Caja Municipal de Sullana</v>
          </cell>
          <cell r="F1488" t="str">
            <v>Renta Fija</v>
          </cell>
          <cell r="Q1488" t="str">
            <v>RFLC</v>
          </cell>
        </row>
        <row r="1489">
          <cell r="B1489" t="str">
            <v>63010211301U</v>
          </cell>
          <cell r="D1489" t="str">
            <v>Caja Municipal de Ahorro y Crédito de Huancayo</v>
          </cell>
          <cell r="F1489" t="str">
            <v>Renta Fija</v>
          </cell>
          <cell r="Q1489" t="str">
            <v>RFLC</v>
          </cell>
        </row>
        <row r="1490">
          <cell r="B1490" t="str">
            <v>63010312202D</v>
          </cell>
          <cell r="D1490" t="str">
            <v>Compartamos Financiera S.A.</v>
          </cell>
          <cell r="F1490" t="str">
            <v>Renta Fija</v>
          </cell>
          <cell r="Q1490" t="str">
            <v>RFLC</v>
          </cell>
        </row>
        <row r="1491">
          <cell r="B1491" t="str">
            <v>63010311901D</v>
          </cell>
          <cell r="D1491" t="str">
            <v>Compartamos Financiera S.A.</v>
          </cell>
          <cell r="F1491" t="str">
            <v>Renta Fija</v>
          </cell>
          <cell r="Q1491" t="str">
            <v>RFLC</v>
          </cell>
        </row>
        <row r="1492">
          <cell r="B1492" t="str">
            <v>63010311603A</v>
          </cell>
          <cell r="D1492" t="str">
            <v>Compartamos Financiera S.A.</v>
          </cell>
          <cell r="F1492" t="str">
            <v>Renta Fija</v>
          </cell>
          <cell r="Q1492" t="str">
            <v>RFLC</v>
          </cell>
        </row>
        <row r="1493">
          <cell r="B1493" t="str">
            <v>63010311703B</v>
          </cell>
          <cell r="D1493" t="str">
            <v>Compartamos Financiera S.A.</v>
          </cell>
          <cell r="F1493" t="str">
            <v>Renta Fija</v>
          </cell>
          <cell r="Q1493" t="str">
            <v>RFLC</v>
          </cell>
        </row>
        <row r="1494">
          <cell r="B1494" t="str">
            <v>63010311801B</v>
          </cell>
          <cell r="D1494" t="str">
            <v>Compartamos Financiera S.A.</v>
          </cell>
          <cell r="F1494" t="str">
            <v>Renta Fija</v>
          </cell>
          <cell r="Q1494" t="str">
            <v>RFLC</v>
          </cell>
        </row>
        <row r="1495">
          <cell r="B1495" t="str">
            <v>63010311801C</v>
          </cell>
          <cell r="D1495" t="str">
            <v>Compartamos Financiera S.A.</v>
          </cell>
          <cell r="F1495" t="str">
            <v>Renta Fija</v>
          </cell>
          <cell r="Q1495" t="str">
            <v>RFLC</v>
          </cell>
        </row>
        <row r="1496">
          <cell r="B1496" t="str">
            <v>25010311801A</v>
          </cell>
          <cell r="D1496" t="str">
            <v>Compartamos Financiera S.A.</v>
          </cell>
          <cell r="F1496" t="str">
            <v>Renta Fija</v>
          </cell>
          <cell r="Q1496" t="str">
            <v>RFLC</v>
          </cell>
        </row>
        <row r="1497">
          <cell r="B1497" t="str">
            <v>25010311902A</v>
          </cell>
          <cell r="D1497" t="str">
            <v>Compartamos Financiera S.A.</v>
          </cell>
          <cell r="F1497" t="str">
            <v>Renta Fija</v>
          </cell>
          <cell r="Q1497" t="str">
            <v>RFLC</v>
          </cell>
        </row>
        <row r="1498">
          <cell r="B1498" t="str">
            <v>63010511301U</v>
          </cell>
          <cell r="D1498" t="str">
            <v>Financiera Uno</v>
          </cell>
          <cell r="F1498" t="str">
            <v>Renta Fija</v>
          </cell>
          <cell r="Q1498" t="str">
            <v>RFLC</v>
          </cell>
        </row>
        <row r="1499">
          <cell r="B1499" t="str">
            <v>63010511401A</v>
          </cell>
          <cell r="D1499" t="str">
            <v>Financiera Uno</v>
          </cell>
          <cell r="F1499" t="str">
            <v>Renta Fija</v>
          </cell>
          <cell r="Q1499" t="str">
            <v>RFLC</v>
          </cell>
        </row>
        <row r="1500">
          <cell r="B1500" t="str">
            <v>63010511402A</v>
          </cell>
          <cell r="D1500" t="str">
            <v>Financiera Uno</v>
          </cell>
          <cell r="F1500" t="str">
            <v>Renta Fija</v>
          </cell>
          <cell r="Q1500" t="str">
            <v>RFLC</v>
          </cell>
        </row>
        <row r="1501">
          <cell r="B1501" t="str">
            <v>63010511403U</v>
          </cell>
          <cell r="D1501" t="str">
            <v>Financiera Uno</v>
          </cell>
          <cell r="F1501" t="str">
            <v>Renta Fija</v>
          </cell>
          <cell r="Q1501" t="str">
            <v>RFLC</v>
          </cell>
        </row>
        <row r="1502">
          <cell r="B1502" t="str">
            <v>63010511501A</v>
          </cell>
          <cell r="D1502" t="str">
            <v>Financiera Uno</v>
          </cell>
          <cell r="F1502" t="str">
            <v>Renta Fija</v>
          </cell>
          <cell r="Q1502" t="str">
            <v>RFLC</v>
          </cell>
        </row>
        <row r="1503">
          <cell r="B1503" t="str">
            <v>63010511504A</v>
          </cell>
          <cell r="D1503" t="str">
            <v>Financiera Uno</v>
          </cell>
          <cell r="F1503" t="str">
            <v>Renta Fija</v>
          </cell>
          <cell r="Q1503" t="str">
            <v>RFLC</v>
          </cell>
        </row>
        <row r="1504">
          <cell r="B1504" t="str">
            <v>63010511601A</v>
          </cell>
          <cell r="D1504" t="str">
            <v>Financiera Uno</v>
          </cell>
          <cell r="F1504" t="str">
            <v>Renta Fija</v>
          </cell>
          <cell r="Q1504" t="str">
            <v>RFLC</v>
          </cell>
        </row>
        <row r="1505">
          <cell r="B1505" t="str">
            <v>63010511601C</v>
          </cell>
          <cell r="D1505" t="str">
            <v>Financiera Uno</v>
          </cell>
          <cell r="F1505" t="str">
            <v>Renta Fija</v>
          </cell>
          <cell r="Q1505" t="str">
            <v>RFLC</v>
          </cell>
        </row>
        <row r="1506">
          <cell r="B1506" t="str">
            <v>63010511602A</v>
          </cell>
          <cell r="D1506" t="str">
            <v>Financiera Uno</v>
          </cell>
          <cell r="F1506" t="str">
            <v>Renta Fija</v>
          </cell>
          <cell r="Q1506" t="str">
            <v>RFLC</v>
          </cell>
        </row>
        <row r="1507">
          <cell r="B1507" t="str">
            <v>63010511801B</v>
          </cell>
          <cell r="D1507" t="str">
            <v>Financiera Uno</v>
          </cell>
          <cell r="F1507" t="str">
            <v>Renta Fija</v>
          </cell>
          <cell r="Q1507" t="str">
            <v>RFLC</v>
          </cell>
        </row>
        <row r="1508">
          <cell r="B1508" t="str">
            <v>63010611806B</v>
          </cell>
          <cell r="D1508" t="str">
            <v>Financiera Confianza</v>
          </cell>
          <cell r="F1508" t="str">
            <v>Renta Fija</v>
          </cell>
          <cell r="Q1508" t="str">
            <v>RFLC</v>
          </cell>
        </row>
        <row r="1509">
          <cell r="B1509" t="str">
            <v>63010611401A</v>
          </cell>
          <cell r="D1509" t="str">
            <v>Financiera Confianza</v>
          </cell>
          <cell r="F1509" t="str">
            <v>Renta Fija</v>
          </cell>
          <cell r="Q1509" t="str">
            <v>RFLC</v>
          </cell>
        </row>
        <row r="1510">
          <cell r="B1510" t="str">
            <v>63010611402A</v>
          </cell>
          <cell r="D1510" t="str">
            <v>Financiera Confianza</v>
          </cell>
          <cell r="F1510" t="str">
            <v>Renta Fija</v>
          </cell>
          <cell r="Q1510" t="str">
            <v>RFLC</v>
          </cell>
        </row>
        <row r="1511">
          <cell r="B1511" t="str">
            <v>63010611404B</v>
          </cell>
          <cell r="D1511" t="str">
            <v>Financiera Confianza</v>
          </cell>
          <cell r="F1511" t="str">
            <v>Renta Fija</v>
          </cell>
          <cell r="Q1511" t="str">
            <v>RFLC</v>
          </cell>
        </row>
        <row r="1512">
          <cell r="B1512" t="str">
            <v>63010611503A</v>
          </cell>
          <cell r="D1512" t="str">
            <v>Financiera Confianza</v>
          </cell>
          <cell r="F1512" t="str">
            <v>Renta Fija</v>
          </cell>
          <cell r="Q1512" t="str">
            <v>RFLC</v>
          </cell>
        </row>
        <row r="1513">
          <cell r="B1513" t="str">
            <v>63010611906E</v>
          </cell>
          <cell r="D1513" t="str">
            <v>Financiera Confianza</v>
          </cell>
          <cell r="F1513" t="str">
            <v>Renta Fija</v>
          </cell>
          <cell r="Q1513" t="str">
            <v>RFLC</v>
          </cell>
        </row>
        <row r="1514">
          <cell r="B1514" t="str">
            <v>63010611906D</v>
          </cell>
          <cell r="D1514" t="str">
            <v>Financiera Confianza</v>
          </cell>
          <cell r="F1514" t="str">
            <v>Renta Fija</v>
          </cell>
          <cell r="Q1514" t="str">
            <v>RFLC</v>
          </cell>
        </row>
        <row r="1515">
          <cell r="B1515" t="str">
            <v>76230410602D</v>
          </cell>
          <cell r="D1515" t="str">
            <v xml:space="preserve">Telefónica del Perú </v>
          </cell>
          <cell r="F1515" t="str">
            <v>Renta Fija</v>
          </cell>
          <cell r="Q1515" t="str">
            <v>RFLC</v>
          </cell>
        </row>
        <row r="1516">
          <cell r="B1516" t="str">
            <v>76230410601N</v>
          </cell>
          <cell r="D1516" t="str">
            <v xml:space="preserve">Telefónica del Perú </v>
          </cell>
          <cell r="F1516" t="str">
            <v>Renta Fija</v>
          </cell>
          <cell r="Q1516" t="str">
            <v>RFLC</v>
          </cell>
        </row>
        <row r="1517">
          <cell r="B1517" t="str">
            <v>22230411031A</v>
          </cell>
          <cell r="D1517" t="str">
            <v xml:space="preserve">Telefónica del Perú </v>
          </cell>
          <cell r="F1517" t="str">
            <v>Renta Fija</v>
          </cell>
          <cell r="Q1517" t="str">
            <v>RFLC</v>
          </cell>
        </row>
        <row r="1518">
          <cell r="B1518" t="str">
            <v>25009911403A</v>
          </cell>
          <cell r="D1518" t="str">
            <v>Edyficar</v>
          </cell>
          <cell r="F1518" t="str">
            <v>Renta Fija</v>
          </cell>
          <cell r="Q1518" t="str">
            <v>RFLC</v>
          </cell>
        </row>
        <row r="1519">
          <cell r="B1519" t="str">
            <v>63008811501C</v>
          </cell>
          <cell r="D1519" t="str">
            <v>Banco Ripley</v>
          </cell>
          <cell r="F1519" t="str">
            <v>Renta Fija</v>
          </cell>
          <cell r="Q1519" t="str">
            <v>RFLC</v>
          </cell>
        </row>
        <row r="1520">
          <cell r="B1520" t="str">
            <v>2702041OP01U</v>
          </cell>
          <cell r="D1520" t="str">
            <v xml:space="preserve">Scotia Sociedad Titulizadora </v>
          </cell>
          <cell r="F1520" t="str">
            <v>Renta Fija</v>
          </cell>
          <cell r="Q1520" t="str">
            <v>RFLC</v>
          </cell>
        </row>
        <row r="1521">
          <cell r="B1521" t="str">
            <v>21004811101A</v>
          </cell>
          <cell r="D1521" t="str">
            <v>Edyficar</v>
          </cell>
          <cell r="F1521" t="str">
            <v>Renta Fija</v>
          </cell>
          <cell r="Q1521" t="str">
            <v>RFLC</v>
          </cell>
        </row>
        <row r="1522">
          <cell r="B1522" t="str">
            <v>21004811102A</v>
          </cell>
          <cell r="D1522" t="str">
            <v>Edyficar</v>
          </cell>
          <cell r="F1522" t="str">
            <v>Renta Fija</v>
          </cell>
          <cell r="Q1522" t="str">
            <v>RFLC</v>
          </cell>
        </row>
        <row r="1523">
          <cell r="B1523" t="str">
            <v>21004811405A</v>
          </cell>
          <cell r="D1523" t="str">
            <v>Edyficar</v>
          </cell>
          <cell r="F1523" t="str">
            <v>Renta Fija</v>
          </cell>
          <cell r="Q1523" t="str">
            <v>RFLC</v>
          </cell>
        </row>
        <row r="1524">
          <cell r="B1524" t="str">
            <v>21004811405B</v>
          </cell>
          <cell r="D1524" t="str">
            <v>Edyficar</v>
          </cell>
          <cell r="F1524" t="str">
            <v>Renta Fija</v>
          </cell>
          <cell r="Q1524" t="str">
            <v>RFLC</v>
          </cell>
        </row>
        <row r="1525">
          <cell r="B1525" t="str">
            <v>22203011621A</v>
          </cell>
          <cell r="D1525" t="str">
            <v>Edelnor</v>
          </cell>
          <cell r="F1525" t="str">
            <v>Renta Fija</v>
          </cell>
          <cell r="Q1525" t="str">
            <v>RFLC</v>
          </cell>
        </row>
        <row r="1526">
          <cell r="B1526" t="str">
            <v>22203011701A</v>
          </cell>
          <cell r="D1526" t="str">
            <v>Enel Distribución Peru</v>
          </cell>
          <cell r="F1526" t="str">
            <v>Renta Fija</v>
          </cell>
          <cell r="Q1526" t="str">
            <v>RFLC</v>
          </cell>
        </row>
        <row r="1527">
          <cell r="B1527" t="str">
            <v>22203011802A</v>
          </cell>
          <cell r="D1527" t="str">
            <v>Enel Distribución Peru</v>
          </cell>
          <cell r="F1527" t="str">
            <v>Renta Fija</v>
          </cell>
          <cell r="Q1527" t="str">
            <v>RFLC</v>
          </cell>
        </row>
        <row r="1528">
          <cell r="B1528" t="str">
            <v>22203012504A</v>
          </cell>
          <cell r="D1528" t="str">
            <v>Pluz Energía Perú S.A.A</v>
          </cell>
          <cell r="F1528" t="str">
            <v>Renta Fija</v>
          </cell>
          <cell r="Q1528" t="str">
            <v>RFLC</v>
          </cell>
        </row>
        <row r="1529">
          <cell r="B1529" t="str">
            <v>25008612104A</v>
          </cell>
          <cell r="D1529" t="str">
            <v>COFIDE</v>
          </cell>
          <cell r="F1529" t="str">
            <v>Renta Fija</v>
          </cell>
          <cell r="Q1529" t="str">
            <v>RFLC</v>
          </cell>
        </row>
        <row r="1530">
          <cell r="B1530" t="str">
            <v>21000911501A</v>
          </cell>
          <cell r="D1530" t="str">
            <v>Scotiabank Peru</v>
          </cell>
          <cell r="F1530" t="str">
            <v>Renta Fija</v>
          </cell>
          <cell r="Q1530" t="str">
            <v>RFLC</v>
          </cell>
        </row>
        <row r="1531">
          <cell r="B1531" t="str">
            <v>2721181IRC1U</v>
          </cell>
          <cell r="D1531" t="str">
            <v>SINT1INR1U - InRetail</v>
          </cell>
          <cell r="F1531" t="str">
            <v>Renta Fija</v>
          </cell>
          <cell r="Q1531" t="str">
            <v>RFLC</v>
          </cell>
        </row>
        <row r="1532">
          <cell r="B1532" t="str">
            <v>22230411714A</v>
          </cell>
          <cell r="D1532" t="str">
            <v xml:space="preserve">Telefónica del Perú </v>
          </cell>
          <cell r="F1532" t="str">
            <v>Renta Fija</v>
          </cell>
          <cell r="Q1532" t="str">
            <v>RFLC</v>
          </cell>
        </row>
        <row r="1533">
          <cell r="B1533" t="str">
            <v>22230411712A</v>
          </cell>
          <cell r="D1533" t="str">
            <v xml:space="preserve">Telefónica del Perú </v>
          </cell>
          <cell r="F1533" t="str">
            <v>Renta Fija</v>
          </cell>
          <cell r="Q1533" t="str">
            <v>RFLC</v>
          </cell>
        </row>
        <row r="1534">
          <cell r="B1534" t="str">
            <v>63010511601B</v>
          </cell>
          <cell r="D1534" t="str">
            <v>Financiera Uno</v>
          </cell>
          <cell r="F1534" t="str">
            <v>Renta Fija</v>
          </cell>
          <cell r="Q1534" t="str">
            <v>RFLC</v>
          </cell>
        </row>
        <row r="1535">
          <cell r="B1535" t="str">
            <v>2702041IPS1U</v>
          </cell>
          <cell r="D1535" t="str">
            <v xml:space="preserve">Scotia Sociedad Titulizadora </v>
          </cell>
          <cell r="F1535" t="str">
            <v>Renta Fija</v>
          </cell>
          <cell r="Q1535" t="str">
            <v>RFLC</v>
          </cell>
        </row>
        <row r="1536">
          <cell r="B1536" t="str">
            <v>22202110910A</v>
          </cell>
          <cell r="D1536" t="str">
            <v>Gloria</v>
          </cell>
          <cell r="F1536" t="str">
            <v>Renta Fija</v>
          </cell>
          <cell r="Q1536" t="str">
            <v>RFLC</v>
          </cell>
        </row>
        <row r="1537">
          <cell r="B1537" t="str">
            <v>22230411129A</v>
          </cell>
          <cell r="D1537" t="str">
            <v xml:space="preserve">Telefónica del Perú </v>
          </cell>
          <cell r="F1537" t="str">
            <v>Renta Fija</v>
          </cell>
          <cell r="Q1537" t="str">
            <v>RFLC</v>
          </cell>
        </row>
        <row r="1538">
          <cell r="B1538" t="str">
            <v>25008711101A</v>
          </cell>
          <cell r="D1538" t="str">
            <v>Banco Falabella</v>
          </cell>
          <cell r="F1538" t="str">
            <v>Renta Fija</v>
          </cell>
          <cell r="Q1538" t="str">
            <v>RFLC</v>
          </cell>
        </row>
        <row r="1539">
          <cell r="B1539" t="str">
            <v>25000211109A</v>
          </cell>
          <cell r="D1539" t="str">
            <v>Banco de Crédito del Perú</v>
          </cell>
          <cell r="F1539" t="str">
            <v>Renta Fija</v>
          </cell>
          <cell r="Q1539" t="str">
            <v>RFLC</v>
          </cell>
        </row>
        <row r="1540">
          <cell r="B1540" t="str">
            <v>63010611504A</v>
          </cell>
          <cell r="D1540" t="str">
            <v>Financiera Confianza</v>
          </cell>
          <cell r="F1540" t="str">
            <v>Renta Fija</v>
          </cell>
          <cell r="Q1540" t="str">
            <v>RFLC</v>
          </cell>
        </row>
        <row r="1541">
          <cell r="B1541" t="str">
            <v>63010611504B</v>
          </cell>
          <cell r="D1541" t="str">
            <v>Financiera Confianza</v>
          </cell>
          <cell r="F1541" t="str">
            <v>Renta Fija</v>
          </cell>
          <cell r="Q1541" t="str">
            <v>RFLC</v>
          </cell>
        </row>
        <row r="1542">
          <cell r="B1542" t="str">
            <v>63010611706A</v>
          </cell>
          <cell r="D1542" t="str">
            <v>Financiera Confianza</v>
          </cell>
          <cell r="F1542" t="str">
            <v>Renta Fija</v>
          </cell>
          <cell r="Q1542" t="str">
            <v>RFLC</v>
          </cell>
        </row>
        <row r="1543">
          <cell r="B1543" t="str">
            <v>63010611704D</v>
          </cell>
          <cell r="D1543" t="str">
            <v>Financiera Confianza</v>
          </cell>
          <cell r="F1543" t="str">
            <v>Renta Fija</v>
          </cell>
          <cell r="Q1543" t="str">
            <v>RFLC</v>
          </cell>
        </row>
        <row r="1544">
          <cell r="B1544" t="str">
            <v>63010611906C</v>
          </cell>
          <cell r="D1544" t="str">
            <v>Financiera Confianza</v>
          </cell>
          <cell r="F1544" t="str">
            <v>Renta Fija</v>
          </cell>
          <cell r="Q1544" t="str">
            <v>RFLC</v>
          </cell>
        </row>
        <row r="1545">
          <cell r="B1545" t="str">
            <v>63010511531A</v>
          </cell>
          <cell r="D1545" t="str">
            <v>Financiera Uno</v>
          </cell>
          <cell r="F1545" t="str">
            <v>Renta Fija</v>
          </cell>
          <cell r="Q1545" t="str">
            <v>RFLC</v>
          </cell>
        </row>
        <row r="1546">
          <cell r="B1546" t="str">
            <v>25004811403A</v>
          </cell>
          <cell r="D1546" t="str">
            <v>Edyficar</v>
          </cell>
          <cell r="F1546" t="str">
            <v>Renta Fija</v>
          </cell>
          <cell r="Q1546" t="str">
            <v>RFLC</v>
          </cell>
        </row>
        <row r="1547">
          <cell r="B1547" t="str">
            <v>63008811601H</v>
          </cell>
          <cell r="D1547" t="str">
            <v>Banco Ripley</v>
          </cell>
          <cell r="F1547" t="str">
            <v>Renta Fija</v>
          </cell>
          <cell r="Q1547" t="str">
            <v>RFLC</v>
          </cell>
        </row>
        <row r="1548">
          <cell r="B1548" t="str">
            <v>63008811701A</v>
          </cell>
          <cell r="D1548" t="str">
            <v>Banco Ripley</v>
          </cell>
          <cell r="F1548" t="str">
            <v>Renta Fija</v>
          </cell>
          <cell r="Q1548" t="str">
            <v>RFLC</v>
          </cell>
        </row>
        <row r="1549">
          <cell r="B1549" t="str">
            <v>63008811701I</v>
          </cell>
          <cell r="D1549" t="str">
            <v>Banco Ripley</v>
          </cell>
          <cell r="F1549" t="str">
            <v>Renta Fija</v>
          </cell>
          <cell r="Q1549" t="str">
            <v>RFLC</v>
          </cell>
        </row>
        <row r="1550">
          <cell r="B1550" t="str">
            <v>63008811701K</v>
          </cell>
          <cell r="D1550" t="str">
            <v>Banco Ripley</v>
          </cell>
          <cell r="F1550" t="str">
            <v>Renta Fija</v>
          </cell>
          <cell r="Q1550" t="str">
            <v>RFLC</v>
          </cell>
        </row>
        <row r="1551">
          <cell r="B1551" t="str">
            <v>63008811701J</v>
          </cell>
          <cell r="D1551" t="str">
            <v>Banco Ripley</v>
          </cell>
          <cell r="F1551" t="str">
            <v>Renta Fija</v>
          </cell>
          <cell r="Q1551" t="str">
            <v>RFLC</v>
          </cell>
        </row>
        <row r="1552">
          <cell r="B1552" t="str">
            <v>63003811401B</v>
          </cell>
          <cell r="D1552" t="str">
            <v>Banco Interamericano de Finanzas</v>
          </cell>
          <cell r="F1552" t="str">
            <v>Renta Fija</v>
          </cell>
          <cell r="Q1552" t="str">
            <v>RFLC</v>
          </cell>
        </row>
        <row r="1553">
          <cell r="B1553" t="str">
            <v>63003811702A</v>
          </cell>
          <cell r="D1553" t="str">
            <v>Banco Interamericano de Finanzas</v>
          </cell>
          <cell r="F1553" t="str">
            <v>Renta Fija</v>
          </cell>
          <cell r="Q1553" t="str">
            <v>RFLC</v>
          </cell>
        </row>
        <row r="1554">
          <cell r="B1554" t="str">
            <v>63010511703A</v>
          </cell>
          <cell r="D1554" t="str">
            <v>Financiera OH</v>
          </cell>
          <cell r="F1554" t="str">
            <v>Renta Fija</v>
          </cell>
          <cell r="Q1554" t="str">
            <v>RFLC</v>
          </cell>
        </row>
        <row r="1555">
          <cell r="B1555" t="str">
            <v>63010511702A</v>
          </cell>
          <cell r="D1555" t="str">
            <v>Financiera OH</v>
          </cell>
          <cell r="F1555" t="str">
            <v>Renta Fija</v>
          </cell>
          <cell r="Q1555" t="str">
            <v>RFLC</v>
          </cell>
        </row>
        <row r="1556">
          <cell r="B1556" t="str">
            <v>63010511802D</v>
          </cell>
          <cell r="D1556" t="str">
            <v>Financiera OH</v>
          </cell>
          <cell r="F1556" t="str">
            <v>Renta Fija</v>
          </cell>
          <cell r="Q1556" t="str">
            <v>RFLC</v>
          </cell>
        </row>
        <row r="1557">
          <cell r="B1557" t="str">
            <v>25010511701B</v>
          </cell>
          <cell r="D1557" t="str">
            <v>Financiera OH</v>
          </cell>
          <cell r="F1557" t="str">
            <v>Renta Fija</v>
          </cell>
          <cell r="Q1557" t="str">
            <v>RFLC</v>
          </cell>
        </row>
        <row r="1558">
          <cell r="B1558" t="str">
            <v>25010511702A</v>
          </cell>
          <cell r="D1558" t="str">
            <v>Financiera OH</v>
          </cell>
          <cell r="F1558" t="str">
            <v>Renta Fija</v>
          </cell>
          <cell r="Q1558" t="str">
            <v>RFLC</v>
          </cell>
        </row>
        <row r="1559">
          <cell r="B1559" t="str">
            <v>25010512102A</v>
          </cell>
          <cell r="D1559" t="str">
            <v>Financiera OH</v>
          </cell>
          <cell r="F1559" t="str">
            <v>Renta Fija</v>
          </cell>
          <cell r="Q1559" t="str">
            <v>RFLC</v>
          </cell>
        </row>
        <row r="1560">
          <cell r="B1560" t="str">
            <v>25010511903A</v>
          </cell>
          <cell r="D1560" t="str">
            <v>Financiera OH</v>
          </cell>
          <cell r="F1560" t="str">
            <v>Renta Fija</v>
          </cell>
          <cell r="Q1560" t="str">
            <v>RFLC</v>
          </cell>
        </row>
        <row r="1561">
          <cell r="B1561" t="str">
            <v>63010511702B</v>
          </cell>
          <cell r="D1561" t="str">
            <v>Financiera OH</v>
          </cell>
          <cell r="F1561" t="str">
            <v>Renta Fija</v>
          </cell>
          <cell r="Q1561" t="str">
            <v>RFLC</v>
          </cell>
        </row>
        <row r="1562">
          <cell r="B1562" t="str">
            <v>63010511801D</v>
          </cell>
          <cell r="D1562" t="str">
            <v>Financiera OH</v>
          </cell>
          <cell r="F1562" t="str">
            <v>Renta Fija</v>
          </cell>
          <cell r="Q1562" t="str">
            <v>RFLC</v>
          </cell>
        </row>
        <row r="1563">
          <cell r="B1563" t="str">
            <v>23583411902B</v>
          </cell>
          <cell r="D1563" t="str">
            <v>Edpyme Santander Consumo Perú</v>
          </cell>
          <cell r="F1563" t="str">
            <v>Renta Fija</v>
          </cell>
          <cell r="Q1563" t="str">
            <v>RFLC</v>
          </cell>
        </row>
        <row r="1564">
          <cell r="B1564" t="str">
            <v>23583411701A</v>
          </cell>
          <cell r="D1564" t="str">
            <v>Edpyme Santander Consumo Perú</v>
          </cell>
          <cell r="F1564" t="str">
            <v>Renta Fija</v>
          </cell>
          <cell r="Q1564" t="str">
            <v>RFLC</v>
          </cell>
        </row>
        <row r="1565">
          <cell r="B1565" t="str">
            <v>23583411802A</v>
          </cell>
          <cell r="D1565" t="str">
            <v>Edpyme Santander Consumo Perú</v>
          </cell>
          <cell r="F1565" t="str">
            <v>Renta Fija</v>
          </cell>
          <cell r="Q1565" t="str">
            <v>RFLC</v>
          </cell>
        </row>
        <row r="1566">
          <cell r="B1566" t="str">
            <v>23583411803A</v>
          </cell>
          <cell r="D1566" t="str">
            <v>Edpyme Santander Consumo Perú</v>
          </cell>
          <cell r="F1566" t="str">
            <v>Renta Fija</v>
          </cell>
          <cell r="Q1566" t="str">
            <v>RFLC</v>
          </cell>
        </row>
        <row r="1567">
          <cell r="B1567" t="str">
            <v>23583411904A</v>
          </cell>
          <cell r="D1567" t="str">
            <v>Edpyme Santander Consumo Perú</v>
          </cell>
          <cell r="F1567" t="str">
            <v>Renta Fija</v>
          </cell>
          <cell r="Q1567" t="str">
            <v>RFLC</v>
          </cell>
        </row>
        <row r="1568">
          <cell r="B1568" t="str">
            <v>23583411901B</v>
          </cell>
          <cell r="D1568" t="str">
            <v>Edpyme Santander Consumo Perú</v>
          </cell>
          <cell r="F1568" t="str">
            <v>Renta Fija</v>
          </cell>
          <cell r="Q1568" t="str">
            <v>RFLC</v>
          </cell>
        </row>
        <row r="1569">
          <cell r="B1569" t="str">
            <v>21004812101A</v>
          </cell>
          <cell r="D1569" t="str">
            <v>Mibanco</v>
          </cell>
          <cell r="F1569" t="str">
            <v>Renta Fija</v>
          </cell>
          <cell r="Q1569" t="str">
            <v>RFLC</v>
          </cell>
        </row>
        <row r="1570">
          <cell r="B1570" t="str">
            <v>2702011IS11A</v>
          </cell>
          <cell r="D1570" t="str">
            <v>Internacional de Titulos Soc. Titulizadora</v>
          </cell>
          <cell r="F1570" t="str">
            <v>Renta Fija</v>
          </cell>
          <cell r="Q1570" t="str">
            <v>RFLC</v>
          </cell>
        </row>
        <row r="1571">
          <cell r="B1571" t="str">
            <v>22206111702A</v>
          </cell>
          <cell r="D1571" t="str">
            <v xml:space="preserve">Energía del Sur </v>
          </cell>
          <cell r="F1571" t="str">
            <v>Renta Fija</v>
          </cell>
          <cell r="Q1571" t="str">
            <v>RFLC</v>
          </cell>
        </row>
        <row r="1572">
          <cell r="B1572" t="str">
            <v>22230411801A</v>
          </cell>
          <cell r="D1572" t="str">
            <v xml:space="preserve">Telefónica del Perú </v>
          </cell>
          <cell r="F1572" t="str">
            <v>Renta Fija</v>
          </cell>
          <cell r="Q1572" t="str">
            <v>RFLC</v>
          </cell>
        </row>
        <row r="1573">
          <cell r="B1573" t="str">
            <v>22230411711B</v>
          </cell>
          <cell r="D1573" t="str">
            <v xml:space="preserve">Telefónica del Perú </v>
          </cell>
          <cell r="F1573" t="str">
            <v>Renta Fija</v>
          </cell>
          <cell r="Q1573" t="str">
            <v>RFLC</v>
          </cell>
        </row>
        <row r="1574">
          <cell r="B1574" t="str">
            <v>2702041CCPN1</v>
          </cell>
          <cell r="D1574" t="str">
            <v xml:space="preserve">Scotia Sociedad Titulizadora </v>
          </cell>
          <cell r="F1574" t="str">
            <v>Renta Fija</v>
          </cell>
          <cell r="Q1574" t="str">
            <v>RFLC</v>
          </cell>
        </row>
        <row r="1575">
          <cell r="B1575" t="str">
            <v>25010511802B</v>
          </cell>
          <cell r="D1575" t="str">
            <v>Financiera OH</v>
          </cell>
          <cell r="F1575" t="str">
            <v>Renta Fija</v>
          </cell>
          <cell r="Q1575" t="str">
            <v>RFLC</v>
          </cell>
        </row>
        <row r="1576">
          <cell r="B1576" t="str">
            <v>25001111801A</v>
          </cell>
          <cell r="D1576" t="str">
            <v>Banco Continental</v>
          </cell>
          <cell r="F1576" t="str">
            <v>Renta Fija</v>
          </cell>
          <cell r="Q1576" t="str">
            <v>RFLC</v>
          </cell>
        </row>
        <row r="1577">
          <cell r="B1577" t="str">
            <v>25001111801B</v>
          </cell>
          <cell r="D1577" t="str">
            <v>Banco Continental</v>
          </cell>
          <cell r="F1577" t="str">
            <v>Renta Fija</v>
          </cell>
          <cell r="Q1577" t="str">
            <v>RFLC</v>
          </cell>
        </row>
        <row r="1578">
          <cell r="B1578" t="str">
            <v>22206111803B</v>
          </cell>
          <cell r="D1578" t="str">
            <v xml:space="preserve">Energía del Sur </v>
          </cell>
          <cell r="F1578" t="str">
            <v>Renta Fija</v>
          </cell>
          <cell r="Q1578" t="str">
            <v>RFLC</v>
          </cell>
        </row>
        <row r="1579">
          <cell r="B1579" t="str">
            <v>25001111801C</v>
          </cell>
          <cell r="D1579" t="str">
            <v>Banco Continental</v>
          </cell>
          <cell r="F1579" t="str">
            <v>Renta Fija</v>
          </cell>
          <cell r="Q1579" t="str">
            <v>RFLC</v>
          </cell>
        </row>
        <row r="1580">
          <cell r="B1580" t="str">
            <v>25001111802B</v>
          </cell>
          <cell r="D1580" t="str">
            <v>Banco Continental</v>
          </cell>
          <cell r="F1580" t="str">
            <v>Renta Fija</v>
          </cell>
          <cell r="Q1580" t="str">
            <v>RFLC</v>
          </cell>
        </row>
        <row r="1581">
          <cell r="B1581" t="str">
            <v>22230411715A</v>
          </cell>
          <cell r="D1581" t="str">
            <v xml:space="preserve">Telefónica del Perú </v>
          </cell>
          <cell r="F1581" t="str">
            <v>Renta Fija</v>
          </cell>
          <cell r="Q1581" t="str">
            <v>RFLC</v>
          </cell>
        </row>
        <row r="1582">
          <cell r="B1582" t="str">
            <v>22230411816A</v>
          </cell>
          <cell r="D1582" t="str">
            <v xml:space="preserve">Telefónica del Perú </v>
          </cell>
          <cell r="F1582" t="str">
            <v>Renta Fija</v>
          </cell>
          <cell r="Q1582" t="str">
            <v>RFLC</v>
          </cell>
        </row>
        <row r="1583">
          <cell r="B1583" t="str">
            <v>22586511901A</v>
          </cell>
          <cell r="D1583" t="str">
            <v>Tecsup</v>
          </cell>
          <cell r="F1583" t="str">
            <v>Renta Fija</v>
          </cell>
          <cell r="Q1583" t="str">
            <v>RFLC</v>
          </cell>
        </row>
        <row r="1584">
          <cell r="B1584" t="str">
            <v>25010411801A</v>
          </cell>
          <cell r="D1584" t="str">
            <v>Financiera Efectiva</v>
          </cell>
          <cell r="F1584" t="str">
            <v>Renta Fija</v>
          </cell>
          <cell r="Q1584" t="str">
            <v>RFLC</v>
          </cell>
        </row>
        <row r="1585">
          <cell r="B1585" t="str">
            <v>2721171IRSM1</v>
          </cell>
          <cell r="D1585" t="str">
            <v>TITIRSM1 - InRetail</v>
          </cell>
          <cell r="F1585" t="str">
            <v>Renta Fija</v>
          </cell>
          <cell r="Q1585" t="str">
            <v>RFLC</v>
          </cell>
        </row>
        <row r="1586">
          <cell r="B1586" t="str">
            <v>23201111801A</v>
          </cell>
          <cell r="D1586" t="str">
            <v xml:space="preserve">Alicorp </v>
          </cell>
          <cell r="F1586" t="str">
            <v>Renta Fija</v>
          </cell>
          <cell r="Q1586" t="str">
            <v>RFLC</v>
          </cell>
        </row>
        <row r="1587">
          <cell r="B1587" t="str">
            <v>210002162267</v>
          </cell>
          <cell r="D1587" t="str">
            <v>Banco de Crédito del Perú</v>
          </cell>
          <cell r="F1587" t="str">
            <v>Renta Fija</v>
          </cell>
          <cell r="Q1587" t="str">
            <v>RFLC</v>
          </cell>
        </row>
        <row r="1588">
          <cell r="B1588" t="str">
            <v>210002162937</v>
          </cell>
          <cell r="D1588" t="str">
            <v>Banco de Crédito del Perú</v>
          </cell>
          <cell r="F1588" t="str">
            <v>Renta Fija</v>
          </cell>
          <cell r="Q1588" t="str">
            <v>RFLC</v>
          </cell>
        </row>
        <row r="1589">
          <cell r="B1589" t="str">
            <v>2220111KDW01</v>
          </cell>
          <cell r="D1589" t="str">
            <v xml:space="preserve">Alicorp </v>
          </cell>
          <cell r="F1589" t="str">
            <v>Renta Fija</v>
          </cell>
          <cell r="Q1589" t="str">
            <v>RFLC</v>
          </cell>
        </row>
        <row r="1590">
          <cell r="B1590" t="str">
            <v>2500021V2B09</v>
          </cell>
          <cell r="D1590" t="str">
            <v>Banco de Crédito del Perú</v>
          </cell>
          <cell r="F1590" t="str">
            <v>Renta Fija</v>
          </cell>
          <cell r="Q1590" t="str">
            <v>RFLC</v>
          </cell>
        </row>
        <row r="1591">
          <cell r="B1591" t="str">
            <v>2500021V2F13</v>
          </cell>
          <cell r="D1591" t="str">
            <v>Banco de Crédito del Perú</v>
          </cell>
          <cell r="F1591" t="str">
            <v>Renta Fija</v>
          </cell>
          <cell r="Q1591" t="str">
            <v>RFLC</v>
          </cell>
        </row>
        <row r="1592">
          <cell r="B1592" t="str">
            <v>222304105SUN</v>
          </cell>
          <cell r="D1592" t="str">
            <v xml:space="preserve">Telefónica del Perú </v>
          </cell>
          <cell r="F1592" t="str">
            <v>Renta Fija</v>
          </cell>
          <cell r="Q1592" t="str">
            <v>RFLC</v>
          </cell>
        </row>
        <row r="1593">
          <cell r="B1593" t="str">
            <v>2721171IRSM3</v>
          </cell>
          <cell r="D1593" t="str">
            <v>InRetail Shopping Malls</v>
          </cell>
          <cell r="F1593" t="str">
            <v>Renta Fija</v>
          </cell>
          <cell r="Q1593" t="str">
            <v>RFLC</v>
          </cell>
        </row>
        <row r="1594">
          <cell r="B1594" t="str">
            <v>2721171IRSM2</v>
          </cell>
          <cell r="D1594" t="str">
            <v>InRetail Shopping Malls</v>
          </cell>
          <cell r="F1594" t="str">
            <v>Renta Fija</v>
          </cell>
          <cell r="Q1594" t="str">
            <v>RFLC</v>
          </cell>
        </row>
        <row r="1595">
          <cell r="B1595" t="str">
            <v>13210519AD50</v>
          </cell>
          <cell r="D1595" t="str">
            <v>Fondo Mi Vivienda</v>
          </cell>
          <cell r="F1595" t="str">
            <v>Renta Fija</v>
          </cell>
          <cell r="Q1595" t="str">
            <v>RFLC</v>
          </cell>
        </row>
        <row r="1596">
          <cell r="B1596" t="str">
            <v>22211619AA48</v>
          </cell>
          <cell r="D1596" t="str">
            <v>Rutas de Lima</v>
          </cell>
          <cell r="F1596" t="str">
            <v>Renta Fija</v>
          </cell>
          <cell r="Q1596" t="str">
            <v>RFLC</v>
          </cell>
        </row>
        <row r="1597">
          <cell r="B1597" t="str">
            <v>2500021JCK99</v>
          </cell>
          <cell r="D1597" t="str">
            <v>Banco de Crédito del Perú</v>
          </cell>
          <cell r="F1597" t="str">
            <v>Renta Fija</v>
          </cell>
          <cell r="Q1597" t="str">
            <v>RFLC</v>
          </cell>
        </row>
        <row r="1598">
          <cell r="B1598" t="str">
            <v>225917115156</v>
          </cell>
          <cell r="D1598" t="str">
            <v>Site del Perú</v>
          </cell>
          <cell r="F1598" t="str">
            <v>Renta Fija</v>
          </cell>
          <cell r="Q1598" t="str">
            <v>RFLC</v>
          </cell>
        </row>
        <row r="1599">
          <cell r="B1599" t="str">
            <v>2223041GAR67</v>
          </cell>
          <cell r="D1599" t="str">
            <v xml:space="preserve">Telefónica del Perú </v>
          </cell>
          <cell r="F1599" t="str">
            <v>Renta Fija</v>
          </cell>
          <cell r="Q1599" t="str">
            <v>RFLC</v>
          </cell>
        </row>
        <row r="1600">
          <cell r="B1600" t="str">
            <v>274304115N22</v>
          </cell>
          <cell r="D1600" t="str">
            <v xml:space="preserve">CRPAO Pen Trust </v>
          </cell>
          <cell r="F1600" t="str">
            <v>Renta Fija</v>
          </cell>
          <cell r="Q1600" t="str">
            <v>RFLC</v>
          </cell>
        </row>
        <row r="1601">
          <cell r="B1601" t="str">
            <v>274307120991</v>
          </cell>
          <cell r="D1601" t="str">
            <v>Emblem Finance</v>
          </cell>
          <cell r="F1601" t="str">
            <v>Renta Fija</v>
          </cell>
          <cell r="Q1601" t="str">
            <v>RFLC</v>
          </cell>
        </row>
        <row r="1602">
          <cell r="B1602" t="str">
            <v>560001115G16</v>
          </cell>
          <cell r="D1602" t="str">
            <v>Gobierno Central</v>
          </cell>
          <cell r="F1602" t="str">
            <v>Renta Fija</v>
          </cell>
          <cell r="Q1602" t="str">
            <v>RFLG</v>
          </cell>
        </row>
        <row r="1603">
          <cell r="B1603" t="str">
            <v>560001120L16</v>
          </cell>
          <cell r="D1603" t="str">
            <v>Gobierno Central</v>
          </cell>
          <cell r="F1603" t="str">
            <v>Renta Fija</v>
          </cell>
          <cell r="Q1603" t="str">
            <v>RFLG</v>
          </cell>
        </row>
        <row r="1604">
          <cell r="B1604" t="str">
            <v>640001109M17</v>
          </cell>
          <cell r="D1604" t="str">
            <v>Gobierno Central</v>
          </cell>
          <cell r="F1604" t="str">
            <v>Renta Fija</v>
          </cell>
          <cell r="Q1604" t="str">
            <v>RFLG</v>
          </cell>
        </row>
        <row r="1605">
          <cell r="B1605" t="str">
            <v>640001106F14</v>
          </cell>
          <cell r="D1605" t="str">
            <v>Gobierno Central</v>
          </cell>
          <cell r="F1605" t="str">
            <v>Renta Fija</v>
          </cell>
          <cell r="Q1605" t="str">
            <v>RFLG</v>
          </cell>
        </row>
        <row r="1606">
          <cell r="B1606" t="str">
            <v>640001106N14</v>
          </cell>
          <cell r="D1606" t="str">
            <v>Gobierno Central</v>
          </cell>
          <cell r="F1606" t="str">
            <v>Renta Fija</v>
          </cell>
          <cell r="Q1606" t="str">
            <v>RFLG</v>
          </cell>
        </row>
        <row r="1607">
          <cell r="B1607" t="str">
            <v>640001107G14</v>
          </cell>
          <cell r="D1607" t="str">
            <v>Gobierno Central</v>
          </cell>
          <cell r="F1607" t="str">
            <v>Renta Fija</v>
          </cell>
          <cell r="Q1607" t="str">
            <v>RFLG</v>
          </cell>
        </row>
        <row r="1608">
          <cell r="B1608" t="str">
            <v>640001107S17</v>
          </cell>
          <cell r="D1608" t="str">
            <v>Gobierno Central</v>
          </cell>
          <cell r="F1608" t="str">
            <v>Renta Fija</v>
          </cell>
          <cell r="Q1608" t="str">
            <v>RFLG</v>
          </cell>
        </row>
        <row r="1609">
          <cell r="B1609" t="str">
            <v>640001107Y15</v>
          </cell>
          <cell r="D1609" t="str">
            <v>Gobierno Central</v>
          </cell>
          <cell r="F1609" t="str">
            <v>Renta Fija</v>
          </cell>
          <cell r="Q1609" t="str">
            <v>RFLG</v>
          </cell>
        </row>
        <row r="1610">
          <cell r="B1610" t="str">
            <v>640001108E15</v>
          </cell>
          <cell r="D1610" t="str">
            <v>Gobierno Central</v>
          </cell>
          <cell r="F1610" t="str">
            <v>Renta Fija</v>
          </cell>
          <cell r="Q1610" t="str">
            <v>RFLG</v>
          </cell>
        </row>
        <row r="1611">
          <cell r="B1611" t="str">
            <v>640001108F18</v>
          </cell>
          <cell r="D1611" t="str">
            <v>Gobierno Central</v>
          </cell>
          <cell r="F1611" t="str">
            <v>Renta Fija</v>
          </cell>
          <cell r="Q1611" t="str">
            <v>RFLG</v>
          </cell>
        </row>
        <row r="1612">
          <cell r="B1612" t="str">
            <v>640001108M18</v>
          </cell>
          <cell r="D1612" t="str">
            <v>Gobierno Central</v>
          </cell>
          <cell r="F1612" t="str">
            <v>Renta Fija</v>
          </cell>
          <cell r="Q1612" t="str">
            <v>RFLG</v>
          </cell>
        </row>
        <row r="1613">
          <cell r="B1613" t="str">
            <v>640001108Y14</v>
          </cell>
          <cell r="D1613" t="str">
            <v>Gobierno Central</v>
          </cell>
          <cell r="F1613" t="str">
            <v>Renta Fija</v>
          </cell>
          <cell r="Q1613" t="str">
            <v>RFLG</v>
          </cell>
        </row>
        <row r="1614">
          <cell r="B1614" t="str">
            <v>640001109A15</v>
          </cell>
          <cell r="D1614" t="str">
            <v>Gobierno Central</v>
          </cell>
          <cell r="F1614" t="str">
            <v>Renta Fija</v>
          </cell>
          <cell r="Q1614" t="str">
            <v>RFLG</v>
          </cell>
        </row>
        <row r="1615">
          <cell r="B1615" t="str">
            <v>640001109F17</v>
          </cell>
          <cell r="D1615" t="str">
            <v>Gobierno Central</v>
          </cell>
          <cell r="F1615" t="str">
            <v>Renta Fija</v>
          </cell>
          <cell r="Q1615" t="str">
            <v>RFLG</v>
          </cell>
        </row>
        <row r="1616">
          <cell r="B1616" t="str">
            <v>640001109L15</v>
          </cell>
          <cell r="D1616" t="str">
            <v>Gobierno Central</v>
          </cell>
          <cell r="F1616" t="str">
            <v>Renta Fija</v>
          </cell>
          <cell r="Q1616" t="str">
            <v>RFLG</v>
          </cell>
        </row>
        <row r="1617">
          <cell r="B1617" t="str">
            <v>640001110A14</v>
          </cell>
          <cell r="D1617" t="str">
            <v>Gobierno Central</v>
          </cell>
          <cell r="F1617" t="str">
            <v>Renta Fija</v>
          </cell>
          <cell r="Q1617" t="str">
            <v>RFLG</v>
          </cell>
        </row>
        <row r="1618">
          <cell r="B1618" t="str">
            <v>640001110G17</v>
          </cell>
          <cell r="D1618" t="str">
            <v>Gobierno Central</v>
          </cell>
          <cell r="F1618" t="str">
            <v>Renta Fija</v>
          </cell>
          <cell r="Q1618" t="str">
            <v>RFLG</v>
          </cell>
        </row>
        <row r="1619">
          <cell r="B1619" t="str">
            <v>640001111D14</v>
          </cell>
          <cell r="D1619" t="str">
            <v>Gobierno Central</v>
          </cell>
          <cell r="F1619" t="str">
            <v>Renta Fija</v>
          </cell>
          <cell r="Q1619" t="str">
            <v>RFLG</v>
          </cell>
        </row>
        <row r="1620">
          <cell r="B1620" t="str">
            <v>640001111J15</v>
          </cell>
          <cell r="D1620" t="str">
            <v>Gobierno Central</v>
          </cell>
          <cell r="F1620" t="str">
            <v>Renta Fija</v>
          </cell>
          <cell r="Q1620" t="str">
            <v>RFLG</v>
          </cell>
        </row>
        <row r="1621">
          <cell r="B1621" t="str">
            <v>640001111S14</v>
          </cell>
          <cell r="D1621" t="str">
            <v>Gobierno Central</v>
          </cell>
          <cell r="F1621" t="str">
            <v>Renta Fija</v>
          </cell>
          <cell r="Q1621" t="str">
            <v>RFLG</v>
          </cell>
        </row>
        <row r="1622">
          <cell r="B1622" t="str">
            <v>640001112F15</v>
          </cell>
          <cell r="D1622" t="str">
            <v>Gobierno Central</v>
          </cell>
          <cell r="F1622" t="str">
            <v>Renta Fija</v>
          </cell>
          <cell r="Q1622" t="str">
            <v>RFLG</v>
          </cell>
        </row>
        <row r="1623">
          <cell r="B1623" t="str">
            <v>640001112J14</v>
          </cell>
          <cell r="D1623" t="str">
            <v>Gobierno Central</v>
          </cell>
          <cell r="F1623" t="str">
            <v>Renta Fija</v>
          </cell>
          <cell r="Q1623" t="str">
            <v>RFLG</v>
          </cell>
        </row>
        <row r="1624">
          <cell r="B1624" t="str">
            <v>640001113D16</v>
          </cell>
          <cell r="D1624" t="str">
            <v>Gobierno Central</v>
          </cell>
          <cell r="F1624" t="str">
            <v>Renta Fija</v>
          </cell>
          <cell r="Q1624" t="str">
            <v>RFLG</v>
          </cell>
        </row>
        <row r="1625">
          <cell r="B1625" t="str">
            <v>640001113M14</v>
          </cell>
          <cell r="D1625" t="str">
            <v>Gobierno Central</v>
          </cell>
          <cell r="F1625" t="str">
            <v>Renta Fija</v>
          </cell>
          <cell r="Q1625" t="str">
            <v>RFLG</v>
          </cell>
        </row>
        <row r="1626">
          <cell r="B1626" t="str">
            <v>640001115A14</v>
          </cell>
          <cell r="D1626" t="str">
            <v>Gobierno Central</v>
          </cell>
          <cell r="F1626" t="str">
            <v>Renta Fija</v>
          </cell>
          <cell r="Q1626" t="str">
            <v>RFLG</v>
          </cell>
        </row>
        <row r="1627">
          <cell r="B1627" t="str">
            <v>640001115E15</v>
          </cell>
          <cell r="D1627" t="str">
            <v>Gobierno Central</v>
          </cell>
          <cell r="F1627" t="str">
            <v>Renta Fija</v>
          </cell>
          <cell r="Q1627" t="str">
            <v>RFLG</v>
          </cell>
        </row>
        <row r="1628">
          <cell r="B1628" t="str">
            <v>640001115O15</v>
          </cell>
          <cell r="D1628" t="str">
            <v>Gobierno Central</v>
          </cell>
          <cell r="F1628" t="str">
            <v>Renta Fija</v>
          </cell>
          <cell r="Q1628" t="str">
            <v>RFLG</v>
          </cell>
        </row>
        <row r="1629">
          <cell r="B1629" t="str">
            <v>640001116F17</v>
          </cell>
          <cell r="D1629" t="str">
            <v>Gobierno Central</v>
          </cell>
          <cell r="F1629" t="str">
            <v>Renta Fija</v>
          </cell>
          <cell r="Q1629" t="str">
            <v>RFLG</v>
          </cell>
        </row>
        <row r="1630">
          <cell r="B1630" t="str">
            <v>640001116O14</v>
          </cell>
          <cell r="D1630" t="str">
            <v>Gobierno Central</v>
          </cell>
          <cell r="F1630" t="str">
            <v>Renta Fija</v>
          </cell>
          <cell r="Q1630" t="str">
            <v>RFLG</v>
          </cell>
        </row>
        <row r="1631">
          <cell r="B1631" t="str">
            <v>640001117G17</v>
          </cell>
          <cell r="D1631" t="str">
            <v>Gobierno Central</v>
          </cell>
          <cell r="F1631" t="str">
            <v>Renta Fija</v>
          </cell>
          <cell r="Q1631" t="str">
            <v>RFLG</v>
          </cell>
        </row>
        <row r="1632">
          <cell r="B1632" t="str">
            <v>640001127D16</v>
          </cell>
          <cell r="D1632" t="str">
            <v>Gobierno Central</v>
          </cell>
          <cell r="F1632" t="str">
            <v>Renta Fija</v>
          </cell>
          <cell r="Q1632" t="str">
            <v>RFLG</v>
          </cell>
        </row>
        <row r="1633">
          <cell r="B1633" t="str">
            <v>770001105M15</v>
          </cell>
          <cell r="D1633" t="str">
            <v>Gobierno Central</v>
          </cell>
          <cell r="F1633" t="str">
            <v>Renta Fija</v>
          </cell>
          <cell r="Q1633" t="str">
            <v>RFLG</v>
          </cell>
        </row>
        <row r="1634">
          <cell r="B1634" t="str">
            <v>640001115D16</v>
          </cell>
          <cell r="D1634" t="str">
            <v>Gobierno Central</v>
          </cell>
          <cell r="F1634" t="str">
            <v>Renta Fija</v>
          </cell>
          <cell r="Q1634" t="str">
            <v>RFLG</v>
          </cell>
        </row>
        <row r="1635">
          <cell r="B1635" t="str">
            <v>640001112Y16</v>
          </cell>
          <cell r="D1635" t="str">
            <v>Gobierno Central</v>
          </cell>
          <cell r="F1635" t="str">
            <v>Renta Fija</v>
          </cell>
          <cell r="Q1635" t="str">
            <v>RFLG</v>
          </cell>
        </row>
        <row r="1636">
          <cell r="B1636" t="str">
            <v>640001110N16</v>
          </cell>
          <cell r="D1636" t="str">
            <v>Gobierno Central</v>
          </cell>
          <cell r="F1636" t="str">
            <v>Renta Fija</v>
          </cell>
          <cell r="Q1636" t="str">
            <v>RFLG</v>
          </cell>
        </row>
        <row r="1637">
          <cell r="B1637" t="str">
            <v>640001106A17</v>
          </cell>
          <cell r="D1637" t="str">
            <v>Gobierno Central</v>
          </cell>
          <cell r="F1637" t="str">
            <v>Renta Fija</v>
          </cell>
          <cell r="Q1637" t="str">
            <v>RFLG</v>
          </cell>
        </row>
        <row r="1638">
          <cell r="B1638" t="str">
            <v>640001113L17</v>
          </cell>
          <cell r="D1638" t="str">
            <v>Gobierno Central</v>
          </cell>
          <cell r="F1638" t="str">
            <v>Renta Fija</v>
          </cell>
          <cell r="Q1638" t="str">
            <v>RFLG</v>
          </cell>
        </row>
        <row r="1639">
          <cell r="B1639" t="str">
            <v>640001108S16</v>
          </cell>
          <cell r="D1639" t="str">
            <v>Gobierno Central</v>
          </cell>
          <cell r="F1639" t="str">
            <v>Renta Fija</v>
          </cell>
          <cell r="Q1639" t="str">
            <v>RFLG</v>
          </cell>
        </row>
        <row r="1640">
          <cell r="B1640" t="str">
            <v>640001112O17</v>
          </cell>
          <cell r="D1640" t="str">
            <v>Gobierno Central</v>
          </cell>
          <cell r="F1640" t="str">
            <v>Renta Fija</v>
          </cell>
          <cell r="Q1640" t="str">
            <v>RFLG</v>
          </cell>
        </row>
        <row r="1641">
          <cell r="B1641" t="str">
            <v>640001113O16</v>
          </cell>
          <cell r="D1641" t="str">
            <v>Gobierno Central</v>
          </cell>
          <cell r="F1641" t="str">
            <v>Renta Fija</v>
          </cell>
          <cell r="Q1641" t="str">
            <v>RFLG</v>
          </cell>
        </row>
        <row r="1642">
          <cell r="B1642" t="str">
            <v>640001106L17</v>
          </cell>
          <cell r="D1642" t="str">
            <v>Gobierno Central</v>
          </cell>
          <cell r="F1642" t="str">
            <v>Renta Fija</v>
          </cell>
          <cell r="Q1642" t="str">
            <v>RFLG</v>
          </cell>
        </row>
        <row r="1643">
          <cell r="B1643" t="str">
            <v>640001105E17</v>
          </cell>
          <cell r="D1643" t="str">
            <v>Gobierno Central</v>
          </cell>
          <cell r="F1643" t="str">
            <v>Renta Fija</v>
          </cell>
          <cell r="Q1643" t="str">
            <v>RFLG</v>
          </cell>
        </row>
        <row r="1644">
          <cell r="B1644" t="str">
            <v>640001109E18</v>
          </cell>
          <cell r="D1644" t="str">
            <v>Gobierno Central</v>
          </cell>
          <cell r="F1644" t="str">
            <v>Renta Fija</v>
          </cell>
          <cell r="Q1644" t="str">
            <v>RFLG</v>
          </cell>
        </row>
        <row r="1645">
          <cell r="B1645" t="str">
            <v>640001117N16</v>
          </cell>
          <cell r="D1645" t="str">
            <v>Gobierno Central</v>
          </cell>
          <cell r="F1645" t="str">
            <v>Renta Fija</v>
          </cell>
          <cell r="Q1645" t="str">
            <v>RFLG</v>
          </cell>
        </row>
        <row r="1646">
          <cell r="B1646" t="str">
            <v>640001113F18</v>
          </cell>
          <cell r="D1646" t="str">
            <v>Gobierno Central</v>
          </cell>
          <cell r="F1646" t="str">
            <v>Renta Fija</v>
          </cell>
          <cell r="Q1646" t="str">
            <v>RFLG</v>
          </cell>
        </row>
        <row r="1647">
          <cell r="B1647" t="str">
            <v>640001112A18</v>
          </cell>
          <cell r="D1647" t="str">
            <v>Gobierno Central</v>
          </cell>
          <cell r="F1647" t="str">
            <v>Renta Fija</v>
          </cell>
          <cell r="Q1647" t="str">
            <v>RFLG</v>
          </cell>
        </row>
        <row r="1648">
          <cell r="B1648" t="str">
            <v>640001107M17</v>
          </cell>
          <cell r="D1648" t="str">
            <v>Gobierno Central</v>
          </cell>
          <cell r="F1648" t="str">
            <v>Renta Fija</v>
          </cell>
          <cell r="Q1648" t="str">
            <v>RFLG</v>
          </cell>
        </row>
        <row r="1649">
          <cell r="B1649" t="str">
            <v>640001115M17</v>
          </cell>
          <cell r="D1649" t="str">
            <v>Gobierno Central</v>
          </cell>
          <cell r="F1649" t="str">
            <v>Renta Fija</v>
          </cell>
          <cell r="Q1649" t="str">
            <v>RFLG</v>
          </cell>
        </row>
        <row r="1650">
          <cell r="B1650" t="str">
            <v>640001116Y17</v>
          </cell>
          <cell r="D1650" t="str">
            <v>Gobierno Central</v>
          </cell>
          <cell r="F1650" t="str">
            <v>Renta Fija</v>
          </cell>
          <cell r="Q1650" t="str">
            <v>RFLG</v>
          </cell>
        </row>
        <row r="1651">
          <cell r="B1651" t="str">
            <v>640001106J17</v>
          </cell>
          <cell r="D1651" t="str">
            <v>Gobierno Central</v>
          </cell>
          <cell r="F1651" t="str">
            <v>Renta Fija</v>
          </cell>
          <cell r="Q1651" t="str">
            <v>RFLG</v>
          </cell>
        </row>
        <row r="1652">
          <cell r="B1652" t="str">
            <v>640001110A17</v>
          </cell>
          <cell r="D1652" t="str">
            <v>Gobierno Central</v>
          </cell>
          <cell r="F1652" t="str">
            <v>Renta Fija</v>
          </cell>
          <cell r="Q1652" t="str">
            <v>RFLG</v>
          </cell>
        </row>
        <row r="1653">
          <cell r="B1653" t="str">
            <v>640001117A17</v>
          </cell>
          <cell r="D1653" t="str">
            <v>Gobierno Central</v>
          </cell>
          <cell r="F1653" t="str">
            <v>Renta Fija</v>
          </cell>
          <cell r="Q1653" t="str">
            <v>RFLG</v>
          </cell>
        </row>
        <row r="1654">
          <cell r="B1654" t="str">
            <v>640001124A17</v>
          </cell>
          <cell r="D1654" t="str">
            <v>Gobierno Central</v>
          </cell>
          <cell r="F1654" t="str">
            <v>Renta Fija</v>
          </cell>
          <cell r="Q1654" t="str">
            <v>RFLG</v>
          </cell>
        </row>
        <row r="1655">
          <cell r="B1655" t="str">
            <v>640001102Y17</v>
          </cell>
          <cell r="D1655" t="str">
            <v>Gobierno Central</v>
          </cell>
          <cell r="F1655" t="str">
            <v>Renta Fija</v>
          </cell>
          <cell r="Q1655" t="str">
            <v>RFLG</v>
          </cell>
        </row>
        <row r="1656">
          <cell r="B1656" t="str">
            <v>640001114S17</v>
          </cell>
          <cell r="D1656" t="str">
            <v>Gobierno Central</v>
          </cell>
          <cell r="F1656" t="str">
            <v>Renta Fija</v>
          </cell>
          <cell r="Q1656" t="str">
            <v>RFLG</v>
          </cell>
        </row>
        <row r="1657">
          <cell r="B1657" t="str">
            <v>640001112D17</v>
          </cell>
          <cell r="D1657" t="str">
            <v>Gobierno Central</v>
          </cell>
          <cell r="F1657" t="str">
            <v>Renta Fija</v>
          </cell>
          <cell r="Q1657" t="str">
            <v>RFLG</v>
          </cell>
        </row>
        <row r="1658">
          <cell r="B1658" t="str">
            <v>640001106F18</v>
          </cell>
          <cell r="D1658" t="str">
            <v>Gobierno Central</v>
          </cell>
          <cell r="F1658" t="str">
            <v>Renta Fija</v>
          </cell>
          <cell r="Q1658" t="str">
            <v>RFLG</v>
          </cell>
        </row>
        <row r="1659">
          <cell r="B1659" t="str">
            <v>640001106S18</v>
          </cell>
          <cell r="D1659" t="str">
            <v>Gobierno Central</v>
          </cell>
          <cell r="F1659" t="str">
            <v>Renta Fija</v>
          </cell>
          <cell r="Q1659" t="str">
            <v>RFLG</v>
          </cell>
        </row>
        <row r="1660">
          <cell r="B1660" t="str">
            <v>640001108N18</v>
          </cell>
          <cell r="D1660" t="str">
            <v>Gobierno Central</v>
          </cell>
          <cell r="F1660" t="str">
            <v>Renta Fija</v>
          </cell>
          <cell r="Q1660" t="str">
            <v>RFLG</v>
          </cell>
        </row>
        <row r="1661">
          <cell r="B1661" t="str">
            <v>011000112G33</v>
          </cell>
          <cell r="D1661" t="str">
            <v>Gobierno Central</v>
          </cell>
          <cell r="F1661" t="str">
            <v>Renta Fija</v>
          </cell>
          <cell r="Q1661" t="str">
            <v>RFLG</v>
          </cell>
        </row>
        <row r="1662">
          <cell r="B1662" t="str">
            <v>011000105Y15</v>
          </cell>
          <cell r="D1662" t="str">
            <v>Gobierno Central</v>
          </cell>
          <cell r="F1662" t="str">
            <v>Renta Fija</v>
          </cell>
          <cell r="Q1662" t="str">
            <v>RFLG</v>
          </cell>
        </row>
        <row r="1663">
          <cell r="B1663" t="str">
            <v>011000112B29</v>
          </cell>
          <cell r="D1663" t="str">
            <v>Gobierno Central</v>
          </cell>
          <cell r="F1663" t="str">
            <v>Renta Fija</v>
          </cell>
          <cell r="Q1663" t="str">
            <v>RFLG</v>
          </cell>
        </row>
        <row r="1664">
          <cell r="B1664" t="str">
            <v>011000112F29</v>
          </cell>
          <cell r="D1664" t="str">
            <v>Gobierno Central</v>
          </cell>
          <cell r="F1664" t="str">
            <v>Renta Fija</v>
          </cell>
          <cell r="Q1664" t="str">
            <v>RFLG</v>
          </cell>
        </row>
        <row r="1665">
          <cell r="B1665" t="str">
            <v>011000112F42</v>
          </cell>
          <cell r="D1665" t="str">
            <v>Gobierno Central</v>
          </cell>
          <cell r="F1665" t="str">
            <v>Renta Fija</v>
          </cell>
          <cell r="Q1665" t="str">
            <v>RFLG</v>
          </cell>
        </row>
        <row r="1666">
          <cell r="B1666" t="str">
            <v>011000112F55</v>
          </cell>
          <cell r="D1666" t="str">
            <v>Gobierno Central</v>
          </cell>
          <cell r="F1666" t="str">
            <v>Renta Fija</v>
          </cell>
          <cell r="Q1666" t="str">
            <v>RFLG</v>
          </cell>
        </row>
        <row r="1667">
          <cell r="B1667" t="str">
            <v>011000112G17</v>
          </cell>
          <cell r="D1667" t="str">
            <v>Gobierno Central</v>
          </cell>
          <cell r="F1667" t="str">
            <v>Renta Fija</v>
          </cell>
          <cell r="Q1667" t="str">
            <v>RFLG</v>
          </cell>
        </row>
        <row r="1668">
          <cell r="B1668" t="str">
            <v>011000112G20</v>
          </cell>
          <cell r="D1668" t="str">
            <v>Gobierno Central</v>
          </cell>
          <cell r="F1668" t="str">
            <v>Renta Fija</v>
          </cell>
          <cell r="Q1668" t="str">
            <v>RFLG</v>
          </cell>
        </row>
        <row r="1669">
          <cell r="B1669" t="str">
            <v>011000112G24</v>
          </cell>
          <cell r="D1669" t="str">
            <v>Gobierno Central</v>
          </cell>
          <cell r="F1669" t="str">
            <v>Renta Fija</v>
          </cell>
          <cell r="Q1669" t="str">
            <v>RFLG</v>
          </cell>
        </row>
        <row r="1670">
          <cell r="B1670" t="str">
            <v>011000112G26</v>
          </cell>
          <cell r="D1670" t="str">
            <v>Gobierno Central</v>
          </cell>
          <cell r="F1670" t="str">
            <v>Renta Fija</v>
          </cell>
          <cell r="Q1670" t="str">
            <v>RFLG</v>
          </cell>
        </row>
        <row r="1671">
          <cell r="B1671" t="str">
            <v>011000112G28</v>
          </cell>
          <cell r="D1671" t="str">
            <v>Gobierno Central</v>
          </cell>
          <cell r="F1671" t="str">
            <v>Renta Fija</v>
          </cell>
          <cell r="Q1671" t="str">
            <v>RFLG</v>
          </cell>
        </row>
        <row r="1672">
          <cell r="B1672" t="str">
            <v>011000112G31</v>
          </cell>
          <cell r="D1672" t="str">
            <v>Gobierno Central</v>
          </cell>
          <cell r="F1672" t="str">
            <v>Renta Fija</v>
          </cell>
          <cell r="Q1672" t="str">
            <v>RFLG</v>
          </cell>
        </row>
        <row r="1673">
          <cell r="B1673" t="str">
            <v>011000112G34</v>
          </cell>
          <cell r="D1673" t="str">
            <v>Gobierno Central</v>
          </cell>
          <cell r="F1673" t="str">
            <v>Renta Fija</v>
          </cell>
          <cell r="Q1673" t="str">
            <v>RFLG</v>
          </cell>
        </row>
        <row r="1674">
          <cell r="B1674" t="str">
            <v>011000112G35</v>
          </cell>
          <cell r="D1674" t="str">
            <v>Gobierno Central</v>
          </cell>
          <cell r="F1674" t="str">
            <v>Renta Fija</v>
          </cell>
          <cell r="Q1674" t="str">
            <v>RFLG</v>
          </cell>
        </row>
        <row r="1675">
          <cell r="B1675" t="str">
            <v>011000112G37</v>
          </cell>
          <cell r="D1675" t="str">
            <v>Gobierno Central</v>
          </cell>
          <cell r="F1675" t="str">
            <v>Renta Fija</v>
          </cell>
          <cell r="Q1675" t="str">
            <v>RFLG</v>
          </cell>
        </row>
        <row r="1676">
          <cell r="B1676" t="str">
            <v>011000112G39</v>
          </cell>
          <cell r="D1676" t="str">
            <v>Gobierno Central</v>
          </cell>
          <cell r="F1676" t="str">
            <v>Renta Fija</v>
          </cell>
          <cell r="Q1676" t="str">
            <v>RFLG</v>
          </cell>
        </row>
        <row r="1677">
          <cell r="B1677" t="str">
            <v>011000112G40</v>
          </cell>
          <cell r="D1677" t="str">
            <v>Gobierno Central</v>
          </cell>
          <cell r="F1677" t="str">
            <v>Renta Fija</v>
          </cell>
          <cell r="Q1677" t="str">
            <v>RFLG</v>
          </cell>
        </row>
        <row r="1678">
          <cell r="B1678" t="str">
            <v>011000112S23</v>
          </cell>
          <cell r="D1678" t="str">
            <v>Gobierno Central</v>
          </cell>
          <cell r="F1678" t="str">
            <v>Renta Fija</v>
          </cell>
          <cell r="Q1678" t="str">
            <v>RFLG</v>
          </cell>
        </row>
        <row r="1679">
          <cell r="B1679" t="str">
            <v>041000101J14</v>
          </cell>
          <cell r="D1679" t="str">
            <v>Gobierno Central</v>
          </cell>
          <cell r="F1679" t="str">
            <v>Renta Fija</v>
          </cell>
          <cell r="Q1679" t="str">
            <v>RFLG</v>
          </cell>
        </row>
        <row r="1680">
          <cell r="B1680" t="str">
            <v>041000104Y14</v>
          </cell>
          <cell r="D1680" t="str">
            <v>Gobierno Central</v>
          </cell>
          <cell r="F1680" t="str">
            <v>Renta Fija</v>
          </cell>
          <cell r="Q1680" t="str">
            <v>RFLG</v>
          </cell>
        </row>
        <row r="1681">
          <cell r="B1681" t="str">
            <v>041000104Y16</v>
          </cell>
          <cell r="D1681" t="str">
            <v>Gobierno Central</v>
          </cell>
          <cell r="F1681" t="str">
            <v>Renta Fija</v>
          </cell>
          <cell r="Q1681" t="str">
            <v>RFLG</v>
          </cell>
        </row>
        <row r="1682">
          <cell r="B1682" t="str">
            <v>041000113J15</v>
          </cell>
          <cell r="D1682" t="str">
            <v>Gobierno Central</v>
          </cell>
          <cell r="F1682" t="str">
            <v>Renta Fija</v>
          </cell>
          <cell r="Q1682" t="str">
            <v>RFLG</v>
          </cell>
        </row>
        <row r="1683">
          <cell r="B1683" t="str">
            <v>041000114F15</v>
          </cell>
          <cell r="D1683" t="str">
            <v>Gobierno Central</v>
          </cell>
          <cell r="F1683" t="str">
            <v>Renta Fija</v>
          </cell>
          <cell r="Q1683" t="str">
            <v>RFLG</v>
          </cell>
        </row>
        <row r="1684">
          <cell r="B1684" t="str">
            <v>041000114M15</v>
          </cell>
          <cell r="D1684" t="str">
            <v>Gobierno Central</v>
          </cell>
          <cell r="F1684" t="str">
            <v>Renta Fija</v>
          </cell>
          <cell r="Q1684" t="str">
            <v>RFLG</v>
          </cell>
        </row>
        <row r="1685">
          <cell r="B1685" t="str">
            <v>041000114O15</v>
          </cell>
          <cell r="D1685" t="str">
            <v>Gobierno Central</v>
          </cell>
          <cell r="F1685" t="str">
            <v>Renta Fija</v>
          </cell>
          <cell r="Q1685" t="str">
            <v>RFLG</v>
          </cell>
        </row>
        <row r="1686">
          <cell r="B1686" t="str">
            <v>041000115N14</v>
          </cell>
          <cell r="D1686" t="str">
            <v>Gobierno Central</v>
          </cell>
          <cell r="F1686" t="str">
            <v>Renta Fija</v>
          </cell>
          <cell r="Q1686" t="str">
            <v>RFLG</v>
          </cell>
        </row>
        <row r="1687">
          <cell r="B1687" t="str">
            <v>041000118O14</v>
          </cell>
          <cell r="D1687" t="str">
            <v>Gobierno Central</v>
          </cell>
          <cell r="F1687" t="str">
            <v>Renta Fija</v>
          </cell>
          <cell r="Q1687" t="str">
            <v>RFLG</v>
          </cell>
        </row>
        <row r="1688">
          <cell r="B1688" t="str">
            <v>0110001PEB40</v>
          </cell>
          <cell r="D1688" t="str">
            <v>Gobierno Central</v>
          </cell>
          <cell r="F1688" t="str">
            <v>Renta Fija</v>
          </cell>
          <cell r="Q1688" t="str">
            <v>RFLG</v>
          </cell>
        </row>
        <row r="1689">
          <cell r="B1689" t="str">
            <v>431000112G33</v>
          </cell>
          <cell r="D1689" t="str">
            <v>Gobierno Central</v>
          </cell>
          <cell r="F1689" t="str">
            <v>Renta Fija</v>
          </cell>
          <cell r="Q1689" t="str">
            <v>RFLG</v>
          </cell>
        </row>
        <row r="1690">
          <cell r="B1690" t="str">
            <v>4310001PEB40</v>
          </cell>
          <cell r="D1690" t="str">
            <v>Gobierno Central</v>
          </cell>
          <cell r="F1690" t="str">
            <v>Renta Fija</v>
          </cell>
          <cell r="Q1690" t="str">
            <v>RFLG</v>
          </cell>
        </row>
        <row r="1691">
          <cell r="B1691" t="str">
            <v>431000112B29</v>
          </cell>
          <cell r="D1691" t="str">
            <v>Gobierno Central</v>
          </cell>
          <cell r="F1691" t="str">
            <v>Renta Fija</v>
          </cell>
          <cell r="Q1691" t="str">
            <v>RFLG</v>
          </cell>
        </row>
        <row r="1692">
          <cell r="B1692" t="str">
            <v>431000112G20</v>
          </cell>
          <cell r="D1692" t="str">
            <v>Gobierno Central</v>
          </cell>
          <cell r="F1692" t="str">
            <v>Renta Fija</v>
          </cell>
          <cell r="Q1692" t="str">
            <v>RFLG</v>
          </cell>
        </row>
        <row r="1693">
          <cell r="B1693" t="str">
            <v>431000112G24</v>
          </cell>
          <cell r="D1693" t="str">
            <v>Gobierno Central</v>
          </cell>
          <cell r="F1693" t="str">
            <v>Renta Fija</v>
          </cell>
          <cell r="Q1693" t="str">
            <v>RFLG</v>
          </cell>
        </row>
        <row r="1694">
          <cell r="B1694" t="str">
            <v>431000112G26</v>
          </cell>
          <cell r="D1694" t="str">
            <v>Gobierno Central</v>
          </cell>
          <cell r="F1694" t="str">
            <v>Renta Fija</v>
          </cell>
          <cell r="Q1694" t="str">
            <v>RFLG</v>
          </cell>
        </row>
        <row r="1695">
          <cell r="B1695" t="str">
            <v>431000112G28</v>
          </cell>
          <cell r="D1695" t="str">
            <v>Gobierno Central</v>
          </cell>
          <cell r="F1695" t="str">
            <v>Renta Fija</v>
          </cell>
          <cell r="Q1695" t="str">
            <v>RFLG</v>
          </cell>
        </row>
        <row r="1696">
          <cell r="B1696" t="str">
            <v>431000112G31</v>
          </cell>
          <cell r="D1696" t="str">
            <v>Gobierno Central</v>
          </cell>
          <cell r="F1696" t="str">
            <v>Renta Fija</v>
          </cell>
          <cell r="Q1696" t="str">
            <v>RFLG</v>
          </cell>
        </row>
        <row r="1697">
          <cell r="B1697" t="str">
            <v>431000112G37</v>
          </cell>
          <cell r="D1697" t="str">
            <v>Gobierno Central</v>
          </cell>
          <cell r="F1697" t="str">
            <v>Renta Fija</v>
          </cell>
          <cell r="Q1697" t="str">
            <v>RFLG</v>
          </cell>
        </row>
        <row r="1698">
          <cell r="B1698" t="str">
            <v>4911021COORF</v>
          </cell>
          <cell r="D1698" t="str">
            <v>COMPASS - FONDO DE INVERSION OPORTUNIDADES RENTA FIJA</v>
          </cell>
          <cell r="F1698" t="str">
            <v>Renta Fija</v>
          </cell>
          <cell r="Q1698" t="str">
            <v>RFLG</v>
          </cell>
        </row>
        <row r="1699">
          <cell r="B1699" t="str">
            <v>4911021CORF2</v>
          </cell>
          <cell r="D1699" t="str">
            <v>VINCI COMPASS- FONDO DE INVERSIÓN OPORTUNIDADES RENTA FIJA II (Serie C)</v>
          </cell>
          <cell r="F1699" t="str">
            <v>Renta Fija</v>
          </cell>
          <cell r="Q1699" t="str">
            <v>RFLG</v>
          </cell>
        </row>
        <row r="1700">
          <cell r="B1700" t="str">
            <v>4911021CORF1</v>
          </cell>
          <cell r="D1700" t="str">
            <v>60%Sob + 40%TTR</v>
          </cell>
          <cell r="F1700" t="str">
            <v>Renta Fija</v>
          </cell>
          <cell r="Q1700" t="str">
            <v>RFLG</v>
          </cell>
        </row>
        <row r="1701">
          <cell r="B1701" t="str">
            <v>041000118A15</v>
          </cell>
          <cell r="D1701" t="str">
            <v>Gobierno Central</v>
          </cell>
          <cell r="F1701" t="str">
            <v>Renta Fija</v>
          </cell>
          <cell r="Q1701" t="str">
            <v>RFLG</v>
          </cell>
        </row>
        <row r="1702">
          <cell r="B1702" t="str">
            <v>041000127L15</v>
          </cell>
          <cell r="D1702" t="str">
            <v>Gobierno Central</v>
          </cell>
          <cell r="F1702" t="str">
            <v>Renta Fija</v>
          </cell>
          <cell r="Q1702" t="str">
            <v>RFLG</v>
          </cell>
        </row>
        <row r="1703">
          <cell r="B1703" t="str">
            <v>011000112G32</v>
          </cell>
          <cell r="D1703" t="str">
            <v>Gobierno Central</v>
          </cell>
          <cell r="F1703" t="str">
            <v>Renta Fija</v>
          </cell>
          <cell r="Q1703" t="str">
            <v>RFLG</v>
          </cell>
        </row>
        <row r="1704">
          <cell r="B1704" t="str">
            <v>22207130704A</v>
          </cell>
          <cell r="D1704" t="str">
            <v xml:space="preserve">Concesionario Trasvase Olmos </v>
          </cell>
          <cell r="F1704" t="str">
            <v>Renta Fija</v>
          </cell>
          <cell r="Q1704" t="str">
            <v>RFLC</v>
          </cell>
        </row>
        <row r="1705">
          <cell r="B1705" t="str">
            <v>25000331905A</v>
          </cell>
          <cell r="D1705" t="str">
            <v xml:space="preserve">Banco Internacional del Perú </v>
          </cell>
          <cell r="F1705" t="str">
            <v>Renta Fija</v>
          </cell>
          <cell r="Q1705" t="str">
            <v>RFLC</v>
          </cell>
        </row>
        <row r="1706">
          <cell r="B1706" t="str">
            <v>21000330803A</v>
          </cell>
          <cell r="D1706" t="str">
            <v xml:space="preserve">Banco Internacional del Perú </v>
          </cell>
          <cell r="F1706" t="str">
            <v>Renta Fija</v>
          </cell>
          <cell r="Q1706" t="str">
            <v>RFLC</v>
          </cell>
        </row>
        <row r="1707">
          <cell r="B1707" t="str">
            <v>21001130702A</v>
          </cell>
          <cell r="D1707" t="str">
            <v>Banco Continental</v>
          </cell>
          <cell r="F1707" t="str">
            <v>Renta Fija</v>
          </cell>
          <cell r="Q1707" t="str">
            <v>RFLC</v>
          </cell>
        </row>
        <row r="1708">
          <cell r="B1708" t="str">
            <v>21001130703A</v>
          </cell>
          <cell r="D1708" t="str">
            <v>Banco Continental</v>
          </cell>
          <cell r="F1708" t="str">
            <v>Renta Fija</v>
          </cell>
          <cell r="Q1708" t="str">
            <v>RFLC</v>
          </cell>
        </row>
        <row r="1709">
          <cell r="B1709" t="str">
            <v>21001130804U</v>
          </cell>
          <cell r="D1709" t="str">
            <v>Banco Continental</v>
          </cell>
          <cell r="F1709" t="str">
            <v>Renta Fija</v>
          </cell>
          <cell r="Q1709" t="str">
            <v>RFLC</v>
          </cell>
        </row>
        <row r="1710">
          <cell r="B1710" t="str">
            <v>21001130805U</v>
          </cell>
          <cell r="D1710" t="str">
            <v>Banco Continental</v>
          </cell>
          <cell r="F1710" t="str">
            <v>Renta Fija</v>
          </cell>
          <cell r="Q1710" t="str">
            <v>RFLC</v>
          </cell>
        </row>
        <row r="1711">
          <cell r="B1711" t="str">
            <v>21001130806A</v>
          </cell>
          <cell r="D1711" t="str">
            <v>Banco Continental</v>
          </cell>
          <cell r="F1711" t="str">
            <v>Renta Fija</v>
          </cell>
          <cell r="Q1711" t="str">
            <v>RFLC</v>
          </cell>
        </row>
        <row r="1712">
          <cell r="B1712" t="str">
            <v>21003830904A</v>
          </cell>
          <cell r="D1712" t="str">
            <v>Banco Interamericano de Finanzas</v>
          </cell>
          <cell r="F1712" t="str">
            <v>Renta Fija</v>
          </cell>
          <cell r="Q1712" t="str">
            <v>RFLC</v>
          </cell>
        </row>
        <row r="1713">
          <cell r="B1713" t="str">
            <v>21003830904B</v>
          </cell>
          <cell r="D1713" t="str">
            <v>Banco Interamericano de Finanzas</v>
          </cell>
          <cell r="F1713" t="str">
            <v>Renta Fija</v>
          </cell>
          <cell r="Q1713" t="str">
            <v>RFLC</v>
          </cell>
        </row>
        <row r="1714">
          <cell r="B1714" t="str">
            <v>21003831201B</v>
          </cell>
          <cell r="D1714" t="str">
            <v>Banco Interamericano de Finanzas</v>
          </cell>
          <cell r="F1714" t="str">
            <v>Renta Fija</v>
          </cell>
          <cell r="Q1714" t="str">
            <v>RFLC</v>
          </cell>
        </row>
        <row r="1715">
          <cell r="B1715" t="str">
            <v>22203030411U</v>
          </cell>
          <cell r="D1715" t="str">
            <v>Edelnor</v>
          </cell>
          <cell r="F1715" t="str">
            <v>Renta Fija</v>
          </cell>
          <cell r="Q1715" t="str">
            <v>RFLC</v>
          </cell>
        </row>
        <row r="1716">
          <cell r="B1716" t="str">
            <v>22203030412U</v>
          </cell>
          <cell r="D1716" t="str">
            <v>Edelnor</v>
          </cell>
          <cell r="F1716" t="str">
            <v>Renta Fija</v>
          </cell>
          <cell r="Q1716" t="str">
            <v>RFLC</v>
          </cell>
        </row>
        <row r="1717">
          <cell r="B1717" t="str">
            <v>22206430404A</v>
          </cell>
          <cell r="D1717" t="str">
            <v xml:space="preserve">Transportadora de Gas del Perú </v>
          </cell>
          <cell r="F1717" t="str">
            <v>Renta Fija</v>
          </cell>
          <cell r="Q1717" t="str">
            <v>RFLC</v>
          </cell>
        </row>
        <row r="1718">
          <cell r="B1718" t="str">
            <v>22206430506A</v>
          </cell>
          <cell r="D1718" t="str">
            <v xml:space="preserve">Transportadora de Gas del Perú </v>
          </cell>
          <cell r="F1718" t="str">
            <v>Renta Fija</v>
          </cell>
          <cell r="Q1718" t="str">
            <v>RFLC</v>
          </cell>
        </row>
        <row r="1719">
          <cell r="B1719" t="str">
            <v>274325395894</v>
          </cell>
          <cell r="D1719" t="str">
            <v>Huascacocha Finance Limited</v>
          </cell>
          <cell r="F1719" t="str">
            <v>Renta Fija</v>
          </cell>
          <cell r="Q1719" t="str">
            <v>RFLC</v>
          </cell>
        </row>
        <row r="1720">
          <cell r="B1720" t="str">
            <v>274325396355</v>
          </cell>
          <cell r="D1720" t="str">
            <v>Huascacocha Finance Limited</v>
          </cell>
          <cell r="F1720" t="str">
            <v>Renta Fija</v>
          </cell>
          <cell r="Q1720" t="str">
            <v>RFLC</v>
          </cell>
        </row>
        <row r="1721">
          <cell r="B1721" t="str">
            <v>222116304874</v>
          </cell>
          <cell r="D1721" t="str">
            <v>Rutas de Lima</v>
          </cell>
          <cell r="F1721" t="str">
            <v>Renta Fija</v>
          </cell>
          <cell r="Q1721" t="str">
            <v>RFLC</v>
          </cell>
        </row>
        <row r="1722">
          <cell r="B1722" t="str">
            <v>222121371023</v>
          </cell>
          <cell r="D1722" t="str">
            <v>GYMFERROVIAS</v>
          </cell>
          <cell r="F1722" t="str">
            <v>Renta Fija</v>
          </cell>
          <cell r="Q1722" t="str">
            <v>RFLC</v>
          </cell>
        </row>
        <row r="1723">
          <cell r="B1723" t="str">
            <v>22230430704A</v>
          </cell>
          <cell r="D1723" t="str">
            <v xml:space="preserve">Telefónica del Perú </v>
          </cell>
          <cell r="F1723" t="str">
            <v>Renta Fija</v>
          </cell>
          <cell r="Q1723" t="str">
            <v>RFLC</v>
          </cell>
        </row>
        <row r="1724">
          <cell r="B1724" t="str">
            <v>22230430712A</v>
          </cell>
          <cell r="D1724" t="str">
            <v xml:space="preserve">Telefónica del Perú </v>
          </cell>
          <cell r="F1724" t="str">
            <v>Renta Fija</v>
          </cell>
          <cell r="Q1724" t="str">
            <v>RFLC</v>
          </cell>
        </row>
        <row r="1725">
          <cell r="B1725" t="str">
            <v>274329357609</v>
          </cell>
          <cell r="D1725" t="str">
            <v>Taboada Finance Limited</v>
          </cell>
          <cell r="F1725" t="str">
            <v>Renta Fija</v>
          </cell>
          <cell r="Q1725" t="str">
            <v>RFLC</v>
          </cell>
        </row>
        <row r="1726">
          <cell r="B1726" t="str">
            <v>22230430719A</v>
          </cell>
          <cell r="D1726" t="str">
            <v xml:space="preserve">Telefónica del Perú </v>
          </cell>
          <cell r="F1726" t="str">
            <v>Renta Fija</v>
          </cell>
          <cell r="Q1726" t="str">
            <v>RFLC</v>
          </cell>
        </row>
        <row r="1727">
          <cell r="B1727" t="str">
            <v>22230430836B</v>
          </cell>
          <cell r="D1727" t="str">
            <v xml:space="preserve">Telefónica del Perú </v>
          </cell>
          <cell r="F1727" t="str">
            <v>Renta Fija</v>
          </cell>
          <cell r="Q1727" t="str">
            <v>RFLC</v>
          </cell>
        </row>
        <row r="1728">
          <cell r="B1728" t="str">
            <v>22230430922A</v>
          </cell>
          <cell r="D1728" t="str">
            <v xml:space="preserve">Telefónica del Perú </v>
          </cell>
          <cell r="F1728" t="str">
            <v>Renta Fija</v>
          </cell>
          <cell r="Q1728" t="str">
            <v>RFLC</v>
          </cell>
        </row>
        <row r="1729">
          <cell r="B1729" t="str">
            <v>2702023IP01U</v>
          </cell>
          <cell r="D1729" t="str">
            <v xml:space="preserve">Creditítulos Sociedad Titulizadora </v>
          </cell>
          <cell r="F1729" t="str">
            <v>Renta Fija</v>
          </cell>
          <cell r="Q1729" t="str">
            <v>RFLC</v>
          </cell>
        </row>
        <row r="1730">
          <cell r="B1730" t="str">
            <v>2702033CCH1A</v>
          </cell>
          <cell r="D1730" t="str">
            <v>Continental Sociedad Titulizadora</v>
          </cell>
          <cell r="F1730" t="str">
            <v>Renta Fija</v>
          </cell>
          <cell r="Q1730" t="str">
            <v>RFLC</v>
          </cell>
        </row>
        <row r="1731">
          <cell r="B1731" t="str">
            <v>2702033CCH2A</v>
          </cell>
          <cell r="D1731" t="str">
            <v>Continental Sociedad Titulizadora</v>
          </cell>
          <cell r="F1731" t="str">
            <v>Renta Fija</v>
          </cell>
          <cell r="Q1731" t="str">
            <v>RFLC</v>
          </cell>
        </row>
        <row r="1732">
          <cell r="B1732" t="str">
            <v>22230430819C</v>
          </cell>
          <cell r="D1732" t="str">
            <v xml:space="preserve">Telefónica del Perú </v>
          </cell>
          <cell r="F1732" t="str">
            <v>Renta Fija</v>
          </cell>
          <cell r="Q1732" t="str">
            <v>RFLC</v>
          </cell>
        </row>
        <row r="1733">
          <cell r="B1733" t="str">
            <v>3743261FDINF</v>
          </cell>
          <cell r="D1733" t="str">
            <v>BCP-PF Fideicomiso en Infraestructura</v>
          </cell>
          <cell r="F1733" t="str">
            <v>Renta Fija</v>
          </cell>
          <cell r="Q1733" t="str">
            <v>RFLC</v>
          </cell>
        </row>
        <row r="1734">
          <cell r="B1734" t="str">
            <v>2702043IPS2U</v>
          </cell>
          <cell r="D1734" t="str">
            <v xml:space="preserve">Scotia Sociedad Titulizadora </v>
          </cell>
          <cell r="F1734" t="str">
            <v>Renta Fija</v>
          </cell>
          <cell r="Q1734" t="str">
            <v>RFLC</v>
          </cell>
        </row>
        <row r="1735">
          <cell r="B1735" t="str">
            <v>27020230F042</v>
          </cell>
          <cell r="D1735" t="str">
            <v>IPSA - Bonos titulizados</v>
          </cell>
          <cell r="F1735" t="str">
            <v>Renta Fija</v>
          </cell>
          <cell r="Q1735" t="str">
            <v>RFLC</v>
          </cell>
        </row>
        <row r="1736">
          <cell r="B1736" t="str">
            <v>011000311D13</v>
          </cell>
          <cell r="D1736" t="str">
            <v>Gobierno Central</v>
          </cell>
          <cell r="F1736" t="str">
            <v>Renta Fija</v>
          </cell>
          <cell r="Q1736" t="str">
            <v>RFLG</v>
          </cell>
        </row>
        <row r="1737">
          <cell r="B1737" t="str">
            <v>011000312F18</v>
          </cell>
          <cell r="D1737" t="str">
            <v>Gobierno Central</v>
          </cell>
          <cell r="F1737" t="str">
            <v>Renta Fija</v>
          </cell>
          <cell r="Q1737" t="str">
            <v>RFLG</v>
          </cell>
        </row>
        <row r="1738">
          <cell r="B1738" t="str">
            <v>011000312F30</v>
          </cell>
          <cell r="D1738" t="str">
            <v>Gobierno Central</v>
          </cell>
          <cell r="F1738" t="str">
            <v>Renta Fija</v>
          </cell>
          <cell r="Q1738" t="str">
            <v>RFLG</v>
          </cell>
        </row>
        <row r="1739">
          <cell r="B1739" t="str">
            <v>011000312F40</v>
          </cell>
          <cell r="D1739" t="str">
            <v>Gobierno Central</v>
          </cell>
          <cell r="F1739" t="str">
            <v>Renta Fija</v>
          </cell>
          <cell r="Q1739" t="str">
            <v>RFLG</v>
          </cell>
        </row>
        <row r="1740">
          <cell r="B1740" t="str">
            <v>011000312F54</v>
          </cell>
          <cell r="D1740" t="str">
            <v>Gobierno Central</v>
          </cell>
          <cell r="F1740" t="str">
            <v>Renta Fija</v>
          </cell>
          <cell r="Q1740" t="str">
            <v>RFLG</v>
          </cell>
        </row>
        <row r="1741">
          <cell r="B1741" t="str">
            <v>011000312G46</v>
          </cell>
          <cell r="D1741" t="str">
            <v>Gobierno Central</v>
          </cell>
          <cell r="F1741" t="str">
            <v>Renta Fija</v>
          </cell>
          <cell r="Q1741" t="str">
            <v>RFLG</v>
          </cell>
        </row>
        <row r="1742">
          <cell r="B1742" t="str">
            <v>011000313J19</v>
          </cell>
          <cell r="D1742" t="str">
            <v>Gobierno Central</v>
          </cell>
          <cell r="F1742" t="str">
            <v>Renta Fija</v>
          </cell>
          <cell r="Q1742" t="str">
            <v>RFLG</v>
          </cell>
        </row>
        <row r="1743">
          <cell r="B1743" t="str">
            <v>011000313O24</v>
          </cell>
          <cell r="D1743" t="str">
            <v>Gobierno Central</v>
          </cell>
          <cell r="F1743" t="str">
            <v>Renta Fija</v>
          </cell>
          <cell r="Q1743" t="str">
            <v>RFLG</v>
          </cell>
        </row>
        <row r="1744">
          <cell r="B1744" t="str">
            <v>011000314A16</v>
          </cell>
          <cell r="D1744" t="str">
            <v>Gobierno Central</v>
          </cell>
          <cell r="F1744" t="str">
            <v>Renta Fija</v>
          </cell>
          <cell r="Q1744" t="str">
            <v>RFLG</v>
          </cell>
        </row>
        <row r="1745">
          <cell r="B1745" t="str">
            <v>011000330E14</v>
          </cell>
          <cell r="D1745" t="str">
            <v>Gobierno Central</v>
          </cell>
          <cell r="F1745" t="str">
            <v>Renta Fija</v>
          </cell>
          <cell r="Q1745" t="str">
            <v>RFLG</v>
          </cell>
        </row>
        <row r="1746">
          <cell r="B1746" t="str">
            <v>011000331E35</v>
          </cell>
          <cell r="D1746" t="str">
            <v>Gobierno Central</v>
          </cell>
          <cell r="F1746" t="str">
            <v>Renta Fija</v>
          </cell>
          <cell r="Q1746" t="str">
            <v>RFLG</v>
          </cell>
        </row>
        <row r="1747">
          <cell r="B1747" t="str">
            <v>011000308J16</v>
          </cell>
          <cell r="D1747" t="str">
            <v>Gobierno Central</v>
          </cell>
          <cell r="F1747" t="str">
            <v>Renta Fija</v>
          </cell>
          <cell r="Q1747" t="str">
            <v>RFLG</v>
          </cell>
        </row>
        <row r="1748">
          <cell r="B1748" t="str">
            <v>5260012EV107</v>
          </cell>
          <cell r="D1748" t="str">
            <v>State Street - Gold Trust</v>
          </cell>
          <cell r="F1748" t="str">
            <v>Renta Variable</v>
          </cell>
          <cell r="Q1748" t="str">
            <v>RVI</v>
          </cell>
        </row>
        <row r="1749">
          <cell r="B1749" t="str">
            <v>5271112E5105</v>
          </cell>
          <cell r="D1749" t="str">
            <v>BlackRock - iShares Gold Trust</v>
          </cell>
          <cell r="F1749" t="str">
            <v>Renta Variable</v>
          </cell>
          <cell r="Q1749" t="str">
            <v>RVI</v>
          </cell>
        </row>
        <row r="1750">
          <cell r="B1750" t="str">
            <v>5271112EQ109</v>
          </cell>
          <cell r="D1750" t="str">
            <v>BlackRock - iShares Silver Trust</v>
          </cell>
          <cell r="F1750" t="str">
            <v>Renta Variable</v>
          </cell>
          <cell r="Q1750" t="str">
            <v>RVI</v>
          </cell>
        </row>
        <row r="1751">
          <cell r="B1751" t="str">
            <v>345878734047</v>
          </cell>
          <cell r="D1751" t="str">
            <v>Largo Resources</v>
          </cell>
          <cell r="F1751" t="str">
            <v>Renta Variable</v>
          </cell>
          <cell r="Q1751" t="str">
            <v>RVI</v>
          </cell>
        </row>
        <row r="1752">
          <cell r="B1752" t="str">
            <v>345877731120</v>
          </cell>
          <cell r="D1752" t="str">
            <v>Aura Minerals Inc</v>
          </cell>
          <cell r="F1752" t="str">
            <v>Renta Variable</v>
          </cell>
          <cell r="Q1752" t="str">
            <v>RVI</v>
          </cell>
        </row>
        <row r="1753">
          <cell r="B1753" t="str">
            <v>5270652EF106</v>
          </cell>
          <cell r="D1753" t="str">
            <v>VanEck - Gold Miners ETF</v>
          </cell>
          <cell r="F1753" t="str">
            <v>Renta Variable</v>
          </cell>
          <cell r="Q1753" t="str">
            <v>RVI</v>
          </cell>
        </row>
        <row r="1754">
          <cell r="B1754" t="str">
            <v>5270652EU100</v>
          </cell>
          <cell r="D1754" t="str">
            <v>VanEck - Gold Miners ETF</v>
          </cell>
          <cell r="F1754" t="str">
            <v>Renta Variable</v>
          </cell>
          <cell r="Q1754" t="str">
            <v>RVI</v>
          </cell>
        </row>
        <row r="1755">
          <cell r="B1755" t="str">
            <v>5270652EU589</v>
          </cell>
          <cell r="D1755" t="str">
            <v>VanEck - Junior Gold Miners</v>
          </cell>
          <cell r="F1755" t="str">
            <v>Renta Variable</v>
          </cell>
          <cell r="Q1755" t="str">
            <v>RVI</v>
          </cell>
        </row>
        <row r="1756">
          <cell r="B1756" t="str">
            <v>5275282EY848</v>
          </cell>
          <cell r="D1756" t="str">
            <v>Global X - Silvers Miners ETF</v>
          </cell>
          <cell r="F1756" t="str">
            <v>Renta Variable</v>
          </cell>
          <cell r="Q1756" t="str">
            <v>RVI</v>
          </cell>
        </row>
        <row r="1757">
          <cell r="B1757" t="str">
            <v>5270172AWXUS</v>
          </cell>
          <cell r="D1757" t="str">
            <v>Vanguard - ACWI ex - US</v>
          </cell>
          <cell r="F1757" t="str">
            <v>Renta Variable</v>
          </cell>
          <cell r="Q1757" t="str">
            <v>RVI</v>
          </cell>
        </row>
        <row r="1758">
          <cell r="B1758" t="str">
            <v>5270172E2742</v>
          </cell>
          <cell r="D1758" t="str">
            <v>Vanguard - ACWI</v>
          </cell>
          <cell r="F1758" t="str">
            <v>Renta Variable</v>
          </cell>
          <cell r="Q1758" t="str">
            <v>RVI</v>
          </cell>
        </row>
        <row r="1759">
          <cell r="B1759" t="str">
            <v>5270222GCONS</v>
          </cell>
          <cell r="D1759" t="str">
            <v>NN - Consumer Goods</v>
          </cell>
          <cell r="F1759" t="str">
            <v>Renta Variable</v>
          </cell>
          <cell r="Q1759" t="str">
            <v>RVI</v>
          </cell>
        </row>
        <row r="1760">
          <cell r="B1760" t="str">
            <v>5270242INTCO</v>
          </cell>
          <cell r="D1760" t="str">
            <v>DFA - International Core Equity</v>
          </cell>
          <cell r="F1760" t="str">
            <v>Renta Variable</v>
          </cell>
          <cell r="Q1760" t="str">
            <v>RVI</v>
          </cell>
        </row>
        <row r="1761">
          <cell r="B1761" t="str">
            <v>5270404GLOHC</v>
          </cell>
          <cell r="D1761" t="str">
            <v>Fidelity - Global Healthcare Fund</v>
          </cell>
          <cell r="F1761" t="str">
            <v>Renta Variable</v>
          </cell>
          <cell r="Q1761" t="str">
            <v>RVI</v>
          </cell>
        </row>
        <row r="1762">
          <cell r="B1762" t="str">
            <v>5270414F4783</v>
          </cell>
          <cell r="D1762" t="str">
            <v xml:space="preserve">DWS - Global Agribusiness </v>
          </cell>
          <cell r="F1762" t="str">
            <v>Renta Variable</v>
          </cell>
          <cell r="Q1762" t="str">
            <v>RVI</v>
          </cell>
        </row>
        <row r="1763">
          <cell r="B1763" t="str">
            <v>5270414F1120</v>
          </cell>
          <cell r="D1763" t="str">
            <v>DWS - Invest Global Agribusiness</v>
          </cell>
          <cell r="F1763" t="str">
            <v>Renta Variable</v>
          </cell>
          <cell r="Q1763" t="str">
            <v>RVI</v>
          </cell>
        </row>
        <row r="1764">
          <cell r="B1764" t="str">
            <v>5270772FGV78</v>
          </cell>
          <cell r="D1764" t="str">
            <v>Franklin Templeton - FTGF ClearBridge Infrastructure Value Fund</v>
          </cell>
          <cell r="F1764" t="str">
            <v>Renta Variable</v>
          </cell>
          <cell r="Q1764" t="str">
            <v>RVI</v>
          </cell>
        </row>
        <row r="1765">
          <cell r="B1765" t="str">
            <v>5270942F5733</v>
          </cell>
          <cell r="D1765" t="str">
            <v>Pinebridge - Global Dynamic</v>
          </cell>
          <cell r="F1765" t="str">
            <v>Renta Variable</v>
          </cell>
          <cell r="Q1765" t="str">
            <v>RVI</v>
          </cell>
        </row>
        <row r="1766">
          <cell r="B1766" t="str">
            <v>5270732F0NJ2</v>
          </cell>
          <cell r="D1766" t="str">
            <v>BlackRock - Global Unconstrained Equity Fund</v>
          </cell>
          <cell r="F1766" t="str">
            <v>Renta Variable</v>
          </cell>
          <cell r="Q1766" t="str">
            <v>RVI</v>
          </cell>
        </row>
        <row r="1767">
          <cell r="B1767" t="str">
            <v>5270732E5Y98</v>
          </cell>
          <cell r="D1767" t="str">
            <v>BlackRock - iShares Core MSCI World UCITS ETF</v>
          </cell>
          <cell r="F1767" t="str">
            <v>Renta Variable</v>
          </cell>
          <cell r="Q1767" t="str">
            <v>RVI</v>
          </cell>
        </row>
        <row r="1768">
          <cell r="B1768" t="str">
            <v>5271112E7465</v>
          </cell>
          <cell r="D1768" t="str">
            <v>BlackRock - iShares MSCI EAFE ETF</v>
          </cell>
          <cell r="F1768" t="str">
            <v>Renta Variable</v>
          </cell>
          <cell r="Q1768" t="str">
            <v>RVI</v>
          </cell>
        </row>
        <row r="1769">
          <cell r="B1769" t="str">
            <v>5271112E8257</v>
          </cell>
          <cell r="D1769" t="str">
            <v>BlackRock - iShares MSCI ACWI</v>
          </cell>
          <cell r="F1769" t="str">
            <v>Renta Variable</v>
          </cell>
          <cell r="Q1769" t="str">
            <v>RVI</v>
          </cell>
        </row>
        <row r="1770">
          <cell r="B1770" t="str">
            <v>5271112E8240</v>
          </cell>
          <cell r="D1770" t="str">
            <v>Blackrock - iShares MSCI ACWI ex U.S. ETF</v>
          </cell>
          <cell r="F1770" t="str">
            <v>Renta Variable</v>
          </cell>
          <cell r="Q1770" t="str">
            <v>RVI</v>
          </cell>
        </row>
        <row r="1771">
          <cell r="B1771" t="str">
            <v>5271112EV464</v>
          </cell>
          <cell r="D1771" t="str">
            <v>BlackRock - iShares ACWI - Low Carbon</v>
          </cell>
          <cell r="F1771" t="str">
            <v>Renta Variable</v>
          </cell>
          <cell r="Q1771" t="str">
            <v>RVI</v>
          </cell>
        </row>
        <row r="1772">
          <cell r="B1772" t="str">
            <v>5271112EC608</v>
          </cell>
          <cell r="D1772" t="str">
            <v>BlackRock - iShares World ex US Carbon Transition Readiness</v>
          </cell>
          <cell r="F1772" t="str">
            <v>Renta Variable</v>
          </cell>
          <cell r="Q1772" t="str">
            <v>RVI</v>
          </cell>
        </row>
        <row r="1773">
          <cell r="B1773" t="str">
            <v>5275332JJ945</v>
          </cell>
          <cell r="D1773" t="str">
            <v>Baillie Gifford &amp; Co Ltd - Worldwide Health Innovation Fund</v>
          </cell>
          <cell r="F1773" t="str">
            <v>Renta Variable</v>
          </cell>
          <cell r="Q1773" t="str">
            <v>RVI</v>
          </cell>
        </row>
        <row r="1774">
          <cell r="B1774" t="str">
            <v>5274082CONST</v>
          </cell>
          <cell r="D1774" t="str">
            <v>Invesco - Global Consumer Trends Fund S</v>
          </cell>
          <cell r="F1774" t="str">
            <v>Renta Variable</v>
          </cell>
          <cell r="Q1774" t="str">
            <v>RVI</v>
          </cell>
        </row>
        <row r="1775">
          <cell r="B1775" t="str">
            <v>5274082GLEIS</v>
          </cell>
          <cell r="D1775" t="str">
            <v>Invesco - Global Consumer Trends</v>
          </cell>
          <cell r="F1775" t="str">
            <v>Renta Variable</v>
          </cell>
          <cell r="Q1775" t="str">
            <v>RVI</v>
          </cell>
        </row>
        <row r="1776">
          <cell r="B1776" t="str">
            <v>5273884CONSU</v>
          </cell>
          <cell r="D1776" t="str">
            <v>Robeco - Global Consumer Trends</v>
          </cell>
          <cell r="F1776" t="str">
            <v>Renta Variable</v>
          </cell>
          <cell r="Q1776" t="str">
            <v>RVI</v>
          </cell>
        </row>
        <row r="1777">
          <cell r="B1777" t="str">
            <v>5275122EG706</v>
          </cell>
          <cell r="D1777" t="str">
            <v>Invesco - Solar ETF</v>
          </cell>
          <cell r="F1777" t="str">
            <v>Renta Variable</v>
          </cell>
          <cell r="Q1777" t="str">
            <v>RVI</v>
          </cell>
        </row>
        <row r="1778">
          <cell r="B1778" t="str">
            <v>5275562F4898</v>
          </cell>
          <cell r="D1778" t="str">
            <v>NS Partners - Diversified Growth Company GCC Equity</v>
          </cell>
          <cell r="F1778" t="str">
            <v>Renta Variable</v>
          </cell>
          <cell r="Q1778" t="str">
            <v>RVI</v>
          </cell>
        </row>
        <row r="1779">
          <cell r="B1779" t="str">
            <v>5276702F8117</v>
          </cell>
          <cell r="D1779" t="str">
            <v>Ninety One - Global Natural Resources Fund I</v>
          </cell>
          <cell r="F1779" t="str">
            <v>Renta Variable</v>
          </cell>
          <cell r="Q1779" t="str">
            <v>RVI</v>
          </cell>
        </row>
        <row r="1780">
          <cell r="B1780" t="str">
            <v>5276702INGDR</v>
          </cell>
          <cell r="D1780" t="str">
            <v>Ninety One - Global Natural Resources Fund A</v>
          </cell>
          <cell r="F1780" t="str">
            <v>Renta Variable</v>
          </cell>
          <cell r="Q1780" t="str">
            <v>RVI</v>
          </cell>
        </row>
        <row r="1781">
          <cell r="B1781" t="str">
            <v>5273882F5578</v>
          </cell>
          <cell r="D1781" t="str">
            <v>Robeco - QI Emerging Markets Active Equities</v>
          </cell>
          <cell r="F1781" t="str">
            <v>Renta Variable</v>
          </cell>
          <cell r="Q1781" t="str">
            <v>RVI</v>
          </cell>
        </row>
        <row r="1782">
          <cell r="B1782" t="str">
            <v>5271112CANAD</v>
          </cell>
          <cell r="D1782" t="str">
            <v>BlackRock - iShares MSCI Canada</v>
          </cell>
          <cell r="F1782" t="str">
            <v>Renta Variable</v>
          </cell>
          <cell r="Q1782" t="str">
            <v>RVI</v>
          </cell>
        </row>
        <row r="1783">
          <cell r="B1783" t="str">
            <v>5271112AUSTR</v>
          </cell>
          <cell r="D1783" t="str">
            <v xml:space="preserve">BlackRock - iShares MSCI Australia </v>
          </cell>
          <cell r="F1783" t="str">
            <v>Renta Variable</v>
          </cell>
          <cell r="Q1783" t="str">
            <v>RVI</v>
          </cell>
        </row>
        <row r="1784">
          <cell r="B1784" t="str">
            <v>5271112NEWZL</v>
          </cell>
          <cell r="D1784" t="str">
            <v>BlackRock - iShares MSCI New Zealand</v>
          </cell>
          <cell r="F1784" t="str">
            <v>Renta Variable</v>
          </cell>
          <cell r="Q1784" t="str">
            <v>RVI</v>
          </cell>
        </row>
        <row r="1785">
          <cell r="B1785" t="str">
            <v>5270172E2874</v>
          </cell>
          <cell r="D1785" t="str">
            <v>Vanguard - FTSE Europe</v>
          </cell>
          <cell r="F1785" t="str">
            <v>Renta Variable</v>
          </cell>
          <cell r="Q1785" t="str">
            <v>RVI</v>
          </cell>
        </row>
        <row r="1786">
          <cell r="B1786" t="str">
            <v>5270194SCEUR</v>
          </cell>
          <cell r="D1786" t="str">
            <v>Schroders - European Opportunities</v>
          </cell>
          <cell r="F1786" t="str">
            <v>Renta Variable</v>
          </cell>
          <cell r="Q1786" t="str">
            <v>RVI</v>
          </cell>
        </row>
        <row r="1787">
          <cell r="B1787" t="str">
            <v>52751942546L</v>
          </cell>
          <cell r="D1787" t="str">
            <v>Joh Berenberg - European Focus Fund</v>
          </cell>
          <cell r="F1787" t="str">
            <v>Renta Variable</v>
          </cell>
          <cell r="Q1787" t="str">
            <v>RVI</v>
          </cell>
        </row>
        <row r="1788">
          <cell r="B1788" t="str">
            <v>5275194F2546</v>
          </cell>
          <cell r="D1788" t="str">
            <v>Joh Berenberg - European Focus Fund</v>
          </cell>
          <cell r="F1788" t="str">
            <v>Renta Variable</v>
          </cell>
          <cell r="Q1788" t="str">
            <v>RVI</v>
          </cell>
        </row>
        <row r="1789">
          <cell r="B1789" t="str">
            <v>5275504F2546</v>
          </cell>
          <cell r="D1789" t="str">
            <v>Joh Berenberg - European Focus Fund</v>
          </cell>
          <cell r="F1789" t="str">
            <v>Renta Variable</v>
          </cell>
          <cell r="Q1789" t="str">
            <v>RVI</v>
          </cell>
        </row>
        <row r="1790">
          <cell r="B1790" t="str">
            <v>52COMG4QNN83</v>
          </cell>
          <cell r="D1790" t="str">
            <v>Comgest- Europe Opportunities Fund</v>
          </cell>
          <cell r="F1790" t="str">
            <v>Renta Variable</v>
          </cell>
          <cell r="Q1790" t="str">
            <v>RVI</v>
          </cell>
        </row>
        <row r="1791">
          <cell r="B1791" t="str">
            <v>5270292F85G6</v>
          </cell>
          <cell r="D1791" t="str">
            <v>Investec - European Equities</v>
          </cell>
          <cell r="F1791" t="str">
            <v>Renta Variable</v>
          </cell>
          <cell r="Q1791" t="str">
            <v>RVI</v>
          </cell>
        </row>
        <row r="1792">
          <cell r="B1792" t="str">
            <v>5270474F8182</v>
          </cell>
          <cell r="D1792" t="str">
            <v>Allianz - Wachstum Europa</v>
          </cell>
          <cell r="F1792" t="str">
            <v>Renta Variable</v>
          </cell>
          <cell r="Q1792" t="str">
            <v>RVI</v>
          </cell>
        </row>
        <row r="1793">
          <cell r="B1793" t="str">
            <v>52COMG4N3467</v>
          </cell>
          <cell r="D1793" t="str">
            <v>Comgest - European Dynamic Growth</v>
          </cell>
          <cell r="F1793" t="str">
            <v>Renta Variable</v>
          </cell>
          <cell r="Q1793" t="str">
            <v>RVI</v>
          </cell>
        </row>
        <row r="1794">
          <cell r="B1794" t="str">
            <v>527049485137</v>
          </cell>
          <cell r="D1794" t="str">
            <v>Vontobel - European Equity</v>
          </cell>
          <cell r="F1794" t="str">
            <v>Renta Variable</v>
          </cell>
          <cell r="Q1794" t="str">
            <v>RVI</v>
          </cell>
        </row>
        <row r="1795">
          <cell r="B1795" t="str">
            <v>5271112E7861</v>
          </cell>
          <cell r="D1795" t="str">
            <v>BlackRock - iShares Europe</v>
          </cell>
          <cell r="F1795" t="str">
            <v>Renta Variable</v>
          </cell>
          <cell r="Q1795" t="str">
            <v>RVI</v>
          </cell>
        </row>
        <row r="1796">
          <cell r="B1796" t="str">
            <v>5271112E9180</v>
          </cell>
          <cell r="D1796" t="str">
            <v>BlackRock - iShares MSCI Europe Financials</v>
          </cell>
          <cell r="F1796" t="str">
            <v>Renta Variable</v>
          </cell>
          <cell r="Q1796" t="str">
            <v>RVI</v>
          </cell>
        </row>
        <row r="1797">
          <cell r="B1797" t="str">
            <v>5273874F4273</v>
          </cell>
          <cell r="D1797" t="str">
            <v>Fidelity - European Dynamic Growth</v>
          </cell>
          <cell r="F1797" t="str">
            <v>Renta Variable</v>
          </cell>
          <cell r="Q1797" t="str">
            <v>RVI</v>
          </cell>
        </row>
        <row r="1798">
          <cell r="B1798" t="str">
            <v>5273956E5VV1</v>
          </cell>
          <cell r="D1798" t="str">
            <v>Vanguard - Europe UCIT</v>
          </cell>
          <cell r="F1798" t="str">
            <v>Renta Variable</v>
          </cell>
          <cell r="Q1798" t="str">
            <v>RVI</v>
          </cell>
        </row>
        <row r="1799">
          <cell r="B1799" t="str">
            <v>5274136F2800</v>
          </cell>
          <cell r="D1799" t="str">
            <v>Invesco - European Equity Fund</v>
          </cell>
          <cell r="F1799" t="str">
            <v>Renta Variable</v>
          </cell>
          <cell r="Q1799" t="str">
            <v>RVI</v>
          </cell>
        </row>
        <row r="1800">
          <cell r="B1800" t="str">
            <v>5270884SGWEU</v>
          </cell>
          <cell r="D1800" t="str">
            <v>JP Morgan - Europe Strategic Growth</v>
          </cell>
          <cell r="F1800" t="str">
            <v>Renta Variable</v>
          </cell>
          <cell r="Q1800" t="str">
            <v>RVI</v>
          </cell>
        </row>
        <row r="1801">
          <cell r="B1801" t="str">
            <v>5276846FQVT8</v>
          </cell>
          <cell r="D1801" t="str">
            <v>Liontrust - Liontrust European Dynamic Fund S</v>
          </cell>
          <cell r="F1801" t="str">
            <v>Renta Variable</v>
          </cell>
          <cell r="Q1801" t="str">
            <v>RVI</v>
          </cell>
        </row>
        <row r="1802">
          <cell r="B1802" t="str">
            <v>5276846FM1M7</v>
          </cell>
          <cell r="D1802" t="str">
            <v>Liontrust - Liontrust European Dynamic Fund II</v>
          </cell>
          <cell r="F1802" t="str">
            <v>Renta Variable</v>
          </cell>
          <cell r="Q1802" t="str">
            <v>RVI</v>
          </cell>
        </row>
        <row r="1803">
          <cell r="B1803" t="str">
            <v>5275234F1560</v>
          </cell>
          <cell r="D1803" t="str">
            <v>MSIM - European Opportunity</v>
          </cell>
          <cell r="F1803" t="str">
            <v>Renta Variable</v>
          </cell>
          <cell r="Q1803" t="str">
            <v>RVI</v>
          </cell>
        </row>
        <row r="1804">
          <cell r="B1804" t="str">
            <v>5270194EURVA</v>
          </cell>
          <cell r="D1804" t="str">
            <v>Schroders - European Value</v>
          </cell>
          <cell r="F1804" t="str">
            <v>Renta Variable</v>
          </cell>
          <cell r="Q1804" t="str">
            <v>RVI</v>
          </cell>
        </row>
        <row r="1805">
          <cell r="B1805" t="str">
            <v>5270734EUVAF</v>
          </cell>
          <cell r="D1805" t="str">
            <v>BlackRock - iShares Edge MSCI Europe Value Factor</v>
          </cell>
          <cell r="F1805" t="str">
            <v>Renta Variable</v>
          </cell>
          <cell r="Q1805" t="str">
            <v>RVI</v>
          </cell>
        </row>
        <row r="1806">
          <cell r="B1806" t="str">
            <v>5273974E3308</v>
          </cell>
          <cell r="D1806" t="str">
            <v>DB Platinum - CROCU Euro</v>
          </cell>
          <cell r="F1806" t="str">
            <v>Renta Variable</v>
          </cell>
          <cell r="Q1806" t="str">
            <v>RVI</v>
          </cell>
        </row>
        <row r="1807">
          <cell r="B1807" t="str">
            <v>5273974F3782</v>
          </cell>
          <cell r="D1807" t="str">
            <v>DB Platinum - CROCU Euro</v>
          </cell>
          <cell r="F1807" t="str">
            <v>Renta Variable</v>
          </cell>
          <cell r="Q1807" t="str">
            <v>RVI</v>
          </cell>
        </row>
        <row r="1808">
          <cell r="B1808" t="str">
            <v>5270414CROCI</v>
          </cell>
          <cell r="D1808" t="str">
            <v>DB Platinum - CROCU Euro</v>
          </cell>
          <cell r="F1808" t="str">
            <v>Renta Variable</v>
          </cell>
          <cell r="Q1808" t="str">
            <v>RVI</v>
          </cell>
        </row>
        <row r="1809">
          <cell r="B1809" t="str">
            <v>5274566FYND8</v>
          </cell>
          <cell r="D1809" t="str">
            <v>Jupiter Unit Trust - Asian Income Fund I GBP</v>
          </cell>
          <cell r="F1809" t="str">
            <v>Renta Variable</v>
          </cell>
          <cell r="Q1809" t="str">
            <v>RVI</v>
          </cell>
        </row>
        <row r="1810">
          <cell r="B1810" t="str">
            <v>5274564LA16C</v>
          </cell>
          <cell r="D1810" t="str">
            <v xml:space="preserve">Jupiter Unit Trust - European Smaller Companies I </v>
          </cell>
          <cell r="F1810" t="str">
            <v>Renta Variable</v>
          </cell>
          <cell r="Q1810" t="str">
            <v>RVI</v>
          </cell>
        </row>
        <row r="1811">
          <cell r="B1811" t="str">
            <v>5274566EURG</v>
          </cell>
          <cell r="D1811" t="str">
            <v>Jupiter Unit Trust - European Growth</v>
          </cell>
          <cell r="F1811" t="str">
            <v>Renta Variable</v>
          </cell>
          <cell r="Q1811" t="str">
            <v>RVI</v>
          </cell>
        </row>
        <row r="1812">
          <cell r="B1812" t="str">
            <v>5274566EURO</v>
          </cell>
          <cell r="D1812" t="str">
            <v>Jupiter Unit Trust - European Fund</v>
          </cell>
          <cell r="F1812" t="str">
            <v>Renta Variable</v>
          </cell>
          <cell r="Q1812" t="str">
            <v>RVI</v>
          </cell>
        </row>
        <row r="1813">
          <cell r="B1813" t="str">
            <v>5274564JEURG</v>
          </cell>
          <cell r="D1813" t="str">
            <v>Jupiter Unit Trust - European Growth</v>
          </cell>
          <cell r="F1813" t="str">
            <v>Renta Variable</v>
          </cell>
          <cell r="Q1813" t="str">
            <v>RVI</v>
          </cell>
        </row>
        <row r="1814">
          <cell r="B1814" t="str">
            <v>5275064CAELE</v>
          </cell>
          <cell r="D1814" t="str">
            <v>Candriam  SICAV - Europe</v>
          </cell>
          <cell r="F1814" t="str">
            <v>Renta Variable</v>
          </cell>
          <cell r="Q1814" t="str">
            <v>RVI</v>
          </cell>
        </row>
        <row r="1815">
          <cell r="B1815" t="str">
            <v>5273874EURDG</v>
          </cell>
          <cell r="D1815" t="str">
            <v>Fidelity - European Dynamic Growth</v>
          </cell>
          <cell r="F1815" t="str">
            <v>Renta Variable</v>
          </cell>
          <cell r="Q1815" t="str">
            <v>RVI</v>
          </cell>
        </row>
        <row r="1816">
          <cell r="B1816" t="str">
            <v>5274504EUREQ</v>
          </cell>
          <cell r="D1816" t="str">
            <v>Acadian  - European Equity UCITS</v>
          </cell>
          <cell r="F1816" t="str">
            <v>Renta Variable</v>
          </cell>
          <cell r="Q1816" t="str">
            <v>RVI</v>
          </cell>
        </row>
        <row r="1817">
          <cell r="B1817" t="str">
            <v>5277324FC1W6</v>
          </cell>
          <cell r="D1817" t="str">
            <v>Premier Miton - European Opportunities Fund</v>
          </cell>
          <cell r="F1817" t="str">
            <v>Renta Variable</v>
          </cell>
          <cell r="Q1817" t="str">
            <v>RVI</v>
          </cell>
        </row>
        <row r="1818">
          <cell r="B1818" t="str">
            <v>5277336FM1M7</v>
          </cell>
          <cell r="D1818" t="str">
            <v>Liontrust - European Dynamic</v>
          </cell>
          <cell r="F1818" t="str">
            <v>Renta Variable</v>
          </cell>
          <cell r="Q1818" t="str">
            <v>RVI</v>
          </cell>
        </row>
        <row r="1819">
          <cell r="B1819" t="str">
            <v>5270194EUREQ</v>
          </cell>
          <cell r="D1819" t="str">
            <v>Schroders - Euro Equity</v>
          </cell>
          <cell r="F1819" t="str">
            <v>Renta Variable</v>
          </cell>
          <cell r="Q1819" t="str">
            <v>RVI</v>
          </cell>
        </row>
        <row r="1820">
          <cell r="B1820" t="str">
            <v>5270224F8686</v>
          </cell>
          <cell r="D1820" t="str">
            <v>NN - Euro High Dividend</v>
          </cell>
          <cell r="F1820" t="str">
            <v>Renta Variable</v>
          </cell>
          <cell r="Q1820" t="str">
            <v>RVI</v>
          </cell>
        </row>
        <row r="1821">
          <cell r="B1821" t="str">
            <v>5270324F9339</v>
          </cell>
          <cell r="D1821" t="str">
            <v>Janus Henderson - Continental European Fund</v>
          </cell>
          <cell r="F1821" t="str">
            <v>Renta Variable</v>
          </cell>
          <cell r="Q1821" t="str">
            <v>RVI</v>
          </cell>
        </row>
        <row r="1822">
          <cell r="B1822" t="str">
            <v>5270414F7722</v>
          </cell>
          <cell r="D1822" t="str">
            <v>DWS - Top Euroland</v>
          </cell>
          <cell r="F1822" t="str">
            <v>Renta Variable</v>
          </cell>
          <cell r="Q1822" t="str">
            <v>RVI</v>
          </cell>
        </row>
        <row r="1823">
          <cell r="B1823" t="str">
            <v>5274244F1260</v>
          </cell>
          <cell r="D1823" t="str">
            <v>Janus Henderson - Horizon Euroland Fund</v>
          </cell>
          <cell r="F1823" t="str">
            <v>Renta Variable</v>
          </cell>
          <cell r="Q1823" t="str">
            <v>RVI</v>
          </cell>
        </row>
        <row r="1824">
          <cell r="B1824" t="str">
            <v>5270474F8219</v>
          </cell>
          <cell r="D1824" t="str">
            <v>Allianz - Euroland Equity Growth</v>
          </cell>
          <cell r="F1824" t="str">
            <v>Renta Variable</v>
          </cell>
          <cell r="Q1824" t="str">
            <v>RVI</v>
          </cell>
        </row>
        <row r="1825">
          <cell r="B1825" t="str">
            <v>5270474F8984</v>
          </cell>
          <cell r="D1825" t="str">
            <v>Allianz - Wachstum Euroland</v>
          </cell>
          <cell r="F1825" t="str">
            <v>Renta Variable</v>
          </cell>
          <cell r="Q1825" t="str">
            <v>RVI</v>
          </cell>
        </row>
        <row r="1826">
          <cell r="B1826" t="str">
            <v>5270734EQG56</v>
          </cell>
          <cell r="D1826" t="str">
            <v>BlackRock - iShares Core MSCI EMU UCITS</v>
          </cell>
          <cell r="F1826" t="str">
            <v>Renta Variable</v>
          </cell>
          <cell r="Q1826" t="str">
            <v>RVI</v>
          </cell>
        </row>
        <row r="1827">
          <cell r="B1827" t="str">
            <v>5270734EG562</v>
          </cell>
          <cell r="D1827" t="str">
            <v>BlackRock - iShares Core MSCI EMU UCITS ETF</v>
          </cell>
          <cell r="F1827" t="str">
            <v>Renta Variable</v>
          </cell>
          <cell r="Q1827" t="str">
            <v>RVI</v>
          </cell>
        </row>
        <row r="1828">
          <cell r="B1828" t="str">
            <v>5270734EL3W7</v>
          </cell>
          <cell r="D1828" t="str">
            <v>BlackRock - iShares Euro STOXX 50 UCITS</v>
          </cell>
          <cell r="F1828" t="str">
            <v>Renta Variable</v>
          </cell>
          <cell r="Q1828" t="str">
            <v>RVI</v>
          </cell>
        </row>
        <row r="1829">
          <cell r="B1829" t="str">
            <v>5270854F1002</v>
          </cell>
          <cell r="D1829" t="str">
            <v>Threadneedle - European Equities</v>
          </cell>
          <cell r="F1829" t="str">
            <v>Renta Variable</v>
          </cell>
          <cell r="Q1829" t="str">
            <v>RVI</v>
          </cell>
        </row>
        <row r="1830">
          <cell r="B1830" t="str">
            <v>5275552EQ191</v>
          </cell>
          <cell r="D1830" t="str">
            <v>JP Morgan - Betabuilders Europe</v>
          </cell>
          <cell r="F1830" t="str">
            <v>Renta Variable</v>
          </cell>
          <cell r="Q1830" t="str">
            <v>RVI</v>
          </cell>
        </row>
        <row r="1831">
          <cell r="B1831" t="str">
            <v>5271112E6608</v>
          </cell>
          <cell r="D1831" t="str">
            <v>BlackRock - iShares MSCI Eurozone ETF</v>
          </cell>
          <cell r="F1831" t="str">
            <v>Renta Variable</v>
          </cell>
          <cell r="Q1831" t="str">
            <v>RVI</v>
          </cell>
        </row>
        <row r="1832">
          <cell r="B1832" t="str">
            <v>5271112EV639</v>
          </cell>
          <cell r="D1832" t="str">
            <v>BlackRock - iShares European Monetary Union Hedged</v>
          </cell>
          <cell r="F1832" t="str">
            <v>Renta Variable</v>
          </cell>
          <cell r="Q1832" t="str">
            <v>RVI</v>
          </cell>
        </row>
        <row r="1833">
          <cell r="B1833" t="str">
            <v>5271116EEURO</v>
          </cell>
          <cell r="D1833" t="str">
            <v>BlackRock - iShares MSCI Easter Europe Capped</v>
          </cell>
          <cell r="F1833" t="str">
            <v>Renta Variable</v>
          </cell>
          <cell r="Q1833" t="str">
            <v>RVI</v>
          </cell>
        </row>
        <row r="1834">
          <cell r="B1834" t="str">
            <v>5272872EX701</v>
          </cell>
          <cell r="D1834" t="str">
            <v>WisdomTree - Europa Hedged Equity</v>
          </cell>
          <cell r="F1834" t="str">
            <v>Renta Variable</v>
          </cell>
          <cell r="Q1834" t="str">
            <v>RVI</v>
          </cell>
        </row>
        <row r="1835">
          <cell r="B1835" t="str">
            <v>5273976E9477</v>
          </cell>
          <cell r="D1835" t="str">
            <v xml:space="preserve">Xtrackers -  MSCI EMU </v>
          </cell>
          <cell r="F1835" t="str">
            <v>Renta Variable</v>
          </cell>
          <cell r="Q1835" t="str">
            <v>RVI</v>
          </cell>
        </row>
        <row r="1836">
          <cell r="B1836" t="str">
            <v>52GAML4ECIEA</v>
          </cell>
          <cell r="D1836" t="str">
            <v>GAM - Continental Europe</v>
          </cell>
          <cell r="F1836" t="str">
            <v>Renta Variable</v>
          </cell>
          <cell r="Q1836" t="str">
            <v>RVI</v>
          </cell>
        </row>
        <row r="1837">
          <cell r="B1837" t="str">
            <v>5270736FDFD7</v>
          </cell>
          <cell r="D1837" t="str">
            <v>BlackRock - Sustainable Europe</v>
          </cell>
          <cell r="F1837" t="str">
            <v>Renta Variable</v>
          </cell>
          <cell r="Q1837" t="str">
            <v>RVI</v>
          </cell>
        </row>
        <row r="1838">
          <cell r="B1838" t="str">
            <v>5274084F6545</v>
          </cell>
          <cell r="D1838" t="str">
            <v>Invesco  - Euro Equity Fund</v>
          </cell>
          <cell r="F1838" t="str">
            <v>Renta Variable</v>
          </cell>
          <cell r="Q1838" t="str">
            <v>RVI</v>
          </cell>
        </row>
        <row r="1839">
          <cell r="B1839" t="str">
            <v>5274186F1948</v>
          </cell>
          <cell r="D1839" t="str">
            <v>Man GLG - Continental European Growth</v>
          </cell>
          <cell r="F1839" t="str">
            <v>Renta Variable</v>
          </cell>
          <cell r="Q1839" t="str">
            <v>RVI</v>
          </cell>
        </row>
        <row r="1840">
          <cell r="B1840" t="str">
            <v>5271284E8930</v>
          </cell>
          <cell r="D1840" t="str">
            <v>BlackRock - iShares Euro Stoxx Banks 30-15 UCITS</v>
          </cell>
          <cell r="F1840" t="str">
            <v>Renta Variable</v>
          </cell>
          <cell r="Q1840" t="str">
            <v>RVI</v>
          </cell>
        </row>
        <row r="1841">
          <cell r="B1841" t="str">
            <v>52INVE4CESEA</v>
          </cell>
          <cell r="D1841" t="str">
            <v>Invesco - Continental European Small Cap</v>
          </cell>
          <cell r="F1841" t="str">
            <v>Renta Variable</v>
          </cell>
          <cell r="Q1841" t="str">
            <v>RVI</v>
          </cell>
        </row>
        <row r="1842">
          <cell r="B1842" t="str">
            <v>5274134CESEA</v>
          </cell>
          <cell r="D1842" t="str">
            <v>Invesco - Continental European Small Cap</v>
          </cell>
          <cell r="F1842" t="str">
            <v>Renta Variable</v>
          </cell>
          <cell r="Q1842" t="str">
            <v>RVI</v>
          </cell>
        </row>
        <row r="1843">
          <cell r="B1843" t="str">
            <v>5273952EUZSI</v>
          </cell>
          <cell r="D1843" t="str">
            <v>Vanguard - Eurozone Stock Index</v>
          </cell>
          <cell r="F1843" t="str">
            <v>Renta Variable</v>
          </cell>
          <cell r="Q1843" t="str">
            <v>RVI</v>
          </cell>
        </row>
        <row r="1844">
          <cell r="B1844" t="str">
            <v>5271112E6699</v>
          </cell>
          <cell r="D1844" t="str">
            <v>BlackRock - iShares UK</v>
          </cell>
          <cell r="F1844" t="str">
            <v>Renta Variable</v>
          </cell>
          <cell r="Q1844" t="str">
            <v>RVI</v>
          </cell>
        </row>
        <row r="1845">
          <cell r="B1845" t="str">
            <v>5270184JBGER</v>
          </cell>
          <cell r="D1845" t="str">
            <v>GAM / Julius Baer - German Focus Equity</v>
          </cell>
          <cell r="F1845" t="str">
            <v>Renta Variable</v>
          </cell>
          <cell r="Q1845" t="str">
            <v>RVI</v>
          </cell>
        </row>
        <row r="1846">
          <cell r="B1846" t="str">
            <v>5270474ALALE</v>
          </cell>
          <cell r="D1846" t="str">
            <v>Allianz - Concentra Germany</v>
          </cell>
          <cell r="F1846" t="str">
            <v>Renta Variable</v>
          </cell>
          <cell r="Q1846" t="str">
            <v>RVI</v>
          </cell>
        </row>
        <row r="1847">
          <cell r="B1847" t="str">
            <v>5270474ALLGR</v>
          </cell>
          <cell r="D1847" t="str">
            <v>Allianz - German Equity</v>
          </cell>
          <cell r="F1847" t="str">
            <v>Renta Variable</v>
          </cell>
          <cell r="Q1847" t="str">
            <v>RVI</v>
          </cell>
        </row>
        <row r="1848">
          <cell r="B1848" t="str">
            <v>5270856UKEQI</v>
          </cell>
          <cell r="D1848" t="str">
            <v>Threadneedle - UK Equity Income Fund</v>
          </cell>
          <cell r="F1848" t="str">
            <v>Renta Variable</v>
          </cell>
          <cell r="Q1848" t="str">
            <v>RVI</v>
          </cell>
        </row>
        <row r="1849">
          <cell r="B1849" t="str">
            <v>5271112E6814</v>
          </cell>
          <cell r="D1849" t="str">
            <v>BlackRock - iShares MSCI Netherlands ETF</v>
          </cell>
          <cell r="F1849" t="str">
            <v>Renta Variable</v>
          </cell>
          <cell r="Q1849" t="str">
            <v>RVI</v>
          </cell>
        </row>
        <row r="1850">
          <cell r="B1850" t="str">
            <v>5271112E6764</v>
          </cell>
          <cell r="D1850" t="str">
            <v>BlackRock - iShares Spain</v>
          </cell>
          <cell r="F1850" t="str">
            <v>Renta Variable</v>
          </cell>
          <cell r="Q1850" t="str">
            <v>RVI</v>
          </cell>
        </row>
        <row r="1851">
          <cell r="B1851" t="str">
            <v>5271112E6806</v>
          </cell>
          <cell r="D1851" t="str">
            <v>BlackRock - iShares MSCI Germany Fund</v>
          </cell>
          <cell r="F1851" t="str">
            <v>Renta Variable</v>
          </cell>
          <cell r="Q1851" t="str">
            <v>RVI</v>
          </cell>
        </row>
        <row r="1852">
          <cell r="B1852" t="str">
            <v>5271112E6855</v>
          </cell>
          <cell r="D1852" t="str">
            <v>BlackRock - iShares MSCI Italy</v>
          </cell>
          <cell r="F1852" t="str">
            <v>Renta Variable</v>
          </cell>
          <cell r="Q1852" t="str">
            <v>RVI</v>
          </cell>
        </row>
        <row r="1853">
          <cell r="B1853" t="str">
            <v>5271112FRANC</v>
          </cell>
          <cell r="D1853" t="str">
            <v>BlackRock - iShares MSCI France</v>
          </cell>
          <cell r="F1853" t="str">
            <v>Renta Variable</v>
          </cell>
          <cell r="Q1853" t="str">
            <v>RVI</v>
          </cell>
        </row>
        <row r="1854">
          <cell r="B1854" t="str">
            <v>5272872ALEMI</v>
          </cell>
          <cell r="D1854" t="str">
            <v>WisdomTree - Germany Hedged Fund</v>
          </cell>
          <cell r="F1854" t="str">
            <v>Renta Variable</v>
          </cell>
          <cell r="Q1854" t="str">
            <v>RVI</v>
          </cell>
        </row>
        <row r="1855">
          <cell r="B1855" t="str">
            <v>5273874F8985</v>
          </cell>
          <cell r="D1855" t="str">
            <v>Fidelity - Iberia Fund</v>
          </cell>
          <cell r="F1855" t="str">
            <v>Renta Variable</v>
          </cell>
          <cell r="Q1855" t="str">
            <v>RVI</v>
          </cell>
        </row>
        <row r="1856">
          <cell r="B1856" t="str">
            <v>5273874FIBER</v>
          </cell>
          <cell r="D1856" t="str">
            <v>Fidelity - Iberia Fund</v>
          </cell>
          <cell r="F1856" t="str">
            <v>Renta Variable</v>
          </cell>
          <cell r="Q1856" t="str">
            <v>RVI</v>
          </cell>
        </row>
        <row r="1857">
          <cell r="B1857" t="str">
            <v>5273986E5574</v>
          </cell>
          <cell r="D1857" t="str">
            <v>Amundi ETF - MSCI Spain UCITS ETF</v>
          </cell>
          <cell r="F1857" t="str">
            <v>Renta Variable</v>
          </cell>
          <cell r="Q1857" t="str">
            <v>RVI</v>
          </cell>
        </row>
        <row r="1858">
          <cell r="B1858" t="str">
            <v>5274136F3115</v>
          </cell>
          <cell r="D1858" t="str">
            <v>Invesco - UK Opportunities Fund</v>
          </cell>
          <cell r="F1858" t="str">
            <v>Renta Variable</v>
          </cell>
          <cell r="Q1858" t="str">
            <v>RVI</v>
          </cell>
        </row>
        <row r="1859">
          <cell r="B1859" t="str">
            <v>52EDMG4SPAIN</v>
          </cell>
          <cell r="D1859" t="str">
            <v>EDM International - Spanish Equity Fund</v>
          </cell>
          <cell r="F1859" t="str">
            <v>Renta Variable</v>
          </cell>
          <cell r="Q1859" t="str">
            <v>RVI</v>
          </cell>
        </row>
        <row r="1860">
          <cell r="B1860" t="str">
            <v>52EDMG4INVES</v>
          </cell>
          <cell r="D1860" t="str">
            <v>EDM International - FI Fund</v>
          </cell>
          <cell r="F1860" t="str">
            <v>Renta Variable</v>
          </cell>
          <cell r="Q1860" t="str">
            <v>RVI</v>
          </cell>
        </row>
        <row r="1861">
          <cell r="B1861" t="str">
            <v>5270464BPESC</v>
          </cell>
          <cell r="D1861" t="str">
            <v>Parvest - Equity Europe Small Cap</v>
          </cell>
          <cell r="F1861" t="str">
            <v>Renta Variable</v>
          </cell>
          <cell r="Q1861" t="str">
            <v>RVI</v>
          </cell>
        </row>
        <row r="1862">
          <cell r="B1862" t="str">
            <v>52751946750L</v>
          </cell>
          <cell r="D1862" t="str">
            <v>Joh Berenberg- European Small Cap</v>
          </cell>
          <cell r="F1862" t="str">
            <v>Renta Variable</v>
          </cell>
          <cell r="Q1862" t="str">
            <v>RVI</v>
          </cell>
        </row>
        <row r="1863">
          <cell r="B1863" t="str">
            <v>5270324JHESC</v>
          </cell>
          <cell r="D1863" t="str">
            <v>Janus Henderson - European Small Caps</v>
          </cell>
          <cell r="F1863" t="str">
            <v>Renta Variable</v>
          </cell>
          <cell r="Q1863" t="str">
            <v>RVI</v>
          </cell>
        </row>
        <row r="1864">
          <cell r="B1864" t="str">
            <v>5275194BERSC</v>
          </cell>
          <cell r="D1864" t="str">
            <v>Berenberg - European Small Caps</v>
          </cell>
          <cell r="F1864" t="str">
            <v>Renta Variable</v>
          </cell>
          <cell r="Q1864" t="str">
            <v>RVI</v>
          </cell>
        </row>
        <row r="1865">
          <cell r="B1865" t="str">
            <v>52COMG4QNP08</v>
          </cell>
          <cell r="D1865" t="str">
            <v>Comgest  - European Growth Small Caps</v>
          </cell>
          <cell r="F1865" t="str">
            <v>Renta Variable</v>
          </cell>
          <cell r="Q1865" t="str">
            <v>RVI</v>
          </cell>
        </row>
        <row r="1866">
          <cell r="B1866" t="str">
            <v>5270434F2486</v>
          </cell>
          <cell r="D1866" t="str">
            <v>AXA  - Europe Small Caps</v>
          </cell>
          <cell r="F1866" t="str">
            <v>Renta Variable</v>
          </cell>
          <cell r="Q1866" t="str">
            <v>RVI</v>
          </cell>
        </row>
        <row r="1867">
          <cell r="B1867" t="str">
            <v>5270854TSMEQ</v>
          </cell>
          <cell r="D1867" t="str">
            <v>Threadneedle - European Smaller Companies</v>
          </cell>
          <cell r="F1867" t="str">
            <v>Renta Variable</v>
          </cell>
          <cell r="Q1867" t="str">
            <v>RVI</v>
          </cell>
        </row>
        <row r="1868">
          <cell r="B1868" t="str">
            <v>5274104F8932</v>
          </cell>
          <cell r="D1868" t="str">
            <v>Groupama - Avenir Euro (Mid Small Caps)</v>
          </cell>
          <cell r="F1868" t="str">
            <v>Renta Variable</v>
          </cell>
          <cell r="Q1868" t="str">
            <v>RVI</v>
          </cell>
        </row>
        <row r="1869">
          <cell r="B1869" t="str">
            <v>5274104AVEUR</v>
          </cell>
          <cell r="D1869" t="str">
            <v>Groupama - G Fund Avenir Europe (Mid Small Caps) - C</v>
          </cell>
          <cell r="F1869" t="str">
            <v>Renta Variable</v>
          </cell>
          <cell r="Q1869" t="str">
            <v>RVI</v>
          </cell>
        </row>
        <row r="1870">
          <cell r="B1870" t="str">
            <v>5274104AVEAC</v>
          </cell>
          <cell r="D1870" t="str">
            <v>Groupama - G Fund Avenir Europe (Mid Small Caps) - A</v>
          </cell>
          <cell r="F1870" t="str">
            <v>Renta Variable</v>
          </cell>
          <cell r="Q1870" t="str">
            <v>RVI</v>
          </cell>
        </row>
        <row r="1871">
          <cell r="B1871" t="str">
            <v>5275104LU126</v>
          </cell>
          <cell r="D1871" t="str">
            <v>Credit Suisse - Europe Small Caps Index Fund</v>
          </cell>
          <cell r="F1871" t="str">
            <v>Renta Variable</v>
          </cell>
          <cell r="Q1871" t="str">
            <v>RVI</v>
          </cell>
        </row>
        <row r="1872">
          <cell r="B1872" t="str">
            <v>52CRSU4EURSC</v>
          </cell>
          <cell r="D1872" t="str">
            <v>Credit Suisse - Europe Small Caps Index Fund</v>
          </cell>
          <cell r="F1872" t="str">
            <v>Renta Variable</v>
          </cell>
          <cell r="Q1872" t="str">
            <v>RVI</v>
          </cell>
        </row>
        <row r="1873">
          <cell r="B1873" t="str">
            <v>5274294F1538</v>
          </cell>
          <cell r="D1873" t="str">
            <v>BGFI2ER - Japan Equity Flexible</v>
          </cell>
          <cell r="F1873" t="str">
            <v>Renta Variable</v>
          </cell>
          <cell r="Q1873" t="str">
            <v>RVI</v>
          </cell>
        </row>
        <row r="1874">
          <cell r="B1874" t="str">
            <v>5277445FGVH8</v>
          </cell>
          <cell r="D1874" t="str">
            <v>Lazard - Japanese Strategic Equity</v>
          </cell>
          <cell r="F1874" t="str">
            <v>Renta Variable</v>
          </cell>
          <cell r="Q1874" t="str">
            <v>RVI</v>
          </cell>
        </row>
        <row r="1875">
          <cell r="B1875" t="str">
            <v>5277285FGVH8</v>
          </cell>
          <cell r="D1875" t="str">
            <v>Lazard - Japanese Strategic Equity</v>
          </cell>
          <cell r="F1875" t="str">
            <v>Renta Variable</v>
          </cell>
          <cell r="Q1875" t="str">
            <v>RVI</v>
          </cell>
        </row>
        <row r="1876">
          <cell r="B1876" t="str">
            <v>5270132F4904</v>
          </cell>
          <cell r="D1876" t="str">
            <v>JP Morgan - Japan Equity Fund - C</v>
          </cell>
          <cell r="F1876" t="str">
            <v>Renta Variable</v>
          </cell>
          <cell r="Q1876" t="str">
            <v>RVI</v>
          </cell>
        </row>
        <row r="1877">
          <cell r="B1877" t="str">
            <v>5270132F56110</v>
          </cell>
          <cell r="D1877" t="str">
            <v>JP Morgan - Japan Equity Fund - I</v>
          </cell>
          <cell r="F1877" t="str">
            <v>Renta Variable</v>
          </cell>
          <cell r="Q1877" t="str">
            <v>RVI</v>
          </cell>
        </row>
        <row r="1878">
          <cell r="B1878" t="str">
            <v>5270185F0537</v>
          </cell>
          <cell r="D1878" t="str">
            <v>GAM / Julius Baer - Japan Equity</v>
          </cell>
          <cell r="F1878" t="str">
            <v>Renta Variable</v>
          </cell>
          <cell r="Q1878" t="str">
            <v>RVI</v>
          </cell>
        </row>
        <row r="1879">
          <cell r="B1879" t="str">
            <v>5270195F4053</v>
          </cell>
          <cell r="D1879" t="str">
            <v>Schroders - Japanes Equity</v>
          </cell>
          <cell r="F1879" t="str">
            <v>Renta Variable</v>
          </cell>
          <cell r="Q1879" t="str">
            <v>RVI</v>
          </cell>
        </row>
        <row r="1880">
          <cell r="B1880" t="str">
            <v>5270805F9898</v>
          </cell>
          <cell r="D1880" t="str">
            <v>Pictet - Japanese Equity Selection</v>
          </cell>
          <cell r="F1880" t="str">
            <v>Renta Variable</v>
          </cell>
          <cell r="Q1880" t="str">
            <v>RVI</v>
          </cell>
        </row>
        <row r="1881">
          <cell r="B1881" t="str">
            <v>5270252F6294</v>
          </cell>
          <cell r="D1881" t="str">
            <v>Aberdeen - Japanese Equity</v>
          </cell>
          <cell r="F1881" t="str">
            <v>Renta Variable</v>
          </cell>
          <cell r="Q1881" t="str">
            <v>RVI</v>
          </cell>
        </row>
        <row r="1882">
          <cell r="B1882" t="str">
            <v>5270382PJAPE</v>
          </cell>
          <cell r="D1882" t="str">
            <v>Amundi / Pioneer - Japanese Equity</v>
          </cell>
          <cell r="F1882" t="str">
            <v>Renta Variable</v>
          </cell>
          <cell r="Q1882" t="str">
            <v>RVI</v>
          </cell>
        </row>
        <row r="1883">
          <cell r="B1883" t="str">
            <v>5270732E5YX2</v>
          </cell>
          <cell r="D1883" t="str">
            <v>BlackRock - iShares Core MSCI Japan UCITS ETF</v>
          </cell>
          <cell r="F1883" t="str">
            <v>Renta Variable</v>
          </cell>
          <cell r="Q1883" t="str">
            <v>RVI</v>
          </cell>
        </row>
        <row r="1884">
          <cell r="B1884" t="str">
            <v>5271112E8487</v>
          </cell>
          <cell r="D1884" t="str">
            <v>BlackRock - iShares MSCI Japan</v>
          </cell>
          <cell r="F1884" t="str">
            <v>Renta Variable</v>
          </cell>
          <cell r="Q1884" t="str">
            <v>RVI</v>
          </cell>
        </row>
        <row r="1885">
          <cell r="B1885" t="str">
            <v>5275246FLC77</v>
          </cell>
          <cell r="D1885" t="str">
            <v>Legg Mason - IF Japan Equity Fund</v>
          </cell>
          <cell r="F1885" t="str">
            <v>Renta Variable</v>
          </cell>
          <cell r="Q1885" t="str">
            <v>RVI</v>
          </cell>
        </row>
        <row r="1886">
          <cell r="B1886" t="str">
            <v>5271112V8862</v>
          </cell>
          <cell r="D1886" t="str">
            <v>BlackRock - iShares MSCI Japan Hedged</v>
          </cell>
          <cell r="F1886" t="str">
            <v>Renta Variable</v>
          </cell>
          <cell r="Q1886" t="str">
            <v>RVI</v>
          </cell>
        </row>
        <row r="1887">
          <cell r="B1887" t="str">
            <v>5272872EW851</v>
          </cell>
          <cell r="D1887" t="str">
            <v>WisdomTree - Japan Hedged Equity</v>
          </cell>
          <cell r="F1887" t="str">
            <v>Renta Variable</v>
          </cell>
          <cell r="Q1887" t="str">
            <v>RVI</v>
          </cell>
        </row>
        <row r="1888">
          <cell r="B1888" t="str">
            <v>5273952EPGT3</v>
          </cell>
          <cell r="D1888" t="str">
            <v>Vanguard - Japan UCIT</v>
          </cell>
          <cell r="F1888" t="str">
            <v>Renta Variable</v>
          </cell>
          <cell r="Q1888" t="str">
            <v>RVI</v>
          </cell>
        </row>
        <row r="1889">
          <cell r="B1889" t="str">
            <v>5273952JAPIX</v>
          </cell>
          <cell r="D1889" t="str">
            <v>Vanguard - Japan Equities</v>
          </cell>
          <cell r="F1889" t="str">
            <v>Renta Variable</v>
          </cell>
          <cell r="Q1889" t="str">
            <v>RVI</v>
          </cell>
        </row>
        <row r="1890">
          <cell r="B1890" t="str">
            <v>5273972E0974</v>
          </cell>
          <cell r="D1890" t="str">
            <v>Xtrackers - MSCI Japan UCITS</v>
          </cell>
          <cell r="F1890" t="str">
            <v>Renta Variable</v>
          </cell>
          <cell r="Q1890" t="str">
            <v>RVI</v>
          </cell>
        </row>
        <row r="1891">
          <cell r="B1891" t="str">
            <v>5273972E3540</v>
          </cell>
          <cell r="D1891" t="str">
            <v>Xtrackers - MSCI Japan UCITS</v>
          </cell>
          <cell r="F1891" t="str">
            <v>Renta Variable</v>
          </cell>
          <cell r="Q1891" t="str">
            <v>RVI</v>
          </cell>
        </row>
        <row r="1892">
          <cell r="B1892" t="str">
            <v>52EAIN2JAPEQ</v>
          </cell>
          <cell r="D1892" t="str">
            <v>Eastspring - Japan Dynamic Fund</v>
          </cell>
          <cell r="F1892" t="str">
            <v>Renta Variable</v>
          </cell>
          <cell r="Q1892" t="str">
            <v>RVI</v>
          </cell>
        </row>
        <row r="1893">
          <cell r="B1893" t="str">
            <v>5274095F6533</v>
          </cell>
          <cell r="D1893" t="str">
            <v>Eastspring - Japan Dynamic Fund</v>
          </cell>
          <cell r="F1893" t="str">
            <v>Renta Variable</v>
          </cell>
          <cell r="Q1893" t="str">
            <v>RVI</v>
          </cell>
        </row>
        <row r="1894">
          <cell r="B1894" t="str">
            <v>5270942PB572</v>
          </cell>
          <cell r="D1894" t="str">
            <v>Pinebridge - Asia Ex-Japan All Cap</v>
          </cell>
          <cell r="F1894" t="str">
            <v>Renta Variable</v>
          </cell>
          <cell r="Q1894" t="str">
            <v>RVI</v>
          </cell>
        </row>
        <row r="1895">
          <cell r="B1895" t="str">
            <v>52TOKI5JAPEF</v>
          </cell>
          <cell r="D1895" t="str">
            <v>Tokio Marine - Japanese Equity Focus</v>
          </cell>
          <cell r="F1895" t="str">
            <v>Renta Variable</v>
          </cell>
          <cell r="Q1895" t="str">
            <v>RVI</v>
          </cell>
        </row>
        <row r="1896">
          <cell r="B1896" t="str">
            <v>52INVE5JAPAN</v>
          </cell>
          <cell r="D1896" t="str">
            <v>Invesco - Japanese Equity Core Fund</v>
          </cell>
          <cell r="F1896" t="str">
            <v>Renta Variable</v>
          </cell>
          <cell r="Q1896" t="str">
            <v>RVI</v>
          </cell>
        </row>
        <row r="1897">
          <cell r="B1897" t="str">
            <v>5274085INJAD</v>
          </cell>
          <cell r="D1897" t="str">
            <v>Invesco - Japanese Equity Advantage</v>
          </cell>
          <cell r="F1897" t="str">
            <v>Renta Variable</v>
          </cell>
          <cell r="Q1897" t="str">
            <v>RVI</v>
          </cell>
        </row>
        <row r="1898">
          <cell r="B1898" t="str">
            <v>5274186JPALP</v>
          </cell>
          <cell r="D1898" t="str">
            <v>Man GLG - Japan Core Alpha</v>
          </cell>
          <cell r="F1898" t="str">
            <v>Renta Variable</v>
          </cell>
          <cell r="Q1898" t="str">
            <v>RVI</v>
          </cell>
        </row>
        <row r="1899">
          <cell r="B1899" t="str">
            <v>5275552EQ217</v>
          </cell>
          <cell r="D1899" t="str">
            <v>JP Morgan - Japan Equity ETF</v>
          </cell>
          <cell r="F1899" t="str">
            <v>Renta Variable</v>
          </cell>
          <cell r="Q1899" t="str">
            <v>RVI</v>
          </cell>
        </row>
        <row r="1900">
          <cell r="B1900" t="str">
            <v>5274374MGJAP</v>
          </cell>
          <cell r="D1900" t="str">
            <v>M&amp;G - Japan Fund</v>
          </cell>
          <cell r="F1900" t="str">
            <v>Renta Variable</v>
          </cell>
          <cell r="Q1900" t="str">
            <v>RVI</v>
          </cell>
        </row>
        <row r="1901">
          <cell r="B1901" t="str">
            <v>5274374JAPSC</v>
          </cell>
          <cell r="D1901" t="str">
            <v>M&amp;G - Japan Smaller Companies</v>
          </cell>
          <cell r="F1901" t="str">
            <v>Renta Variable</v>
          </cell>
          <cell r="Q1901" t="str">
            <v>RVI</v>
          </cell>
        </row>
        <row r="1902">
          <cell r="B1902" t="str">
            <v>5274372JAPSC</v>
          </cell>
          <cell r="D1902" t="str">
            <v>M&amp;G - Japan Smaller Companies</v>
          </cell>
          <cell r="F1902" t="str">
            <v>Renta Variable</v>
          </cell>
          <cell r="Q1902" t="str">
            <v>RVI</v>
          </cell>
        </row>
        <row r="1903">
          <cell r="B1903" t="str">
            <v>5272092F0792</v>
          </cell>
          <cell r="D1903" t="str">
            <v xml:space="preserve">Matthews - Japan Fund </v>
          </cell>
          <cell r="F1903" t="str">
            <v>Renta Variable</v>
          </cell>
          <cell r="Q1903" t="str">
            <v>RVI</v>
          </cell>
        </row>
        <row r="1904">
          <cell r="B1904" t="str">
            <v>5272092F5713</v>
          </cell>
          <cell r="D1904" t="str">
            <v xml:space="preserve">Matthews - Japan Fund </v>
          </cell>
          <cell r="F1904" t="str">
            <v>Renta Variable</v>
          </cell>
          <cell r="Q1904" t="str">
            <v>RVI</v>
          </cell>
        </row>
        <row r="1905">
          <cell r="B1905" t="str">
            <v>5274566GB445</v>
          </cell>
          <cell r="D1905" t="str">
            <v>Jupiter Unit Trust - Japan Equity</v>
          </cell>
          <cell r="F1905" t="str">
            <v>Renta Variable</v>
          </cell>
          <cell r="Q1905" t="str">
            <v>RVI</v>
          </cell>
        </row>
        <row r="1906">
          <cell r="B1906" t="str">
            <v>5274532FTGR4</v>
          </cell>
          <cell r="D1906" t="str">
            <v>GAM - Star Japan</v>
          </cell>
          <cell r="F1906" t="str">
            <v>Renta Variable</v>
          </cell>
          <cell r="Q1906" t="str">
            <v>RVI</v>
          </cell>
        </row>
        <row r="1907">
          <cell r="B1907" t="str">
            <v>5272872JPSCD</v>
          </cell>
          <cell r="D1907" t="str">
            <v>WisdomTree - Japan Small Cap Dividend</v>
          </cell>
          <cell r="F1907" t="str">
            <v>Renta Variable</v>
          </cell>
          <cell r="Q1907" t="str">
            <v>RVI</v>
          </cell>
        </row>
        <row r="1908">
          <cell r="B1908" t="str">
            <v>52COMG5JAPGR</v>
          </cell>
          <cell r="D1908" t="str">
            <v>Comgest - Japan Growth</v>
          </cell>
          <cell r="F1908" t="str">
            <v>Renta Variable</v>
          </cell>
          <cell r="Q1908" t="str">
            <v>RVI</v>
          </cell>
        </row>
        <row r="1909">
          <cell r="B1909" t="str">
            <v>5270255A0234</v>
          </cell>
          <cell r="D1909" t="str">
            <v>Aberdeen - Japan Smaller Companies</v>
          </cell>
          <cell r="F1909" t="str">
            <v>Renta Variable</v>
          </cell>
          <cell r="Q1909" t="str">
            <v>RVI</v>
          </cell>
        </row>
        <row r="1910">
          <cell r="B1910" t="str">
            <v>5270195F3982</v>
          </cell>
          <cell r="D1910" t="str">
            <v>Schroders - Japanese Smaller Companies</v>
          </cell>
          <cell r="F1910" t="str">
            <v>Renta Variable</v>
          </cell>
          <cell r="Q1910" t="str">
            <v>RVI</v>
          </cell>
        </row>
        <row r="1911">
          <cell r="B1911" t="str">
            <v>5275336F1492</v>
          </cell>
          <cell r="D1911" t="str">
            <v>Baillie Gifford Overseas Growth Funds - Japanese Smaller Companies</v>
          </cell>
          <cell r="F1911" t="str">
            <v>Renta Variable</v>
          </cell>
          <cell r="Q1911" t="str">
            <v>RVI</v>
          </cell>
        </row>
        <row r="1912">
          <cell r="B1912" t="str">
            <v>5274242JPYSC</v>
          </cell>
          <cell r="D1912" t="str">
            <v>Janus Henderson - Japanese Smaller Companies</v>
          </cell>
          <cell r="F1912" t="str">
            <v>Renta Variable</v>
          </cell>
          <cell r="Q1912" t="str">
            <v>RVI</v>
          </cell>
        </row>
        <row r="1913">
          <cell r="B1913" t="str">
            <v>5270465F0075</v>
          </cell>
          <cell r="D1913" t="str">
            <v>BNP Paribas - Japan Small Caps</v>
          </cell>
          <cell r="F1913" t="str">
            <v>Renta Variable</v>
          </cell>
          <cell r="Q1913" t="str">
            <v>RVI</v>
          </cell>
        </row>
        <row r="1914">
          <cell r="B1914" t="str">
            <v>5274245YJPSC</v>
          </cell>
          <cell r="D1914" t="str">
            <v>Janus Henderson  Horizon - Japanese SC</v>
          </cell>
          <cell r="F1914" t="str">
            <v>Renta Variable</v>
          </cell>
          <cell r="Q1914" t="str">
            <v>RVI</v>
          </cell>
        </row>
        <row r="1915">
          <cell r="B1915" t="str">
            <v>5270942F9584</v>
          </cell>
          <cell r="D1915" t="str">
            <v>Pinebridge - Japan Small Cap - Y</v>
          </cell>
          <cell r="F1915" t="str">
            <v>Renta Variable</v>
          </cell>
          <cell r="Q1915" t="str">
            <v>RVI</v>
          </cell>
        </row>
        <row r="1916">
          <cell r="B1916" t="str">
            <v>5270945PBJSC</v>
          </cell>
          <cell r="D1916" t="str">
            <v>Pinebridge - Japan Small Cap - Y3</v>
          </cell>
          <cell r="F1916" t="str">
            <v>Renta Variable</v>
          </cell>
          <cell r="Q1916" t="str">
            <v>RVI</v>
          </cell>
        </row>
        <row r="1917">
          <cell r="B1917" t="str">
            <v>5273932EA854</v>
          </cell>
          <cell r="D1917" t="str">
            <v>SSGA Funds Management, Inc.</v>
          </cell>
          <cell r="F1917" t="str">
            <v>Renta Variable</v>
          </cell>
          <cell r="Q1917" t="str">
            <v>RVI</v>
          </cell>
        </row>
        <row r="1918">
          <cell r="B1918" t="str">
            <v>5260012EX109</v>
          </cell>
          <cell r="D1918" t="str">
            <v xml:space="preserve">State Street - Dow Jones Industrial Average </v>
          </cell>
          <cell r="F1918" t="str">
            <v>Renta Variable</v>
          </cell>
          <cell r="Q1918" t="str">
            <v>RVI</v>
          </cell>
        </row>
        <row r="1919">
          <cell r="B1919" t="str">
            <v>5260012E1030</v>
          </cell>
          <cell r="D1919" t="str">
            <v>State Street - S&amp;P 500 ETF</v>
          </cell>
          <cell r="F1919" t="str">
            <v>Renta Variable</v>
          </cell>
          <cell r="Q1919" t="str">
            <v>RVI</v>
          </cell>
        </row>
        <row r="1920">
          <cell r="B1920" t="str">
            <v>5260022E7598</v>
          </cell>
          <cell r="D1920" t="str">
            <v>BlackRock - iShares Russell 1000 Value</v>
          </cell>
          <cell r="F1920" t="str">
            <v>Renta Variable</v>
          </cell>
          <cell r="Q1920" t="str">
            <v>RVI</v>
          </cell>
        </row>
        <row r="1921">
          <cell r="B1921" t="str">
            <v>5270172E8413</v>
          </cell>
          <cell r="D1921" t="str">
            <v>Vanguard - S&amp;P 500 ETF</v>
          </cell>
          <cell r="F1921" t="str">
            <v>Renta Variable</v>
          </cell>
          <cell r="Q1921" t="str">
            <v>RVI</v>
          </cell>
        </row>
        <row r="1922">
          <cell r="B1922" t="str">
            <v>5270172E8744</v>
          </cell>
          <cell r="D1922" t="str">
            <v>Vanguard Total Value</v>
          </cell>
          <cell r="F1922" t="str">
            <v>Renta Variable</v>
          </cell>
          <cell r="Q1922" t="str">
            <v>RVI</v>
          </cell>
        </row>
        <row r="1923">
          <cell r="B1923" t="str">
            <v>5270172EDVAP</v>
          </cell>
          <cell r="D1923" t="str">
            <v>Vanguard - Dividend Appreciation</v>
          </cell>
          <cell r="F1923" t="str">
            <v>Renta Variable</v>
          </cell>
          <cell r="Q1923" t="str">
            <v>RVI</v>
          </cell>
        </row>
        <row r="1924">
          <cell r="B1924" t="str">
            <v>5270172MCGRO</v>
          </cell>
          <cell r="D1924" t="str">
            <v>Vanguard - Mid Cap Growth</v>
          </cell>
          <cell r="F1924" t="str">
            <v>Renta Variable</v>
          </cell>
          <cell r="Q1924" t="str">
            <v>RVI</v>
          </cell>
        </row>
        <row r="1925">
          <cell r="B1925" t="str">
            <v>5270172TOMKT</v>
          </cell>
          <cell r="D1925" t="str">
            <v>Vanguard - Total Stock Market</v>
          </cell>
          <cell r="F1925" t="str">
            <v>Renta Variable</v>
          </cell>
          <cell r="Q1925" t="str">
            <v>RVI</v>
          </cell>
        </row>
        <row r="1926">
          <cell r="B1926" t="str">
            <v>5270242F3819</v>
          </cell>
          <cell r="D1926" t="str">
            <v>DFA - US Small Cap Value Portfolio</v>
          </cell>
          <cell r="F1926" t="str">
            <v>Renta Variable</v>
          </cell>
          <cell r="Q1926" t="str">
            <v>RVI</v>
          </cell>
        </row>
        <row r="1927">
          <cell r="B1927" t="str">
            <v>5270242F3827</v>
          </cell>
          <cell r="D1927" t="str">
            <v>DFA - US Large Cap Value</v>
          </cell>
          <cell r="F1927" t="str">
            <v>Renta Variable</v>
          </cell>
          <cell r="Q1927" t="str">
            <v>RVI</v>
          </cell>
        </row>
        <row r="1928">
          <cell r="B1928" t="str">
            <v>5270242USACOR</v>
          </cell>
          <cell r="D1928" t="str">
            <v>DFA - US Core Equity 1</v>
          </cell>
          <cell r="F1928" t="str">
            <v>Renta Variable</v>
          </cell>
          <cell r="Q1928" t="str">
            <v>RVI</v>
          </cell>
        </row>
        <row r="1929">
          <cell r="B1929" t="str">
            <v>5270242USMALL</v>
          </cell>
          <cell r="D1929" t="str">
            <v>DFA - US Small Cap Portfolio</v>
          </cell>
          <cell r="F1929" t="str">
            <v>Renta Variable</v>
          </cell>
          <cell r="Q1929" t="str">
            <v>RVI</v>
          </cell>
        </row>
        <row r="1930">
          <cell r="B1930" t="str">
            <v>5270462USMCP</v>
          </cell>
          <cell r="D1930" t="str">
            <v>Parvest - USA Small Cap</v>
          </cell>
          <cell r="F1930" t="str">
            <v>Renta Variable</v>
          </cell>
          <cell r="Q1930" t="str">
            <v>RVI</v>
          </cell>
        </row>
        <row r="1931">
          <cell r="B1931" t="str">
            <v>5270732EMR08</v>
          </cell>
          <cell r="D1931" t="str">
            <v>BlackRock - iShares Core S&amp;P 500 UCITS</v>
          </cell>
          <cell r="F1931" t="str">
            <v>Renta Variable</v>
          </cell>
          <cell r="Q1931" t="str">
            <v>RVI</v>
          </cell>
        </row>
        <row r="1932">
          <cell r="B1932" t="str">
            <v>5271112E7200</v>
          </cell>
          <cell r="D1932" t="str">
            <v>BlackRock - iShares Core S&amp;P 500</v>
          </cell>
          <cell r="F1932" t="str">
            <v>Renta Variable</v>
          </cell>
          <cell r="Q1932" t="str">
            <v>RVI</v>
          </cell>
        </row>
        <row r="1933">
          <cell r="B1933" t="str">
            <v>5275122EV357</v>
          </cell>
          <cell r="D1933" t="str">
            <v>Invesco S&amp;P 500 Equal Weight ETF</v>
          </cell>
          <cell r="F1933" t="str">
            <v>Renta Variable</v>
          </cell>
          <cell r="Q1933" t="str">
            <v>RVI</v>
          </cell>
        </row>
        <row r="1934">
          <cell r="B1934" t="str">
            <v>5271112E7655</v>
          </cell>
          <cell r="D1934" t="str">
            <v>BlackRock - iShares Russell 2000 ETF</v>
          </cell>
          <cell r="F1934" t="str">
            <v>Renta Variable</v>
          </cell>
          <cell r="Q1934" t="str">
            <v>RVI</v>
          </cell>
        </row>
        <row r="1935">
          <cell r="B1935" t="str">
            <v>5271112E5094</v>
          </cell>
          <cell r="D1935" t="str">
            <v>BlackRock - iShares US Carbon Transition Readiness</v>
          </cell>
          <cell r="F1935" t="str">
            <v>Renta Variable</v>
          </cell>
          <cell r="Q1935" t="str">
            <v>RVI</v>
          </cell>
        </row>
        <row r="1936">
          <cell r="B1936" t="str">
            <v>5271112QUALU</v>
          </cell>
          <cell r="D1936" t="str">
            <v>BlackRock - iShares MSCI USA Quality</v>
          </cell>
          <cell r="F1936" t="str">
            <v>Renta Variable</v>
          </cell>
          <cell r="Q1936" t="str">
            <v>RVI</v>
          </cell>
        </row>
        <row r="1937">
          <cell r="B1937" t="str">
            <v>5275552EQ761</v>
          </cell>
          <cell r="D1937" t="str">
            <v>JPMorgan U.S. Quality Factor</v>
          </cell>
          <cell r="F1937" t="str">
            <v>Renta Variable</v>
          </cell>
          <cell r="Q1937" t="str">
            <v>RVI</v>
          </cell>
        </row>
        <row r="1938">
          <cell r="B1938" t="str">
            <v>5271112USMIV</v>
          </cell>
          <cell r="D1938" t="str">
            <v>BlackRock - iShares Russell Mid-Cap Value</v>
          </cell>
          <cell r="F1938" t="str">
            <v>Renta Variable</v>
          </cell>
          <cell r="Q1938" t="str">
            <v>RVI</v>
          </cell>
        </row>
        <row r="1939">
          <cell r="B1939" t="str">
            <v>5275242LEGGM</v>
          </cell>
          <cell r="D1939" t="str">
            <v>Legg Mason - US Small Caps</v>
          </cell>
          <cell r="F1939" t="str">
            <v>Renta Variable</v>
          </cell>
          <cell r="Q1939" t="str">
            <v>RVI</v>
          </cell>
        </row>
        <row r="1940">
          <cell r="B1940" t="str">
            <v>5271112VLUEU</v>
          </cell>
          <cell r="D1940" t="str">
            <v>BlackRock - iShares MSCI USA Value</v>
          </cell>
          <cell r="F1940" t="str">
            <v>Renta Variable</v>
          </cell>
          <cell r="Q1940" t="str">
            <v>RVI</v>
          </cell>
        </row>
        <row r="1941">
          <cell r="B1941" t="str">
            <v>5272872W3079</v>
          </cell>
          <cell r="D1941" t="str">
            <v>WisdomTree - US Large Cap Dividend</v>
          </cell>
          <cell r="F1941" t="str">
            <v>Renta Variable</v>
          </cell>
          <cell r="Q1941" t="str">
            <v>RVI</v>
          </cell>
        </row>
        <row r="1942">
          <cell r="B1942" t="str">
            <v>5273952EXRP0</v>
          </cell>
          <cell r="D1942" t="str">
            <v>Vanguard S&amp;P 500 - UCIT</v>
          </cell>
          <cell r="F1942" t="str">
            <v>Renta Variable</v>
          </cell>
          <cell r="Q1942" t="str">
            <v>RVI</v>
          </cell>
        </row>
        <row r="1943">
          <cell r="B1943" t="str">
            <v>5274042USLCP</v>
          </cell>
          <cell r="D1943" t="str">
            <v>First Trust - US Mega Cap AlphaDEX</v>
          </cell>
          <cell r="F1943" t="str">
            <v>Renta Variable</v>
          </cell>
          <cell r="Q1943" t="str">
            <v>RVI</v>
          </cell>
        </row>
        <row r="1944">
          <cell r="B1944" t="str">
            <v>5270882JPUSV</v>
          </cell>
          <cell r="D1944" t="str">
            <v>JP Morgan - US Value Fund</v>
          </cell>
          <cell r="F1944" t="str">
            <v>Renta Variable</v>
          </cell>
          <cell r="Q1944" t="str">
            <v>RVI</v>
          </cell>
        </row>
        <row r="1945">
          <cell r="B1945" t="str">
            <v>52WELL2USRES</v>
          </cell>
          <cell r="D1945" t="str">
            <v>Wellington - US Research Equity</v>
          </cell>
          <cell r="F1945" t="str">
            <v>Renta Variable</v>
          </cell>
          <cell r="Q1945" t="str">
            <v>RVI</v>
          </cell>
        </row>
        <row r="1946">
          <cell r="B1946" t="str">
            <v>PROXYS2US</v>
          </cell>
          <cell r="D1946" t="str">
            <v>FONDOS US</v>
          </cell>
          <cell r="F1946" t="str">
            <v>Renta Variable</v>
          </cell>
          <cell r="Q1946" t="str">
            <v>RVI</v>
          </cell>
        </row>
        <row r="1947">
          <cell r="B1947" t="str">
            <v>5271112SPSMC</v>
          </cell>
          <cell r="D1947" t="str">
            <v>BlackRock - iShares S&amp;P Small-Cap 600 Value</v>
          </cell>
          <cell r="F1947" t="str">
            <v>Renta Variable</v>
          </cell>
          <cell r="Q1947" t="str">
            <v>RVI</v>
          </cell>
        </row>
        <row r="1948">
          <cell r="B1948" t="str">
            <v>5274162E4151</v>
          </cell>
          <cell r="D1948" t="str">
            <v>Ossiam - Shiller Barclays Cape Value</v>
          </cell>
          <cell r="F1948" t="str">
            <v>Renta Variable</v>
          </cell>
          <cell r="Q1948" t="str">
            <v>RVI</v>
          </cell>
        </row>
        <row r="1949">
          <cell r="B1949" t="str">
            <v>5271112E7804</v>
          </cell>
          <cell r="D1949" t="str">
            <v>BlackRock - iShares Core S&amp;P Small Cap</v>
          </cell>
          <cell r="F1949" t="str">
            <v>Renta Variable</v>
          </cell>
          <cell r="Q1949" t="str">
            <v>RVI</v>
          </cell>
        </row>
        <row r="1950">
          <cell r="B1950" t="str">
            <v>5271282GALLO</v>
          </cell>
          <cell r="D1950" t="str">
            <v>BlackRock - Global Allocation Fund</v>
          </cell>
          <cell r="F1950" t="str">
            <v>Renta Variable</v>
          </cell>
          <cell r="Q1950" t="str">
            <v>RVI</v>
          </cell>
        </row>
        <row r="1951">
          <cell r="B1951" t="str">
            <v>5272872USDGQ</v>
          </cell>
          <cell r="D1951" t="str">
            <v>WisdomTree - US Quality Dividend Growth</v>
          </cell>
          <cell r="F1951" t="str">
            <v>Renta Variable</v>
          </cell>
          <cell r="Q1951" t="str">
            <v>RVI</v>
          </cell>
        </row>
        <row r="1952">
          <cell r="B1952" t="str">
            <v>5271112MULTI</v>
          </cell>
          <cell r="D1952" t="str">
            <v>BlackRock - iShares Edge MSCI Multifactor USA</v>
          </cell>
          <cell r="F1952" t="str">
            <v>Renta Variable</v>
          </cell>
          <cell r="Q1952" t="str">
            <v>RVI</v>
          </cell>
        </row>
        <row r="1953">
          <cell r="B1953" t="str">
            <v>5275122EV134</v>
          </cell>
          <cell r="D1953" t="str">
            <v>Invesco - Wilderhill Clean Energy</v>
          </cell>
          <cell r="F1953" t="str">
            <v>Renta Variable</v>
          </cell>
          <cell r="Q1953" t="str">
            <v>RVI</v>
          </cell>
        </row>
        <row r="1954">
          <cell r="B1954" t="str">
            <v>5274122STOCK</v>
          </cell>
          <cell r="D1954" t="str">
            <v>Pimco - StockPLUS Fund</v>
          </cell>
          <cell r="F1954" t="str">
            <v>Renta Variable</v>
          </cell>
          <cell r="Q1954" t="str">
            <v>RVI</v>
          </cell>
        </row>
        <row r="1955">
          <cell r="B1955" t="str">
            <v>5273932ER853</v>
          </cell>
          <cell r="D1955" t="str">
            <v>SSGA - S&amp;P 600 Small Cap ETF</v>
          </cell>
          <cell r="F1955" t="str">
            <v>Renta Variable</v>
          </cell>
          <cell r="Q1955" t="str">
            <v>RVI</v>
          </cell>
        </row>
        <row r="1956">
          <cell r="B1956" t="str">
            <v>3452392V1098</v>
          </cell>
          <cell r="D1956" t="str">
            <v>ATVI</v>
          </cell>
          <cell r="F1956" t="str">
            <v>Renta Variable</v>
          </cell>
          <cell r="Q1956" t="str">
            <v>RVI</v>
          </cell>
        </row>
        <row r="1957">
          <cell r="B1957" t="str">
            <v>345432201006</v>
          </cell>
          <cell r="D1957" t="str">
            <v>CVS Caremark Corp.</v>
          </cell>
          <cell r="F1957" t="str">
            <v>Renta Variable</v>
          </cell>
          <cell r="Q1957" t="str">
            <v>RVI</v>
          </cell>
        </row>
        <row r="1958">
          <cell r="B1958" t="str">
            <v>5273882RGCTI</v>
          </cell>
          <cell r="D1958" t="str">
            <v>Robeco - Consumer Trends</v>
          </cell>
          <cell r="F1958" t="str">
            <v>Renta Variable</v>
          </cell>
          <cell r="Q1958" t="str">
            <v>RVI</v>
          </cell>
        </row>
        <row r="1959">
          <cell r="B1959" t="str">
            <v>345442271068</v>
          </cell>
          <cell r="D1959" t="str">
            <v>Whole Foods Market Inc</v>
          </cell>
          <cell r="F1959" t="str">
            <v>Renta Variable</v>
          </cell>
          <cell r="Q1959" t="str">
            <v>RVI</v>
          </cell>
        </row>
        <row r="1960">
          <cell r="B1960" t="str">
            <v>3454772H1068</v>
          </cell>
          <cell r="D1960" t="str">
            <v>Fresh Markets</v>
          </cell>
          <cell r="F1960" t="str">
            <v>Renta Variable</v>
          </cell>
          <cell r="Q1960" t="str">
            <v>RVI</v>
          </cell>
        </row>
        <row r="1961">
          <cell r="B1961" t="str">
            <v>3455112T1051</v>
          </cell>
          <cell r="D1961" t="str">
            <v>NuSkin Enterprises</v>
          </cell>
          <cell r="F1961" t="str">
            <v>Renta Variable</v>
          </cell>
          <cell r="Q1961" t="str">
            <v>RVI</v>
          </cell>
        </row>
        <row r="1962">
          <cell r="B1962" t="str">
            <v>345575241015</v>
          </cell>
          <cell r="D1962" t="str">
            <v>Michael Kors Holdings Limited</v>
          </cell>
          <cell r="F1962" t="str">
            <v>Renta Variable</v>
          </cell>
          <cell r="Q1962" t="str">
            <v>RVI</v>
          </cell>
        </row>
        <row r="1963">
          <cell r="B1963" t="str">
            <v>345576291044</v>
          </cell>
          <cell r="D1963" t="str">
            <v>Estee Lauder</v>
          </cell>
          <cell r="F1963" t="str">
            <v>Renta Variable</v>
          </cell>
          <cell r="Q1963" t="str">
            <v>RVI</v>
          </cell>
        </row>
        <row r="1964">
          <cell r="B1964" t="str">
            <v>3455772Q1040</v>
          </cell>
          <cell r="D1964" t="str">
            <v>Tumi Holdings Inc.</v>
          </cell>
          <cell r="F1964" t="str">
            <v>Renta Variable</v>
          </cell>
          <cell r="Q1964" t="str">
            <v>RVI</v>
          </cell>
        </row>
        <row r="1965">
          <cell r="B1965" t="str">
            <v>5273932EY308</v>
          </cell>
          <cell r="D1965" t="str">
            <v>State Street - Consumer Staples Select Sector</v>
          </cell>
          <cell r="F1965" t="str">
            <v>Renta Variable</v>
          </cell>
          <cell r="Q1965" t="str">
            <v>RVI</v>
          </cell>
        </row>
        <row r="1966">
          <cell r="B1966" t="str">
            <v>5260012E3080</v>
          </cell>
          <cell r="D1966" t="str">
            <v>State Street - Consumer Staples Select Sector</v>
          </cell>
          <cell r="F1966" t="str">
            <v>Renta Variable</v>
          </cell>
          <cell r="Q1966" t="str">
            <v>RVI</v>
          </cell>
        </row>
        <row r="1967">
          <cell r="B1967" t="str">
            <v>5260012E4070</v>
          </cell>
          <cell r="D1967" t="str">
            <v>State Street - Consumer Discretionary Select Sector</v>
          </cell>
          <cell r="F1967" t="str">
            <v>Renta Variable</v>
          </cell>
          <cell r="Q1967" t="str">
            <v>RVI</v>
          </cell>
        </row>
        <row r="1968">
          <cell r="B1968" t="str">
            <v>5260012RETAI</v>
          </cell>
          <cell r="D1968" t="str">
            <v>State Street - S&amp;P Retail ETF</v>
          </cell>
          <cell r="F1968" t="str">
            <v>Renta Variable</v>
          </cell>
          <cell r="Q1968" t="str">
            <v>RVI</v>
          </cell>
        </row>
        <row r="1969">
          <cell r="B1969" t="str">
            <v>5273932EY852</v>
          </cell>
          <cell r="D1969" t="str">
            <v>State Street - Communication Services Select Sector</v>
          </cell>
          <cell r="F1969" t="str">
            <v>Renta Variable</v>
          </cell>
          <cell r="Q1969" t="str">
            <v>RVI</v>
          </cell>
        </row>
        <row r="1970">
          <cell r="B1970" t="str">
            <v>PTCMEF0-II016C-PUT</v>
          </cell>
          <cell r="D1970" t="str">
            <v>-</v>
          </cell>
          <cell r="F1970" t="str">
            <v>Derivados</v>
          </cell>
          <cell r="Q1970" t="str">
            <v>RVI</v>
          </cell>
        </row>
        <row r="1971">
          <cell r="B1971" t="str">
            <v>PTCMEF0-II017C-PUT</v>
          </cell>
          <cell r="D1971" t="str">
            <v>-</v>
          </cell>
          <cell r="F1971" t="str">
            <v>Derivados</v>
          </cell>
          <cell r="Q1971" t="str">
            <v>RVI</v>
          </cell>
        </row>
        <row r="1972">
          <cell r="B1972" t="str">
            <v>PTCMEF0-II022C-CALL</v>
          </cell>
          <cell r="D1972" t="str">
            <v>SPY US 01/20/23 C405</v>
          </cell>
          <cell r="F1972" t="str">
            <v>Derivados</v>
          </cell>
          <cell r="Q1972" t="str">
            <v>RVI</v>
          </cell>
        </row>
        <row r="1973">
          <cell r="B1973" t="str">
            <v>PTCMEF0-II008C-CALL</v>
          </cell>
          <cell r="D1973" t="str">
            <v>SPY US 12/16/22 C405</v>
          </cell>
          <cell r="F1973" t="str">
            <v>Derivados</v>
          </cell>
          <cell r="Q1973" t="str">
            <v>RVI</v>
          </cell>
        </row>
        <row r="1974">
          <cell r="B1974" t="str">
            <v>PTCMEF0-II007C-CALL</v>
          </cell>
          <cell r="D1974" t="str">
            <v>SPY US 12/16/22 C430</v>
          </cell>
          <cell r="F1974" t="str">
            <v>Derivados</v>
          </cell>
          <cell r="Q1974" t="str">
            <v>RVI</v>
          </cell>
        </row>
        <row r="1975">
          <cell r="B1975" t="str">
            <v>PTCMEF0-II006C-CALL</v>
          </cell>
          <cell r="D1975" t="str">
            <v>SPY US 12/16/22 C415</v>
          </cell>
          <cell r="F1975" t="str">
            <v>Derivados</v>
          </cell>
          <cell r="Q1975" t="str">
            <v>RVI</v>
          </cell>
        </row>
        <row r="1976">
          <cell r="B1976" t="str">
            <v>PTCMEF0-II042C-CALL</v>
          </cell>
          <cell r="D1976" t="str">
            <v>SPY US 09/15/23 C450</v>
          </cell>
          <cell r="F1976" t="str">
            <v>Derivados</v>
          </cell>
          <cell r="Q1976" t="str">
            <v>RVI</v>
          </cell>
        </row>
        <row r="1977">
          <cell r="B1977" t="str">
            <v>PTCMEF0-II044C-CALL</v>
          </cell>
          <cell r="D1977" t="str">
            <v>SPY US 10/20/23 C465</v>
          </cell>
          <cell r="F1977" t="str">
            <v>Derivados</v>
          </cell>
          <cell r="Q1977" t="str">
            <v>RVI</v>
          </cell>
        </row>
        <row r="1978">
          <cell r="B1978" t="str">
            <v>PTCMEF0-II045C-CALL</v>
          </cell>
          <cell r="D1978" t="str">
            <v>SPY US 10/20/23 C470</v>
          </cell>
          <cell r="F1978" t="str">
            <v>Derivados</v>
          </cell>
          <cell r="Q1978" t="str">
            <v>RVI</v>
          </cell>
        </row>
        <row r="1979">
          <cell r="B1979" t="str">
            <v>PTCMEF0-II046C-CALL</v>
          </cell>
          <cell r="D1979" t="str">
            <v>SPY US 11/17/23 C460</v>
          </cell>
          <cell r="F1979" t="str">
            <v>Derivados</v>
          </cell>
          <cell r="Q1979" t="str">
            <v>RVI</v>
          </cell>
        </row>
        <row r="1980">
          <cell r="B1980" t="str">
            <v>PTCMEF0-II047C-CALL</v>
          </cell>
          <cell r="D1980" t="str">
            <v>SPY US 12/15/23 C465</v>
          </cell>
          <cell r="F1980" t="str">
            <v>Derivados</v>
          </cell>
          <cell r="Q1980" t="str">
            <v>RVI</v>
          </cell>
        </row>
        <row r="1981">
          <cell r="B1981" t="str">
            <v>PTCMEF0-II049C-CALL</v>
          </cell>
          <cell r="D1981" t="str">
            <v>SPY US 01/19/24 C440</v>
          </cell>
          <cell r="F1981" t="str">
            <v>Derivados</v>
          </cell>
          <cell r="Q1981" t="str">
            <v>RVI</v>
          </cell>
        </row>
        <row r="1982">
          <cell r="B1982" t="str">
            <v>PTCMEF0-II050C-CALL</v>
          </cell>
          <cell r="D1982" t="str">
            <v>SPY US 01/19/24 C430</v>
          </cell>
          <cell r="F1982" t="str">
            <v>Derivados</v>
          </cell>
          <cell r="Q1982" t="str">
            <v>RVI</v>
          </cell>
        </row>
        <row r="1983">
          <cell r="B1983" t="str">
            <v>PTCMEF0-II051C-CALL</v>
          </cell>
          <cell r="D1983" t="str">
            <v>SPY US 01/19/24 C450</v>
          </cell>
          <cell r="F1983" t="str">
            <v>Derivados</v>
          </cell>
          <cell r="Q1983" t="str">
            <v>RVI</v>
          </cell>
        </row>
        <row r="1984">
          <cell r="B1984" t="str">
            <v>PTCMEF0-II052C-CALL</v>
          </cell>
          <cell r="D1984" t="str">
            <v>SPY US 03/15/24 C460</v>
          </cell>
          <cell r="F1984" t="str">
            <v>Derivados</v>
          </cell>
          <cell r="Q1984" t="str">
            <v>RVI</v>
          </cell>
        </row>
        <row r="1985">
          <cell r="B1985" t="str">
            <v>PTCMEF0-II053C-CALL</v>
          </cell>
          <cell r="D1985" t="str">
            <v>SPY US 06/21/24 C480</v>
          </cell>
          <cell r="F1985" t="str">
            <v>Derivados</v>
          </cell>
          <cell r="Q1985" t="str">
            <v>RVI</v>
          </cell>
        </row>
        <row r="1986">
          <cell r="B1986" t="str">
            <v>PTCMEF0-II054C-CALL</v>
          </cell>
          <cell r="D1986" t="str">
            <v>SPY US 06/21/24 C510</v>
          </cell>
          <cell r="F1986" t="str">
            <v>Derivados</v>
          </cell>
          <cell r="Q1986" t="str">
            <v>RVI</v>
          </cell>
        </row>
        <row r="1987">
          <cell r="B1987" t="str">
            <v>PTCMEF0-II055C-CALL</v>
          </cell>
          <cell r="D1987" t="str">
            <v>SPX US 12/20/24 C6100</v>
          </cell>
          <cell r="F1987" t="str">
            <v>Derivados</v>
          </cell>
          <cell r="Q1987" t="str">
            <v>RVI</v>
          </cell>
        </row>
        <row r="1988">
          <cell r="B1988" t="str">
            <v>PTCMEF0-II056C-CALL</v>
          </cell>
          <cell r="D1988" t="str">
            <v>QQQ US 07/19/24 C485</v>
          </cell>
          <cell r="F1988" t="str">
            <v>Derivados</v>
          </cell>
          <cell r="Q1988" t="str">
            <v>RVI</v>
          </cell>
        </row>
        <row r="1989">
          <cell r="B1989" t="str">
            <v>PTCMEF0-II057C-CALL</v>
          </cell>
          <cell r="D1989" t="str">
            <v>QQQ US 08/16/24 C470</v>
          </cell>
          <cell r="F1989" t="str">
            <v>Derivados</v>
          </cell>
          <cell r="Q1989" t="str">
            <v>RVI</v>
          </cell>
        </row>
        <row r="1990">
          <cell r="B1990" t="str">
            <v>PTCMEF0-II058C-CALL</v>
          </cell>
          <cell r="D1990" t="str">
            <v>QQQ US 08/16/24 C480</v>
          </cell>
          <cell r="F1990" t="str">
            <v>Derivados</v>
          </cell>
          <cell r="Q1990" t="str">
            <v>RVI</v>
          </cell>
        </row>
        <row r="1991">
          <cell r="B1991" t="str">
            <v>PTCMEF0-II059C-CALL</v>
          </cell>
          <cell r="D1991" t="str">
            <v>QQQ US 08/16/24 C445</v>
          </cell>
          <cell r="F1991" t="str">
            <v>Derivados</v>
          </cell>
          <cell r="Q1991" t="str">
            <v>RVI</v>
          </cell>
        </row>
        <row r="1992">
          <cell r="B1992" t="str">
            <v>PTCMEF0-II060C-CALL</v>
          </cell>
          <cell r="D1992" t="str">
            <v>QQQ US 08/16/24 C455</v>
          </cell>
          <cell r="F1992" t="str">
            <v>Derivados</v>
          </cell>
          <cell r="Q1992" t="str">
            <v>RVI</v>
          </cell>
        </row>
        <row r="1993">
          <cell r="B1993" t="str">
            <v>PTCMEF0-II061C-CALL</v>
          </cell>
          <cell r="D1993" t="str">
            <v>QQQ US 09/20/24 C475</v>
          </cell>
          <cell r="F1993" t="str">
            <v>Derivados</v>
          </cell>
          <cell r="Q1993" t="str">
            <v>RVI</v>
          </cell>
        </row>
        <row r="1994">
          <cell r="B1994" t="str">
            <v>PTCMEF0-II062C-CALL</v>
          </cell>
          <cell r="D1994" t="str">
            <v>SPX US 06/20/25 C5700</v>
          </cell>
          <cell r="F1994" t="str">
            <v>Derivados</v>
          </cell>
          <cell r="Q1994" t="str">
            <v>RVI</v>
          </cell>
        </row>
        <row r="1995">
          <cell r="B1995" t="str">
            <v>PTCMEF0-II063C-CALL</v>
          </cell>
          <cell r="D1995" t="str">
            <v>QQQ US 03/28/25 C493</v>
          </cell>
          <cell r="F1995" t="str">
            <v>Derivados</v>
          </cell>
          <cell r="Q1995" t="str">
            <v>RVI</v>
          </cell>
        </row>
        <row r="1996">
          <cell r="B1996" t="str">
            <v>PTCMEF0-II064C-CALL</v>
          </cell>
          <cell r="D1996" t="str">
            <v>QQQ US 03/21/25 C493</v>
          </cell>
          <cell r="F1996" t="str">
            <v>Derivados</v>
          </cell>
          <cell r="Q1996" t="str">
            <v>RVI</v>
          </cell>
        </row>
        <row r="1997">
          <cell r="B1997" t="str">
            <v>PTCMEF0-II065C-CALL</v>
          </cell>
          <cell r="D1997" t="str">
            <v>QQQ US 06/20/2025 C500</v>
          </cell>
          <cell r="F1997" t="str">
            <v>Derivados</v>
          </cell>
          <cell r="Q1997" t="str">
            <v>RVI</v>
          </cell>
        </row>
        <row r="1998">
          <cell r="B1998" t="str">
            <v>PTCMEF0-II066C-CALL</v>
          </cell>
          <cell r="D1998" t="str">
            <v>QQQ US 06/20/2025 C500</v>
          </cell>
          <cell r="F1998" t="str">
            <v>Derivados</v>
          </cell>
          <cell r="Q1998" t="str">
            <v>RVI</v>
          </cell>
        </row>
        <row r="1999">
          <cell r="B1999" t="str">
            <v>PTCMEF0-II068C-CALL</v>
          </cell>
          <cell r="D1999" t="str">
            <v>QQQ US 09/19/25 C530</v>
          </cell>
          <cell r="F1999" t="str">
            <v>Derivados</v>
          </cell>
          <cell r="Q1999" t="str">
            <v>RVI</v>
          </cell>
        </row>
        <row r="2000">
          <cell r="B2000" t="str">
            <v>PTCMEF0-II063C-PUT</v>
          </cell>
          <cell r="D2000" t="str">
            <v>SPXW US 07/07/25 P5700</v>
          </cell>
          <cell r="F2000" t="str">
            <v>Derivados</v>
          </cell>
          <cell r="Q2000" t="str">
            <v>RVI</v>
          </cell>
        </row>
        <row r="2001">
          <cell r="B2001" t="str">
            <v>PTCMEF0-II067C-CALL</v>
          </cell>
          <cell r="D2001" t="str">
            <v>QQQ US 06/20/25 C470</v>
          </cell>
          <cell r="F2001" t="str">
            <v>Derivados</v>
          </cell>
          <cell r="Q2001" t="str">
            <v>RVI</v>
          </cell>
        </row>
        <row r="2002">
          <cell r="B2002" t="str">
            <v>PTCMEF0-II030C-CALL</v>
          </cell>
          <cell r="D2002" t="str">
            <v>SPX US 01/19/24 C4500</v>
          </cell>
          <cell r="F2002" t="str">
            <v>Derivados</v>
          </cell>
          <cell r="Q2002" t="str">
            <v>RVI</v>
          </cell>
        </row>
        <row r="2003">
          <cell r="B2003" t="str">
            <v>PTCMEF0-II031C-CALL</v>
          </cell>
          <cell r="D2003" t="str">
            <v>SPX US 03/15/24 C4600</v>
          </cell>
          <cell r="F2003" t="str">
            <v>Derivados</v>
          </cell>
          <cell r="Q2003" t="str">
            <v>RVI</v>
          </cell>
        </row>
        <row r="2004">
          <cell r="B2004" t="str">
            <v>PTCMEF0-II032C-CALL</v>
          </cell>
          <cell r="D2004" t="str">
            <v>SPX US 06/21/24 C4800</v>
          </cell>
          <cell r="F2004" t="str">
            <v>Derivados</v>
          </cell>
          <cell r="Q2004" t="str">
            <v>RVI</v>
          </cell>
        </row>
        <row r="2005">
          <cell r="B2005" t="str">
            <v>PTCMEF0-II033C-CALL</v>
          </cell>
          <cell r="D2005" t="str">
            <v>SPX US 06/21/24 C5100</v>
          </cell>
          <cell r="F2005" t="str">
            <v>Derivados</v>
          </cell>
          <cell r="Q2005" t="str">
            <v>RVI</v>
          </cell>
        </row>
        <row r="2006">
          <cell r="B2006" t="str">
            <v>PTCMEF0-II034C-CALL</v>
          </cell>
          <cell r="D2006" t="str">
            <v>SPX US 06/21/24 C5100</v>
          </cell>
          <cell r="F2006" t="str">
            <v>Derivados</v>
          </cell>
          <cell r="Q2006" t="str">
            <v>RVI</v>
          </cell>
        </row>
        <row r="2007">
          <cell r="B2007" t="str">
            <v>PTCMEF0-II035C-CALL</v>
          </cell>
          <cell r="D2007" t="str">
            <v>SPX US 06/21/24 C5200</v>
          </cell>
          <cell r="F2007" t="str">
            <v>Derivados</v>
          </cell>
          <cell r="Q2007" t="str">
            <v>RVI</v>
          </cell>
        </row>
        <row r="2008">
          <cell r="B2008" t="str">
            <v>PTCMEF0-II036C-CALL</v>
          </cell>
          <cell r="D2008" t="str">
            <v>SPX US 06/21/24 C5200</v>
          </cell>
          <cell r="F2008" t="str">
            <v>Derivados</v>
          </cell>
          <cell r="Q2008" t="str">
            <v>RVI</v>
          </cell>
        </row>
        <row r="2009">
          <cell r="B2009" t="str">
            <v>PTCMEF0-II037C-CALL</v>
          </cell>
          <cell r="D2009" t="str">
            <v>SPX US 06/21/24 C5300</v>
          </cell>
          <cell r="F2009" t="str">
            <v>Derivados</v>
          </cell>
          <cell r="Q2009" t="str">
            <v>RVI</v>
          </cell>
        </row>
        <row r="2010">
          <cell r="B2010" t="str">
            <v>PTCMEF0-II038C-CALL</v>
          </cell>
          <cell r="D2010" t="str">
            <v>SPX US 06/21/24 C5300</v>
          </cell>
          <cell r="F2010" t="str">
            <v>Derivados</v>
          </cell>
          <cell r="Q2010" t="str">
            <v>RVI</v>
          </cell>
        </row>
        <row r="2011">
          <cell r="B2011" t="str">
            <v>PTCMEF0-II040C-CALL</v>
          </cell>
          <cell r="D2011" t="str">
            <v>SPX US 09/20/24 C5500</v>
          </cell>
          <cell r="F2011" t="str">
            <v>Derivados</v>
          </cell>
          <cell r="Q2011" t="str">
            <v>RVI</v>
          </cell>
        </row>
        <row r="2012">
          <cell r="B2012" t="str">
            <v>PTCMEF0-II048C-CALL</v>
          </cell>
          <cell r="D2012" t="str">
            <v>SPY US 12/15/23 C450</v>
          </cell>
          <cell r="F2012" t="str">
            <v>Derivados</v>
          </cell>
          <cell r="Q2012" t="str">
            <v>RVI</v>
          </cell>
        </row>
        <row r="2013">
          <cell r="B2013" t="str">
            <v>PTCMEF0-II043C-CALL</v>
          </cell>
          <cell r="D2013" t="str">
            <v>SPX US 09/20/24 C5550</v>
          </cell>
          <cell r="F2013" t="str">
            <v>Derivados</v>
          </cell>
          <cell r="Q2013" t="str">
            <v>RVI</v>
          </cell>
        </row>
        <row r="2014">
          <cell r="B2014" t="str">
            <v>PTCMEF0-II005C-CALL</v>
          </cell>
          <cell r="D2014" t="str">
            <v>SPY 12/16/22 C440</v>
          </cell>
          <cell r="F2014" t="str">
            <v>Derivados</v>
          </cell>
          <cell r="Q2014" t="str">
            <v>RVI</v>
          </cell>
        </row>
        <row r="2015">
          <cell r="B2015" t="str">
            <v>PTCMEF0-II011C-CALL</v>
          </cell>
          <cell r="D2015" t="str">
            <v>SPY US 01/20/23 C390</v>
          </cell>
          <cell r="F2015" t="str">
            <v>Derivados</v>
          </cell>
          <cell r="Q2015" t="str">
            <v>RVI</v>
          </cell>
        </row>
        <row r="2016">
          <cell r="B2016" t="str">
            <v>PTCMEF0-II008C-PUT</v>
          </cell>
          <cell r="D2016" t="str">
            <v>SPX US 12/20/19 P2850</v>
          </cell>
          <cell r="F2016" t="str">
            <v>Derivados</v>
          </cell>
          <cell r="Q2016" t="str">
            <v>RVI</v>
          </cell>
        </row>
        <row r="2017">
          <cell r="B2017" t="str">
            <v>PTCMEF0-II009C-PUT</v>
          </cell>
          <cell r="D2017" t="str">
            <v>SPX US 03/31/20 P2850 INDEX</v>
          </cell>
          <cell r="F2017" t="str">
            <v>Derivados</v>
          </cell>
          <cell r="Q2017" t="str">
            <v>RVI</v>
          </cell>
        </row>
        <row r="2018">
          <cell r="B2018" t="str">
            <v>PTCMEF0-II024C-PUT</v>
          </cell>
          <cell r="D2018" t="str">
            <v>SPX US 09/15/23 P3950</v>
          </cell>
          <cell r="F2018" t="str">
            <v>Derivados</v>
          </cell>
          <cell r="Q2018" t="str">
            <v>RVI</v>
          </cell>
        </row>
        <row r="2019">
          <cell r="B2019" t="str">
            <v>PTCMEF0-II035C-PUT</v>
          </cell>
          <cell r="D2019" t="str">
            <v>SPY US 09/15/23 P395</v>
          </cell>
          <cell r="F2019" t="str">
            <v>Derivados</v>
          </cell>
          <cell r="Q2019" t="str">
            <v>RVI</v>
          </cell>
        </row>
        <row r="2020">
          <cell r="B2020" t="str">
            <v>PTCMEF0-II041C-CALL</v>
          </cell>
          <cell r="D2020" t="str">
            <v>SPX US 09/20/24 C5600</v>
          </cell>
          <cell r="F2020" t="str">
            <v>Derivados</v>
          </cell>
          <cell r="Q2020" t="str">
            <v>RVI</v>
          </cell>
        </row>
        <row r="2021">
          <cell r="B2021" t="str">
            <v>PTCMEF0-II010C-PUT</v>
          </cell>
          <cell r="D2021" t="str">
            <v>SPXW US 03/31/20 P2850</v>
          </cell>
          <cell r="F2021" t="str">
            <v>Derivados</v>
          </cell>
          <cell r="Q2021" t="str">
            <v>RVI</v>
          </cell>
        </row>
        <row r="2022">
          <cell r="B2022" t="str">
            <v>PTCMEF0-II011C-PUT</v>
          </cell>
          <cell r="D2022" t="str">
            <v>SPXW US 03/31/20 P2900</v>
          </cell>
          <cell r="F2022" t="str">
            <v>Derivados</v>
          </cell>
          <cell r="Q2022" t="str">
            <v>RVI</v>
          </cell>
        </row>
        <row r="2023">
          <cell r="B2023" t="str">
            <v>PTCMEF0-II012C-CALL</v>
          </cell>
          <cell r="D2023"/>
          <cell r="F2023" t="str">
            <v>Derivados</v>
          </cell>
          <cell r="Q2023" t="str">
            <v>RVI</v>
          </cell>
        </row>
        <row r="2024">
          <cell r="B2024" t="str">
            <v>PTCMEF0-II016C-CALL</v>
          </cell>
          <cell r="D2024" t="str">
            <v>SPY US 01/20/23 C400</v>
          </cell>
          <cell r="F2024" t="str">
            <v>Derivados</v>
          </cell>
          <cell r="Q2024" t="str">
            <v>RVI</v>
          </cell>
        </row>
        <row r="2025">
          <cell r="B2025" t="str">
            <v>PTCMEF0-II029C-CALL</v>
          </cell>
          <cell r="D2025" t="str">
            <v>SPX US 01/19/24 C4400</v>
          </cell>
          <cell r="F2025" t="str">
            <v>Derivados</v>
          </cell>
          <cell r="Q2025" t="str">
            <v>RVI</v>
          </cell>
        </row>
        <row r="2026">
          <cell r="B2026" t="str">
            <v>PTCMEF0-II015C-CALL</v>
          </cell>
          <cell r="D2026" t="str">
            <v>SPY US 01/20/23 C400</v>
          </cell>
          <cell r="F2026" t="str">
            <v>Derivados</v>
          </cell>
          <cell r="Q2026" t="str">
            <v>RVI</v>
          </cell>
        </row>
        <row r="2027">
          <cell r="B2027" t="str">
            <v>PTCMEF0-II010C-CALL</v>
          </cell>
          <cell r="D2027" t="str">
            <v>-</v>
          </cell>
          <cell r="F2027" t="str">
            <v>Derivados</v>
          </cell>
          <cell r="Q2027" t="str">
            <v>RVI</v>
          </cell>
        </row>
        <row r="2028">
          <cell r="B2028" t="str">
            <v>PTCMEF0-II001C-CALL</v>
          </cell>
          <cell r="D2028" t="str">
            <v>-</v>
          </cell>
          <cell r="F2028" t="str">
            <v>Derivados</v>
          </cell>
          <cell r="Q2028" t="str">
            <v>RVI</v>
          </cell>
        </row>
        <row r="2029">
          <cell r="B2029" t="str">
            <v>PTCMEF0-II002C-CALL</v>
          </cell>
          <cell r="D2029" t="str">
            <v>-</v>
          </cell>
          <cell r="F2029" t="str">
            <v>Derivados</v>
          </cell>
          <cell r="Q2029" t="str">
            <v>RVI</v>
          </cell>
        </row>
        <row r="2030">
          <cell r="B2030" t="str">
            <v>PTCMEF0-II003C-CALL</v>
          </cell>
          <cell r="D2030" t="str">
            <v>-</v>
          </cell>
          <cell r="F2030" t="str">
            <v>Derivados</v>
          </cell>
          <cell r="Q2030" t="str">
            <v>RVI</v>
          </cell>
        </row>
        <row r="2031">
          <cell r="B2031" t="str">
            <v>PTCMEF0-II004C-CALL</v>
          </cell>
          <cell r="D2031" t="str">
            <v>-</v>
          </cell>
          <cell r="F2031" t="str">
            <v>Derivados</v>
          </cell>
          <cell r="Q2031" t="str">
            <v>RVI</v>
          </cell>
        </row>
        <row r="2032">
          <cell r="B2032" t="str">
            <v>PTCMEF0-II021C-CALL</v>
          </cell>
          <cell r="D2032" t="str">
            <v>SPY US 01/20/23 C405</v>
          </cell>
          <cell r="F2032" t="str">
            <v>Derivados</v>
          </cell>
          <cell r="Q2032" t="str">
            <v>RVI</v>
          </cell>
        </row>
        <row r="2033">
          <cell r="B2033" t="str">
            <v>PTCMEF0-II023C-CALL</v>
          </cell>
          <cell r="D2033" t="str">
            <v>SPY US 03/17/23 C420</v>
          </cell>
          <cell r="F2033" t="str">
            <v>Derivados</v>
          </cell>
          <cell r="Q2033" t="str">
            <v>RVI</v>
          </cell>
        </row>
        <row r="2034">
          <cell r="B2034" t="str">
            <v>PTCMEF0-II026C-CALL</v>
          </cell>
          <cell r="D2034" t="str">
            <v>SPX US 10/20/23 C4650</v>
          </cell>
          <cell r="F2034" t="str">
            <v>Derivados</v>
          </cell>
          <cell r="Q2034" t="str">
            <v>RVI</v>
          </cell>
        </row>
        <row r="2035">
          <cell r="B2035" t="str">
            <v>PTCMEF0-II027C-CALL</v>
          </cell>
          <cell r="D2035" t="str">
            <v>SPX US 10/20/23 C4700</v>
          </cell>
          <cell r="F2035" t="str">
            <v>Derivados</v>
          </cell>
          <cell r="Q2035" t="str">
            <v>RVI</v>
          </cell>
        </row>
        <row r="2036">
          <cell r="B2036" t="str">
            <v>PTCMEF0-II025C-CALL</v>
          </cell>
          <cell r="D2036" t="str">
            <v>SPY US 02/17/23 C390</v>
          </cell>
          <cell r="F2036" t="str">
            <v>Derivados</v>
          </cell>
          <cell r="Q2036" t="str">
            <v>RVI</v>
          </cell>
        </row>
        <row r="2037">
          <cell r="B2037" t="str">
            <v>PTCMEF0-II028C-CALL</v>
          </cell>
          <cell r="D2037" t="str">
            <v>SPY US 5/19/23 C415</v>
          </cell>
          <cell r="F2037" t="str">
            <v>Derivados</v>
          </cell>
          <cell r="Q2037" t="str">
            <v>RVI</v>
          </cell>
        </row>
        <row r="2038">
          <cell r="B2038" t="str">
            <v>PTCMEF0-II032C-PUT</v>
          </cell>
          <cell r="D2038" t="str">
            <v>SPY US 05/19/23 P390</v>
          </cell>
          <cell r="F2038" t="str">
            <v>Derivados</v>
          </cell>
          <cell r="Q2038" t="str">
            <v>RVI</v>
          </cell>
        </row>
        <row r="2039">
          <cell r="B2039" t="str">
            <v>PTCMEF0-II022C-PUT</v>
          </cell>
          <cell r="D2039" t="str">
            <v>SPX US 5/19/2023 P3900</v>
          </cell>
          <cell r="F2039" t="str">
            <v>Derivados</v>
          </cell>
          <cell r="Q2039" t="str">
            <v>RVI</v>
          </cell>
        </row>
        <row r="2040">
          <cell r="B2040" t="str">
            <v>PTCMEF0-II034C-PUT</v>
          </cell>
          <cell r="D2040" t="str">
            <v>SPY US 06/16/23 P395</v>
          </cell>
          <cell r="F2040" t="str">
            <v>Derivados</v>
          </cell>
          <cell r="Q2040" t="str">
            <v>RVI</v>
          </cell>
        </row>
        <row r="2041">
          <cell r="B2041" t="str">
            <v>PTCMEF0-II023C-PUT</v>
          </cell>
          <cell r="D2041" t="str">
            <v>SPX US 06/16/23 P3950</v>
          </cell>
          <cell r="F2041" t="str">
            <v>Derivados</v>
          </cell>
          <cell r="Q2041" t="str">
            <v>RVI</v>
          </cell>
        </row>
        <row r="2042">
          <cell r="B2042" t="str">
            <v>345071270108</v>
          </cell>
          <cell r="D2042" t="str">
            <v>Berkshire Hathaway</v>
          </cell>
          <cell r="F2042" t="str">
            <v>Renta Variable</v>
          </cell>
          <cell r="Q2042" t="str">
            <v>RVI</v>
          </cell>
        </row>
        <row r="2043">
          <cell r="B2043" t="str">
            <v>345403291080</v>
          </cell>
          <cell r="D2043" t="str">
            <v>Discover Financial Services</v>
          </cell>
          <cell r="F2043" t="str">
            <v>Renta Variable</v>
          </cell>
          <cell r="Q2043" t="str">
            <v>RVI</v>
          </cell>
        </row>
        <row r="2044">
          <cell r="B2044" t="str">
            <v>3454922Q1040</v>
          </cell>
          <cell r="D2044" t="str">
            <v>Mastercard</v>
          </cell>
          <cell r="F2044" t="str">
            <v>Renta Variable</v>
          </cell>
          <cell r="Q2044" t="str">
            <v>RVI</v>
          </cell>
        </row>
        <row r="2045">
          <cell r="B2045" t="str">
            <v>3454942R1086</v>
          </cell>
          <cell r="D2045" t="str">
            <v>Metlife</v>
          </cell>
          <cell r="F2045" t="str">
            <v>Renta Variable</v>
          </cell>
          <cell r="Q2045" t="str">
            <v>RVI</v>
          </cell>
        </row>
        <row r="2046">
          <cell r="B2046" t="str">
            <v>3455062C8394</v>
          </cell>
          <cell r="D2046" t="str">
            <v>Visa</v>
          </cell>
          <cell r="F2046" t="str">
            <v>Renta Variable</v>
          </cell>
          <cell r="Q2046" t="str">
            <v>RVI</v>
          </cell>
        </row>
        <row r="2047">
          <cell r="B2047" t="str">
            <v>3455372P1005</v>
          </cell>
          <cell r="D2047" t="str">
            <v>Regions Financial Corporation</v>
          </cell>
          <cell r="F2047" t="str">
            <v>Renta Variable</v>
          </cell>
          <cell r="Q2047" t="str">
            <v>RVI</v>
          </cell>
        </row>
        <row r="2048">
          <cell r="B2048" t="str">
            <v>3456662H1059</v>
          </cell>
          <cell r="D2048" t="str">
            <v>Vantiv</v>
          </cell>
          <cell r="F2048" t="str">
            <v>Renta Variable</v>
          </cell>
          <cell r="Q2048" t="str">
            <v>RVI</v>
          </cell>
        </row>
        <row r="2049">
          <cell r="B2049" t="str">
            <v>5260012EA698</v>
          </cell>
          <cell r="D2049" t="str">
            <v>State Street - Regional Banks</v>
          </cell>
          <cell r="F2049" t="str">
            <v>Renta Variable</v>
          </cell>
          <cell r="Q2049" t="str">
            <v>RVI</v>
          </cell>
        </row>
        <row r="2050">
          <cell r="B2050" t="str">
            <v>5260012EY605</v>
          </cell>
          <cell r="D2050" t="str">
            <v>State Street - Financials Select Sector</v>
          </cell>
          <cell r="F2050" t="str">
            <v>Renta Variable</v>
          </cell>
          <cell r="Q2050" t="str">
            <v>RVI</v>
          </cell>
        </row>
        <row r="2051">
          <cell r="B2051" t="str">
            <v>5271112E7770</v>
          </cell>
          <cell r="D2051" t="str">
            <v>BlackRock - iShares Financial Services</v>
          </cell>
          <cell r="F2051" t="str">
            <v>Renta Variable</v>
          </cell>
          <cell r="Q2051" t="str">
            <v>RVI</v>
          </cell>
        </row>
        <row r="2052">
          <cell r="B2052" t="str">
            <v>5271112E8778</v>
          </cell>
          <cell r="D2052" t="str">
            <v>BlackRock - iShares US Regional Banks</v>
          </cell>
          <cell r="F2052" t="str">
            <v>Renta Variable</v>
          </cell>
          <cell r="Q2052" t="str">
            <v>RVI</v>
          </cell>
        </row>
        <row r="2053">
          <cell r="B2053" t="str">
            <v>5275122EE628</v>
          </cell>
          <cell r="D2053" t="str">
            <v>Invesco LLC - US Banks</v>
          </cell>
          <cell r="F2053" t="str">
            <v>Renta Variable</v>
          </cell>
          <cell r="Q2053" t="str">
            <v>RVI</v>
          </cell>
        </row>
        <row r="2054">
          <cell r="B2054" t="str">
            <v>5270732ENQZ4</v>
          </cell>
          <cell r="D2054" t="str">
            <v>BlackRock - iShares S&amp;P 500 Financials UCITS</v>
          </cell>
          <cell r="F2054" t="str">
            <v>Renta Variable</v>
          </cell>
          <cell r="Q2054" t="str">
            <v>RVI</v>
          </cell>
        </row>
        <row r="2055">
          <cell r="B2055" t="str">
            <v>3454562G1076</v>
          </cell>
          <cell r="D2055" t="str">
            <v>GNC Holdings, Inc.</v>
          </cell>
          <cell r="F2055" t="str">
            <v>Renta Variable</v>
          </cell>
          <cell r="Q2055" t="str">
            <v>RVI</v>
          </cell>
        </row>
        <row r="2056">
          <cell r="B2056" t="str">
            <v>5274172CACEL</v>
          </cell>
          <cell r="D2056" t="str">
            <v>CACELBV LX - Biotechnology</v>
          </cell>
          <cell r="F2056" t="str">
            <v>Renta Variable</v>
          </cell>
          <cell r="Q2056" t="str">
            <v>RVI</v>
          </cell>
        </row>
        <row r="2057">
          <cell r="B2057" t="str">
            <v>3455482K1088</v>
          </cell>
          <cell r="D2057" t="str">
            <v>DaVita Health Care Partners, Inc.</v>
          </cell>
          <cell r="F2057" t="str">
            <v>Renta Variable</v>
          </cell>
          <cell r="Q2057" t="str">
            <v>RVI</v>
          </cell>
        </row>
        <row r="2058">
          <cell r="B2058" t="str">
            <v>3455562C1018</v>
          </cell>
          <cell r="D2058" t="str">
            <v>HCA Holdings, Inc.</v>
          </cell>
          <cell r="F2058" t="str">
            <v>Renta Variable</v>
          </cell>
          <cell r="Q2058" t="str">
            <v>RVI</v>
          </cell>
        </row>
        <row r="2059">
          <cell r="B2059" t="str">
            <v>3455882SQD29</v>
          </cell>
          <cell r="D2059" t="str">
            <v>Covidien PLC</v>
          </cell>
          <cell r="F2059" t="str">
            <v>Renta Variable</v>
          </cell>
          <cell r="Q2059" t="str">
            <v>RVI</v>
          </cell>
        </row>
        <row r="2060">
          <cell r="B2060" t="str">
            <v>3456802G1085</v>
          </cell>
          <cell r="D2060" t="str">
            <v>Express Scripts Holding Company</v>
          </cell>
          <cell r="F2060" t="str">
            <v>Renta Variable</v>
          </cell>
          <cell r="Q2060" t="str">
            <v>RVI</v>
          </cell>
        </row>
        <row r="2061">
          <cell r="B2061" t="str">
            <v>5260012E2090</v>
          </cell>
          <cell r="D2061" t="str">
            <v>State Street - Healthcare Select Sector</v>
          </cell>
          <cell r="F2061" t="str">
            <v>Renta Variable</v>
          </cell>
          <cell r="Q2061" t="str">
            <v>RVI</v>
          </cell>
        </row>
        <row r="2062">
          <cell r="B2062" t="str">
            <v>5273932EA581</v>
          </cell>
          <cell r="D2062" t="str">
            <v>XHE US - Health Care Equipment</v>
          </cell>
          <cell r="F2062" t="str">
            <v>Renta Variable</v>
          </cell>
          <cell r="Q2062" t="str">
            <v>RVI</v>
          </cell>
        </row>
        <row r="2063">
          <cell r="B2063" t="str">
            <v>5271112E7325</v>
          </cell>
          <cell r="D2063" t="str">
            <v>BlackRock - iShares S&amp;P Global Healthcare Sector</v>
          </cell>
          <cell r="F2063" t="str">
            <v>Renta Variable</v>
          </cell>
          <cell r="Q2063" t="str">
            <v>RVI</v>
          </cell>
        </row>
        <row r="2064">
          <cell r="B2064" t="str">
            <v>5271112E8810</v>
          </cell>
          <cell r="D2064" t="str">
            <v>BlackRock - iShares US Medical Devices</v>
          </cell>
          <cell r="F2064" t="str">
            <v>Renta Variable</v>
          </cell>
          <cell r="Q2064" t="str">
            <v>RVI</v>
          </cell>
        </row>
        <row r="2065">
          <cell r="B2065" t="str">
            <v>5271112EUSHC</v>
          </cell>
          <cell r="D2065" t="str">
            <v>BlackRock - iShares US Heathcare</v>
          </cell>
          <cell r="F2065" t="str">
            <v>Renta Variable</v>
          </cell>
          <cell r="Q2065" t="str">
            <v>RVI</v>
          </cell>
        </row>
        <row r="2066">
          <cell r="B2066" t="str">
            <v>5274042US337</v>
          </cell>
          <cell r="D2066" t="str">
            <v>First Trust - Arca Biotechnology Index Fund</v>
          </cell>
          <cell r="F2066" t="str">
            <v>Renta Variable</v>
          </cell>
          <cell r="Q2066" t="str">
            <v>RVI</v>
          </cell>
        </row>
        <row r="2067">
          <cell r="B2067" t="str">
            <v>345214221022</v>
          </cell>
          <cell r="D2067" t="str">
            <v>Fluor Corporation</v>
          </cell>
          <cell r="F2067" t="str">
            <v>Renta Variable</v>
          </cell>
          <cell r="Q2067" t="str">
            <v>RVI</v>
          </cell>
        </row>
        <row r="2068">
          <cell r="B2068" t="str">
            <v>345315201095</v>
          </cell>
          <cell r="D2068" t="str">
            <v>Chicago Bridge and Iron</v>
          </cell>
          <cell r="F2068" t="str">
            <v>Renta Variable</v>
          </cell>
          <cell r="Q2068" t="str">
            <v>RVI</v>
          </cell>
        </row>
        <row r="2069">
          <cell r="B2069" t="str">
            <v>3453172W1062</v>
          </cell>
          <cell r="D2069" t="str">
            <v>KBR</v>
          </cell>
          <cell r="F2069" t="str">
            <v>Renta Variable</v>
          </cell>
          <cell r="Q2069" t="str">
            <v>RVI</v>
          </cell>
        </row>
        <row r="2070">
          <cell r="B2070" t="str">
            <v>3455982A1025</v>
          </cell>
          <cell r="D2070" t="str">
            <v>Meritage Homes Corporation</v>
          </cell>
          <cell r="F2070" t="str">
            <v>Renta Variable</v>
          </cell>
          <cell r="Q2070" t="str">
            <v>RVI</v>
          </cell>
        </row>
        <row r="2071">
          <cell r="B2071" t="str">
            <v>345708261066</v>
          </cell>
          <cell r="D2071" t="str">
            <v>Honerywell International</v>
          </cell>
          <cell r="F2071" t="str">
            <v>Renta Variable</v>
          </cell>
          <cell r="Q2071" t="str">
            <v>RVI</v>
          </cell>
        </row>
        <row r="2072">
          <cell r="B2072" t="str">
            <v>5260012A8889</v>
          </cell>
          <cell r="D2072" t="str">
            <v>State Street - Homebuilders ETF</v>
          </cell>
          <cell r="F2072" t="str">
            <v>Renta Variable</v>
          </cell>
          <cell r="Q2072" t="str">
            <v>RVI</v>
          </cell>
        </row>
        <row r="2073">
          <cell r="B2073" t="str">
            <v>5260012EY704</v>
          </cell>
          <cell r="D2073" t="str">
            <v>State Street - Industrial Select Sector</v>
          </cell>
          <cell r="F2073" t="str">
            <v>Renta Variable</v>
          </cell>
          <cell r="Q2073" t="str">
            <v>RVI</v>
          </cell>
        </row>
        <row r="2074">
          <cell r="B2074" t="str">
            <v>5271112E8752</v>
          </cell>
          <cell r="D2074" t="str">
            <v>BlackRock - iShares DJ US Home Construction Fund</v>
          </cell>
          <cell r="F2074" t="str">
            <v>Renta Variable</v>
          </cell>
          <cell r="Q2074" t="str">
            <v>RVI</v>
          </cell>
        </row>
        <row r="2075">
          <cell r="B2075" t="str">
            <v>5271112TRANS</v>
          </cell>
          <cell r="D2075" t="str">
            <v>BlackRock - iShares Transportation Average</v>
          </cell>
          <cell r="F2075" t="str">
            <v>Renta Variable</v>
          </cell>
          <cell r="Q2075" t="str">
            <v>RVI</v>
          </cell>
        </row>
        <row r="2076">
          <cell r="B2076" t="str">
            <v>5270432F2994</v>
          </cell>
          <cell r="D2076" t="str">
            <v>AXA - World Funds Framligton Digital Economy</v>
          </cell>
          <cell r="F2076" t="str">
            <v>Renta Variable</v>
          </cell>
          <cell r="Q2076" t="str">
            <v>RVI</v>
          </cell>
        </row>
        <row r="2077">
          <cell r="B2077" t="str">
            <v>34505125R102</v>
          </cell>
          <cell r="D2077" t="str">
            <v>Cisco Systems INC</v>
          </cell>
          <cell r="F2077" t="str">
            <v>Renta Variable</v>
          </cell>
          <cell r="Q2077" t="str">
            <v>RVI</v>
          </cell>
        </row>
        <row r="2078">
          <cell r="B2078" t="str">
            <v>345426231005</v>
          </cell>
          <cell r="D2078" t="str">
            <v>Apple</v>
          </cell>
          <cell r="F2078" t="str">
            <v>Renta Variable</v>
          </cell>
          <cell r="Q2078" t="str">
            <v>RVI</v>
          </cell>
        </row>
        <row r="2079">
          <cell r="B2079" t="str">
            <v>345499251036</v>
          </cell>
          <cell r="D2079" t="str">
            <v>Qualcomm</v>
          </cell>
          <cell r="F2079" t="str">
            <v>Renta Variable</v>
          </cell>
          <cell r="Q2079" t="str">
            <v>RVI</v>
          </cell>
        </row>
        <row r="2080">
          <cell r="B2080" t="str">
            <v>5275102CSGDE</v>
          </cell>
          <cell r="D2080" t="str">
            <v>Credit Suisse - Digital Health</v>
          </cell>
          <cell r="F2080" t="str">
            <v>Renta Variable</v>
          </cell>
          <cell r="Q2080" t="str">
            <v>RVI</v>
          </cell>
        </row>
        <row r="2081">
          <cell r="B2081" t="str">
            <v>5260012EA862</v>
          </cell>
          <cell r="D2081" t="str">
            <v>State Street - Semiconductors Select Sector</v>
          </cell>
          <cell r="F2081" t="str">
            <v>Renta Variable</v>
          </cell>
          <cell r="Q2081" t="str">
            <v>RVI</v>
          </cell>
        </row>
        <row r="2082">
          <cell r="B2082" t="str">
            <v>5260012EY803</v>
          </cell>
          <cell r="D2082" t="str">
            <v>State Street - Technology Select Sector</v>
          </cell>
          <cell r="F2082" t="str">
            <v>Renta Variable</v>
          </cell>
          <cell r="Q2082" t="str">
            <v>RVI</v>
          </cell>
        </row>
        <row r="2083">
          <cell r="B2083" t="str">
            <v>5259252EG498</v>
          </cell>
          <cell r="D2083" t="str">
            <v>Roundhill Financial - Magnificent Seven</v>
          </cell>
          <cell r="F2083" t="str">
            <v>Renta Variable</v>
          </cell>
          <cell r="Q2083" t="str">
            <v>RVI</v>
          </cell>
        </row>
        <row r="2084">
          <cell r="B2084" t="str">
            <v>5270172A7028</v>
          </cell>
          <cell r="D2084" t="str">
            <v>Vanguard - Information Technology</v>
          </cell>
          <cell r="F2084" t="str">
            <v>Renta Variable</v>
          </cell>
          <cell r="Q2084" t="str">
            <v>RVI</v>
          </cell>
        </row>
        <row r="2085">
          <cell r="B2085" t="str">
            <v>5270802F3332</v>
          </cell>
          <cell r="D2085" t="str">
            <v>Pictet Robotics</v>
          </cell>
          <cell r="F2085" t="str">
            <v>Renta Variable</v>
          </cell>
          <cell r="Q2085" t="str">
            <v>RVI</v>
          </cell>
        </row>
        <row r="2086">
          <cell r="B2086" t="str">
            <v>5270802PTDIG</v>
          </cell>
          <cell r="D2086" t="str">
            <v>Pictet - Digital</v>
          </cell>
          <cell r="F2086" t="str">
            <v>Renta Variable</v>
          </cell>
          <cell r="Q2086" t="str">
            <v>RVI</v>
          </cell>
        </row>
        <row r="2087">
          <cell r="B2087" t="str">
            <v>5270474GAIWT</v>
          </cell>
          <cell r="D2087" t="str">
            <v>Allianz - Artificial Intelligence</v>
          </cell>
          <cell r="F2087" t="str">
            <v>Renta Variable</v>
          </cell>
          <cell r="Q2087" t="str">
            <v>RVI</v>
          </cell>
        </row>
        <row r="2088">
          <cell r="B2088" t="str">
            <v>52751023193L</v>
          </cell>
          <cell r="D2088" t="str">
            <v>Credit Suisse - Lux Digital Health Equity</v>
          </cell>
          <cell r="F2088" t="str">
            <v>Renta Variable</v>
          </cell>
          <cell r="Q2088" t="str">
            <v>RVI</v>
          </cell>
        </row>
        <row r="2089">
          <cell r="B2089" t="str">
            <v>5274042ER704</v>
          </cell>
          <cell r="D2089" t="str">
            <v>AIRR US - First Trust American Industrial Rennaisance</v>
          </cell>
          <cell r="F2089" t="str">
            <v>Renta Variable</v>
          </cell>
          <cell r="Q2089" t="str">
            <v>RVI</v>
          </cell>
        </row>
        <row r="2090">
          <cell r="B2090" t="str">
            <v>5275522EX192</v>
          </cell>
          <cell r="D2090" t="str">
            <v>SKYY US - First Trust Cloud Computing ETF</v>
          </cell>
          <cell r="F2090" t="str">
            <v>Renta Variable</v>
          </cell>
          <cell r="Q2090" t="str">
            <v>RVI</v>
          </cell>
        </row>
        <row r="2091">
          <cell r="B2091" t="str">
            <v>5271112E7515</v>
          </cell>
          <cell r="D2091" t="str">
            <v>BlackRock - iShares S&amp;P NA Technology-Software Fund</v>
          </cell>
          <cell r="F2091" t="str">
            <v>Renta Variable</v>
          </cell>
          <cell r="Q2091" t="str">
            <v>RVI</v>
          </cell>
        </row>
        <row r="2092">
          <cell r="B2092" t="str">
            <v>5275122EG649</v>
          </cell>
          <cell r="D2092" t="str">
            <v>Invesco - Nasdaq 100 ETF</v>
          </cell>
          <cell r="F2092" t="str">
            <v>Renta Variable</v>
          </cell>
          <cell r="Q2092" t="str">
            <v>RVI</v>
          </cell>
        </row>
        <row r="2093">
          <cell r="B2093" t="str">
            <v>5275322EQM38</v>
          </cell>
          <cell r="D2093" t="str">
            <v>INVESCO - Nasdaq-100 Swap UCITS ETF</v>
          </cell>
          <cell r="F2093" t="str">
            <v>Renta Variable</v>
          </cell>
          <cell r="Q2093" t="str">
            <v>RVI</v>
          </cell>
        </row>
        <row r="2094">
          <cell r="B2094" t="str">
            <v>5274722KFVG8</v>
          </cell>
          <cell r="D2094" t="str">
            <v>Krane - CICC China 5G and Semiconductor ETF</v>
          </cell>
          <cell r="F2094" t="str">
            <v>Renta Variable</v>
          </cell>
          <cell r="Q2094" t="str">
            <v>RVI</v>
          </cell>
        </row>
        <row r="2095">
          <cell r="B2095" t="str">
            <v>5271112E7531</v>
          </cell>
          <cell r="D2095" t="str">
            <v>BlackRock - iShares NA Tech-Multim</v>
          </cell>
          <cell r="F2095" t="str">
            <v>Renta Variable</v>
          </cell>
          <cell r="Q2095" t="str">
            <v>RVI</v>
          </cell>
        </row>
        <row r="2096">
          <cell r="B2096" t="str">
            <v>5271112ISQQQ</v>
          </cell>
          <cell r="D2096" t="str">
            <v>BlackRock - iShares Nasdaq Biotechnology ETF</v>
          </cell>
          <cell r="F2096" t="str">
            <v>Renta Variable</v>
          </cell>
          <cell r="Q2096" t="str">
            <v>RVI</v>
          </cell>
        </row>
        <row r="2097">
          <cell r="B2097" t="str">
            <v>5270652EF676</v>
          </cell>
          <cell r="D2097" t="str">
            <v>VanEck Semiconductor ETF</v>
          </cell>
          <cell r="F2097" t="str">
            <v>Renta Variable</v>
          </cell>
          <cell r="Q2097" t="str">
            <v>RVI</v>
          </cell>
        </row>
        <row r="2098">
          <cell r="B2098" t="str">
            <v>5270652EH821</v>
          </cell>
          <cell r="D2098" t="str">
            <v>VanEck Vectors Digital Transformation</v>
          </cell>
          <cell r="F2098" t="str">
            <v>Renta Variable</v>
          </cell>
          <cell r="Q2098" t="str">
            <v>RVI</v>
          </cell>
        </row>
        <row r="2099">
          <cell r="B2099" t="str">
            <v>5271112E7523</v>
          </cell>
          <cell r="D2099" t="str">
            <v>BlackRock - iShares PHLX Semiconductor ETF</v>
          </cell>
          <cell r="F2099" t="str">
            <v>Renta Variable</v>
          </cell>
          <cell r="Q2099" t="str">
            <v>RVI</v>
          </cell>
        </row>
        <row r="2100">
          <cell r="B2100" t="str">
            <v>5272872US977</v>
          </cell>
          <cell r="D2100" t="str">
            <v>WisdomTree - Cloud Computing</v>
          </cell>
          <cell r="F2100" t="str">
            <v>Renta Variable</v>
          </cell>
          <cell r="Q2100" t="str">
            <v>RVI</v>
          </cell>
        </row>
        <row r="2101">
          <cell r="B2101" t="str">
            <v>5272872EY477</v>
          </cell>
          <cell r="D2101" t="str">
            <v>WisdomTree - Quality Growth</v>
          </cell>
          <cell r="F2101" t="str">
            <v>Renta Variable</v>
          </cell>
          <cell r="Q2101" t="str">
            <v>RVI</v>
          </cell>
        </row>
        <row r="2102">
          <cell r="B2102" t="str">
            <v>5275322ESA8K</v>
          </cell>
          <cell r="D2102" t="str">
            <v>Invesco - Nasdaq 100 Equal Weight UCITS</v>
          </cell>
          <cell r="F2102" t="str">
            <v>Renta Variable</v>
          </cell>
          <cell r="Q2102" t="str">
            <v>RVI</v>
          </cell>
        </row>
        <row r="2103">
          <cell r="B2103" t="str">
            <v>5275122EE103</v>
          </cell>
          <cell r="D2103" t="str">
            <v>Invesco - Power Shares QQQ</v>
          </cell>
          <cell r="F2103" t="str">
            <v>Renta Variable</v>
          </cell>
          <cell r="Q2103" t="str">
            <v>RVI</v>
          </cell>
        </row>
        <row r="2104">
          <cell r="B2104" t="str">
            <v>5260002EE103</v>
          </cell>
          <cell r="D2104" t="str">
            <v>Invesco - Power Shares QQQ</v>
          </cell>
          <cell r="F2104" t="str">
            <v>Renta Variable</v>
          </cell>
          <cell r="Q2104" t="str">
            <v>RVI</v>
          </cell>
        </row>
        <row r="2105">
          <cell r="B2105" t="str">
            <v>5274292E2260</v>
          </cell>
          <cell r="D2105" t="str">
            <v>Black Rock - World Technology Fund</v>
          </cell>
          <cell r="F2105" t="str">
            <v>Renta Variable</v>
          </cell>
          <cell r="Q2105" t="str">
            <v>RVI</v>
          </cell>
        </row>
        <row r="2106">
          <cell r="B2106" t="str">
            <v>5275122V7203</v>
          </cell>
          <cell r="D2106" t="str">
            <v>Invesco - DYNAMIC LEISURE AND</v>
          </cell>
          <cell r="F2106" t="str">
            <v>Renta Variable</v>
          </cell>
          <cell r="Q2106" t="str">
            <v>RVI</v>
          </cell>
        </row>
        <row r="2107">
          <cell r="B2107" t="str">
            <v>5274042EE302</v>
          </cell>
          <cell r="D2107" t="str">
            <v>First Trust - DJI Index Fund</v>
          </cell>
          <cell r="F2107" t="str">
            <v>Renta Variable</v>
          </cell>
          <cell r="Q2107" t="str">
            <v>RVI</v>
          </cell>
        </row>
        <row r="2108">
          <cell r="B2108" t="str">
            <v>5272872Y5437</v>
          </cell>
          <cell r="D2108" t="str">
            <v>WisdomTree - Artificial Intelligence and Innovation ETF</v>
          </cell>
          <cell r="F2108" t="str">
            <v>Renta Variable</v>
          </cell>
          <cell r="Q2108" t="str">
            <v>RVI</v>
          </cell>
        </row>
        <row r="2109">
          <cell r="B2109" t="str">
            <v>5274722KARS0</v>
          </cell>
          <cell r="D2109" t="str">
            <v>Krane - KElectric Vehicles and Future Mobility ETF</v>
          </cell>
          <cell r="F2109" t="str">
            <v>Renta Variable</v>
          </cell>
          <cell r="Q2109" t="str">
            <v>RVI</v>
          </cell>
        </row>
        <row r="2110">
          <cell r="B2110" t="str">
            <v>5260012EY886</v>
          </cell>
          <cell r="D2110" t="str">
            <v>State Street - Utilities Select Sector</v>
          </cell>
          <cell r="F2110" t="str">
            <v>Renta Variable</v>
          </cell>
          <cell r="Q2110" t="str">
            <v>RVI</v>
          </cell>
        </row>
        <row r="2111">
          <cell r="B2111" t="str">
            <v>5270172A8760</v>
          </cell>
          <cell r="D2111" t="str">
            <v>Vanguard - Utilities ETF</v>
          </cell>
          <cell r="F2111" t="str">
            <v>Renta Variable</v>
          </cell>
          <cell r="Q2111" t="str">
            <v>RVI</v>
          </cell>
        </row>
        <row r="2112">
          <cell r="B2112" t="str">
            <v>52MSIM2CA24X</v>
          </cell>
          <cell r="D2112" t="str">
            <v>MSIM - Emerging Leaders Equity Fund Z</v>
          </cell>
          <cell r="F2112" t="str">
            <v>Renta Variable</v>
          </cell>
          <cell r="Q2112" t="str">
            <v>RVI</v>
          </cell>
        </row>
        <row r="2113">
          <cell r="B2113" t="str">
            <v>527417246594</v>
          </cell>
          <cell r="D2113" t="str">
            <v>Candriam - Sustainable Equity EM</v>
          </cell>
          <cell r="F2113" t="str">
            <v>Renta Variable</v>
          </cell>
          <cell r="Q2113" t="str">
            <v>RVI</v>
          </cell>
        </row>
        <row r="2114">
          <cell r="B2114" t="str">
            <v>5270172E2858</v>
          </cell>
          <cell r="D2114" t="str">
            <v>Vanguard - Emerging Markets Index Fund</v>
          </cell>
          <cell r="F2114" t="str">
            <v>Renta Variable</v>
          </cell>
          <cell r="Q2114" t="str">
            <v>RVI</v>
          </cell>
        </row>
        <row r="2115">
          <cell r="B2115" t="str">
            <v>5270242EMECO</v>
          </cell>
          <cell r="D2115" t="str">
            <v>DFA - EM Core Equity</v>
          </cell>
          <cell r="F2115" t="str">
            <v>Renta Variable</v>
          </cell>
          <cell r="Q2115" t="str">
            <v>RVI</v>
          </cell>
        </row>
        <row r="2116">
          <cell r="B2116" t="str">
            <v>527025212106</v>
          </cell>
          <cell r="D2116" t="str">
            <v>Aberdeen - Emerging Markets Equity</v>
          </cell>
          <cell r="F2116" t="str">
            <v>Renta Variable</v>
          </cell>
          <cell r="Q2116" t="str">
            <v>RVI</v>
          </cell>
        </row>
        <row r="2117">
          <cell r="B2117" t="str">
            <v>527040275426</v>
          </cell>
          <cell r="D2117" t="str">
            <v>Fidelity - Emerging Markets -Retail</v>
          </cell>
          <cell r="F2117" t="str">
            <v>Renta Variable</v>
          </cell>
          <cell r="Q2117" t="str">
            <v>RVI</v>
          </cell>
        </row>
        <row r="2118">
          <cell r="B2118" t="str">
            <v>5270492F0703</v>
          </cell>
          <cell r="D2118" t="str">
            <v>Vontobel - Emerging Markets Equity</v>
          </cell>
          <cell r="F2118" t="str">
            <v>Renta Variable</v>
          </cell>
          <cell r="Q2118" t="str">
            <v>RVI</v>
          </cell>
        </row>
        <row r="2119">
          <cell r="B2119" t="str">
            <v>5271112E6533</v>
          </cell>
          <cell r="D2119" t="str">
            <v>BlackRock - iShares MSCI Emerging Markets Min Vol</v>
          </cell>
          <cell r="F2119" t="str">
            <v>Renta Variable</v>
          </cell>
          <cell r="Q2119" t="str">
            <v>RVI</v>
          </cell>
        </row>
        <row r="2120">
          <cell r="B2120" t="str">
            <v>5271112E7234</v>
          </cell>
          <cell r="D2120" t="str">
            <v xml:space="preserve">BlackRock - iShares MSCI Emerging Markets </v>
          </cell>
          <cell r="F2120" t="str">
            <v>Renta Variable</v>
          </cell>
          <cell r="Q2120" t="str">
            <v>RVI</v>
          </cell>
        </row>
        <row r="2121">
          <cell r="B2121" t="str">
            <v>5271112EG764</v>
          </cell>
          <cell r="D2121" t="str">
            <v>BlackRock - iShares MSCI Emerging Markets ex China</v>
          </cell>
          <cell r="F2121" t="str">
            <v>Renta Variable</v>
          </cell>
          <cell r="Q2121" t="str">
            <v>RVI</v>
          </cell>
        </row>
        <row r="2122">
          <cell r="B2122" t="str">
            <v>5270732E4GZ6</v>
          </cell>
          <cell r="D2122" t="str">
            <v>BlackRock - iShares Core MSCI Emerging Markets IMI UCITS ETF</v>
          </cell>
          <cell r="F2122" t="str">
            <v>Renta Variable</v>
          </cell>
          <cell r="Q2122" t="str">
            <v>RVI</v>
          </cell>
        </row>
        <row r="2123">
          <cell r="B2123" t="str">
            <v>5274042FEMUS</v>
          </cell>
          <cell r="D2123" t="str">
            <v>First Ttrust - Emerging Markets Alpha Dex</v>
          </cell>
          <cell r="F2123" t="str">
            <v>Renta Variable</v>
          </cell>
          <cell r="Q2123" t="str">
            <v>RVI</v>
          </cell>
        </row>
        <row r="2124">
          <cell r="B2124" t="str">
            <v>5271112EG103</v>
          </cell>
          <cell r="D2124" t="str">
            <v>BlackRock - iShares Core MSCI Emerging Markets ETF</v>
          </cell>
          <cell r="F2124" t="str">
            <v>Renta Variable</v>
          </cell>
          <cell r="Q2124" t="str">
            <v>RVI</v>
          </cell>
        </row>
        <row r="2125">
          <cell r="B2125" t="str">
            <v>5272872X5784</v>
          </cell>
          <cell r="D2125" t="str">
            <v>WisdomTree - Emerging Markets ex. State-Owned</v>
          </cell>
          <cell r="F2125" t="str">
            <v>Renta Variable</v>
          </cell>
          <cell r="Q2125" t="str">
            <v>RVI</v>
          </cell>
        </row>
        <row r="2126">
          <cell r="B2126" t="str">
            <v>5273872FIDEM</v>
          </cell>
          <cell r="D2126" t="str">
            <v>Fidelity - Emerging Markets - Inst</v>
          </cell>
          <cell r="F2126" t="str">
            <v>Renta Variable</v>
          </cell>
          <cell r="Q2126" t="str">
            <v>RVI</v>
          </cell>
        </row>
        <row r="2127">
          <cell r="B2127" t="str">
            <v>5273872F0606</v>
          </cell>
          <cell r="D2127" t="str">
            <v>Fidelity - Sustainable Emerging Markets Equity Fund</v>
          </cell>
          <cell r="F2127" t="str">
            <v>Renta Variable</v>
          </cell>
          <cell r="Q2127" t="str">
            <v>RVI</v>
          </cell>
        </row>
        <row r="2128">
          <cell r="B2128" t="str">
            <v>5270882EMIUS</v>
          </cell>
          <cell r="D2128" t="str">
            <v>JP Morgan - Emerging Markets</v>
          </cell>
          <cell r="F2128" t="str">
            <v>Renta Variable</v>
          </cell>
          <cell r="Q2128" t="str">
            <v>RVI</v>
          </cell>
        </row>
        <row r="2129">
          <cell r="B2129" t="str">
            <v>5273884F3049</v>
          </cell>
          <cell r="D2129" t="str">
            <v>Robeco - Emerging Conservative Equities</v>
          </cell>
          <cell r="F2129" t="str">
            <v>Renta Variable</v>
          </cell>
          <cell r="Q2129" t="str">
            <v>RVI</v>
          </cell>
        </row>
        <row r="2130">
          <cell r="B2130" t="str">
            <v>5273932EMERG</v>
          </cell>
          <cell r="D2130" t="str">
            <v>SSGA - Defensive Emerging Markets</v>
          </cell>
          <cell r="F2130" t="str">
            <v>Renta Variable</v>
          </cell>
          <cell r="Q2130" t="str">
            <v>RVI</v>
          </cell>
        </row>
        <row r="2131">
          <cell r="B2131" t="str">
            <v>5273932EX509</v>
          </cell>
          <cell r="D2131" t="str">
            <v>SSGA - Emerging Markets</v>
          </cell>
          <cell r="F2131" t="str">
            <v>Renta Variable</v>
          </cell>
          <cell r="Q2131" t="str">
            <v>RVI</v>
          </cell>
        </row>
        <row r="2132">
          <cell r="B2132" t="str">
            <v>5270252ABEEM</v>
          </cell>
          <cell r="D2132" t="str">
            <v>Aberdeen - Emerging Markets Equity Fund</v>
          </cell>
          <cell r="F2132" t="str">
            <v>Renta Variable</v>
          </cell>
          <cell r="Q2132" t="str">
            <v>RVI</v>
          </cell>
        </row>
        <row r="2133">
          <cell r="B2133" t="str">
            <v>5270182JBEME</v>
          </cell>
          <cell r="D2133" t="str">
            <v>GAM / Julius Baer - Emerging Markets Equity</v>
          </cell>
          <cell r="F2133" t="str">
            <v>Renta Variable</v>
          </cell>
          <cell r="Q2133" t="str">
            <v>RVI</v>
          </cell>
        </row>
        <row r="2134">
          <cell r="B2134" t="str">
            <v>52ALLB2EMGRO</v>
          </cell>
          <cell r="D2134" t="str">
            <v>Alliance Bernstein - Emerging Markets Growth</v>
          </cell>
          <cell r="F2134" t="str">
            <v>Renta Variable</v>
          </cell>
          <cell r="Q2134" t="str">
            <v>RVI</v>
          </cell>
        </row>
        <row r="2135">
          <cell r="B2135" t="str">
            <v>52NORD4EMSTR</v>
          </cell>
          <cell r="D2135" t="str">
            <v>Nordea - Emerging Stars Equity</v>
          </cell>
          <cell r="F2135" t="str">
            <v>Renta Variable</v>
          </cell>
          <cell r="Q2135" t="str">
            <v>RVI</v>
          </cell>
        </row>
        <row r="2136">
          <cell r="B2136" t="str">
            <v>5273984A9676</v>
          </cell>
          <cell r="D2136" t="str">
            <v xml:space="preserve">Amundi - ETF Emerging Market </v>
          </cell>
          <cell r="F2136" t="str">
            <v>Renta Variable</v>
          </cell>
          <cell r="Q2136" t="str">
            <v>RVI</v>
          </cell>
        </row>
        <row r="2137">
          <cell r="B2137" t="str">
            <v>5274812ASHFM</v>
          </cell>
          <cell r="D2137" t="str">
            <v>Ashmore - Emerging Markets Frontier Equities</v>
          </cell>
          <cell r="F2137" t="str">
            <v>Renta Variable</v>
          </cell>
          <cell r="Q2137" t="str">
            <v>RVI</v>
          </cell>
        </row>
        <row r="2138">
          <cell r="B2138" t="str">
            <v>5272872W2816</v>
          </cell>
          <cell r="D2138" t="str">
            <v>WisdomTree - Emerging Markets Small Cap Dividend</v>
          </cell>
          <cell r="F2138" t="str">
            <v>Renta Variable</v>
          </cell>
          <cell r="Q2138" t="str">
            <v>RVI</v>
          </cell>
        </row>
        <row r="2139">
          <cell r="B2139" t="str">
            <v>5271112FRONT</v>
          </cell>
          <cell r="D2139" t="str">
            <v>BlackRock - iShares MSCI Frontier Markets 100</v>
          </cell>
          <cell r="F2139" t="str">
            <v>Renta Variable</v>
          </cell>
          <cell r="Q2139" t="str">
            <v>RVI</v>
          </cell>
        </row>
        <row r="2140">
          <cell r="B2140" t="str">
            <v>5273982AEEMF</v>
          </cell>
          <cell r="D2140" t="str">
            <v>Amundi - Equity Emerging Focus</v>
          </cell>
          <cell r="F2140" t="str">
            <v>Renta Variable</v>
          </cell>
          <cell r="Q2140" t="str">
            <v>RVI</v>
          </cell>
        </row>
        <row r="2141">
          <cell r="B2141" t="str">
            <v>52NORD2EMSEF</v>
          </cell>
          <cell r="D2141" t="str">
            <v>Nordea - Emerging Stars Equity Fund</v>
          </cell>
          <cell r="F2141" t="str">
            <v>Renta Variable</v>
          </cell>
          <cell r="Q2141" t="str">
            <v>RVI</v>
          </cell>
        </row>
        <row r="2142">
          <cell r="B2142" t="str">
            <v>5270882F3560</v>
          </cell>
          <cell r="D2142" t="str">
            <v>JP Morgan - EM Small Cap</v>
          </cell>
          <cell r="F2142" t="str">
            <v>Renta Variable</v>
          </cell>
          <cell r="Q2142" t="str">
            <v>RVI</v>
          </cell>
        </row>
        <row r="2143">
          <cell r="B2143" t="str">
            <v>4874174EMVCE</v>
          </cell>
          <cell r="D2143" t="str">
            <v>Candriam - EM Equities</v>
          </cell>
          <cell r="F2143" t="str">
            <v>Renta Variable</v>
          </cell>
          <cell r="Q2143" t="str">
            <v>RVI</v>
          </cell>
        </row>
        <row r="2144">
          <cell r="B2144" t="str">
            <v>5275064CSEEM</v>
          </cell>
          <cell r="D2144" t="str">
            <v>Candriam  SICAV - SRI EM Equities</v>
          </cell>
          <cell r="F2144" t="str">
            <v>Renta Variable</v>
          </cell>
          <cell r="Q2144" t="str">
            <v>RVI</v>
          </cell>
        </row>
        <row r="2145">
          <cell r="B2145" t="str">
            <v>5270272F5825</v>
          </cell>
          <cell r="D2145" t="str">
            <v>Goldman Sachs - Emerging Markets Core</v>
          </cell>
          <cell r="F2145" t="str">
            <v>Renta Variable</v>
          </cell>
          <cell r="Q2145" t="str">
            <v>RVI</v>
          </cell>
        </row>
        <row r="2146">
          <cell r="B2146" t="str">
            <v>5270492F6660</v>
          </cell>
          <cell r="D2146" t="str">
            <v>Vontobel MTX - EM Susrainable Leaders</v>
          </cell>
          <cell r="F2146" t="str">
            <v>Renta Variable</v>
          </cell>
          <cell r="Q2146" t="str">
            <v>RVI</v>
          </cell>
        </row>
        <row r="2147">
          <cell r="B2147" t="str">
            <v>PTCMEF0-II039C-CALL</v>
          </cell>
          <cell r="D2147" t="str">
            <v>SPX US 06/21/24 C5250</v>
          </cell>
          <cell r="F2147" t="str">
            <v>Derivados</v>
          </cell>
          <cell r="Q2147" t="str">
            <v>RVI</v>
          </cell>
        </row>
        <row r="2148">
          <cell r="B2148" t="str">
            <v>PTCMEF0-II017C-CALL</v>
          </cell>
          <cell r="D2148" t="str">
            <v>EEM US 01/20/23 C39</v>
          </cell>
          <cell r="F2148" t="str">
            <v>Derivados</v>
          </cell>
          <cell r="Q2148" t="str">
            <v>RVI</v>
          </cell>
        </row>
        <row r="2149">
          <cell r="B2149" t="str">
            <v>PTCMEF0-II019C-CALL</v>
          </cell>
          <cell r="D2149" t="str">
            <v>EEM US 01/20/23 C37</v>
          </cell>
          <cell r="F2149" t="str">
            <v>Derivados</v>
          </cell>
          <cell r="Q2149" t="str">
            <v>RVI</v>
          </cell>
        </row>
        <row r="2150">
          <cell r="B2150" t="str">
            <v>PTCMEF0-II013C-CALL</v>
          </cell>
          <cell r="D2150" t="str">
            <v>EEM US 01/20/23 C39</v>
          </cell>
          <cell r="F2150" t="str">
            <v>Derivados</v>
          </cell>
          <cell r="Q2150" t="str">
            <v>RVI</v>
          </cell>
        </row>
        <row r="2151">
          <cell r="B2151" t="str">
            <v>PTCMEF0-II020C-CALL</v>
          </cell>
          <cell r="D2151" t="str">
            <v>EEM US 01/20/23 C37</v>
          </cell>
          <cell r="F2151" t="str">
            <v>Derivados</v>
          </cell>
          <cell r="Q2151" t="str">
            <v>RVI</v>
          </cell>
        </row>
        <row r="2152">
          <cell r="B2152" t="str">
            <v>PTCMEF0-II024C-CALL</v>
          </cell>
          <cell r="D2152" t="str">
            <v>EEM US 02/17/23 C39</v>
          </cell>
          <cell r="F2152" t="str">
            <v>Derivados</v>
          </cell>
          <cell r="Q2152" t="str">
            <v>RVI</v>
          </cell>
        </row>
        <row r="2153">
          <cell r="B2153" t="str">
            <v>5271112XA24C</v>
          </cell>
          <cell r="D2153" t="str">
            <v>BlackRock - iShares MSCI Saudi Arabia ETF</v>
          </cell>
          <cell r="F2153" t="str">
            <v>Renta Variable</v>
          </cell>
          <cell r="Q2153" t="str">
            <v>RVI</v>
          </cell>
        </row>
        <row r="2154">
          <cell r="B2154" t="str">
            <v>5270082F8062</v>
          </cell>
          <cell r="D2154" t="str">
            <v>UBS -  Lux All China</v>
          </cell>
          <cell r="F2154" t="str">
            <v>Renta Variable</v>
          </cell>
          <cell r="Q2154" t="str">
            <v>RVI</v>
          </cell>
        </row>
        <row r="2155">
          <cell r="B2155" t="str">
            <v>5270082F1215</v>
          </cell>
          <cell r="D2155" t="str">
            <v>UBS - China Opportunity - P</v>
          </cell>
          <cell r="F2155" t="str">
            <v>Renta Variable</v>
          </cell>
          <cell r="Q2155" t="str">
            <v>RVI</v>
          </cell>
        </row>
        <row r="2156">
          <cell r="B2156" t="str">
            <v>5270082F8671</v>
          </cell>
          <cell r="D2156" t="str">
            <v>UBS - China Opportunity - A3</v>
          </cell>
          <cell r="F2156" t="str">
            <v>Renta Variable</v>
          </cell>
          <cell r="Q2156" t="str">
            <v>RVI</v>
          </cell>
        </row>
        <row r="2157">
          <cell r="B2157" t="str">
            <v>5270252F5799</v>
          </cell>
          <cell r="D2157" t="str">
            <v>Aberdeen - Standard China A-Share</v>
          </cell>
          <cell r="F2157" t="str">
            <v>Renta Variable</v>
          </cell>
          <cell r="Q2157" t="str">
            <v>RVI</v>
          </cell>
        </row>
        <row r="2158">
          <cell r="B2158" t="str">
            <v>5270252F8374</v>
          </cell>
          <cell r="D2158" t="str">
            <v>Aberdeen - Chinese Equity Fund</v>
          </cell>
          <cell r="F2158" t="str">
            <v>Renta Variable</v>
          </cell>
          <cell r="Q2158" t="str">
            <v>RVI</v>
          </cell>
        </row>
        <row r="2159">
          <cell r="B2159" t="str">
            <v>5273882F0328</v>
          </cell>
          <cell r="D2159" t="str">
            <v>Robeco - Chinese A-Share</v>
          </cell>
          <cell r="F2159" t="str">
            <v>Renta Variable</v>
          </cell>
          <cell r="Q2159" t="str">
            <v>RVI</v>
          </cell>
        </row>
        <row r="2160">
          <cell r="B2160" t="str">
            <v>5270264F7309</v>
          </cell>
          <cell r="D2160" t="str">
            <v>Robeco - Chineese Equities</v>
          </cell>
          <cell r="F2160" t="str">
            <v>Renta Variable</v>
          </cell>
          <cell r="Q2160" t="str">
            <v>RVI</v>
          </cell>
        </row>
        <row r="2161">
          <cell r="B2161" t="str">
            <v>5275152F0769</v>
          </cell>
          <cell r="D2161" t="str">
            <v>Schroder - International Selection Fund China A</v>
          </cell>
          <cell r="F2161" t="str">
            <v>Renta Variable</v>
          </cell>
          <cell r="Q2161" t="str">
            <v>RVI</v>
          </cell>
        </row>
        <row r="2162">
          <cell r="B2162" t="str">
            <v>5270402F0855</v>
          </cell>
          <cell r="D2162" t="str">
            <v>Fidelity - Greater China Fund</v>
          </cell>
          <cell r="F2162" t="str">
            <v>Renta Variable</v>
          </cell>
          <cell r="Q2162" t="str">
            <v>RVI</v>
          </cell>
        </row>
        <row r="2163">
          <cell r="B2163" t="str">
            <v>5273792E1879</v>
          </cell>
          <cell r="D2163" t="str">
            <v>DWS - CSI 300 China-A</v>
          </cell>
          <cell r="F2163" t="str">
            <v>Renta Variable</v>
          </cell>
          <cell r="Q2163" t="str">
            <v>RVI</v>
          </cell>
        </row>
        <row r="2164">
          <cell r="B2164" t="str">
            <v>5270472AGIF2</v>
          </cell>
          <cell r="D2164" t="str">
            <v>Allianz China A Opportunities</v>
          </cell>
          <cell r="F2164" t="str">
            <v>Renta Variable</v>
          </cell>
          <cell r="Q2164" t="str">
            <v>RVI</v>
          </cell>
        </row>
        <row r="2165">
          <cell r="B2165" t="str">
            <v>5270472F4576</v>
          </cell>
          <cell r="D2165" t="str">
            <v>Allianz - China-A</v>
          </cell>
          <cell r="F2165" t="str">
            <v>Renta Variable</v>
          </cell>
          <cell r="Q2165" t="str">
            <v>RVI</v>
          </cell>
        </row>
        <row r="2166">
          <cell r="B2166" t="str">
            <v>5271112E6871</v>
          </cell>
          <cell r="D2166" t="str">
            <v>BlackRock - iShares Hong Kong</v>
          </cell>
          <cell r="F2166" t="str">
            <v>Renta Variable</v>
          </cell>
          <cell r="Q2166" t="str">
            <v>RVI</v>
          </cell>
        </row>
        <row r="2167">
          <cell r="B2167" t="str">
            <v>5271112E7184</v>
          </cell>
          <cell r="D2167" t="str">
            <v>BlackRock - iShares FTSE/Xinhua China 25 Index Fund</v>
          </cell>
          <cell r="F2167" t="str">
            <v>Renta Variable</v>
          </cell>
          <cell r="Q2167" t="str">
            <v>RVI</v>
          </cell>
        </row>
        <row r="2168">
          <cell r="B2168" t="str">
            <v>5274722KGRN2</v>
          </cell>
          <cell r="D2168" t="str">
            <v>Krane - MSCI China Clean Technology ETF</v>
          </cell>
          <cell r="F2168" t="str">
            <v>Renta Variable</v>
          </cell>
          <cell r="Q2168" t="str">
            <v>RVI</v>
          </cell>
        </row>
        <row r="2169">
          <cell r="B2169" t="str">
            <v>5271112EB671</v>
          </cell>
          <cell r="D2169" t="str">
            <v>BlackRock - iShares MSCI China</v>
          </cell>
          <cell r="F2169" t="str">
            <v>Renta Variable</v>
          </cell>
          <cell r="Q2169" t="str">
            <v>RVI</v>
          </cell>
        </row>
        <row r="2170">
          <cell r="B2170" t="str">
            <v>5274722KURE3</v>
          </cell>
          <cell r="D2170" t="str">
            <v>Krane - MSCI China all China H</v>
          </cell>
          <cell r="F2170" t="str">
            <v>Renta Variable</v>
          </cell>
          <cell r="Q2170" t="str">
            <v>RVI</v>
          </cell>
        </row>
        <row r="2171">
          <cell r="B2171" t="str">
            <v>5274722K4055</v>
          </cell>
          <cell r="D2171" t="str">
            <v xml:space="preserve">Krane - MSCI China 50 </v>
          </cell>
          <cell r="F2171" t="str">
            <v>Renta Variable</v>
          </cell>
          <cell r="Q2171" t="str">
            <v>RVI</v>
          </cell>
        </row>
        <row r="2172">
          <cell r="B2172" t="str">
            <v>5274722E7306</v>
          </cell>
          <cell r="D2172" t="str">
            <v>Krane - CSI China Internet Fund</v>
          </cell>
          <cell r="F2172" t="str">
            <v>Renta Variable</v>
          </cell>
          <cell r="Q2172" t="str">
            <v>RVI</v>
          </cell>
        </row>
        <row r="2173">
          <cell r="B2173" t="str">
            <v>5272092MICFX</v>
          </cell>
          <cell r="D2173" t="str">
            <v>Matthews - China</v>
          </cell>
          <cell r="F2173" t="str">
            <v>Renta Variable</v>
          </cell>
          <cell r="Q2173" t="str">
            <v>RVI</v>
          </cell>
        </row>
        <row r="2174">
          <cell r="B2174" t="str">
            <v>5272092MACSM</v>
          </cell>
          <cell r="D2174" t="str">
            <v>Matthews - China Small Caps</v>
          </cell>
          <cell r="F2174" t="str">
            <v>Renta Variable</v>
          </cell>
          <cell r="Q2174" t="str">
            <v>RVI</v>
          </cell>
        </row>
        <row r="2175">
          <cell r="B2175" t="str">
            <v>5272872X7194</v>
          </cell>
          <cell r="D2175" t="str">
            <v>WisdomTree - China ex-State-Owned Enterprises Fund</v>
          </cell>
          <cell r="F2175" t="str">
            <v>Renta Variable</v>
          </cell>
          <cell r="Q2175" t="str">
            <v>RVI</v>
          </cell>
        </row>
        <row r="2176">
          <cell r="B2176" t="str">
            <v>5273112FXVT8</v>
          </cell>
          <cell r="D2176" t="str">
            <v>Janus Henderson - China Opportunities</v>
          </cell>
          <cell r="F2176" t="str">
            <v>Renta Variable</v>
          </cell>
          <cell r="Q2176" t="str">
            <v>RVI</v>
          </cell>
        </row>
        <row r="2177">
          <cell r="B2177" t="str">
            <v>52GAML2CHINA</v>
          </cell>
          <cell r="D2177" t="str">
            <v>GAM - China Equity</v>
          </cell>
          <cell r="F2177" t="str">
            <v>Renta Variable</v>
          </cell>
          <cell r="Q2177" t="str">
            <v>RVI</v>
          </cell>
        </row>
        <row r="2178">
          <cell r="B2178" t="str">
            <v>5274082CHINA</v>
          </cell>
          <cell r="D2178" t="str">
            <v>Invesco - Greater China Equity</v>
          </cell>
          <cell r="F2178" t="str">
            <v>Renta Variable</v>
          </cell>
          <cell r="Q2178" t="str">
            <v>RVI</v>
          </cell>
        </row>
        <row r="2179">
          <cell r="B2179" t="str">
            <v>5270012F2664</v>
          </cell>
          <cell r="D2179" t="str">
            <v>BNP Paribas - China Equity Class</v>
          </cell>
          <cell r="F2179" t="str">
            <v>Renta Variable</v>
          </cell>
          <cell r="Q2179" t="str">
            <v>RVI</v>
          </cell>
        </row>
        <row r="2180">
          <cell r="B2180" t="str">
            <v>5274352CHINA</v>
          </cell>
          <cell r="D2180" t="str">
            <v>Investec Luxembourg - All China Equity</v>
          </cell>
          <cell r="F2180" t="str">
            <v>Renta Variable</v>
          </cell>
          <cell r="Q2180" t="str">
            <v>RVI</v>
          </cell>
        </row>
        <row r="2181">
          <cell r="B2181" t="str">
            <v>5270882LU205</v>
          </cell>
          <cell r="D2181" t="str">
            <v>JP Morgan - China A Share Opportunities Fund</v>
          </cell>
          <cell r="F2181" t="str">
            <v>Renta Variable</v>
          </cell>
          <cell r="Q2181" t="str">
            <v>RVI</v>
          </cell>
        </row>
        <row r="2182">
          <cell r="B2182" t="str">
            <v>5273882F7240</v>
          </cell>
          <cell r="D2182" t="str">
            <v>Robeco - Chinese Equities</v>
          </cell>
          <cell r="F2182" t="str">
            <v>Renta Variable</v>
          </cell>
          <cell r="Q2182" t="str">
            <v>RVI</v>
          </cell>
        </row>
        <row r="2183">
          <cell r="B2183" t="str">
            <v>5275122EE800</v>
          </cell>
          <cell r="D2183" t="str">
            <v>Invesco - China Technology ETF</v>
          </cell>
          <cell r="F2183" t="str">
            <v>Renta Variable</v>
          </cell>
          <cell r="Q2183" t="str">
            <v>RVI</v>
          </cell>
        </row>
        <row r="2184">
          <cell r="B2184" t="str">
            <v>5270882F3877</v>
          </cell>
          <cell r="D2184" t="str">
            <v>JP Morgan - Greater China Fund</v>
          </cell>
          <cell r="F2184" t="str">
            <v>Renta Variable</v>
          </cell>
          <cell r="Q2184" t="str">
            <v>RVI</v>
          </cell>
        </row>
        <row r="2185">
          <cell r="B2185" t="str">
            <v>5270192F5998</v>
          </cell>
          <cell r="D2185" t="str">
            <v>Schroders - Asian Opportunities</v>
          </cell>
          <cell r="F2185" t="str">
            <v>Renta Variable</v>
          </cell>
          <cell r="Q2185" t="str">
            <v>RVI</v>
          </cell>
        </row>
        <row r="2186">
          <cell r="B2186" t="str">
            <v>5270192F9988</v>
          </cell>
          <cell r="D2186" t="str">
            <v>Schroders - Asian Opportunities</v>
          </cell>
          <cell r="F2186" t="str">
            <v>Renta Variable</v>
          </cell>
          <cell r="Q2186" t="str">
            <v>RVI</v>
          </cell>
        </row>
        <row r="2187">
          <cell r="B2187" t="str">
            <v>5270252F5910</v>
          </cell>
          <cell r="D2187" t="str">
            <v>Aberdeen - Asian Smaller Companies</v>
          </cell>
          <cell r="F2187" t="str">
            <v>Renta Variable</v>
          </cell>
          <cell r="Q2187" t="str">
            <v>RVI</v>
          </cell>
        </row>
        <row r="2188">
          <cell r="B2188" t="str">
            <v>5270464ASEXJ</v>
          </cell>
          <cell r="D2188" t="str">
            <v>Parvest - Best Selection Asia Ex Japan</v>
          </cell>
          <cell r="F2188" t="str">
            <v>Renta Variable</v>
          </cell>
          <cell r="Q2188" t="str">
            <v>RVI</v>
          </cell>
        </row>
        <row r="2189">
          <cell r="B2189" t="str">
            <v>5270472ALLEM</v>
          </cell>
          <cell r="D2189" t="str">
            <v>Allianz - Emerging Asia</v>
          </cell>
          <cell r="F2189" t="str">
            <v>Renta Variable</v>
          </cell>
          <cell r="Q2189" t="str">
            <v>RVI</v>
          </cell>
        </row>
        <row r="2190">
          <cell r="B2190" t="str">
            <v>527049208755</v>
          </cell>
          <cell r="D2190" t="str">
            <v>Vontobel - Asia Pacific Equity</v>
          </cell>
          <cell r="F2190" t="str">
            <v>Renta Variable</v>
          </cell>
          <cell r="Q2190" t="str">
            <v>RVI</v>
          </cell>
        </row>
        <row r="2191">
          <cell r="B2191" t="str">
            <v>5271112E6665</v>
          </cell>
          <cell r="D2191" t="str">
            <v>BlackRock - iShares MSCI Pacific Ex Japan</v>
          </cell>
          <cell r="F2191" t="str">
            <v>Renta Variable</v>
          </cell>
          <cell r="Q2191" t="str">
            <v>RVI</v>
          </cell>
        </row>
        <row r="2192">
          <cell r="B2192" t="str">
            <v>5271112E8182</v>
          </cell>
          <cell r="D2192" t="str">
            <v>BlackRock - iShares Asia Ex-Japan</v>
          </cell>
          <cell r="F2192" t="str">
            <v>Renta Variable</v>
          </cell>
          <cell r="Q2192" t="str">
            <v>RVI</v>
          </cell>
        </row>
        <row r="2193">
          <cell r="B2193" t="str">
            <v>5272092F0834</v>
          </cell>
          <cell r="D2193" t="str">
            <v>Matthews - Pacific Tiger</v>
          </cell>
          <cell r="F2193" t="str">
            <v>Renta Variable</v>
          </cell>
          <cell r="Q2193" t="str">
            <v>RVI</v>
          </cell>
        </row>
        <row r="2194">
          <cell r="B2194" t="str">
            <v>5272092MIAPX</v>
          </cell>
          <cell r="D2194" t="str">
            <v>Matthews - Asian Growth</v>
          </cell>
          <cell r="F2194" t="str">
            <v>Renta Variable</v>
          </cell>
          <cell r="Q2194" t="str">
            <v>RVI</v>
          </cell>
        </row>
        <row r="2195">
          <cell r="B2195" t="str">
            <v>5272092MISMX</v>
          </cell>
          <cell r="D2195" t="str">
            <v>Matthews - Asian Smaller Companies Fund</v>
          </cell>
          <cell r="F2195" t="str">
            <v>Renta Variable</v>
          </cell>
          <cell r="Q2195" t="str">
            <v>RVI</v>
          </cell>
        </row>
        <row r="2196">
          <cell r="B2196" t="str">
            <v>5275336F6323</v>
          </cell>
          <cell r="D2196" t="str">
            <v>Baillie Gifford &amp; Co Ltd - Overseas Growth Funds ICVC - Pacific Fund</v>
          </cell>
          <cell r="F2196" t="str">
            <v>Renta Variable</v>
          </cell>
          <cell r="Q2196" t="str">
            <v>RVI</v>
          </cell>
        </row>
        <row r="2197">
          <cell r="B2197" t="str">
            <v>52BRAF2BRADF</v>
          </cell>
          <cell r="D2197" t="str">
            <v>BlackRock - Asian Dragon Fund</v>
          </cell>
          <cell r="F2197" t="str">
            <v>Renta Variable</v>
          </cell>
          <cell r="Q2197" t="str">
            <v>RVI</v>
          </cell>
        </row>
        <row r="2198">
          <cell r="B2198" t="str">
            <v>52INVE4ASEQT</v>
          </cell>
          <cell r="D2198" t="str">
            <v>Invesco - Asian Equity Fund</v>
          </cell>
          <cell r="F2198" t="str">
            <v>Renta Variable</v>
          </cell>
          <cell r="Q2198" t="str">
            <v>RVI</v>
          </cell>
        </row>
        <row r="2199">
          <cell r="B2199" t="str">
            <v>5270882ALCIA</v>
          </cell>
          <cell r="D2199" t="str">
            <v>JP Morgan - Asia Ex-Japan Growth Fund</v>
          </cell>
          <cell r="F2199" t="str">
            <v>Renta Variable</v>
          </cell>
          <cell r="Q2199" t="str">
            <v>RVI</v>
          </cell>
        </row>
        <row r="2200">
          <cell r="B2200" t="str">
            <v>5273882RBAST</v>
          </cell>
          <cell r="D2200" t="str">
            <v>Robeco - Asian Stars</v>
          </cell>
          <cell r="F2200" t="str">
            <v>Renta Variable</v>
          </cell>
          <cell r="Q2200" t="str">
            <v>RVI</v>
          </cell>
        </row>
        <row r="2201">
          <cell r="B2201" t="str">
            <v>5275232F8604</v>
          </cell>
          <cell r="D2201" t="str">
            <v>MSIM - Asia Opportunity</v>
          </cell>
          <cell r="F2201" t="str">
            <v>Renta Variable</v>
          </cell>
          <cell r="Q2201" t="str">
            <v>RVI</v>
          </cell>
        </row>
        <row r="2202">
          <cell r="B2202" t="str">
            <v>5274302ASIAN</v>
          </cell>
          <cell r="D2202" t="str">
            <v>Veritas - Asian Fund</v>
          </cell>
          <cell r="F2202" t="str">
            <v>Renta Variable</v>
          </cell>
          <cell r="Q2202" t="str">
            <v>RVI</v>
          </cell>
        </row>
        <row r="2203">
          <cell r="B2203" t="str">
            <v>5270942F9527</v>
          </cell>
          <cell r="D2203" t="str">
            <v>Pinebridge - Asia Ex-Japan Small Caps</v>
          </cell>
          <cell r="F2203" t="str">
            <v>Renta Variable</v>
          </cell>
          <cell r="Q2203" t="str">
            <v>RVI</v>
          </cell>
        </row>
        <row r="2204">
          <cell r="B2204" t="str">
            <v>5270192SCHEC</v>
          </cell>
          <cell r="D2204" t="str">
            <v>Schroders - Emerging Asia</v>
          </cell>
          <cell r="F2204" t="str">
            <v>Renta Variable</v>
          </cell>
          <cell r="Q2204" t="str">
            <v>RVI</v>
          </cell>
        </row>
        <row r="2205">
          <cell r="B2205" t="str">
            <v>5274302F65N6</v>
          </cell>
          <cell r="D2205" t="str">
            <v>Veritas - Asian Fund</v>
          </cell>
          <cell r="F2205" t="str">
            <v>Renta Variable</v>
          </cell>
          <cell r="Q2205" t="str">
            <v>RVI</v>
          </cell>
        </row>
        <row r="2206">
          <cell r="B2206" t="str">
            <v>5270272F1107</v>
          </cell>
          <cell r="D2206" t="str">
            <v>Goldman Sachs - India Equity Portfolio</v>
          </cell>
          <cell r="F2206" t="str">
            <v>Renta Variable</v>
          </cell>
          <cell r="Q2206" t="str">
            <v>RVI</v>
          </cell>
        </row>
        <row r="2207">
          <cell r="B2207" t="str">
            <v>5271112EB614</v>
          </cell>
          <cell r="D2207" t="str">
            <v>India Small-Cap</v>
          </cell>
          <cell r="F2207" t="str">
            <v>Renta Variable</v>
          </cell>
          <cell r="Q2207" t="str">
            <v>RVI</v>
          </cell>
        </row>
        <row r="2208">
          <cell r="B2208" t="str">
            <v>5275562FQ7C3</v>
          </cell>
          <cell r="D2208" t="str">
            <v>Rams UT - India Equities Portfolio Fund II</v>
          </cell>
          <cell r="F2208" t="str">
            <v>Renta Variable</v>
          </cell>
          <cell r="Q2208" t="str">
            <v>RVI</v>
          </cell>
        </row>
        <row r="2209">
          <cell r="B2209" t="str">
            <v>5273862HFF36</v>
          </cell>
          <cell r="D2209" t="str">
            <v>Nomura - Indian Equity</v>
          </cell>
          <cell r="F2209" t="str">
            <v>Renta Variable</v>
          </cell>
          <cell r="Q2209" t="str">
            <v>RVI</v>
          </cell>
        </row>
        <row r="2210">
          <cell r="B2210" t="str">
            <v>5270772F0470</v>
          </cell>
          <cell r="D2210" t="str">
            <v>Franklin Templeton India Fund</v>
          </cell>
          <cell r="F2210" t="str">
            <v>Renta Variable</v>
          </cell>
          <cell r="Q2210" t="str">
            <v>RVI</v>
          </cell>
        </row>
        <row r="2211">
          <cell r="B2211" t="str">
            <v>5270192SCIND</v>
          </cell>
          <cell r="D2211" t="str">
            <v>Schroders - Indian Equity</v>
          </cell>
          <cell r="F2211" t="str">
            <v>Renta Variable</v>
          </cell>
          <cell r="Q2211" t="str">
            <v>RVI</v>
          </cell>
        </row>
        <row r="2212">
          <cell r="B2212" t="str">
            <v>52UTII2C7R45</v>
          </cell>
          <cell r="D2212" t="str">
            <v>UTI - Indian Equity</v>
          </cell>
          <cell r="F2212" t="str">
            <v>Renta Variable</v>
          </cell>
          <cell r="Q2212" t="str">
            <v>RVI</v>
          </cell>
        </row>
        <row r="2213">
          <cell r="B2213" t="str">
            <v>5270462BNPIN</v>
          </cell>
          <cell r="D2213" t="str">
            <v>Parvest - Equity India</v>
          </cell>
          <cell r="F2213" t="str">
            <v>Renta Variable</v>
          </cell>
          <cell r="Q2213" t="str">
            <v>RVI</v>
          </cell>
        </row>
        <row r="2214">
          <cell r="B2214" t="str">
            <v>5276672F8135</v>
          </cell>
          <cell r="D2214" t="str">
            <v>HSBC - India Equity</v>
          </cell>
          <cell r="F2214" t="str">
            <v>Renta Variable</v>
          </cell>
          <cell r="Q2214" t="str">
            <v>RVI</v>
          </cell>
        </row>
        <row r="2215">
          <cell r="B2215" t="str">
            <v>5274082F8388</v>
          </cell>
          <cell r="D2215" t="str">
            <v>Invesco - India</v>
          </cell>
          <cell r="F2215" t="str">
            <v>Renta Variable</v>
          </cell>
          <cell r="Q2215" t="str">
            <v>RVI</v>
          </cell>
        </row>
        <row r="2216">
          <cell r="B2216" t="str">
            <v>5271112EB598</v>
          </cell>
          <cell r="D2216" t="str">
            <v>BlackRock - iShares MSCI India</v>
          </cell>
          <cell r="F2216" t="str">
            <v>Renta Variable</v>
          </cell>
          <cell r="Q2216" t="str">
            <v>RVI</v>
          </cell>
        </row>
        <row r="2217">
          <cell r="B2217" t="str">
            <v>5272092MIDNX</v>
          </cell>
          <cell r="D2217" t="str">
            <v>Matthews - India</v>
          </cell>
          <cell r="F2217" t="str">
            <v>Renta Variable</v>
          </cell>
          <cell r="Q2217" t="str">
            <v>RVI</v>
          </cell>
        </row>
        <row r="2218">
          <cell r="B2218" t="str">
            <v>5270942FY6L5</v>
          </cell>
          <cell r="D2218" t="str">
            <v>Pinebridge - India Equity Fund</v>
          </cell>
          <cell r="F2218" t="str">
            <v>Renta Variable</v>
          </cell>
          <cell r="Q2218" t="str">
            <v>RVI</v>
          </cell>
        </row>
        <row r="2219">
          <cell r="B2219" t="str">
            <v>5273882F8861</v>
          </cell>
          <cell r="D2219" t="str">
            <v>Robeco Luxembourg - India Equity</v>
          </cell>
          <cell r="F2219" t="str">
            <v>Renta Variable</v>
          </cell>
          <cell r="Q2219" t="str">
            <v>RVI</v>
          </cell>
        </row>
        <row r="2220">
          <cell r="B2220" t="str">
            <v>5277022F1992</v>
          </cell>
          <cell r="D2220" t="str">
            <v>Jupiter Asset Management International - India Select</v>
          </cell>
          <cell r="F2220" t="str">
            <v>Renta Variable</v>
          </cell>
          <cell r="Q2220" t="str">
            <v>RVI</v>
          </cell>
        </row>
        <row r="2221">
          <cell r="B2221" t="str">
            <v>5274082F9751</v>
          </cell>
          <cell r="D2221" t="str">
            <v>Invesco - India</v>
          </cell>
          <cell r="F2221" t="str">
            <v>Renta Variable</v>
          </cell>
          <cell r="Q2221" t="str">
            <v>RVI</v>
          </cell>
        </row>
        <row r="2222">
          <cell r="B2222" t="str">
            <v>5270772TEMKO</v>
          </cell>
          <cell r="D2222" t="str">
            <v>Franklin Templeton - Korea Fund</v>
          </cell>
          <cell r="F2222" t="str">
            <v>Renta Variable</v>
          </cell>
          <cell r="Q2222" t="str">
            <v>RVI</v>
          </cell>
        </row>
        <row r="2223">
          <cell r="B2223" t="str">
            <v>5270882F3974</v>
          </cell>
          <cell r="D2223" t="str">
            <v>JP Morgan - Korea Equity Fund</v>
          </cell>
          <cell r="F2223" t="str">
            <v>Renta Variable</v>
          </cell>
          <cell r="Q2223" t="str">
            <v>RVI</v>
          </cell>
        </row>
        <row r="2224">
          <cell r="B2224" t="str">
            <v>5271112E6772</v>
          </cell>
          <cell r="D2224" t="str">
            <v>BlackRock - iShares Korea</v>
          </cell>
          <cell r="F2224" t="str">
            <v>Renta Variable</v>
          </cell>
          <cell r="Q2224" t="str">
            <v>RVI</v>
          </cell>
        </row>
        <row r="2225">
          <cell r="B2225" t="str">
            <v>5272092KOREA</v>
          </cell>
          <cell r="D2225" t="str">
            <v>Matthews - Korea</v>
          </cell>
          <cell r="F2225" t="str">
            <v>Renta Variable</v>
          </cell>
          <cell r="Q2225" t="str">
            <v>RVI</v>
          </cell>
        </row>
        <row r="2226">
          <cell r="B2226" t="str">
            <v>5271112MALAS</v>
          </cell>
          <cell r="D2226" t="str">
            <v>BlackRock - iShares Malasya</v>
          </cell>
          <cell r="F2226" t="str">
            <v>Renta Variable</v>
          </cell>
          <cell r="Q2226" t="str">
            <v>RVI</v>
          </cell>
        </row>
        <row r="2227">
          <cell r="B2227" t="str">
            <v>5271112SINGA</v>
          </cell>
          <cell r="D2227" t="str">
            <v>BlackRock - iShares MSCI Singapore</v>
          </cell>
          <cell r="F2227" t="str">
            <v>Renta Variable</v>
          </cell>
          <cell r="Q2227" t="str">
            <v>RVI</v>
          </cell>
        </row>
        <row r="2228">
          <cell r="B2228" t="str">
            <v>5271112E6731</v>
          </cell>
          <cell r="D2228" t="str">
            <v>BlackRock - iShares Taiwan</v>
          </cell>
          <cell r="F2228" t="str">
            <v>Renta Variable</v>
          </cell>
          <cell r="Q2228" t="str">
            <v>RVI</v>
          </cell>
        </row>
        <row r="2229">
          <cell r="B2229" t="str">
            <v>PTCMEF0-II018C-CALL</v>
          </cell>
          <cell r="D2229" t="str">
            <v>FXI US 01/20/23 C30</v>
          </cell>
          <cell r="F2229" t="str">
            <v>Derivados</v>
          </cell>
          <cell r="Q2229" t="str">
            <v>RVI</v>
          </cell>
        </row>
        <row r="2230">
          <cell r="B2230" t="str">
            <v>PTCMEF0-II014C-CALL</v>
          </cell>
          <cell r="D2230" t="str">
            <v>FXI US 01/20/23 C30</v>
          </cell>
          <cell r="F2230" t="str">
            <v>Derivados</v>
          </cell>
          <cell r="Q2230" t="str">
            <v>RVI</v>
          </cell>
        </row>
        <row r="2231">
          <cell r="B2231" t="str">
            <v>5270224EMEUR</v>
          </cell>
          <cell r="D2231" t="str">
            <v>NN - Emerging Europe Equity</v>
          </cell>
          <cell r="F2231" t="str">
            <v>Renta Variable</v>
          </cell>
          <cell r="Q2231" t="str">
            <v>RVI</v>
          </cell>
        </row>
        <row r="2232">
          <cell r="B2232" t="str">
            <v>5270802PRUSI</v>
          </cell>
          <cell r="D2232" t="str">
            <v>Pictet - Russian Equity</v>
          </cell>
          <cell r="F2232" t="str">
            <v>Renta Variable</v>
          </cell>
          <cell r="Q2232" t="str">
            <v>RVI</v>
          </cell>
        </row>
        <row r="2233">
          <cell r="B2233" t="str">
            <v>5270652EU506</v>
          </cell>
          <cell r="D2233" t="str">
            <v>VanEck - Russia</v>
          </cell>
          <cell r="F2233" t="str">
            <v>Renta Variable</v>
          </cell>
          <cell r="Q2233" t="str">
            <v>RVI</v>
          </cell>
        </row>
        <row r="2234">
          <cell r="B2234" t="str">
            <v>5271112G7988</v>
          </cell>
          <cell r="D2234" t="str">
            <v>BlackRock - iShares MSCI Russia</v>
          </cell>
          <cell r="F2234" t="str">
            <v>Renta Variable</v>
          </cell>
          <cell r="Q2234" t="str">
            <v>RVI</v>
          </cell>
        </row>
        <row r="2235">
          <cell r="B2235" t="str">
            <v>5271112EPOLO</v>
          </cell>
          <cell r="D2235" t="str">
            <v>BlackRock - iShares PoloniaETF</v>
          </cell>
          <cell r="F2235" t="str">
            <v>Renta Variable</v>
          </cell>
          <cell r="Q2235" t="str">
            <v>RVI</v>
          </cell>
        </row>
        <row r="2236">
          <cell r="B2236" t="str">
            <v>5270224CZCHE</v>
          </cell>
          <cell r="D2236" t="str">
            <v>NN L - International Czech Equity</v>
          </cell>
          <cell r="F2236" t="str">
            <v>Renta Variable</v>
          </cell>
          <cell r="Q2236" t="str">
            <v>RVI</v>
          </cell>
        </row>
        <row r="2237">
          <cell r="B2237" t="str">
            <v>5270464F4267</v>
          </cell>
          <cell r="D2237" t="str">
            <v>Parvest - Equity Russia</v>
          </cell>
          <cell r="F2237" t="str">
            <v>Renta Variable</v>
          </cell>
          <cell r="Q2237" t="str">
            <v>RVI</v>
          </cell>
        </row>
        <row r="2238">
          <cell r="B2238" t="str">
            <v>527023418073</v>
          </cell>
          <cell r="D2238" t="str">
            <v>Pictet - Emerging Europe</v>
          </cell>
          <cell r="F2238" t="str">
            <v>Renta Variable</v>
          </cell>
          <cell r="Q2238" t="str">
            <v>RVI</v>
          </cell>
        </row>
        <row r="2239">
          <cell r="B2239" t="str">
            <v>5270194EMEUR</v>
          </cell>
          <cell r="D2239" t="str">
            <v>Schroders - Emerging Europe</v>
          </cell>
          <cell r="F2239" t="str">
            <v>Renta Variable</v>
          </cell>
          <cell r="Q2239" t="str">
            <v>RVI</v>
          </cell>
        </row>
        <row r="2240">
          <cell r="B2240" t="str">
            <v>5275154F8101</v>
          </cell>
          <cell r="D2240" t="str">
            <v>Schroder ISF - Emerging Europe</v>
          </cell>
          <cell r="F2240" t="str">
            <v>Renta Variable</v>
          </cell>
          <cell r="Q2240" t="str">
            <v>RVI</v>
          </cell>
        </row>
        <row r="2241">
          <cell r="B2241" t="str">
            <v>3401558CNOR0</v>
          </cell>
          <cell r="D2241" t="str">
            <v>Raia Drogasil SA</v>
          </cell>
          <cell r="F2241" t="str">
            <v>Renta Variable</v>
          </cell>
          <cell r="Q2241" t="str">
            <v>RVI</v>
          </cell>
        </row>
        <row r="2242">
          <cell r="B2242" t="str">
            <v>3350222V1035</v>
          </cell>
          <cell r="D2242" t="str">
            <v>Ambev SA</v>
          </cell>
          <cell r="F2242" t="str">
            <v>Renta Variable</v>
          </cell>
          <cell r="Q2242" t="str">
            <v>RVI</v>
          </cell>
        </row>
        <row r="2243">
          <cell r="B2243" t="str">
            <v>3458308CNOR2</v>
          </cell>
          <cell r="D2243" t="str">
            <v>Carrefour Brasil</v>
          </cell>
          <cell r="F2243" t="str">
            <v>Renta Variable</v>
          </cell>
          <cell r="Q2243" t="str">
            <v>RVI</v>
          </cell>
        </row>
        <row r="2244">
          <cell r="B2244" t="str">
            <v>3457848CNOR3</v>
          </cell>
          <cell r="D2244" t="str">
            <v>Cielo SA</v>
          </cell>
          <cell r="F2244" t="str">
            <v>Renta Variable</v>
          </cell>
          <cell r="Q2244" t="str">
            <v>RVI</v>
          </cell>
        </row>
        <row r="2245">
          <cell r="B2245" t="str">
            <v>3457938CNOR1</v>
          </cell>
          <cell r="D2245" t="str">
            <v>Lojas Renner SA</v>
          </cell>
          <cell r="F2245" t="str">
            <v>Renta Variable</v>
          </cell>
          <cell r="Q2245" t="str">
            <v>RVI</v>
          </cell>
        </row>
        <row r="2246">
          <cell r="B2246" t="str">
            <v>345206231073</v>
          </cell>
          <cell r="D2246" t="str">
            <v>Cosán Ltd.</v>
          </cell>
          <cell r="F2246" t="str">
            <v>Renta Variable</v>
          </cell>
          <cell r="Q2246" t="str">
            <v>RVI</v>
          </cell>
        </row>
        <row r="2247">
          <cell r="B2247" t="str">
            <v>5270414DBRZE</v>
          </cell>
          <cell r="D2247" t="str">
            <v>DWS - Brazilian Equities</v>
          </cell>
          <cell r="F2247" t="str">
            <v>Renta Variable</v>
          </cell>
          <cell r="Q2247" t="str">
            <v>RVI</v>
          </cell>
        </row>
        <row r="2248">
          <cell r="B2248" t="str">
            <v>5270652EF825</v>
          </cell>
          <cell r="D2248" t="str">
            <v>VanEck - Brazil Small Cap</v>
          </cell>
          <cell r="F2248" t="str">
            <v>Renta Variable</v>
          </cell>
          <cell r="Q2248" t="str">
            <v>RVI</v>
          </cell>
        </row>
        <row r="2249">
          <cell r="B2249" t="str">
            <v>5270652EU613</v>
          </cell>
          <cell r="D2249" t="str">
            <v>VanEck - Brazil Small Cap</v>
          </cell>
          <cell r="F2249" t="str">
            <v>Renta Variable</v>
          </cell>
          <cell r="Q2249" t="str">
            <v>RVI</v>
          </cell>
        </row>
        <row r="2250">
          <cell r="B2250" t="str">
            <v>5271282EQ4R8</v>
          </cell>
          <cell r="D2250" t="str">
            <v>BlackRock - iShares MSCI Brazil UCITS</v>
          </cell>
          <cell r="F2250" t="str">
            <v>Renta Variable</v>
          </cell>
          <cell r="Q2250" t="str">
            <v>RVI</v>
          </cell>
        </row>
        <row r="2251">
          <cell r="B2251" t="str">
            <v>5271112E6400</v>
          </cell>
          <cell r="D2251" t="str">
            <v>BlackRock - iShares MSCI Brazil</v>
          </cell>
          <cell r="F2251" t="str">
            <v>Renta Variable</v>
          </cell>
          <cell r="Q2251" t="str">
            <v>RVI</v>
          </cell>
        </row>
        <row r="2252">
          <cell r="B2252" t="str">
            <v>5271112E9131</v>
          </cell>
          <cell r="D2252" t="str">
            <v>BlackRock - iShares MSCI Brazil Small Caps</v>
          </cell>
          <cell r="F2252" t="str">
            <v>Renta Variable</v>
          </cell>
          <cell r="Q2252" t="str">
            <v>RVI</v>
          </cell>
        </row>
        <row r="2253">
          <cell r="B2253" t="str">
            <v>3453438CNOR8</v>
          </cell>
          <cell r="D2253" t="str">
            <v>PDG</v>
          </cell>
          <cell r="F2253" t="str">
            <v>Renta Variable</v>
          </cell>
          <cell r="Q2253" t="str">
            <v>RVI</v>
          </cell>
        </row>
        <row r="2254">
          <cell r="B2254" t="str">
            <v>335082271050</v>
          </cell>
          <cell r="D2254" t="str">
            <v>Gerdau</v>
          </cell>
          <cell r="F2254" t="str">
            <v>Renta Variable</v>
          </cell>
          <cell r="Q2254" t="str">
            <v>RVI</v>
          </cell>
        </row>
        <row r="2255">
          <cell r="B2255" t="str">
            <v>3350242A2099</v>
          </cell>
          <cell r="D2255" t="str">
            <v>Cia. Vale do Rio Doce</v>
          </cell>
          <cell r="F2255" t="str">
            <v>Renta Variable</v>
          </cell>
          <cell r="Q2255" t="str">
            <v>RVI</v>
          </cell>
        </row>
        <row r="2256">
          <cell r="B2256" t="str">
            <v>3350162A2201</v>
          </cell>
          <cell r="D2256" t="str">
            <v>Banco Itau</v>
          </cell>
          <cell r="F2256" t="str">
            <v>Renta Variable</v>
          </cell>
          <cell r="Q2256" t="str">
            <v>RVI</v>
          </cell>
        </row>
        <row r="2257">
          <cell r="B2257" t="str">
            <v>3351152A3100</v>
          </cell>
          <cell r="D2257" t="str">
            <v>Lan Airlines</v>
          </cell>
          <cell r="F2257" t="str">
            <v>Renta Variable</v>
          </cell>
          <cell r="Q2257" t="str">
            <v>RVI</v>
          </cell>
        </row>
        <row r="2258">
          <cell r="B2258" t="str">
            <v>345115C00423</v>
          </cell>
          <cell r="D2258" t="str">
            <v>Lan Airlines</v>
          </cell>
          <cell r="F2258" t="str">
            <v>Renta Variable</v>
          </cell>
          <cell r="Q2258" t="str">
            <v>RVI</v>
          </cell>
        </row>
        <row r="2259">
          <cell r="B2259" t="str">
            <v>345034C00100</v>
          </cell>
          <cell r="D2259" t="str">
            <v>Cencosud</v>
          </cell>
          <cell r="F2259" t="str">
            <v>Renta Variable</v>
          </cell>
          <cell r="Q2259" t="str">
            <v>RVI</v>
          </cell>
        </row>
        <row r="2260">
          <cell r="B2260" t="str">
            <v>345074C0F108</v>
          </cell>
          <cell r="D2260" t="str">
            <v>SACI Falabella</v>
          </cell>
          <cell r="F2260" t="str">
            <v>Renta Variable</v>
          </cell>
          <cell r="Q2260" t="str">
            <v>RVI</v>
          </cell>
        </row>
        <row r="2261">
          <cell r="B2261" t="str">
            <v>3351632F1049</v>
          </cell>
          <cell r="D2261" t="str">
            <v>Enersis Americas SA</v>
          </cell>
          <cell r="F2261" t="str">
            <v>Renta Variable</v>
          </cell>
          <cell r="Q2261" t="str">
            <v>RVI</v>
          </cell>
        </row>
        <row r="2262">
          <cell r="B2262" t="str">
            <v>5275282EE259</v>
          </cell>
          <cell r="D2262" t="str">
            <v>Global X - Argentina ETF</v>
          </cell>
          <cell r="F2262" t="str">
            <v>Renta Variable</v>
          </cell>
          <cell r="Q2262" t="str">
            <v>RVI</v>
          </cell>
        </row>
        <row r="2263">
          <cell r="B2263" t="str">
            <v>5271112E6640</v>
          </cell>
          <cell r="D2263" t="str">
            <v>BlackRock - iShares MSCI Chile</v>
          </cell>
          <cell r="F2263" t="str">
            <v>Renta Variable</v>
          </cell>
          <cell r="Q2263" t="str">
            <v>RVI</v>
          </cell>
        </row>
        <row r="2264">
          <cell r="B2264" t="str">
            <v>3458857M1032</v>
          </cell>
          <cell r="D2264" t="str">
            <v>Aclara Resources Inc.</v>
          </cell>
          <cell r="F2264" t="str">
            <v>Renta Variable</v>
          </cell>
          <cell r="Q2264" t="str">
            <v>RVL</v>
          </cell>
        </row>
        <row r="2265">
          <cell r="B2265" t="str">
            <v>335158201064</v>
          </cell>
          <cell r="D2265" t="str">
            <v>Lan Airlines</v>
          </cell>
          <cell r="F2265" t="str">
            <v>Renta Variable</v>
          </cell>
          <cell r="Q2265" t="str">
            <v>RVI</v>
          </cell>
        </row>
        <row r="2266">
          <cell r="B2266" t="str">
            <v>3352482H1059</v>
          </cell>
          <cell r="D2266" t="str">
            <v>Banco Santander</v>
          </cell>
          <cell r="F2266" t="str">
            <v>Renta Variable</v>
          </cell>
          <cell r="Q2266" t="str">
            <v>RVI</v>
          </cell>
        </row>
        <row r="2267">
          <cell r="B2267" t="str">
            <v>3354462G1004</v>
          </cell>
          <cell r="D2267" t="str">
            <v>Avianca Holdings SA</v>
          </cell>
          <cell r="F2267" t="str">
            <v>Renta Variable</v>
          </cell>
          <cell r="Q2267" t="str">
            <v>RVI</v>
          </cell>
        </row>
        <row r="2268">
          <cell r="B2268" t="str">
            <v>455289F00017</v>
          </cell>
          <cell r="D2268" t="str">
            <v>Avianca Holdings SA</v>
          </cell>
          <cell r="F2268" t="str">
            <v>Renta Variable</v>
          </cell>
          <cell r="Q2268" t="str">
            <v>RVI</v>
          </cell>
        </row>
        <row r="2269">
          <cell r="B2269" t="str">
            <v>3452567U2065</v>
          </cell>
          <cell r="D2269" t="str">
            <v>Pacific Rubiales Corp.</v>
          </cell>
          <cell r="F2269" t="str">
            <v>Renta Variable</v>
          </cell>
          <cell r="Q2269" t="str">
            <v>RVI</v>
          </cell>
        </row>
        <row r="2270">
          <cell r="B2270" t="str">
            <v>3351112L1026</v>
          </cell>
          <cell r="D2270" t="str">
            <v>Bancolombia SA</v>
          </cell>
          <cell r="F2270" t="str">
            <v>Renta Variable</v>
          </cell>
          <cell r="Q2270" t="str">
            <v>RVI</v>
          </cell>
        </row>
        <row r="2271">
          <cell r="B2271" t="str">
            <v>3352872W1018</v>
          </cell>
          <cell r="D2271" t="str">
            <v>Grupo AVAL</v>
          </cell>
          <cell r="F2271" t="str">
            <v>Renta Variable</v>
          </cell>
          <cell r="Q2271" t="str">
            <v>RVI</v>
          </cell>
        </row>
        <row r="2272">
          <cell r="B2272" t="str">
            <v>455324F00076</v>
          </cell>
          <cell r="D2272" t="str">
            <v>Davivienda</v>
          </cell>
          <cell r="F2272" t="str">
            <v>Renta Variable</v>
          </cell>
          <cell r="Q2272" t="str">
            <v>RVI</v>
          </cell>
        </row>
        <row r="2273">
          <cell r="B2273" t="str">
            <v>5274972DI16R</v>
          </cell>
          <cell r="D2273" t="str">
            <v>Larrainvial - Latin American Equity Fund I</v>
          </cell>
          <cell r="F2273" t="str">
            <v>Renta Variable</v>
          </cell>
          <cell r="Q2273" t="str">
            <v>RVI</v>
          </cell>
        </row>
        <row r="2274">
          <cell r="B2274" t="str">
            <v>5270292F0472</v>
          </cell>
          <cell r="D2274" t="str">
            <v>Investec - Latin America Smaller Companies</v>
          </cell>
          <cell r="F2274" t="str">
            <v>Renta Variable</v>
          </cell>
          <cell r="Q2274" t="str">
            <v>RVI</v>
          </cell>
        </row>
        <row r="2275">
          <cell r="B2275" t="str">
            <v>5277132F2733</v>
          </cell>
          <cell r="D2275" t="str">
            <v>Carne Global - Moneda Latin America Small Caps Fund</v>
          </cell>
          <cell r="F2275" t="str">
            <v>Renta Variable</v>
          </cell>
          <cell r="Q2275" t="str">
            <v>RVI</v>
          </cell>
        </row>
        <row r="2276">
          <cell r="B2276" t="str">
            <v>5270414DFC5I</v>
          </cell>
          <cell r="D2276" t="str">
            <v>DWS - Invest Latin American Equities - FC50</v>
          </cell>
          <cell r="F2276" t="str">
            <v>Renta Variable</v>
          </cell>
          <cell r="Q2276" t="str">
            <v>RVI</v>
          </cell>
        </row>
        <row r="2277">
          <cell r="B2277" t="str">
            <v>5270414F9401</v>
          </cell>
          <cell r="D2277" t="str">
            <v>DWS - Invest Latin American Equities - IC</v>
          </cell>
          <cell r="F2277" t="str">
            <v>Renta Variable</v>
          </cell>
          <cell r="Q2277" t="str">
            <v>RVI</v>
          </cell>
        </row>
        <row r="2278">
          <cell r="B2278" t="str">
            <v>5271112E7390</v>
          </cell>
          <cell r="D2278" t="str">
            <v>BlackRock - iShares MSCI LATAM 40</v>
          </cell>
          <cell r="F2278" t="str">
            <v>Renta Variable</v>
          </cell>
          <cell r="Q2278" t="str">
            <v>RVI</v>
          </cell>
        </row>
        <row r="2279">
          <cell r="B2279" t="str">
            <v>5272022F1437</v>
          </cell>
          <cell r="D2279" t="str">
            <v>Larrain Vial - Small &amp; Mid Cap Latin America Equity</v>
          </cell>
          <cell r="F2279" t="str">
            <v>Renta Variable</v>
          </cell>
          <cell r="Q2279" t="str">
            <v>RVI</v>
          </cell>
        </row>
        <row r="2280">
          <cell r="B2280" t="str">
            <v>5274742MONLA</v>
          </cell>
          <cell r="D2280" t="str">
            <v>Moneda AM - Latin America Equities</v>
          </cell>
          <cell r="F2280" t="str">
            <v>Renta Variable</v>
          </cell>
          <cell r="Q2280" t="str">
            <v>RVI</v>
          </cell>
        </row>
        <row r="2281">
          <cell r="B2281" t="str">
            <v>5273662MES44</v>
          </cell>
          <cell r="D2281" t="str">
            <v>Waystone - Credicorp Capital_Latin American Equity Fund</v>
          </cell>
          <cell r="F2281" t="str">
            <v>Renta Variable</v>
          </cell>
          <cell r="Q2281" t="str">
            <v>RVI</v>
          </cell>
        </row>
        <row r="2282">
          <cell r="B2282" t="str">
            <v>52MDOM2MES44</v>
          </cell>
          <cell r="D2282" t="str">
            <v xml:space="preserve"> MDO - Credicorp Capital - Latin American Equity Fund</v>
          </cell>
          <cell r="F2282" t="str">
            <v>Renta Variable</v>
          </cell>
          <cell r="Q2282" t="str">
            <v>RVI</v>
          </cell>
        </row>
        <row r="2283">
          <cell r="B2283" t="str">
            <v>5270292LATAM</v>
          </cell>
          <cell r="D2283" t="str">
            <v>Investec - Latin American Equity</v>
          </cell>
          <cell r="F2283" t="str">
            <v>Renta Variable</v>
          </cell>
          <cell r="Q2283" t="str">
            <v>RVI</v>
          </cell>
        </row>
        <row r="2284">
          <cell r="B2284" t="str">
            <v>4A7482254332</v>
          </cell>
          <cell r="D2284" t="str">
            <v>Moneda S.A. Administradora General de Fondos - Certificado de suscripción OP</v>
          </cell>
          <cell r="F2284" t="str">
            <v>Renta Variable</v>
          </cell>
          <cell r="Q2284" t="str">
            <v>RVI</v>
          </cell>
        </row>
        <row r="2285">
          <cell r="B2285" t="str">
            <v>5274822MSCLA</v>
          </cell>
          <cell r="D2285" t="str">
            <v>Moneda Small Cap Latam</v>
          </cell>
          <cell r="F2285" t="str">
            <v>Renta Variable</v>
          </cell>
          <cell r="Q2285" t="str">
            <v>RVI</v>
          </cell>
        </row>
        <row r="2286">
          <cell r="B2286" t="str">
            <v>3454129K1056</v>
          </cell>
          <cell r="D2286" t="str">
            <v>Gruma S.A.B. de C.V.</v>
          </cell>
          <cell r="F2286" t="str">
            <v>Renta Variable</v>
          </cell>
          <cell r="Q2286" t="str">
            <v>RVI</v>
          </cell>
        </row>
        <row r="2287">
          <cell r="B2287" t="str">
            <v>335447291064</v>
          </cell>
          <cell r="D2287" t="str">
            <v>Fomento Economico Mexicano SAB de CV</v>
          </cell>
          <cell r="F2287" t="str">
            <v>Renta Variable</v>
          </cell>
          <cell r="Q2287" t="str">
            <v>RVI</v>
          </cell>
        </row>
        <row r="2288">
          <cell r="B2288" t="str">
            <v>345824900038</v>
          </cell>
          <cell r="D2288" t="str">
            <v>Wal-Mart México</v>
          </cell>
          <cell r="F2288" t="str">
            <v>Renta Variable</v>
          </cell>
          <cell r="Q2288" t="str">
            <v>RVI</v>
          </cell>
        </row>
        <row r="2289">
          <cell r="B2289" t="str">
            <v>335073241108</v>
          </cell>
          <cell r="D2289" t="str">
            <v>Coca-Cola Femsa SAB</v>
          </cell>
          <cell r="F2289" t="str">
            <v>Renta Variable</v>
          </cell>
          <cell r="Q2289" t="str">
            <v>RVI</v>
          </cell>
        </row>
        <row r="2290">
          <cell r="B2290" t="str">
            <v>5271112E6822</v>
          </cell>
          <cell r="D2290" t="str">
            <v>BlackRock - iShares MSCI Mexico</v>
          </cell>
          <cell r="F2290" t="str">
            <v>Renta Variable</v>
          </cell>
          <cell r="Q2290" t="str">
            <v>RVI</v>
          </cell>
        </row>
        <row r="2291">
          <cell r="B2291" t="str">
            <v>52GBMA9FEME</v>
          </cell>
          <cell r="D2291" t="str">
            <v>GBM - Mexico</v>
          </cell>
          <cell r="F2291" t="str">
            <v>Renta Variable</v>
          </cell>
          <cell r="Q2291" t="str">
            <v>RVI</v>
          </cell>
        </row>
        <row r="2292">
          <cell r="B2292" t="str">
            <v>345420900005</v>
          </cell>
          <cell r="D2292" t="str">
            <v>Pinfra</v>
          </cell>
          <cell r="F2292" t="str">
            <v>Renta Variable</v>
          </cell>
          <cell r="Q2292" t="str">
            <v>RVI</v>
          </cell>
        </row>
        <row r="2293">
          <cell r="B2293" t="str">
            <v>3455719M0003</v>
          </cell>
          <cell r="D2293" t="str">
            <v>Vesta</v>
          </cell>
          <cell r="F2293" t="str">
            <v>Renta Variable</v>
          </cell>
          <cell r="Q2293" t="str">
            <v>RVI</v>
          </cell>
        </row>
        <row r="2294">
          <cell r="B2294" t="str">
            <v>335407208898</v>
          </cell>
          <cell r="D2294" t="str">
            <v>CEMEX</v>
          </cell>
          <cell r="F2294" t="str">
            <v>Renta Variable</v>
          </cell>
          <cell r="Q2294" t="str">
            <v>RVI</v>
          </cell>
        </row>
        <row r="2295">
          <cell r="B2295" t="str">
            <v>345407911567</v>
          </cell>
          <cell r="D2295" t="str">
            <v>CEMEX</v>
          </cell>
          <cell r="F2295" t="str">
            <v>Renta Variable</v>
          </cell>
          <cell r="Q2295" t="str">
            <v>RVI</v>
          </cell>
        </row>
        <row r="2296">
          <cell r="B2296" t="str">
            <v>345205941019</v>
          </cell>
          <cell r="D2296" t="str">
            <v>Grupo Mexico SAB</v>
          </cell>
          <cell r="F2296" t="str">
            <v>Renta Variable</v>
          </cell>
          <cell r="Q2296" t="str">
            <v>RVI</v>
          </cell>
        </row>
        <row r="2297">
          <cell r="B2297" t="str">
            <v>345217200001</v>
          </cell>
          <cell r="D2297" t="str">
            <v>Southern Copper Corporation</v>
          </cell>
          <cell r="F2297" t="str">
            <v>Renta Variable</v>
          </cell>
          <cell r="Q2297" t="str">
            <v>RVI</v>
          </cell>
        </row>
        <row r="2298">
          <cell r="B2298" t="str">
            <v>345438950007</v>
          </cell>
          <cell r="D2298" t="str">
            <v>Mexichem</v>
          </cell>
          <cell r="F2298" t="str">
            <v>Renta Variable</v>
          </cell>
          <cell r="Q2298" t="str">
            <v>RVI</v>
          </cell>
        </row>
        <row r="2299">
          <cell r="B2299" t="str">
            <v>3353732C1053</v>
          </cell>
          <cell r="D2299" t="str">
            <v>Santander México</v>
          </cell>
          <cell r="F2299" t="str">
            <v>Renta Variable</v>
          </cell>
          <cell r="Q2299" t="str">
            <v>RVI</v>
          </cell>
        </row>
        <row r="2300">
          <cell r="B2300" t="str">
            <v>345119911014</v>
          </cell>
          <cell r="D2300" t="str">
            <v>Grupo Financiero Banorte</v>
          </cell>
          <cell r="F2300" t="str">
            <v>Renta Variable</v>
          </cell>
          <cell r="Q2300" t="str">
            <v>RVI</v>
          </cell>
        </row>
        <row r="2301">
          <cell r="B2301" t="str">
            <v>345296261054</v>
          </cell>
          <cell r="D2301" t="str">
            <v>Copa Airlines</v>
          </cell>
          <cell r="F2301" t="str">
            <v>Renta Variable</v>
          </cell>
          <cell r="Q2301" t="str">
            <v>RVI</v>
          </cell>
        </row>
        <row r="2302">
          <cell r="B2302" t="str">
            <v>5076822E0800</v>
          </cell>
          <cell r="D2302" t="str">
            <v>Van Eck - El Dorado Peru</v>
          </cell>
          <cell r="F2302" t="str">
            <v>Renta Variable</v>
          </cell>
          <cell r="Q2302" t="str">
            <v>RVL</v>
          </cell>
        </row>
        <row r="2303">
          <cell r="B2303" t="str">
            <v>5470652E0800</v>
          </cell>
          <cell r="D2303" t="str">
            <v>Van Eck - El Dorado Peru</v>
          </cell>
          <cell r="F2303" t="str">
            <v>Renta Variable</v>
          </cell>
          <cell r="Q2303" t="str">
            <v>RVL</v>
          </cell>
        </row>
        <row r="2304">
          <cell r="B2304" t="str">
            <v>5460042E8427</v>
          </cell>
          <cell r="D2304" t="str">
            <v>BlackRock - iShares MSCI Peru</v>
          </cell>
          <cell r="F2304" t="str">
            <v>Renta Variable</v>
          </cell>
          <cell r="Q2304" t="str">
            <v>RVL</v>
          </cell>
        </row>
        <row r="2305">
          <cell r="B2305" t="str">
            <v>3020111OALIC</v>
          </cell>
          <cell r="D2305" t="str">
            <v>Alicorp S.A.</v>
          </cell>
          <cell r="F2305" t="str">
            <v>Renta Variable</v>
          </cell>
          <cell r="Q2305" t="str">
            <v>RVL</v>
          </cell>
        </row>
        <row r="2306">
          <cell r="B2306" t="str">
            <v>302011100001</v>
          </cell>
          <cell r="D2306" t="str">
            <v>Alicorp S.A.</v>
          </cell>
          <cell r="F2306" t="str">
            <v>Renta Variable</v>
          </cell>
          <cell r="Q2306" t="str">
            <v>RVL</v>
          </cell>
        </row>
        <row r="2307">
          <cell r="B2307" t="str">
            <v>312011100001</v>
          </cell>
          <cell r="D2307" t="str">
            <v>Alicorp S.A.</v>
          </cell>
          <cell r="F2307" t="str">
            <v>Renta Variable</v>
          </cell>
          <cell r="Q2307" t="str">
            <v>RVL</v>
          </cell>
        </row>
        <row r="2308">
          <cell r="B2308" t="str">
            <v>312026100001</v>
          </cell>
          <cell r="D2308" t="str">
            <v>Union de Cervecerias Peruanas Backus y Johnston S.A.</v>
          </cell>
          <cell r="F2308" t="str">
            <v>Renta Variable</v>
          </cell>
          <cell r="Q2308" t="str">
            <v>RVL</v>
          </cell>
        </row>
        <row r="2309">
          <cell r="B2309" t="str">
            <v>3021012171A1</v>
          </cell>
          <cell r="D2309" t="str">
            <v>Inretail Peru Corp</v>
          </cell>
          <cell r="F2309" t="str">
            <v>Renta Variable</v>
          </cell>
          <cell r="Q2309" t="str">
            <v>RVL</v>
          </cell>
        </row>
        <row r="2310">
          <cell r="B2310" t="str">
            <v>302059100001</v>
          </cell>
          <cell r="D2310" t="str">
            <v>Refinería La Pampilla S.A.</v>
          </cell>
          <cell r="F2310" t="str">
            <v>Renta Variable</v>
          </cell>
          <cell r="Q2310" t="str">
            <v>RVL</v>
          </cell>
        </row>
        <row r="2311">
          <cell r="B2311" t="str">
            <v>302082600001</v>
          </cell>
          <cell r="D2311" t="str">
            <v>Maple Energy</v>
          </cell>
          <cell r="F2311" t="str">
            <v>Renta Variable</v>
          </cell>
          <cell r="Q2311" t="str">
            <v>RVL</v>
          </cell>
        </row>
        <row r="2312">
          <cell r="B2312" t="str">
            <v>402059100001</v>
          </cell>
          <cell r="D2312" t="str">
            <v>Refinería La Pampilla S.A.</v>
          </cell>
          <cell r="F2312" t="str">
            <v>Renta Variable</v>
          </cell>
          <cell r="Q2312" t="str">
            <v>RVL</v>
          </cell>
        </row>
        <row r="2313">
          <cell r="B2313" t="str">
            <v>300009100001</v>
          </cell>
          <cell r="D2313" t="str">
            <v>Scotiabank</v>
          </cell>
          <cell r="F2313" t="str">
            <v>Renta Variable</v>
          </cell>
          <cell r="Q2313" t="str">
            <v>RVL</v>
          </cell>
        </row>
        <row r="2314">
          <cell r="B2314" t="str">
            <v>300011100001</v>
          </cell>
          <cell r="D2314" t="str">
            <v>Banco Continental</v>
          </cell>
          <cell r="F2314" t="str">
            <v>Renta Variable</v>
          </cell>
          <cell r="Q2314" t="str">
            <v>RVL</v>
          </cell>
        </row>
        <row r="2315">
          <cell r="B2315" t="str">
            <v>300013200001</v>
          </cell>
          <cell r="D2315" t="str">
            <v>Intergroup</v>
          </cell>
          <cell r="F2315" t="str">
            <v>Renta Variable</v>
          </cell>
          <cell r="Q2315" t="str">
            <v>RVL</v>
          </cell>
        </row>
        <row r="2316">
          <cell r="B2316" t="str">
            <v>300013200002</v>
          </cell>
          <cell r="D2316" t="str">
            <v>Intergroup</v>
          </cell>
          <cell r="F2316" t="str">
            <v>Renta Variable</v>
          </cell>
          <cell r="Q2316" t="str">
            <v>RVL</v>
          </cell>
        </row>
        <row r="2317">
          <cell r="B2317" t="str">
            <v>302012200001</v>
          </cell>
          <cell r="D2317" t="str">
            <v>Credicorp LTD.</v>
          </cell>
          <cell r="F2317" t="str">
            <v>Renta Variable</v>
          </cell>
          <cell r="Q2317" t="str">
            <v>RVL</v>
          </cell>
        </row>
        <row r="2318">
          <cell r="B2318" t="str">
            <v>302002100001</v>
          </cell>
          <cell r="D2318" t="str">
            <v>Unión Andina de Cementos</v>
          </cell>
          <cell r="F2318" t="str">
            <v>Renta Variable</v>
          </cell>
          <cell r="Q2318" t="str">
            <v>RVL</v>
          </cell>
        </row>
        <row r="2319">
          <cell r="B2319" t="str">
            <v>3020021OUNAM</v>
          </cell>
          <cell r="D2319" t="str">
            <v>Unión Andina de Cementos</v>
          </cell>
          <cell r="F2319" t="str">
            <v>Renta Variable</v>
          </cell>
          <cell r="Q2319" t="str">
            <v>RVL</v>
          </cell>
        </row>
        <row r="2320">
          <cell r="B2320" t="str">
            <v>4B2029100001</v>
          </cell>
          <cell r="D2320" t="str">
            <v>Aenza SA</v>
          </cell>
          <cell r="F2320" t="str">
            <v>Renta Variable</v>
          </cell>
          <cell r="Q2320" t="str">
            <v>RVL</v>
          </cell>
        </row>
        <row r="2321">
          <cell r="B2321" t="str">
            <v>402029100004</v>
          </cell>
          <cell r="D2321" t="str">
            <v>Aenza SA</v>
          </cell>
          <cell r="F2321" t="str">
            <v>Renta Variable</v>
          </cell>
          <cell r="Q2321" t="str">
            <v>RVL</v>
          </cell>
        </row>
        <row r="2322">
          <cell r="B2322" t="str">
            <v>302029100001</v>
          </cell>
          <cell r="D2322" t="str">
            <v>Graña y Montero S.A.A.</v>
          </cell>
          <cell r="F2322" t="str">
            <v>Renta Variable</v>
          </cell>
          <cell r="Q2322" t="str">
            <v>RVL</v>
          </cell>
        </row>
        <row r="2323">
          <cell r="B2323" t="str">
            <v>402029200001</v>
          </cell>
          <cell r="D2323" t="str">
            <v>Graña y Montero S.A.A.</v>
          </cell>
          <cell r="F2323" t="str">
            <v>Renta Variable</v>
          </cell>
          <cell r="Q2323" t="str">
            <v>RVL</v>
          </cell>
        </row>
        <row r="2324">
          <cell r="B2324" t="str">
            <v>402029100002</v>
          </cell>
          <cell r="D2324" t="str">
            <v>Graña y Montero S.A.A.</v>
          </cell>
          <cell r="F2324" t="str">
            <v>Renta Variable</v>
          </cell>
          <cell r="Q2324" t="str">
            <v>RVL</v>
          </cell>
        </row>
        <row r="2325">
          <cell r="B2325" t="str">
            <v>402029100003</v>
          </cell>
          <cell r="D2325" t="str">
            <v>Graña y Montero S.A.A.</v>
          </cell>
          <cell r="F2325" t="str">
            <v>Renta Variable</v>
          </cell>
          <cell r="Q2325" t="str">
            <v>RVL</v>
          </cell>
        </row>
        <row r="2326">
          <cell r="B2326" t="str">
            <v>312034100001</v>
          </cell>
          <cell r="D2326" t="str">
            <v>CORPORACION ACEROS AREQUIPA S.A.</v>
          </cell>
          <cell r="F2326" t="str">
            <v>Renta Variable</v>
          </cell>
          <cell r="Q2326" t="str">
            <v>RVL</v>
          </cell>
        </row>
        <row r="2327">
          <cell r="B2327" t="str">
            <v>302051100001</v>
          </cell>
          <cell r="D2327" t="str">
            <v>Cementos Pacasmayo-CM</v>
          </cell>
          <cell r="F2327" t="str">
            <v>Renta Variable</v>
          </cell>
          <cell r="Q2327" t="str">
            <v>RVL</v>
          </cell>
        </row>
        <row r="2328">
          <cell r="B2328" t="str">
            <v>302107100001</v>
          </cell>
          <cell r="D2328" t="str">
            <v>Ferreyros S.A.A.</v>
          </cell>
          <cell r="F2328" t="str">
            <v>Renta Variable</v>
          </cell>
          <cell r="Q2328" t="str">
            <v>RVL</v>
          </cell>
        </row>
        <row r="2329">
          <cell r="B2329" t="str">
            <v>312051100001</v>
          </cell>
          <cell r="D2329" t="str">
            <v>Cementos Pacasmayo-IN</v>
          </cell>
          <cell r="F2329" t="str">
            <v>Renta Variable</v>
          </cell>
          <cell r="Q2329" t="str">
            <v>RVL</v>
          </cell>
        </row>
        <row r="2330">
          <cell r="B2330" t="str">
            <v>3220292P2083</v>
          </cell>
          <cell r="D2330" t="str">
            <v>Graña y Montero S.A.A.</v>
          </cell>
          <cell r="F2330" t="str">
            <v>Renta Variable</v>
          </cell>
          <cell r="Q2330" t="str">
            <v>RVL</v>
          </cell>
        </row>
        <row r="2331">
          <cell r="B2331" t="str">
            <v>3220512Q1094</v>
          </cell>
          <cell r="D2331" t="str">
            <v>Cementos Pacasmayo-ADR</v>
          </cell>
          <cell r="F2331" t="str">
            <v>Renta Variable</v>
          </cell>
          <cell r="Q2331" t="str">
            <v>RVL</v>
          </cell>
        </row>
        <row r="2332">
          <cell r="B2332" t="str">
            <v>312025100001</v>
          </cell>
          <cell r="D2332" t="str">
            <v>El Comercio</v>
          </cell>
          <cell r="F2332" t="str">
            <v>Renta Variable</v>
          </cell>
          <cell r="Q2332" t="str">
            <v>RVL</v>
          </cell>
        </row>
        <row r="2333">
          <cell r="B2333" t="str">
            <v>305923100001</v>
          </cell>
          <cell r="D2333" t="str">
            <v>Puerto Chancay A</v>
          </cell>
          <cell r="F2333" t="str">
            <v>Renta Variable</v>
          </cell>
          <cell r="Q2333" t="str">
            <v>RVL</v>
          </cell>
        </row>
        <row r="2334">
          <cell r="B2334" t="str">
            <v>305923100002</v>
          </cell>
          <cell r="D2334" t="str">
            <v>Puerto Chancay B</v>
          </cell>
          <cell r="F2334" t="str">
            <v>Renta Variable</v>
          </cell>
          <cell r="Q2334" t="str">
            <v>RVL</v>
          </cell>
        </row>
        <row r="2335">
          <cell r="B2335" t="str">
            <v>302043100001</v>
          </cell>
          <cell r="D2335" t="str">
            <v>Volcan A</v>
          </cell>
          <cell r="F2335" t="str">
            <v>Renta Variable</v>
          </cell>
          <cell r="Q2335" t="str">
            <v>RVL</v>
          </cell>
        </row>
        <row r="2336">
          <cell r="B2336" t="str">
            <v>302043100002</v>
          </cell>
          <cell r="D2336" t="str">
            <v>Volcan B</v>
          </cell>
          <cell r="F2336" t="str">
            <v>Renta Variable</v>
          </cell>
          <cell r="Q2336" t="str">
            <v>RVL</v>
          </cell>
        </row>
        <row r="2337">
          <cell r="B2337" t="str">
            <v>302048100001</v>
          </cell>
          <cell r="D2337" t="str">
            <v>Atacocha A</v>
          </cell>
          <cell r="F2337" t="str">
            <v>Renta Variable</v>
          </cell>
          <cell r="Q2337" t="str">
            <v>RVL</v>
          </cell>
        </row>
        <row r="2338">
          <cell r="B2338" t="str">
            <v>302048100002</v>
          </cell>
          <cell r="D2338" t="str">
            <v>Atacocha B</v>
          </cell>
          <cell r="F2338" t="str">
            <v>Renta Variable</v>
          </cell>
          <cell r="Q2338" t="str">
            <v>RVL</v>
          </cell>
        </row>
        <row r="2339">
          <cell r="B2339" t="str">
            <v>302057100001</v>
          </cell>
          <cell r="D2339" t="str">
            <v>Brocal - CM</v>
          </cell>
          <cell r="F2339" t="str">
            <v>Renta Variable</v>
          </cell>
          <cell r="Q2339" t="str">
            <v>RVL</v>
          </cell>
        </row>
        <row r="2340">
          <cell r="B2340" t="str">
            <v>302845100002</v>
          </cell>
          <cell r="D2340" t="str">
            <v>Nexa Perú (Milpo)</v>
          </cell>
          <cell r="F2340" t="str">
            <v>Renta Variable</v>
          </cell>
          <cell r="Q2340" t="str">
            <v>RVL</v>
          </cell>
        </row>
        <row r="2341">
          <cell r="B2341" t="str">
            <v>312039100001</v>
          </cell>
          <cell r="D2341" t="str">
            <v>Minsur S.A.</v>
          </cell>
          <cell r="F2341" t="str">
            <v>Renta Variable</v>
          </cell>
          <cell r="Q2341" t="str">
            <v>RVL</v>
          </cell>
        </row>
        <row r="2342">
          <cell r="B2342" t="str">
            <v>302072200001</v>
          </cell>
          <cell r="D2342" t="str">
            <v>Sociedad Minera Cerro Verde S.A.A.</v>
          </cell>
          <cell r="F2342" t="str">
            <v>Renta Variable</v>
          </cell>
          <cell r="Q2342" t="str">
            <v>RVL</v>
          </cell>
        </row>
        <row r="2343">
          <cell r="B2343" t="str">
            <v>3958792W1068</v>
          </cell>
          <cell r="D2343" t="str">
            <v>Sierra Metals Inc</v>
          </cell>
          <cell r="F2343" t="str">
            <v>Renta Variable</v>
          </cell>
          <cell r="Q2343" t="str">
            <v>RVL</v>
          </cell>
        </row>
        <row r="2344">
          <cell r="B2344" t="str">
            <v>3958797W1068</v>
          </cell>
          <cell r="D2344" t="str">
            <v>Sierra Metals Inc</v>
          </cell>
          <cell r="F2344" t="str">
            <v>Renta Variable</v>
          </cell>
          <cell r="Q2344" t="str">
            <v>RVL</v>
          </cell>
        </row>
        <row r="2345">
          <cell r="B2345" t="str">
            <v>395833228291</v>
          </cell>
          <cell r="D2345" t="str">
            <v>Nexa ADR</v>
          </cell>
          <cell r="F2345" t="str">
            <v>Renta Variable</v>
          </cell>
          <cell r="Q2345" t="str">
            <v>RVL</v>
          </cell>
        </row>
        <row r="2346">
          <cell r="B2346" t="str">
            <v>402057100003</v>
          </cell>
          <cell r="D2346" t="str">
            <v>Sociedad Minera El Brocal</v>
          </cell>
          <cell r="F2346" t="str">
            <v>Renta Variable</v>
          </cell>
          <cell r="Q2346" t="str">
            <v>RVL</v>
          </cell>
        </row>
        <row r="2347">
          <cell r="B2347" t="str">
            <v>4020571CS002</v>
          </cell>
          <cell r="D2347" t="str">
            <v>Sociedad Minera El Brocal</v>
          </cell>
          <cell r="F2347" t="str">
            <v>Renta Variable</v>
          </cell>
          <cell r="Q2347" t="str">
            <v>RVL</v>
          </cell>
        </row>
        <row r="2348">
          <cell r="B2348" t="str">
            <v>302008100002</v>
          </cell>
          <cell r="D2348" t="str">
            <v>Buenaventura</v>
          </cell>
          <cell r="F2348" t="str">
            <v>Renta Variable</v>
          </cell>
          <cell r="Q2348" t="str">
            <v>RVL</v>
          </cell>
        </row>
        <row r="2349">
          <cell r="B2349" t="str">
            <v>3020836W5029</v>
          </cell>
          <cell r="D2349" t="str">
            <v>Hocshild Minning Corp.</v>
          </cell>
          <cell r="F2349" t="str">
            <v>Renta Variable</v>
          </cell>
          <cell r="Q2349" t="str">
            <v>RVL</v>
          </cell>
        </row>
        <row r="2350">
          <cell r="B2350" t="str">
            <v>3920836W5029</v>
          </cell>
          <cell r="D2350" t="str">
            <v>Hocshild Minning Corp.</v>
          </cell>
          <cell r="F2350" t="str">
            <v>Renta Variable</v>
          </cell>
          <cell r="Q2350" t="str">
            <v>RVL</v>
          </cell>
        </row>
        <row r="2351">
          <cell r="B2351" t="str">
            <v>3220082A1040</v>
          </cell>
          <cell r="D2351" t="str">
            <v>Buenaventura ADR</v>
          </cell>
          <cell r="F2351" t="str">
            <v>Renta Variable</v>
          </cell>
          <cell r="Q2351" t="str">
            <v>RVL</v>
          </cell>
        </row>
        <row r="2352">
          <cell r="B2352" t="str">
            <v>4A2083600001</v>
          </cell>
          <cell r="D2352" t="str">
            <v>Hocshild Minning Corp.</v>
          </cell>
          <cell r="F2352" t="str">
            <v>Renta Variable</v>
          </cell>
          <cell r="Q2352" t="str">
            <v>RVL</v>
          </cell>
        </row>
        <row r="2353">
          <cell r="B2353" t="str">
            <v>345874294721</v>
          </cell>
          <cell r="D2353" t="str">
            <v>AUNA SA</v>
          </cell>
          <cell r="F2353" t="str">
            <v>Renta Variable</v>
          </cell>
          <cell r="Q2353" t="str">
            <v>RVL</v>
          </cell>
        </row>
        <row r="2354">
          <cell r="B2354" t="str">
            <v>302128100001</v>
          </cell>
          <cell r="D2354" t="str">
            <v>Fossal SA</v>
          </cell>
          <cell r="F2354" t="str">
            <v>Renta Variable</v>
          </cell>
          <cell r="Q2354" t="str">
            <v>RVL</v>
          </cell>
        </row>
        <row r="2355">
          <cell r="B2355" t="str">
            <v>3221282L1089</v>
          </cell>
          <cell r="D2355" t="str">
            <v>Fossal SA</v>
          </cell>
          <cell r="F2355" t="str">
            <v>Renta Variable</v>
          </cell>
          <cell r="Q2355" t="str">
            <v>RVL</v>
          </cell>
        </row>
        <row r="2356">
          <cell r="B2356" t="str">
            <v>345445781022</v>
          </cell>
          <cell r="D2356" t="str">
            <v>HudBays Minerals Inc.</v>
          </cell>
          <cell r="F2356" t="str">
            <v>Renta Variable</v>
          </cell>
          <cell r="Q2356" t="str">
            <v>RVL</v>
          </cell>
        </row>
        <row r="2357">
          <cell r="B2357" t="str">
            <v>395445281022</v>
          </cell>
          <cell r="D2357" t="str">
            <v>HudBays Minerals Inc.</v>
          </cell>
          <cell r="F2357" t="str">
            <v>Renta Variable</v>
          </cell>
          <cell r="Q2357" t="str">
            <v>RVL</v>
          </cell>
        </row>
        <row r="2358">
          <cell r="B2358" t="str">
            <v>302068100001</v>
          </cell>
          <cell r="D2358" t="str">
            <v>Exalmar</v>
          </cell>
          <cell r="F2358" t="str">
            <v>Renta Variable</v>
          </cell>
          <cell r="Q2358" t="str">
            <v>RVL</v>
          </cell>
        </row>
        <row r="2359">
          <cell r="B2359" t="str">
            <v>302009100001</v>
          </cell>
          <cell r="D2359" t="str">
            <v>Luz del Sur S.A.A.</v>
          </cell>
          <cell r="F2359" t="str">
            <v>Renta Variable</v>
          </cell>
          <cell r="Q2359" t="str">
            <v>RVL</v>
          </cell>
        </row>
        <row r="2360">
          <cell r="B2360" t="str">
            <v>302030100001</v>
          </cell>
          <cell r="D2360" t="str">
            <v>Edelnor S.A.A.</v>
          </cell>
          <cell r="F2360" t="str">
            <v>Renta Variable</v>
          </cell>
          <cell r="Q2360" t="str">
            <v>RVL</v>
          </cell>
        </row>
        <row r="2361">
          <cell r="B2361" t="str">
            <v>3020301000PL</v>
          </cell>
          <cell r="D2361" t="str">
            <v>Edelnor S.A.A.</v>
          </cell>
          <cell r="F2361" t="str">
            <v>Renta Variable</v>
          </cell>
          <cell r="Q2361" t="str">
            <v>RVL</v>
          </cell>
        </row>
        <row r="2362">
          <cell r="B2362" t="str">
            <v>302032100002</v>
          </cell>
          <cell r="D2362" t="str">
            <v>Edegel S.A.A.</v>
          </cell>
          <cell r="F2362" t="str">
            <v>Renta Variable</v>
          </cell>
          <cell r="Q2362" t="str">
            <v>RVL</v>
          </cell>
        </row>
        <row r="2363">
          <cell r="B2363" t="str">
            <v>3020321000EG</v>
          </cell>
          <cell r="D2363" t="str">
            <v>Edegel S.A.A.</v>
          </cell>
          <cell r="F2363" t="str">
            <v>Renta Variable</v>
          </cell>
          <cell r="Q2363" t="str">
            <v>RVL</v>
          </cell>
        </row>
        <row r="2364">
          <cell r="B2364" t="str">
            <v>302061100001</v>
          </cell>
          <cell r="D2364" t="str">
            <v>Energía del Sur S.A.</v>
          </cell>
          <cell r="F2364" t="str">
            <v>Renta Variable</v>
          </cell>
          <cell r="Q2364" t="str">
            <v>RVL</v>
          </cell>
        </row>
        <row r="2365">
          <cell r="B2365" t="str">
            <v>345020242204</v>
          </cell>
          <cell r="D2365" t="str">
            <v>Teck Resources Ltd</v>
          </cell>
          <cell r="F2365" t="str">
            <v>Renta Variable</v>
          </cell>
          <cell r="Q2365" t="str">
            <v>RVI</v>
          </cell>
        </row>
        <row r="2366">
          <cell r="B2366" t="str">
            <v>345129271014</v>
          </cell>
          <cell r="D2366" t="str">
            <v>Alco</v>
          </cell>
          <cell r="F2366" t="str">
            <v>Renta Variable</v>
          </cell>
          <cell r="Q2366" t="str">
            <v>RVI</v>
          </cell>
        </row>
        <row r="2367">
          <cell r="B2367" t="str">
            <v>345325741052</v>
          </cell>
          <cell r="D2367" t="str">
            <v>First Quantum</v>
          </cell>
          <cell r="F2367" t="str">
            <v>Renta Variable</v>
          </cell>
          <cell r="Q2367" t="str">
            <v>RVI</v>
          </cell>
        </row>
        <row r="2368">
          <cell r="B2368" t="str">
            <v>5260012EY100</v>
          </cell>
          <cell r="D2368" t="str">
            <v>State Street - Materials Select Sector</v>
          </cell>
          <cell r="F2368" t="str">
            <v>Renta Variable</v>
          </cell>
          <cell r="Q2368" t="str">
            <v>RVI</v>
          </cell>
        </row>
        <row r="2369">
          <cell r="B2369" t="str">
            <v>5270172MATER</v>
          </cell>
          <cell r="D2369" t="str">
            <v>Vanguard - Materials</v>
          </cell>
          <cell r="F2369" t="str">
            <v>Renta Variable</v>
          </cell>
          <cell r="Q2369" t="str">
            <v>RVI</v>
          </cell>
        </row>
        <row r="2370">
          <cell r="B2370" t="str">
            <v>5275282EY830</v>
          </cell>
          <cell r="D2370" t="str">
            <v>Global X - Copper Miners ETF</v>
          </cell>
          <cell r="F2370" t="str">
            <v>Renta Variable</v>
          </cell>
          <cell r="Q2370" t="str">
            <v>RVI</v>
          </cell>
        </row>
        <row r="2371">
          <cell r="B2371" t="str">
            <v>5275282EY871</v>
          </cell>
          <cell r="D2371" t="str">
            <v>Global X - Uranium Miners ETF</v>
          </cell>
          <cell r="F2371" t="str">
            <v>Renta Variable</v>
          </cell>
          <cell r="Q2371" t="str">
            <v>RVI</v>
          </cell>
        </row>
        <row r="2372">
          <cell r="B2372" t="str">
            <v>5271112EG848</v>
          </cell>
          <cell r="D2372" t="str">
            <v>BlackRock - iShares MSCI Global Metals &amp; Mining Producers ETF</v>
          </cell>
          <cell r="F2372" t="str">
            <v>Renta Variable</v>
          </cell>
          <cell r="Q2372" t="str">
            <v>RVI</v>
          </cell>
        </row>
        <row r="2373">
          <cell r="B2373" t="str">
            <v>5260012EA755</v>
          </cell>
          <cell r="D2373" t="str">
            <v>State Street - S&amp;P Metals &amp; Mining ETF</v>
          </cell>
          <cell r="F2373" t="str">
            <v>Renta Variable</v>
          </cell>
          <cell r="Q2373" t="str">
            <v>RVI</v>
          </cell>
        </row>
        <row r="2374">
          <cell r="B2374" t="str">
            <v>345387251017</v>
          </cell>
          <cell r="D2374" t="str">
            <v>Canadian Natural Resources</v>
          </cell>
          <cell r="F2374" t="str">
            <v>Renta Variable</v>
          </cell>
          <cell r="Q2374" t="str">
            <v>RVI</v>
          </cell>
        </row>
        <row r="2375">
          <cell r="B2375" t="str">
            <v>3454532P1012</v>
          </cell>
          <cell r="D2375" t="str">
            <v>EOG Resources Inc.</v>
          </cell>
          <cell r="F2375" t="str">
            <v>Renta Variable</v>
          </cell>
          <cell r="Q2375" t="str">
            <v>RVI</v>
          </cell>
        </row>
        <row r="2376">
          <cell r="B2376" t="str">
            <v>345508251012</v>
          </cell>
          <cell r="D2376" t="str">
            <v>Continental Resources Inc.</v>
          </cell>
          <cell r="F2376" t="str">
            <v>Renta Variable</v>
          </cell>
          <cell r="Q2376" t="str">
            <v>RVI</v>
          </cell>
        </row>
        <row r="2377">
          <cell r="B2377" t="str">
            <v>3456722P1012</v>
          </cell>
          <cell r="D2377" t="str">
            <v>Concho Resources</v>
          </cell>
          <cell r="F2377" t="str">
            <v>Renta Variable</v>
          </cell>
          <cell r="Q2377" t="str">
            <v>RVI</v>
          </cell>
        </row>
        <row r="2378">
          <cell r="B2378" t="str">
            <v>5260012E5069</v>
          </cell>
          <cell r="D2378" t="str">
            <v>State Street - Energy Select Sector</v>
          </cell>
          <cell r="F2378" t="str">
            <v>Renta Variable</v>
          </cell>
          <cell r="Q2378" t="str">
            <v>RVI</v>
          </cell>
        </row>
        <row r="2379">
          <cell r="B2379" t="str">
            <v>5274042EX127</v>
          </cell>
          <cell r="D2379" t="str">
            <v>First Trust - AlphaDex Energy</v>
          </cell>
          <cell r="F2379" t="str">
            <v>Renta Variable</v>
          </cell>
          <cell r="Q2379" t="str">
            <v>RVI</v>
          </cell>
        </row>
        <row r="2380">
          <cell r="B2380" t="str">
            <v>5277402F6R19</v>
          </cell>
          <cell r="D2380" t="str">
            <v>Aegon High Yield Global Bond Fund</v>
          </cell>
          <cell r="F2380" t="str">
            <v>Renta Fija</v>
          </cell>
          <cell r="Q2380" t="str">
            <v>RFIG</v>
          </cell>
        </row>
        <row r="2381">
          <cell r="B2381" t="str">
            <v>5270496F7171</v>
          </cell>
          <cell r="D2381" t="str">
            <v>Vontobel - Twentyfour Strategy Income</v>
          </cell>
          <cell r="F2381" t="str">
            <v>Renta Fija</v>
          </cell>
          <cell r="Q2381" t="str">
            <v>RFIG</v>
          </cell>
        </row>
        <row r="2382">
          <cell r="B2382" t="str">
            <v>5275322ECGJ3</v>
          </cell>
          <cell r="D2382" t="str">
            <v>Invesco - S&amp;P500 UCITS</v>
          </cell>
          <cell r="F2382" t="str">
            <v>Renta Variable</v>
          </cell>
          <cell r="Q2382" t="str">
            <v>RVI</v>
          </cell>
        </row>
        <row r="2383">
          <cell r="B2383" t="str">
            <v>5376614AIP5B</v>
          </cell>
          <cell r="D2383" t="str">
            <v>Antin Infrastructure Partners V-B SCSp</v>
          </cell>
          <cell r="F2383" t="str">
            <v>Alternativos</v>
          </cell>
          <cell r="Q2383" t="str">
            <v>ALT</v>
          </cell>
        </row>
        <row r="2384">
          <cell r="B2384" t="str">
            <v>5376894EQTI6</v>
          </cell>
          <cell r="D2384" t="str">
            <v>EQT Infrastructure VI (No.1) EUR SCSp.</v>
          </cell>
          <cell r="F2384" t="str">
            <v>Alternativos</v>
          </cell>
          <cell r="Q2384" t="str">
            <v>ALT</v>
          </cell>
        </row>
        <row r="2385">
          <cell r="B2385" t="str">
            <v>01100028EB48</v>
          </cell>
          <cell r="D2385" t="str">
            <v>Gobierno Central</v>
          </cell>
          <cell r="F2385" t="str">
            <v>Renta Fija</v>
          </cell>
          <cell r="Q2385" t="str">
            <v>RFLG</v>
          </cell>
        </row>
        <row r="2386">
          <cell r="B2386" t="str">
            <v>01100028EC21</v>
          </cell>
          <cell r="D2386" t="str">
            <v>Gobierno Central</v>
          </cell>
          <cell r="F2386" t="str">
            <v>Renta Fija</v>
          </cell>
          <cell r="Q2386" t="str">
            <v>RFLG</v>
          </cell>
        </row>
        <row r="2387">
          <cell r="B2387" t="str">
            <v>5273932ER556</v>
          </cell>
          <cell r="D2387" t="str">
            <v>State Street - Oil &amp; Gas Exploration &amp; Production</v>
          </cell>
          <cell r="F2387" t="str">
            <v>Renta Variable</v>
          </cell>
          <cell r="Q2387" t="str">
            <v>RVI</v>
          </cell>
        </row>
        <row r="2388">
          <cell r="B2388" t="str">
            <v>5260012ER556</v>
          </cell>
          <cell r="D2388" t="str">
            <v>State Street - Oil &amp; Gas Exploration</v>
          </cell>
          <cell r="F2388" t="str">
            <v>Renta Variable</v>
          </cell>
          <cell r="Q2388" t="str">
            <v>RVI</v>
          </cell>
        </row>
        <row r="2389">
          <cell r="B2389" t="str">
            <v>5270172ENERG</v>
          </cell>
          <cell r="D2389" t="str">
            <v>Vanguard - Energy</v>
          </cell>
          <cell r="F2389" t="str">
            <v>Renta Variable</v>
          </cell>
          <cell r="Q2389" t="str">
            <v>RVI</v>
          </cell>
        </row>
        <row r="2390">
          <cell r="B2390" t="str">
            <v>PROXYS2ENER</v>
          </cell>
          <cell r="D2390" t="str">
            <v>Proxys FM</v>
          </cell>
          <cell r="F2390" t="str">
            <v>Renta Variable</v>
          </cell>
          <cell r="Q2390" t="str">
            <v>RVI</v>
          </cell>
        </row>
        <row r="2391">
          <cell r="B2391" t="str">
            <v>345260291016</v>
          </cell>
          <cell r="D2391" t="str">
            <v>Tesoro Corp.</v>
          </cell>
          <cell r="F2391" t="str">
            <v>Renta Variable</v>
          </cell>
          <cell r="Q2391" t="str">
            <v>RVI</v>
          </cell>
        </row>
        <row r="2392">
          <cell r="B2392" t="str">
            <v>345219261017</v>
          </cell>
          <cell r="D2392" t="str">
            <v>Halliburton Co.</v>
          </cell>
          <cell r="F2392" t="str">
            <v>Renta Variable</v>
          </cell>
          <cell r="Q2392" t="str">
            <v>RVI</v>
          </cell>
        </row>
        <row r="2393">
          <cell r="B2393" t="str">
            <v>345220271086</v>
          </cell>
          <cell r="D2393" t="str">
            <v>Schlumberger Ltd.</v>
          </cell>
          <cell r="F2393" t="str">
            <v>Renta Variable</v>
          </cell>
          <cell r="Q2393" t="str">
            <v>RVI</v>
          </cell>
        </row>
        <row r="2394">
          <cell r="B2394" t="str">
            <v>345318241075</v>
          </cell>
          <cell r="D2394" t="str">
            <v>Baker Hughes Inc.</v>
          </cell>
          <cell r="F2394" t="str">
            <v>Renta Variable</v>
          </cell>
          <cell r="Q2394" t="str">
            <v>RVI</v>
          </cell>
        </row>
        <row r="2395">
          <cell r="B2395" t="str">
            <v>5270652EF718</v>
          </cell>
          <cell r="D2395" t="str">
            <v>VanEck - Oil Services ETF</v>
          </cell>
          <cell r="F2395" t="str">
            <v>Renta Variable</v>
          </cell>
          <cell r="Q2395" t="str">
            <v>RVI</v>
          </cell>
        </row>
        <row r="2396">
          <cell r="B2396" t="str">
            <v>5270652EU191</v>
          </cell>
          <cell r="D2396" t="str">
            <v>VanEck - Oil Services ETF</v>
          </cell>
          <cell r="F2396" t="str">
            <v>Renta Variable</v>
          </cell>
          <cell r="Q2396" t="str">
            <v>RVI</v>
          </cell>
        </row>
        <row r="2397">
          <cell r="B2397" t="str">
            <v>5271112E8851</v>
          </cell>
          <cell r="D2397" t="str">
            <v>BlackRock - iShares US Oil &amp; Gas Exploration and Production</v>
          </cell>
          <cell r="F2397" t="str">
            <v>Renta Variable</v>
          </cell>
          <cell r="Q2397" t="str">
            <v>RVI</v>
          </cell>
        </row>
        <row r="2398">
          <cell r="B2398" t="str">
            <v>5271112I3412</v>
          </cell>
          <cell r="D2398" t="str">
            <v>BlackRock - iShares Global Energy ETF</v>
          </cell>
          <cell r="F2398" t="str">
            <v>Renta Variable</v>
          </cell>
          <cell r="Q2398" t="str">
            <v>RVI</v>
          </cell>
        </row>
        <row r="2399">
          <cell r="B2399" t="str">
            <v>5271112OEQ&amp;S</v>
          </cell>
          <cell r="D2399" t="str">
            <v>BlackRock - iShares US Oil Equipment &amp; Services</v>
          </cell>
          <cell r="F2399" t="str">
            <v>Renta Variable</v>
          </cell>
          <cell r="Q2399" t="str">
            <v>RVI</v>
          </cell>
        </row>
        <row r="2400">
          <cell r="B2400" t="str">
            <v>3453652C1036</v>
          </cell>
          <cell r="D2400" t="str">
            <v>The Mosaic Company</v>
          </cell>
          <cell r="F2400" t="str">
            <v>Renta Variable</v>
          </cell>
          <cell r="Q2400" t="str">
            <v>RVI</v>
          </cell>
        </row>
        <row r="2401">
          <cell r="B2401" t="str">
            <v>5271112V3504</v>
          </cell>
          <cell r="D2401" t="str">
            <v>BlackRock - iShares MSCI Agriculture</v>
          </cell>
          <cell r="F2401" t="str">
            <v>Renta Variable</v>
          </cell>
          <cell r="Q2401" t="str">
            <v>RVI</v>
          </cell>
        </row>
        <row r="2402">
          <cell r="B2402" t="str">
            <v>5275512EF700</v>
          </cell>
          <cell r="D2402" t="str">
            <v>VanEck - Agribusiness</v>
          </cell>
          <cell r="F2402" t="str">
            <v>Renta Variable</v>
          </cell>
          <cell r="Q2402" t="str">
            <v>RVI</v>
          </cell>
        </row>
        <row r="2403">
          <cell r="B2403" t="str">
            <v>FTCMEF0-ESH6</v>
          </cell>
          <cell r="D2403"/>
          <cell r="F2403" t="str">
            <v>Derivados</v>
          </cell>
          <cell r="Q2403" t="str">
            <v>RVI</v>
          </cell>
        </row>
        <row r="2404">
          <cell r="B2404" t="str">
            <v>FTCMEF0-NQH6</v>
          </cell>
          <cell r="D2404"/>
          <cell r="F2404" t="str">
            <v>Derivados</v>
          </cell>
          <cell r="Q2404" t="str">
            <v>RVI</v>
          </cell>
        </row>
        <row r="2405">
          <cell r="B2405" t="str">
            <v>FTCMEF0-FVZ4</v>
          </cell>
          <cell r="D2405"/>
          <cell r="F2405" t="str">
            <v>Derivados</v>
          </cell>
          <cell r="Q2405" t="str">
            <v>RFIG</v>
          </cell>
        </row>
        <row r="2406">
          <cell r="B2406" t="str">
            <v>FTCMEF0-ESZ5</v>
          </cell>
          <cell r="D2406"/>
          <cell r="F2406" t="str">
            <v>Derivados</v>
          </cell>
          <cell r="Q2406" t="str">
            <v>RVI</v>
          </cell>
        </row>
        <row r="2407">
          <cell r="B2407" t="str">
            <v>FTCMEF0-FVZ5</v>
          </cell>
          <cell r="D2407"/>
          <cell r="F2407" t="str">
            <v>Derivados</v>
          </cell>
          <cell r="Q2407" t="str">
            <v>RFIG</v>
          </cell>
        </row>
        <row r="2408">
          <cell r="B2408" t="str">
            <v>FTCMEF0-WNU3</v>
          </cell>
          <cell r="D2408"/>
          <cell r="F2408" t="str">
            <v>Derivados</v>
          </cell>
          <cell r="Q2408" t="str">
            <v>RFIG</v>
          </cell>
        </row>
        <row r="2409">
          <cell r="B2409" t="str">
            <v>FTCMEF0-UXYU3</v>
          </cell>
          <cell r="D2409"/>
          <cell r="F2409" t="str">
            <v>Derivados</v>
          </cell>
          <cell r="Q2409" t="str">
            <v>RFIG</v>
          </cell>
        </row>
        <row r="2410">
          <cell r="B2410" t="str">
            <v>FTCMEF0-WNZ3</v>
          </cell>
          <cell r="D2410"/>
          <cell r="F2410" t="str">
            <v>Derivados</v>
          </cell>
          <cell r="Q2410" t="str">
            <v>RFIG</v>
          </cell>
        </row>
        <row r="2411">
          <cell r="B2411" t="str">
            <v>FTCMEF0-UXYZ3</v>
          </cell>
          <cell r="D2411"/>
          <cell r="F2411" t="str">
            <v>Derivados</v>
          </cell>
          <cell r="Q2411" t="str">
            <v>RFIG</v>
          </cell>
        </row>
        <row r="2412">
          <cell r="B2412" t="str">
            <v>FTCMEF0-FVU3</v>
          </cell>
          <cell r="D2412"/>
          <cell r="F2412" t="str">
            <v>Derivados</v>
          </cell>
          <cell r="Q2412" t="str">
            <v>RFIG</v>
          </cell>
        </row>
        <row r="2413">
          <cell r="B2413" t="str">
            <v>FTCMEF0-FVM3</v>
          </cell>
          <cell r="D2413"/>
          <cell r="F2413" t="str">
            <v>Derivados</v>
          </cell>
          <cell r="Q2413" t="str">
            <v>RFIG</v>
          </cell>
        </row>
        <row r="2414">
          <cell r="B2414" t="str">
            <v>FTCMEF0-USM3</v>
          </cell>
          <cell r="D2414"/>
          <cell r="F2414" t="str">
            <v>Derivados</v>
          </cell>
          <cell r="Q2414" t="str">
            <v>RFIG</v>
          </cell>
        </row>
        <row r="2415">
          <cell r="B2415" t="str">
            <v>FTCMEF0-UXYM3</v>
          </cell>
          <cell r="D2415"/>
          <cell r="F2415" t="str">
            <v>Derivados</v>
          </cell>
          <cell r="Q2415" t="str">
            <v>RFIG</v>
          </cell>
        </row>
        <row r="2416">
          <cell r="B2416" t="str">
            <v>FTCMEF0-UXYH3</v>
          </cell>
          <cell r="D2416"/>
          <cell r="F2416" t="str">
            <v>Derivados</v>
          </cell>
          <cell r="Q2416" t="str">
            <v>RFIG</v>
          </cell>
        </row>
        <row r="2417">
          <cell r="B2417" t="str">
            <v>FTCMEF0-UXYZ2</v>
          </cell>
          <cell r="D2417"/>
          <cell r="F2417" t="str">
            <v>Derivados</v>
          </cell>
          <cell r="Q2417" t="str">
            <v>RFIG</v>
          </cell>
        </row>
        <row r="2418">
          <cell r="B2418" t="str">
            <v>FTCMEF0-UXYZ1</v>
          </cell>
          <cell r="D2418"/>
          <cell r="F2418" t="str">
            <v>Derivados</v>
          </cell>
          <cell r="Q2418" t="str">
            <v>RFIG</v>
          </cell>
        </row>
        <row r="2419">
          <cell r="B2419" t="str">
            <v>FTCMEF0-UXYH1</v>
          </cell>
          <cell r="D2419"/>
          <cell r="F2419" t="str">
            <v>Derivados</v>
          </cell>
          <cell r="Q2419" t="str">
            <v>RFIG</v>
          </cell>
        </row>
        <row r="2420">
          <cell r="B2420" t="str">
            <v>FTCMEF0-FVZ1</v>
          </cell>
          <cell r="D2420"/>
          <cell r="F2420" t="str">
            <v>Derivados</v>
          </cell>
          <cell r="Q2420" t="str">
            <v>RFIG</v>
          </cell>
        </row>
        <row r="2421">
          <cell r="B2421" t="str">
            <v>FTCMEF0-FVH2</v>
          </cell>
          <cell r="D2421"/>
          <cell r="F2421" t="str">
            <v>Derivados</v>
          </cell>
          <cell r="Q2421" t="str">
            <v>RFIG</v>
          </cell>
        </row>
        <row r="2422">
          <cell r="B2422" t="str">
            <v>FTCMEF0-FVH4</v>
          </cell>
          <cell r="D2422"/>
          <cell r="F2422" t="str">
            <v>Derivados</v>
          </cell>
          <cell r="Q2422" t="str">
            <v>RFIG</v>
          </cell>
        </row>
        <row r="2423">
          <cell r="B2423" t="str">
            <v>FTCMEF0-FVM4</v>
          </cell>
          <cell r="D2423"/>
          <cell r="F2423" t="str">
            <v>Derivados</v>
          </cell>
          <cell r="Q2423" t="str">
            <v>RFIG</v>
          </cell>
        </row>
        <row r="2424">
          <cell r="B2424" t="str">
            <v>FTCMEF0-FVU4</v>
          </cell>
          <cell r="D2424"/>
          <cell r="F2424" t="str">
            <v>Derivados</v>
          </cell>
          <cell r="Q2424" t="str">
            <v>RFIG</v>
          </cell>
        </row>
        <row r="2425">
          <cell r="B2425" t="str">
            <v>FTCMEF0-FVU5</v>
          </cell>
          <cell r="D2425"/>
          <cell r="F2425" t="str">
            <v>Derivados</v>
          </cell>
          <cell r="Q2425" t="str">
            <v>RFIG</v>
          </cell>
        </row>
        <row r="2426">
          <cell r="B2426" t="str">
            <v>FTCMEF0-WNU4</v>
          </cell>
          <cell r="D2426"/>
          <cell r="F2426" t="str">
            <v>Derivados</v>
          </cell>
          <cell r="Q2426" t="str">
            <v>RFIG</v>
          </cell>
        </row>
        <row r="2427">
          <cell r="B2427" t="str">
            <v>FTCMEF0-WNM4</v>
          </cell>
          <cell r="D2427"/>
          <cell r="F2427" t="str">
            <v>Derivados</v>
          </cell>
          <cell r="Q2427" t="str">
            <v>RFIG</v>
          </cell>
        </row>
        <row r="2428">
          <cell r="B2428" t="str">
            <v>FTCMEF0-WNM5</v>
          </cell>
          <cell r="D2428"/>
          <cell r="F2428" t="str">
            <v>Derivados</v>
          </cell>
          <cell r="Q2428" t="str">
            <v>RFIG</v>
          </cell>
        </row>
        <row r="2429">
          <cell r="B2429" t="str">
            <v>FTCMEF0-WNH5</v>
          </cell>
          <cell r="D2429"/>
          <cell r="F2429" t="str">
            <v>Derivados</v>
          </cell>
          <cell r="Q2429" t="str">
            <v>RFIG</v>
          </cell>
        </row>
        <row r="2430">
          <cell r="B2430" t="str">
            <v>FTCMEF0-FVM5</v>
          </cell>
          <cell r="D2430"/>
          <cell r="F2430" t="str">
            <v>Derivados</v>
          </cell>
          <cell r="Q2430" t="str">
            <v>RFIG</v>
          </cell>
        </row>
        <row r="2431">
          <cell r="B2431" t="str">
            <v>FTCMEF0-FVH5</v>
          </cell>
          <cell r="D2431"/>
          <cell r="F2431" t="str">
            <v>Derivados</v>
          </cell>
          <cell r="Q2431" t="str">
            <v>RFIG</v>
          </cell>
        </row>
        <row r="2432">
          <cell r="B2432" t="str">
            <v>FTCMEF0-FVH6</v>
          </cell>
          <cell r="D2432"/>
          <cell r="F2432" t="str">
            <v>Derivados</v>
          </cell>
          <cell r="Q2432" t="str">
            <v>RFIG</v>
          </cell>
        </row>
        <row r="2433">
          <cell r="B2433" t="str">
            <v>FTCMEF0-WNH4</v>
          </cell>
          <cell r="D2433"/>
          <cell r="F2433" t="str">
            <v>Derivados</v>
          </cell>
          <cell r="Q2433" t="str">
            <v>RFIG</v>
          </cell>
        </row>
        <row r="2434">
          <cell r="B2434" t="str">
            <v>FTCMEF0-WNH6</v>
          </cell>
          <cell r="D2434"/>
          <cell r="F2434" t="str">
            <v>Derivados</v>
          </cell>
          <cell r="Q2434" t="str">
            <v>RFIG</v>
          </cell>
        </row>
        <row r="2435">
          <cell r="B2435" t="str">
            <v>FTCMEF0-WNH2</v>
          </cell>
          <cell r="D2435"/>
          <cell r="F2435" t="str">
            <v>Derivados</v>
          </cell>
          <cell r="Q2435" t="str">
            <v>RFIG</v>
          </cell>
        </row>
        <row r="2436">
          <cell r="B2436" t="str">
            <v>FTCMEF0-UXYH2</v>
          </cell>
          <cell r="D2436"/>
          <cell r="F2436" t="str">
            <v>Derivados</v>
          </cell>
          <cell r="Q2436" t="str">
            <v>RFIG</v>
          </cell>
        </row>
        <row r="2437">
          <cell r="B2437" t="str">
            <v>FTCMEF0-WNH1</v>
          </cell>
          <cell r="D2437"/>
          <cell r="F2437" t="str">
            <v>Derivados</v>
          </cell>
          <cell r="Q2437" t="str">
            <v>RFIG</v>
          </cell>
        </row>
        <row r="2438">
          <cell r="B2438" t="str">
            <v>FTCMEF0-WNZ0</v>
          </cell>
          <cell r="D2438"/>
          <cell r="F2438" t="str">
            <v>Derivados</v>
          </cell>
          <cell r="Q2438" t="str">
            <v>RFIG</v>
          </cell>
        </row>
        <row r="2439">
          <cell r="B2439" t="str">
            <v>FTCMEF0-WNZ1</v>
          </cell>
          <cell r="D2439"/>
          <cell r="F2439" t="str">
            <v>Derivados</v>
          </cell>
          <cell r="Q2439" t="str">
            <v>RFIG</v>
          </cell>
        </row>
        <row r="2440">
          <cell r="B2440" t="str">
            <v>FTCMEF0-UXYZ0</v>
          </cell>
          <cell r="D2440"/>
          <cell r="F2440" t="str">
            <v>Derivados</v>
          </cell>
          <cell r="Q2440" t="str">
            <v>RFIG</v>
          </cell>
        </row>
        <row r="2441">
          <cell r="B2441" t="str">
            <v>FTCMEF0-WNM7</v>
          </cell>
          <cell r="D2441" t="str">
            <v>US Ultra Bond CBT Jun17</v>
          </cell>
          <cell r="F2441" t="str">
            <v>Derivados</v>
          </cell>
          <cell r="Q2441" t="str">
            <v>RFIG</v>
          </cell>
        </row>
        <row r="2442">
          <cell r="B2442" t="str">
            <v>FTCMEF0-WNU7</v>
          </cell>
          <cell r="D2442" t="str">
            <v>US Ultra Bond CBT Sep17</v>
          </cell>
          <cell r="F2442" t="str">
            <v>Derivados</v>
          </cell>
          <cell r="Q2442" t="str">
            <v>RFIG</v>
          </cell>
        </row>
        <row r="2443">
          <cell r="B2443" t="str">
            <v>FTCMEF0-WNU5</v>
          </cell>
          <cell r="D2443"/>
          <cell r="F2443" t="str">
            <v>Derivados</v>
          </cell>
          <cell r="Q2443" t="str">
            <v>RFIG</v>
          </cell>
        </row>
        <row r="2444">
          <cell r="B2444" t="str">
            <v>FTCMEF0-WNZ5</v>
          </cell>
          <cell r="D2444"/>
          <cell r="F2444" t="str">
            <v>Derivados</v>
          </cell>
          <cell r="Q2444" t="str">
            <v>RFIG</v>
          </cell>
        </row>
        <row r="2445">
          <cell r="B2445" t="str">
            <v>FTCMEF0-WNZ7</v>
          </cell>
          <cell r="D2445" t="str">
            <v>US Ultra Bond CBT Dec17</v>
          </cell>
          <cell r="F2445" t="str">
            <v>Derivados</v>
          </cell>
          <cell r="Q2445" t="str">
            <v>RFIG</v>
          </cell>
        </row>
        <row r="2446">
          <cell r="B2446" t="str">
            <v>FTCMEF0-WNH8</v>
          </cell>
          <cell r="D2446" t="str">
            <v>US Ultra Bond CBT Mar17</v>
          </cell>
          <cell r="F2446" t="str">
            <v>Derivados</v>
          </cell>
          <cell r="Q2446" t="str">
            <v>RFIG</v>
          </cell>
        </row>
        <row r="2447">
          <cell r="B2447" t="str">
            <v>FTCMEF0-TYM8</v>
          </cell>
          <cell r="D2447" t="str">
            <v>US 10Yr Note CBT Jun18</v>
          </cell>
          <cell r="F2447" t="str">
            <v>Derivados</v>
          </cell>
          <cell r="Q2447" t="str">
            <v>RFIG</v>
          </cell>
        </row>
        <row r="2448">
          <cell r="B2448" t="str">
            <v>FTCMEF0-TYM9</v>
          </cell>
          <cell r="D2448" t="str">
            <v>US 10Yr Note CBT Jun19</v>
          </cell>
          <cell r="F2448" t="str">
            <v>Derivados</v>
          </cell>
          <cell r="Q2448" t="str">
            <v>RFIG</v>
          </cell>
        </row>
        <row r="2449">
          <cell r="B2449" t="str">
            <v>FTCMEF0-UXYU2</v>
          </cell>
          <cell r="D2449"/>
          <cell r="F2449" t="str">
            <v>Derivados</v>
          </cell>
          <cell r="Q2449" t="str">
            <v>RFIG</v>
          </cell>
        </row>
        <row r="2450">
          <cell r="B2450" t="str">
            <v>FTCMEF0-UXYM2</v>
          </cell>
          <cell r="D2450"/>
          <cell r="F2450" t="str">
            <v>Derivados</v>
          </cell>
          <cell r="Q2450" t="str">
            <v>RFIG</v>
          </cell>
        </row>
        <row r="2451">
          <cell r="B2451" t="str">
            <v>FTCMEF0-UXYM5</v>
          </cell>
          <cell r="D2451"/>
          <cell r="F2451" t="str">
            <v>Derivados</v>
          </cell>
          <cell r="Q2451" t="str">
            <v>RFIG</v>
          </cell>
        </row>
        <row r="2452">
          <cell r="B2452" t="str">
            <v>FTCMEF0-UXYU1</v>
          </cell>
          <cell r="D2452"/>
          <cell r="F2452" t="str">
            <v>Derivados</v>
          </cell>
          <cell r="Q2452" t="str">
            <v>RFIG</v>
          </cell>
        </row>
        <row r="2453">
          <cell r="B2453" t="str">
            <v>FTCMEF0-UXYM1</v>
          </cell>
          <cell r="D2453"/>
          <cell r="F2453" t="str">
            <v>Derivados</v>
          </cell>
          <cell r="Q2453" t="str">
            <v>RFIG</v>
          </cell>
        </row>
        <row r="2454">
          <cell r="B2454" t="str">
            <v>FTCMEF0-UXYU5</v>
          </cell>
          <cell r="D2454"/>
          <cell r="F2454" t="str">
            <v>Derivados</v>
          </cell>
          <cell r="Q2454" t="str">
            <v>RFIG</v>
          </cell>
        </row>
        <row r="2455">
          <cell r="B2455" t="str">
            <v>FTCMEF0-UXYZ5</v>
          </cell>
          <cell r="D2455"/>
          <cell r="F2455" t="str">
            <v>Derivados</v>
          </cell>
          <cell r="Q2455" t="str">
            <v>RFIG</v>
          </cell>
        </row>
        <row r="2456">
          <cell r="B2456" t="str">
            <v>FTCMEF0-TYU9</v>
          </cell>
          <cell r="D2456" t="str">
            <v>US 10Yr Note CBT Set19</v>
          </cell>
          <cell r="F2456" t="str">
            <v>Derivados</v>
          </cell>
          <cell r="Q2456" t="str">
            <v>RFIG</v>
          </cell>
        </row>
        <row r="2457">
          <cell r="B2457" t="str">
            <v>0840001TS10Y</v>
          </cell>
          <cell r="D2457" t="str">
            <v>-</v>
          </cell>
          <cell r="F2457" t="str">
            <v>Derivados</v>
          </cell>
          <cell r="Q2457" t="str">
            <v>RFIG</v>
          </cell>
        </row>
        <row r="2458">
          <cell r="B2458" t="str">
            <v>FTCMEF0-TYU8</v>
          </cell>
          <cell r="D2458" t="str">
            <v>US 10Yr Note CBT Sep18</v>
          </cell>
          <cell r="F2458" t="str">
            <v>Derivados</v>
          </cell>
          <cell r="Q2458" t="str">
            <v>RFIG</v>
          </cell>
        </row>
        <row r="2459">
          <cell r="B2459" t="str">
            <v>FTCMEF0-US9128284-191218</v>
          </cell>
          <cell r="D2459" t="str">
            <v>US Treasury Note 10 Yr Dec18</v>
          </cell>
          <cell r="F2459" t="str">
            <v>Derivados</v>
          </cell>
          <cell r="Q2459" t="str">
            <v>RFIG</v>
          </cell>
        </row>
        <row r="2460">
          <cell r="B2460" t="str">
            <v>FTCMEF0-TYH9</v>
          </cell>
          <cell r="D2460" t="str">
            <v>US Treasury Note 10 Yr Mar19</v>
          </cell>
          <cell r="F2460" t="str">
            <v>Derivados</v>
          </cell>
          <cell r="Q2460" t="str">
            <v>RFIG</v>
          </cell>
        </row>
        <row r="2461">
          <cell r="B2461" t="str">
            <v>FTCMEF0-TYH0</v>
          </cell>
          <cell r="D2461" t="str">
            <v>US Treasury Note 10 Yr Mar20</v>
          </cell>
          <cell r="F2461" t="str">
            <v>Derivados</v>
          </cell>
          <cell r="Q2461" t="str">
            <v>RFIG</v>
          </cell>
        </row>
        <row r="2462">
          <cell r="B2462" t="str">
            <v>FTCMEF0-UXYM0</v>
          </cell>
          <cell r="D2462" t="str">
            <v>US Treasury Note 10 Yr Jun20</v>
          </cell>
          <cell r="F2462" t="str">
            <v>Derivados</v>
          </cell>
          <cell r="Q2462" t="str">
            <v>RFIG</v>
          </cell>
        </row>
        <row r="2463">
          <cell r="B2463" t="str">
            <v>FTCMEF0-WNZ2</v>
          </cell>
          <cell r="D2463" t="str">
            <v>US Treasury Note 10 Yr Jun20</v>
          </cell>
          <cell r="F2463" t="str">
            <v>Derivados</v>
          </cell>
          <cell r="Q2463" t="str">
            <v>RFIG</v>
          </cell>
        </row>
        <row r="2464">
          <cell r="B2464" t="str">
            <v>FTCMEF0-WNZ4</v>
          </cell>
          <cell r="D2464" t="str">
            <v>US 30 Yr 6%</v>
          </cell>
          <cell r="F2464" t="str">
            <v>Derivados</v>
          </cell>
          <cell r="Q2464" t="str">
            <v>RFIG</v>
          </cell>
        </row>
        <row r="2465">
          <cell r="B2465" t="str">
            <v>FTCMEF0-UXYZ4</v>
          </cell>
          <cell r="D2465" t="str">
            <v>US91282CKQ32</v>
          </cell>
          <cell r="F2465" t="str">
            <v>Derivados</v>
          </cell>
          <cell r="Q2465" t="str">
            <v>RFIG</v>
          </cell>
        </row>
        <row r="2467">
          <cell r="B2467" t="str">
            <v>NSOL</v>
          </cell>
          <cell r="D2467"/>
          <cell r="F2467" t="str">
            <v>Monedas</v>
          </cell>
          <cell r="Q2467" t="str">
            <v>M</v>
          </cell>
        </row>
        <row r="2468">
          <cell r="B2468" t="str">
            <v>VAC</v>
          </cell>
          <cell r="D2468"/>
          <cell r="F2468" t="str">
            <v>Monedas</v>
          </cell>
          <cell r="Q2468" t="str">
            <v>M</v>
          </cell>
        </row>
        <row r="2469">
          <cell r="B2469" t="str">
            <v>AUD</v>
          </cell>
          <cell r="D2469"/>
          <cell r="F2469" t="str">
            <v>Monedas</v>
          </cell>
          <cell r="Q2469" t="str">
            <v>M</v>
          </cell>
        </row>
        <row r="2470">
          <cell r="B2470" t="str">
            <v>BRL</v>
          </cell>
          <cell r="D2470"/>
          <cell r="F2470" t="str">
            <v>Monedas</v>
          </cell>
          <cell r="Q2470" t="str">
            <v>M</v>
          </cell>
        </row>
        <row r="2471">
          <cell r="B2471" t="str">
            <v>CAD</v>
          </cell>
          <cell r="D2471"/>
          <cell r="F2471" t="str">
            <v>Monedas</v>
          </cell>
          <cell r="Q2471" t="str">
            <v>M</v>
          </cell>
        </row>
        <row r="2472">
          <cell r="B2472" t="str">
            <v>CHF</v>
          </cell>
          <cell r="D2472"/>
          <cell r="F2472" t="str">
            <v>Monedas</v>
          </cell>
          <cell r="Q2472" t="str">
            <v>M</v>
          </cell>
        </row>
        <row r="2473">
          <cell r="B2473" t="str">
            <v>CLP</v>
          </cell>
          <cell r="D2473"/>
          <cell r="F2473" t="str">
            <v>Monedas</v>
          </cell>
          <cell r="Q2473" t="str">
            <v>M</v>
          </cell>
        </row>
        <row r="2474">
          <cell r="B2474" t="str">
            <v>CNH</v>
          </cell>
          <cell r="D2474"/>
          <cell r="F2474" t="str">
            <v>Monedas</v>
          </cell>
          <cell r="Q2474" t="str">
            <v>M</v>
          </cell>
        </row>
        <row r="2475">
          <cell r="B2475" t="str">
            <v>CNY</v>
          </cell>
          <cell r="D2475"/>
          <cell r="F2475" t="str">
            <v>Monedas</v>
          </cell>
          <cell r="Q2475" t="str">
            <v>M</v>
          </cell>
        </row>
        <row r="2476">
          <cell r="B2476" t="str">
            <v>COP</v>
          </cell>
          <cell r="D2476"/>
          <cell r="F2476" t="str">
            <v>Monedas</v>
          </cell>
          <cell r="Q2476" t="str">
            <v>M</v>
          </cell>
        </row>
        <row r="2477">
          <cell r="B2477" t="str">
            <v>CZK</v>
          </cell>
          <cell r="D2477"/>
          <cell r="F2477" t="str">
            <v>Monedas</v>
          </cell>
          <cell r="Q2477" t="str">
            <v>M</v>
          </cell>
        </row>
        <row r="2478">
          <cell r="B2478" t="str">
            <v>DKK</v>
          </cell>
          <cell r="D2478"/>
          <cell r="F2478" t="str">
            <v>Monedas</v>
          </cell>
          <cell r="Q2478" t="str">
            <v>M</v>
          </cell>
        </row>
        <row r="2479">
          <cell r="B2479" t="str">
            <v>DOL</v>
          </cell>
          <cell r="D2479"/>
          <cell r="F2479" t="str">
            <v>Monedas</v>
          </cell>
          <cell r="Q2479" t="str">
            <v>M</v>
          </cell>
        </row>
        <row r="2480">
          <cell r="B2480" t="str">
            <v>EGP</v>
          </cell>
          <cell r="D2480"/>
          <cell r="F2480" t="str">
            <v>Monedas</v>
          </cell>
          <cell r="Q2480" t="str">
            <v>M</v>
          </cell>
        </row>
        <row r="2481">
          <cell r="B2481" t="str">
            <v>EUR</v>
          </cell>
          <cell r="D2481"/>
          <cell r="F2481" t="str">
            <v>Monedas</v>
          </cell>
          <cell r="Q2481" t="str">
            <v>M</v>
          </cell>
        </row>
        <row r="2482">
          <cell r="B2482" t="str">
            <v>GBP</v>
          </cell>
          <cell r="D2482"/>
          <cell r="F2482" t="str">
            <v>Monedas</v>
          </cell>
          <cell r="Q2482" t="str">
            <v>M</v>
          </cell>
        </row>
        <row r="2483">
          <cell r="B2483" t="str">
            <v>HKD</v>
          </cell>
          <cell r="D2483"/>
          <cell r="F2483" t="str">
            <v>Monedas</v>
          </cell>
          <cell r="Q2483" t="str">
            <v>M</v>
          </cell>
        </row>
        <row r="2484">
          <cell r="B2484" t="str">
            <v>HUF</v>
          </cell>
          <cell r="D2484"/>
          <cell r="F2484" t="str">
            <v>Monedas</v>
          </cell>
          <cell r="Q2484" t="str">
            <v>M</v>
          </cell>
        </row>
        <row r="2485">
          <cell r="B2485" t="str">
            <v>IDR</v>
          </cell>
          <cell r="D2485"/>
          <cell r="F2485" t="str">
            <v>Monedas</v>
          </cell>
          <cell r="Q2485" t="str">
            <v>M</v>
          </cell>
        </row>
        <row r="2486">
          <cell r="B2486" t="str">
            <v>ILS</v>
          </cell>
          <cell r="D2486"/>
          <cell r="F2486" t="str">
            <v>Monedas</v>
          </cell>
          <cell r="Q2486" t="str">
            <v>M</v>
          </cell>
        </row>
        <row r="2487">
          <cell r="B2487" t="str">
            <v>JPY</v>
          </cell>
          <cell r="D2487"/>
          <cell r="F2487" t="str">
            <v>Monedas</v>
          </cell>
          <cell r="Q2487" t="str">
            <v>M</v>
          </cell>
        </row>
        <row r="2488">
          <cell r="B2488" t="str">
            <v>MXN</v>
          </cell>
          <cell r="D2488"/>
          <cell r="F2488" t="str">
            <v>Monedas</v>
          </cell>
          <cell r="Q2488" t="str">
            <v>M</v>
          </cell>
        </row>
        <row r="2489">
          <cell r="B2489" t="str">
            <v>NOK</v>
          </cell>
          <cell r="D2489"/>
          <cell r="F2489" t="str">
            <v>Monedas</v>
          </cell>
          <cell r="Q2489" t="str">
            <v>M</v>
          </cell>
        </row>
        <row r="2490">
          <cell r="B2490" t="str">
            <v>NZD</v>
          </cell>
          <cell r="D2490"/>
          <cell r="F2490" t="str">
            <v>Monedas</v>
          </cell>
          <cell r="Q2490" t="str">
            <v>M</v>
          </cell>
        </row>
        <row r="2491">
          <cell r="B2491" t="str">
            <v>PLN</v>
          </cell>
          <cell r="D2491"/>
          <cell r="F2491" t="str">
            <v>Monedas</v>
          </cell>
          <cell r="Q2491" t="str">
            <v>M</v>
          </cell>
        </row>
        <row r="2492">
          <cell r="B2492" t="str">
            <v>RON</v>
          </cell>
          <cell r="D2492"/>
          <cell r="F2492" t="str">
            <v>Monedas</v>
          </cell>
          <cell r="Q2492" t="str">
            <v>M</v>
          </cell>
        </row>
        <row r="2493">
          <cell r="B2493" t="str">
            <v>SEK</v>
          </cell>
          <cell r="D2493"/>
          <cell r="F2493" t="str">
            <v>Monedas</v>
          </cell>
          <cell r="Q2493" t="str">
            <v>M</v>
          </cell>
        </row>
        <row r="2494">
          <cell r="B2494" t="str">
            <v>SGD</v>
          </cell>
          <cell r="D2494"/>
          <cell r="F2494" t="str">
            <v>Monedas</v>
          </cell>
          <cell r="Q2494" t="str">
            <v>M</v>
          </cell>
        </row>
        <row r="2495">
          <cell r="B2495" t="str">
            <v>THB</v>
          </cell>
          <cell r="D2495"/>
          <cell r="F2495" t="str">
            <v>Monedas</v>
          </cell>
          <cell r="Q2495" t="str">
            <v>M</v>
          </cell>
        </row>
        <row r="2496">
          <cell r="B2496" t="str">
            <v>TRY</v>
          </cell>
          <cell r="D2496"/>
          <cell r="F2496" t="str">
            <v>Monedas</v>
          </cell>
          <cell r="Q2496" t="str">
            <v>M</v>
          </cell>
        </row>
        <row r="2497">
          <cell r="B2497" t="str">
            <v>ZAR</v>
          </cell>
          <cell r="D2497"/>
          <cell r="F2497" t="str">
            <v>Monedas</v>
          </cell>
          <cell r="Q2497" t="str">
            <v>M</v>
          </cell>
        </row>
        <row r="2498">
          <cell r="B2498" t="str">
            <v>RUB</v>
          </cell>
          <cell r="D2498"/>
          <cell r="F2498" t="str">
            <v>Monedas</v>
          </cell>
          <cell r="Q2498" t="str">
            <v>M</v>
          </cell>
        </row>
        <row r="2499">
          <cell r="B2499" t="str">
            <v>KRW</v>
          </cell>
          <cell r="D2499"/>
          <cell r="F2499" t="str">
            <v>Monedas</v>
          </cell>
          <cell r="Q2499" t="str">
            <v>M</v>
          </cell>
        </row>
        <row r="2500">
          <cell r="B2500" t="str">
            <v>TWD</v>
          </cell>
          <cell r="D2500"/>
          <cell r="F2500" t="str">
            <v>Monedas</v>
          </cell>
          <cell r="Q2500" t="str">
            <v>M</v>
          </cell>
        </row>
        <row r="2501">
          <cell r="B2501" t="str">
            <v>INR</v>
          </cell>
          <cell r="D2501"/>
          <cell r="F2501" t="str">
            <v>Monedas</v>
          </cell>
          <cell r="Q2501" t="str">
            <v>M</v>
          </cell>
        </row>
        <row r="2502">
          <cell r="B2502" t="str">
            <v>LKR</v>
          </cell>
          <cell r="D2502"/>
          <cell r="F2502" t="str">
            <v>Monedas</v>
          </cell>
          <cell r="Q2502" t="str">
            <v>M</v>
          </cell>
        </row>
        <row r="2503">
          <cell r="B2503" t="str">
            <v>MYR</v>
          </cell>
          <cell r="D2503"/>
          <cell r="F2503" t="str">
            <v>Monedas</v>
          </cell>
          <cell r="Q2503" t="str">
            <v>M</v>
          </cell>
        </row>
        <row r="2504">
          <cell r="B2504" t="str">
            <v>PHP</v>
          </cell>
          <cell r="D2504"/>
          <cell r="F2504" t="str">
            <v>Monedas</v>
          </cell>
          <cell r="Q2504" t="str">
            <v>M</v>
          </cell>
        </row>
        <row r="2505">
          <cell r="B2505" t="str">
            <v>VND</v>
          </cell>
          <cell r="D2505"/>
          <cell r="F2505" t="str">
            <v>Monedas</v>
          </cell>
          <cell r="Q2505" t="str">
            <v>M</v>
          </cell>
        </row>
        <row r="2506">
          <cell r="B2506" t="str">
            <v>BDT</v>
          </cell>
          <cell r="D2506"/>
          <cell r="F2506" t="str">
            <v>Monedas</v>
          </cell>
          <cell r="Q2506" t="str">
            <v>M</v>
          </cell>
        </row>
        <row r="2507">
          <cell r="B2507" t="str">
            <v>PKR</v>
          </cell>
          <cell r="D2507"/>
          <cell r="F2507" t="str">
            <v>Monedas</v>
          </cell>
          <cell r="Q2507" t="str">
            <v>M</v>
          </cell>
        </row>
        <row r="2508">
          <cell r="B2508" t="str">
            <v>AED</v>
          </cell>
          <cell r="D2508"/>
          <cell r="F2508" t="str">
            <v>Monedas</v>
          </cell>
          <cell r="Q2508" t="str">
            <v>M</v>
          </cell>
        </row>
        <row r="2509">
          <cell r="B2509" t="str">
            <v>QAR</v>
          </cell>
          <cell r="D2509"/>
          <cell r="F2509" t="str">
            <v>Monedas</v>
          </cell>
          <cell r="Q2509" t="str">
            <v>M</v>
          </cell>
        </row>
        <row r="2510">
          <cell r="B2510" t="str">
            <v>ARS</v>
          </cell>
          <cell r="D2510"/>
          <cell r="F2510" t="str">
            <v>Monedas</v>
          </cell>
          <cell r="Q2510" t="str">
            <v>M</v>
          </cell>
        </row>
        <row r="2511">
          <cell r="B2511" t="str">
            <v>NGN</v>
          </cell>
          <cell r="D2511"/>
          <cell r="F2511" t="str">
            <v>Monedas</v>
          </cell>
          <cell r="Q2511" t="str">
            <v>M</v>
          </cell>
        </row>
        <row r="2512">
          <cell r="B2512" t="str">
            <v>UYU</v>
          </cell>
          <cell r="D2512"/>
          <cell r="F2512" t="str">
            <v>Monedas</v>
          </cell>
          <cell r="Q2512" t="str">
            <v>M</v>
          </cell>
        </row>
        <row r="2513">
          <cell r="B2513" t="str">
            <v>ZMW</v>
          </cell>
          <cell r="D2513"/>
          <cell r="F2513" t="str">
            <v>Monedas</v>
          </cell>
          <cell r="Q2513" t="str">
            <v>M</v>
          </cell>
        </row>
        <row r="2514">
          <cell r="B2514" t="str">
            <v>GHS</v>
          </cell>
          <cell r="D2514"/>
          <cell r="F2514" t="str">
            <v>Monedas</v>
          </cell>
          <cell r="Q2514" t="str">
            <v>M</v>
          </cell>
        </row>
        <row r="2515">
          <cell r="B2515" t="str">
            <v>RSD</v>
          </cell>
          <cell r="D2515"/>
          <cell r="F2515" t="str">
            <v>Monedas</v>
          </cell>
          <cell r="Q2515" t="str">
            <v>M</v>
          </cell>
        </row>
        <row r="2516">
          <cell r="B2516" t="str">
            <v>DOP</v>
          </cell>
          <cell r="D2516"/>
          <cell r="F2516" t="str">
            <v>Monedas</v>
          </cell>
          <cell r="Q2516" t="str">
            <v>M</v>
          </cell>
        </row>
        <row r="2517">
          <cell r="B2517" t="str">
            <v>KES</v>
          </cell>
          <cell r="D2517"/>
          <cell r="F2517" t="str">
            <v>Monedas</v>
          </cell>
          <cell r="Q2517" t="str">
            <v>M</v>
          </cell>
        </row>
        <row r="2518">
          <cell r="B2518" t="str">
            <v>NDF</v>
          </cell>
          <cell r="D2518"/>
          <cell r="F2518" t="str">
            <v>NDF</v>
          </cell>
          <cell r="Q2518" t="str">
            <v>NDF</v>
          </cell>
        </row>
        <row r="2519">
          <cell r="B2519"/>
          <cell r="D2519"/>
          <cell r="F2519"/>
          <cell r="Q2519"/>
        </row>
        <row r="2521">
          <cell r="B2521"/>
          <cell r="D2521"/>
          <cell r="F2521"/>
          <cell r="Q2521"/>
        </row>
        <row r="2522">
          <cell r="B2522" t="str">
            <v>VC</v>
          </cell>
          <cell r="D2522"/>
          <cell r="F2522" t="str">
            <v>VC</v>
          </cell>
          <cell r="Q2522" t="str">
            <v>VC</v>
          </cell>
        </row>
        <row r="2523">
          <cell r="B2523" t="str">
            <v>Estimados</v>
          </cell>
          <cell r="D2523"/>
          <cell r="F2523" t="str">
            <v>EST</v>
          </cell>
          <cell r="Q2523" t="str">
            <v>EST</v>
          </cell>
        </row>
        <row r="2524">
          <cell r="B2524" t="str">
            <v>Cash</v>
          </cell>
          <cell r="D2524"/>
          <cell r="F2524" t="str">
            <v>CASH</v>
          </cell>
          <cell r="Q2524" t="str">
            <v>CASH</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guel Angel Munoz Preciado" refreshedDate="46036.576651620373" createdVersion="8" refreshedVersion="8" minRefreshableVersion="3" recordCount="641" xr:uid="{C263A6CA-2700-46AE-BF6B-95E0C0353153}">
  <cacheSource type="worksheet">
    <worksheetSource name="Tabla_Consulta_desde_Reporte_de_Valorización_de_Instrumentos"/>
  </cacheSource>
  <cacheFields count="43">
    <cacheField name="FechaValoracion" numFmtId="167">
      <sharedItems/>
    </cacheField>
    <cacheField name="TIPO_TITULO" numFmtId="0">
      <sharedItems/>
    </cacheField>
    <cacheField name="PORTAFOLIO" numFmtId="0">
      <sharedItems count="4">
        <s v="IN-FONDO2"/>
        <s v="IN-FONDO1"/>
        <s v="IN-FONDO0"/>
        <s v="IN-FONDO3"/>
      </sharedItems>
    </cacheField>
    <cacheField name="GRUPO" numFmtId="0">
      <sharedItems/>
    </cacheField>
    <cacheField name="CODIGO_SBS" numFmtId="0">
      <sharedItems/>
    </cacheField>
    <cacheField name="Nombre" numFmtId="0">
      <sharedItems containsMixedTypes="1" containsNumber="1" containsInteger="1" minValue="0" maxValue="0" count="202">
        <s v="Gobierno Central"/>
        <s v="Gobierno de Chile"/>
        <s v="Gobierno de Brasil"/>
        <s v="Gobierno de Colombia"/>
        <s v="Gobierno de México"/>
        <s v="Grupo Nutresa S.A."/>
        <s v="Nexa Resources"/>
        <s v="Grupo Financiero Banorte"/>
        <s v="BBVA Bancomer"/>
        <s v="Grupo Aval Acciones y Valores"/>
        <s v="Banco Davivienda S.A."/>
        <s v="Banco de Crédito e Inversiones"/>
        <s v="Banco de Colombia"/>
        <s v="Línea Amarilla S.A.C."/>
        <s v="Banco Interamericano de Finanzas"/>
        <s v="Banco de la Nación"/>
        <s v="Banco de Crédito del Perú"/>
        <s v="Banco Internacional del Perú "/>
        <s v="Rutas de Lima"/>
        <s v="Jockey Plaza"/>
        <s v="Primax"/>
        <s v="Hermes"/>
        <s v="Inca Rail"/>
        <s v="Hunt Oil"/>
        <s v="Inversiones Nacionales de Turismo S.A."/>
        <s v="Tecsup"/>
        <s v="Site del Perú"/>
        <s v="Alicorp "/>
        <s v="Buenaventura"/>
        <s v="Telefónica del Perú "/>
        <s v="Pluz Energía Perú S.A.A"/>
        <s v="Orazen"/>
        <s v="Luz del Sur "/>
        <s v="MINSUR"/>
        <e v="#N/A"/>
        <s v="Fondo Mi Vivienda"/>
        <s v="Intercorp Perú"/>
        <s v="InRetail Shopping Malls"/>
        <s v="TITIRSM1 - InRetail"/>
        <s v="SINT1INR1U - InRetail"/>
        <s v="Huascacocha Finance Limited"/>
        <s v="ADP"/>
        <s v="Internacional de Titulos Soc. Titulizadora"/>
        <s v="Colegios Peruanos - Internacional de Titulos Soc. Titulizadora"/>
        <s v="Casa Andina (Scotia Sociedad Titulizadora)"/>
        <s v="Inretail Peru Corp"/>
        <s v="Ferreyros S.A.A."/>
        <s v="Puerto Chancay B"/>
        <s v="Puerto Chancay A"/>
        <s v="Alicorp S.A."/>
        <s v="Sociedad Minera Cerro Verde S.A.A."/>
        <s v="Unión Andina de Cementos"/>
        <s v="Banco Continental"/>
        <s v="Cementos Pacasmayo-CM"/>
        <s v="Credicorp LTD."/>
        <s v="Edegel S.A.A."/>
        <s v="Edelnor S.A.A."/>
        <s v="Energía del Sur S.A."/>
        <s v="Graña y Montero S.A.A."/>
        <s v="Intergroup"/>
        <s v="Nexa Perú (Milpo)"/>
        <s v="Volcan B"/>
        <s v="Volcan A"/>
        <s v="El Comercio"/>
        <s v="Minsur S.A."/>
        <s v="Fossal SA"/>
        <s v="Buenaventura ADR"/>
        <s v="Cementos Pacasmayo-ADR"/>
        <s v="AUNA SA"/>
        <s v="Aclara Resources Inc."/>
        <s v="HudBays Minerals Inc."/>
        <s v="Nexa ADR"/>
        <s v="Hocshild Minning Corp."/>
        <s v="Carlyle Peru"/>
        <s v="Macrocapitales SAFI S.A."/>
        <s v="BD Capital - Senior Loans C"/>
        <s v="Sigma - Leasing Operativo"/>
        <s v="Van Eck - El Dorado Peru"/>
        <s v="Kandeo - II Private Equity"/>
        <s v="Macrocapitales - Fortaleza"/>
        <s v="W Capital - Fondo Inmobiliario"/>
        <s v="Sura Credicorp Infraestructura"/>
        <s v="AC Capitales - Inmobiliario II"/>
        <s v="AC Capitales - Infraestructura II"/>
        <s v="AC Capitales - Infraestructura"/>
        <s v="BCP Fondo Inmobiliario"/>
        <s v="Enfoca - Descubridor 1"/>
        <s v="Enfoca - Descubridor 2"/>
        <s v="Faro Capital - Fondo de Inversión Retail "/>
        <s v="LarraínVial Colliers - Fibra III"/>
        <s v="LarraínVial Colliers - Fibra II"/>
        <s v="Sigma- Infraestructura"/>
        <s v="AXA World Funds - US Dynamic High Yield"/>
        <s v="Vontobel - Credit Opportunities"/>
        <s v="Vontobel - Emerging Markets Corporate"/>
        <s v="Vontobel - Emerging Markets Debt"/>
        <s v="Barings - Emerging Markets Local Debt Fund"/>
        <s v="Barings - Emerging Markets Sovereign Debt Fund"/>
        <s v="Arcano Fund - European Income Fund, ESG Selection"/>
        <s v="Arcano Fund - European Income Fund - ESG Selection"/>
        <s v="JP Morgan - Korea Equity Fund"/>
        <s v="Pinebridge - Asia Ex-Japan Small Caps"/>
        <s v="BlackRock - iShares Korea"/>
        <s v="BlackRock - iShares Taiwan"/>
        <s v="BlackRock - iShares PHLX Semiconductor ETF"/>
        <s v="BlackRock - iShares - Tips ETF"/>
        <s v="BlackRock - iShares Convertible Bond ETF"/>
        <s v="BlackRock - iShares Euro Stoxx Banks 30-15 UCITS"/>
        <s v="Nomura - US High Yield Bond Fund"/>
        <s v="Fidelity - European Dynamic Growth"/>
        <s v="Robeco - Chinese Equities"/>
        <s v="Robeco Luxembourg S.A."/>
        <s v="SSGA - Bloomberg Barclays Convertible Securities"/>
        <s v="AIRR US - First Trust American Industrial Rennaisance"/>
        <s v="Invesco  - Euro Equity Fund"/>
        <s v="Eastspring - Japan Dynamic Fund"/>
        <s v="Groupama - Avenir Euro (Mid Small Caps)"/>
        <s v="Pimco - US High Yield Bond"/>
        <s v="PIMCO - Asia High Yield Bond Fund"/>
        <s v="Pimco - GIS Income Fund"/>
        <s v="Pimco - Emerging Markets Local Bond Fund"/>
        <s v="Man GLG - Continental European Growth"/>
        <s v="Janus Henderson - Horizon Euroland Fund"/>
        <s v="Global Evolution Funds - Frontier Markets Fund"/>
        <s v="Veritas - Asian Fund"/>
        <s v="Degroof - EM  Sustainable Debt"/>
        <s v="Lazard Capital Fi"/>
        <s v="Lazard - Convertible Global Fund"/>
        <s v="Krane - CSI China Internet Fund"/>
        <s v="Moneda - Deuda Latam LCC"/>
        <s v="BlueBay - Financial Capital Bond - E"/>
        <s v="Invesco - Power Shares QQQ"/>
        <s v="Schroder - International Selection Fund China A"/>
        <s v="Global X - Copper Miners ETF"/>
        <s v="Global X - Silvers Miners ETF"/>
        <s v="Global X - Uranium Miners ETF"/>
        <s v="Global X - Argentina ETF"/>
        <s v="Baillie Gifford &amp; Co Ltd - Overseas Growth Funds ICVC - Pacific Fund"/>
        <s v="Joh Berenberg - European Focus Fund"/>
        <s v="SKYY US - First Trust Cloud Computing ETF"/>
        <s v="Liontrust - Liontrust European Dynamic Fund S"/>
        <s v="Moneda - Latam High Yield"/>
        <s v="Neuberger Berman - CLO Income Fund"/>
        <s v="Premier Miton - European Opportunities Fund"/>
        <s v="DNCA - Alpha Bonds"/>
        <s v="Allianz - China-A"/>
        <s v="Allianz - Euroland Equity Growth"/>
        <s v="BNP Paribas - China Equity Class"/>
        <s v="DFA - US Large Cap Value"/>
        <s v="BNP Paribas - Japan Small Caps"/>
        <s v="Goldman Sachs - Emerging Markets Corporate Debt"/>
        <s v="Goldman Sachs - India Equity Portfolio"/>
        <s v="JP Morgan - Japan Equity Fund - C"/>
        <s v="Lazard - Japanese Strategic Equity"/>
        <s v="Pictet Chinese LC Debt"/>
        <s v="Schroders - Asian Opportunities"/>
        <s v="State Street - S&amp;P 500 ETF"/>
        <s v="State Street - S&amp;P Metals &amp; Mining ETF"/>
        <s v="State Street - Technology Select Sector"/>
        <s v="UBS - China Opportunity - A3"/>
        <s v="VanEck Semiconductor ETF"/>
        <s v="VanEck - Gold Miners ETF"/>
        <s v="VanEck - JPM EM LC Bond ETF"/>
        <s v="Vanguard - Emerging Markets Bond Fund - I Retail"/>
        <s v="Vanguard - Emerging Markets Bond Fund - II Institutional"/>
        <s v="Vanguard - S&amp;P 500 ETF"/>
        <s v="ASF VIII GP Limited"/>
        <s v="TRG Rohatyn - LAPEF I"/>
        <s v="Partners - PGD 2009"/>
        <s v="Pantheon - PASIA VI"/>
        <s v="ARCM - ARC Fund II"/>
        <s v="Coller - Coller VI"/>
        <s v="Partners - PG Secondary 2011"/>
        <s v="Apax VIII"/>
        <s v="Lexington Partners GP Holdings VIII LLC"/>
        <s v="Apollo Credit Opportunity III"/>
        <s v="Partners - PG Secondary 2015"/>
        <s v="Oaktree Principal Fund VI GP, L.P."/>
        <s v="ASSF - Operating Manager IV, LP"/>
        <s v="Avenue - Europe Capital Partners III, LLC"/>
        <s v="Coller"/>
        <s v="Apax IX "/>
        <s v="KKR"/>
        <s v="HarbourVest Co-Investment Fund IV"/>
        <s v="CVC Capital Partners - VII Limited"/>
        <s v="Carlyle Realty Partners - VIII"/>
        <s v="Carlyle Partners VII"/>
        <s v="PAI Europe VII"/>
        <s v="CEP V LUX"/>
        <s v="PRIVFAELCPIX"/>
        <s v="Hellman &amp; Friedman"/>
        <s v="Coller - Coller VIII"/>
        <s v="Vista Equity Partners Fund VII GP, L.P."/>
        <s v="Apax X"/>
        <s v="Global Infrastructure GP IV, L.P."/>
        <s v="Blackstone Real Estate Associates Europe VI"/>
        <s v="ASF Cosmos Co-Invest L.P."/>
        <s v="LarraínVial - Energía I"/>
        <s v="BlackRock - iShares MSCI Peru"/>
        <s v="Ecopetrol"/>
        <s v="Empresas Públicas Medellin"/>
        <n v="0"/>
      </sharedItems>
    </cacheField>
    <cacheField name="CODIGO_ISIN" numFmtId="0">
      <sharedItems/>
    </cacheField>
    <cacheField name="TITULO" numFmtId="0">
      <sharedItems/>
    </cacheField>
    <cacheField name="EMISOR" numFmtId="0">
      <sharedItems/>
    </cacheField>
    <cacheField name="Moneda" numFmtId="0">
      <sharedItems/>
    </cacheField>
    <cacheField name="VALOR_UNITARIO" numFmtId="0">
      <sharedItems containsSemiMixedTypes="0" containsString="0" containsNumber="1" minValue="0" maxValue="5000000"/>
    </cacheField>
    <cacheField name="VALOR_VECTOR_LOCAL" numFmtId="164">
      <sharedItems containsSemiMixedTypes="0" containsString="0" containsNumber="1" minValue="0" maxValue="2021054768.0050943"/>
    </cacheField>
    <cacheField name="VALOR_VECTOR_ORIGEN" numFmtId="0">
      <sharedItems containsSemiMixedTypes="0" containsString="0" containsNumber="1" minValue="0" maxValue="127291635000"/>
    </cacheField>
    <cacheField name="CANTIDAD" numFmtId="0">
      <sharedItems containsSemiMixedTypes="0" containsString="0" containsNumber="1" minValue="0" maxValue="234904776"/>
    </cacheField>
    <cacheField name="FECHA_VENCIMIENTO" numFmtId="14">
      <sharedItems containsNonDate="0" containsDate="1" containsString="0" containsBlank="1" minDate="2025-12-31T00:00:00" maxDate="3000-10-27T00:00:00"/>
    </cacheField>
    <cacheField name="DIAS_VENTIMIENTO" numFmtId="0">
      <sharedItems containsString="0" containsBlank="1" containsNumber="1" containsInteger="1" minValue="0" maxValue="356045"/>
    </cacheField>
    <cacheField name="TIPO_CAMBIO" numFmtId="0">
      <sharedItems containsSemiMixedTypes="0" containsString="0" containsNumber="1" minValue="8.8900000000000003E-4" maxValue="4.5224270000000004"/>
    </cacheField>
    <cacheField name="TIPO_RENTA" numFmtId="0">
      <sharedItems count="2">
        <s v="RENTA FIJA"/>
        <s v="RENTA VARIABLE"/>
      </sharedItems>
    </cacheField>
    <cacheField name="VALOR_VECTOR_LOCAL_T-1" numFmtId="0">
      <sharedItems containsString="0" containsBlank="1" containsNumber="1" minValue="8.1229527000000008" maxValue="1753882216.6499748"/>
    </cacheField>
    <cacheField name="VALOR_VECTOR_ORIGEN_T-1" numFmtId="164">
      <sharedItems containsString="0" containsBlank="1" containsNumber="1" minValue="2.0551949999999999" maxValue="127210635000"/>
    </cacheField>
    <cacheField name="GRUPO_ECONOMICO" numFmtId="0">
      <sharedItems/>
    </cacheField>
    <cacheField name="ACTIVO_DEL_EMISOR" numFmtId="0">
      <sharedItems containsSemiMixedTypes="0" containsString="0" containsNumber="1" containsInteger="1" minValue="0" maxValue="338596669000000"/>
    </cacheField>
    <cacheField name="PASIVO_DEL_EMISOR" numFmtId="0">
      <sharedItems containsSemiMixedTypes="0" containsString="0" containsNumber="1" containsInteger="1" minValue="0" maxValue="301098538000000"/>
    </cacheField>
    <cacheField name="PASTRIMONIO_DEL_EMISOR" numFmtId="0">
      <sharedItems containsSemiMixedTypes="0" containsString="0" containsNumber="1" minValue="0" maxValue="101492910000000"/>
    </cacheField>
    <cacheField name="DIFERENCIA" numFmtId="0">
      <sharedItems containsSemiMixedTypes="0" containsString="0" containsNumber="1" minValue="-123" maxValue="60"/>
    </cacheField>
    <cacheField name="Column1" numFmtId="0">
      <sharedItems/>
    </cacheField>
    <cacheField name="Patrimonio" numFmtId="0">
      <sharedItems containsSemiMixedTypes="0" containsString="0" containsNumber="1" minValue="2847839359.3764262" maxValue="26256910350.436607"/>
    </cacheField>
    <cacheField name="Weight" numFmtId="168">
      <sharedItems containsSemiMixedTypes="0" containsString="0" containsNumber="1" minValue="0" maxValue="0.10417941368893492"/>
    </cacheField>
    <cacheField name="Inv MM$" numFmtId="164">
      <sharedItems containsSemiMixedTypes="0" containsString="0" containsNumber="1" minValue="0" maxValue="601.34332113573578"/>
    </cacheField>
    <cacheField name="F0" numFmtId="0">
      <sharedItems containsSemiMixedTypes="0" containsString="0" containsNumber="1" minValue="0" maxValue="24.252528596655655"/>
    </cacheField>
    <cacheField name="F1" numFmtId="172">
      <sharedItems containsSemiMixedTypes="0" containsString="0" containsNumber="1" minValue="0" maxValue="238.04544599469716"/>
    </cacheField>
    <cacheField name="F2" numFmtId="172">
      <sharedItems containsSemiMixedTypes="0" containsString="0" containsNumber="1" minValue="0" maxValue="601.34332113573578"/>
    </cacheField>
    <cacheField name="F3" numFmtId="172">
      <sharedItems containsSemiMixedTypes="0" containsString="0" containsNumber="1" minValue="0" maxValue="77.031807000000001"/>
    </cacheField>
    <cacheField name="M (MM$)" numFmtId="173">
      <sharedItems containsSemiMixedTypes="0" containsString="0" containsNumber="1" minValue="0" maxValue="839.38876713043294"/>
    </cacheField>
    <cacheField name="C02-H" numFmtId="172">
      <sharedItems containsSemiMixedTypes="0" containsString="0" containsNumber="1" minValue="0" maxValue="3005.8191416200002" count="750">
        <n v="170.4198394"/>
        <n v="172.5413326"/>
        <n v="274.3982815"/>
        <n v="191.40678779999999"/>
        <n v="204.30314809999999"/>
        <n v="17.5"/>
        <n v="214.26"/>
        <n v="1.05"/>
        <n v="1.2"/>
        <n v="10.51"/>
        <n v="4.0032245"/>
        <n v="0.16"/>
        <n v="0.98"/>
        <n v="33.06438043"/>
        <n v="0.61"/>
        <n v="0.47"/>
        <n v="27.41"/>
        <n v="12.22765594"/>
        <n v="228.38915384000001"/>
        <n v="4.2379654499999999"/>
        <n v="36.6"/>
        <n v="58.4"/>
        <n v="2.4"/>
        <n v="295.20288226000002"/>
        <n v="108.97"/>
        <n v="114.2"/>
        <n v="0.43"/>
        <n v="0"/>
        <n v="0.31"/>
        <n v="0.71"/>
        <n v="21.25"/>
        <n v="7.95"/>
        <n v="267.09083670000001"/>
        <n v="2001.5"/>
        <n v="0.77"/>
        <n v="2525.98"/>
        <n v="0.73"/>
        <n v="128.26"/>
        <n v="277.81"/>
        <n v="161.47999999999999"/>
        <n v="3.10555344"/>
        <n v="85.18"/>
        <n v="72.64"/>
        <n v="31.33247536"/>
        <n v="112.84346384"/>
        <n v="43.013270409999997"/>
        <n v="361.84748588000002"/>
        <n v="305.48687911000002"/>
        <n v="2.4346340199999998"/>
        <n v="412.78666957000002"/>
        <n v="105.47879072000001"/>
        <n v="173.38699137"/>
        <n v="77.352352210000006"/>
        <n v="100.58758148"/>
        <n v="70.227149190000006"/>
        <n v="8.4584609700000009"/>
        <n v="202.59174264999999"/>
        <n v="55.558979000000001"/>
        <n v="0.42006296999999998"/>
        <n v="147.15787048000001"/>
        <n v="18.484933380000001"/>
        <n v="71.988742619999996"/>
        <n v="111.30548919"/>
        <n v="49.107639769999999"/>
        <n v="26.742295039999998"/>
        <n v="66.254312119999994"/>
        <n v="131.51194706999999"/>
        <n v="11.37433998"/>
        <n v="106.87427083999999"/>
        <n v="415.65856077000001"/>
        <n v="46.205657029999998"/>
        <n v="169.70566217000001"/>
        <n v="71.352824049999995"/>
        <n v="61.731639360000003"/>
        <n v="0.64173709999999995"/>
        <n v="105.37258032"/>
        <n v="6.141282E-2"/>
        <n v="2.7975900199999999"/>
        <n v="70.169577059999995"/>
        <n v="7.0893212800000001"/>
        <n v="145.75331588"/>
        <n v="0.51333318999999999"/>
        <n v="9.1969589999999997"/>
        <n v="77.041533999999999"/>
        <n v="120.63185874"/>
        <n v="66.174081770000001"/>
        <n v="68.750798759999995"/>
        <n v="207.09422203"/>
        <n v="26.159180240000001"/>
        <n v="35.551672289999999"/>
        <n v="4.1286529300000003"/>
        <n v="209.88483607000001"/>
        <n v="130.42998961999999"/>
        <n v="3.6843052799999998"/>
        <n v="25.369141249999998"/>
        <n v="35.826044969999998"/>
        <n v="32.946213380000003"/>
        <n v="25.653295719999999"/>
        <n v="57.014758860000001"/>
        <n v="121.3874163"/>
        <n v="354.16831866000001"/>
        <n v="128.29965439"/>
        <n v="22.738107729999999"/>
        <n v="57.243154320000002"/>
        <n v="20.810884089999998"/>
        <n v="25.11745269"/>
        <n v="22.730523699999999"/>
        <n v="649.79570505000004"/>
        <n v="3.3217791600000002"/>
        <n v="100.84136264"/>
        <n v="6.2709699299999997"/>
        <n v="81.866171690000002"/>
        <n v="10.65572682"/>
        <n v="434.14055299"/>
        <n v="22.768172870000001"/>
        <n v="39.508152340000002"/>
        <n v="22.706096800000001"/>
        <n v="122.2271635"/>
        <n v="6.0955239199999998"/>
        <n v="149.02999262"/>
        <n v="6.5545844899999999"/>
        <n v="259.63"/>
        <n v="32.630000000000003"/>
        <n v="141.98365630000001" u="1"/>
        <n v="182.98566249999999" u="1"/>
        <n v="143.62931560000001" u="1"/>
        <n v="109.2079978" u="1"/>
        <n v="188.87169069999999" u="1"/>
        <n v="1.21" u="1"/>
        <n v="1.82" u="1"/>
        <n v="32.543665969999999" u="1"/>
        <n v="4.5013490599999999" u="1"/>
        <n v="0.57999999999999996" u="1"/>
        <n v="0.7" u="1"/>
        <n v="30.58" u="1"/>
        <n v="11.7472016" u="1"/>
        <n v="233.58594269" u="1"/>
        <n v="4.8248630300000004" u="1"/>
        <n v="4.7512993100000003" u="1"/>
        <n v="2.09" u="1"/>
        <n v="164.07" u="1"/>
        <n v="27.01" u="1"/>
        <n v="305.63515838000001" u="1"/>
        <n v="278.39582796000002" u="1"/>
        <n v="0.78" u="1"/>
        <n v="200.75" u="1"/>
        <n v="1357.45" u="1"/>
        <n v="60.86" u="1"/>
        <n v="3.2791294400000002" u="1"/>
        <n v="29.001745970000002" u="1"/>
        <n v="113.67371360999999" u="1"/>
        <n v="458.12815411000003" u="1"/>
        <n v="363.72134942000002" u="1"/>
        <n v="2.4012891500000002" u="1"/>
        <n v="375.75919436999999" u="1"/>
        <n v="138.53" u="1"/>
        <n v="125.69182250999999" u="1"/>
        <n v="128.25629318" u="1"/>
        <n v="16.817131920000001" u="1"/>
        <n v="144.65044610999999" u="1"/>
        <n v="57.071458530000001" u="1"/>
        <n v="120.87667241" u="1"/>
        <n v="206.33400990999999" u="1"/>
        <n v="8.1365536400000007" u="1"/>
        <n v="91.070611470000003" u="1"/>
        <n v="65.164992369999993" u="1"/>
        <n v="109.57953526999999" u="1"/>
        <n v="217.85821207999999" u="1"/>
        <n v="45.8175314" u="1"/>
        <n v="240.42143277" u="1"/>
        <n v="0.38807923" u="1"/>
        <n v="92.363765580000006" u="1"/>
        <n v="170.49057625" u="1"/>
        <n v="145.32574224999999" u="1"/>
        <n v="20.483221619999998" u="1"/>
        <n v="111.25181451" u="1"/>
        <n v="105.07799063" u="1"/>
        <n v="63.15477911" u="1"/>
        <n v="37.662916080000002" u="1"/>
        <n v="65.80644556" u="1"/>
        <n v="135.92167871999999" u="1"/>
        <n v="12.11670621" u="1"/>
        <n v="102.67143975" u="1"/>
        <n v="170.86779430999999" u="1"/>
        <n v="39.415560390000003" u="1"/>
        <n v="358.22303431" u="1"/>
        <n v="71.220539450000004" u="1"/>
        <n v="58.22" u="1"/>
        <n v="99.800899999999999" u="1"/>
        <n v="29.353419809999998" u="1"/>
        <n v="6.867674E-2" u="1"/>
        <n v="8.3704255100000005" u="1"/>
        <n v="85.265575049999995" u="1"/>
        <n v="8.4811140100000006" u="1"/>
        <n v="143.47844382" u="1"/>
        <n v="0.51277870999999997" u="1"/>
        <n v="9.9907630100000002" u="1"/>
        <n v="1.07785142" u="1"/>
        <n v="126.81890106" u="1"/>
        <n v="134.03069482000001" u="1"/>
        <n v="29.954326890000001" u="1"/>
        <n v="7.4166601999999999" u="1"/>
        <n v="3.2595364899999999" u="1"/>
        <n v="50.037164660000002" u="1"/>
        <n v="142.54546911" u="1"/>
        <n v="0.18" u="1"/>
        <n v="2.2239889399999999" u="1"/>
        <n v="27.688509029999999" u="1"/>
        <n v="169.46396725" u="1"/>
        <n v="109.99594087" u="1"/>
        <n v="56.137700000000002" u="1"/>
        <n v="62.871595480000003" u="1"/>
        <n v="62.631584949999997" u="1"/>
        <n v="363.07593557000001" u="1"/>
        <n v="123.2268017" u="1"/>
        <n v="23.366210250000002" u="1"/>
        <n v="20.567285940000001" u="1"/>
        <n v="39.099653609999997" u="1"/>
        <n v="2.56376465" u="1"/>
        <n v="1.5112497499999999" u="1"/>
        <n v="25.019856999999998" u="1"/>
        <n v="122.13614861000001" u="1"/>
        <n v="5.5245438299999998" u="1"/>
        <n v="110.40663837" u="1"/>
        <n v="86.04755892" u="1"/>
        <n v="403.27210683999999" u="1"/>
        <n v="39.908192460000002" u="1"/>
        <n v="24.440488869999999" u="1"/>
        <n v="121.77654961" u="1"/>
        <n v="6.7644015900000003" u="1"/>
        <n v="151.47459864000001" u="1"/>
        <n v="6.9019268599999997" u="1"/>
        <n v="264.75" u="1"/>
        <n v="28.76" u="1"/>
        <n v="0.21" u="1"/>
        <n v="0.76" u="1"/>
        <n v="0.4" u="1"/>
        <n v="29.18" u="1"/>
        <n v="2037.37" u="1"/>
        <n v="34.606967179999998" u="1"/>
        <n v="4.6971117700000002" u="1"/>
        <n v="13.269991470000001" u="1"/>
        <n v="233.33203241999999" u="1"/>
        <n v="4.43077129" u="1"/>
        <n v="4.9529464699999997" u="1"/>
        <n v="300.17242503" u="1"/>
        <n v="279.17606165000001" u="1"/>
        <n v="3.0826258200000001" u="1"/>
        <n v="87.44934284" u="1"/>
        <n v="57.68565512" u="1"/>
        <n v="121.86248766" u="1"/>
        <n v="147.19975602" u="1"/>
        <n v="40.038421579999998" u="1"/>
        <n v="26.132510610000001" u="1"/>
        <n v="131.15458559999999" u="1"/>
        <n v="6.5043361300000004" u="1"/>
        <n v="151.92759096" u="1"/>
        <n v="6.8269132700000004" u="1"/>
        <n v="106.8755931" u="1"/>
        <n v="0.95" u="1"/>
        <n v="0.89" u="1"/>
        <n v="0.6" u="1"/>
        <n v="31.9" u="1"/>
        <n v="40.44" u="1"/>
        <n v="0.87" u="1"/>
        <n v="228.54" u="1"/>
        <n v="114.53260328" u="1"/>
        <n v="302.53816017999998" u="1"/>
        <n v="260.95498379999998" u="1"/>
        <n v="1.3916876300000001" u="1"/>
        <n v="303.97425129999999" u="1"/>
        <n v="102.26559865" u="1"/>
        <n v="55.131466279999998" u="1"/>
        <n v="440.85698079999997" u="1"/>
        <n v="65.669109719999994" u="1"/>
        <n v="0.81452555999999998" u="1"/>
        <n v="125.53718458" u="1"/>
        <n v="204.60305163000001" u="1"/>
        <n v="7.77261427" u="1"/>
        <n v="0.39908696999999999" u="1"/>
        <n v="106.96301591" u="1"/>
        <n v="170.82291154999999" u="1"/>
        <n v="147.32469997000001" u="1"/>
        <n v="17.284240369999999" u="1"/>
        <n v="74.789508609999999" u="1"/>
        <n v="107.58312038" u="1"/>
        <n v="2.1835958" u="1"/>
        <n v="57.279519180000001" u="1"/>
        <n v="123.32003243" u="1"/>
        <n v="14.74294033" u="1"/>
        <n v="156.31333326000001" u="1"/>
        <n v="102.44673340999999" u="1"/>
        <n v="40.135618979999997" u="1"/>
        <n v="399.06114704999999" u="1"/>
        <n v="46.345859349999998" u="1"/>
        <n v="29.077078839999999" u="1"/>
        <n v="7.4657399999999999E-2" u="1"/>
        <n v="82.768366749999998" u="1"/>
        <n v="9.6320745999999993" u="1"/>
        <n v="7.8019129899999999" u="1"/>
        <n v="0.37731967999999999" u="1"/>
        <n v="1.0762770500000001" u="1"/>
        <n v="147.44605240999999" u="1"/>
        <n v="30.807179609999999" u="1"/>
        <n v="3.2968583699999998" u="1"/>
        <n v="48.254501769999997" u="1"/>
        <n v="2.38185497" u="1"/>
        <n v="44.870719299999998" u="1"/>
        <n v="22.84529088" u="1"/>
        <n v="210.76978717" u="1"/>
        <n v="90.787831699999998" u="1"/>
        <n v="10.37252563" u="1"/>
        <n v="64.952448390000001" u="1"/>
        <n v="69.609144749999999" u="1"/>
        <n v="376.18007008000001" u="1"/>
        <n v="112.2856343" u="1"/>
        <n v="21.954398340000001" u="1"/>
        <n v="10.245720479999999" u="1"/>
        <n v="40.150213450000003" u="1"/>
        <n v="2.6195459099999998" u="1"/>
        <n v="25.31514555" u="1"/>
        <n v="131.61772644999999" u="1"/>
        <n v="111.29680488" u="1"/>
        <n v="84.708399080000007" u="1"/>
        <n v="122.7666241" u="1"/>
        <n v="663.99930010000003" u="1"/>
        <n v="24.76886798" u="1"/>
        <n v="220.88" u="1"/>
        <n v="295.9157755" u="1"/>
        <n v="225.35803540000001" u="1"/>
        <n v="20.55" u="1"/>
        <n v="1.1499999999999999" u="1"/>
        <n v="35.788980729999999" u="1"/>
        <n v="5.5581199799999998" u="1"/>
        <n v="31.77" u="1"/>
        <n v="13.1357555" u="1"/>
        <n v="227.72800852" u="1"/>
        <n v="5.0299560999999997" u="1"/>
        <n v="4.77887168" u="1"/>
        <n v="146.09" u="1"/>
        <n v="0.53" u="1"/>
        <n v="386.84373124000001" u="1"/>
        <n v="54.17" u="1"/>
        <n v="258.38875387000002" u="1"/>
        <n v="3.1326603999999998" u="1"/>
        <n v="90.106180890000005" u="1"/>
        <n v="127.45282392999999" u="1"/>
        <n v="229.18679945" u="1"/>
        <n v="314.89108637999999" u="1"/>
        <n v="199.70818767" u="1"/>
        <n v="1.20833469" u="1"/>
        <n v="161.30821877" u="1"/>
        <n v="146.23633989000001" u="1"/>
        <n v="50.252299999999998" u="1"/>
        <n v="120.7190001" u="1"/>
        <n v="199.95818327000001" u="1"/>
        <n v="74.25136225" u="1"/>
        <n v="7.9714327300000001" u="1"/>
        <n v="59.451467510000001" u="1"/>
        <n v="95.310880990000001" u="1"/>
        <n v="93.61734423" u="1"/>
        <n v="176.36091293000001" u="1"/>
        <n v="16.62635697" u="1"/>
        <n v="120.10556594000001" u="1"/>
        <n v="66.087573689999999" u="1"/>
        <n v="64.935567079999998" u="1"/>
        <n v="127.2860311" u="1"/>
        <n v="12.71219584" u="1"/>
        <n v="163.86352127999999" u="1"/>
        <n v="144.48866003000001" u="1"/>
        <n v="47.48251123" u="1"/>
        <n v="364.32085440999998" u="1"/>
        <n v="37.000608040000003" u="1"/>
        <n v="103.4166" u="1"/>
        <n v="26.623617370000002" u="1"/>
        <n v="7.1458510000000003E-2" u="1"/>
        <n v="10.185109199999999" u="1"/>
        <n v="91.770674069999998" u="1"/>
        <n v="127.02056485999999" u="1"/>
        <n v="0.34011652999999997" u="1"/>
        <n v="1.2807405300000001" u="1"/>
        <n v="69.977898460000006" u="1"/>
        <n v="96.093271259999995" u="1"/>
        <n v="29.866467220000001" u="1"/>
        <n v="4.5183278199999997" u="1"/>
        <n v="51.667109070000002" u="1"/>
        <n v="104.3917" u="1"/>
        <n v="2.6924448700000001" u="1"/>
        <n v="51.219204660000003" u="1"/>
        <n v="24.590275309999999" u="1"/>
        <n v="148.62615" u="1"/>
        <n v="108.98230366" u="1"/>
        <n v="10.81919145" u="1"/>
        <n v="71.411378940000006" u="1"/>
        <n v="74.414569799999995" u="1"/>
        <n v="352.94892723999999" u="1"/>
        <n v="115.22704530999999" u="1"/>
        <n v="24.196160209999999" u="1"/>
        <n v="2.2447212799999998" u="1"/>
        <n v="40.404783020000004" u="1"/>
        <n v="2.78226694" u="1"/>
        <n v="1.4959338600000001" u="1"/>
        <n v="77.333126300000004" u="1"/>
        <n v="122.03515366000001" u="1"/>
        <n v="6.8900487300000002" u="1"/>
        <n v="141.70760491999999" u="1"/>
        <n v="93.531100780000003" u="1"/>
        <n v="656.73860078999996" u="1"/>
        <n v="43.269098939999999" u="1"/>
        <n v="29.215256799999999" u="1"/>
        <n v="143.38544737999999" u="1"/>
        <n v="8.1376193600000004" u="1"/>
        <n v="202.11545734000001" u="1"/>
        <n v="7.89327706" u="1"/>
        <n v="0.91" u="1"/>
        <n v="34.724062709999998" u="1"/>
        <n v="5.5343274200000003" u="1"/>
        <n v="13.627943950000001" u="1"/>
        <n v="230.87147895000001" u="1"/>
        <n v="5.4341246700000001" u="1"/>
        <n v="4.8385037899999999" u="1"/>
        <n v="376.4332915" u="1"/>
        <n v="59.51" u="1"/>
        <n v="256.36747994000001" u="1"/>
        <n v="3.2499225200000001" u="1"/>
        <n v="90.936300000000003" u="1"/>
        <n v="1282.16245018" u="1"/>
        <n v="986.62255391999997" u="1"/>
        <n v="3.7508971799999999" u="1"/>
        <n v="223.62101285" u="1"/>
        <n v="161.51551567000001" u="1"/>
        <n v="135.95698444999999" u="1"/>
        <n v="212.72261401" u="1"/>
        <n v="129.16333162000001" u="1"/>
        <n v="124.85496173999999" u="1"/>
        <n v="72.064624690000002" u="1"/>
        <n v="59.887345799999999" u="1"/>
        <n v="8.2549276999999996" u="1"/>
        <n v="88.776676129999998" u="1"/>
        <n v="121.40360429" u="1"/>
        <n v="68.033453629999997" u="1"/>
        <n v="16.500436870000001" u="1"/>
        <n v="117.82795455999999" u="1"/>
        <n v="31.582681170000001" u="1"/>
        <n v="65.522642039999994" u="1"/>
        <n v="129.38016400999999" u="1"/>
        <n v="13.52880225" u="1"/>
        <n v="112.03847979" u="1"/>
        <n v="153.08692249000001" u="1"/>
        <n v="358.54376997999998" u="1"/>
        <n v="257.06761047999998" u="1"/>
        <n v="30.810671150000001" u="1"/>
        <n v="91.692800000000005" u="1"/>
        <n v="27.743739680000001" u="1"/>
        <n v="6.7896849999999995E-2" u="1"/>
        <n v="10.18569804" u="1"/>
        <n v="90.732375419999997" u="1"/>
        <n v="8.4264478799999996" u="1"/>
        <n v="135.35" u="1"/>
        <n v="0.33493360999999999" u="1"/>
        <n v="11.7322525" u="1"/>
        <n v="86.467369590000004" u="1"/>
        <n v="140.75593612" u="1"/>
        <n v="33.848333949999997" u="1"/>
        <n v="3.8800546800000002" u="1"/>
        <n v="55.068196829999998" u="1"/>
        <n v="98.853899999999996" u="1"/>
        <n v="2.7660909999999999" u="1"/>
        <n v="50.446956249999999" u="1"/>
        <n v="22.00491877" u="1"/>
        <n v="227.31108626" u="1"/>
        <n v="36.266762929999999" u="1"/>
        <n v="77.450743810000006" u="1"/>
        <n v="72.820194209999997" u="1"/>
        <n v="395.46282660999998" u="1"/>
        <n v="27.461886230000001" u="1"/>
        <n v="3.6138926800000002" u="1"/>
        <n v="45.404528630000001" u="1"/>
        <n v="2.9731644099999999" u="1"/>
        <n v="1.50016181" u="1"/>
        <n v="30.82421892" u="1"/>
        <n v="122.12935315" u="1"/>
        <n v="113.38278841" u="1"/>
        <n v="3005.8191416200002" u="1"/>
        <n v="30.88975666" u="1"/>
        <n v="236.32383773999999" u="1"/>
        <n v="44.954184640000001" u="1"/>
        <n v="29.240170119999998" u="1"/>
        <n v="139.78011470000001" u="1"/>
        <n v="8.0228943899999994" u="1"/>
        <n v="192.70828535000001" u="1"/>
        <n v="7.7207093799999997" u="1"/>
        <n v="20.03" u="1"/>
        <n v="1.1399999999999999" u="1"/>
        <n v="1.24" u="1"/>
        <n v="33.351556770000002" u="1"/>
        <n v="6.9198772100000001" u="1"/>
        <n v="0.41" u="1"/>
        <n v="13.26639576" u="1"/>
        <n v="241.38396331000001" u="1"/>
        <n v="5.6011609699999996" u="1"/>
        <n v="4.9906534899999997" u="1"/>
        <n v="144.21" u="1"/>
        <n v="395.89982542000001" u="1"/>
        <n v="11.05" u="1"/>
        <n v="255.10688725" u="1"/>
        <n v="0.82" u="1"/>
        <n v="257.57" u="1"/>
        <n v="3.3522476000000001" u="1"/>
        <n v="88.429199999999994" u="1"/>
        <n v="243.24842905" u="1"/>
        <n v="182.03830055" u="1"/>
        <n v="5.5049553199999997" u="1"/>
        <n v="160.19436264999999" u="1"/>
        <n v="216.5718182" u="1"/>
        <n v="135.5490053" u="1"/>
        <n v="66.584699459999996" u="1"/>
        <n v="60.651897689999998" u="1"/>
        <n v="105.16547819" u="1"/>
        <n v="8.3858492200000008" u="1"/>
        <n v="30.446845410000002" u="1"/>
        <n v="126.31824512999999" u="1"/>
        <n v="133.97005833" u="1"/>
        <n v="2714.8918109699998" u="1"/>
        <n v="184.24557246000001" u="1"/>
        <n v="15.84800877" u="1"/>
        <n v="35.561766470000002" u="1"/>
        <n v="120.03921243000001" u="1"/>
        <n v="63.880221710000001" u="1"/>
        <n v="127.88151216" u="1"/>
        <n v="11.29510003" u="1"/>
        <n v="364.01187493999998" u="1"/>
        <n v="154.49499168" u="1"/>
        <n v="35.85019338" u="1"/>
        <n v="120.00990840999999" u="1"/>
        <n v="29.83567811" u="1"/>
        <n v="113.96349678" u="1"/>
        <n v="27.644937429999999" u="1"/>
        <n v="5.4345520000000001E-2" u="1"/>
        <n v="111.32072115" u="1"/>
        <n v="10.02633324" u="1"/>
        <n v="0.34457653999999999" u="1"/>
        <n v="11.81458597" u="1"/>
        <n v="92.615871659999996" u="1"/>
        <n v="142.34878649999999" u="1"/>
        <n v="3.9217121599999998" u="1"/>
        <n v="54.800754619999999" u="1"/>
        <n v="2.7553500899999999" u="1"/>
        <n v="227.24790213" u="1"/>
        <n v="22.916671099999999" u="1"/>
        <n v="44.117902549999997" u="1"/>
        <n v="11.812554540000001" u="1"/>
        <n v="83.360253589999999" u="1"/>
        <n v="71.704949569999997" u="1"/>
        <n v="330.04218251999998" u="1"/>
        <n v="26.84383351" u="1"/>
        <n v="6.7398311800000004" u="1"/>
        <n v="43.918377720000002" u="1"/>
        <n v="2.9290848899999999" u="1"/>
        <n v="30.39256477" u="1"/>
        <n v="262.67047739999998" u="1"/>
        <n v="118.90695141" u="1"/>
        <n v="159.39495239999999" u="1"/>
        <n v="107.66640542" u="1"/>
        <n v="2677.2560419500001" u="1"/>
        <n v="30.44841362" u="1"/>
        <n v="46.951256989999997" u="1"/>
        <n v="30.909104190000001" u="1"/>
        <n v="148.53610753999999" u="1"/>
        <n v="7.6189657300000002" u="1"/>
        <n v="199.88901755000001" u="1"/>
        <n v="7.2862296500000001" u="1"/>
        <n v="234.52" u="1"/>
        <n v="69.540000000000006" u="1"/>
        <n v="1924.97" u="1"/>
        <n v="1972.38" u="1"/>
        <n v="189.14" u="1"/>
        <n v="285.56372262999997" u="1"/>
        <n v="294.89837728999998" u="1"/>
        <n v="698.64663685999994" u="1"/>
        <n v="95.360010349999996" u="1"/>
        <n v="315.55462354999997" u="1"/>
        <n v="17.05944676" u="1"/>
        <n v="65.644738290000006" u="1"/>
        <n v="255.92509380000001" u="1"/>
        <n v="85.970922729999998" u="1"/>
        <n v="32.058192560000002" u="1"/>
        <n v="143.37117334000001" u="1"/>
        <n v="11.22877959" u="1"/>
        <n v="108.67512349" u="1"/>
        <n v="76.293295259999994" u="1"/>
        <n v="111.26900111" u="1"/>
        <n v="21.908597759999999" u="1"/>
        <n v="123.59965046000001" u="1"/>
        <n v="43.291502860000001" u="1"/>
        <n v="5.8014604099999998" u="1"/>
        <n v="82.266732009999998" u="1"/>
        <n v="127.19379605" u="1"/>
        <n v="12.37285922" u="1"/>
        <n v="17.759317500000002" u="1"/>
        <n v="151.74410417000001" u="1"/>
        <n v="327.16965185999999" u="1"/>
        <n v="36.536985710000003" u="1"/>
        <n v="124.65358276000001" u="1"/>
        <n v="31.116035610000001" u="1"/>
        <n v="708.28449851000005" u="1"/>
        <n v="2.0722860000000001" u="1"/>
        <n v="136.08712324999999" u="1"/>
        <n v="8.8398783099999996" u="1"/>
        <n v="0.40239712" u="1"/>
        <n v="92.081622190000004" u="1"/>
        <n v="140.65561009999999" u="1"/>
        <n v="3.3580808800000002" u="1"/>
        <n v="57.117744569999999" u="1"/>
        <n v="172.46820324000001" u="1"/>
        <n v="27.427436629999999" u="1"/>
        <n v="39.99699785" u="1"/>
        <n v="11.91602981" u="1"/>
        <n v="78.915857200000005" u="1"/>
        <n v="78.460128190000006" u="1"/>
        <n v="231.84611229999999" u="1"/>
        <n v="25.753195909999999" u="1"/>
        <n v="3.93766923" u="1"/>
        <n v="44.664195929999998" u="1"/>
        <n v="3.88409329" u="1"/>
        <n v="32.032641179999999" u="1"/>
        <n v="107.40496401999999" u="1"/>
        <n v="117.32360091" u="1"/>
        <n v="294.78557260000002" u="1"/>
        <n v="32.073584580000002" u="1"/>
        <n v="86.436546969999995" u="1"/>
        <n v="900.37984170763878" u="1"/>
        <n v="0.33711326685454152" u="1"/>
        <n v="11.037714237813095" u="1"/>
        <n v="0.53730419845105681" u="1"/>
        <n v="24.820905044148709" u="1"/>
        <n v="10.248869533395251" u="1"/>
        <n v="42.418487701627612" u="1"/>
        <n v="3.8651545540349228" u="1"/>
        <n v="86.530209204161665" u="1"/>
        <n v="6.1659269316976163E-2" u="1"/>
        <n v="31.833488492660006" u="1"/>
        <n v="1.9327571111969584" u="1"/>
        <n v="25.317323145031683" u="1"/>
        <n v="133.30751344881196" u="1"/>
        <n v="0.99581023333883667" u="1"/>
        <n v="72.359260101639663" u="1"/>
        <n v="9.7788273338439299E-2" u="1"/>
        <n v="224.13328104000001" u="1"/>
        <n v="279.87086803" u="1"/>
        <n v="369.85530241999999" u="1"/>
        <n v="16.759192630000001" u="1"/>
        <n v="65.565218889999997" u="1"/>
        <n v="256.45709542999998" u="1"/>
        <n v="85.971048060000001" u="1"/>
        <n v="148.21787570000001" u="1"/>
        <n v="32.04981179" u="1"/>
        <n v="108.87813255" u="1"/>
        <n v="76.225052270000006" u="1"/>
        <n v="111.27357275999999" u="1"/>
        <n v="21.90844586" u="1"/>
        <n v="122.89912634" u="1"/>
        <n v="17.98022988" u="1"/>
        <n v="77.910467449999999" u="1"/>
        <n v="5.80176713" u="1"/>
        <n v="79.288004450000003" u="1"/>
        <n v="127.80845939" u="1"/>
        <n v="12.372792860000001" u="1"/>
        <n v="17.76553402" u="1"/>
        <n v="152.41814031000001" u="1"/>
        <n v="325.57944678000001" u="1"/>
        <n v="31.264083490000001" u="1"/>
        <n v="129.84410912999999" u="1"/>
        <n v="710.53787983999996" u="1"/>
        <n v="2.0640447599999998" u="1"/>
        <n v="136.09024542" u="1"/>
        <n v="55.608688950000001" u="1"/>
        <n v="140.40641403000001" u="1"/>
        <n v="3.61366436" u="1"/>
        <n v="57.704853679999999" u="1"/>
        <n v="171.02857179" u="1"/>
        <n v="24.015114359999998" u="1"/>
        <n v="42.861400310000001" u="1"/>
        <n v="11.915291079999999" u="1"/>
        <n v="78.892630560000001" u="1"/>
        <n v="73.538993910000002" u="1"/>
        <n v="231.84611681000001" u="1"/>
        <n v="25.090755829999999" u="1"/>
        <n v="45.198328889999999" u="1"/>
        <n v="197.08433500999999" u="1"/>
        <n v="205.41803862" u="1"/>
        <n v="294.78402592999998" u="1"/>
        <n v="29.326512579999999" u="1"/>
        <n v="0.12" u="1"/>
        <n v="0.3" u="1"/>
        <n v="0.32" u="1"/>
        <n v="591.75" u="1"/>
        <n v="102.61649001742634" u="1"/>
        <n v="229.15199311999999" u="1"/>
        <n v="294.20973058999999" u="1"/>
        <n v="89.386561869999994" u="1"/>
        <n v="695.68975303000002" u="1"/>
        <n v="363.99598261" u="1"/>
        <n v="28.72236599" u="1"/>
        <n v="78.870514790000001" u="1"/>
        <n v="147.43057321000001" u="1"/>
        <n v="11.36077854" u="1"/>
        <n v="103.20319179000001" u="1"/>
        <n v="71.144139120000006" u="1"/>
        <n v="126.58259538999999" u="1"/>
        <n v="178.03016647000001" u="1"/>
        <n v="21.84444963" u="1"/>
        <n v="122.02671431" u="1"/>
        <n v="12.043339059999999" u="1"/>
        <n v="6.0667490300000004" u="1"/>
        <n v="80.180939030000005" u="1"/>
        <n v="122.48214602" u="1"/>
        <n v="10.919960359999999" u="1"/>
        <n v="13.880284509999999" u="1"/>
        <n v="120.05793017000001" u="1"/>
        <n v="279.71277216999999" u="1"/>
        <n v="36.876653390000001" u="1"/>
        <n v="134.04184089" u="1"/>
        <n v="27.502173710000001" u="1"/>
        <n v="698.06952530000001" u="1"/>
        <n v="131.76435064" u="1"/>
        <n v="2.2642391399999999" u="1"/>
        <n v="0.46691867999999997" u="1"/>
        <n v="60.060001329999999" u="1"/>
        <n v="4.8366390800000003" u="1"/>
        <n v="59.207183350000001" u="1"/>
        <n v="177.06189355000001" u="1"/>
        <n v="24.189444850000001" u="1"/>
        <n v="42.397387870000003" u="1"/>
        <n v="12.024219609999999" u="1"/>
        <n v="79.479112310000005" u="1"/>
        <n v="84.806068330000002" u="1"/>
        <n v="270.79306595999998" u="1"/>
        <n v="34.705586850000003" u="1"/>
        <n v="11.16850502" u="1"/>
        <n v="45.113599430000001" u="1"/>
        <n v="3.76943275" u="1"/>
        <n v="28.70270863" u="1"/>
        <n v="199.26569090000001" u="1"/>
        <n v="105.19031486999999" u="1"/>
        <n v="118.92843741" u="1"/>
        <n v="254.28375374000001" u="1"/>
        <n v="28.74748267" u="1"/>
        <n v="53.718340830000002" u="1"/>
        <n v="91.887514289999999" u="1"/>
      </sharedItems>
    </cacheField>
    <cacheField name="Huella" numFmtId="172">
      <sharedItems containsSemiMixedTypes="0" containsString="0" containsNumber="1" minValue="0" maxValue="163063.62725262874" count="4729">
        <n v="31.003079780605741"/>
        <n v="488.79932528496664"/>
        <n v="6396.8339539482613"/>
        <n v="11534.08341778226"/>
        <n v="33175.340929380967"/>
        <n v="68234.487636697522"/>
        <n v="70146.083344655199"/>
        <n v="102480.83221221472"/>
        <n v="86735.04387969595"/>
        <n v="2417.2107064919533"/>
        <n v="3733.0170394315646"/>
        <n v="8885.1967298681284"/>
        <n v="10606.688475227622"/>
        <n v="11668.688408839264"/>
        <n v="16291.841202200485"/>
        <n v="26398.333840681396"/>
        <n v="40567.666676317662"/>
        <n v="4083.4198711468875"/>
        <n v="7206.923512438223"/>
        <n v="22051.390448100741"/>
        <n v="6048.3306666388062"/>
        <n v="8467.6629332943285"/>
        <n v="7925.3600679393694"/>
        <n v="6444.7098573546627"/>
        <n v="1041.1622411920421"/>
        <n v="3223.6288927936366"/>
        <n v="8419.9281130214749"/>
        <n v="4699.4947607561708"/>
        <n v="170.31874999999999"/>
        <n v="80.150000000000006"/>
        <n v="1570.7114924999398"/>
        <n v="7.0796752322068199"/>
        <n v="20.526774290426243"/>
        <n v="20.354093149855498"/>
        <n v="21.999988869372125"/>
        <n v="15.501137495399981"/>
        <n v="7.3266349967999993"/>
        <n v="8.9139815026799951"/>
        <n v="3.0233687489999825"/>
        <n v="17.253439994879976"/>
        <n v="5.8613079974399716"/>
        <n v="10.909649003279979"/>
        <n v="1.9482562493999822"/>
        <n v="11.905471087506172"/>
        <n v="28.953621157861789"/>
        <n v="49.082923621570686"/>
        <n v="0.85394800026239648"/>
        <n v="17.77461443885398"/>
        <n v="14.175517953069479"/>
        <n v="2388.8304654252215"/>
        <n v="209.01872346285359"/>
        <n v="24.460967621096568"/>
        <n v="6.115241905274142"/>
        <n v="6.5269943772357593"/>
        <n v="4.8940299984749913"/>
        <n v="18.208389717721793"/>
        <n v="9.1240448078523482"/>
        <n v="1.2548292916089785"/>
        <n v="4.5554077501439885"/>
        <n v="10.990416350238714"/>
        <n v="525.5915932244219"/>
        <n v="132.28201026607161"/>
        <n v="59.830035510923608"/>
        <n v="36.436752762892752"/>
        <n v="111.68273295372406"/>
        <n v="1345.080699826927"/>
        <n v="763.0465909403888"/>
        <n v="429.71958448330474"/>
        <n v="522.06493696747373"/>
        <n v="423.07811100583888"/>
        <n v="68.448908050212609"/>
        <n v="300.52542306807817"/>
        <n v="3178.2372942952711"/>
        <n v="2796.8488189798413"/>
        <n v="212.25723979063866"/>
        <n v="6.4185435514578533"/>
        <n v="104.42350574942333"/>
        <n v="175.2331125504835"/>
        <n v="1352.8423735108097"/>
        <n v="1448.4978948701596"/>
        <n v="921.91762267919455"/>
        <n v="702.75535680693031"/>
        <n v="1.6572898131978935"/>
        <n v="60.718472180043207"/>
        <n v="0.46732580941533514"/>
        <n v="27.048600135889316"/>
        <n v="0.41555923674215833"/>
        <n v="3.9865709229162896"/>
        <n v="5292.7916682132318"/>
        <n v="6343.5089579037922"/>
        <n v="5863.0599630587194"/>
        <n v="2331.2540996459284"/>
        <n v="3799.9441824228625"/>
        <n v="359.16098708000004"/>
        <n v="1.8228916139204758"/>
        <n v="0"/>
        <n v="22.071317518072458"/>
        <n v="1.7604848831741831"/>
        <n v="0.45885834099363682"/>
        <n v="2.6120589062461836"/>
        <n v="9.9835357031694194"/>
        <n v="3.9180883593692761"/>
        <n v="3.0182782358419171"/>
        <n v="0.36654240988245113"/>
        <n v="29.855766241817417"/>
        <n v="7.7980786993464548"/>
        <n v="10.633743680926985"/>
        <n v="392.62343567526557"/>
        <n v="132.14332572324989"/>
        <n v="173.64494988461053"/>
        <n v="799.03238669733162"/>
        <n v="270.53852462980524"/>
        <n v="42.463870540148584"/>
        <n v="27.486075672623077"/>
        <n v="314.00698777846554"/>
        <n v="485.25583078071253"/>
        <n v="2.0361022949883973"/>
        <n v="159.44769834971305"/>
        <n v="66.991453076063152"/>
        <n v="199.72922214332476"/>
        <n v="89.191657803556694"/>
        <n v="97.230419565187049"/>
        <n v="5.2842619328902964"/>
        <n v="2456.3129041495795"/>
        <n v="100.7803585895397"/>
        <n v="432.77738330887138"/>
        <n v="235.29552842708347"/>
        <n v="166.43170059016566"/>
        <n v="867.42491285920983"/>
        <n v="332.43852139007254"/>
        <n v="5.1128537352622917E-3"/>
        <n v="5.1679491418922729E-3"/>
        <n v="43.943386210967226"/>
        <n v="7.3827844884175335E-4"/>
        <n v="162.93800494306115"/>
        <n v="83.633803333173447"/>
        <n v="4.3641801975661165"/>
        <n v="941.88331410006356"/>
        <n v="1.6258281197298343"/>
        <n v="7885.0257360267078"/>
        <n v="1687.0608295977031"/>
        <n v="1412.5888339018461"/>
        <n v="4735.0125342521442"/>
        <n v="6365.0097638135367"/>
        <n v="62732.945122008525"/>
        <n v="11.581300619781429"/>
        <n v="3.2967932607264347"/>
        <n v="0.22876704256421349"/>
        <n v="20334.75231978091"/>
        <n v="24746.891373530874"/>
        <n v="69987.093466320061"/>
        <n v="267.78017826000001"/>
        <n v="38.550259019999991"/>
        <n v="8.8205805099999992"/>
        <n v="1798.0567669876896"/>
        <n v="10216.808208775663"/>
        <n v="1362.6985141789135"/>
        <n v="2197.5078610149867"/>
        <n v="159.31522043191674"/>
        <n v="187.90400402590402"/>
        <n v="1008.3001505148217"/>
        <n v="2701.5042526463467"/>
        <n v="15642.231560248818"/>
        <n v="844.62095967340201"/>
        <n v="1288.9473113604145"/>
        <n v="120.30917651850547"/>
        <n v="0.77868735959999991"/>
        <n v="71.831420167199994"/>
        <n v="3.6356889059999999"/>
        <n v="19002.618112075019"/>
        <n v="2313.4672115908015"/>
        <n v="1767.7732167432498"/>
        <n v="1267.0694944931222"/>
        <n v="158.93738881374478"/>
        <n v="2.446535630337112E-3"/>
        <n v="2785.2832862471246"/>
        <n v="1.6943172126513729E-2"/>
        <n v="1.7125749412359784E-2"/>
        <n v="1.5630679217061401"/>
        <n v="0.55017247044323969"/>
        <n v="0.23812894459579398"/>
        <n v="5973.8087371503589"/>
        <n v="27098.072746448986"/>
        <n v="2263.144029834395"/>
        <n v="0.34111788363522111"/>
        <n v="0.64344196874467596"/>
        <n v="5.4846404814482649E-2"/>
        <n v="536.74445272799994"/>
        <n v="3046.7365164719995"/>
        <n v="15996.749411632003"/>
        <n v="53111.785005122598"/>
        <n v="15537.272466854705"/>
        <n v="4899.4630425512469"/>
        <n v="6.3947357145644856"/>
        <n v="9.3933694141688733"/>
        <n v="121.52704018431037"/>
        <n v="347.87074558378174"/>
        <n v="439.160839436"/>
        <n v="672.1444130750001"/>
        <n v="35.072741489000002"/>
        <n v="438.53440527000004"/>
        <n v="1890.7892423459998"/>
        <n v="6897.5505981629994"/>
        <n v="3339.4055809064325"/>
        <n v="936.66772542551178"/>
        <n v="411.52760341926148"/>
        <n v="410.29303132329176"/>
        <n v="1720.203506150709"/>
        <n v="411.84799890855703"/>
        <n v="257.05767494847532"/>
        <n v="179.90101624840676"/>
        <n v="719.60406499362705"/>
        <n v="54.800206931046979"/>
        <n v="456.0895156667313"/>
        <n v="85.983887640407787"/>
        <n v="1004.3440403302147"/>
        <n v="15.788748786697564"/>
        <n v="18.904242214118621"/>
        <n v="107.410467125674"/>
        <n v="63.04685303181288"/>
        <n v="36.247672752619643"/>
        <n v="9.0619154133816942"/>
        <n v="521.59084604449731"/>
        <n v="174.64289677982461"/>
        <n v="685.68694362444603"/>
        <n v="169.36616509865433"/>
        <n v="57.541308379202867"/>
        <n v="48.803928776398507"/>
        <n v="346.70275338781511"/>
        <n v="86.675688346953777"/>
        <n v="92.023480132319989"/>
        <n v="214.72145364208001"/>
        <n v="0.24251335928640003"/>
        <n v="0.97005343714560011"/>
        <n v="891.29819878397484"/>
        <n v="335.20586797879292"/>
        <n v="137.13289794772609"/>
        <n v="183.71457909952605"/>
        <n v="734.85831639810419"/>
        <n v="4.3098711507670473E-2"/>
        <n v="2.8668231800268118E-2"/>
        <n v="2026.2707762675457"/>
        <n v="3701.0731034482801"/>
        <n v="8277.4832326003398"/>
        <n v="0.18808260596153401"/>
        <n v="207.72922666761434"/>
        <n v="4085.3866771900798"/>
        <n v="3.0284412574779995E-4"/>
        <n v="4.5645949921050602E-2"/>
        <n v="5.1877198736034421E-4"/>
        <n v="1.89355459068417E-2"/>
        <n v="3250.5337798566952"/>
        <n v="2.3091015386579442E-2"/>
        <n v="2379.9428425568176"/>
        <n v="513.64487597444611"/>
        <n v="205.72831203187371"/>
        <n v="7.7479214776568828E-2"/>
        <n v="9.3036366705429793E-2"/>
        <n v="1603.7764461236384"/>
        <n v="896.32153531737674"/>
        <n v="647.00544236333701"/>
        <n v="16417.354723875924"/>
        <n v="8474.5894403094208"/>
        <n v="3912.3163480328903"/>
        <n v="2704.4318037683261"/>
        <n v="3486.9900308679903"/>
        <n v="953.31985296729999"/>
        <n v="203.52651513712848"/>
        <n v="455.70720969122897"/>
        <n v="10.762669884258838"/>
        <n v="42.866985752119732"/>
        <n v="6.4318113860373324E-2"/>
        <n v="5.9391566360411673E-4"/>
        <n v="4.7771477273157232E-4"/>
        <n v="1.4221376104580997E-2"/>
        <n v="4.4017981809969305E-2"/>
        <n v="1397.7861082741442"/>
        <n v="416.57617955772838"/>
        <n v="505.87779105923073"/>
        <n v="2431.5789042181736"/>
        <n v="1.6164593277108485E-3"/>
        <n v="2.3707187769009311E-3"/>
        <n v="2.3802301870293452E-3"/>
        <n v="8.4225276750855959E-3"/>
        <n v="1.0158375178557692E-2"/>
        <n v="6.112139096642169E-3"/>
        <n v="5.0840090638587998E-3"/>
        <n v="5387.798794509642"/>
        <n v="706.01788649362015"/>
        <n v="1.4882028907599592E-3"/>
        <n v="4.9018281510128546E-3"/>
        <n v="7289.5408107814374"/>
        <n v="17517.587985516882"/>
        <n v="1.3832994088886943E-3"/>
        <n v="8.6529083976791992E-4"/>
        <n v="1.5256854323362373E-3"/>
        <n v="45.079804858231434"/>
        <n v="8.4865269477466684E-2"/>
        <n v="8.5119458584465374E-2"/>
        <n v="9.5159164590000003E-6"/>
        <n v="1.1400067916237453E-5"/>
        <n v="5.1734032916261656E-2"/>
        <n v="0.12447591783404577"/>
        <n v="0.10015708772593185"/>
        <n v="56.054942923638137"/>
        <n v="270.66468200746209"/>
        <n v="1.2776560765194395E-2"/>
        <n v="6456.9032909053885"/>
        <n v="15.620069898374945"/>
        <n v="0.39197322953774638"/>
        <n v="41.243422348016999"/>
        <n v="34.463681688069002"/>
        <n v="1.7809785866247374E-2"/>
        <n v="2.2044280408465729E-2"/>
        <n v="2233.4555577338124"/>
        <n v="656.03820002938846"/>
        <n v="258.81327569240381"/>
        <n v="395.64709126743207"/>
        <n v="2022.2778213205831"/>
        <n v="14290.131895372484"/>
        <n v="350.4028802178874"/>
        <n v="2094.0269633968041"/>
        <n v="509.94125104866583"/>
        <n v="101.26081781769598"/>
        <n v="9.3152988330052963E-3"/>
        <n v="1.0398290609791014E-2"/>
        <n v="41.997714539110085"/>
        <n v="13.748612432240641"/>
        <n v="7.2737916477464489E-4"/>
        <n v="7.8481623065355585E-4"/>
        <n v="2.4653695299470813E-3"/>
        <n v="5741.5846286765945"/>
        <n v="6181.7768905195726"/>
        <n v="2.1789738381967098E-3"/>
        <n v="101.51471917279244"/>
        <n v="9.6700510048563263E-6"/>
        <n v="8.8973176039992727E-6"/>
        <n v="82.924140541520018"/>
        <n v="192.30847956077795"/>
        <n v="6.9044143027147134E-2"/>
        <n v="8.8779787512544422E-2"/>
        <n v="0.2083247141274108"/>
        <n v="6.9802869873903869E-2"/>
        <n v="2.1032977083621548E-2"/>
        <n v="2.9029890245897798E-2"/>
        <n v="3.2344472701278E-3"/>
        <n v="1549.0594670883227"/>
        <n v="8642.4974062440397"/>
        <n v="852.9089742739468"/>
        <n v="5.0945030128684246E-2"/>
        <n v="281.5783150818732"/>
        <n v="1662.7695515067508"/>
        <n v="928.06779270543029"/>
        <n v="228.07308103919561"/>
        <n v="49.920405340835998"/>
        <n v="732.01584843418243"/>
        <n v="2.6036601053942583E-4"/>
        <n v="2.7432907407437999E-3"/>
        <n v="4.2164378684860677E-3"/>
        <n v="1.7530874542262813E-3"/>
        <n v="1.0944689634247726E-3"/>
        <n v="54.251395525263995"/>
        <n v="8146.3652930278904"/>
        <n v="86.560814765401204"/>
        <n v="836.43571836843478"/>
        <n v="24634.339344784341"/>
        <n v="2215.0034557075837"/>
        <n v="9.7735448670688008E-3"/>
        <n v="2063.4675530940149"/>
        <n v="9280.5300651516645"/>
        <n v="428.54383764856226"/>
        <n v="1902.8702789257025"/>
        <n v="483.06414535056348"/>
        <n v="164.9735194850802"/>
        <n v="764.6589423432066"/>
        <n v="181.97155509807337"/>
        <n v="6.3037613344739216E-2"/>
        <n v="0.12533959419452381"/>
        <n v="299.85068929122508"/>
        <n v="0.11526203887591012"/>
        <n v="6.2413478552625093E-2"/>
        <n v="7.8101053667586379E-2"/>
        <n v="1025.2037852909507"/>
        <n v="3838.7724448088666"/>
        <n v="590.643874880412"/>
        <n v="170.78856705933862"/>
        <n v="5.5707656603419053"/>
        <n v="64.852078848642904"/>
        <n v="16.215962978329731"/>
        <n v="197.50670547350703"/>
        <n v="428.73223647275688"/>
        <n v="21.479871279878747"/>
        <n v="2.3870825641829612"/>
        <n v="16.363486427950797"/>
        <n v="41.777224113358372"/>
        <n v="35.967181233957454"/>
        <n v="8.9917953606329188"/>
        <n v="813.30905586735526"/>
        <n v="1463.9573988177028"/>
        <n v="7.145766662460785"/>
        <n v="2.6429179474941304"/>
        <n v="222.58521773439065"/>
        <n v="1335.5114180341993"/>
        <n v="6651.9381175916396"/>
        <n v="1330.3875494676847"/>
        <n v="388.03665991612741"/>
        <n v="5432.5140088934122"/>
        <n v="2585.3636298428155"/>
        <n v="287.26439238615825"/>
        <n v="653.40763362215455"/>
        <n v="980.11148617652123"/>
        <n v="1566.5981201627915"/>
        <n v="2160.5921490467631"/>
        <n v="395.24180272369932"/>
        <n v="263.49446763108386"/>
        <n v="4574.7271549273601"/>
        <n v="162.89178941142728"/>
        <n v="40.722928029546836"/>
        <n v="1752.2190893564839"/>
        <n v="511.69208723457655"/>
        <n v="264.66909530899267"/>
        <n v="1430.8227813574813"/>
        <n v="4346.1387052163063"/>
        <n v="482.90419549115853"/>
        <n v="1355.9929545716323"/>
        <n v="2033.989907044481"/>
        <n v="3554.9359998617801"/>
        <n v="8819.1011749763675"/>
        <n v="5485.381805489772"/>
        <n v="13979.356673289691"/>
        <n v="1298.6290252651584"/>
        <n v="489.19198823937126"/>
        <n v="1054.8191125245276"/>
        <n v="311.98814786828751"/>
        <n v="150.21667375747228"/>
        <n v="10.944615371605089"/>
        <n v="209.75894882974114"/>
        <n v="5.9868950282537359"/>
        <n v="287.06333505821999"/>
        <n v="5854.283776325793"/>
        <n v="6359.5661037297368"/>
        <n v="3877.0630841399798"/>
        <n v="3907.976360764223"/>
        <n v="1725.2890003965438"/>
        <n v="3207.1619698160775"/>
        <n v="2411.3320144890449"/>
        <n v="3458.5019691150892"/>
        <n v="292.59954840512984"/>
        <n v="6135.4470519452288"/>
        <n v="580.40163367344599"/>
        <n v="910.77186833371479"/>
        <n v="1666.3430712709173" u="1"/>
        <n v="4409.7603525436461" u="1"/>
        <n v="15173.698331977763" u="1"/>
        <n v="43489.855227549691" u="1"/>
        <n v="20548.451011397818" u="1"/>
        <n v="69961.50931172409" u="1"/>
        <n v="8865.4564956810773" u="1"/>
        <n v="24721.103573821973" u="1"/>
        <n v="6554.7504065493376" u="1"/>
        <n v="31029.890481404265" u="1"/>
        <n v="6770.4208768985209" u="1"/>
        <n v="7127.7391147367198" u="1"/>
        <n v="4655.1110609311718" u="1"/>
        <n v="4727.5480694961298" u="1"/>
        <n v="1476.1168118732598" u="1"/>
        <n v="632.62149080282563" u="1"/>
        <n v="6988.2741439550427" u="1"/>
        <n v="21038.772422806454" u="1"/>
        <n v="1800.4231085751169" u="1"/>
        <n v="3537.4542455913675" u="1"/>
        <n v="7204.3683393491301" u="1"/>
        <n v="5.4586487999282163" u="1"/>
        <n v="412.03843852140324" u="1"/>
        <n v="569.7851445720928" u="1"/>
        <n v="3188.5585138762062" u="1"/>
        <n v="1580.0558935790737" u="1"/>
        <n v="2880.4238252365535" u="1"/>
        <n v="1501.9498463877599" u="1"/>
        <n v="6.4946649792023914" u="1"/>
        <n v="20.182077929613595" u="1"/>
        <n v="19.255161412698744" u="1"/>
        <n v="19.093177693894489" u="1"/>
        <n v="18.925337201627972" u="1"/>
        <n v="14.705498501264984" u="1"/>
        <n v="13.310498782811992" u="1"/>
        <n v="8.743170769101992" u="1"/>
        <n v="1.2911016112499998" u="1"/>
        <n v="2.9343218437499998" u="1"/>
        <n v="7.4430389679029885" u="1"/>
        <n v="7.0886085408599984" u="1"/>
        <n v="5.7764547531890837" u="1"/>
        <n v="7.7571427935601571" u="1"/>
        <n v="7.4646689856199995" u="1"/>
        <n v="7.472133654605595" u="1"/>
        <n v="200.39407454103258" u="1"/>
        <n v="2290.2611901148002" u="1"/>
        <n v="25.462887751291849" u="1"/>
        <n v="6.3657219378229621" u="1"/>
        <n v="11.5789660396584" u="1"/>
        <n v="8.3869961421780044" u="1"/>
        <n v="16.737499380360081" u="1"/>
        <n v="4.4412836363999997" u="1"/>
        <n v="7.4021393939999989" u="1"/>
        <n v="3.3629597703799923" u="1"/>
        <n v="14.310467107999997" u="1"/>
        <n v="258.06264707061791" u="1"/>
        <n v="246.40859756843105" u="1"/>
        <n v="339.40674606580774" u="1"/>
        <n v="1348.5532315167652" u="1"/>
        <n v="12.246516241659473" u="1"/>
        <n v="35.777412389221716" u="1"/>
        <n v="53.457521061483057" u="1"/>
        <n v="99.787372648101709" u="1"/>
        <n v="44.437362896782993" u="1"/>
        <n v="18.297656144009089" u="1"/>
        <n v="410.2092097955537" u="1"/>
        <n v="728.40231259929658" u="1"/>
        <n v="380.35492713090059" u="1"/>
        <n v="1209.2520465110777" u="1"/>
        <n v="486.22578599888152" u="1"/>
        <n v="156.91414436909227" u="1"/>
        <n v="344.14279282307302" u="1"/>
        <n v="3039.5541105886678" u="1"/>
        <n v="2674.8076173180302" u="1"/>
        <n v="195.97916224105552" u="1"/>
        <n v="34.11469320370982" u="1"/>
        <n v="14.934530163363194" u="1"/>
        <n v="103.9567698690358" u="1"/>
        <n v="174.44988294645583" u="1"/>
        <n v="759.51598140726605" u="1"/>
        <n v="977.57056961773935" u="1"/>
        <n v="1476.7391094261957" u="1"/>
        <n v="676.05038342858654" u="1"/>
        <n v="4.8866281718249995" u="1"/>
        <n v="0.25197848633717618" u="1"/>
        <n v="0.22406634803043543" u="1"/>
        <n v="0.89359793559756973" u="1"/>
        <n v="14.584397399896091" u="1"/>
        <n v="32.738933746641749" u="1"/>
        <n v="524.36096995001276" u="1"/>
        <n v="1768.6815317690086" u="1"/>
        <n v="709.47056700449991" u="1"/>
        <n v="1258.4783114009999" u="1"/>
        <n v="2.0902257663459678" u="1"/>
        <n v="30.485399960567484" u="1"/>
        <n v="22.454125946072395" u="1"/>
        <n v="35.593010049149207" u="1"/>
        <n v="47.658044868437592" u="1"/>
        <n v="12.744625022008844" u="1"/>
        <n v="38.544748684446503" u="1"/>
        <n v="1.9920778647901123" u="1"/>
        <n v="1.5091252145253369" u="1"/>
        <n v="2.776815182010699" u="1"/>
        <n v="9.1848502174200046" u="1"/>
        <n v="3.5959133781463044" u="1"/>
        <n v="2.3972755854308696" u="1"/>
        <n v="12.119977766683933" u="1"/>
        <n v="29.349626195670645" u="1"/>
        <n v="14.65877669519781" u="1"/>
        <n v="199.8670475516256" u="1"/>
        <n v="317.05802709124026" u="1"/>
        <n v="936.42719629273267" u="1"/>
        <n v="35.306643821537669" u="1"/>
        <n v="403.350882352795" u="1"/>
        <n v="54.538949861365147" u="1"/>
        <n v="623.24378555793737" u="1"/>
        <n v="3.6155300580182419" u="1"/>
        <n v="80.249157690540073" u="1"/>
        <n v="184.42798184039779" u="1"/>
        <n v="147.23242247762852" u="1"/>
        <n v="60.724668163620173" u="1"/>
        <n v="98.65745769567198" u="1"/>
        <n v="5.3618183530256065" u="1"/>
        <n v="185.39501940000002" u="1"/>
        <n v="849.08468538000011" u="1"/>
        <n v="4505.67582399" u="1"/>
        <n v="549.76578231125757" u="1"/>
        <n v="938.28464365375339" u="1"/>
        <n v="2432.3601103516853" u="1"/>
        <n v="1.061916827952786E-3" u="1"/>
        <n v="7.3541702711954118E-3" u="1"/>
        <n v="7.4334177956695011E-3" u="1"/>
        <n v="32.979175422193421" u="1"/>
        <n v="175.74720802117474" u="1"/>
        <n v="304.55650091538138" u="1"/>
        <n v="106.86750387009798" u="1"/>
        <n v="681.08617867425244" u="1"/>
        <n v="0.87540037112604008" u="1"/>
        <n v="1468.7872036163285" u="1"/>
        <n v="1741.0759170605559" u="1"/>
        <n v="7579.4271744638463" u="1"/>
        <n v="4037.4277761821945" u="1"/>
        <n v="10299.932520068807" u="1"/>
        <n v="80141.927519179633" u="1"/>
        <n v="4.0955558452639956E-2" u="1"/>
        <n v="2.7394017842783662" u="1"/>
        <n v="15.734271509770668" u="1"/>
        <n v="13357.827743441794" u="1"/>
        <n v="18125.026916419039" u="1"/>
        <n v="50936.755815665187" u="1"/>
        <n v="4.8324451500000007" u="1"/>
        <n v="33.363696950999994" u="1"/>
        <n v="234.98553428220001" u="1"/>
        <n v="1182.9235793371026" u="1"/>
        <n v="1973.5219435923657" u="1"/>
        <n v="9326.6550930840549" u="1"/>
        <n v="118.10913767244476" u="1"/>
        <n v="124.32350208039588" u="1"/>
        <n v="1443.1441224496141" u="1"/>
        <n v="3251.4801733229206" u="1"/>
        <n v="13802.611566526335" u="1"/>
        <n v="63558.720363686705" u="1"/>
        <n v="44.341964065563573" u="1"/>
        <n v="1167.2212417160363" u="1"/>
        <n v="567.3691380781911" u="1"/>
        <n v="89.952794556312625" u="1"/>
        <n v="1.7242698538999996" u="1"/>
        <n v="5.5045218385999997" u="1"/>
        <n v="82.333031608499994" u="1"/>
        <n v="823.16615772428111" u="1"/>
        <n v="1978.1467135388225" u="1"/>
        <n v="9598.560450596131" u="1"/>
        <n v="114.23258995836862" u="1"/>
        <n v="787.31270401887366" u="1"/>
        <n v="1652.7811201910629" u="1"/>
        <n v="1.2263569157612451E-3" u="1"/>
        <n v="8.4929792375107119E-3" u="1"/>
        <n v="8.5844984103287149E-3" u="1"/>
        <n v="0.75977618522771229" u="1"/>
        <n v="1.4735017127261698" u="1"/>
        <n v="2.2588899465547265" u="1"/>
        <n v="2382.53278768881" u="1"/>
        <n v="8097.2808032451458" u="1"/>
        <n v="27133.652765295068" u="1"/>
        <n v="0.10989845185515029" u="1"/>
        <n v="0.66348267478317069" u="1"/>
        <n v="1.2503871730004532" u="1"/>
        <n v="356.37943700799997" u="1"/>
        <n v="2742.196772112" u="1"/>
        <n v="11054.36402952" u="1"/>
        <n v="2327.9920247319533" u="1"/>
        <n v="8836.4515411281845" u="1"/>
        <n v="29595.933367309593" u="1"/>
        <n v="8.8530279618059424" u="1"/>
        <n v="13.360102775008473" u="1"/>
        <n v="168.24499602334035" u="1"/>
        <n v="0.82391612783263957" u="1"/>
        <n v="81.809683873908966" u="1"/>
        <n v="317.95854093208527" u="1"/>
        <n v="294.46387209455997" u="1"/>
        <n v="1682.6175139514396" u="1"/>
        <n v="5016.5035493277601" u="1"/>
        <n v="772.13240841859113" u="1"/>
        <n v="3237.3980145472296" u="1"/>
        <n v="281.03924394224902" u="1"/>
        <n v="450.88025515547713" u="1"/>
        <n v="168.82111887065784" u="1"/>
        <n v="675.28447548263136" u="1"/>
        <n v="518.05610498621104" u="1"/>
        <n v="62.229688703648648" u="1"/>
        <n v="332.24117590219265" u="1"/>
        <n v="678.21415590971799" u="1"/>
        <n v="16.439845002838922" u="1"/>
        <n v="65.646778333254062" u="1"/>
        <n v="27.803212855624746" u="1"/>
        <n v="157.97280031604967" u="1"/>
        <n v="18.401979278326415" u="1"/>
        <n v="73.607930197245608" u="1"/>
        <n v="464.06479673912787" u="1"/>
        <n v="629.63003847863922" u="1"/>
        <n v="67.406809139235307" u="1"/>
        <n v="204.58553314236335" u="1"/>
        <n v="45.832949202294465" u="1"/>
        <n v="159.05585956243957" u="1"/>
        <n v="86.222415151287947" u="1"/>
        <n v="344.88966060515179" u="1"/>
        <n v="252.95322835034" u="1"/>
        <n v="108.40852643586001" u="1"/>
        <n v="6.4453480243727999" u="1"/>
        <n v="25.781392097491199" u="1"/>
        <n v="856.34758084047974" u="1"/>
        <n v="169.62727334120305" u="1"/>
        <n v="414.62339437047757" u="1"/>
        <n v="207.78272478495452" u="1"/>
        <n v="831.1308991398181" u="1"/>
        <n v="5770.2457354975668" u="1"/>
        <n v="3382.6904918002583" u="1"/>
        <n v="4403.0586628494884" u="1"/>
        <n v="0.22375638750767696" u="1"/>
        <n v="88.497724141420221" u="1"/>
        <n v="4.5527203214549829E-4" u="1"/>
        <n v="2.6577468312199997E-4" u="1"/>
        <n v="3.6666582186624601E-2" u="1"/>
        <n v="4017.2610076399988" u="1"/>
        <n v="4077.6064733506364" u="1"/>
        <n v="0.10503550707835053" u="1"/>
        <n v="0.12612572264550084" u="1"/>
        <n v="253.47342523680672" u="1"/>
        <n v="1275.7304625497152" u="1"/>
        <n v="29.507676009470405" u="1"/>
        <n v="998.4968603197068" u="1"/>
        <n v="136.42932161596499" u="1"/>
        <n v="601.84706592811494" u="1"/>
        <n v="775.22343998729423" u="1"/>
        <n v="504.2700035195445" u="1"/>
        <n v="8129.9530567428783" u="1"/>
        <n v="27.096961173451" u="1"/>
        <n v="170.5857924950177" u="1"/>
        <n v="1014.4268510688563" u="1"/>
        <n v="271.84003778942741" u="1"/>
        <n v="221.53600162602376" u="1"/>
        <n v="5428.3754492390117" u="1"/>
        <n v="170.32578078699592" u="1"/>
        <n v="254.97666983544278" u="1"/>
        <n v="1051.3094285049046" u="1"/>
        <n v="139.51995169182211" u="1"/>
        <n v="9902.1576843566309" u="1"/>
        <n v="9693.5131317819178" u="1"/>
        <n v="1126.3019973828816" u="1"/>
        <n v="1697.6022731887347" u="1"/>
        <n v="2022.4077821180804" u="1"/>
        <n v="4477.2914076172228" u="1"/>
        <n v="0.53361222738522662" u="1"/>
        <n v="4.0709019343781794" u="1"/>
        <n v="27.769144798170579" u="1"/>
        <n v="83.571289279377481" u="1"/>
        <n v="379.38712276034857" u="1"/>
        <n v="910.66174746496256" u="1"/>
        <n v="0.89814435568499984" u="1"/>
        <n v="5.9848831930796043E-2" u="1"/>
        <n v="5.4690365665923031E-4" u="1"/>
        <n v="6.7993427625984832E-4" u="1"/>
        <n v="4.1877408017854202E-2" u="1"/>
        <n v="1.7696184401998299E-2" u="1"/>
        <n v="851.90157297615485" u="1"/>
        <n v="218.30740595739195" u="1"/>
        <n v="412.96724614396993" u="1"/>
        <n v="1718.485907661953" u="1"/>
        <n v="1.447643693935292E-3" u="1"/>
        <n v="2.0810473257612404E-3" u="1"/>
        <n v="2.0727314525005548E-3" u="1"/>
        <n v="6.3159977753568693E-3" u="1"/>
        <n v="8.7034449345529813E-3" u="1"/>
        <n v="1.0497188303121475E-2" u="1"/>
        <n v="4.6037873583899998E-3" u="1"/>
        <n v="12327.167911176861" u="1"/>
        <n v="5.0994604695509971E-3" u="1"/>
        <n v="1545.7964878202226" u="1"/>
        <n v="1.1820411234298479E-3" u="1"/>
        <n v="8680.5847754911683" u="1"/>
        <n v="5098.176599343361" u="1"/>
        <n v="1.3709286315240416E-3" u="1"/>
        <n v="8.5755258684265328E-4" u="1"/>
        <n v="1.3085237926869588E-3" u="1"/>
        <n v="5775.3706827804281" u="1"/>
        <n v="1.8141257834426865E-2" u="1"/>
        <n v="1.8195594668761004E-2" u="1"/>
        <n v="0.6818592125202857" u="1"/>
        <n v="9.6119965303999998E-6" u="1"/>
        <n v="0.14118051395995895" u="1"/>
        <n v="0.27332547502648424" u="1"/>
        <n v="0.13871430077009247" u="1"/>
        <n v="89.771251779836433" u="1"/>
        <n v="204.08867942523898" u="1"/>
        <n v="1072.6456715914262" u="1"/>
        <n v="8259.7995411516167" u="1"/>
        <n v="1.1047194519159474E-2" u="1"/>
        <n v="17.552010384774334" u="1"/>
        <n v="0.35641922415595562" u="1"/>
        <n v="144.14797755365626" u="1"/>
        <n v="276.76411690302001" u="1"/>
        <n v="863.39299740656622" u="1"/>
        <n v="5.356875748714649" u="1"/>
        <n v="6.2196332950422901" u="1"/>
        <n v="68.978173007211481" u="1"/>
        <n v="2.760458015024185E-2" u="1"/>
        <n v="2.2302005430947597E-2" u="1"/>
        <n v="341.53701654032403" u="1"/>
        <n v="1491.7455496632217" u="1"/>
        <n v="88.385306462519537" u="1"/>
        <n v="445.10122200435586" u="1"/>
        <n v="1.8330738282870968E-3" u="1"/>
        <n v="2.046186034213329E-3" u="1"/>
        <n v="12.045923495225058" u="1"/>
        <n v="33.706139966452717" u="1"/>
        <n v="108.89963756087003" u="1"/>
        <n v="645.2194310064267" u="1"/>
        <n v="1526.7762995472222" u="1"/>
        <n v="7784.5542085549387" u="1"/>
        <n v="545.1991523917834" u="1"/>
        <n v="1988.198506962251" u="1"/>
        <n v="5658.1013541110387" u="1"/>
        <n v="2.2565212097929487E-3" u="1"/>
        <n v="15653.316659061389" u="1"/>
        <n v="10.349378432855998" u="1"/>
        <n v="6.2040873489119974" u="1"/>
        <n v="5.418110311077986E-6" u="1"/>
        <n v="5.8886739925625329E-6" u="1"/>
        <n v="7.6411504291161197E-2" u="1"/>
        <n v="0.22698369645753316" u="1"/>
        <n v="0.22950373749741498" u="1"/>
        <n v="0.68491115387321255" u="1"/>
        <n v="7.7885151439319317E-2" u="1"/>
        <n v="0.10749773505954052" u="1"/>
        <n v="649.85860426810007" u="1"/>
        <n v="1390.0562970218998" u="1"/>
        <n v="9966.4413748740008" u="1"/>
        <n v="3.0863666221132E-3" u="1"/>
        <n v="1.1227982145051019E-2" u="1"/>
        <n v="4.9124145033334073E-2" u="1"/>
        <n v="490.96177369265865" u="1"/>
        <n v="1952.1575342444767" u="1"/>
        <n v="97.0226829096854" u="1"/>
        <n v="367.6682685020005" u="1"/>
        <n v="1715.9729618784297" u="1"/>
        <n v="4.0216682697353156E-3" u="1"/>
        <n v="2.6165701172868E-3" u="1"/>
        <n v="1.3238169906997245E-3" u="1"/>
        <n v="2.1204502245385877E-3" u="1"/>
        <n v="7.9327851974421" u="1"/>
        <n v="47.478311405586304" u="1"/>
        <n v="266.87310201544022" u="1"/>
        <n v="4.169054460329999" u="1"/>
        <n v="14.381088890993999" u="1"/>
        <n v="71.14040147152798" u="1"/>
        <n v="153.36311657919197" u="1"/>
        <n v="1.0484166996682401E-2" u="1"/>
        <n v="55.430717688698621" u="1"/>
        <n v="166.62328041190651" u="1"/>
        <n v="758.8114256596283" u="1"/>
        <n v="3251.2741182881132" u="1"/>
        <n v="348.66470874383998" u="1"/>
        <n v="362.17546620766382" u="1"/>
        <n v="6316.9328606665213" u="1"/>
        <n v="5.2943314392166117E-2" u="1"/>
        <n v="5.2419123165969451E-2" u="1"/>
        <n v="0.1051758721928526" u="1"/>
        <n v="9.6719520668106698E-2" u="1"/>
        <n v="6.5536724386462269E-2" u="1"/>
        <n v="4352.7983630299159" u="1"/>
        <n v="4272.6992322123642" u="1"/>
        <n v="172.77784988997718" u="1"/>
        <n v="597.52341614148634" u="1"/>
        <n v="18.233226422637575" u="1"/>
        <n v="206.61084331534011" u="1"/>
        <n v="19.418088930962742" u="1"/>
        <n v="77.659906282935509" u="1"/>
        <n v="231.71023766011268" u="1"/>
        <n v="502.97887293420337" u="1"/>
        <n v="2.6120311028039565" u="1"/>
        <n v="23.50532673778752" u="1"/>
        <n v="28.260427635865298" u="1"/>
        <n v="72.150938933054704" u="1"/>
        <n v="12.464752252556016" u="1"/>
        <n v="49.859008741835922" u="1"/>
        <n v="962.20455847294227" u="1"/>
        <n v="1731.9693790042954" u="1"/>
        <n v="19.462084601312117" u="1"/>
        <n v="7.199429588187928" u="1"/>
        <n v="225.26702044536572" u="1"/>
        <n v="1351.6022025797799" u="1"/>
        <n v="1290.8762408043463" u="1"/>
        <n v="6454.3816864736946" u="1"/>
        <n v="382.70996704876904" u="1"/>
        <n v="5357.9398487446688" u="1"/>
        <n v="715.54536470230073" u="1"/>
        <n v="6439.8904011431496" u="1"/>
        <n v="613.89355627471991" u="1"/>
        <n v="920.84039762447321" u="1"/>
        <n v="2221.2856453195845" u="1"/>
        <n v="2232.547694846899" u="1"/>
        <n v="357.8756272898766" u="1"/>
        <n v="536.8135851006241" u="1"/>
        <n v="4767.3460709111132" u="1"/>
        <n v="55.866076172701874" u="1"/>
        <n v="223.46437368570997" u="1"/>
        <n v="1951.310792319329" u="1"/>
        <n v="498.45480999827521" u="1"/>
        <n v="361.08896442480176" u="1"/>
        <n v="1618.631428378769" u="1"/>
        <n v="500.38064954257328" u="1"/>
        <n v="4503.4265691623104" u="1"/>
        <n v="1263.2129547038198" u="1"/>
        <n v="1894.8199180901111" u="1"/>
        <n v="3423.5279194600366" u="1"/>
        <n v="8471.9563244005785" u="1"/>
        <n v="5054.2109467723094" u="1"/>
        <n v="1342.3347200835808" u="1"/>
        <n v="14449.835874885941" u="1"/>
        <n v="524.57595837005522" u="1"/>
        <n v="1136.6675703324781" u="1"/>
        <n v="154.5798482629653" u="1"/>
        <n v="321.05011784213616" u="1"/>
        <n v="2668.6403758404531" u="1"/>
        <n v="6577.6809729968963" u="1"/>
        <n v="2101.6992002008456" u="1"/>
        <n v="2080.6327931699998" u="1"/>
        <n v="264.91308991829413" u="1"/>
        <n v="1170.9146536163971" u="1"/>
        <n v="3744.5213277168295" u="1"/>
        <n v="5364.0782008506003" u="1"/>
        <n v="809.51470795901344" u="1"/>
        <n v="2954.2407067907943" u="1"/>
        <n v="962.93432818922759" u="1"/>
        <n v="1293.3710892347829" u="1"/>
        <n v="1.4159593901053329" u="1"/>
        <n v="2.9723655469410297" u="1"/>
        <n v="9.8316706552664836" u="1"/>
        <n v="3.8491467146354812" u="1"/>
        <n v="2.5660978097569873" u="1"/>
        <n v="8.3764438258273213" u="1"/>
        <n v="215.92448898765031" u="1"/>
        <n v="342.53066384755238" u="1"/>
        <n v="1011.6603327590499" u="1"/>
        <n v="4109.7847755984594" u="1"/>
        <n v="10484.52336668128" u="1"/>
        <n v="81578.195788034485" u="1"/>
        <n v="179.81721045401184" u="1"/>
        <n v="189.27837234718831" u="1"/>
        <n v="2197.1386422418627" u="1"/>
        <n v="732.0834341913004" u="1"/>
        <n v="3107.7117921049735" u="1"/>
        <n v="14310.49362023317" u="1"/>
        <n v="213.09926076247729" u="1"/>
        <n v="2435.4660569892344" u="1"/>
        <n v="26.570263305637038" u="1"/>
        <n v="6.6425658264092595" u="1"/>
        <n v="12.082532801690737" u="1"/>
        <n v="274.42407889109728" u="1"/>
        <n v="262.03115090910336" u="1"/>
        <n v="13.834032274038581" u="1"/>
        <n v="40.415238742786578" u="1"/>
        <n v="60.387220092760266" u="1"/>
        <n v="112.72281083981918" u="1"/>
        <n v="47.254736474752441" u="1"/>
        <n v="19.457745978292067" u="1"/>
        <n v="409.76330825706128" u="1"/>
        <n v="727.61053195645991" u="1"/>
        <n v="379.94147749805256" u="1"/>
        <n v="1207.937577369263" u="1"/>
        <n v="485.69725367719218" u="1"/>
        <n v="166.8626592119289" u="1"/>
        <n v="365.96179260936617" u="1"/>
        <n v="3036.2500846870603" u="1"/>
        <n v="2671.9000745246158" u="1"/>
        <n v="221.38394315430435" u="1"/>
        <n v="31.328226785777915" u="1"/>
        <n v="16.870493469379745" u="1"/>
        <n v="108.36873931973845" u="1"/>
        <n v="181.853610045788" u="1"/>
        <n v="5.094018746178123" u="1"/>
        <n v="523.79098429965973" u="1"/>
        <n v="1766.7589571478488" u="1"/>
        <n v="31.811203499054809" u="1"/>
        <n v="23.430651091599422" u="1"/>
        <n v="37.140942460389205" u="1"/>
        <n v="49.730683069205554" u="1"/>
        <n v="13.298886044423814" u="1"/>
        <n v="40.221051579013888" u="1"/>
        <n v="34.67559475734366" u="1"/>
        <n v="396.14163872892817" u="1"/>
        <n v="53.564154481603126" u="1"/>
        <n v="612.10431249929593" u="1"/>
        <n v="3.8447583063163053" u="1"/>
        <n v="90.651856866758109" u="1"/>
        <n v="208.33538311382975" u="1"/>
        <n v="166.31816299003216" u="1"/>
        <n v="68.596407552060754" u="1"/>
        <n v="111.44642499992962" u="1"/>
        <n v="6.0568709239091669" u="1"/>
        <n v="584.62148679473785" u="1"/>
        <n v="997.77283537621804" u="1"/>
        <n v="2586.5741919327456" u="1"/>
        <n v="1.1292434247183174E-3" u="1"/>
        <n v="7.8204320756611826E-3" u="1"/>
        <n v="7.904703973028223E-3" u="1"/>
        <n v="35.070088370235027" u="1"/>
        <n v="186.88975807372529" u="1"/>
        <n v="323.86568991183151" u="1"/>
        <n v="1472.9036347715648" u="1"/>
        <n v="1745.9554660728113" u="1"/>
        <n v="7600.6693190597334" u="1"/>
        <n v="1161.7807366039642" u="1"/>
        <n v="1938.2484358082418" u="1"/>
        <n v="9159.9562417771904" u="1"/>
        <n v="176.60326910754605" u="1"/>
        <n v="185.89532805825493" u="1"/>
        <n v="2157.8683482116662" u="1"/>
        <n v="718.99862872540848" u="1"/>
        <n v="3052.1664780812089" u="1"/>
        <n v="14054.71672869828" u="1"/>
        <n v="0.79202140911086127" u="1"/>
        <n v="1.5360377510264738" u="1"/>
        <n v="2.3547581949550382" u="1"/>
        <n v="0.11020645386525424" u="1"/>
        <n v="0.66534215500379923" u="1"/>
        <n v="1.2538915150197558" u="1"/>
        <n v="8.3225054331020782" u="1"/>
        <n v="12.55949133014242" u="1"/>
        <n v="158.16282288244963" u="1"/>
        <n v="0.82622523973772788" u="1"/>
        <n v="82.038964147232036" u="1"/>
        <n v="318.84965330067325" u="1"/>
        <n v="847.42129733922798" u="1"/>
        <n v="1359.5451133757376" u="1"/>
        <n v="509.04852135536964" u="1"/>
        <n v="2036.1940854214786" u="1"/>
        <n v="1562.1013294219335" u="1"/>
        <n v="187.64199189597431" u="1"/>
        <n v="1001.8111505110735" u="1"/>
        <n v="2045.0279890197294" u="1"/>
        <n v="49.5712790318507" u="1"/>
        <n v="197.9455868189655" u="1"/>
        <n v="83.835390309951876" u="1"/>
        <n v="476.33744494290829" u="1"/>
        <n v="55.487728101252046" u="1"/>
        <n v="221.95095185718293" u="1"/>
        <n v="1399.3006335547495" u="1"/>
        <n v="1898.5316661361305" u="1"/>
        <n v="203.25263066109926" u="1"/>
        <n v="616.88942611859977" u="1"/>
        <n v="138.20068944489665" u="1"/>
        <n v="479.60320761290598" u="1"/>
        <n v="259.98757284673195" u="1"/>
        <n v="1039.9502913869278" u="1"/>
        <n v="762.73316825047993" u="1"/>
        <n v="326.88564353592" u="1"/>
        <n v="19.434741952761598" u="1"/>
        <n v="77.738967811046393" u="1"/>
        <n v="2582.1560282814835" u="1"/>
        <n v="511.47932944360093" u="1"/>
        <n v="1250.2193282188941" u="1"/>
        <n v="626.52995977362025" u="1"/>
        <n v="2506.119839094481" u="1"/>
        <n v="1.2965141226598126E-3" u="1"/>
        <n v="7052.0510192017882" u="1"/>
        <n v="8474.0288844849129" u="1"/>
        <n v="1.1333718812603134E-2" u="1"/>
        <n v="5804.8520508519732" u="1"/>
        <n v="2.3150472133095187E-3" u="1"/>
        <n v="16059.307111027169" u="1"/>
        <n v="4286.6419799725745" u="1"/>
        <n v="173.3416616278607" u="1"/>
        <n v="599.47326512904681" u="1"/>
        <n v="19.495517682912404" u="1"/>
        <n v="222.52198491641889" u="1"/>
        <n v="19.481454382457333" u="1"/>
        <n v="77.91332746367793" u="1"/>
        <n v="232.4663586088555" u="1"/>
        <n v="504.62020249495623" u="1"/>
        <n v="2.6205547289308906" u="1"/>
        <n v="23.582029736036379" u="1"/>
        <n v="28.352647563528798" u="1"/>
        <n v="72.386383154033723" u="1"/>
        <n v="12.505427452729396" u="1"/>
        <n v="50.021709541653642" u="1"/>
        <n v="965.34444141891913" u="1"/>
        <n v="1737.6211721372654" u="1"/>
        <n v="20.96086355683396" u="1"/>
        <n v="7.7538590740103182" u="1"/>
        <n v="226.00211577365013" u="1"/>
        <n v="1356.0127748102423" u="1"/>
        <n v="1390.2868735055451" u="1"/>
        <n v="6951.4348871334096" u="1"/>
        <n v="412.18253673652396" u="1"/>
        <n v="5770.555848251166" u="1"/>
        <n v="770.64965369838831" u="1"/>
        <n v="6935.827625074945" u="1"/>
        <n v="615.89682459331027" u="1"/>
        <n v="923.84530030863459" u="1"/>
        <n v="2228.5341839535636" u="1"/>
        <n v="2387.1075833728869" u="1"/>
        <n v="382.65145500803175" u="1"/>
        <n v="573.97733665849523" u="1"/>
        <n v="4782.9029589904831" u="1"/>
        <n v="53.718238466004046" u="1"/>
        <n v="214.87302020632762" u="1"/>
        <n v="2086.4005730378162" u="1"/>
        <n v="500.08137655678075" u="1"/>
        <n v="362.2672763246926" u="1"/>
        <n v="1623.9133751052059" u="1"/>
        <n v="502.01350053476671" u="1"/>
        <n v="4518.1222304522689" u="1"/>
        <n v="1267.3350935761468" u="1"/>
        <n v="1901.0031279846376" u="1"/>
        <n v="3434.6996363623634" u="1"/>
        <n v="8499.6021622297649" u="1"/>
        <n v="5070.7039373920234" u="1"/>
        <n v="1346.3490388177227" u="1"/>
        <n v="14493.048827653953" u="1"/>
        <n v="518.87460472444036" u="1"/>
        <n v="1140.3767640667045" u="1"/>
        <n v="155.08427595983972" u="1"/>
        <n v="322.09777426918134" u="1"/>
        <n v="1652.9431802475665" u="1"/>
        <n v="4374.2992826223654" u="1"/>
        <n v="6059.8932210015746" u="1"/>
        <n v="37569.667836053908" u="1"/>
        <n v="19078.364660944972" u="1"/>
        <n v="82307.310942245575" u="1"/>
        <n v="4459.223337911053" u="1"/>
        <n v="416.74984466458443" u="1"/>
        <n v="1422.643274712889" u="1"/>
        <n v="609.70426059123804" u="1"/>
        <n v="6249.2776427670042" u="1"/>
        <n v="6355.7994207687161" u="1"/>
        <n v="17385.801866280868" u="1"/>
        <n v="20058.576262185943" u="1"/>
        <n v="9629.9617418047092" u="1"/>
        <n v="34490.871329356465" u="1"/>
        <n v="5431.8063306126351" u="1"/>
        <n v="411.19442544290069" u="1"/>
        <n v="2040.0401296650632" u="1"/>
        <n v="3624.4120270830335" u="1"/>
        <n v="848.5348791466713" u="1"/>
        <n v="1467.2260122678242" u="1"/>
        <n v="1370.4167803497082" u="1"/>
        <n v="414.71597607649613" u="1"/>
        <n v="5.4612016132138486" u="1"/>
        <n v="2023.4791059218655" u="1"/>
        <n v="492.95400527378956" u="1"/>
        <n v="681.63635361394074" u="1"/>
        <n v="3759.584415975849" u="1"/>
        <n v="3688.2989649603392" u="1"/>
        <n v="5.8863355161253423" u="1"/>
        <n v="18.291702880243626" u="1"/>
        <n v="16.649566316427496" u="1"/>
        <n v="17.456962789160979" u="1"/>
        <n v="14.454487905087998" u="1"/>
        <n v="8.6468811575079982" u="1"/>
        <n v="7.3595300625000002" u="1"/>
        <n v="7.0090762499999997" u="1"/>
        <n v="21.900787832187" u="1"/>
        <n v="14.558327171685001" u="1"/>
        <n v="5.7290689192172781" u="1"/>
        <n v="7.6935088353250043" u="1"/>
        <n v="6.7252201020899989" u="1"/>
        <n v="6.7319453221920762" u="1"/>
        <n v="204.04855008738198" u="1"/>
        <n v="2332.027412660038" u="1"/>
        <n v="25.919560022985866" u="1"/>
        <n v="6.4798900057464666" u="1"/>
        <n v="21.350792826636241" u="1"/>
        <n v="6.7579151587661919" u="1"/>
        <n v="17.285116270916998" u="1"/>
        <n v="1.9394101507199999" u="1"/>
        <n v="8.2528091519999993" u="1"/>
        <n v="346.26138345971043" u="1"/>
        <n v="350.0366683227038" u="1"/>
        <n v="377.12658655401242" u="1"/>
        <n v="1498.4241853863819" u="1"/>
        <n v="4.1342323036652493" u="1"/>
        <n v="54.470525895088102" u="1"/>
        <n v="39.48102775998553" u="1"/>
        <n v="59.348489260284161" u="1"/>
        <n v="110.78384661919711" u="1"/>
        <n v="28.168770832474319" u="1"/>
        <n v="68.410326266873668" u="1"/>
        <n v="383.45576082442113" u="1"/>
        <n v="1219.110442504696" u="1"/>
        <n v="395.96343129663745" u="1"/>
        <n v="703.10629838118678" u="1"/>
        <n v="470.13686404621717" u="1"/>
        <n v="161.77013035602346" u="1"/>
        <n v="357.73818164800946" u="1"/>
        <n v="2438.704531310304" u="1"/>
        <n v="2169.2213952795587" u="1"/>
        <n v="217.5320411633333" u="1"/>
        <n v="30.474685781629489" u="1"/>
        <n v="16.832561975567319" u="1"/>
        <n v="106.21395250913356" u="1"/>
        <n v="178.23766173036663" u="1"/>
        <n v="1461.1134642370873" u="1"/>
        <n v="1834.1193654548665" u="1"/>
        <n v="1002.6632050384641" u="1"/>
        <n v="525.28457933699997" u="1"/>
        <n v="8.8131061769574117" u="1"/>
        <n v="0.19624803921594122" u="1"/>
        <n v="0.25499070247609357" u="1"/>
        <n v="1.0169272063034682" u="1"/>
        <n v="24.404329608269858" u="1"/>
        <n v="45.337353711915121" u="1"/>
        <n v="773.4968249659579" u="1"/>
        <n v="1812.6175596042915" u="1"/>
        <n v="1274.6066264717913" u="1"/>
        <n v="1026.3645969500558" u="1"/>
        <n v="1.3793590557739388" u="1"/>
        <n v="32.024836003676207" u="1"/>
        <n v="12.970219711110975" u="1"/>
        <n v="48.528660843032888" u="1"/>
        <n v="36.229439508970181" u="1"/>
        <n v="22.848358111299067" u="1"/>
        <n v="31.027209723504765" u="1"/>
        <n v="39.239016566632536" u="1"/>
        <n v="679.87498531462995" u="1"/>
        <n v="312.92918865663154" u="1"/>
        <n v="1.4293838052366659" u="1"/>
        <n v="0.99292005919306503" u="1"/>
        <n v="2.8590469902030464" u="1"/>
        <n v="9.4568477368254626" u="1"/>
        <n v="3.7041170244620236" u="1"/>
        <n v="2.4694113496413492" u="1"/>
        <n v="12.210557813326878" u="1"/>
        <n v="29.920159890159958" u="1"/>
        <n v="8.3444945024755182" u="1"/>
        <n v="207.85854209010199" u="1"/>
        <n v="330.8331613770867" u="1"/>
        <n v="977.11189523000019" u="1"/>
        <n v="58.484771350143667" u="1"/>
        <n v="668.33465599188116" u="1"/>
        <n v="37.861470833146122" u="1"/>
        <n v="432.53778934400583" u="1"/>
        <n v="11.293950924745273" u="1"/>
        <n v="201.29461554887803" u="1"/>
        <n v="160.69738216086904" u="1"/>
        <n v="87.429067066949187" u="1"/>
        <n v="66.098967064916451" u="1"/>
        <n v="109.01786420236182" u="1"/>
        <n v="5.9248839240413487" u="1"/>
        <n v="343.3839904295254" u="1"/>
        <n v="4925.4074051146972" u="1"/>
        <n v="1136.7162445231295" u="1"/>
        <n v="579.49316942945381" u="1"/>
        <n v="2509.7549442198188" u="1"/>
        <n v="1188.275049049317" u="1"/>
        <n v="1.356129929890914E-3" u="1"/>
        <n v="9.4929095092363986E-3" u="1"/>
        <n v="9.3917057831251344E-3" u="1"/>
        <n v="41.226739737713693" u="1"/>
        <n v="331.69189459712516" u="1"/>
        <n v="220.53641266793167" u="1"/>
        <n v="679.97903726313507" u="1"/>
        <n v="68.948725262666315" u="1"/>
        <n v="0.91305272676822624" u="1"/>
        <n v="1595.2305737491365" u="1"/>
        <n v="7879.6703602200332" u="1"/>
        <n v="1892.7500095390994" u="1"/>
        <n v="9583.0675445570196" u="1"/>
        <n v="79168.455662170949" u="1"/>
        <n v="15605.086853295974" u="1"/>
        <n v="4.08263285392296E-2" u="1"/>
        <n v="20.847020326998354" u="1"/>
        <n v="3.1268374735106508" u="1"/>
        <n v="13590.040836911587" u="1"/>
        <n v="50712.842486227957" u="1"/>
        <n v="21517.805531869421" u="1"/>
        <n v="4.7373066000000001" u="1"/>
        <n v="200.81904261119999" u="1"/>
        <n v="21.683259655199997" u="1"/>
        <n v="1140.3537624453627" u="1"/>
        <n v="8955.5864940564225" u="1"/>
        <n v="2072.3687383509791" u="1"/>
        <n v="194.60711518577409" u="1"/>
        <n v="2376.9031021155911" u="1"/>
        <n v="275.9169062450282" u="1"/>
        <n v="830.15264525173211" u="1"/>
        <n v="16213.980126949969" u="1"/>
        <n v="3571.7233518477306" u="1"/>
        <n v="15.89548839797958" u="1"/>
        <n v="201.79237833957066" u="1"/>
        <n v="420.02355563324676" u="1"/>
        <n v="2.3962412172000001" u="1"/>
        <n v="98.318631458400006" u="1"/>
        <n v="6.6952191715999989" u="1"/>
        <n v="1035.5345366066563" u="1"/>
        <n v="12065.402402419433" u="1"/>
        <n v="2497.9807893450929" u="1"/>
        <n v="116.50518864697472" u="1"/>
        <n v="1994.3583179375184" u="1"/>
        <n v="838.39498474974823" u="1"/>
        <n v="1.2067071817192599E-3" u="1"/>
        <n v="8.4469502720348182E-3" u="1"/>
        <n v="8.35689749727965E-3" u="1"/>
        <n v="1.9725762793118293" u="1"/>
        <n v="0.90073427573617237" u="1"/>
        <n v="2.6705449299671895" u="1"/>
        <n v="27711.55169620107" u="1"/>
        <n v="8911.0538791949948" u="1"/>
        <n v="2578.9768905586093" u="1"/>
        <n v="0.1084801034730086" u="1"/>
        <n v="1.2342496879502316" u="1"/>
        <n v="0.65491977364317955" u="1"/>
        <n v="371.84316424799999" u="1"/>
        <n v="11031.900053711999" u="1"/>
        <n v="2872.0826849519999" u="1"/>
        <n v="2357.4301511136377" u="1"/>
        <n v="29936.086282632179" u="1"/>
        <n v="8982.2871481312359" u="1"/>
        <n v="9.5003646750308626" u="1"/>
        <n v="180.54713301106449" u="1"/>
        <n v="14.336998483011742" u="1"/>
        <n v="0.53464303739133701" u="1"/>
        <n v="206.32478761570931" u="1"/>
        <n v="53.086687342036583" u="1"/>
        <n v="385.16174817666001" u="1"/>
        <n v="6553.5071370779406" u="1"/>
        <n v="2141.2064644233897" u="1"/>
        <n v="739.67306728943549" u="1"/>
        <n v="3101.3024364063476" u="1"/>
        <n v="1372.7129722602785" u="1"/>
        <n v="855.56816605079996" u="1"/>
        <n v="2044.4938871721038" u="1"/>
        <n v="511.12347179302594" u="1"/>
        <n v="1578.964081114209" u="1"/>
        <n v="189.67724430070308" u="1"/>
        <n v="1238.2727822313891" u="1"/>
        <n v="3404.9400830945292" u="1"/>
        <n v="67.399716391239082" u="1"/>
        <n v="269.13722367186563" u="1"/>
        <n v="714.53797711282061" u="1"/>
        <n v="125.75868397185641" u="1"/>
        <n v="246.3318548103129" u="1"/>
        <n v="61.58295313188912" u="1"/>
        <n v="1429.1040448259776" u="1"/>
        <n v="1892.377193442964" u="1"/>
        <n v="465.31023359094132" u="1"/>
        <n v="134.08207882533011" u="1"/>
        <n v="639.969211947242" u="1"/>
        <n v="210.85696128627745" u="1"/>
        <n v="1030.0585375997582" u="1"/>
        <n v="257.51463439993955" u="1"/>
        <n v="431.95602895817996" u="1"/>
        <n v="1007.8974009024199" u="1"/>
        <n v="78.11674897211519" u="1"/>
        <n v="19.529187243028797" u="1"/>
        <n v="1557.2920427361157" u="1"/>
        <n v="637.11435138719719" u="1"/>
        <n v="2652.1482225996006" u="1"/>
        <n v="2509.4873733683003" u="1"/>
        <n v="627.37184334207507" u="1"/>
        <n v="1740.1729420636648" u="1"/>
        <n v="753.05095836826899" u="1"/>
        <n v="1.9044014780583273E-2" u="1"/>
        <n v="0.1485739491438525" u="1"/>
        <n v="63.400507933879702" u="1"/>
        <n v="2.5155555522053354E-4" u="1"/>
        <n v="1.468508787176E-4" u="1"/>
        <n v="2.9458144693482995E-2" u="1"/>
        <n v="9.5459829500127075E-2" u="1"/>
        <n v="7.9497436264423058E-2" u="1"/>
        <n v="3001.0317287159323" u="1"/>
        <n v="10502.832860972214" u="1"/>
        <n v="208.73186619605096" u="1"/>
        <n v="19641.131627432489" u="1"/>
        <n v="417.28989221627899" u="1"/>
        <n v="4985.3550462071189" u="1"/>
        <n v="840.93445284194297" u="1"/>
        <n v="9.3650141423044797" u="1"/>
        <n v="1.8628549803190801" u="1"/>
        <n v="3021.7578658950397" u="1"/>
        <n v="1702.6182773529674" u="1"/>
        <n v="10941.644143711401" u="1"/>
        <n v="1680.0079331170277" u="1"/>
        <n v="1001.6849808114691" u="1"/>
        <n v="802.76088508469763" u="1"/>
        <n v="196.57856341074807" u="1"/>
        <n v="0.78304358797500651" u="1"/>
        <n v="19.08473764715977" u="1"/>
        <n v="4.8183698072804679" u="1"/>
        <n v="91.875026811767199" u="1"/>
        <n v="1001.1461254964793" u="1"/>
        <n v="417.08345505024482" u="1"/>
        <n v="4027.6998479206177" u="1"/>
        <n v="684.89960226641995" u="1"/>
        <n v="5.9448418734484414E-2" u="1"/>
        <n v="5.3243377894648708E-4" u="1"/>
        <n v="4.2826195234466649E-4" u="1"/>
        <n v="1.2638679060003899E-2" u="1"/>
        <n v="3.9957446740335793E-2" u="1"/>
        <n v="28.037959642865999" u="1"/>
        <n v="20.519129634831" u="1"/>
        <n v="122.581183421319" u="1"/>
        <n v="1.1373616072513201E-3" u="1"/>
        <n v="1.8216630216294596E-3" u="1"/>
        <n v="1.8289715987832016E-3" u="1"/>
        <n v="7.0496967937223199E-3" u="1"/>
        <n v="1.1716596071213819E-2" u="1"/>
        <n v="9.7144821819266248E-3" u="1"/>
        <n v="9120.4336291986547" u="1"/>
        <n v="4.4242925845910403E-3" u="1"/>
        <n v="4.5240477473855994E-3" u="1"/>
        <n v="2763.7715775787387" u="1"/>
        <n v="1134.6030116827178" u="1"/>
        <n v="3999.6890797549422" u="1"/>
        <n v="4.1663699628105488E-3" u="1"/>
        <n v="7.928533542871692E-4" u="1"/>
        <n v="4.9595101358668973E-4" u="1"/>
        <n v="1.1416827590247241E-3" u="1"/>
        <n v="4711.474960010034" u="1"/>
        <n v="1.6419269242894195E-2" u="1"/>
        <n v="1.637023698407513E-2" u="1"/>
        <n v="2.1228126969849255" u="1"/>
        <n v="9.9988655820000017E-6" u="1"/>
        <n v="0.13026251095848498" u="1"/>
        <n v="0.15350267697675044" u="1"/>
        <n v="0.29718118262711457" u="1"/>
        <n v="678.18830837744088" u="1"/>
        <n v="112.2415268603789" u="1"/>
        <n v="29.98736255114709" u="1"/>
        <n v="7975.8699409123165" u="1"/>
        <n v="1.0667448558964584E-2" u="1"/>
        <n v="15.696583036660959" u="1"/>
        <n v="0.24751696915755975" u="1"/>
        <n v="14.50468336899895" u="1"/>
        <n v="226.84595163681732" u="1"/>
        <n v="45.338113688566345" u="1"/>
        <n v="2.6996031616441599E-2" u="1"/>
        <n v="3.3414668504182725E-2" u="1"/>
        <n v="440.43208928879056" u="1"/>
        <n v="87.458140448189212" u="1"/>
        <n v="32.894934489365582" u="1"/>
        <n v="7.7569851986729663" u="1"/>
        <n v="92.90241382320842" u="1"/>
        <n v="1189.5842609665638" u="1"/>
        <n v="245.65510864500101" u="1"/>
        <n v="5859.3677803837481" u="1"/>
        <n v="16210.126603972551" u="1"/>
        <n v="2.3367887668296989E-3" u="1"/>
        <n v="6.7642350674111968" u="1"/>
        <n v="6.1208617869143946" u="1"/>
        <n v="5.4609689544199883E-6" u="1"/>
        <n v="5.0245831239472412E-6" u="1"/>
        <n v="875.07687195673964" u="1"/>
        <n v="226.12525728965866" u="1"/>
        <n v="5.6105563225668335E-2" u="1"/>
        <n v="0.2915575304375802" u="1"/>
        <n v="0.28835611441479569" u="1"/>
        <n v="0.87009913985489629" u="1"/>
        <n v="8.9266477307245184E-2" u="1"/>
        <n v="6.4676089218834248E-2" u="1"/>
        <n v="43.288573993934442" u="1"/>
        <n v="2016.0802157849243" u="1"/>
        <n v="238.81673967440236" u="1"/>
        <n v="3.2281366849829999E-3" u="1"/>
        <n v="1.1600125330246173E-2" u="1"/>
        <n v="5.081070224837677E-2" u="1"/>
        <n v="1668.4584265979215" u="1"/>
        <n v="419.61229771961433" u="1"/>
        <n v="256.6351692406248" u="1"/>
        <n v="40.882450375531924" u="1"/>
        <n v="1064.2405806234108" u="1"/>
        <n v="1.9717660583635859E-3" u="1"/>
        <n v="1.2828666613007998E-3" u="1"/>
        <n v="2.1069832675815218E-3" u="1"/>
        <n v="1.3154094432364072E-3" u="1"/>
        <n v="44.839270294284717" u="1"/>
        <n v="258.81291719921876" u="1"/>
        <n v="72.965229948118306" u="1"/>
        <n v="3432.6359188575948" u="1"/>
        <n v="545.20001186475827" u="1"/>
        <n v="1280.6575886629385" u="1"/>
        <n v="9.3756428430911993E-3" u="1"/>
        <n v="885.11645252733751" u="1"/>
        <n v="6363.2591072367904" u="1"/>
        <n v="1138.6187889089022" u="1"/>
        <n v="9595.8044475960742" u="1"/>
        <n v="5355.5489522707412" u="1"/>
        <n v="1027.1128016648834" u="1"/>
        <n v="0.17246095054119778" u="1"/>
        <n v="0.10746310485330644" u="1"/>
        <n v="0.15859474347267469" u="1"/>
        <n v="140.01865837961981" u="1"/>
        <n v="8.6835314554167445E-2" u="1"/>
        <n v="8.5975558975968147E-2" u="1"/>
        <n v="4326.7503719822125" u="1"/>
        <n v="947.08055529570856" u="1"/>
        <n v="273.85459586936719" u="1"/>
        <n v="18.565115981414063" u="1"/>
        <n v="222.52198491641832" u="1"/>
        <n v="79.892586892012218" u="1"/>
        <n v="19.976169568885705" u="1"/>
        <n v="565.59083125204768" u="1"/>
        <n v="260.55395203240823" u="1"/>
        <n v="27.157861163704382" u="1"/>
        <n v="3.0178960274246367" u="1"/>
        <n v="72.38638315403378" u="1"/>
        <n v="28.35264756352889" u="1"/>
        <n v="52.617189357870082" u="1"/>
        <n v="13.154275601051454" u="1"/>
        <n v="1737.6211721372651" u="1"/>
        <n v="965.34444141891993" u="1"/>
        <n v="18.943312633487945" u="1"/>
        <n v="51.213767245516884" u="1"/>
        <n v="226.00211577364959" u="1"/>
        <n v="8853.2868109139799" u="1"/>
        <n v="1770.6572045453083" u="1"/>
        <n v="486.83729219502129" u="1"/>
        <n v="6815.7233395492576" u="1"/>
        <n v="7752.9391835539054" u="1"/>
        <n v="861.44023495274791" u="1"/>
        <n v="1021.3253225944419" u="1"/>
        <n v="680.88354839629403" u="1"/>
        <n v="2126.1950515092963" u="1"/>
        <n v="2374.1989985813575" u="1"/>
        <n v="405.36426335448812" u="1"/>
        <n v="608.04639503173257" u="1"/>
        <n v="4366.4815963058363" u="1"/>
        <n v="228.37428546607293" u="1"/>
        <n v="57.09355336053197" u="1"/>
        <n v="2127.1570687688741" u="1"/>
        <n v="469.81819315998939" u="1"/>
        <n v="344.09142728331557" u="1"/>
        <n v="1568.6169038195596" u="1"/>
        <n v="4518.122230452268" u="1"/>
        <n v="502.01350053476631" u="1"/>
        <n v="1817.5422760438207" u="1"/>
        <n v="1211.6945807546654" u="1"/>
        <n v="3391.8455107615605" u="1"/>
        <n v="8416.3810240785388" u="1"/>
        <n v="4976.8078698209883" u="1"/>
        <n v="14194.320594434383" u="1"/>
        <n v="1318.5984005208304" u="1"/>
        <n v="522.85319412537285" u="1"/>
        <n v="1158.6968270388493" u="1"/>
        <n v="322.33832525818019" u="1"/>
        <n v="155.20009692769665" u="1"/>
        <n v="672.43792282945708" u="1"/>
        <n v="2453.9930712577279" u="1"/>
        <n v="5002.7987716093967" u="1"/>
        <n v="8006.3994167244782" u="1"/>
        <n v="228.08375257747198" u="1"/>
        <n v="977.78153426923188" u="1"/>
        <n v="893.63507621223198" u="1"/>
        <n v="4169.3996295275183" u="1"/>
        <n v="5890.3621533732476" u="1"/>
        <n v="1192.7395891633678" u="1"/>
        <n v="1254.3809146828053" u="1"/>
        <n v="1666.0881559710917" u="1"/>
        <n v="4409.0857523356754" u="1"/>
        <n v="8366.6650149356319" u="1"/>
        <n v="37810.738344018057" u="1"/>
        <n v="29312.550764091338" u="1"/>
        <n v="88676.192219380246" u="1"/>
        <n v="14075.869581860188" u="1"/>
        <n v="40592.837447435071" u="1"/>
        <n v="1218.8383762665851" u="1"/>
        <n v="403.15777504421885" u="1"/>
        <n v="2615.3602796582004" u="1"/>
        <n v="408.6500436965938" u="1"/>
        <n v="1414.1518777150213" u="1"/>
        <n v="1060.6139082862658" u="1"/>
        <n v="1799.4997917028061" u="1"/>
        <n v="988.78668436364262" u="1"/>
        <n v="6848.8779886542579" u="1"/>
        <n v="3364.6899216035081" u="1"/>
        <n v="2809.7833881032566" u="1"/>
        <n v="9689.5519915469304" u="1"/>
        <n v="401.87709311002044" u="1"/>
        <n v="3931.4063456415051" u="1"/>
        <n v="1274.528280758954" u="1"/>
        <n v="976.39702388194769" u="1"/>
        <n v="1595.4730301760167" u="1"/>
        <n v="5.5762995755382789" u="1"/>
        <n v="5770.9313228215278" u="1"/>
        <n v="3553.5291396684283" u="1"/>
        <n v="5401.7591076527551" u="1"/>
        <n v="3469.5327617908019" u="1"/>
        <n v="6044.4721284040716" u="1"/>
        <n v="135.56813294062496" u="1"/>
        <n v="5.7221435362297282" u="1"/>
        <n v="5.8512144430619895" u="1"/>
        <n v="5.8312190541871365" u="1"/>
        <n v="18.120429268193845" u="1"/>
        <n v="12.124114579499999" u="1"/>
        <n v="13.942731766424997" u="1"/>
        <n v="9.1988765487849875" u="1"/>
        <n v="5.614898672634987" u="1"/>
        <n v="6.9482317155299933" u="1"/>
        <n v="6.6173635385999994" u="1"/>
        <n v="3.5840877997797467" u="1"/>
        <n v="7.6726998419416326" u="1"/>
        <n v="6.5448745854099997" u="1"/>
        <n v="6.5514194599953948" u="1"/>
        <n v="202.29302340340718" u="1"/>
        <n v="2311.9638721500351" u="1"/>
        <n v="30.38039269515771" u="1"/>
        <n v="7.5950981737894274" u="1"/>
        <n v="24.197943194749527" u="1"/>
        <n v="7.2314300301287959" u="1"/>
        <n v="20.580419990879989" u="1"/>
        <n v="407.37816117816823" u="1"/>
        <n v="406.29234587093305" u="1"/>
        <n v="350.85372583671409" u="1"/>
        <n v="1394.0351252625355" u="1"/>
        <n v="16.300095769895034" u="1"/>
        <n v="55.909683097609502" u="1"/>
        <n v="38.859374611837147" u="1"/>
        <n v="56.583183140622047" u="1"/>
        <n v="105.62194186249448" u="1"/>
        <n v="42.443824085052661" u="1"/>
        <n v="103.0789060379889" u="1"/>
        <n v="359.65822946668374" u="1"/>
        <n v="1143.4516000826241" u="1"/>
        <n v="450.09039021325066" u="1"/>
        <n v="682.37388106891956" u="1"/>
        <n v="460.11156740043526" u="1"/>
        <n v="182.5593565735013" u="1"/>
        <n v="361.45748884875775" u="1"/>
        <n v="533.62226682363791" u="1"/>
        <n v="2099.7592570547235" u="1"/>
        <n v="216.1495663698401" u="1"/>
        <n v="34.436384881226303" u="1"/>
        <n v="15.864683561479074" u="1"/>
        <n v="100.78516195552727" u="1"/>
        <n v="169.12760686996134" u="1"/>
        <n v="1938.9773196776721" u="1"/>
        <n v="2087.1659844597052" u="1"/>
        <n v="105.03783890285608" u="1"/>
        <n v="195.13495072039208" u="1"/>
        <n v="17.620170459425601" u="1"/>
        <n v="1.9899031451340796" u="1"/>
        <n v="1.8223415719297098" u="1"/>
        <n v="7.2676717451958668" u="1"/>
        <n v="891.77431879119956" u="1"/>
        <n v="3333.1635190030224" u="1"/>
        <n v="957.61550740309997" u="1"/>
        <n v="1262.8644456147999" u="1"/>
        <n v="2.6364804271373834" u="1"/>
        <n v="2.1729224402383527" u="1"/>
        <n v="2.5291084588586488" u="1"/>
        <n v="1.6860723059057661" u="1"/>
        <n v="1.9645819530539053" u="1"/>
        <n v="6.4982326139475326" u="1"/>
        <n v="16.69149538292605" u="1"/>
        <n v="32.792569192221684" u="1"/>
        <n v="8.0251314141510939" u="1"/>
        <n v="92.62335796019596" u="1"/>
        <n v="146.14795594386533" u="1"/>
        <n v="431.64628848536967" u="1"/>
        <n v="52.796401122510744" u="1"/>
        <n v="603.15772536913289" u="1"/>
        <n v="81.551111134687474" u="1"/>
        <n v="931.9252268192912" u="1"/>
        <n v="18.900485414236226" u="1"/>
        <n v="88.50621755690932" u="1"/>
        <n v="205.37167514428432" u="1"/>
        <n v="163.9521776361934" u="1"/>
        <n v="66.715322318919291" u="1"/>
        <n v="108.90702082501925" u="1"/>
        <n v="5.9188598274464788" u="1"/>
        <n v="1298.4972118649998" u="1"/>
        <n v="416.13287233" u="1"/>
        <n v="5406.6218296099996" u="1"/>
        <n v="1256.8907934108906" u="1"/>
        <n v="536.98968992115272" u="1"/>
        <n v="2258.6698846769445" u="1"/>
        <n v="9.9101110207148249E-3" u="1"/>
        <n v="1.4309858585945974E-3" u="1"/>
        <n v="1.0016901010162182E-2" u="1"/>
        <n v="275.14100102681766" u="1"/>
        <n v="50.372810730286666" u="1"/>
        <n v="404.32771097686333" u="1"/>
        <n v="157.72914586578639" u="1"/>
        <n v="102.71306338669481" u="1"/>
        <n v="1392.2901676259894" u="1"/>
        <n v="0.6244536946813608" u="1"/>
        <n v="1923.6835399933459" u="1"/>
        <n v="1458.5888881351168" u="1"/>
        <n v="6976.6953392741989" u="1"/>
        <n v="17831.227153521617" u="1"/>
        <n v="9821.5695816520329" u="1"/>
        <n v="76890.900047889343" u="1"/>
        <n v="4.5480109291065851" u="1"/>
        <n v="3.8683543994410631E-2" u="1"/>
        <n v="21.434259873900928" u="1"/>
        <n v="26405.148858513552" u="1"/>
        <n v="12882.33025221899" u="1"/>
        <n v="47925.230385807554" u="1"/>
        <n v="14.5303501704" u="1"/>
        <n v="2.1929654999999997" u="1"/>
        <n v="158.99239107599999" u="1"/>
        <n v="2629.3957292958808" u="1"/>
        <n v="1399.7259870233609" u="1"/>
        <n v="10983.567776594737" u="1"/>
        <n v="244.41057066175605" u="1"/>
        <n v="163.32264139974345" u="1"/>
        <n v="1993.9516011176743" u="1"/>
        <n v="16896.555143816091" u="1"/>
        <n v="4705.2620505310724" u="1"/>
        <n v="71819.417078171988" u="1"/>
        <n v="499.77567716570513" u="1"/>
        <n v="18.700489510558214" u="1"/>
        <n v="235.68127025615294" u="1"/>
        <n v="5.5355865423000008" u="1"/>
        <n v="1.4761140160500001" u="1"/>
        <n v="71.780175626550005" u="1"/>
        <n v="2401.7754171248566" u="1"/>
        <n v="990.81088512047097" u="1"/>
        <n v="11535.986717281914" u="1"/>
        <n v="803.82740593752146" u="1"/>
        <n v="112.34967206766623" u="1"/>
        <n v="1935.1216030667283" u="1"/>
        <n v="8.1759340372208906E-3" u="1"/>
        <n v="1.1805766820987061E-3" u="1"/>
        <n v="8.2640367746909422E-3" u="1"/>
        <n v="2.472165703903157" u="1"/>
        <n v="1.0362002459551616" u="1"/>
        <n v="3.063610082006277" u="1"/>
        <n v="8927.2325496666654" u="1"/>
        <n v="2959.0681610000001" u="1"/>
        <n v="26330.986980666665" u="1"/>
        <n v="0.59292420000599955" u="1"/>
        <n v="9.8211233127141154E-2" u="1"/>
        <n v="1.1174139769310303" u="1"/>
        <n v="2391.9785016192" u="1"/>
        <n v="254.21389896960002" u="1"/>
        <n v="7491.1466612736003" u="1"/>
        <n v="8531.0163654540956" u="1"/>
        <n v="2231.2356713937033" u="1"/>
        <n v="28304.036003041081" u="1"/>
        <n v="13.396165939572803" u="1"/>
        <n v="8.8769250986510606" u="1"/>
        <n v="168.69914275266527" u="1"/>
        <n v="47.500398332647947" u="1"/>
        <n v="0.47838278320368288" u="1"/>
        <n v="184.6133199930207" u="1"/>
        <n v="3248.175394464" u="1"/>
        <n v="553.23975907199997" u="1"/>
        <n v="9354.4934202719996" u="1"/>
        <n v="725.37404846842446" u="1"/>
        <n v="3041.3494870981776" u="1"/>
        <n v="1092.9048065211857" u="1"/>
        <n v="1756.0125905939847" u="1"/>
        <n v="526.36415691041088" u="1"/>
        <n v="2105.4566276416435" u="1"/>
        <n v="1740.0765247213942" u="1"/>
        <n v="209.03907960400258" u="1"/>
        <n v="1402.7919635136814" u="1"/>
        <n v="3322.646549921923" u="1"/>
        <n v="123.89758036714242" u="1"/>
        <n v="494.7417079044111" u="1"/>
        <n v="121.66880460397229" u="1"/>
        <n v="691.30002615893341" u="1"/>
        <n v="71.204470924416569" u="1"/>
        <n v="284.81792802162727" u="1"/>
        <n v="1498.2876520997802" u="1"/>
        <n v="1901.7153447428816" u="1"/>
        <n v="137.18987043771918" u="1"/>
        <n v="476.0953232448432" u="1"/>
        <n v="221.01374926124629" u="1"/>
        <n v="670.79594660473447" u="1"/>
        <n v="260.40608451911987" u="1"/>
        <n v="1041.6243380764795" u="1"/>
        <n v="1038.5187878476947" u="1"/>
        <n v="445.07948050615499" u="1"/>
        <n v="28.307757788402402" u="1"/>
        <n v="113.23103115360961" u="1"/>
        <n v="2511.097502788366" u="1"/>
        <n v="672.64981301210275" u="1"/>
        <n v="1644.1510053429554" u="1"/>
        <n v="647.25984632517225" u="1"/>
        <n v="2589.039385300689" u="1"/>
        <n v="3702.864842668353" u="1"/>
        <n v="1938.4308731208735" u="1"/>
        <n v="54.081691561722984" u="1"/>
        <n v="1.9352957397747741E-2" u="1"/>
        <n v="0.15098419851956638" u="1"/>
        <n v="1.9044172776211198E-2" u="1"/>
        <n v="2.1152076373585099E-4" u="1"/>
        <n v="1.234797219711E-4" u="1"/>
        <n v="0.1354302567282453" u="1"/>
        <n v="0.16262347346170289" u="1"/>
        <n v="8931.7876323708279" u="1"/>
        <n v="944.47740533299975" u="1"/>
        <n v="1307.553363303138" u="1"/>
        <n v="2375.6727817870133" u="1"/>
        <n v="722.06979543903003" u="1"/>
        <n v="8631.1549892128969" u="1"/>
        <n v="402.99570454648699" u="1"/>
        <n v="1192.9396122245419" u="1"/>
        <n v="7159.3173478141298" u="1"/>
        <n v="594.87199328567442" u="1"/>
        <n v="150.13773029964193" u="1"/>
        <n v="2765.7186284888867" u="1"/>
        <n v="465.02842763973985" u="1"/>
        <n v="157.90496772784863" u="1"/>
        <n v="371.00553518349" u="1"/>
        <n v="227.20929444620995" u="1"/>
        <n v="1302.3108755835299" u="1"/>
        <n v="7.0818306574298412E-2" u="1"/>
        <n v="3.9810726842425724E-4" u="1"/>
        <n v="4.9494417180568208E-4" u="1"/>
        <n v="4.4197647210260593E-2" u="1"/>
        <n v="9.8549789886528006E-3" u="1"/>
        <n v="1.1473567402305316E-3" u="1"/>
        <n v="370.08899582383617" u="1"/>
        <n v="1808.1367679621849" u="1"/>
        <n v="7.8271556956050446E-3" u="1"/>
        <n v="5.6800839589785154E-3" u="1"/>
        <n v="9.4402995402175383E-3" u="1"/>
        <n v="3054.5029177732963" u="1"/>
        <n v="4.4342255373608424E-3" u="1"/>
        <n v="6.308374896909801E-3" u="1"/>
        <n v="355.1218794868596" u="1"/>
        <n v="1301.3134046606167" u="1"/>
        <n v="7965.1337947289958" u="1"/>
        <n v="3.7015545202054227E-3" u="1"/>
        <n v="6.4592747642015281E-4" u="1"/>
        <n v="4.0404494174408581E-4" u="1"/>
        <n v="1.8390592780517644E-3" u="1"/>
        <n v="1.5387110133851281E-2" u="1"/>
        <n v="1.543319772394823E-2" u="1"/>
        <n v="1.4222728323599645" u="1"/>
        <n v="9.1902789710999981E-6" u="1"/>
        <n v="0.1527565717997621" u="1"/>
        <n v="0.29573672300416376" u="1"/>
        <n v="0.14223445003435228" u="1"/>
        <n v="3172.8768104563537" u="1"/>
        <n v="8.5997241095900172E-3" u="1"/>
        <n v="7.1025362724302328" u="1"/>
        <n v="35.637924409995897" u="1"/>
        <n v="12.872505341139901" u="1"/>
        <n v="161.12392738770103" u="1"/>
        <n v="327.40146482879288" u="1"/>
        <n v="2.0360154772641994E-2" u="1"/>
        <n v="1.6449164589907476E-2" u="1"/>
        <n v="83.425661119221971" u="1"/>
        <n v="420.1248510286423" u="1"/>
        <n v="1.1277294932751497E-3" u="1"/>
        <n v="8.5479718821853681E-4" u="1"/>
        <n v="1143.753363853682" u="1"/>
        <n v="503.10775122959808" u="1"/>
        <n v="5909.3890712351376" u="1"/>
        <n v="1.944207629925301E-3" u="1"/>
        <n v="4874.9924330022532" u="1"/>
        <n v="13486.821017949338" u="1"/>
        <n v="5859.6991706249464" u="1"/>
        <n v="8.5825615511098086" u="1"/>
        <n v="24.218949922811973" u="1"/>
        <n v="82.672149419416215" u="1"/>
        <n v="475.13978514703541" u="1"/>
        <n v="5.7551651569465387E-2" u="1"/>
        <n v="0.20074127783438428" u="1"/>
        <n v="0.19853705988135475" u="1"/>
        <n v="0.59907495071593675" u="1"/>
        <n v="6.6923155543048715E-2" u="1"/>
        <n v="9.2367896975881159E-2" u="1"/>
        <n v="70.798019135788806" u="1"/>
        <n v="1418.1728208137692" u="1"/>
        <n v="3.5091551611115997E-3" u="1"/>
        <n v="1.2209620347738414E-2" u="1"/>
        <n v="4.6545160947691004E-2" u="1"/>
        <n v="472.61688015721717" u="1"/>
        <n v="1879.2147430760895" u="1"/>
        <n v="211.98375548825308" u="1"/>
        <n v="7.8296258015710639E-4" u="1"/>
        <n v="824.0296146331159" u="1"/>
        <n v="4.3095656361219167E-4" u="1"/>
        <n v="2.8038813508479997E-4" u="1"/>
        <n v="1.3249367949454153E-3" u="1"/>
        <n v="2.1222438942735291E-3" u="1"/>
        <n v="65.46959013954654" u="1"/>
        <n v="22.448564998441359" u="1"/>
        <n v="44.767743455104963" u="1"/>
        <n v="9.3258835529883015" u="1"/>
        <n v="56.045580926380794" u="1"/>
        <n v="4465.0312783864165" u="1"/>
        <n v="9.0672119169380016E-3" u="1"/>
        <n v="71.080788100218669" u="1"/>
        <n v="19.188475660857151" u="1"/>
        <n v="630.2162832265866" u="1"/>
        <n v="3175.6344083852532" u="1"/>
        <n v="1602.946667713129" u="1"/>
        <n v="870.6150777349701" u="1"/>
        <n v="8684.2664639202976" u="1"/>
        <n v="8.3147047291618731E-2" u="1"/>
        <n v="8.3978517747751946E-2" u="1"/>
        <n v="0.15332162827671506" u="1"/>
        <n v="0.16672679796230197" u="1"/>
        <n v="0.10389006505455745" u="1"/>
        <n v="902.90551706992505" u="1"/>
        <n v="10325.875349628113" u="1"/>
        <n v="7189.3114128786674" u="1"/>
        <n v="4321.4710688919549" u="1"/>
        <n v="295.95176673409128" u="1"/>
        <n v="1023.4999441563936" u="1"/>
        <n v="16.786649778579836" u="1"/>
        <n v="243.27334201211798" u="1"/>
        <n v="21.588035277347718" u="1"/>
        <n v="86.339074079029146" u="1"/>
        <n v="281.577901545695" u="1"/>
        <n v="611.22803225655252" u="1"/>
        <n v="3.7029262140466352" u="1"/>
        <n v="33.322831165193634" u="1"/>
        <n v="44.781569889314824" u="1"/>
        <n v="114.33067540950904" u="1"/>
        <n v="16.591836388032284" u="1"/>
        <n v="66.367479384582083" u="1"/>
        <n v="1118.0017336038438" u="1"/>
        <n v="2012.4044261291167" u="1"/>
        <n v="102.02118404835605" u="1"/>
        <n v="275.83130254827421" u="1"/>
        <n v="249.03131945141189" u="1"/>
        <n v="1494.1882121817148" u="1"/>
        <n v="1935.7803943253743" u="1"/>
        <n v="9678.9028333169808" u="1"/>
        <n v="532.23745569633547" u="1"/>
        <n v="7451.3257450266256" u="1"/>
        <n v="1023.0029720135037" u="1"/>
        <n v="9206.9978129008923" u="1"/>
        <n v="758.19057386172926" u="1"/>
        <n v="1137.2858208936425" u="1"/>
        <n v="2523.4509907738502" u="1"/>
        <n v="2847.2465805651491" u="1"/>
        <n v="453.1834398992786" u="1"/>
        <n v="679.77515984891875" u="1"/>
        <n v="4340.121930935632" u="1"/>
        <n v="71.4301345859039" u="1"/>
        <n v="285.72062845326559" u="1"/>
        <n v="2505.4610417715216" u="1"/>
        <n v="495.02358825430423" u="1"/>
        <n v="350.90023670130023" u="1"/>
        <n v="1784.1179178128618" u="1"/>
        <n v="543.91425104183793" u="1"/>
        <n v="4895.2286962815069" u="1"/>
        <n v="1284.777548512302" u="1"/>
        <n v="1927.1667823288246" u="1"/>
        <n v="3619.272168942502" u="1"/>
        <n v="9126.5962142189892" u="1"/>
        <n v="5881.7238188406618" u="1"/>
        <n v="1720.0354874599841" u="1"/>
        <n v="18515.679012353452" u="1"/>
        <n v="637.43883107301508" u="1"/>
        <n v="1239.770279534486" u="1"/>
        <n v="154.05485140772626" u="1"/>
        <n v="319.95974512985202" u="1"/>
        <n v="905.2694455745642" u="1"/>
        <n v="4035.1411189137216" u="1"/>
        <n v="5700.6870634425222" u="1"/>
        <n v="983.60192402101939" u="1"/>
        <n v="4425.7515223727496" u="1"/>
        <n v="6954.2682466409797" u="1"/>
        <n v="1093.4980560468584" u="1"/>
        <n v="1150.0105339087995" u="1"/>
        <n v="1572.9518028827763" u="1"/>
        <n v="4162.6124994321717" u="1"/>
        <n v="13609.520179201101" u="1"/>
        <n v="48641.631161662917" u="1"/>
        <n v="28747.870040454171" u="1"/>
        <n v="86957.918140713475" u="1"/>
        <n v="13042.414978744791" u="1"/>
        <n v="36980.951931886928" u="1"/>
        <n v="1337.6948012953139" u="1"/>
        <n v="1141.2082508869073" u="1"/>
        <n v="611.69725215161816" u="1"/>
        <n v="2219.6396258331411" u="1"/>
        <n v="5700.096594314743" u="1"/>
        <n v="5373.0980879833414" u="1"/>
        <n v="9703.4593474201392" u="1"/>
        <n v="16199.506881618878" u="1"/>
        <n v="6061.4870001139834" u="1"/>
        <n v="5493.7705887021148" u="1"/>
        <n v="4632.2735247458304" u="1"/>
        <n v="3311.5441536714015" u="1"/>
        <n v="1206.7748977563745" u="1"/>
        <n v="6031.4754073704207" u="1"/>
        <n v="3766.5333518133352" u="1"/>
        <n v="5.5286593009534579" u="1"/>
        <n v="1390.1639715740398" u="1"/>
        <n v="1162.2234810153589" u="1"/>
        <n v="16311.193462747911" u="1"/>
        <n v="11612.263779016994" u="1"/>
        <n v="169.11901209375" u="1"/>
        <n v="5.6243652810454128" u="1"/>
        <n v="17.477634145897383" u="1"/>
        <n v="6.912333747584996" u="1"/>
        <n v="6.5831749977000005" u="1"/>
        <n v="10.924460935199999" u="1"/>
        <n v="9.7106319423999992" u="1"/>
        <n v="9.5848832129049892" u="1"/>
        <n v="5.8505131299549902" u="1"/>
        <n v="3.5270903711606869" u="1"/>
        <n v="7.5506815806749508" u="1"/>
        <n v="6.6637767270900001" u="1"/>
        <n v="6.670440503817078" u="1"/>
        <n v="203.22711063195689" u="1"/>
        <n v="2322.6393561064797" u="1"/>
        <n v="29.819058534798717" u="1"/>
        <n v="7.4547646336996793" u="1"/>
        <n v="24.781351445284372" u="1"/>
        <n v="12.814659752716784" u="1"/>
        <n v="24.349763315519986" u="1"/>
        <n v="396.82384313536494" u="1"/>
        <n v="395.76615903687031" u="1"/>
        <n v="362.88743489857995" u="1"/>
        <n v="1441.8482504600101" u="1"/>
        <n v="18.342427437935925" u="1"/>
        <n v="60.141074256583103" u="1"/>
        <n v="40.40315487955494" u="1"/>
        <n v="57.413646583547575" u="1"/>
        <n v="107.17214028928881" u="1"/>
        <n v="49.971714105516021" u="1"/>
        <n v="121.36140596678263" u="1"/>
        <n v="351.66988109765481" u="1"/>
        <n v="1118.0544619770169" u="1"/>
        <n v="447.55267884465849" u="1"/>
        <n v="678.52650286829066" u="1"/>
        <n v="454.306152389038" u="1"/>
        <n v="214.48162254147007" u="1"/>
        <n v="380.45657526393319" u="1"/>
        <n v="535.50541202053046" u="1"/>
        <n v="1458.4572575362083" u="1"/>
        <n v="226.00695030573789" u="1"/>
        <n v="36.661233467822782" u="1"/>
        <n v="16.061758268410678" u="1"/>
        <n v="99.935642214375051" u="1"/>
        <n v="167.70202756818605" u="1"/>
        <n v="1954.1490688438601" u="1"/>
        <n v="2109.2984924855045" u="1"/>
        <n v="113.82154333012699" u="1"/>
        <n v="211.45295334174452" u="1"/>
        <n v="17.435032990862773" u="1"/>
        <n v="1.9742436090781588" u="1"/>
        <n v="1.805873133832202" u="1"/>
        <n v="7.2019940456403297" u="1"/>
        <n v="1247.7778187145993" u="1"/>
        <n v="4925.5447574833279" u="1"/>
        <n v="962.25063120095012" u="1"/>
        <n v="1268.9770586626" u="1"/>
        <n v="2.8534423187028266" u="1"/>
        <n v="3.8877078502860396" u="1"/>
        <n v="2.4785820828704184" u="1"/>
        <n v="1.6523880552469454" u="1"/>
        <n v="1.9245929547588858" u="1"/>
        <n v="6.3659613118947771" u="1"/>
        <n v="18.018249666795619" u="1"/>
        <n v="34.271842179755623" u="1"/>
        <n v="7.9074947673672789" u="1"/>
        <n v="93.651791772014178" u="1"/>
        <n v="148.4539915566553" u="1"/>
        <n v="438.45713785337722" u="1"/>
        <n v="50.693768546800506" u="1"/>
        <n v="579.1367872997065" u="1"/>
        <n v="78.298192826469105" u="1"/>
        <n v="894.75250666831346" u="1"/>
        <n v="25.502537807654658" u="1"/>
        <n v="89.924617725894635" u="1"/>
        <n v="208.06584293540519" u="1"/>
        <n v="166.10298385599575" u="1"/>
        <n v="67.822031064012634" u="1"/>
        <n v="113.95251979953744" u="1"/>
        <n v="6.1930717282357373" u="1"/>
        <n v="416.30497233980657" u="1"/>
        <n v="5357.1116118002901" u="1"/>
        <n v="1344.0400093358487" u="1"/>
        <n v="530.89145448863178" u="1"/>
        <n v="2233.0196701949358" u="1"/>
        <n v="1338.6859445552795" u="1"/>
        <n v="2.1243447721153016E-3" u="1"/>
        <n v="1.487041340480711E-2" u="1"/>
        <n v="1.4711880212858209E-2" u="1"/>
        <n v="66.355923014348164" u="1"/>
        <n v="593.13358367065882" u="1"/>
        <n v="403.62152660643943" u="1"/>
        <n v="123.82281644992344" u="1"/>
        <n v="2051.1302161135404" u="1"/>
        <n v="273.75261894703169" u="1"/>
        <n v="0.77753019287550695" u="1"/>
        <n v="1501.8699377453629" u="1"/>
        <n v="7030.2105981751547" u="1"/>
        <n v="2207.1220103128776" u="1"/>
        <n v="10700.733506456316" u="1"/>
        <n v="79078.716352431817" u="1"/>
        <n v="18693.377737315623" u="1"/>
        <n v="3.7596935480917068E-2" u="1"/>
        <n v="20.832178294643878" u="1"/>
        <n v="5.2174873685699081" u="1"/>
        <n v="14610.777124646535" u="1"/>
        <n v="53761.397769071278" u="1"/>
        <n v="35027.525760626348" u="1"/>
        <n v="3.8045861249999997" u="1"/>
        <n v="158.09296845899999" u="1"/>
        <n v="11.358651948600002" u="1"/>
        <n v="1434.3169113860486" u="1"/>
        <n v="10732.857952848664" u="1"/>
        <n v="3033.3554279186128" u="1"/>
        <n v="2478.9001684996488" u="1"/>
        <n v="30264.080085755846" u="1"/>
        <n v="3709.649395673438" u="1"/>
        <n v="5551.6978370860625" u="1"/>
        <n v="71847.976040740949" u="1"/>
        <n v="19291.343925393994" u="1"/>
        <n v="19.794593236548394" u="1"/>
        <n v="249.47020106396792" u="1"/>
        <n v="533.85313633622684" u="1"/>
        <n v="2.5365959741999999" u="1"/>
        <n v="71.886632351399996" u="1"/>
        <n v="8.1805872961000006" u="1"/>
        <n v="1004.0163804512083" u="1"/>
        <n v="11990.845233424932" u="1"/>
        <n v="2627.5022577949126" u="1"/>
        <n v="142.81655204844219" u="1"/>
        <n v="1885.2892544626636" u="1"/>
        <n v="1093.9846013657377" u="1"/>
        <n v="1.7779106787881999E-3" u="1"/>
        <n v="1.2445374751517399E-2" u="1"/>
        <n v="1.2312694850115297E-2" u="1"/>
        <n v="1.0648245200791584" u="1"/>
        <n v="3.1482400704073634" u="1"/>
        <n v="2.6524621089052216" u="1"/>
        <n v="3380.6247375368671" u="1"/>
        <n v="26271.906386888186" u="1"/>
        <n v="9341.1412187131118" u="1"/>
        <n v="9.7045397022623034E-2" u="1"/>
        <n v="1.1041494906420204" u="1"/>
        <n v="0.58588577460199698" u="1"/>
        <n v="409.87150322140002" u="1"/>
        <n v="9329.7522713824001" u="1"/>
        <n v="2994.6028754377999" u="1"/>
        <n v="2503.5518013359238" u="1"/>
        <n v="31758.465154076981" u="1"/>
        <n v="9572.2032695981543" u="1"/>
        <n v="9.4749922836737159" u="1"/>
        <n v="180.0649502029456" u="1"/>
        <n v="14.298709012150349" u="1"/>
        <n v="0.4644123324621387" u="1"/>
        <n v="179.22196523676155" u="1"/>
        <n v="46.113220535920526" u="1"/>
        <n v="498.67648783352155" u="1"/>
        <n v="8929.4844364379896" u="1"/>
        <n v="2927.8240961849833" u="1"/>
        <n v="705.81587598044359" u="1"/>
        <n v="2959.3459497638978" u="1"/>
        <n v="1931.4332687445415" u="1"/>
        <n v="1201.4955911384393" u="1"/>
        <n v="2175.2034303382547" u="1"/>
        <n v="543.80085758456369" u="1"/>
        <n v="1839.5945031911701" u="1"/>
        <n v="220.98841607835027" u="1"/>
        <n v="1434.8705655350429" u="1"/>
        <n v="3562.5496629837662" u="1"/>
        <n v="499.58805441563442" u="1"/>
        <n v="125.11124518813486" u="1"/>
        <n v="699.00869615850013" u="1"/>
        <n v="123.02553052389601" u="1"/>
        <n v="349.60523355711712" u="1"/>
        <n v="87.401296775757615" u="1"/>
        <n v="1512.0908917887805" u="1"/>
        <n v="1928.2747100093236" u="1"/>
        <n v="484.85488431906026" u="1"/>
        <n v="139.71399321353741" u="1"/>
        <n v="700.11020806054842" u="1"/>
        <n v="230.67221212645035" u="1"/>
        <n v="330.6831023841072" u="1"/>
        <n v="106.17591694349642" u="1"/>
        <n v="1173.9803829215689" u="1"/>
        <n v="293.49509573039222" u="1"/>
        <n v="497.73983805" u="1"/>
        <n v="1161.39295545" u="1"/>
        <n v="127.06347326400001" u="1"/>
        <n v="31.765868316000002" u="1"/>
        <n v="2548.8446773171204" u="1"/>
        <n v="1678.7735789554552" u="1"/>
        <n v="686.81448985186046" u="1"/>
        <n v="2616.3659349282002" u="1"/>
        <n v="654.09148373205005" u="1"/>
        <n v="302.49501074647156" u="1"/>
        <n v="6.0821047822983039E-2" u="1"/>
        <n v="0.47450200859745789" u="1"/>
        <n v="6.718279950462604E-4" u="1"/>
        <n v="3.9219380914079998E-4" u="1"/>
        <n v="2.1375932618331501E-2" u="1"/>
        <n v="0.16532547845180462" u="1"/>
        <n v="0.13768044375185237" u="1"/>
        <n v="1553.2199033873885" u="1"/>
        <n v="396.48942580095877" u="1"/>
        <n v="10750.694166055999" u="1"/>
        <n v="2199.3501678253187" u="1"/>
        <n v="947.92194095928289" u="1"/>
        <n v="2393.8473028150634" u="1"/>
        <n v="455.09934699880165" u="1"/>
        <n v="4351.0772650844956" u="1"/>
        <n v="1304.1177689610838" u="1"/>
        <n v="228.21869737463999" u="1"/>
        <n v="93.334528087303013" u="1"/>
        <n v="2182.1880402480683" u="1"/>
        <n v="492.24085633302519" u="1"/>
        <n v="247.60809271429653" u="1"/>
        <n v="1405.7431558480982" u="1"/>
        <n v="404.21281270790047" u="1"/>
        <n v="734.60228323440401" u="1"/>
        <n v="6928.5359901890406" u="1"/>
        <n v="1411.745575997998" u="1"/>
        <n v="262.27182114870243" u="1"/>
        <n v="169.31471998207371" u="1"/>
        <n v="5.1472873021919685E-4" u="1"/>
        <n v="4.140209349861623E-4" u="1"/>
        <n v="1275.265884180227" u="1"/>
        <n v="4.9123702291817995E-3" u="1"/>
        <n v="1.2275129123609087E-3" u="1"/>
        <n v="1814.3643265701007" u="1"/>
        <n v="371.36365101169275" u="1"/>
        <n v="6.3021482305312638E-3" u="1"/>
        <n v="1.0474170359139376E-2" u="1"/>
        <n v="8.6843602616039524E-3" u="1"/>
        <n v="3525.8646285238792" u="1"/>
        <n v="1721.6609058567435" u="1"/>
        <n v="6.6439724360660007E-3" u="1"/>
        <n v="3.6497496888840248E-3" u="1"/>
        <n v="3.6643926225320136E-3" u="1"/>
        <n v="3864.8161505016105" u="1"/>
        <n v="6998.5278792743475" u="1"/>
        <n v="3.5613378693476791E-4" u="1"/>
        <n v="77.008759451125499" u="1"/>
        <n v="1.7187863164006892E-3" u="1"/>
        <n v="1.6730430984876875E-2" u="1"/>
        <n v="1.6680469514454704E-2" u="1"/>
        <n v="1.396040745663272" u="1"/>
        <n v="9.0207754910000002E-6" u="1"/>
        <n v="0.15689924047651224" u="1"/>
        <n v="0.30375692956291656" u="1"/>
        <n v="0.14072409962891158" u="1"/>
        <n v="160.89965168944798" u="1"/>
        <n v="1953.5360241543733" u="1"/>
        <n v="4280.91287296465" u="1"/>
        <n v="3510.4227360389523" u="1"/>
        <n v="3227.3822901486146" u="1"/>
        <n v="7.2435798525536477" u="1"/>
        <n v="334.78368499857248" u="1"/>
        <n v="204.8885497165025" u="1"/>
        <n v="1.5260319358636008E-2" u="1"/>
        <n v="1.8888647037510375E-2" u="1"/>
        <n v="185.1037681573923" u="1"/>
        <n v="1015.3033927835703" u="1"/>
        <n v="256.43943960675279" u="1"/>
        <n v="499.63470281233316" u="1"/>
        <n v="99.214210485689648" u="1"/>
        <n v="7.6990073255570285E-4" u="1"/>
        <n v="1.0157260399114097E-3" u="1"/>
        <n v="182.08690266036993" u="1"/>
        <n v="1969.4544207677829" u="1"/>
        <n v="542.52901217360682" u="1"/>
        <n v="1242.2327954847806" u="1"/>
        <n v="6600.0307304602793" u="1"/>
        <n v="2.040060164699568E-3" u="1"/>
        <n v="1923.7674935099342" u="1"/>
        <n v="25.322520469978297" u="1"/>
        <n v="8.973638050183192" u="1"/>
        <n v="480.31228914929505" u="1"/>
        <n v="83.572141457790153" u="1"/>
        <n v="5.4164997439692497E-2" u="1"/>
        <n v="0.31078519760381701" u="1"/>
        <n v="0.93762313853109891" u="1"/>
        <n v="0.31429689475225714" u="1"/>
        <n v="3.1350750627119069E-2" u="1"/>
        <n v="2.2714506114673957E-2" u="1"/>
        <n v="3.9298507409194E-3" u="1"/>
        <n v="1.1619815952734151E-2" u="1"/>
        <n v="5.2160202252055858E-2" u="1"/>
        <n v="8.7264537368506923E-4" u="1"/>
        <n v="918.41634484210863" u="1"/>
        <n v="167.0653409795047" u="1"/>
        <n v="6.9759631743729952E-4" u="1"/>
        <n v="4.5386878168120003E-4" u="1"/>
        <n v="2.4395785118283709E-3" u="1"/>
        <n v="1.5230517780496042E-3" u="1"/>
        <n v="20.086984177743361" u="1"/>
        <n v="300.18147736673711" u="1"/>
        <n v="61.119935409252001" u="1"/>
        <n v="4.3509793040154001" u="1"/>
        <n v="39.2472482748381" u="1"/>
        <n v="9.5863039950258013" u="1"/>
        <n v="57.842016694007043" u="1"/>
        <n v="9.4125092472704987E-3" u="1"/>
        <n v="756.97410877803065" u="1"/>
        <n v="4078.512464032448" u="1"/>
        <n v="918.43142623944755" u="1"/>
        <n v="0.38394649551298526" u="1"/>
        <n v="0.3801450450710383" u="1"/>
        <n v="376.18197434413531" u="1"/>
        <n v="24.217723670223297" u="1"/>
        <n v="16614.830125653909" u="1"/>
        <n v="20251.812631800905" u="1"/>
        <n v="2006.3125771653345" u="1"/>
        <n v="58547.532920088284" u="1"/>
        <n v="131957.22653767199" u="1"/>
        <n v="0.70080578903400381" u="1"/>
        <n v="4190.3708318246909" u="1"/>
        <n v="1011.0215005191421" u="1"/>
        <n v="292.3435361257292" u="1"/>
        <n v="16.643359465085386" u="1"/>
        <n v="392.11047880750715" u="1"/>
        <n v="89.168918522104548" u="1"/>
        <n v="22.29538747732737" u="1"/>
        <n v="611.80527971862" u="1"/>
        <n v="281.84385719441485" u="1"/>
        <n v="46.380176333218579" u="1"/>
        <n v="5.1537275477619895" u="1"/>
        <n v="125.89572283570202" u="1"/>
        <n v="49.311414215561904" u="1"/>
        <n v="77.282822508037327" u="1"/>
        <n v="19.320717967044423" u="1"/>
        <n v="2183.7784023375461" u="1"/>
        <n v="1213.2094639424656" u="1"/>
        <n v="134.8450377515677" u="1"/>
        <n v="364.57742968378022" u="1"/>
        <n v="1603.0703587415314" u="1"/>
        <n v="267.17836262143578" u="1"/>
        <n v="10144.137579097927" u="1"/>
        <n v="2028.8272924847658" u="1"/>
        <n v="7179.4944394208342" u="1"/>
        <n v="512.82094950191583" u="1"/>
        <n v="8867.8969117323013" u="1"/>
        <n v="985.32498503025511" u="1"/>
        <n v="1465.0167757300953" u="1"/>
        <n v="976.6778547350184" u="1"/>
        <n v="2788.6086392873171" u="1"/>
        <n v="2607.7246448406581" u="1"/>
        <n v="677.70910145133939" u="1"/>
        <n v="451.80603781610796" u="1"/>
        <n v="5677.8692335157275" u="1"/>
        <n v="281.69251051390762" u="1"/>
        <n v="70.423105418658054" u="1"/>
        <n v="2511.0469733355394" u="1"/>
        <n v="555.30247551483558" u="1"/>
        <n v="376.31993876465862" u="1"/>
        <n v="1926.5804696894068" u="1"/>
        <n v="5169.3695318937271" u="1"/>
        <n v="574.37435731093933" u="1"/>
        <n v="1922.6198359829909" u="1"/>
        <n v="1281.7463149706766" u="1"/>
        <n v="3835.9242560232983" u="1"/>
        <n v="9280.4537800576509" u="1"/>
        <n v="5950.0041667384303" u="1"/>
        <n v="16946.402780006356" u="1"/>
        <n v="1574.2565303234355" u="1"/>
        <n v="572.36273757665424" u="1"/>
        <n v="1264.0149776562903" u="1"/>
        <n v="328.13334027109227" u="1"/>
        <n v="157.99028954349555" u="1"/>
        <n v="904.96208956760279" u="1"/>
        <n v="4212.3475856910927" u="1"/>
        <n v="5951.0373195912016" u="1"/>
        <n v="978.27240605370832" u="1"/>
        <n v="3053.486386389724" u="1"/>
        <n v="4878.4808383502796" u="1"/>
        <n v="1190.981992240959" u="1"/>
        <n v="1252.5324843504789" u="1"/>
        <n v="103.43644385470084" u="1"/>
        <n v="908.5061800662553" u="1"/>
        <n v="1691.2138352181605" u="1"/>
        <n v="4286.7144357515426" u="1"/>
        <n v="6710.6512403970928" u="1"/>
        <n v="15624.072271391657" u="1"/>
        <n v="18736.824457493251" u="1"/>
        <n v="30211.418128261801" u="1"/>
        <n v="909.16245414239359" u="1"/>
        <n v="4475.5775967131649" u="1"/>
        <n v="15101.7953784488" u="1"/>
        <n v="33621.008800655174" u="1"/>
        <n v="39000.759293334057" u="1"/>
        <n v="43703.339690325018" u="1"/>
        <n v="92892.245551260188" u="1"/>
        <n v="2053.7268710919784" u="1"/>
        <n v="2096.0050467404085" u="1"/>
        <n v="6516.6101605469557" u="1"/>
        <n v="6013.5095247772706" u="1"/>
        <n v="15835.789096178954" u="1"/>
        <n v="5891.7510084582918" u="1"/>
        <n v="3021.7803214907167" u="1"/>
        <n v="659.37513003554284" u="1"/>
        <n v="1777.7503600358505" u="1"/>
        <n v="2128.9741848321587" u="1"/>
        <n v="6657.3078152149201" u="1"/>
        <n v="5.5251183241247697" u="1"/>
        <n v="8037.5489858964502" u="1"/>
        <n v="7821.560490795905" u="1"/>
        <n v="1.3323323105257652" u="1"/>
        <n v="4340.1562044095053" u="1"/>
        <n v="168.77232932500002" u="1"/>
        <n v="5.8115941424222441" u="1"/>
        <n v="18.059445137392728" u="1"/>
        <n v="6.1345260422999992" u="1"/>
        <n v="6.6976424999999988" u="1"/>
        <n v="5.9620847309519993" u="1"/>
        <n v="9.767670729432" u="1"/>
        <n v="7.0325246249999998" u="1"/>
        <n v="7.3614312507599999" u="1"/>
        <n v="7.8247891965952752" u="1"/>
        <n v="7.6548271923250324" u="1"/>
        <n v="9.501937989103542" u="1"/>
        <n v="9.4924455435600006" u="1"/>
        <n v="199.55606423669971" u="1"/>
        <n v="2280.6837488589872" u="1"/>
        <n v="9.4451771681911367" u="1"/>
        <n v="37.780708672764547" u="1"/>
        <n v="31.371875113667041" u="1"/>
        <n v="26.38235563308" u="1"/>
        <n v="14.138051402275188" u="1"/>
        <n v="0.92099924106578623" u="1"/>
        <n v="416.32478904543336" u="1"/>
        <n v="454.4961502064254" u="1"/>
        <n v="369.32992841072252" u="1"/>
        <n v="1467.4459898848506" u="1"/>
        <n v="96.031900094366037" u="1"/>
        <n v="29.956644057077661" u="1"/>
        <n v="20.667110449986165" u="1"/>
        <n v="67.409309882940121" u="1"/>
        <n v="108.53661955987401" u="1"/>
        <n v="58.144617621361085" u="1"/>
        <n v="39.57688743343067" u="1"/>
        <n v="130.20313412642571" u="1"/>
        <n v="53.612307174533058" u="1"/>
        <n v="713.56792958201027" u="1"/>
        <n v="1267.0454210048899" u="1"/>
        <n v="398.53310165428888" u="1"/>
        <n v="470.665828191027" u="1"/>
        <n v="487.66579732657181" u="1"/>
        <n v="229.18776553424729" u="1"/>
        <n v="367.94303748691726" u="1"/>
        <n v="108.91002470917738" u="1"/>
        <n v="866.92379668504987" u="1"/>
        <n v="225.54677667126037" u="1"/>
        <n v="38.151448661297678" u="1"/>
        <n v="16.806857055402148" u="1"/>
        <n v="106.26776121580157" u="1"/>
        <n v="178.32795813522378" u="1"/>
        <n v="732.35505585024271" u="1"/>
        <n v="713.33952106676281" u="1"/>
        <n v="5.5284531753474839" u="1"/>
        <n v="82.219002784731771" u="1"/>
        <n v="667.17048153058431" u="1"/>
        <n v="11.697193549693427" u="1"/>
        <n v="2.0579418857349916" u="1"/>
        <n v="236.50842403614027" u="1"/>
        <n v="7.4743791546633265" u="1"/>
        <n v="127.30847883151868" u="1"/>
        <n v="1.8741726835573718" u="1"/>
        <n v="19.098248399522898" u="1"/>
        <n v="2456.8866913319121" u="1"/>
        <n v="8098.0214277316491" u="1"/>
        <n v="1312.2478065665468" u="1"/>
        <n v="995.06233902409394" u="1"/>
        <n v="3.8035251893155695" u="1"/>
        <n v="4.6854618041534977" u="1"/>
        <n v="1.6852685375805567" u="1"/>
        <n v="6.503437042768323" u="1"/>
        <n v="2.5279028063708346" u="1"/>
        <n v="1.9661553850229816" u="1"/>
        <n v="18.862338246960196" u="1"/>
        <n v="35.230952906508236" u="1"/>
        <n v="8.1944049977855808" u="1"/>
        <n v="94.1041912892059" u="1"/>
        <n v="436.73249866853979" u="1"/>
        <n v="147.87005860430875" u="1"/>
        <n v="92.55702317382783" u="1"/>
        <n v="59.924249597871984" u="1"/>
        <n v="684.58783768301339" u="1"/>
        <n v="1057.6952737348922" u="1"/>
        <n v="24.780061591982729" u="1"/>
        <n v="165.46092612587987" u="1"/>
        <n v="67.576598899887713" u="1"/>
        <n v="89.928509567029323" u="1"/>
        <n v="207.26158114715477" u="1"/>
        <n v="112.53407076863549" u="1"/>
        <n v="6.1159821069910016" u="1"/>
        <n v="1944.8360358628365" u="1"/>
        <n v="151.18432229970873" u="1"/>
        <n v="489.09816900131079" u="1"/>
        <n v="1278.2692453070069" u="1"/>
        <n v="2077.9765306522722" u="1"/>
        <n v="494.42787949138892" u="1"/>
        <n v="61.84446565386542" u="1"/>
        <n v="1.1817403684776849E-2" u="1"/>
        <n v="552.31418917258088" u="1"/>
        <n v="376.67277058258043" u="1"/>
        <n v="1.6882005263966929E-3" u="1"/>
        <n v="1.1691418570866648E-2" u="1"/>
        <n v="94.594016167325222" u="1"/>
        <n v="707.7077348742813" u="1"/>
        <n v="42.730438264898076" u="1"/>
        <n v="0.82384081922765329" u="1"/>
        <n v="6697.5918052340221" u="1"/>
        <n v="2148.8236397227106" u="1"/>
        <n v="1431.4124617886823" u="1"/>
        <n v="18243.061997620942" u="1"/>
        <n v="81187.246210718557" u="1"/>
        <n v="10607.505621630866" u="1"/>
        <n v="19.666298780726823" u="1"/>
        <n v="5.0915586619894633" u="1"/>
        <n v="3.5504648969274105E-2" u="1"/>
        <n v="35250.071649590202" u="1"/>
        <n v="53803.623732976863" u="1"/>
        <n v="13934.340813229608" u="1"/>
        <n v="146.43628392920002" u="1"/>
        <n v="10.535776609199999" u="1"/>
        <n v="3.5243907500000002" u="1"/>
        <n v="3067.3429606741774" u="1"/>
        <n v="10598.909215942038" u="1"/>
        <n v="1416.9527075465865" u="1"/>
        <n v="2501.5779480664323" u="1"/>
        <n v="30536.039958131245" u="1"/>
        <n v="3743.2560327059141" u="1"/>
        <n v="19241.838720172833" u="1"/>
        <n v="71219.806738482308" u="1"/>
        <n v="5505.1045662435863" u="1"/>
        <n v="13.659057983781185" u="1"/>
        <n v="171.75038022586449" u="1"/>
        <n v="392.05907327616518" u="1"/>
        <n v="3.5107099988999999" u="1"/>
        <n v="7.9869237591000006" u="1"/>
        <n v="73.057462241400003" u="1"/>
        <n v="10916.003580656548" u="1"/>
        <n v="914.28202821922764" u="1"/>
        <n v="2411.9408836339189" u="1"/>
        <n v="983.12551843166057" u="1"/>
        <n v="1.8114715635970835E-3" u="1"/>
        <n v="1.2545116500135026E-2" u="1"/>
        <n v="188.26941359242429" u="1"/>
        <n v="1.2680300945179584E-2" u="1"/>
        <n v="1635.7427719119103" u="1"/>
        <n v="3.3526861083099524" u="1"/>
        <n v="1.1352272513149531" u="1"/>
        <n v="2.8315396176605119" u="1"/>
        <n v="9134.4306113834682" u="1"/>
        <n v="3313.2533613805404" u="1"/>
        <n v="25602.14111652123" u="1"/>
        <n v="1.1196327474647838" u="1"/>
        <n v="9.8406244278163885E-2" u="1"/>
        <n v="0.59410152798620464" u="1"/>
        <n v="3177.6120324608005" u="1"/>
        <n v="434.3508119896" u="1"/>
        <n v="9264.8545549560004" u="1"/>
        <n v="30029.321006190879" u="1"/>
        <n v="2368.1763623201446" u="1"/>
        <n v="9066.4596154081901" u="1"/>
        <n v="14.859334987361819" u="1"/>
        <n v="9.8464892338279277" u="1"/>
        <n v="187.12496437787217" u="1"/>
        <n v="194.47881281787781" u="1"/>
        <n v="0.50394692947229214" u="1"/>
        <n v="50.038757097586263" u="1"/>
        <n v="2685.3252972923519" u="1"/>
        <n v="456.77486289926401" u="1"/>
        <n v="8277.0837780246729" u="1"/>
        <n v="735.37749429813277" u="1"/>
        <n v="3083.2919510002657" u="1"/>
        <n v="1878.1839464379441" u="1"/>
        <n v="1168.3705399042983" u="1"/>
        <n v="528.02290833443158" u="1"/>
        <n v="2112.0916333377263" u="1"/>
        <n v="240.56923707296346" u="1"/>
        <n v="2003.0447069846432" u="1"/>
        <n v="1413.7757537560799" u="1"/>
        <n v="3508.8164966521686" u="1"/>
        <n v="695.30310341699999" u="1"/>
        <n v="795.73185362034451" u="1"/>
        <n v="199.27418632687878" u="1"/>
        <n v="122.373346201392" u="1"/>
        <n v="95.40297853562744" u="1"/>
        <n v="381.61195997725309" u="1"/>
        <n v="1540.5993737279998" u="1"/>
        <n v="680.8082757999606" u="1"/>
        <n v="450.63846096709972" u="1"/>
        <n v="1621.2870513519417" u="1"/>
        <n v="224.31261422086018" u="1"/>
        <n v="129.8543149993003" u="1"/>
        <n v="117.2151056912172" u="1"/>
        <n v="364.96908621280079" u="1"/>
        <n v="1126.3777800067592" u="1"/>
        <n v="281.59444500168979" u="1"/>
        <n v="1129.3735277999999" u="1"/>
        <n v="484.01722619999993" u="1"/>
        <n v="123.79380566399999" u="1"/>
        <n v="30.948451415999997" u="1"/>
        <n v="684.60165680429952" u="1"/>
        <n v="1673.4042246303234" u="1"/>
        <n v="2496.1990393620481" u="1"/>
        <n v="2733.05694868416" u="1"/>
        <n v="683.26423717104001" u="1"/>
        <n v="1.484642218155514E-2" u="1"/>
        <n v="43.198379328315248" u="1"/>
        <n v="6477.0565677012373" u="1"/>
        <n v="6.1165558560519998E-4" u="1"/>
        <n v="1.0477660180079117E-3" u="1"/>
        <n v="1.5498804586387497E-2" u="1"/>
        <n v="0.19348492842180839" u="1"/>
        <n v="0.23233501790784941" u="1"/>
        <n v="4417.7666874287834" u="1"/>
        <n v="2195.5523608410331" u="1"/>
        <n v="531.87668792554075" u="1"/>
        <n v="7475.7031609650094" u="1"/>
        <n v="2208.2174291305309" u="1"/>
        <n v="412.7152101808108" u="1"/>
        <n v="338.95416132282583" u="1"/>
        <n v="444.77780222886474" u="1"/>
        <n v="1180.2821870678385" u="1"/>
        <n v="432.96545850798105" u="1"/>
        <n v="1347.9673506004931" u="1"/>
        <n v="2241.1780975506244" u="1"/>
        <n v="84.314814642410212" u="1"/>
        <n v="193.18584306335822" u="1"/>
        <n v="1321.5170952229857" u="1"/>
        <n v="95297.746834031772" u="1"/>
        <n v="199.07393567501612" u="1"/>
        <n v="556.94459396068271" u="1"/>
        <n v="663.79337403148691" u="1"/>
        <n v="631.05619381244173" u="1"/>
        <n v="1272.6475494581464" u="1"/>
        <n v="4206.1633619301729" u="1"/>
        <n v="5.3049856948509018E-4" u="1"/>
        <n v="4.2670537084706447E-4" u="1"/>
        <n v="5.7602949328106013E-3" u="1"/>
        <n v="1301.4290645811566" u="1"/>
        <n v="1.2551173178636083E-3" u="1"/>
        <n v="1897.6952186649758" u="1"/>
        <n v="388.41979782698587" u="1"/>
        <n v="7.8260633204175704E-3" u="1"/>
        <n v="5.679291233936499E-3" u="1"/>
        <n v="9.4389820308469954E-3" u="1"/>
        <n v="3.6801964568308945E-3" u="1"/>
        <n v="6.7313467874975993E-3" u="1"/>
        <n v="547.67364352375523" u="1"/>
        <n v="3975.501536599158" u="1"/>
        <n v="1941.2162115825906" u="1"/>
        <n v="991.74426769234367" u="1"/>
        <n v="3.6654903770833177E-3" u="1"/>
        <n v="132.30396889895994" u="1"/>
        <n v="759.88439384588901" u="1"/>
        <n v="2.2163169554634036E-3" u="1"/>
        <n v="1.7420532896039509E-2" u="1"/>
        <n v="1.7472711009560098E-2" u="1"/>
        <n v="7.5475058176000013E-6" u="1"/>
        <n v="1.1680398941324439" u="1"/>
        <n v="0.17720032392657001" u="1"/>
        <n v="0.15631141452102515" u="1"/>
        <n v="233.20662653484018" u="1"/>
        <n v="3378.86605055059" u="1"/>
        <n v="4232.4421229516402" u="1"/>
        <n v="3675.19157618503" u="1"/>
        <n v="1931.4170604945" u="1"/>
        <n v="7.6004996737560164" u="1"/>
        <n v="110.1053250722568" u="1"/>
        <n v="233.02463194171588" u="1"/>
        <n v="917.38617829600173" u="1"/>
        <n v="1.681739910081019E-2" u="1"/>
        <n v="2.0815941544499391E-2" u="1"/>
        <n v="911.75607717935236" u="1"/>
        <n v="635.20128181351197" u="1"/>
        <n v="4007.6894433064385" u="1"/>
        <n v="8.3004373663199198E-4" u="1"/>
        <n v="1.0950723930807362E-3" u="1"/>
        <n v="562.97068181409338" u="1"/>
        <n v="300.49445788330797" u="1"/>
        <n v="4620.7926150618086" u="1"/>
        <n v="2926.9679057788753" u="1"/>
        <n v="1232.3601120021476" u="1"/>
        <n v="2.0238467241817442E-3" u="1"/>
        <n v="9.7541833007932688" u="1"/>
        <n v="27.525124695353025" u="1"/>
        <n v="0.99060620636380003" u="1"/>
        <n v="6.1755106630112348E-2" u="1"/>
        <n v="0.33205713658991742" u="1"/>
        <n v="0.32834700098185809" u="1"/>
        <n v="2.8020190502775346E-2" u="1"/>
        <n v="3.8673700433846936E-2" u="1"/>
        <n v="143.55730200901124" u="1"/>
        <n v="14.903438782863214" u="1"/>
        <n v="4.2146944215104001E-3" u="1"/>
        <n v="1.1933206976395813E-2" u="1"/>
        <n v="4.3936660918256709E-2" u="1"/>
        <n v="8.893689532282295E-4" u="1"/>
        <n v="170.26702017946425" u="1"/>
        <n v="936.01709010108232" u="1"/>
        <n v="8.5784571259040019E-4" u="1"/>
        <n v="1.3185088601058369E-3" u="1"/>
        <n v="1.5488577886218432E-3" u="1"/>
        <n v="2.4809138021006172E-3" u="1"/>
        <n v="436.76897024820732" u="1"/>
        <n v="503.95929711437736" u="1"/>
        <n v="7140.745259486841" u="1"/>
        <n v="100.97596026782927" u="1"/>
        <n v="981.11836172920312" u="1"/>
        <n v="381.89303137733094" u="1"/>
        <n v="28.566872845908478" u="1"/>
        <n v="9.8122016303532015E-3" u="1"/>
        <n v="11880.709990572119" u="1"/>
        <n v="3570.4436725129608" u="1"/>
        <n v="479.74621392195041" u="1"/>
        <n v="575.35247460523453" u="1"/>
        <n v="53104.562437749039" u="1"/>
        <n v="1378.3767442302183" u="1"/>
        <n v="187.98055865392521" u="1"/>
        <n v="0.34829970498301699" u="1"/>
        <n v="0.63565419277726165" u="1"/>
        <n v="0.34485119307468304" u="1"/>
        <n v="119689.59965139079" u="1"/>
        <n v="4376.526443176549" u="1"/>
        <n v="1055.9357415427851" u="1"/>
        <n v="305.33078519660768" u="1"/>
        <n v="18.012389232866891" u="1"/>
        <n v="416.67274613927833" u="1"/>
        <n v="93.130213406795903" u="1"/>
        <n v="23.285851484628964" u="1"/>
        <n v="294.36466207004082" u="1"/>
        <n v="638.98449378944736" u="1"/>
        <n v="48.440597815333057" u="1"/>
        <n v="5.3826799104277949" u="1"/>
        <n v="51.502054812381566" u="1"/>
        <n v="131.48859186606913" u="1"/>
        <n v="82.63877678169105" u="1"/>
        <n v="20.659707390662099" u="1"/>
        <n v="1267.1058274200936" u="1"/>
        <n v="2280.7919173364357" u="1"/>
        <n v="387.41499403110072" u="1"/>
        <n v="143.2918914946533" u="1"/>
        <n v="279.04765854533116" u="1"/>
        <n v="1674.2861424151756" u="1"/>
        <n v="10779.578437056791" u="1"/>
        <n v="2155.9154500865793" u="1"/>
        <n v="544.94466446436172" u="1"/>
        <n v="7629.2265207065611" u="1"/>
        <n v="9423.3925344940544" u="1"/>
        <n v="1047.0469154530069" u="1"/>
        <n v="1020.066392513392" u="1"/>
        <n v="1530.0995821145625" u="1"/>
        <n v="2912.4915047666864" u="1"/>
        <n v="2756.5651094170403" u="1"/>
        <n v="716.39053881368909" u="1"/>
        <n v="477.59366102241972" u="1"/>
        <n v="6071.3642819571578" u="1"/>
        <n v="290.3391885362289" u="1"/>
        <n v="72.584773774092625" u="1"/>
        <n v="2654.3693899962964" u="1"/>
        <n v="593.78676698328445" u="1"/>
        <n v="402.40015062645705" u="1"/>
        <n v="2060.0988449932584" u="1"/>
        <n v="5399.0167836846422" u="1"/>
        <n v="599.890717060773" u="1"/>
        <n v="1338.687401675754" u="1"/>
        <n v="2008.0314821901538" u="1"/>
        <n v="4006.3337146698245" u="1"/>
        <n v="9733.6500371658349" u="1"/>
        <n v="6214.3308117201077" u="1"/>
        <n v="17577.862812435938" u="1"/>
        <n v="1632.9167718269237" u="1"/>
        <n v="540.1532610318493" u="1"/>
        <n v="1320.1683565258763" u="1"/>
        <n v="345.54415712757191" u="1"/>
        <n v="166.3732840727053" u="1"/>
        <n v="993.83051612159704" u="1"/>
        <n v="1075.7055681612242" u="1"/>
        <n v="2372.6205582302632" u="1"/>
        <n v="4732.6397556720285" u="1"/>
        <n v="6686.0854270088721" u="1"/>
        <n v="4959.192581879006" u="1"/>
        <n v="3184.04916132464" u="1"/>
        <n v="3027.5823269478306" u="1"/>
        <n v="1.7435717565298137" u="1"/>
        <n v="5.7671988869832296" u="1"/>
        <n v="2.2417251301779095" u="1"/>
        <n v="1.4944834201186068" u="1"/>
        <n v="1507.4127028462219" u="1"/>
        <n v="4059.7766001713239" u="1"/>
        <n v="3627.6297486276426" u="1"/>
        <n v="23286.131782673547" u="1"/>
        <n v="16.955476772575924" u="1"/>
        <n v="25.885295620111364" u="1"/>
        <n v="10.572867225115909" u="1"/>
        <n v="24029.709614098345" u="1"/>
        <n v="63627.828049647156" u="1"/>
        <n v="1502.4883655222798" u="1"/>
        <n v="1421.3601304728406" u="1"/>
        <n v="191.88733711944994" u="1"/>
        <n v="15416.040203620352" u="1"/>
        <n v="45160.239734159491" u="1"/>
        <n v="12020.600056546375" u="1"/>
        <n v="39639.132330184941" u="1"/>
        <n v="99.191690282954539" u="1"/>
        <n v="14482.058296589146" u="1"/>
        <n v="11261.346232732261" u="1"/>
        <n v="67924.065403147397" u="1"/>
        <n v="2510.2906305863125" u="1"/>
        <n v="26175.034698915671" u="1"/>
        <n v="1052.2881384041757" u="1"/>
        <n v="2321.4600915939445" u="1"/>
        <n v="542.20953696398362" u="1"/>
        <n v="1092.2598269544524" u="1"/>
        <n v="4415.6175520376173" u="1"/>
        <n v="3195.3349857748858" u="1"/>
        <n v="459.17513099102905" u="1"/>
        <n v="1938.645263507" u="1"/>
        <n v="2341.8321304749948" u="1"/>
        <n v="7228.4166250939561" u="1"/>
        <n v="19858.468362640066" u="1"/>
        <n v="4345.708043408732" u="1"/>
        <n v="19093.847660328935" u="1"/>
        <n v="15916.582636340188" u="1"/>
        <n v="5.5722107239154282" u="1"/>
        <n v="1076.3421344395035" u="1"/>
        <n v="6672.0797989747953" u="1"/>
        <n v="5273.6377136468654" u="1"/>
        <n v="1006.6305154630717" u="1"/>
        <n v="4317.4324458594119" u="1"/>
        <n v="2963.1707939410448" u="1"/>
        <n v="289.37214784580368" u="1"/>
        <n v="3294.18692249583" u="1"/>
        <n v="3000.5546619948086" u="1"/>
        <n v="2941.8814807172212" u="1"/>
        <n v="4201.373120160285" u="1"/>
        <n v="12002.880581899417" u="1"/>
        <n v="10363.852758892337" u="1"/>
        <n v="1.4216616693812285" u="1"/>
        <n v="2987.4650584777628" u="1"/>
        <n v="3071.6190037869933" u="1"/>
        <n v="6849.5675980009455" u="1"/>
        <n v="3805.7189986320641" u="1"/>
        <n v="5772.1442363509177" u="1"/>
        <n v="6426.6774497782781" u="1"/>
        <n v="212.73725043375006" u="1"/>
        <n v="10656.455286318198" u="1"/>
        <n v="17729.803239618792" u="1"/>
        <n v="7.1969816564946223" u="1"/>
        <n v="16.994824741864964" u="1"/>
        <n v="14.253872010000002" u="1"/>
        <n v="6.4303181999999994" u="1"/>
        <n v="8.8870966755199987" u="1"/>
        <n v="8.895983772195498" u="1"/>
        <n v="0.8737017484270948" u="1"/>
        <n v="350.52876624381173" u="1"/>
        <n v="1392.7439744112328" u="1"/>
        <n v="191.56398271085405" u="1"/>
        <n v="1725.9690029667936" u="1"/>
        <n v="1234.6589262975001" u="1"/>
        <n v="231.12794475375" u="1"/>
        <n v="14.752399913579643" u="1"/>
        <n v="4332.5469219881261" u="1"/>
        <n v="265.11629854684668" u="1"/>
        <n v="3060.4020205176644" u="1"/>
        <n v="2.1056728685742332" u="1"/>
        <n v="1.4037819123828221" u="1"/>
        <n v="1.6462288925226993" u="1"/>
        <n v="5.4452186444981594" u="1"/>
        <n v="24.298294621902205" u="1"/>
        <n v="16.495667296459469" u="1"/>
        <n v="22.744255309708922" u="1"/>
        <n v="35.223404240699651" u="1"/>
        <n v="7.6518775024409358" u="1"/>
        <n v="143.17445410872372" u="1"/>
        <n v="1783.3865622746127" u="1"/>
        <n v="590.62196530719871" u="1"/>
        <n v="1.0111961571596397" u="1"/>
        <n v="10806.121306460633" u="1"/>
        <n v="83882.439116138121" u="1"/>
        <n v="41464.04323100808" u="1"/>
        <n v="3.2822367383133016E-2" u="1"/>
        <n v="17.10009748811456" u="1"/>
        <n v="7.3016650173827928" u="1"/>
        <n v="12918.381823584838" u="1"/>
        <n v="37969.208643195714" u="1"/>
        <n v="45179.597642703258" u="1"/>
        <n v="3.9236069054000007" u="1"/>
        <n v="169.33302632479999" u="1"/>
        <n v="19.871106444799999" u="1"/>
        <n v="1745.207000825083" u="1"/>
        <n v="29014.603002616757" u="1"/>
        <n v="2362.766923612357" u="1"/>
        <n v="5647.83914377366" u="1"/>
        <n v="67689.46839492234" u="1"/>
        <n v="31623.78962758452" u="1"/>
        <n v="2.6693314305319999" u="1"/>
        <n v="61.202938768789991" u="1"/>
        <n v="9.0376682219980005" u="1"/>
        <n v="688.65715741328984" u="1"/>
        <n v="7843.760699460433" u="1"/>
        <n v="2202.3534527180764" u="1"/>
        <n v="193.61172046282729" u="1"/>
        <n v="1491.3599222381672" u="1"/>
        <n v="1346.841472681831" u="1"/>
        <n v="1.5534624722621068E-3" u="1"/>
        <n v="1.0874237305834747E-2" u="1"/>
        <n v="1.0758307270591305E-2" u="1"/>
        <n v="3350.9241053738592" u="1"/>
        <n v="23090.434854799743" u="1"/>
        <n v="11025.448026801732" u="1"/>
        <n v="400.24594282200002" u="1"/>
        <n v="10182.565203822" u="1"/>
        <n v="2751.9748044029998" u="1"/>
        <n v="2190.1290514249918" u="1"/>
        <n v="26026.043287226727" u="1"/>
        <n v="10167.608747779535" u="1"/>
        <n v="780.54489599759097" u="1"/>
        <n v="8135.6254321363313" u="1"/>
        <n v="3382.4796604478879" u="1"/>
        <n v="3491.7827967998328" u="1"/>
        <n v="693.56154792997779" u="1"/>
        <n v="2907.965983235305" u="1"/>
        <n v="284.93764641097198" u="1"/>
        <n v="664.82907537876679" u="1"/>
        <n v="63.330206234911124" u="1"/>
        <n v="1.714524715120145E-2" u="1"/>
        <n v="7479.966169663955" u="1"/>
        <n v="0.11939094128147651" u="1"/>
        <n v="6.9696988493153603E-2" u="1"/>
        <n v="8.7101833453690006E-3" u="1"/>
        <n v="11915.587856725735" u="1"/>
        <n v="2234.1984563765773" u="1"/>
        <n v="67.694784849629215" u="1"/>
        <n v="63.324615194779732" u="1"/>
        <n v="389.09966772692309" u="1"/>
        <n v="8139.0419787952906" u="1"/>
        <n v="1449.027675282882" u="1"/>
        <n v="289.79268516292922" u="1"/>
        <n v="7922.9034613510212" u="1"/>
        <n v="1894.3590798581629" u="1"/>
        <n v="75.593689020257358" u="1"/>
        <n v="1270.1280213376774" u="1"/>
        <n v="8.4875734617280028" u="1"/>
        <n v="9618.9933145826344" u="1"/>
        <n v="11498.197744941252" u="1"/>
        <n v="127.9524587167454" u="1"/>
        <n v="2879.7652813307218" u="1"/>
        <n v="489.63838746126629" u="1"/>
        <n v="194.98054217279866" u="1"/>
        <n v="8627.8028585037173" u="1"/>
        <n v="2107.7697182101383" u="1"/>
        <n v="2.0671668350697003" u="1"/>
        <n v="52.50603761077037" u="1"/>
        <n v="7.4418006062509194" u="1"/>
        <n v="707.43250885922248" u="1"/>
        <n v="7483.9299819753705" u="1"/>
        <n v="1460.4583810752763" u="1"/>
        <n v="6.8678975369483575E-4" u="1"/>
        <n v="5.5241784571138171E-4" u="1"/>
        <n v="1293.1862556832968" u="1"/>
        <n v="5.8655657225014013E-3" u="1"/>
        <n v="46.178665940208838" u="1"/>
        <n v="22.036478974648968" u="1"/>
        <n v="1.5304302268479856E-3" u="1"/>
        <n v="4893.1124298616651" u="1"/>
        <n v="953.82803836984169" u="1"/>
        <n v="6.0382345545180374E-3" u="1"/>
        <n v="94.30914458802593" u="1"/>
        <n v="29.825122918782103" u="1"/>
        <n v="533.2439098052148" u="1"/>
        <n v="260.38015905964909" u="1"/>
        <n v="6.3004152051384012E-3" u="1"/>
        <n v="3.186858152332655E-3" u="1"/>
        <n v="3.1996439389108751E-3" u="1"/>
        <n v="900.76365332253636" u="1"/>
        <n v="156.83254892410341" u="1"/>
        <n v="2.2789130576447354E-3" u="1"/>
        <n v="1.8360095012398842E-2" u="1"/>
        <n v="1.8305266937069478E-2" u="1"/>
        <n v="14101.708963722911" u="1"/>
        <n v="9.1120800733311511E-2" u="1"/>
        <n v="2.9813268551001061E-2" u="1"/>
        <n v="44.479488628954748" u="1"/>
        <n v="0.20259834386720499" u="1"/>
        <n v="19.299363764444958" u="1"/>
        <n v="119.52229737287448" u="1"/>
        <n v="104.47452612089387" u="1"/>
        <n v="4.2161125406626567" u="1"/>
        <n v="1391.6475071047021" u="1"/>
        <n v="214.43527787919331" u="1"/>
        <n v="287.42734809397831" u="1"/>
        <n v="4596.2995796750092" u="1"/>
        <n v="598.96559956007843" u="1"/>
        <n v="5.5568952252113215" u="1"/>
        <n v="3.7045965915224741" u="1"/>
        <n v="975.64881450595988" u="1"/>
        <n v="9957.6129750073087" u="1"/>
        <n v="2146.2887962770897" u="1"/>
        <n v="94.032422014345272" u="1"/>
        <n v="1964.1142416277569" u="1"/>
        <n v="241.46970301473465" u="1"/>
        <n v="7.066045693324198E-2" u="1"/>
        <n v="119.87061065386547" u="1"/>
        <n v="41.167021939112374" u="1"/>
        <n v="79.356337687540488" u="1"/>
        <n v="2002.7484360280002" u="1"/>
        <n v="117.60723427074346" u="1"/>
        <n v="3.7335092041320002E-3" u="1"/>
        <n v="1.2055424935115393E-2" u="1"/>
        <n v="2.9687458805692298E-2" u="1"/>
        <n v="7.6748747322482843E-4" u="1"/>
        <n v="124.10851151598948" u="1"/>
        <n v="17.296903379602632" u="1"/>
        <n v="7.387917617290179E-4" u="1"/>
        <n v="4.8067128290610003E-4" u="1"/>
        <n v="606.11746018017595" u="1"/>
        <n v="96.103444473288221" u="1"/>
        <n v="30.315095662386152" u="1"/>
        <n v="19.41923519242707" u="1"/>
        <n v="768.78665564940025" u="1"/>
        <n v="7.4904221907548E-3" u="1"/>
        <n v="912.39701731844787" u="1"/>
        <n v="7171.3927866456552" u="1"/>
        <n v="894.88154229139229" u="1"/>
        <n v="3.6249015119999124E-2" u="1"/>
        <n v="3.5890113981644871E-2" u="1"/>
        <n v="1.6040961855995401" u="1"/>
        <n v="4963.4239578283577" u="1"/>
        <n v="12451.915551088283" u="1"/>
        <n v="561.37889798093636" u="1"/>
        <n v="3785.5426086297575" u="1"/>
        <n v="1764.8092471821778" u="1"/>
        <n v="3814.5598915124697" u="1"/>
        <n v="1080.6216279487201" u="1"/>
        <n v="619.79653816347627" u="1"/>
        <n v="2567.7937492103697" u="1"/>
        <n v="4636.3355708576146" u="1"/>
        <n v="3540.6472343642408" u="1"/>
        <n v="2579.6144136082321" u="1"/>
        <n v="9416.8150921801389" u="1"/>
        <n v="20117.617420223494" u="1"/>
        <n v="2.0428392654296093" u="1"/>
        <n v="0.44409549248469776" u="1"/>
        <n v="161.23373340860456" u="1"/>
        <n v="142.20773947179791" u="1"/>
        <n v="1.1397079734685225" u="1"/>
        <n v="2.8780504380518246" u="1"/>
        <n v="59.663751666068315" u="1"/>
        <n v="69.990170223657046" u="1"/>
        <n v="169.54792247733099" u="1"/>
        <n v="2267.7026125562329" u="1"/>
        <n v="2334.3174264032318" u="1"/>
        <n v="16.85203000745323" u="1"/>
        <n v="92.655644398752017" u="1"/>
        <n v="172.13182213733671" u="1"/>
        <n v="8.5093950610019071" u="1"/>
        <n v="13.321675967449771" u="1"/>
        <n v="1.5143020348710927" u="1"/>
        <n v="1.3887003725388289" u="1"/>
        <n v="5.5382693428631873" u="1"/>
        <n v="1150.6768075160635" u="1"/>
        <n v="2982.9198215018951" u="1"/>
        <n v="0.49976530281912307" u="1"/>
        <n v="0.51576270549863723" u="1"/>
        <n v="261.25407262053039" u="1"/>
        <n v="14.198590903289199" u="1"/>
        <n v="23.902863137745104" u="1"/>
        <n v="79.148737514597357" u="1"/>
        <n v="86.29652405537847" u="1"/>
        <n v="123.17988101039484" u="1"/>
        <n v="2316.3014078323445" u="1"/>
        <n v="435.55252250391845" u="1"/>
        <n v="1165.4335407804419" u="1"/>
        <n v="2415.8134524974189" u="1"/>
        <n v="5563.8947621698771" u="1"/>
        <n v="0.50169482976162683" u="1"/>
        <n v="3.2892590203234882" u="1"/>
        <n v="17.740312504959309" u="1"/>
        <n v="3224.5542984710241" u="1"/>
        <n v="3413.8639271183038" u="1"/>
        <n v="1096.0704000739711" u="1"/>
        <n v="3375.3161326781233" u="1"/>
        <n v="9925.3186435281295" u="1"/>
        <n v="13433.061778590281" u="1"/>
        <n v="3803.9694258369432" u="1"/>
        <n v="31011.352683722202" u="1"/>
        <n v="17.427817850587328" u="1"/>
        <n v="26.627143946222652" u="1"/>
        <n v="10.875875696344462" u="1"/>
        <n v="2289.0857798006537" u="1"/>
        <n v="13817.724382996108" u="1"/>
        <n v="15923.778610390254" u="1"/>
        <n v="44099.310572379094" u="1"/>
        <n v="15307.802682643527" u="1"/>
        <n v="49988.374978360109" u="1"/>
        <n v="1497.4873800865778" u="1"/>
        <n v="102.08044209142371" u="1"/>
        <n v="14903.818143359462" u="1"/>
        <n v="12837.630207445885" u="1"/>
        <n v="67515.884411828694" u="1"/>
        <n v="7596.0316848272887" u="1"/>
        <n v="1027.0436496817088" u="1"/>
        <n v="26669.995616628032" u="1"/>
        <n v="1078.188086458458" u="1"/>
        <n v="4358.7305158320605" u="1"/>
        <n v="724.15617747209876" u="1"/>
        <n v="4241.9659039100161" u="1"/>
        <n v="2348.6006346038375" u="1"/>
        <n v="475.68509258390083" u="1"/>
        <n v="2002.8570901710134" u="1"/>
        <n v="2413.6992401986213" u="1"/>
        <n v="7228.4034899845119" u="1"/>
        <n v="19858.432276845782" u="1"/>
        <n v="4951.091798253975" u="1"/>
        <n v="19715.851121014432" u="1"/>
        <n v="14618.613577094602" u="1"/>
        <n v="5.5329005183733386" u="1"/>
        <n v="1108.5885864911293" u="1"/>
        <n v="6979.8791087484224" u="1"/>
        <n v="5516.9234801789298" u="1"/>
        <n v="1053.0688356258813" u="1"/>
        <n v="3165.7763003835798" u="1"/>
        <n v="802.91427908279206" u="1"/>
        <n v="525.92075719613001" u="1"/>
        <n v="3476.9919107566425" u="1"/>
        <n v="3167.0650552017328" u="1"/>
        <n v="2360.0990284833156" u="1"/>
        <n v="5163.784046869323" u="1"/>
        <n v="798.55501672245919" u="1"/>
        <n v="3789.2572984510575" u="1"/>
        <n v="9007.7883101202733" u="1"/>
        <n v="15921.331427463214" u="1"/>
        <n v="11205.222654349418" u="1"/>
        <n v="8044.7752390200958" u="1"/>
        <n v="10903.243521032437" u="1"/>
        <n v="5344.727216192372" u="1"/>
        <n v="3746.6040786400454" u="1"/>
        <n v="5682.4844782771006" u="1"/>
        <n v="171.79849928125" u="1"/>
        <n v="6104.1927694904998" u="1"/>
        <n v="9128.6862153556267" u="1"/>
        <n v="10415.891014252138" u="1"/>
        <n v="17329.561593065864" u="1"/>
        <n v="9110.5887966605042" u="1"/>
        <n v="19463.41072751781" u="1"/>
        <n v="9.0080283081688872" u="1"/>
        <n v="17.373038742969907" u="1"/>
        <n v="14.404818150072" u="1"/>
        <n v="6.4984142030400003" u="1"/>
        <n v="2.7030754809062238" u="1"/>
        <n v="1.8742318942195186" u="1"/>
        <n v="9.9830980418911849E-2" u="1"/>
        <n v="2.0833528656670763" u="1"/>
        <n v="0.45290279688414709" u="1"/>
        <n v="0.67600349684007843" u="1"/>
        <n v="158.07460196909761" u="1"/>
        <n v="139.421393641995" u="1"/>
        <n v="311.49226245963035" u="1"/>
        <n v="1237.6415672390804" u="1"/>
        <n v="1.1596198913757771" u="1"/>
        <n v="2.9283330590297405" u="1"/>
        <n v="62.6939996247933" u="1"/>
        <n v="71.365178497157686" u="1"/>
        <n v="167.01618067241648" u="1"/>
        <n v="2320.841324076694" u="1"/>
        <n v="2389.0171121697886" u="1"/>
        <n v="17.259086894865582" u="1"/>
        <n v="227.32115220215979" u="1"/>
        <n v="189.53534958414497" u="1"/>
        <n v="1707.6912565682057" u="1"/>
        <n v="94.640253771924279" u="1"/>
        <n v="175.81874730904897" u="1"/>
        <n v="8.6807609172907227" u="1"/>
        <n v="1.5517602252228433" u="1"/>
        <n v="1.4237336203135331" u="1"/>
        <n v="5.6779852714884935" u="1"/>
        <n v="13.568575743921382" u="1"/>
        <n v="1138.2196157432998" u="1"/>
        <n v="2950.6268231408344" u="1"/>
        <n v="1227.7527093975" u="1"/>
        <n v="229.83510210375002" u="1"/>
        <n v="0.51161136725013578" u="1"/>
        <n v="0.52804205911835578" u="1"/>
        <n v="15.075388491972021" u="1"/>
        <n v="4427.4035676423082" u="1"/>
        <n v="270.72267878980006" u="1"/>
        <n v="3127.1660050609448" u="1"/>
        <n v="1.6788322075363418" u="1"/>
        <n v="5.5530603787740533" u="1"/>
        <n v="2.1486513694501208" u="1"/>
        <n v="1.4324342463000805" u="1"/>
        <n v="4.853951412401715E-2" u="1"/>
        <n v="24.910125853022723" u="1"/>
        <n v="16.91102831611926" u="1"/>
        <n v="25.761741743255442" u="1"/>
        <n v="35.568479724415795" u="1"/>
        <n v="7.8233994406929899" u="1"/>
        <n v="96.014668045853526" u="1"/>
        <n v="261.39907908792929" u="1"/>
        <n v="14.206471689560917" u="1"/>
        <n v="157.40113352735167" u="1"/>
        <n v="1994.8002771803485" u="1"/>
        <n v="760.31386925693278" u="1"/>
        <n v="24.837180785991585" u="1"/>
        <n v="82.272075698052959" u="1"/>
        <n v="91.191302512544794" u="1"/>
        <n v="195.25027696911133" u="1"/>
        <n v="2680.6480015806856" u="1"/>
        <n v="515.89489462643996" u="1"/>
        <n v="1.0656724877652433" u="1"/>
        <n v="1270.2479114295932" u="1"/>
        <n v="2458.643002879624" u="1"/>
        <n v="6102.1471822194071" u="1"/>
        <n v="11181.709579289767" u="1"/>
        <n v="86867.866025907497" u="1"/>
        <n v="42993.188956819831" u="1"/>
        <n v="3.1446226778825685E-2" u="1"/>
        <n v="17.414349762809877" u="1"/>
        <n v="7.4440282410800398" u="1"/>
        <n v="13359.585767927932" u="1"/>
        <n v="39276.339890797892" u="1"/>
        <n v="47004.03064655514" u="1"/>
        <n v="4.0148160384000002" u="1"/>
        <n v="173.5080780712" u="1"/>
        <n v="20.381264590400001" u="1"/>
        <n v="1637.4165683333335" u="1"/>
        <n v="27229.197086666671" u="1"/>
        <n v="1578.66038" u="1"/>
        <n v="6524.3323459726034" u="1"/>
        <n v="78304.446005936086" u="1"/>
        <n v="38563.533617922381" u="1"/>
        <n v="0.53674706728667287" u="1"/>
        <n v="3.5435433547954185" u="1"/>
        <n v="19.195463450966432" u="1"/>
        <n v="3.2947463701999999" u="1"/>
        <n v="65.700865917399994" u="1"/>
        <n v="11.0654981899" u="1"/>
        <n v="759.6444648790947" u="1"/>
        <n v="8658.8339101696019" u="1"/>
        <n v="2433.9010091349815" u="1"/>
        <n v="175.15060775878072" u="1"/>
        <n v="1351.1689845552226" u="1"/>
        <n v="1250.4221597458561" u="1"/>
        <n v="1.4820767123287671E-3" u="1"/>
        <n v="1.0374536986301371E-2" u="1"/>
        <n v="1.0263934246575342E-2" u="1"/>
        <n v="3526.363041030228" u="1"/>
        <n v="24315.376118666081" u="1"/>
        <n v="11682.604880444203" u="1"/>
        <n v="363.243089" u="1"/>
        <n v="10491.459595122002" u="1"/>
        <n v="2908.9135052229999" u="1"/>
        <n v="2268.8588811695658" u="1"/>
        <n v="26991.382324422953" u="1"/>
        <n v="10557.148990803189" u="1"/>
        <n v="950.33993812867209" u="1"/>
        <n v="8357.5408791376321" u="1"/>
        <n v="3478.88829987699" u="1"/>
        <n v="3590.8049875067686" u="1"/>
        <n v="290.82674260190976" u="1"/>
        <n v="678.56977417639325" u="1"/>
        <n v="706.64018796449921" u="1"/>
        <n v="2962.80212638782" u="1"/>
        <n v="49.16519706889293" u="1"/>
        <n v="1.6162987618150527E-2" u="1"/>
        <n v="7051.4352769475445" u="1"/>
        <n v="8.6396169377100009E-3" u="1"/>
        <n v="0.12168876212778607" u="1"/>
        <n v="7.1038390035924798E-2" u="1"/>
        <n v="13876.779139730937" u="1"/>
        <n v="2601.9260573842039" u="1"/>
        <n v="27.109737035058522" u="1"/>
        <n v="271.83300412662669" u="1"/>
        <n v="5056.0256627015224" u="1"/>
        <n v="968.98063327948091" u="1"/>
        <n v="275.97424976350931" u="1"/>
        <n v="4346.2545640095523" u="1"/>
        <n v="1258.8776122217221" u="1"/>
        <n v="644.92651807130835" u="1"/>
        <n v="13693.5413765464" u="1"/>
        <n v="2265.4434763228178" u="1"/>
        <n v="138.35496913193219" u="1"/>
        <n v="1689.2234627234388" u="1"/>
        <n v="381.96475799838441" u="1"/>
        <n v="4453.4980067830866" u="1"/>
        <n v="15368.550608033704" u="1"/>
        <n v="30041.542734906019" u="1"/>
        <n v="89.610635814421755" u="1"/>
        <n v="2322.4954715613626" u="1"/>
        <n v="354.2225426384465" u="1"/>
        <n v="442.96641425687898" u="1"/>
        <n v="6970.2399883789267" u="1"/>
        <n v="2099.5366616018987" u="1"/>
        <n v="1.9178223151132001" u="1"/>
        <n v="48.712686803875279" u="1"/>
        <n v="6.9041603344075204" u="1"/>
        <n v="665.60691055565633" u="1"/>
        <n v="8254.3559697806413" u="1"/>
        <n v="1479.9721223269735" u="1"/>
        <n v="6.9445829385175479E-4" u="1"/>
        <n v="5.5858601883978934E-4" u="1"/>
        <n v="1275.5624862765026" u="1"/>
        <n v="2.5778255578956001E-3" u="1"/>
        <n v="1488.0942133707099" u="1"/>
        <n v="46.963634008416555" u="1"/>
        <n v="22.411066069764004" u="1"/>
        <n v="1.5374625922655828E-3" u="1"/>
        <n v="5079.5138276726302" u="1"/>
        <n v="990.1637821672615" u="1"/>
        <n v="6.3021700755126484E-3" u="1"/>
        <n v="98.431464278282235" u="1"/>
        <n v="31.128800223984033" u="1"/>
        <n v="544.74804818519431" u="1"/>
        <n v="265.99756851551609" u="1"/>
        <n v="6.2582888411286007E-3" u="1"/>
        <n v="3.1356621582800657E-3" u="1"/>
        <n v="3.1482425463546285E-3" u="1"/>
        <n v="771.9841591165324" u="1"/>
        <n v="134.4106669454213" u="1"/>
        <n v="2.4600544064910137E-3" u="1"/>
        <n v="1.716275629288655E-2" u="1"/>
        <n v="1.7111503785205904E-2" u="1"/>
        <n v="14366.496442244121" u="1"/>
        <n v="9.2831774001096004E-2" u="1"/>
        <n v="2.999265390244335E-2" u="1"/>
        <n v="44.747120092624655" u="1"/>
        <n v="0.20021732996435823" u="1"/>
        <n v="4.2428482753534569" u="1"/>
        <n v="893.03467698596376" u="1"/>
        <n v="137.60534771743212" u="1"/>
        <n v="1783.5663902790625" u="1"/>
        <n v="5.9511285537991094" u="1"/>
        <n v="3.9674187945982142" u="1"/>
        <n v="742.05845114064402" u="1"/>
        <n v="7131.7515220392515" u="1"/>
        <n v="1301.376003124177" u="1"/>
        <n v="94.094940828550563" u="1"/>
        <n v="1965.4201113556471" u="1"/>
        <n v="241.630247635149" u="1"/>
        <n v="6.3810321895805891E-2" u="1"/>
        <n v="132.13082521795511" u="1"/>
        <n v="45.377532915781501" u="1"/>
        <n v="202.46184976853834" u="1"/>
        <n v="1802.2863867989779" u="1"/>
        <n v="310.40570070614109" u="1"/>
        <n v="3.7568670672672002E-3" u="1"/>
        <n v="1.110780196672463E-2" u="1"/>
        <n v="2.9244661124002334E-2" u="1"/>
        <n v="7.29004383413901E-4" u="1"/>
        <n v="117.88550569837857" u="1"/>
        <n v="16.42960806646807" u="1"/>
        <n v="7.3588670688036159E-4" u="1"/>
        <n v="4.7878120167570002E-4" u="1"/>
        <n v="594.78532898639548" u="1"/>
        <n v="94.306669239950011" u="1"/>
        <n v="2158.4317676805481" u="1"/>
        <n v="855.77976561246476" u="1"/>
        <n v="8864.1170353147936" u="1"/>
        <n v="2942.580536345321" u="1"/>
        <n v="7.7428238562018007E-3" u="1"/>
        <n v="817.12251002186804" u="1"/>
        <n v="4223.9394220542481" u="1"/>
        <n v="1085.0790553762258" u="1"/>
        <n v="3.5697693475957339E-2" u="1"/>
        <n v="3.5344250968175887E-2" u="1"/>
        <n v="1.4212214526519602" u="1"/>
        <n v="4887.3679011913064" u="1"/>
        <n v="12261.111057569327" u="1"/>
        <n v="552.77671819084651" u="1"/>
        <n v="4126.1755751532401" u="1"/>
        <n v="1746.1538009903945" u="1"/>
        <n v="3774.2369405107852" u="1"/>
        <n v="1067.9990966845201" u="1"/>
        <n v="612.55681523172063" u="1"/>
        <n v="2543.4323855532766" u="1"/>
        <n v="4592.3493835274594" u="1"/>
        <n v="3494.6351284644802" u="1"/>
        <n v="2546.0913078812637" u="1"/>
        <n v="3473.3263349810918" u="1"/>
        <n v="3677.2410648269688" u="1"/>
        <n v="712.27290066183593" u="1"/>
        <n v="1516.2244915078682" u="1"/>
        <n v="392.39248415533365" u="1"/>
        <n v="9503.7712309272702" u="1"/>
        <n v="48051.494770068872" u="1"/>
        <n v="25.760141515815256" u="1"/>
        <n v="10.521747943079472" u="1"/>
        <n v="2445.5162537248348" u="1"/>
        <n v="17187.378588667725" u="1"/>
        <n v="15117.962730756903" u="1"/>
        <n v="39728.9506689513" u="1"/>
        <n v="15587.634672130967" u="1"/>
        <n v="43896.558977167988" u="1"/>
        <n v="101.62822359069186" u="1"/>
        <n v="14837.793916211875" u="1"/>
        <n v="12395.086487012162" u="1"/>
        <n v="61766.511947244981" u="1"/>
        <n v="1340.6946849332505" u="1"/>
        <n v="5171.2509275996799" u="1"/>
        <n v="1029.0726626197654" u="1"/>
        <n v="30229.924111098411" u="1"/>
        <n v="424.27787789993965" u="1"/>
        <n v="1629.7658166950089" u="1"/>
        <n v="1893.6426144081213" u="1"/>
        <n v="963.56779826684669" u="1"/>
        <n v="10475.336767007271" u="1"/>
        <n v="19293.674940045312" u="1"/>
        <n v="4321.9798446743562" u="1"/>
        <n v="10913.038238842357" u="1"/>
        <n v="6572.2779728548066" u="1"/>
        <n v="2933.2950215291735" u="1"/>
        <n v="733.32375538229144" u="1"/>
        <n v="20404.293919041291" u="1"/>
        <n v="729.55223806017023" u="1"/>
        <n v="15004.132982609603" u="1"/>
        <n v="5.3856999212093548" u="1"/>
        <n v="1085.06882454124" u="1"/>
        <n v="8305.1762318072397" u="1"/>
        <n v="6202.4715156836" u="1"/>
        <n v="1309.3489373894292" u="1"/>
        <n v="954.93869869755372" u="1"/>
        <n v="3236.003265815425" u="1"/>
        <n v="820.72546596768086" u="1"/>
        <n v="537.26761394930429" u="1"/>
        <n v="2338.3640440031563" u="1"/>
        <n v="5116.2289380526727" u="1"/>
        <n v="7771.7424816818138" u="1"/>
        <n v="945.05250542122815" u="1"/>
        <n v="3780.2100216849185" u="1"/>
        <n v="8634.3680183333399" u="1"/>
        <n v="15261.308342706639" u="1"/>
        <n v="7171.0908068852586" u="1"/>
        <n v="15361.881592224512" u="1"/>
        <n v="8532.6192961841916" u="1"/>
        <n v="1829.3001603510411" u="1"/>
        <n v="29908.415381577488" u="1"/>
        <n v="120.62551101562474" u="1"/>
        <n v="8958.3045941324999" u="1"/>
        <n v="13897.456866006252" u="1"/>
        <n v="10367.427673718132" u="1"/>
        <n v="17248.93013833572" u="1"/>
        <n v="9346.0901659874817" u="1"/>
        <n v="19966.524190369302" u="1"/>
        <n v="10.397770891208594" u="1"/>
        <n v="16.947408344092583" u="1"/>
        <n v="14.122192147517991" u="1"/>
        <n v="6.3709137507599989" u="1"/>
        <n v="2.6514219391022107" u="1"/>
        <n v="1.8384168693774974" u="1"/>
        <n v="0.10025235075525368" u="1"/>
        <n v="2.0367502164583375" u="1"/>
        <n v="0.44277178618659524" u="1"/>
        <n v="729.03637036572115" u="1"/>
        <n v="0.26873094150284693" u="1"/>
        <n v="156.13844116224561" u="1"/>
        <n v="137.7137047745635" u="1"/>
        <n v="301.92813113324581" u="1"/>
        <n v="1199.6407309081906" u="1"/>
        <n v="1.1464126776235251" u="1"/>
        <n v="2.8949815091503157" u="1"/>
        <n v="92.901617420104941" u="1"/>
        <n v="101.49484787338488" u="1"/>
        <n v="163.7328954470436" u="1"/>
        <n v="2295.2619971596182" u="1"/>
        <n v="2362.6863806851661" u="1"/>
        <n v="224.54501413075704" u="1"/>
        <n v="187.73527219507938" u="1"/>
        <n v="1848.0154619969112" u="1"/>
        <n v="93.377079536970726" u="1"/>
        <n v="173.47207448463095" u="1"/>
        <n v="8.5549779275080251" u="1"/>
        <n v="13.376240102500937" u="1"/>
        <n v="1.5265438627048533" u="1"/>
        <n v="1.4051603066807836" u="1"/>
        <n v="5.603913127834077" u="1"/>
        <n v="1138.0320074334691" u="1"/>
        <n v="2950.1404828040718" u="1"/>
        <n v="17.952466052005537" u="1"/>
        <n v="1195.1208345450002" u="1"/>
        <n v="223.72642058250003" u="1"/>
        <n v="1167.9707347087567" u="1"/>
        <n v="232.77077041161144" u="1"/>
        <n v="695.41936666949789" u="1"/>
        <n v="0.50594276997682319" u="1"/>
        <n v="0.52218669672968354" u="1"/>
        <n v="14.944909952110464" u="1"/>
        <n v="4389.0840806724409" u="1"/>
        <n v="3100.041145910965" u="1"/>
        <n v="268.06554949565907" u="1"/>
        <n v="1.289541641269748" u="1"/>
        <n v="0.85969442751316538" u="1"/>
        <n v="1.0021190551896602" u="1"/>
        <n v="3.3147014902427219" u="1"/>
        <n v="0.21651629690686255" u="1"/>
        <n v="25.314867309151165" u="1"/>
        <n v="16.645427095327861" u="1"/>
        <n v="25.668737257879123" u="1"/>
        <n v="34.776998865513647" u="1"/>
        <n v="6.1955949862332593" u="1"/>
        <n v="176.28499126875005" u="1"/>
        <n v="257.52359545469346" u="1"/>
        <n v="13.995847579058688" u="1"/>
        <n v="150.73572992545166" u="1"/>
        <n v="736.01114484847983" u="1"/>
        <n v="1913.7724207578442" u="1"/>
        <n v="27.733911411974344" u="1"/>
        <n v="97.825178993701996" u="1"/>
        <n v="84.947797105898587" u="1"/>
        <n v="184.43342069780971" u="1"/>
        <n v="1448.6316491708048" u="1"/>
        <n v="2674.2456351978963" u="1"/>
        <n v="1.0348920558635624" u="1"/>
        <n v="1197.9961392869891" u="1"/>
        <n v="5774.7602175556722" u="1"/>
        <n v="2300.4335074381011" u="1"/>
        <n v="10175.247449443226" u="1"/>
        <n v="43602.925052550971" u="1"/>
        <n v="91460.114134769567" u="1"/>
        <n v="2.6115451277044566E-2" u="1"/>
        <n v="6.9507536720119818" u="1"/>
        <n v="16.226472740857091" u="1"/>
        <n v="12624.775934182702" u="1"/>
        <n v="44562.15341877754" u="1"/>
        <n v="37308.056068626007" u="1"/>
        <n v="4.0476198924000002" u="1"/>
        <n v="20.628655671199997" u="1"/>
        <n v="175.83687131439999" u="1"/>
        <n v="2133.4253075700071" u="1"/>
        <n v="7884.8029049926135" u="1"/>
        <n v="27147.679902673077" u="1"/>
        <n v="1589.7168490680306" u="1"/>
        <n v="1535.8099786960004" u="1"/>
        <n v="26477.96681497349" u="1"/>
        <n v="5900.1143246156307" u="1"/>
        <n v="35025.282903729138" u="1"/>
        <n v="70966.271336345017" u="1"/>
        <n v="0.54879961368330754" u="1"/>
        <n v="20.368269735353607" u="1"/>
        <n v="3.6614690384114388" u="1"/>
        <n v="1.8869233320000001" u="1"/>
        <n v="6.3572473440000001" u="1"/>
        <n v="37.748011958999996" u="1"/>
        <n v="301.76158692805751" u="1"/>
        <n v="969.82600963931168" u="1"/>
        <n v="3443.6249328549384" u="1"/>
        <n v="228.54396097705191" u="1"/>
        <n v="1671.6194171693887" u="1"/>
        <n v="1774.7540260897838" u="1"/>
        <n v="1.4749850570718276E-3" u="1"/>
        <n v="1.0214821887781014E-2" u="1"/>
        <n v="1.0324895399502794E-2" u="1"/>
        <n v="3493.5409348177468" u="1"/>
        <n v="11244.103590333896" u="1"/>
        <n v="22546.168284222043" u="1"/>
        <n v="271.02269266819997" u="1"/>
        <n v="2640.0228451893995" u="1"/>
        <n v="8515.5233020527994" u="1"/>
        <n v="2142.584923744098" u="1"/>
        <n v="10006.963919897324" u="1"/>
        <n v="25532.46579447281" u="1"/>
        <n v="892.07904745135613" u="1"/>
        <n v="3276.3678439148234" u="1"/>
        <n v="7854.7002279553035" u="1"/>
        <n v="3467.2311684076067" u="1"/>
        <n v="286.16566081192371" u="1"/>
        <n v="667.69433270443085" u="1"/>
        <n v="687.39551392798796" u="1"/>
        <n v="2882.1130258694088" u="1"/>
        <n v="49.084482215151645" u="1"/>
        <n v="1.6696975915631577E-2" u="1"/>
        <n v="7284.3986374018041" u="1"/>
        <n v="7.9250125753941997E-3" u="1"/>
        <n v="0.11837320459624488" u="1"/>
        <n v="6.9102863168469905E-2" u="1"/>
        <n v="2520.2484041305815" u="1"/>
        <n v="13441.170006398546" u="1"/>
        <n v="86.556084972602562" u="1"/>
        <n v="173.22828047570877" u="1"/>
        <n v="1731.1850802000097" u="1"/>
        <n v="7894.5126344313658" u="1"/>
        <n v="412.80741101252181" u="1"/>
        <n v="1157.6544943901351" u="1"/>
        <n v="4253.1433722894517" u="1"/>
        <n v="92.166709621788385" u="1"/>
        <n v="121.23139266830856" u="1"/>
        <n v="843.45734842530203" u="1"/>
        <n v="1300.8722075884705" u="1"/>
        <n v="3748.2371230493945" u="1"/>
        <n v="18368.572718414056" u="1"/>
        <n v="25885.096328375053" u="1"/>
        <n v="1259.5342127075271" u="1"/>
        <n v="19725.056486755795" u="1"/>
        <n v="147.77420280754319" u="1"/>
        <n v="157.15669187468882" u="1"/>
        <n v="624.94078965094809" u="1"/>
        <n v="771.30674115065017" u="1"/>
        <n v="1163.3743049995771" u="1"/>
        <n v="6874.4116409830285" u="1"/>
        <n v="85.996403732334684" u="1"/>
        <n v="5.3969921420656691E-4" u="1"/>
        <n v="6.7097740180898909E-4" u="1"/>
        <n v="1256.7543338620933" u="1"/>
        <n v="1.6602947228115997E-3" u="1"/>
        <n v="22.503695514430504" u="1"/>
        <n v="47.157744155795477" u="1"/>
        <n v="1.4878001437396075E-3" u="1"/>
        <n v="930.37738835192647" u="1"/>
        <n v="4772.8112199212464" u="1"/>
        <n v="5.175836195937554E-3" u="1"/>
        <n v="25.565411437860746" u="1"/>
        <n v="80.839636111851064" u="1"/>
        <n v="415.88724868882503" u="1"/>
        <n v="203.07552692731582" u="1"/>
        <n v="4.8599450132816007E-3" u="1"/>
        <n v="2.6186234183700097E-3" u="1"/>
        <n v="2.6291294297936287E-3" u="1"/>
        <n v="155.48077621575774" u="1"/>
        <n v="892.99978203698993" u="1"/>
        <n v="2.4097613252845019E-3" u="1"/>
        <n v="1.502466017282148E-2" u="1"/>
        <n v="1.5069662149709204E-2" u="1"/>
        <n v="13815.147509680572" u="1"/>
        <n v="8.9269130895364007E-2" u="1"/>
        <n v="0.19152343658575921" u="1"/>
        <n v="3.1716988538433986E-2" u="1"/>
        <n v="47.319717012083359" u="1"/>
        <n v="4.7653778377596971" u="1"/>
        <n v="148.63861558466192" u="1"/>
        <n v="964.63865873050736" u="1"/>
        <n v="5.0089611371922649" u="1"/>
        <n v="7.5134421626980332" u="1"/>
        <n v="177.46524308595602" u="1"/>
        <n v="1231.471521082656" u="1"/>
        <n v="3644.0837208258004" u="1"/>
        <n v="99.314184793225849" u="1"/>
        <n v="255.03295771230788" u="1"/>
        <n v="2074.4377372122112" u="1"/>
        <n v="6.2984980402473092E-2" u="1"/>
        <n v="42.482975015609497" u="1"/>
        <n v="123.70241804340087" u="1"/>
        <n v="147.69950157943498" u="1"/>
        <n v="319.75646482284702" u="1"/>
        <n v="1253.1136660318382" u="1"/>
        <n v="3.7840005370791008E-3" u="1"/>
        <n v="1.2174904447652103E-2" u="1"/>
        <n v="3.3698507303909886E-2" u="1"/>
        <n v="9.6222627709434991E-4" u="1"/>
        <n v="21.685741502718077" u="1"/>
        <n v="155.5992445559169" u="1"/>
        <n v="2.0805182563685574E-3" u="1"/>
        <n v="1.3536228084239999E-3" u="1"/>
        <n v="92.786574375131167" u="1"/>
        <n v="585.19820082729302" u="1"/>
        <n v="31.184373902305499" u="1"/>
        <n v="78.488206778266488" u="1"/>
        <n v="710.45696411942117" u="1"/>
        <n v="1205.7104659956112" u="1"/>
        <n v="2794.8826466512191" u="1"/>
        <n v="12661.867662678595" u="1"/>
        <n v="7.4022424574019001E-3" u="1"/>
        <n v="743.95945664387807" u="1"/>
        <n v="396.44937324748389" u="1"/>
        <n v="3042.0498069622809" u="1"/>
        <n v="3.019715694907819E-2" u="1"/>
        <n v="2.9898175197241725E-2" u="1"/>
        <n v="175.94755905508418" u="1"/>
        <n v="9.3309295205118321" u="1"/>
        <n v="4133.6990249686414" u="1"/>
        <n v="467.53439217331527" u="1"/>
        <n v="15668.253830392609" u="1"/>
        <n v="4110.3183093410416" u="1"/>
        <n v="1792.4743402982372" u="1"/>
        <n v="3874.3568099408931" u="1"/>
        <n v="1052.69798585952" u="1"/>
        <n v="603.78077811187075" u="1"/>
        <n v="2602.4457527164832" u="1"/>
        <n v="4698.902245656267" u="1"/>
        <n v="3452.6922311481603" u="1"/>
        <n v="2515.5329112650843" u="1"/>
        <n v="3406.1772048984267" u="1"/>
        <n v="3606.1496916609854" u="1"/>
        <n v="47.795437285315359" u="1"/>
        <n v="221.47463192772889" u="1"/>
        <n v="2698.4221590145294" u="1"/>
        <n v="38314.828775293332" u="1"/>
        <n v="163063.62725262874" u="1"/>
        <n v="347.67386268695867" u="1"/>
        <n v="12689.350820578949" u="1"/>
        <n v="99277.671807848383" u="1"/>
        <n v="6640.1641515730853" u="1"/>
        <n v="28363.804630210892" u="1"/>
        <n v="23703.473260920211" u="1"/>
        <n v="48546.744183769297" u="1"/>
        <n v="185.42250255123329" u="1"/>
        <n v="27071.819058494879" u="1"/>
        <n v="1630.9445242601782" u="1"/>
        <n v="21531.992218994405" u="1"/>
        <n v="86560.652929638352" u="1"/>
        <n v="7525.3639260503987" u="1"/>
        <n v="32016.66365534642" u="1"/>
        <n v="10114.459421873556" u="1"/>
        <n v="41673.876359308531" u="1"/>
        <n v="2546.3323917368639" u="1"/>
        <n v="3114.5201860456459" u="1"/>
        <n v="4625.9619469636136" u="1"/>
        <n v="549.78143840056612" u="1"/>
        <n v="5843.9063058840466" u="1"/>
        <n v="2703.8431396749147" u="1"/>
        <n v="1428.2179148727344" u="1"/>
        <n v="2585.1493339079848" u="1"/>
        <n v="33769.941329402573" u="1"/>
        <n v="15786.580112575131" u="1"/>
        <n v="4837.6808788806902" u="1"/>
        <n v="9341.4718917824266" u="1"/>
        <n v="11899.964193353409" u="1"/>
        <n v="2371.7143597875743" u="1"/>
        <n v="11.853980584254531" u="1"/>
        <n v="785.17344199660431" u="1"/>
        <n v="913.70246131052045" u="1"/>
        <n v="2913.9700117470647" u="1"/>
        <n v="9886.2857171807336" u="1"/>
        <n v="1020.8664599262715" u="1"/>
        <n v="4802.6057799214268" u="1"/>
        <n v="2666.2601669424957" u="1"/>
        <n v="3990.6769818943221" u="1"/>
        <n v="7667.6762970895352" u="1"/>
        <n v="1432.3558186172975" u="1"/>
        <n v="17721.239430334994" u="1"/>
        <n v="5479.593771222002" u="1"/>
        <n v="2318.4534437691786" u="1"/>
        <n v="1602.7569459099973" u="1"/>
        <n v="12705.863874895036" u="1"/>
        <n v="461.07140069648682" u="1"/>
        <n v="9882.4330308574881" u="1"/>
        <n v="11710.39752211437" u="1"/>
        <n v="1163.8819361756318" u="1"/>
        <n v="10427.8548229846" u="1"/>
        <n v="12335.641880178642" u="1"/>
        <n v="20039.13234695854" u="1"/>
        <n v="30016.11843942865" u="1"/>
        <n v="9478.3019624219905" u="1"/>
        <n v="20931.250167015314" u="1"/>
        <n v="10349.777825294886" u="1"/>
        <n v="25765.243575503428" u="1"/>
        <n v="225.65103516398997" u="1"/>
        <n v="340.90674177499994" u="1"/>
        <n v="12.227350190692112" u="1"/>
        <n v="19.929453997018268" u="1"/>
        <n v="2.2039919449599998" u="1"/>
        <n v="3.85698590368" u="1"/>
        <n v="0.76883165579137325" u="1"/>
        <n v="13.808010140253586" u="1"/>
        <n v="2.7313854156250001" u="1"/>
        <n v="21.304806241874999" u="1"/>
        <n v="2.6385183114937316" u="1"/>
        <n v="8.9080520812500001" u="1"/>
        <n v="10.180630950000001" u="1"/>
        <n v="2.6304403549115754" u="1"/>
        <n v="4.0573295546599182" u="1"/>
        <n v="1.8015396039214342" u="1"/>
        <n v="11.807668112679636" u="1"/>
        <n v="7.0992226911647389" u="1"/>
        <n v="8.433081141968439E-2" u="1"/>
        <n v="2.0516671151936037" u="1"/>
        <n v="0.44601459025947904" u="1"/>
        <n v="489.91998961799436" u="1"/>
        <n v="2443.7088520179432" u="1"/>
        <n v="3.8771905779820877" u="1"/>
        <n v="3.1812845768058153" u="1"/>
        <n v="0.27162774595933858" u="1"/>
        <n v="0.40744161893900788" u="1"/>
        <n v="1.2718115561600001" u="1"/>
        <n v="1.9077173342400002" u="1"/>
        <n v="5.5477375027200004" u="1"/>
        <n v="0.26818074443458068" u="1"/>
        <n v="154.17716782158834" u="1"/>
        <n v="135.98386671670281" u="1"/>
        <n v="484.42956991606928" u="1"/>
        <n v="1924.7674641856629" u="1"/>
        <n v="1.3344085053515651" u="1"/>
        <n v="3.3697184478574873" u="1"/>
        <n v="100.03845209046234" u="1"/>
        <n v="171.73260098526768" u="1"/>
        <n v="2392.7633434213194" u="1"/>
        <n v="2302.1022862844925" u="1"/>
        <n v="996.87790088282395" u="1"/>
        <n v="1255.0138667511835" u="1"/>
        <n v="5588.4987129833153" u="1"/>
        <n v="7081.6296181706502" u="1"/>
        <n v="1.7051865077102948" u="1"/>
        <n v="1.5158588717156043" u="1"/>
        <n v="6.0453895479134214" u="1"/>
        <n v="14.775318975854825" u="1"/>
        <n v="103.62731867431472" u="1"/>
        <n v="192.51454460616227" u="1"/>
        <n v="8.7761390209904011" u="1"/>
        <n v="1124.5030092243985" u="1"/>
        <n v="2977.245624665884" u="1"/>
        <n v="8218.8585065142215" u="1"/>
        <n v="1540.1711457120002" u="1"/>
        <n v="536.83204799999999" u="1"/>
        <n v="184.84051863869098" u="1"/>
        <n v="86.885230145436907" u="1"/>
        <n v="19.712892964032136" u="1"/>
        <n v="2587.4392103813125" u="1"/>
        <n v="2468.6965520330409" u="1"/>
        <n v="7456.1985171011456" u="1"/>
        <n v="448.25363954002921" u="1"/>
        <n v="5226.0572420466597" u="1"/>
        <n v="1.00923952637029" u="1"/>
        <n v="3.3382538179940364" u="1"/>
        <n v="1.2852487509043102" u="1"/>
        <n v="0.85683250060287341" u="1"/>
        <n v="5.4167358163551539E-2" u="1"/>
        <n v="0.40240971728830816" u="1"/>
        <n v="0.20760859612838925" u="1"/>
        <n v="32.055410731021936" u="1"/>
        <n v="18.870349548106915" u="1"/>
        <n v="6.261259939452426" u="1"/>
        <n v="18.479648908402353" u="1"/>
        <n v="273.61664508377282" u="1"/>
        <n v="261.45729210120021" u="1"/>
        <n v="14.209635440282113" u="1"/>
        <n v="773.6459481371802" u="1"/>
        <n v="86.734739359210678" u="1"/>
        <n v="1971.173876379896" u="1"/>
        <n v="87.217590062220509" u="1"/>
        <n v="15.931767264481826" u="1"/>
        <n v="57.635169945172841" u="1"/>
        <n v="1589.4624558636865" u="1"/>
        <n v="137.75235884504869" u="1"/>
        <n v="2914.6107356497032" u="1"/>
        <n v="8.9065182990225384" u="1"/>
        <n v="15.619619624688507" u="1"/>
        <n v="0.97713618576850092" u="1"/>
        <n v="3890.6387592454694" u="1"/>
        <n v="724.54271027841446" u="1"/>
        <n v="235.32553641073764" u="1"/>
        <n v="63604.925353244893" u="1"/>
        <n v="12003.816804128295" u="1"/>
        <n v="113888.49144722139" u="1"/>
        <n v="6.2530351694099418" u="1"/>
        <n v="1.9507735645388994E-2" u="1"/>
        <n v="15.689808598034455" u="1"/>
        <n v="43981.253584384205" u="1"/>
        <n v="7002.0341117577727" u="1"/>
        <n v="34050.812491379373" u="1"/>
        <n v="16.912657633199998" u="1"/>
        <n v="132.3289738428" u="1"/>
        <n v="13796.908228989583" u="1"/>
        <n v="3065.5971899931906" u="1"/>
        <n v="39851.306275707895" u="1"/>
        <n v="1081.5970278152868" u="1"/>
        <n v="877.26254172364588" u="1"/>
        <n v="25088.85814728613" u="1"/>
        <n v="36739.178423193196" u="1"/>
        <n v="5859.2295676117374" u="1"/>
        <n v="70577.924786378848" u="1"/>
        <n v="13.99763737222135" u="1"/>
        <n v="0.26517730656128763" u="1"/>
        <n v="2.9672629192044915" u="1"/>
        <n v="9.1718877164699979" u="1"/>
        <n v="1.66583357877" u="1"/>
        <n v="42.264561548430002" u="1"/>
        <n v="1141.1995891272381" u="1"/>
        <n v="352.55258200685341" u="1"/>
        <n v="4026.1474268222164" u="1"/>
        <n v="2297.6715728186505" u="1"/>
        <n v="340.73485630506173" u="1"/>
        <n v="1149.5382744526116" u="1"/>
        <n v="1.8626411493629709E-2" u="1"/>
        <n v="2.6895895906749795E-3" u="1"/>
        <n v="1.8827127134724859E-2" u="1"/>
        <n v="8404.5485076013356" u="1"/>
        <n v="2985.9580882753271" u="1"/>
        <n v="15837.436622366773" u="1"/>
        <n v="3709.6922292611998" u="1"/>
        <n v="299.20324720159999" u="1"/>
        <n v="12264.246430833598" u="1"/>
        <n v="9649.2735628526625" u="1"/>
        <n v="2049.4668093582068" u="1"/>
        <n v="24450.302212044502" u="1"/>
        <n v="2705.4130323991317" u="1"/>
        <n v="358.00110435315599" u="1"/>
        <n v="6462.3126382273795" u="1"/>
        <n v="6393.318068140934" u="1"/>
        <n v="1228.1051743373844" u="1"/>
        <n v="5149.2013671567283" u="1"/>
        <n v="498.11729556270603" u="1"/>
        <n v="1162.2292287818022" u="1"/>
        <n v="97.048872831478889" u="1"/>
        <n v="6523.8305348894974" u="1"/>
        <n v="14059.8594928739" u="1"/>
        <n v="1215.4410538739457" u="1"/>
        <n v="12054.078684216605" u="1"/>
        <n v="7.2337038640326409E-2" u="1"/>
        <n v="626.87687604640405" u="1"/>
        <n v="4558.9298633678918" u="1"/>
        <n v="268.83604865353186" u="1"/>
        <n v="1568.417485750987" u="1"/>
        <n v="2837.257492669255" u="1"/>
        <n v="11866.422919269688" u="1"/>
        <n v="1714.3559277505328" u="1"/>
        <n v="25432.423212749924" u="1"/>
        <n v="3314.5865047705365" u="1"/>
        <n v="531.49229914746456" u="1"/>
        <n v="8022.5365193183807" u="1"/>
        <n v="1439.5268450392705" u="1"/>
        <n v="591.92192676237096" u="1"/>
        <n v="5445.4019226567298" u="1"/>
        <n v="653.625062738574" u="1"/>
        <n v="318.95153210273276" u="1"/>
        <n v="214.11209810380799" u="1"/>
        <n v="159.4321714814397" u="1"/>
        <n v="615.04749749427197" u="1"/>
        <n v="285.09915858119138" u="1"/>
        <n v="698.06146018015647" u="1"/>
        <n v="264.85943897599998" u="1"/>
        <n v="968.64820596174093" u="1"/>
        <n v="934.09282823706167" u="1"/>
        <n v="4187.9561163869075" u="1"/>
        <n v="383.80963193000639" u="1"/>
        <n v="1627.9038222153615" u="1"/>
        <n v="862.13835469640833" u="1"/>
        <n v="1320.8014934956054" u="1"/>
        <n v="327.31656634050353" u="1"/>
        <n v="2187.169125760216" u="1"/>
        <n v="370.82173897458938" u="1"/>
        <n v="1112.7347094666275" u="1"/>
        <n v="821.00223516089693" u="1"/>
        <n v="1418.8287240840154" u="1"/>
        <n v="340.46281755139057" u="1"/>
        <n v="4631.1679200461776" u="1"/>
        <n v="5.6336213273122963E-4" u="1"/>
        <n v="7.0039616524562268E-4" u="1"/>
        <n v="1192.3015446493348" u="1"/>
        <n v="153.33359034592939" u="1"/>
        <n v="440.1728480487551" u="1"/>
        <n v="2.5842511990507772E-3" u="1"/>
        <n v="392.30649051442617" u="1"/>
        <n v="2105.1837970335696" u="1"/>
        <n v="34.589021584425261" u="1"/>
        <n v="5.6711969618443072E-3" u="1"/>
        <n v="88.788877799073546" u="1"/>
        <n v="741.16993691094797" u="1"/>
        <n v="0.21722719994834039" u="1"/>
        <n v="4.5476160604700005E-3" u="1"/>
        <n v="7291.8640045065013" u="1"/>
        <n v="12893.043487852447" u="1"/>
        <n v="106.3823164606105" u="1"/>
        <n v="611.00405930625186" u="1"/>
        <n v="2.5859193930023862E-3" u="1"/>
        <n v="59.577303264149769" u="1"/>
        <n v="374.45014643948542" u="1"/>
        <n v="9672.5572260065092" u="1"/>
        <n v="9.0721310257706397E-2" u="1"/>
        <n v="4.7886247541424856E-2" u="1"/>
        <n v="0.18024136488228079" u="1"/>
        <n v="73.178849508670623" u="1"/>
        <n v="16.042092509981341" u="1"/>
        <n v="266.84432056910475" u="1"/>
        <n v="5.3148195144002269E-5" u="1"/>
        <n v="383.7914427659266" u="1"/>
        <n v="167.1089170265642" u="1"/>
        <n v="5.3060771276103834E-2" u="1"/>
        <n v="154.64363035001645" u="1"/>
        <n v="60.220867612203797" u="1"/>
        <n v="1257.870940204381" u="1"/>
        <n v="258.21539206020969" u="1"/>
        <n v="246.91865235457686" u="1"/>
        <n v="175.33578219478829" u="1"/>
        <n v="362.36061653589587" u="1"/>
        <n v="3.8886666882194001E-3" u="1"/>
        <n v="9.545958251399039E-3" u="1"/>
        <n v="3.1407591728544834E-2" u="1"/>
        <n v="60.920226547112932" u="1"/>
        <n v="5.4062904384159316E-4" u="1"/>
        <n v="314.35731805922819" u="1"/>
        <n v="1.7422303880285904E-3" u="1"/>
        <n v="1.1335266025252E-3" u="1"/>
        <n v="131.45844320154771" u="1"/>
        <n v="1630.5681925917659" u="1"/>
        <n v="979.19427847299335" u="1"/>
        <n v="1978.2856648131262" u="1"/>
        <n v="5.7676678473024016E-3" u="1"/>
        <n v="729.08857470165174" u="1"/>
        <n v="1285.2860433552787" u="1"/>
        <n v="4592.7222919221031" u="1"/>
        <n v="3.5365159046724978E-2" u="1"/>
        <n v="2514.1273837820213" u="1"/>
        <n v="3109.1515281242228" u="1"/>
        <n v="12451.370907238474" u="1"/>
        <n v="159.3185948902254" u="1"/>
        <n v="3288.7880512199322" u="1"/>
        <n v="2062.99817409752" u="1"/>
        <n v="4459.0825346936354" u="1"/>
        <n v="2972.2291206636082" u="1"/>
        <n v="3167.4710901802755" u="1"/>
        <n v="3937.6861132627205" u="1"/>
        <n v="2868.885596805696" u="1"/>
        <n v="219.64033759699228" u="1"/>
        <n v="371.72092377454351" u="1"/>
        <n v="238.21062378215476" u="1"/>
        <n v="3134.1024656232357" u="1"/>
        <n v="3251.8474058767274" u="1"/>
        <n v="26.107610963343891" u="1"/>
        <n v="104.45199347128433" u="1"/>
        <n v="727.73295679129001" u="1"/>
        <n v="4394.8468654046465" u="1"/>
        <n v="7375.4873059458623" u="1"/>
        <n v="8585.8819625642336" u="1"/>
        <n v="13390.903648396012" u="1"/>
        <n v="16715.591658974288" u="1"/>
        <n v="17064.4934479576" u="1"/>
        <n v="58.125038673140217" u="1"/>
        <n v="10.663672083619337" u="1"/>
        <n v="1549.1345119814589" u="1"/>
        <n v="3833.4373063115822" u="1"/>
        <n v="15250.066354661496" u="1"/>
        <n v="18726.019653127805" u="1"/>
        <n v="43539.931999921806" u="1"/>
        <n v="47428.357462101281" u="1"/>
        <n v="46707.149826317465" u="1"/>
        <n v="39511.494289521012" u="1"/>
        <n v="90434.706282917032" u="1"/>
        <n v="1775.5569012361177" u="1"/>
        <n v="462.23175528047682" u="1"/>
        <n v="2602.2490307277799" u="1"/>
        <n v="10954.88360350023" u="1"/>
        <n v="2952.0294144529767" u="1"/>
        <n v="25189.392235849857" u="1"/>
        <n v="22901.787204898486" u="1"/>
        <n v="8406.668154686653" u="1"/>
        <n v="15435.257175731029" u="1"/>
        <n v="763.76960060626152" u="1"/>
        <n v="244.76824956860466" u="1"/>
        <n v="874.03728094174551" u="1"/>
        <n v="2462.7327385991152" u="1"/>
        <n v="7785.4356458779857" u="1"/>
        <n v="930.1193483606977" u="1"/>
        <n v="1111.8584932130793" u="1"/>
        <n v="2380.9297585098293" u="1"/>
        <n v="3076.3688639609909" u="1"/>
        <n v="5.4598726560630553" u="1"/>
        <n v="1139.2245851115017" u="1"/>
        <n v="1713.3777469802326" u="1"/>
        <n v="12493.497534305539" u="1"/>
        <n v="15872.967689699877" u="1"/>
        <n v="6440.6351181980617" u="1"/>
        <n v="11335.867472106283" u="1"/>
        <n v="7780.647916604883" u="1"/>
        <n v="721.58882919612779" u="1"/>
        <n v="1298.8598925530289" u="1"/>
        <n v="10237.694627111689" u="1"/>
        <n v="5195.4395702121155" u="1"/>
        <n v="60.934583728125006" u="1"/>
        <n v="8953.5123783684157" u="1"/>
        <n v="10757.726130474819" u="1"/>
        <n v="13890.022466877057" u="1"/>
        <n v="17898.29380168323" u="1"/>
        <n v="19900.356022472803" u="1"/>
        <n v="9315.1176413065496" u="1"/>
        <n v="10.893675917121259" u="1"/>
        <n v="17.755687836107121" u="1"/>
        <n v="10.836847911599998" u="1"/>
        <n v="14.629744680659998" u="1"/>
        <n v="3.1511808710305176" u="1"/>
        <n v="2.6661010342079998" u="1"/>
        <n v="1.8485949159840001" u="1"/>
        <n v="0.10001619799688628" u="1"/>
        <n v="2.0635369521948994" u="1"/>
        <n v="0.44859498960758687" u="1"/>
        <n v="741.60695619007504" u="1"/>
        <n v="3.7063693349759994" u="1"/>
        <n v="0.92659233374399985" u="1"/>
        <n v="0.26923956582193381" u="1"/>
        <n v="138.07694846761947" u="1"/>
        <n v="156.55028328128975" u="1"/>
        <n v="352.91133304712167" u="1"/>
        <n v="1402.2105457129273" u="1"/>
        <n v="1.2259619943305347" u="1"/>
        <n v="3.0958636220468048" u="1"/>
        <n v="102.30227442322116" u="1"/>
        <n v="100.93824409757821" u="1"/>
        <n v="167.51146822954505" u="1"/>
        <n v="342.37957541243213" u="1"/>
        <n v="2446.9471463814075" u="1"/>
        <n v="2377.118199038629" u="1"/>
        <n v="421.00464071187054" u="1"/>
        <n v="2527.8210764589248" u="1"/>
        <n v="5.5400969310700905" u="1"/>
        <n v="8.7168979012793013" u="1"/>
        <n v="181.56540952646625" u="1"/>
        <n v="1.5078095393224329" u="1"/>
        <n v="1.3891586334623511" u="1"/>
        <n v="97.733584710302011" u="1"/>
        <n v="13.587182953648432" u="1"/>
        <n v="1167.8812399607843" u="1"/>
        <n v="3114.3780284137288" u="1"/>
        <n v="17.947791289530844" u="1"/>
        <n v="1853.0312620874997" u="1"/>
        <n v="748.31719074750004" u="1"/>
        <n v="541.89474820499811" u="1"/>
        <n v="1285.5477490616854" u="1"/>
        <n v="629.638345834353" u="1"/>
        <n v="0.50683703006772718" u="1"/>
        <n v="0.5226792549596142" u="1"/>
        <n v="14.969342640796748" u="1"/>
        <n v="268.42988504520838" u="1"/>
        <n v="3105.5693387015981" u="1"/>
        <n v="4396.2595755603079" u="1"/>
        <n v="3.3396777723623887" u="1"/>
        <n v="0.86418042838740905" u="1"/>
        <n v="1.2962706425811137" u="1"/>
        <n v="1.0096700242025827" u="1"/>
        <n v="0.21758713215640302" u="1"/>
        <n v="18.897806456820017" u="1"/>
        <n v="40.057090395480223" u="1"/>
        <n v="28.740353740920096" u="1"/>
        <n v="30.51968792036589" u="1"/>
        <n v="6.3859657748506855" u="1"/>
        <n v="204.19140450308717" u="1"/>
        <n v="14.128181768207032" u="1"/>
        <n v="259.95854453501744" u="1"/>
        <n v="179.14134914000005" u="1"/>
        <n v="897.55968926000003" u="1"/>
        <n v="2276.8419804" u="1"/>
        <n v="85.726796508427711" u="1"/>
        <n v="108.90958960435709" u="1"/>
        <n v="28.98011733594959" u="1"/>
        <n v="200.22548074387993" u="1"/>
        <n v="1584.3738783311467" u="1"/>
        <n v="2908.166675600758" u="1"/>
        <n v="0.94520948175948338" u="1"/>
        <n v="6355.8740451248377" u="1"/>
        <n v="1488.1642960892334" u="1"/>
        <n v="1235.4359596449669" u="1"/>
        <n v="11627.007189839238" u="1"/>
        <n v="104618.47830756412" u="1"/>
        <n v="56511.952761665591" u="1"/>
        <n v="8.7654827739214678" u="1"/>
        <n v="22.14214579766778" u="1"/>
        <n v="3.1041784090508479E-2" u="1"/>
        <n v="13790.318762702984" u="1"/>
        <n v="40783.365492475779" u="1"/>
        <n v="49022.067836801427" u="1"/>
        <n v="188.02665713159999" u="1"/>
        <n v="22.282843983599999" u="1"/>
        <n v="2.7111307563999998" u="1"/>
        <n v="2256.4288777239708" u="1"/>
        <n v="28736.605529055687" u="1"/>
        <n v="8666.557807506053" u="1"/>
        <n v="1669.2233584590911" u="1"/>
        <n v="28771.878901926324" u="1"/>
        <n v="1727.082710717418" u="1"/>
        <n v="6708.975845959958" u="1"/>
        <n v="80798.386626367675" u="1"/>
        <n v="41754.942191131042" u="1"/>
        <n v="21.30194635187846" u="1"/>
        <n v="3.7896343015572" u="1"/>
        <n v="0.5634287486486016" u="1"/>
        <n v="2.0753200769999998" u="1"/>
        <n v="41.552481032999999" u="1"/>
        <n v="8.898885116999999" u="1"/>
        <n v="1062.4695254686385" u="1"/>
        <n v="3771.7691649224444" u="1"/>
        <n v="330.28810079654465" u="1"/>
        <n v="246.01585102511325" u="1"/>
        <n v="8.6383642722625761E-3" u="1"/>
        <n v="1.2473500134517082E-3" u="1"/>
        <n v="1913.4892421145337" u="1"/>
        <n v="1830.9236441016053" u="1"/>
        <n v="8.7314500941619595E-3" u="1"/>
        <n v="3660.1340120720088" u="1"/>
        <n v="22456.823633310822" u="1"/>
        <n v="11293.407313927548" u="1"/>
        <n v="247.10635088039999" u="1"/>
        <n v="2445.7738606971998" u="1"/>
        <n v="7582.1277572127992" u="1"/>
        <n v="27921.638919243527" u="1"/>
        <n v="2340.7330705423765" u="1"/>
        <n v="10945.696786040722" u="1"/>
        <n v="7618.3194032683914" u="1"/>
        <n v="3178.4505887032078" u="1"/>
        <n v="864.55027859475581" u="1"/>
        <n v="286.40962450243978" u="1"/>
        <n v="687.64448205630697" u="1"/>
        <n v="2883.1568998416938" u="1"/>
        <n v="3498.2954337724036" u="1"/>
        <n v="668.26355953996756" u="1"/>
        <n v="53.324312090860666" u="1"/>
        <n v="1.7283932160900645E-2" u="1"/>
        <n v="7540.4703527668798" u="1"/>
        <n v="7.1336027275696198E-2" u="1"/>
        <n v="8.1332629510337991E-3" u="1"/>
        <n v="5474.1635876425398" u="1"/>
        <n v="2542.5119132324585" u="1"/>
        <n v="13559.90735398972" u="1"/>
        <n v="916.4387034777285" u="1"/>
        <n v="257.43090395594703" u="1"/>
        <n v="9771.4484679780926" u="1"/>
        <n v="6091.1259199435772" u="1"/>
        <n v="12711.673850840169" u="1"/>
        <n v="3038.5361045869995" u="1"/>
        <n v="20.20629973886048" u="1"/>
        <n v="29.091052139382221" u="1"/>
        <n v="90.92834882487216" u="1"/>
        <n v="220.20901220256212" u="1"/>
        <n v="657.41226889258871" u="1"/>
        <n v="398.86704817983008" u="1"/>
        <n v="2059.5535480830208" u="1"/>
        <n v="319.82004747025314" u="1"/>
        <n v="898.32752679371004" u="1"/>
        <n v="838.92374134258898" u="1"/>
        <n v="241.17112008274651" u="1"/>
        <n v="18239.836317540292" u="1"/>
        <n v="1320.0026086754358" u="1"/>
        <n v="42.106862329036112" u="1"/>
        <n v="629.6611457246903" u="1"/>
        <n v="239.94980939896823" u="1"/>
        <n v="212.29731116534427" u="1"/>
        <n v="392.82668599167039" u="1"/>
        <n v="6.7051645329355744E-4" u="1"/>
        <n v="5.393284515014475E-4" u="1"/>
        <n v="1.4827639794568E-3" u="1"/>
        <n v="1232.8583163069932" u="1"/>
        <n v="54.503829939796688" u="1"/>
        <n v="26.009250766605" u="1"/>
        <n v="1.5131609961840562E-3" u="1"/>
        <n v="3417.0563990934575" u="1"/>
        <n v="636.77737103390541" u="1"/>
        <n v="22.306728566068273" u="1"/>
        <n v="4.5161007247124917E-3" u="1"/>
        <n v="70.53545077926124" u="1"/>
        <n v="4.9186604468364004E-3" u="1"/>
        <n v="2.6417217569038257E-3" u="1"/>
        <n v="209.3449265537686" u="1"/>
        <n v="2.6311654291847459E-3" u="1"/>
        <n v="428.72662623976652" u="1"/>
        <n v="164.1673845202788" u="1"/>
        <n v="942.89109021912293" u="1"/>
        <n v="2.3313120527453067E-3" u="1"/>
        <n v="1.6262722936788144E-2" u="1"/>
        <n v="1.6311433169344334E-2" u="1"/>
        <n v="9.2072168709795302E-2" u="1"/>
        <n v="17409.31833673302" u="1"/>
        <n v="3.263858247471102E-2" u="1"/>
        <n v="0.19785607699322641" u="1"/>
        <n v="48.694676183043939" u="1"/>
        <n v="134.12038857895126" u="1"/>
        <n v="24.594719454506251" u="1"/>
        <n v="27.740310183022505" u="1"/>
        <n v="5.5094407798553666" u="1"/>
        <n v="142.5743330713795" u="1"/>
        <n v="925.28252421079264" u="1"/>
        <n v="9.6028012207717026" u="1"/>
        <n v="6.4018670912021429" u="1"/>
        <n v="20.102536992542401" u="1"/>
        <n v="59.596915225365599" u="1"/>
        <n v="7575.8786649348122" u="1"/>
        <n v="1729.9747945083943" u="1"/>
        <n v="698.09694994465337" u="1"/>
        <n v="2028.9976911819417" u="1"/>
        <n v="6.7650405302651373E-2" u="1"/>
        <n v="249.44652379346948" u="1"/>
        <n v="97.138732116331497" u="1"/>
        <n v="42.408014599391429" u="1"/>
        <n v="123.48414743640488" u="1"/>
        <n v="822.39864036734434" u="1"/>
        <n v="243.23896794329426" u="1"/>
        <n v="76.897510664269404" u="1"/>
        <n v="4.0386676394747996E-3" u="1"/>
        <n v="1.2649124266745308E-2" u="1"/>
        <n v="3.4076850628463919E-2" u="1"/>
        <n v="9.709742678730177E-4" u="1"/>
        <n v="109.41323452827346" u="1"/>
        <n v="564.58836278118486" u="1"/>
        <n v="1.2887501812130001E-3" u="1"/>
        <n v="1.9808090285243808E-3" u="1"/>
        <n v="92.3776102499654" u="1"/>
        <n v="582.61889372536109" u="1"/>
        <n v="336.13044202901267" u="1"/>
        <n v="74.074631194354083" u="1"/>
        <n v="21.083323873846719" u="1"/>
        <n v="87.00007312428059" u="1"/>
        <n v="6.5646140424357978E-3" u="1"/>
        <n v="18.023134379999998" u="1"/>
        <n v="8640.4595080981417" u="1"/>
        <n v="3.2433734898658195E-2" u="1"/>
        <n v="1521.2520538424351" u="1"/>
        <n v="3.2758072246630021E-2" u="1"/>
        <n v="9.5849691859869193" u="1"/>
        <n v="22631.950552315539" u="1"/>
        <n v="4102.5420324380448" u="1"/>
        <n v="4060.2914089473047" u="1"/>
        <n v="4899.4875545019286" u="1"/>
        <n v="2581.2718737645841" u="1"/>
        <n v="1224.6411239949423" u="1"/>
        <n v="1878.4971342849699" u="1"/>
        <n v="1084.6063881081" u="1"/>
        <n v="2713.5381648953576" u="1"/>
        <n v="3542.9221796768802" u="1"/>
        <n v="321.38814516439811" u="1"/>
        <n v="3483.6421340812922" u="1"/>
        <n v="184.39561496800167" u="1"/>
        <n v="346.56209738623079" u="1"/>
        <n v="3614.5189128213183" u="1"/>
        <n v="584.65003047716993" u="1"/>
        <n v="1551.8488463282911" u="1"/>
        <n v="25.876035648277835" u="1"/>
        <n v="10.569084983099398" u="1"/>
        <n v="22130.179576931736" u="1"/>
        <n v="101198.37101568015" u="1"/>
        <n v="8208.6360285461469" u="1"/>
        <n v="37391.424988597551" u="1"/>
        <n v="767.86911582589096" u="1"/>
        <n v="9175.1976701235308" u="1"/>
        <n v="36493.751833439659" u="1"/>
        <n v="692.15533082966363" u="1"/>
        <n v="17589.318421950273" u="1"/>
        <n v="34807.152561999617" u="1"/>
        <n v="95.274304882226716" u="1"/>
        <n v="13910.117203724263" u="1"/>
        <n v="7134.1898462073077" u="1"/>
        <n v="33892.37138029687" u="1"/>
        <n v="33.747699185544825" u="1"/>
        <n v="6759.7182875585077" u="1"/>
        <n v="4478.0567864779869" u="1"/>
        <n v="36278.00613652492" u="1"/>
        <n v="2368.9700577896883" u="1"/>
        <n v="3768.4606199822765" u="1"/>
        <n v="462.58766254969169" u="1"/>
        <n v="74.783420683041598" u="1"/>
        <n v="2999.1250667461127" u="1"/>
        <n v="6946.9964650188249" u="1"/>
        <n v="12621.332186824908" u="1"/>
        <n v="713.53221816155633" u="1"/>
        <n v="21739.787944966651" u="1"/>
        <n v="9205.7997400991226" u="1"/>
        <n v="4476.2081991213608" u="1"/>
        <n v="4277.961215943491" u="1"/>
        <n v="325.00409230037377" u="1"/>
        <n v="6697.5830029470717" u="1"/>
        <n v="4318.9542135345646" u="1"/>
        <n v="602.34673007752087" u="1"/>
        <n v="5.2501430061519843" u="1"/>
        <n v="906.89019577685121" u="1"/>
        <n v="1819.7467744206542" u="1"/>
        <n v="739.83147550216813" u="1"/>
        <n v="1406.9348590272607" u="1"/>
        <n v="680.77493178738416" u="1"/>
        <n v="5499.3314568188653" u="1"/>
        <n v="9099.2351203610469" u="1"/>
        <n v="7701.6435199624584" u="1"/>
        <n v="1404.2727099186575" u="1"/>
        <n v="2701.6870089626136" u="1"/>
        <n v="6843.0273029779746" u="1"/>
        <n v="1747.9331139376748" u="1"/>
        <n v="15472.4449715224" u="1"/>
        <n v="19307.894841859386" u="1"/>
        <n v="9076.8031455612127" u="1"/>
        <n v="17576.234241423255" u="1"/>
        <n v="29243.328574762872" u="1"/>
        <n v="11686.986391664999" u="1"/>
        <n v="21337.952516278099" u="1"/>
        <n v="9016.3104892729261" u="1"/>
        <n v="21176.105471235544" u="1"/>
        <n v="231.82270177500001" u="1"/>
        <n v="348.05002453185006" u="1"/>
        <n v="12.974847894576335" u="1"/>
        <n v="21.147806368554821" u="1"/>
        <n v="8.8124731802249876" u="1"/>
        <n v="4.883832" u="1"/>
        <n v="3.7442711999999991" u="1"/>
        <n v="5.604812556874224" u="1"/>
        <n v="14.448784123721989" u="1"/>
        <n v="14.557968890400002" u="1"/>
        <n v="3.4211226892439917" u="1"/>
        <n v="3.535007405249984" u="1"/>
        <n v="11.899571898868738" u="1"/>
        <n v="10.453500644177609" u="1"/>
        <n v="1.8155617045589352" u="1"/>
        <n v="0.10228569875477744" u="1"/>
        <n v="2.0952785394965296" u="1"/>
        <n v="0.45549533467315861" u="1"/>
        <n v="822.57465273097" u="1"/>
        <n v="3.9512957982346717" u="1"/>
        <n v="3.2420888600899871" u="1"/>
        <n v="0.26508736660359339" u="1"/>
        <n v="158.52963750164" u="1"/>
        <n v="139.82273381501102" u="1"/>
        <n v="508.20364225811733" u="1"/>
        <n v="2019.2281738056361" u="1"/>
        <n v="1.2868228733462592" u="1"/>
        <n v="3.2495527104703514" u="1"/>
        <n v="105.41844609639253" u="1"/>
        <n v="172.57218384791449" u="1"/>
        <n v="2344.8428472632895" u="1"/>
        <n v="2266.3236577259254" u="1"/>
        <n v="795.5637473621116" u="1"/>
        <n v="818.84233245135169" u="1"/>
        <n v="5085.3056587618385" u="1"/>
        <n v="5297.2314008803432" u="1"/>
        <n v="13.164648971035305" u="1"/>
        <n v="1.5264530227215458" u="1"/>
        <n v="1.3944840096379243" u="1"/>
        <n v="5.56133503843696" u="1"/>
        <n v="95.882496088046764" u="1"/>
        <n v="178.12653368081106" u="1"/>
        <n v="8.4818702722055725" u="1"/>
        <n v="1149.8513309528078" u="1"/>
        <n v="3066.2978379393726" u="1"/>
        <n v="3189.3036906327379" u="1"/>
        <n v="1564.402742664" u="1"/>
        <n v="762.62588912160004" u="1"/>
        <n v="1449.5627508858245" u="1"/>
        <n v="553.67397134000009" u="1"/>
        <n v="715.96688581917749" u="1"/>
        <n v="2.9238562937991088" u="1"/>
        <n v="0.50023133557622013" u="1"/>
        <n v="0.5162036526265249" u="1"/>
        <n v="89.3811366842761" u="1"/>
        <n v="583.54931975397551" u="1"/>
        <n v="1310.031929552149" u="1"/>
        <n v="417.97557431263164" u="1"/>
        <n v="19.852620473349706" u="1"/>
        <n v="990.14227324562137" u="1"/>
        <n v="4069.9770789764766" u="1"/>
        <n v="1398.616792678898" u="1"/>
        <n v="246.09535354256309" u="1"/>
        <n v="2853.3048920906631" u="1"/>
        <n v="1.0428223744301335" u="1"/>
        <n v="3.4493355461919806" u="1"/>
        <n v="1.3265351862648844" u="1"/>
        <n v="0.88435679084325625" u="1"/>
        <n v="0.4186861804458879" u="1"/>
        <n v="0.21212630261116919" u="1"/>
        <n v="28.940131017157846" u="1"/>
        <n v="19.029167132991386" u="1"/>
        <n v="6.2649776462049411" u="1"/>
        <n v="201.85431722625003" u="1"/>
        <n v="261.66032886732324" u="1"/>
        <n v="14.220670047137123" u="1"/>
        <n v="143.41845679597552" u="1"/>
        <n v="2144.2383075986309" u="1"/>
        <n v="884.83944804905559" u="1"/>
        <n v="17.337422776897146" u="1"/>
        <n v="55.928275037599029" u="1"/>
        <n v="87.777935782411731" u="1"/>
        <n v="136.59010106340895" u="1"/>
        <n v="2855.3080037640539" u="1"/>
        <n v="1564.7907359146166" u="1"/>
        <n v="1.7440219519157552" u="1"/>
        <n v="859.15066066095233" u="1"/>
        <n v="553.06741156405212" u="1"/>
        <n v="5695.9189765851024" u="1"/>
        <n v="12266.758640913682" u="1"/>
        <n v="115070.69670053145" u="1"/>
        <n v="59765.001057047215" u="1"/>
        <n v="2.2805328606561363E-2" u="1"/>
        <n v="16.251561525997179" u="1"/>
        <n v="6.455207645822405" u="1"/>
        <n v="6918.45879576266" u="1"/>
        <n v="33049.817911479739" u="1"/>
        <n v="38366.800969737567" u="1"/>
        <n v="3.4147696968000001" u="1"/>
        <n v="159.6004969944" u="1"/>
        <n v="22.517908736399995" u="1"/>
        <n v="2604.7375594836703" u="1"/>
        <n v="33824.100975806425" u="1"/>
        <n v="11534.695370084772" u="1"/>
        <n v="932.53263948689346" u="1"/>
        <n v="26535.286402428312" u="1"/>
        <n v="1146.2795709773952" u="1"/>
        <n v="6232.2373844498406" u="1"/>
        <n v="74963.451120891405" u="1"/>
        <n v="38881.263032480725" u="1"/>
        <n v="0.33087322514041412" u="1"/>
        <n v="2.9170697105056083" u="1"/>
        <n v="16.822848301565898" u="1"/>
        <n v="1.5597837532800001" u="1"/>
        <n v="39.245704005600004" u="1"/>
        <n v="7.7559028977600004" u="1"/>
        <n v="313.3960861926729" u="1"/>
        <n v="3576.4404550644208" u="1"/>
        <n v="1010.5788304569542" u="1"/>
        <n v="259.96775903961117" u="1"/>
        <n v="1847.8067383108953" u="1"/>
        <n v="1940.7446453138923" u="1"/>
        <n v="1.3520486026731471E-3" u="1"/>
        <n v="9.4643402187120276E-3" u="1"/>
        <n v="9.3634410692588089E-3" u="1"/>
        <n v="3043.8161449917598" u="1"/>
        <n v="16144.017443554205" u="1"/>
        <n v="8536.1501574868853" u="1"/>
        <n v="455.80440522959998" u="1"/>
        <n v="13974.614817592799" u="1"/>
        <n v="4634.0907665472005" u="1"/>
        <n v="1901.5960715834817" u="1"/>
        <n v="22661.953894947121" u="1"/>
        <n v="8913.6126744442863" u="1"/>
        <n v="404.98366472285096" u="1"/>
        <n v="7294.5215654548829" u="1"/>
        <n v="3053.7525707689106" u="1"/>
        <n v="3461.6683916475927" u="1"/>
        <n v="665.07295706101252" u="1"/>
        <n v="2788.5189732265799" u="1"/>
        <n v="269.66930223603822" u="1"/>
        <n v="629.20430178972265" u="1"/>
        <n v="76.515754962837704" u="1"/>
        <n v="4317.6725003485144" u="1"/>
        <n v="11327.423530965239" u="1"/>
        <n v="8.549389259394401E-3" u="1"/>
        <n v="5402.8557319347783" u="1"/>
        <n v="7.0406785929817597E-2" u="1"/>
        <n v="5246.9878463067625" u="1"/>
        <n v="721.48847390170226" u="1"/>
        <n v="276.39320134592731" u="1"/>
        <n v="1270.3905470919101" u="1"/>
        <n v="785.48275102376726" u="1"/>
        <n v="258.49738337274397" u="1"/>
        <n v="180.80126588181562" u="1"/>
        <n v="721.80132699091291" u="1"/>
        <n v="938.93193577599993" u="1"/>
        <n v="877.12079315090716" u="1"/>
        <n v="12263.119942447292" u="1"/>
        <n v="2293.8883705864805" u="1"/>
        <n v="724.74399264389365" u="1"/>
        <n v="875.79928157632366" u="1"/>
        <n v="3368.9449912379046" u="1"/>
        <n v="2707.9896270264544" u="1"/>
        <n v="663.46679008125739" u="1"/>
        <n v="3471.2416575117791" u="1"/>
        <n v="678.13708330293412" u="1"/>
        <n v="662.40788228516908" u="1"/>
        <n v="116.03698325231861" u="1"/>
        <n v="768.55664232055176" u="1"/>
        <n v="144.66948561328033" u="1"/>
        <n v="402.42710480612078" u="1"/>
        <n v="947.6676573063387" u="1"/>
        <n v="8313.8274981576724" u="1"/>
        <n v="1140.0757082097798" u="1"/>
        <n v="697.33383276884979" u="1"/>
        <n v="236.33815549452359" u="1"/>
        <n v="5362.1649067681356" u="1"/>
        <n v="1238.6917553397341" u="1"/>
        <n v="6.8588955312977849E-4" u="1"/>
        <n v="5.5169377074857577E-4" u="1"/>
        <n v="1222.4855046059502" u="1"/>
        <n v="14.437821450663467" u="1"/>
        <n v="3.4762734574768199" u="1"/>
        <n v="49.103460674668177" u="1"/>
        <n v="9.8415207502781392" u="1"/>
        <n v="2.1527199773110051E-3" u="1"/>
        <n v="2971.5180324407943" u="1"/>
        <n v="553.75013452499627" u="1"/>
        <n v="7.1374563504284037E-3" u="1"/>
        <n v="379.88850090557844" u="1"/>
        <n v="0.1113403434689488" u="1"/>
        <n v="5.0126585914840004E-3" u="1"/>
        <n v="2838.960032153208" u="1"/>
        <n v="9183.0690565273017" u="1"/>
        <n v="784.30368134967625" u="1"/>
        <n v="136.55562702038023" u="1"/>
        <n v="3.450102820949865E-3" u="1"/>
        <n v="103.49647568085638" u="1"/>
        <n v="32.546823516107175" u="1"/>
        <n v="6977.9776900939551" u="1"/>
        <n v="9.6489712800230387E-2" u="1"/>
        <n v="0.23245217554198497" u="1"/>
        <n v="2.3107874928105395E-2" u="1"/>
        <n v="18.2410745201487" u="1"/>
        <n v="24.822256535485199" u="1"/>
        <n v="6.1876275969222004E-5" u="1"/>
        <n v="1105.5851807958627" u="1"/>
        <n v="170.35669180072131" u="1"/>
        <n v="3716.4676194623253" u="1"/>
        <n v="895.06070722032109" u="1"/>
        <n v="3372.3577613978555" u="1"/>
        <n v="1101.020912967793" u="1"/>
        <n v="4.0782026104820002" u="1"/>
        <n v="4.6106106679814998" u="1"/>
        <n v="76.901823443343176" u="1"/>
        <n v="1606.296672962133" u="1"/>
        <n v="197.47933819383084" u="1"/>
        <n v="6.1898568154594477E-2" u="1"/>
        <n v="823.43404535418631" u="1"/>
        <n v="447.26927029328482" u="1"/>
        <n v="3.6457728317934E-3" u="1"/>
        <n v="8.9675783247659749E-3" u="1"/>
        <n v="3.3497952526130373E-2" u="1"/>
        <n v="7.6901855398142129E-4" u="1"/>
        <n v="447.15801507750763" u="1"/>
        <n v="86.656063071980299" u="1"/>
        <n v="1.9637384189200332E-3" u="1"/>
        <n v="1.2776437339380002E-3" u="1"/>
        <n v="1515.1961372864146" u="1"/>
        <n v="174.75785967055398" u="1"/>
        <n v="1302.1161665008369" u="1"/>
        <n v="18701.144719995307" u="1"/>
        <n v="5030.7385040018407" u="1"/>
        <n v="193.40908071201682" u="1"/>
        <n v="360.59645234321403" u="1"/>
        <n v="8601.2255229229286" u="1"/>
        <n v="2683.2547848398144" u="1"/>
        <n v="7.5008272974689998E-3" u="1"/>
        <n v="1152.0117185501174" u="1"/>
        <n v="6760.7030259984685" u="1"/>
        <n v="620.1530226560966" u="1"/>
        <n v="3.5678556188416588E-2" u="1"/>
        <n v="3.5325303157568058E-2" u="1"/>
        <n v="9407.3149332682715" u="1"/>
        <n v="24640.574520399565" u="1"/>
        <n v="2512.5327859883314" u="1"/>
        <n v="3674.020784386762" u="1"/>
        <n v="2287.434232015697" u="1"/>
        <n v="4944.191498232205" u="1"/>
        <n v="3281.942080856385" u="1"/>
        <n v="3497.5287027797199" u="1"/>
        <n v="4339.6659342579196" u="1"/>
        <n v="3161.7566092450561" u="1"/>
        <n v="184.00573166720793" u="1"/>
        <n v="395.43976094719773" u="1"/>
        <n v="253.10666199367276" u="1"/>
        <n v="3321.3473809495877" u="1"/>
        <n v="3446.126916150019" u="1"/>
        <n v="309.94202568962578" u="1"/>
        <n v="1344.7140564901445" u="1"/>
        <n v="4.3114959304714198" u="1"/>
        <n v="49.275168557315325" u="1"/>
        <n v="0.13418559985436621" u="1"/>
        <n v="0.46964959949028168" u="1"/>
        <n v="1.7556937393144096" u="1"/>
        <n v="1.2073777180132172" u="1"/>
        <n v="1.7792934791773729" u="1"/>
        <n v="0.45170007620665736" u="1"/>
        <n v="1.0970131343505172" u="1"/>
        <n v="77.764060692234125" u="1"/>
        <n v="11.522981992850026" u="1"/>
        <n v="16.269329638636325" u="1"/>
        <n v="22.777061494090855" u="1"/>
        <n v="7.9998126736297165E-3" u="1"/>
        <n v="2.8886119172284546" u="1"/>
        <n v="191.95410845100767" u="1"/>
        <n v="335.39234333747498" u="1"/>
        <n v="6.1797407628391321" u="1"/>
        <n v="9.6498442037149665" u="1"/>
        <n v="28.500702648181409" u="1"/>
        <n v="0.59395581470332348" u="1"/>
        <n v="6.7854821644932279" u="1"/>
        <n v="0.91727231063409864" u="1"/>
        <n v="10.482128253665683" u="1"/>
        <n v="25.594631885484361" u="1"/>
        <n v="0.20342753367115043" u="1"/>
        <n v="0.53121355217171518" u="1"/>
        <n v="0.21248542086868605" u="1"/>
        <n v="5.4619858713773963" u="1"/>
        <n v="45.096051809124269" u="1"/>
        <n v="138.80738806576855" u="1"/>
        <n v="100.66184630723676" u="1"/>
        <n v="60.906296253948263" u="1"/>
        <n v="3.1486087173264038E-2" u="1"/>
        <n v="7.626290339014638E-2" u="1"/>
        <n v="0.10264773284759242" u="1"/>
        <n v="1.0399646853348417E-4" u="1"/>
        <n v="1.1803599178996204E-3" u="1"/>
        <n v="6.2671556039814468E-4" u="1"/>
        <n v="2.1147481048894548E-4" u="1"/>
        <n v="8.1610518250445727E-2" u="1"/>
        <n v="2.099811717365092E-2" u="1"/>
        <n v="10137.754985854526" u="1"/>
        <n v="6305.5562364157668" u="1"/>
        <n v="3988.3748380012103" u="1"/>
        <n v="997.09370950030257" u="1"/>
        <n v="10191.189994396931" u="1"/>
        <n v="1223.8776839584737" u="1"/>
        <n v="1256.8282464174065" u="1"/>
        <n v="611.90283989907061" u="1"/>
        <n v="1557.7586200262976" u="1"/>
        <n v="390.1076475537555" u="1"/>
        <n v="611.01170849204766" u="1"/>
        <n v="107.53806069460038" u="1"/>
        <n v="256.44408953820101" u="1"/>
        <n v="64.111012250264437" u="1"/>
        <n v="2527.1100968945466" u="1"/>
        <n v="305.91261071293394" u="1"/>
        <n v="736.84675245030803" u="1"/>
        <n v="242.77614756336044" u="1"/>
        <n v="104.76917935308926" u="1"/>
        <n v="30.189899878358364" u="1"/>
        <n v="121.22949968750596" u="1"/>
        <n v="38.945807067226276" u="1"/>
        <n v="2213.9054714256558" u="1"/>
        <n v="553.47636785641396" u="1"/>
        <n v="2907.7513756742273" u="1"/>
        <n v="6784.7532099065311" u="1"/>
        <n v="24.467168321780292" u="1"/>
        <n v="6.1167920804450731" u="1"/>
        <n v="2211.1750658319002" u="1"/>
        <n v="2819.2852758720246" u="1"/>
        <n v="1153.3299481044069" u="1"/>
        <n v="31836.548615412663" u="1"/>
        <n v="7959.1371538531657" u="1"/>
        <n v="29697.81130814756" u="1"/>
        <n v="65078.453664182307" u="1"/>
        <n v="5.9581600898911473" u="1"/>
        <n v="9.1296017450491327" u="1"/>
        <n v="2495.2233269076305" u="1"/>
        <n v="5926.383468987744" u="1"/>
        <n v="2589.632994494355" u="1"/>
        <n v="396.25478103066342" u="1"/>
        <n v="1.8645970945962211" u="1"/>
        <n v="0.53916053005063214" u="1"/>
        <n v="1.8964651404414081E-2" u="1"/>
        <n v="13.660274828742862" u="1"/>
        <n v="0.44816210197145989" u="1"/>
        <n v="0.11205098740491054" u="1"/>
        <n v="1.1306048505308812" u="1"/>
        <n v="0.52084206881068784" u="1"/>
        <n v="0.47501110047236111" u="1"/>
        <n v="5.2781774834331656E-2" u="1"/>
        <n v="0.39847585506234889" u="1"/>
        <n v="0.15607685129884613" u="1"/>
        <n v="1.5196285532030953" u="1"/>
        <n v="0.37990713529560771" u="1"/>
        <n v="129.53192886429042" u="1"/>
        <n v="71.962146774496901" u="1"/>
        <n v="6.2923645854781807" u="1"/>
        <n v="2.327345634764252" u="1"/>
        <n v="14.154483390184735" u="1"/>
        <n v="2.359080338992634" u="1"/>
        <n v="2115.6277348802055" u="1"/>
        <n v="423.12549824989151" u="1"/>
        <n v="1904.0073716159934" u="1"/>
        <n v="136.00049559344066" u="1"/>
        <n v="1782.126881998169" u="1"/>
        <n v="198.01420047555325" u="1"/>
        <n v="49.869673203441231" u="1"/>
        <n v="33.246444707974455" u="1"/>
        <n v="259.79696543467037" u="1"/>
        <n v="689.63963378544054" u="1"/>
        <n v="10.549326437721506" u="1"/>
        <n v="7.0328838446178725" u="1"/>
        <n v="1501.7941277211169" u="1"/>
        <n v="167.17958692475497" u="1"/>
        <n v="41.794887428060733" u="1"/>
        <n v="788.58807120846268" u="1"/>
        <n v="13.78000493960935" u="1"/>
        <n v="9.0780141695106931" u="1"/>
        <n v="87.234069938843575" u="1"/>
        <n v="576.86436819784103" u="1"/>
        <n v="64.096042084949246" u="1"/>
        <n v="389.68340535788644" u="1"/>
        <n v="259.78890057753574" u="1"/>
        <n v="260.00054947786327" u="1"/>
        <n v="1746.090133784113" u="1"/>
        <n v="528.36421565832052" u="1"/>
        <n v="18686.663197870344" u="1"/>
        <n v="1735.9198812911025" u="1"/>
        <n v="625.11966954079298" u="1"/>
        <n v="42.102014585357729" u="1"/>
        <n v="0.19835491083539494" u="1"/>
        <n v="9.5504318240010322E-2" u="1"/>
      </sharedItems>
    </cacheField>
    <cacheField name="Intensidad" numFmtId="172">
      <sharedItems containsSemiMixedTypes="0" containsString="0" containsNumber="1" minValue="0" maxValue="26.286345825457413"/>
    </cacheField>
    <cacheField name="Categoria" numFmtId="172">
      <sharedItems containsMixedTypes="1" containsNumber="1" containsInteger="1" minValue="0" maxValue="0"/>
    </cacheField>
    <cacheField name="Estrategia" numFmtId="172">
      <sharedItems containsMixedTypes="1" containsNumber="1" containsInteger="1" minValue="0" maxValue="0" count="7">
        <s v="GOB"/>
        <s v="TD"/>
        <s v="BU"/>
        <e v="#N/A"/>
        <s v="ALT"/>
        <s v="Cash"/>
        <n v="0" u="1"/>
      </sharedItems>
    </cacheField>
    <cacheField name="Rank_rt" numFmtId="172">
      <sharedItems containsMixedTypes="1" containsNumber="1" containsInteger="1" minValue="0" maxValue="0" count="12">
        <s v="RFLGOB"/>
        <s v="RFITD"/>
        <s v="RFIGOB"/>
        <s v="RFIBU"/>
        <s v="RFLBU"/>
        <e v="#N/A"/>
        <s v="RVLBU"/>
        <s v="ALT"/>
        <s v="RVITD"/>
        <s v="=IF(E802=&quot;ALT&quot;;LEFT(E802;3);LEFT(E802;3)&amp;F802)"/>
        <s v="Cash"/>
        <n v="0" u="1"/>
      </sharedItems>
    </cacheField>
    <cacheField name="Intensidad-M" numFmtId="172">
      <sharedItems containsSemiMixedTypes="0" containsString="0" containsNumber="1" minValue="0" maxValue="9.5004624747135136"/>
    </cacheField>
    <cacheField name="Plus" numFmtId="172">
      <sharedItems containsMixedTypes="1" containsNumber="1" containsInteger="1" minValue="0" maxValue="0" count="7">
        <s v="SOV"/>
        <s v="Portafolio"/>
        <s v="Proxies"/>
        <e v="#N/A"/>
        <s v="ETF"/>
        <s v="Cash"/>
        <n v="0" u="1"/>
      </sharedItems>
    </cacheField>
    <cacheField name="Plus_1" numFmtId="172">
      <sharedItems containsMixedTypes="1" containsNumber="1" containsInteger="1" minValue="0" maxValue="0" count="9">
        <s v="SOV"/>
        <s v="Portafolio"/>
        <s v="BU"/>
        <s v="Cuestionario Integra"/>
        <s v="Alts"/>
        <s v="Otros ETFs"/>
        <s v="TD"/>
        <s v="Soberanos"/>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1">
  <r>
    <s v="31/12/2025"/>
    <s v="01"/>
    <x v="0"/>
    <s v="BGC"/>
    <s v="011000112G32"/>
    <x v="0"/>
    <s v="PEP01000C5E9"/>
    <s v="SB12AGO32"/>
    <s v="1000"/>
    <s v="1"/>
    <n v="1000"/>
    <n v="611420.89560399996"/>
    <n v="611420.89560399996"/>
    <n v="554"/>
    <d v="2032-08-12T00:00:00"/>
    <n v="2416"/>
    <n v="1"/>
    <x v="0"/>
    <n v="610528.12327440002"/>
    <n v="610528.12327440002"/>
    <s v=""/>
    <n v="0"/>
    <n v="0"/>
    <n v="0"/>
    <n v="1.6115024"/>
    <s v="1"/>
    <n v="26256910350.436607"/>
    <n v="2.3286094496408755E-5"/>
    <n v="0.1819217755970127"/>
    <n v="0"/>
    <n v="0"/>
    <n v="0.1819217755970127"/>
    <n v="0"/>
    <n v="22.086748423565115"/>
    <x v="0"/>
    <x v="0"/>
    <n v="3.9684124843312038E-3"/>
    <s v="01RFLG"/>
    <x v="0"/>
    <x v="0"/>
    <n v="2.8741335301245476E-3"/>
    <x v="0"/>
    <x v="0"/>
  </r>
  <r>
    <s v="31/12/2025"/>
    <s v="01"/>
    <x v="0"/>
    <s v="BGC"/>
    <s v="011000112B29"/>
    <x v="0"/>
    <s v="PEP01000C5F6"/>
    <s v="SB12B29"/>
    <s v="1000"/>
    <s v="1"/>
    <n v="1000"/>
    <n v="9639755.9001000002"/>
    <n v="9639755.9001000002"/>
    <n v="9000"/>
    <d v="2029-02-12T00:00:00"/>
    <n v="1139"/>
    <n v="1"/>
    <x v="0"/>
    <n v="9638055.6461999994"/>
    <n v="9638055.6461999994"/>
    <s v=""/>
    <n v="0"/>
    <n v="0"/>
    <n v="0"/>
    <n v="0.1889171"/>
    <s v="1"/>
    <n v="26256910350.436607"/>
    <n v="3.6713214812571075E-4"/>
    <n v="2.8682067006159064"/>
    <n v="0"/>
    <n v="0"/>
    <n v="2.8682067006159064"/>
    <n v="0"/>
    <n v="2.8682067006159064"/>
    <x v="0"/>
    <x v="1"/>
    <n v="6.2566601722160636E-2"/>
    <s v="01RFLG"/>
    <x v="0"/>
    <x v="0"/>
    <n v="4.5314031388023916E-2"/>
    <x v="0"/>
    <x v="0"/>
  </r>
  <r>
    <s v="31/12/2025"/>
    <s v="01"/>
    <x v="0"/>
    <s v="BGC"/>
    <s v="011000112F55"/>
    <x v="0"/>
    <s v="PEP01000C4S2"/>
    <s v="SB12FEB55"/>
    <s v="1000"/>
    <s v="1"/>
    <n v="1000"/>
    <n v="126153852.2247"/>
    <n v="126153852.2247"/>
    <n v="113000"/>
    <d v="2055-02-12T00:00:00"/>
    <n v="10635"/>
    <n v="1"/>
    <x v="0"/>
    <n v="126133269.625"/>
    <n v="126133269.625"/>
    <s v=""/>
    <n v="0"/>
    <n v="0"/>
    <n v="0"/>
    <n v="0.1821469"/>
    <s v="1"/>
    <n v="26256910350.436607"/>
    <n v="4.8045962202328306E-3"/>
    <n v="37.535735137820232"/>
    <n v="0"/>
    <n v="0"/>
    <n v="37.535735137820232"/>
    <n v="0"/>
    <n v="51.719592574854957"/>
    <x v="0"/>
    <x v="2"/>
    <n v="0.81879851623392608"/>
    <s v="01RFLG"/>
    <x v="0"/>
    <x v="0"/>
    <n v="0.59301705133123617"/>
    <x v="0"/>
    <x v="0"/>
  </r>
  <r>
    <s v="31/12/2025"/>
    <s v="01"/>
    <x v="0"/>
    <s v="BGC"/>
    <s v="011000112G40"/>
    <x v="0"/>
    <s v="PEP01000C5H2"/>
    <s v="SB12AGO40"/>
    <s v="1000"/>
    <s v="1"/>
    <n v="1000"/>
    <n v="227467066.60037139"/>
    <n v="227467066.60037139"/>
    <n v="249953"/>
    <d v="2040-08-12T00:00:00"/>
    <n v="5338"/>
    <n v="1"/>
    <x v="0"/>
    <n v="227084507.60998529"/>
    <n v="227084507.60998529"/>
    <s v=""/>
    <n v="0"/>
    <n v="0"/>
    <n v="0"/>
    <n v="1.5305237"/>
    <s v="1"/>
    <n v="26256910350.436607"/>
    <n v="8.663131479084667E-3"/>
    <n v="67.68040304691344"/>
    <n v="0"/>
    <n v="0"/>
    <n v="67.68040304691344"/>
    <n v="0"/>
    <n v="136.15064952714374"/>
    <x v="0"/>
    <x v="3"/>
    <n v="1.4763694753666934"/>
    <s v="01RFLG"/>
    <x v="0"/>
    <x v="0"/>
    <n v="1.0692646061259736"/>
    <x v="0"/>
    <x v="0"/>
  </r>
  <r>
    <s v="31/12/2025"/>
    <s v="01"/>
    <x v="0"/>
    <s v="BGC"/>
    <s v="011000112G35"/>
    <x v="0"/>
    <s v="PEP01000C5K6"/>
    <s v="SB12G35"/>
    <s v="1000"/>
    <s v="1"/>
    <n v="1000"/>
    <n v="654260699.47086501"/>
    <n v="654260699.47086501"/>
    <n v="585950"/>
    <d v="2035-08-12T00:00:00"/>
    <n v="3511"/>
    <n v="1"/>
    <x v="0"/>
    <n v="779599085.66840005"/>
    <n v="779599085.66840005"/>
    <s v=""/>
    <n v="0"/>
    <n v="0"/>
    <n v="0"/>
    <n v="5.9619947"/>
    <s v="1"/>
    <n v="26256910350.436607"/>
    <n v="2.4917657513348131E-2"/>
    <n v="194.66830297565087"/>
    <n v="0"/>
    <n v="0"/>
    <n v="194.66830297565087"/>
    <n v="0"/>
    <n v="290.26656934862388"/>
    <x v="0"/>
    <x v="4"/>
    <n v="4.2464631916489921"/>
    <s v="01RFLG"/>
    <x v="0"/>
    <x v="0"/>
    <n v="3.0755125107956012"/>
    <x v="0"/>
    <x v="0"/>
  </r>
  <r>
    <s v="31/12/2025"/>
    <s v="01"/>
    <x v="0"/>
    <s v="BGC"/>
    <s v="011000112G33"/>
    <x v="0"/>
    <s v="PEP01000C5I0"/>
    <s v="SB12AGO33"/>
    <s v="1000"/>
    <s v="1"/>
    <n v="1000"/>
    <n v="1345672489.221796"/>
    <n v="1345672489.221796"/>
    <n v="1150077"/>
    <d v="2033-08-12T00:00:00"/>
    <n v="2781"/>
    <n v="1"/>
    <x v="0"/>
    <n v="1342410640.7193882"/>
    <n v="1342410640.7193882"/>
    <s v=""/>
    <n v="0"/>
    <n v="0"/>
    <n v="0"/>
    <n v="2.8362001000000001"/>
    <s v="1"/>
    <n v="26256910350.436607"/>
    <n v="5.1250222180060111E-2"/>
    <n v="400.39051718938259"/>
    <n v="0"/>
    <n v="0"/>
    <n v="400.39051718938259"/>
    <n v="0"/>
    <n v="452.52762024704532"/>
    <x v="0"/>
    <x v="5"/>
    <n v="8.7340546331401612"/>
    <s v="01RFLG"/>
    <x v="0"/>
    <x v="0"/>
    <n v="6.3256628120598126"/>
    <x v="0"/>
    <x v="0"/>
  </r>
  <r>
    <s v="31/12/2025"/>
    <s v="01"/>
    <x v="0"/>
    <s v="BGC"/>
    <s v="011000112G34"/>
    <x v="0"/>
    <s v="PEP01000C5G4"/>
    <s v="SB12AGO34"/>
    <s v="1000"/>
    <s v="1"/>
    <n v="1000"/>
    <n v="1383371632.9218161"/>
    <n v="1383371632.9218161"/>
    <n v="1357066"/>
    <d v="2034-08-12T00:00:00"/>
    <n v="3146"/>
    <n v="1"/>
    <x v="0"/>
    <n v="1376639357.8242061"/>
    <n v="1376639357.8242061"/>
    <s v=""/>
    <n v="0"/>
    <n v="0"/>
    <n v="0"/>
    <n v="4.9609047000000004"/>
    <s v="1"/>
    <n v="26256910350.436607"/>
    <n v="5.2686002064169478E-2"/>
    <n v="411.60749588557115"/>
    <n v="0"/>
    <n v="0"/>
    <n v="411.60749588557115"/>
    <n v="0"/>
    <n v="473.84607393241572"/>
    <x v="0"/>
    <x v="6"/>
    <n v="8.9787400104038309"/>
    <s v="01RFLG"/>
    <x v="0"/>
    <x v="0"/>
    <n v="6.5028768617336867"/>
    <x v="0"/>
    <x v="0"/>
  </r>
  <r>
    <s v="31/12/2025"/>
    <s v="01"/>
    <x v="0"/>
    <s v="BGC"/>
    <s v="011000112G39"/>
    <x v="0"/>
    <s v="PEP01000C5J8"/>
    <s v="SB12G39"/>
    <s v="1000"/>
    <s v="1"/>
    <n v="1000"/>
    <n v="2021054768.0050943"/>
    <n v="2021054768.0050943"/>
    <n v="1801364"/>
    <d v="2039-08-12T00:00:00"/>
    <n v="4972"/>
    <n v="1"/>
    <x v="0"/>
    <n v="1753882216.6499748"/>
    <n v="1753882216.6499748"/>
    <s v=""/>
    <n v="0"/>
    <n v="0"/>
    <n v="0"/>
    <n v="4.3828538999999997"/>
    <s v="1"/>
    <n v="26256910350.436607"/>
    <n v="7.6972299521580523E-2"/>
    <n v="601.34332113573578"/>
    <n v="0"/>
    <n v="0"/>
    <n v="601.34332113573578"/>
    <n v="0"/>
    <n v="839.38876713043294"/>
    <x v="0"/>
    <x v="7"/>
    <n v="13.117606922716449"/>
    <s v="01RFLG"/>
    <x v="0"/>
    <x v="0"/>
    <n v="9.5004624747135136"/>
    <x v="0"/>
    <x v="0"/>
  </r>
  <r>
    <s v="31/12/2025"/>
    <s v="01"/>
    <x v="0"/>
    <s v="BGC"/>
    <s v="011000112G37"/>
    <x v="0"/>
    <s v="PEP01000C2Z1"/>
    <s v="SOBAGO2037"/>
    <s v="1000"/>
    <s v="1"/>
    <n v="1000"/>
    <n v="1710527424.5157523"/>
    <n v="1710527424.5157523"/>
    <n v="1594708"/>
    <d v="2037-08-12T00:00:00"/>
    <n v="4242"/>
    <n v="1"/>
    <x v="0"/>
    <n v="1702411156.2361028"/>
    <n v="1702411156.2361028"/>
    <s v=""/>
    <n v="0"/>
    <n v="0"/>
    <n v="0"/>
    <n v="5.0895011999999999"/>
    <s v="1"/>
    <n v="26256910350.436607"/>
    <n v="6.5145799779421087E-2"/>
    <n v="508.94921732742785"/>
    <n v="0"/>
    <n v="0"/>
    <n v="508.94921732742785"/>
    <n v="0"/>
    <n v="663.85098189675534"/>
    <x v="0"/>
    <x v="8"/>
    <n v="11.102136735993497"/>
    <s v="01RFLG"/>
    <x v="0"/>
    <x v="0"/>
    <n v="8.0407527128128251"/>
    <x v="0"/>
    <x v="0"/>
  </r>
  <r>
    <s v="31/12/2025"/>
    <s v="01"/>
    <x v="1"/>
    <s v="BGC"/>
    <s v="011000112F55"/>
    <x v="0"/>
    <s v="PEP01000C4S2"/>
    <s v="SB12FEB55"/>
    <s v="1000"/>
    <s v="1"/>
    <n v="1000"/>
    <n v="47670526.460129999"/>
    <n v="47670526.460129999"/>
    <n v="42700"/>
    <d v="2055-02-12T00:00:00"/>
    <n v="10635"/>
    <n v="1"/>
    <x v="0"/>
    <n v="47662748.787500001"/>
    <n v="47662748.787500001"/>
    <s v=""/>
    <n v="0"/>
    <n v="0"/>
    <n v="0"/>
    <n v="0.1821469"/>
    <s v="1"/>
    <n v="7679510866.0565634"/>
    <n v="6.2074951506135264E-3"/>
    <n v="14.183857437034723"/>
    <n v="0"/>
    <n v="14.183857437034723"/>
    <n v="0"/>
    <n v="0"/>
    <n v="51.719592574854957"/>
    <x v="0"/>
    <x v="9"/>
    <n v="1.0578803266438359"/>
    <s v="01RFLG"/>
    <x v="0"/>
    <x v="0"/>
    <n v="0.22408697426410423"/>
    <x v="0"/>
    <x v="0"/>
  </r>
  <r>
    <s v="31/12/2025"/>
    <s v="01"/>
    <x v="1"/>
    <s v="BGC"/>
    <s v="011000112G32"/>
    <x v="0"/>
    <s v="PEP01000C5E9"/>
    <s v="SB12AGO32"/>
    <s v="1000"/>
    <s v="1"/>
    <n v="1000"/>
    <n v="73619931.881155998"/>
    <n v="73619931.881155998"/>
    <n v="66706"/>
    <d v="2032-08-12T00:00:00"/>
    <n v="2416"/>
    <n v="1"/>
    <x v="0"/>
    <n v="73512435.002061605"/>
    <n v="73512435.002061605"/>
    <s v=""/>
    <n v="0"/>
    <n v="0"/>
    <n v="0"/>
    <n v="1.6115024"/>
    <s v="1"/>
    <n v="7679510866.0565634"/>
    <n v="9.5865391904784037E-3"/>
    <n v="21.904826647968104"/>
    <n v="0"/>
    <n v="21.904826647968104"/>
    <n v="0"/>
    <n v="0"/>
    <n v="22.086748423565115"/>
    <x v="0"/>
    <x v="10"/>
    <n v="1.6337364692431355"/>
    <s v="01RFLG"/>
    <x v="0"/>
    <x v="0"/>
    <n v="0.34606850408030343"/>
    <x v="0"/>
    <x v="0"/>
  </r>
  <r>
    <s v="31/12/2025"/>
    <s v="01"/>
    <x v="1"/>
    <s v="BGC"/>
    <s v="011000112G33"/>
    <x v="0"/>
    <s v="PEP01000C5I0"/>
    <s v="SB12AGO33"/>
    <s v="1000"/>
    <s v="1"/>
    <n v="1000"/>
    <n v="175227589.6664986"/>
    <n v="175227589.6664986"/>
    <n v="149758"/>
    <d v="2033-08-12T00:00:00"/>
    <n v="2781"/>
    <n v="1"/>
    <x v="0"/>
    <n v="174802846.01192281"/>
    <n v="174802846.01192281"/>
    <s v=""/>
    <n v="0"/>
    <n v="0"/>
    <n v="0"/>
    <n v="2.8362001000000001"/>
    <s v="1"/>
    <n v="7679510866.0565634"/>
    <n v="2.2817545638356279E-2"/>
    <n v="52.137103057662713"/>
    <n v="0"/>
    <n v="52.137103057662713"/>
    <n v="0"/>
    <n v="0"/>
    <n v="452.52762024704532"/>
    <x v="0"/>
    <x v="11"/>
    <n v="3.8885624631908478"/>
    <s v="01RFLG"/>
    <x v="0"/>
    <x v="0"/>
    <n v="0.82370016217040554"/>
    <x v="0"/>
    <x v="0"/>
  </r>
  <r>
    <s v="31/12/2025"/>
    <s v="01"/>
    <x v="1"/>
    <s v="BGC"/>
    <s v="011000112G34"/>
    <x v="0"/>
    <s v="PEP01000C5G4"/>
    <s v="SB12AGO34"/>
    <s v="1000"/>
    <s v="1"/>
    <n v="1000"/>
    <n v="209177636.95763999"/>
    <n v="209177636.95763999"/>
    <n v="205200"/>
    <d v="2034-08-12T00:00:00"/>
    <n v="3146"/>
    <n v="1"/>
    <x v="0"/>
    <n v="208159659.3132"/>
    <n v="208159659.3132"/>
    <s v=""/>
    <n v="0"/>
    <n v="0"/>
    <n v="0"/>
    <n v="4.9609047000000004"/>
    <s v="1"/>
    <n v="7679510866.0565634"/>
    <n v="2.7238406274311702E-2"/>
    <n v="62.238578046844594"/>
    <n v="0"/>
    <n v="62.238578046844594"/>
    <n v="0"/>
    <n v="0"/>
    <n v="473.84607393241572"/>
    <x v="0"/>
    <x v="12"/>
    <n v="4.6419648227801522"/>
    <s v="01RFLG"/>
    <x v="0"/>
    <x v="0"/>
    <n v="0.98329066679715837"/>
    <x v="0"/>
    <x v="0"/>
  </r>
  <r>
    <s v="31/12/2025"/>
    <s v="01"/>
    <x v="1"/>
    <s v="BGC"/>
    <s v="011000112G40"/>
    <x v="0"/>
    <s v="PEP01000C5H2"/>
    <s v="SB12AGO40"/>
    <s v="1000"/>
    <s v="1"/>
    <n v="1000"/>
    <n v="230121651.39540601"/>
    <n v="230121651.39540601"/>
    <n v="252870"/>
    <d v="2040-08-12T00:00:00"/>
    <n v="5338"/>
    <n v="1"/>
    <x v="0"/>
    <n v="229734627.867387"/>
    <n v="229734627.867387"/>
    <s v=""/>
    <n v="0"/>
    <n v="0"/>
    <n v="0"/>
    <n v="1.5305237"/>
    <s v="1"/>
    <n v="7679510866.0565634"/>
    <n v="2.9965665184815828E-2"/>
    <n v="68.470246480230301"/>
    <n v="0"/>
    <n v="68.470246480230301"/>
    <n v="0"/>
    <n v="0"/>
    <n v="136.15064952714374"/>
    <x v="0"/>
    <x v="13"/>
    <n v="5.1067438483104848"/>
    <s v="01RFLG"/>
    <x v="0"/>
    <x v="0"/>
    <n v="1.0817431315130244"/>
    <x v="0"/>
    <x v="0"/>
  </r>
  <r>
    <s v="31/12/2025"/>
    <s v="01"/>
    <x v="1"/>
    <s v="BGC"/>
    <s v="011000112G35"/>
    <x v="0"/>
    <s v="PEP01000C5K6"/>
    <s v="SB12G35"/>
    <s v="1000"/>
    <s v="1"/>
    <n v="1000"/>
    <n v="321296213.45292503"/>
    <n v="321296213.45292503"/>
    <n v="287750"/>
    <d v="2035-08-12T00:00:00"/>
    <n v="3511"/>
    <n v="1"/>
    <x v="0"/>
    <n v="319580649.47799999"/>
    <n v="319580649.47799999"/>
    <s v=""/>
    <n v="0"/>
    <n v="0"/>
    <n v="0"/>
    <n v="5.9619947"/>
    <s v="1"/>
    <n v="7679510866.0565634"/>
    <n v="4.1838109100548866E-2"/>
    <n v="95.598266372973029"/>
    <n v="0"/>
    <n v="95.598266372973029"/>
    <n v="0"/>
    <n v="0"/>
    <n v="290.26656934862388"/>
    <x v="0"/>
    <x v="14"/>
    <n v="7.1300438337152166"/>
    <s v="01RFLG"/>
    <x v="0"/>
    <x v="0"/>
    <n v="1.510331470230283"/>
    <x v="0"/>
    <x v="0"/>
  </r>
  <r>
    <s v="31/12/2025"/>
    <s v="01"/>
    <x v="1"/>
    <s v="BGC"/>
    <s v="011000112G37"/>
    <x v="0"/>
    <s v="PEP01000C2Z1"/>
    <s v="SOBAGO2037"/>
    <s v="1000"/>
    <s v="1"/>
    <n v="1000"/>
    <n v="520609340.5410527"/>
    <n v="520609340.5410527"/>
    <n v="485359"/>
    <d v="2037-08-12T00:00:00"/>
    <n v="4242"/>
    <n v="1"/>
    <x v="0"/>
    <n v="518139105.3281219"/>
    <n v="518139105.3281219"/>
    <s v=""/>
    <n v="0"/>
    <n v="0"/>
    <n v="0"/>
    <n v="5.0895011999999999"/>
    <s v="1"/>
    <n v="7679510866.0565634"/>
    <n v="6.7791992175197754E-2"/>
    <n v="154.90176456932747"/>
    <n v="0"/>
    <n v="154.90176456932747"/>
    <n v="0"/>
    <n v="0"/>
    <n v="663.85098189675534"/>
    <x v="0"/>
    <x v="15"/>
    <n v="11.553100419103258"/>
    <s v="01RFLG"/>
    <x v="0"/>
    <x v="0"/>
    <n v="2.4472515946104991"/>
    <x v="0"/>
    <x v="0"/>
  </r>
  <r>
    <s v="31/12/2025"/>
    <s v="01"/>
    <x v="1"/>
    <s v="BGC"/>
    <s v="011000112G39"/>
    <x v="0"/>
    <s v="PEP01000C5J8"/>
    <s v="SB12G39"/>
    <s v="1000"/>
    <s v="1"/>
    <n v="1000"/>
    <n v="800046939.44357765"/>
    <n v="800046939.44357765"/>
    <n v="713081"/>
    <d v="2039-08-12T00:00:00"/>
    <n v="4972"/>
    <n v="1"/>
    <x v="0"/>
    <n v="796921609.60171175"/>
    <n v="796921609.60171175"/>
    <s v=""/>
    <n v="0"/>
    <n v="0"/>
    <n v="0"/>
    <n v="4.3828538999999997"/>
    <s v="1"/>
    <n v="7679510866.0565634"/>
    <n v="0.10417941368893492"/>
    <n v="238.04544599469716"/>
    <n v="0"/>
    <n v="238.04544599469716"/>
    <n v="0"/>
    <n v="0"/>
    <n v="839.38876713043294"/>
    <x v="0"/>
    <x v="16"/>
    <n v="17.75423894965445"/>
    <s v="01RFLG"/>
    <x v="0"/>
    <x v="0"/>
    <n v="3.7608164046418091"/>
    <x v="0"/>
    <x v="0"/>
  </r>
  <r>
    <s v="31/12/2025"/>
    <s v="08"/>
    <x v="1"/>
    <s v="TEX"/>
    <s v="084006C87822"/>
    <x v="1"/>
    <s v="CL0002187822"/>
    <s v="CHL2035"/>
    <s v="4006"/>
    <s v="C"/>
    <n v="5000000"/>
    <n v="79540163.728499994"/>
    <n v="21344469000"/>
    <n v="4300"/>
    <d v="2035-03-01T00:00:00"/>
    <n v="3347"/>
    <n v="3.7265000000000002E-3"/>
    <x v="0"/>
    <n v="79708785.033600003"/>
    <n v="21344469000"/>
    <s v=""/>
    <n v="0"/>
    <n v="0"/>
    <n v="0"/>
    <n v="0"/>
    <s v="C"/>
    <n v="7679510866.0565634"/>
    <n v="1.0357451811165149E-2"/>
    <n v="23.66632858118361"/>
    <n v="0"/>
    <n v="23.66632858118361"/>
    <n v="0"/>
    <n v="0"/>
    <n v="23.66632858118361"/>
    <x v="1"/>
    <x v="17"/>
    <n v="1.7870885378387185"/>
    <s v="08RFIG"/>
    <x v="1"/>
    <x v="1"/>
    <n v="0.3785525196945716"/>
    <x v="0"/>
    <x v="0"/>
  </r>
  <r>
    <s v="31/12/2025"/>
    <s v="08"/>
    <x v="1"/>
    <s v="TEX"/>
    <s v="084006C39505"/>
    <x v="1"/>
    <s v="CL0002839505"/>
    <s v="BTPCL 6 04/01/3"/>
    <s v="4006"/>
    <s v="C"/>
    <n v="5000000"/>
    <n v="140382300.68099999"/>
    <n v="37671354000"/>
    <n v="7140"/>
    <d v="2033-04-01T00:00:00"/>
    <n v="2648"/>
    <n v="3.7265000000000002E-3"/>
    <x v="0"/>
    <n v="140679904.37760001"/>
    <n v="37671354000"/>
    <s v=""/>
    <n v="0"/>
    <n v="0"/>
    <n v="0"/>
    <n v="0"/>
    <s v="C"/>
    <n v="7679510866.0565634"/>
    <n v="1.8280109648843617E-2"/>
    <n v="41.76925843702579"/>
    <n v="0"/>
    <n v="41.76925843702579"/>
    <n v="0"/>
    <n v="0"/>
    <n v="41.76925843702579"/>
    <x v="1"/>
    <x v="18"/>
    <n v="3.1540744788855957"/>
    <s v="08RFIG"/>
    <x v="0"/>
    <x v="2"/>
    <n v="0.66811622144388672"/>
    <x v="0"/>
    <x v="0"/>
  </r>
  <r>
    <s v="31/12/2025"/>
    <s v="08"/>
    <x v="1"/>
    <s v="TEX"/>
    <s v="0840038TF238"/>
    <x v="2"/>
    <s v="BRSTNCNTF238"/>
    <s v="BNTNF2035"/>
    <s v="4003"/>
    <s v="8"/>
    <n v="1000"/>
    <n v="270091043.39825022"/>
    <n v="441818092.5"/>
    <n v="537000"/>
    <d v="2035-01-01T00:00:00"/>
    <n v="3288"/>
    <n v="0.61131729999999995"/>
    <x v="0"/>
    <n v="286357285.90216291"/>
    <n v="467789560.5"/>
    <s v=""/>
    <n v="0"/>
    <n v="0"/>
    <n v="0"/>
    <n v="-48.363999999999997"/>
    <s v="8"/>
    <n v="7679510866.0565634"/>
    <n v="3.5170344584321458E-2"/>
    <n v="80.36271337982393"/>
    <n v="0"/>
    <n v="80.36271337982393"/>
    <n v="0"/>
    <n v="0"/>
    <n v="109.2454018012504"/>
    <x v="2"/>
    <x v="19"/>
    <n v="9.6506821137006398"/>
    <s v="08RFIG"/>
    <x v="0"/>
    <x v="2"/>
    <n v="2.0442691861987723"/>
    <x v="0"/>
    <x v="0"/>
  </r>
  <r>
    <s v="31/12/2025"/>
    <s v="08"/>
    <x v="1"/>
    <s v="TEX"/>
    <s v="0840038TF1P8"/>
    <x v="2"/>
    <s v="BRSTNCNTF1P8"/>
    <s v="BNTNF2027"/>
    <s v="4003"/>
    <s v="8"/>
    <n v="1000"/>
    <n v="74081493.609887496"/>
    <n v="121183375"/>
    <n v="125000"/>
    <d v="2027-01-01T00:00:00"/>
    <n v="366"/>
    <n v="0.61131729999999995"/>
    <x v="0"/>
    <n v="77877391.481099993"/>
    <n v="127219500"/>
    <s v=""/>
    <n v="0"/>
    <n v="0"/>
    <n v="0"/>
    <n v="-48.289000000000001"/>
    <s v="8"/>
    <n v="7679510866.0565634"/>
    <n v="9.6466422018266409E-3"/>
    <n v="22.042159424525426"/>
    <n v="0"/>
    <n v="22.042159424525426"/>
    <n v="0"/>
    <n v="0"/>
    <n v="52.901182618861021"/>
    <x v="2"/>
    <x v="20"/>
    <n v="2.6470220424266064"/>
    <s v="08RFIG"/>
    <x v="0"/>
    <x v="2"/>
    <n v="0.56070913255339516"/>
    <x v="0"/>
    <x v="0"/>
  </r>
  <r>
    <s v="31/12/2025"/>
    <s v="08"/>
    <x v="0"/>
    <s v="TEX"/>
    <s v="0840038TF1P8"/>
    <x v="2"/>
    <s v="BRSTNCNTF1P8"/>
    <s v="BNTNF2027"/>
    <s v="4003"/>
    <s v="8"/>
    <n v="1000"/>
    <n v="103714091.0538425"/>
    <n v="169656725"/>
    <n v="175000"/>
    <d v="2027-01-01T00:00:00"/>
    <n v="366"/>
    <n v="0.61131729999999995"/>
    <x v="0"/>
    <n v="109028348.07354"/>
    <n v="178107300"/>
    <s v=""/>
    <n v="0"/>
    <n v="0"/>
    <n v="0"/>
    <n v="-48.289000000000001"/>
    <s v="8"/>
    <n v="26256910350.436607"/>
    <n v="3.9499731563853975E-3"/>
    <n v="30.859023194335595"/>
    <n v="0"/>
    <n v="0"/>
    <n v="30.859023194335595"/>
    <n v="0"/>
    <n v="52.901182618861021"/>
    <x v="2"/>
    <x v="21"/>
    <n v="1.0838658460832837"/>
    <s v="08RFIG"/>
    <x v="0"/>
    <x v="2"/>
    <n v="0.78499278557475316"/>
    <x v="0"/>
    <x v="0"/>
  </r>
  <r>
    <s v="31/12/2025"/>
    <s v="08"/>
    <x v="0"/>
    <s v="TEX"/>
    <s v="0840038TF238"/>
    <x v="2"/>
    <s v="BRSTNCNTF238"/>
    <s v="BNTNF2035"/>
    <s v="4003"/>
    <s v="8"/>
    <n v="1000"/>
    <n v="97071827.515572205"/>
    <n v="158791232.5"/>
    <n v="193000"/>
    <d v="2035-01-01T00:00:00"/>
    <n v="3288"/>
    <n v="0.61131729999999995"/>
    <x v="0"/>
    <n v="102917981.7115781"/>
    <n v="168125484.5"/>
    <s v=""/>
    <n v="0"/>
    <n v="0"/>
    <n v="0"/>
    <n v="-48.363999999999997"/>
    <s v="8"/>
    <n v="26256910350.436607"/>
    <n v="3.69700114065241E-3"/>
    <n v="28.882688421426465"/>
    <n v="0"/>
    <n v="0"/>
    <n v="28.882688421426465"/>
    <n v="0"/>
    <n v="109.2454018012504"/>
    <x v="2"/>
    <x v="22"/>
    <n v="1.014450759698561"/>
    <s v="08RFIG"/>
    <x v="0"/>
    <x v="2"/>
    <n v="0.73471872055188625"/>
    <x v="0"/>
    <x v="0"/>
  </r>
  <r>
    <s v="31/12/2025"/>
    <s v="08"/>
    <x v="1"/>
    <s v="TEX"/>
    <s v="084004F03938"/>
    <x v="3"/>
    <s v="COL17CT03938"/>
    <s v="COLTES2046"/>
    <s v="4004"/>
    <s v="F"/>
    <n v="100000"/>
    <n v="113162263.515"/>
    <n v="127291635000"/>
    <n v="1350000"/>
    <d v="2046-07-25T00:00:00"/>
    <n v="7511"/>
    <n v="8.8900000000000003E-4"/>
    <x v="0"/>
    <n v="113204744.0865"/>
    <n v="127210635000"/>
    <s v=""/>
    <n v="0"/>
    <n v="0"/>
    <n v="0"/>
    <n v="60"/>
    <s v="F"/>
    <n v="7679510866.0565634"/>
    <n v="1.4735608229317987E-2"/>
    <n v="33.670226283138447"/>
    <n v="0"/>
    <n v="33.670226283138447"/>
    <n v="0"/>
    <n v="0"/>
    <n v="33.670226283138447"/>
    <x v="3"/>
    <x v="23"/>
    <n v="2.8204954374530016"/>
    <s v="08RFIG"/>
    <x v="0"/>
    <x v="2"/>
    <n v="0.59745537617635103"/>
    <x v="0"/>
    <x v="0"/>
  </r>
  <r>
    <s v="31/12/2025"/>
    <s v="08"/>
    <x v="1"/>
    <s v="TEX"/>
    <s v="08400425CU73"/>
    <x v="3"/>
    <s v="US195325CU73"/>
    <s v="COLOM 5 06/1"/>
    <s v="4004"/>
    <s v="2"/>
    <n v="1000"/>
    <n v="18281703.677503198"/>
    <n v="5439526.2214000002"/>
    <n v="7400"/>
    <d v="2045-06-15T00:00:00"/>
    <n v="7106"/>
    <n v="3.3609"/>
    <x v="0"/>
    <n v="18423633.831838898"/>
    <n v="5478984.6642000005"/>
    <s v=""/>
    <n v="0"/>
    <n v="0"/>
    <n v="0"/>
    <n v="-5.3322219999999998"/>
    <s v="2"/>
    <n v="7679510866.0565634"/>
    <n v="2.3805817839659977E-3"/>
    <n v="5.4395262213999818"/>
    <n v="0"/>
    <n v="5.4395262213999818"/>
    <n v="0"/>
    <n v="0"/>
    <n v="5.4395262213999818"/>
    <x v="3"/>
    <x v="24"/>
    <n v="0.45565951236412516"/>
    <s v="08RFIG"/>
    <x v="0"/>
    <x v="2"/>
    <n v="9.6520711132112011E-2"/>
    <x v="0"/>
    <x v="0"/>
  </r>
  <r>
    <s v="31/12/2025"/>
    <s v="08"/>
    <x v="1"/>
    <s v="TEX"/>
    <s v="084004460236"/>
    <x v="3"/>
    <s v="XS3183160236"/>
    <s v="COL2036"/>
    <s v="4004"/>
    <s v="4"/>
    <n v="1000"/>
    <n v="56603501.214966498"/>
    <n v="14344407.539999999"/>
    <n v="15000"/>
    <d v="2036-02-19T00:00:00"/>
    <n v="3702"/>
    <n v="3.9460326999999999"/>
    <x v="0"/>
    <n v="56624444.374002002"/>
    <n v="14326597.605"/>
    <s v=""/>
    <n v="0"/>
    <n v="0"/>
    <n v="0"/>
    <n v="1.1873290000000001"/>
    <s v="4"/>
    <n v="7679510866.0565634"/>
    <n v="7.3707169899523113E-3"/>
    <n v="16.841768935394239"/>
    <n v="0"/>
    <n v="16.841768935394239"/>
    <n v="0"/>
    <n v="0"/>
    <n v="16.841768935394239"/>
    <x v="3"/>
    <x v="25"/>
    <n v="1.4108052628296568"/>
    <s v="08RFIG"/>
    <x v="1"/>
    <x v="1"/>
    <n v="0.29884579064472022"/>
    <x v="0"/>
    <x v="0"/>
  </r>
  <r>
    <s v="31/12/2025"/>
    <s v="08"/>
    <x v="0"/>
    <s v="TEX"/>
    <s v="0840059000R8"/>
    <x v="4"/>
    <s v="MX0MGO0000R8"/>
    <s v="MBONO 2042"/>
    <s v="4005"/>
    <s v="9"/>
    <n v="100"/>
    <n v="138512483.32797411"/>
    <n v="742050904.53999996"/>
    <n v="8600000"/>
    <d v="2042-11-13T00:00:00"/>
    <n v="6161"/>
    <n v="0.18666170000000001"/>
    <x v="0"/>
    <n v="138141461.18195951"/>
    <n v="738912478.15999997"/>
    <s v=""/>
    <n v="0"/>
    <n v="0"/>
    <n v="0"/>
    <n v="0.36493330000000002"/>
    <s v="9"/>
    <n v="26256910350.436607"/>
    <n v="5.2752773071669066E-3"/>
    <n v="41.212914197974982"/>
    <n v="0"/>
    <n v="0"/>
    <n v="41.212914197974982"/>
    <n v="0"/>
    <n v="64.215470959635425"/>
    <x v="4"/>
    <x v="26"/>
    <n v="1.0777557609546897"/>
    <s v="08RFIG"/>
    <x v="0"/>
    <x v="2"/>
    <n v="0.78056753980976623"/>
    <x v="0"/>
    <x v="0"/>
  </r>
  <r>
    <s v="31/12/2025"/>
    <s v="08"/>
    <x v="1"/>
    <s v="TEX"/>
    <s v="0840059000R8"/>
    <x v="4"/>
    <s v="MX0MGO0000R8"/>
    <s v="MBONO 2042"/>
    <s v="4005"/>
    <s v="9"/>
    <n v="100"/>
    <n v="77309293.020264596"/>
    <n v="414167946.72000003"/>
    <n v="4800000"/>
    <d v="2042-11-13T00:00:00"/>
    <n v="6161"/>
    <n v="0.18666170000000001"/>
    <x v="0"/>
    <n v="77102210.892256498"/>
    <n v="412416266.88"/>
    <s v=""/>
    <n v="0"/>
    <n v="0"/>
    <n v="0"/>
    <n v="0.36493330000000002"/>
    <s v="9"/>
    <n v="7679510866.0565634"/>
    <n v="1.0066955352843064E-2"/>
    <n v="23.002556761660447"/>
    <n v="0"/>
    <n v="23.002556761660447"/>
    <n v="0"/>
    <n v="0"/>
    <n v="64.215470959635425"/>
    <x v="4"/>
    <x v="27"/>
    <n v="2.0567106703679841"/>
    <s v="08RFIG"/>
    <x v="0"/>
    <x v="2"/>
    <n v="0.43566560361475315"/>
    <x v="0"/>
    <x v="0"/>
  </r>
  <r>
    <s v="31/12/2025"/>
    <s v="12"/>
    <x v="0"/>
    <s v="BEX"/>
    <s v="1254342KAB22"/>
    <x v="5"/>
    <s v="USP4R21KAB22"/>
    <s v="NUTRE2035"/>
    <s v="5434"/>
    <s v="2"/>
    <n v="1000"/>
    <n v="32709959.25"/>
    <n v="9732500"/>
    <n v="8500"/>
    <d v="2035-05-12T00:00:00"/>
    <n v="3419"/>
    <n v="3.3609"/>
    <x v="0"/>
    <n v="32712213.449999999"/>
    <n v="9728250"/>
    <s v=""/>
    <n v="0"/>
    <n v="0"/>
    <n v="0"/>
    <n v="0.5"/>
    <s v="2"/>
    <n v="26256910350.436607"/>
    <n v="1.2457657360838759E-3"/>
    <n v="9.7324999999999999"/>
    <n v="0"/>
    <n v="0"/>
    <n v="9.7324999999999999"/>
    <n v="0"/>
    <n v="14.3125"/>
    <x v="5"/>
    <x v="28"/>
    <n v="2.1800900381467828E-2"/>
    <s v="12RFIC"/>
    <x v="2"/>
    <x v="3"/>
    <n v="1.5789361368225206E-2"/>
    <x v="1"/>
    <x v="1"/>
  </r>
  <r>
    <s v="31/12/2025"/>
    <s v="12"/>
    <x v="1"/>
    <s v="BEX"/>
    <s v="1254342KAB22"/>
    <x v="5"/>
    <s v="USP4R21KAB22"/>
    <s v="NUTRE2035"/>
    <s v="5434"/>
    <s v="2"/>
    <n v="1000"/>
    <n v="15392922"/>
    <n v="4580000"/>
    <n v="4000"/>
    <d v="2035-05-12T00:00:00"/>
    <n v="3419"/>
    <n v="3.3609"/>
    <x v="0"/>
    <n v="15393982.800000001"/>
    <n v="4578000"/>
    <s v=""/>
    <n v="0"/>
    <n v="0"/>
    <n v="0"/>
    <n v="0.5"/>
    <s v="2"/>
    <n v="7679510866.0565634"/>
    <n v="2.0044143785298506E-3"/>
    <n v="4.58"/>
    <n v="0"/>
    <n v="4.58"/>
    <n v="0"/>
    <n v="0"/>
    <n v="14.3125"/>
    <x v="5"/>
    <x v="29"/>
    <n v="3.5077251624272388E-2"/>
    <s v="12RFIC"/>
    <x v="2"/>
    <x v="3"/>
    <n v="7.4302877026942151E-3"/>
    <x v="1"/>
    <x v="1"/>
  </r>
  <r>
    <s v="31/12/2025"/>
    <s v="12"/>
    <x v="1"/>
    <s v="BEX"/>
    <s v="12583329AC04"/>
    <x v="6"/>
    <s v="USL67359AC04"/>
    <s v="NEXA 6.6 04/08/"/>
    <s v="5833"/>
    <s v="2"/>
    <n v="1000"/>
    <n v="24638309.787842099"/>
    <n v="7330866.6689999998"/>
    <n v="7000"/>
    <d v="2037-04-08T00:00:00"/>
    <n v="4116"/>
    <n v="3.3609"/>
    <x v="0"/>
    <n v="24657049.098820601"/>
    <n v="7332733.3310000002"/>
    <s v=""/>
    <n v="4840507000"/>
    <n v="3383873000"/>
    <n v="1456634000"/>
    <n v="-0.26666600000000001"/>
    <s v="2"/>
    <n v="7679510866.0565634"/>
    <n v="3.2083175891766003E-3"/>
    <n v="7.3308666689999997"/>
    <n v="0"/>
    <n v="7.3308666689999997"/>
    <n v="0"/>
    <n v="0"/>
    <n v="7.3308666689999997"/>
    <x v="6"/>
    <x v="30"/>
    <n v="0.68741412665697832"/>
    <s v="12RFLC"/>
    <x v="2"/>
    <x v="4"/>
    <n v="0.14561245523646635"/>
    <x v="1"/>
    <x v="1"/>
  </r>
  <r>
    <s v="31/12/2025"/>
    <s v="15"/>
    <x v="1"/>
    <s v="OSX"/>
    <s v="1551192KAB72"/>
    <x v="7"/>
    <s v="USP1401KAB72"/>
    <s v="BANORT 6 5/8  P"/>
    <s v="5119"/>
    <s v="2"/>
    <n v="1000"/>
    <n v="22661029.036118001"/>
    <n v="6742547.8401969997"/>
    <n v="6773"/>
    <d v="2041-01-24T00:00:00"/>
    <n v="5503"/>
    <n v="3.3609"/>
    <x v="0"/>
    <n v="22652949.236604199"/>
    <n v="6736736.2269090004"/>
    <s v=""/>
    <n v="2191378000000"/>
    <n v="1948764000000"/>
    <n v="242614000000"/>
    <n v="0.85805600000000004"/>
    <s v="2"/>
    <n v="7679510866.0565634"/>
    <n v="2.9508427595668556E-3"/>
    <n v="6.7425478401969707"/>
    <n v="0"/>
    <n v="6.7425478401969707"/>
    <n v="0"/>
    <n v="0"/>
    <n v="27.694918191979944"/>
    <x v="7"/>
    <x v="31"/>
    <n v="3.0983848975451984E-3"/>
    <s v="15RFIC"/>
    <x v="2"/>
    <x v="3"/>
    <n v="6.5631969827741911E-4"/>
    <x v="1"/>
    <x v="1"/>
  </r>
  <r>
    <s v="31/12/2025"/>
    <s v="15"/>
    <x v="1"/>
    <s v="OSX"/>
    <s v="1551192MAD04"/>
    <x v="7"/>
    <s v="USP1400MAD04"/>
    <s v="BANORT 8 3/8 PE"/>
    <s v="5119"/>
    <s v="2"/>
    <n v="1000"/>
    <n v="65703272.1073272"/>
    <n v="19549308.848025002"/>
    <n v="18425"/>
    <d v="2050-05-20T00:00:00"/>
    <n v="8906"/>
    <n v="3.3609"/>
    <x v="0"/>
    <n v="65785124.156008102"/>
    <n v="19563767.3693"/>
    <s v=""/>
    <n v="2191378000000"/>
    <n v="1948764000000"/>
    <n v="242614000000"/>
    <n v="-0.78472299999999995"/>
    <s v="2"/>
    <n v="7679510866.0565634"/>
    <n v="8.5556584596729532E-3"/>
    <n v="19.549308848024992"/>
    <n v="0"/>
    <n v="19.549308848024992"/>
    <n v="0"/>
    <n v="0"/>
    <n v="38.934159466934986"/>
    <x v="7"/>
    <x v="32"/>
    <n v="8.9834413826566008E-3"/>
    <s v="15RFIC"/>
    <x v="2"/>
    <x v="3"/>
    <n v="1.902929988598052E-3"/>
    <x v="1"/>
    <x v="1"/>
  </r>
  <r>
    <s v="31/12/2025"/>
    <s v="15"/>
    <x v="0"/>
    <s v="OSX"/>
    <s v="1551192MAD04"/>
    <x v="7"/>
    <s v="USP1400MAD04"/>
    <s v="BANORT 8 3/8 PE"/>
    <s v="5119"/>
    <s v="2"/>
    <n v="1000"/>
    <n v="65150544.4450946"/>
    <n v="19384850.61891"/>
    <n v="18270"/>
    <d v="2050-05-20T00:00:00"/>
    <n v="8906"/>
    <n v="3.3609"/>
    <x v="0"/>
    <n v="65231707.914804302"/>
    <n v="19399187.50812"/>
    <s v=""/>
    <n v="2191378000000"/>
    <n v="1948764000000"/>
    <n v="242614000000"/>
    <n v="-0.78472299999999995"/>
    <s v="2"/>
    <n v="26256910350.436607"/>
    <n v="2.481272304150258E-3"/>
    <n v="19.384850618909997"/>
    <n v="0"/>
    <n v="0"/>
    <n v="19.384850618909997"/>
    <n v="0"/>
    <n v="38.934159466934986"/>
    <x v="7"/>
    <x v="33"/>
    <n v="2.6053359193577712E-3"/>
    <s v="15RFIC"/>
    <x v="2"/>
    <x v="3"/>
    <n v="1.8869216223439034E-3"/>
    <x v="1"/>
    <x v="1"/>
  </r>
  <r>
    <s v="31/12/2025"/>
    <s v="15"/>
    <x v="0"/>
    <s v="OSX"/>
    <s v="1551192KAB72"/>
    <x v="7"/>
    <s v="USP1401KAB72"/>
    <s v="BANORT 6 5/8  P"/>
    <s v="5119"/>
    <s v="2"/>
    <n v="1000"/>
    <n v="70418821.515307397"/>
    <n v="20952370.351783"/>
    <n v="21047"/>
    <d v="2041-01-24T00:00:00"/>
    <n v="5503"/>
    <n v="3.3609"/>
    <x v="0"/>
    <n v="70393713.654629901"/>
    <n v="20934310.847151"/>
    <s v=""/>
    <n v="2191378000000"/>
    <n v="1948764000000"/>
    <n v="242614000000"/>
    <n v="0.85805600000000004"/>
    <s v="2"/>
    <n v="26256910350.436607"/>
    <n v="2.6819157538136031E-3"/>
    <n v="20.952370351782974"/>
    <n v="0"/>
    <n v="0"/>
    <n v="20.952370351782974"/>
    <n v="0"/>
    <n v="27.694918191979944"/>
    <x v="7"/>
    <x v="34"/>
    <n v="2.8160115415042835E-3"/>
    <s v="15RFIC"/>
    <x v="2"/>
    <x v="3"/>
    <n v="2.0395040144167847E-3"/>
    <x v="1"/>
    <x v="1"/>
  </r>
  <r>
    <s v="31/12/2025"/>
    <s v="15"/>
    <x v="0"/>
    <s v="OSX"/>
    <s v="1552782BAB48"/>
    <x v="8"/>
    <s v="USP1S81BAB48"/>
    <s v="BBVASM 2039"/>
    <s v="5278"/>
    <s v="2"/>
    <n v="1000"/>
    <n v="43414810.840241499"/>
    <n v="12917614.579500001"/>
    <n v="11500"/>
    <d v="2039-01-08T00:00:00"/>
    <n v="4756"/>
    <n v="3.3609"/>
    <x v="0"/>
    <n v="43397300.147407398"/>
    <n v="12905876.448999999"/>
    <s v="GBBV"/>
    <n v="2808249000000"/>
    <n v="2500434000000"/>
    <n v="307815000000"/>
    <n v="1.020707"/>
    <s v="2"/>
    <n v="26256910350.436607"/>
    <n v="1.6534622794840592E-3"/>
    <n v="12.917614579499984"/>
    <n v="0"/>
    <n v="0"/>
    <n v="12.917614579499984"/>
    <n v="0"/>
    <n v="27.295481241899964"/>
    <x v="8"/>
    <x v="35"/>
    <n v="1.9841547353808709E-3"/>
    <s v="15RFIC"/>
    <x v="2"/>
    <x v="3"/>
    <n v="1.4370294611334082E-3"/>
    <x v="1"/>
    <x v="1"/>
  </r>
  <r>
    <s v="31/12/2025"/>
    <s v="15"/>
    <x v="0"/>
    <s v="OSX"/>
    <s v="15527829AN67"/>
    <x v="8"/>
    <s v="USP16259AN67"/>
    <s v="BBVA 2034"/>
    <s v="5278"/>
    <s v="2"/>
    <n v="1000"/>
    <n v="20520072.9672876"/>
    <n v="6105529.1639999999"/>
    <n v="6000"/>
    <d v="2034-09-13T00:00:00"/>
    <n v="3178"/>
    <n v="3.3609"/>
    <x v="0"/>
    <n v="20477463.413133599"/>
    <n v="6089770.8360000001"/>
    <s v="GBBV"/>
    <n v="2808249000000"/>
    <n v="2500434000000"/>
    <n v="307815000000"/>
    <n v="2.6263879999999999"/>
    <s v="2"/>
    <n v="26256910350.436607"/>
    <n v="7.8151133143303686E-4"/>
    <n v="6.105529164"/>
    <n v="0"/>
    <n v="0"/>
    <n v="6.105529164"/>
    <n v="0"/>
    <n v="10.989952495199976"/>
    <x v="8"/>
    <x v="36"/>
    <n v="9.3781359771964419E-4"/>
    <s v="15RFIC"/>
    <x v="2"/>
    <x v="3"/>
    <n v="6.7921404764631444E-4"/>
    <x v="1"/>
    <x v="1"/>
  </r>
  <r>
    <s v="31/12/2025"/>
    <s v="15"/>
    <x v="0"/>
    <s v="OSX"/>
    <s v="1552782BAA64"/>
    <x v="8"/>
    <s v="USP1S81BAA64"/>
    <s v="BBVASM 2038"/>
    <s v="5278"/>
    <s v="2"/>
    <n v="1000"/>
    <n v="24965833.693631001"/>
    <n v="7428317.9188999999"/>
    <n v="6700"/>
    <d v="2038-06-29T00:00:00"/>
    <n v="4563"/>
    <n v="3.3609"/>
    <x v="0"/>
    <n v="24969594.006557502"/>
    <n v="7425680.7252000002"/>
    <s v="GBBV"/>
    <n v="2808249000000"/>
    <n v="2500434000000"/>
    <n v="307815000000"/>
    <n v="0.39361099999999999"/>
    <s v="2"/>
    <n v="26256910350.436607"/>
    <n v="9.5082907167772933E-4"/>
    <n v="7.4283179188999968"/>
    <n v="0"/>
    <n v="0"/>
    <n v="7.4283179188999968"/>
    <n v="0"/>
    <n v="16.51969208829998"/>
    <x v="8"/>
    <x v="37"/>
    <n v="1.1409948860132751E-3"/>
    <s v="15RFIC"/>
    <x v="2"/>
    <x v="3"/>
    <n v="8.2636864805248739E-4"/>
    <x v="1"/>
    <x v="1"/>
  </r>
  <r>
    <s v="31/12/2025"/>
    <s v="15"/>
    <x v="0"/>
    <s v="OSX"/>
    <s v="15527829AM84"/>
    <x v="8"/>
    <s v="USP16259AM84"/>
    <s v="BBVA 2033"/>
    <s v="5278"/>
    <s v="2"/>
    <n v="1000"/>
    <n v="8467700.0237617008"/>
    <n v="2519473.9575"/>
    <n v="2500"/>
    <d v="2033-01-18T00:00:00"/>
    <n v="2575"/>
    <n v="3.3609"/>
    <x v="0"/>
    <n v="8454457.9139965009"/>
    <n v="2514262.1524999999"/>
    <s v="GBBV"/>
    <n v="2808249000000"/>
    <n v="2500434000000"/>
    <n v="307815000000"/>
    <n v="2.0847220000000002"/>
    <s v="2"/>
    <n v="26256910350.436607"/>
    <n v="3.224941514728102E-4"/>
    <n v="2.5194739574999856"/>
    <n v="0"/>
    <n v="0"/>
    <n v="2.5194739574999856"/>
    <n v="0"/>
    <n v="2.5194739574999856"/>
    <x v="8"/>
    <x v="38"/>
    <n v="3.8699298176737222E-4"/>
    <s v="15RFIC"/>
    <x v="2"/>
    <x v="3"/>
    <n v="2.8028071910673189E-4"/>
    <x v="1"/>
    <x v="1"/>
  </r>
  <r>
    <s v="31/12/2025"/>
    <s v="15"/>
    <x v="1"/>
    <s v="OSX"/>
    <s v="1552782BAB48"/>
    <x v="8"/>
    <s v="USP1S81BAB48"/>
    <s v="BBVASM 2039"/>
    <s v="5278"/>
    <s v="2"/>
    <n v="1000"/>
    <n v="48322572.065660097"/>
    <n v="14377866.6624"/>
    <n v="12800"/>
    <d v="2039-01-08T00:00:00"/>
    <n v="4756"/>
    <n v="3.3609"/>
    <x v="0"/>
    <n v="48303081.9032012"/>
    <n v="14364801.6128"/>
    <s v="GBBV"/>
    <n v="2808249000000"/>
    <n v="2500434000000"/>
    <n v="307815000000"/>
    <n v="1.020707"/>
    <s v="2"/>
    <n v="7679510866.0565634"/>
    <n v="6.2924023298470549E-3"/>
    <n v="14.377866662399981"/>
    <n v="0"/>
    <n v="14.377866662399981"/>
    <n v="0"/>
    <n v="0"/>
    <n v="27.295481241899964"/>
    <x v="8"/>
    <x v="39"/>
    <n v="7.5508827958164658E-3"/>
    <s v="15RFIC"/>
    <x v="2"/>
    <x v="3"/>
    <n v="1.5994762697832715E-3"/>
    <x v="1"/>
    <x v="1"/>
  </r>
  <r>
    <s v="31/12/2025"/>
    <s v="15"/>
    <x v="1"/>
    <s v="OSX"/>
    <s v="15527829AN67"/>
    <x v="8"/>
    <s v="USP16259AN67"/>
    <s v="BBVA 2034"/>
    <s v="5278"/>
    <s v="2"/>
    <n v="1000"/>
    <n v="16416058.37383"/>
    <n v="4884423.3311999999"/>
    <n v="4800"/>
    <d v="2034-09-13T00:00:00"/>
    <n v="3178"/>
    <n v="3.3609"/>
    <x v="0"/>
    <n v="16381970.7305068"/>
    <n v="4871816.6688000001"/>
    <s v="GBBV"/>
    <n v="2808249000000"/>
    <n v="2500434000000"/>
    <n v="307815000000"/>
    <n v="2.6263879999999999"/>
    <s v="2"/>
    <n v="7679510866.0565634"/>
    <n v="2.1376437458261793E-3"/>
    <n v="4.8844233311999767"/>
    <n v="0"/>
    <n v="4.8844233311999767"/>
    <n v="0"/>
    <n v="0"/>
    <n v="10.989952495199976"/>
    <x v="8"/>
    <x v="40"/>
    <n v="2.5651724949914152E-3"/>
    <s v="15RFIC"/>
    <x v="2"/>
    <x v="3"/>
    <n v="5.4337123811704893E-4"/>
    <x v="1"/>
    <x v="1"/>
  </r>
  <r>
    <s v="31/12/2025"/>
    <s v="15"/>
    <x v="1"/>
    <s v="OSX"/>
    <s v="1552782BAA64"/>
    <x v="8"/>
    <s v="USP1S81BAA64"/>
    <s v="BBVASM 2038"/>
    <s v="5278"/>
    <s v="2"/>
    <n v="1000"/>
    <n v="30555199.4459364"/>
    <n v="9091374.1693999991"/>
    <n v="8200"/>
    <d v="2038-06-29T00:00:00"/>
    <n v="4563"/>
    <n v="3.3609"/>
    <x v="0"/>
    <n v="30559801.6199659"/>
    <n v="9088146.5592"/>
    <s v="GBBV"/>
    <n v="2808249000000"/>
    <n v="2500434000000"/>
    <n v="307815000000"/>
    <n v="0.39361099999999999"/>
    <s v="2"/>
    <n v="7679510866.0565634"/>
    <n v="3.9787950012533189E-3"/>
    <n v="9.0913741693999821"/>
    <n v="0"/>
    <n v="9.0913741693999821"/>
    <n v="0"/>
    <n v="0"/>
    <n v="16.51969208829998"/>
    <x v="8"/>
    <x v="41"/>
    <n v="4.7745540015039821E-3"/>
    <s v="15RFIC"/>
    <x v="2"/>
    <x v="3"/>
    <n v="1.0113765543328936E-3"/>
    <x v="1"/>
    <x v="1"/>
  </r>
  <r>
    <s v="31/12/2025"/>
    <s v="15"/>
    <x v="1"/>
    <s v="OSX"/>
    <s v="1552782GAA15"/>
    <x v="8"/>
    <s v="USP2000GAA15"/>
    <s v="BBVASM 2035"/>
    <s v="5278"/>
    <s v="2"/>
    <n v="1000"/>
    <n v="5456578.6905070003"/>
    <n v="1623546.8744999999"/>
    <n v="1500"/>
    <d v="2035-02-11T00:00:00"/>
    <n v="3329"/>
    <n v="3.3609"/>
    <x v="0"/>
    <n v="5469811.8186708"/>
    <n v="1626661.4580000001"/>
    <s v="GBBV"/>
    <n v="2808249000000"/>
    <n v="2500434000000"/>
    <n v="307815000000"/>
    <n v="-2.0763889999999998"/>
    <s v="2"/>
    <n v="7679510866.0565634"/>
    <n v="7.1053727062553903E-4"/>
    <n v="1.6235468744999852"/>
    <n v="0"/>
    <n v="1.6235468744999852"/>
    <n v="0"/>
    <n v="0"/>
    <n v="1.6235468744999852"/>
    <x v="8"/>
    <x v="42"/>
    <n v="8.5264472475064682E-4"/>
    <s v="15RFIC"/>
    <x v="2"/>
    <x v="3"/>
    <n v="1.8061265691346026E-4"/>
    <x v="1"/>
    <x v="1"/>
  </r>
  <r>
    <s v="31/12/2025"/>
    <s v="15"/>
    <x v="0"/>
    <s v="OSX"/>
    <s v="15528725AC15"/>
    <x v="9"/>
    <s v="USG42045AC15"/>
    <s v="AVALCB 4 3/8 02"/>
    <s v="5287"/>
    <s v="2"/>
    <n v="1000"/>
    <n v="3807145.3642245"/>
    <n v="1132775.5554239999"/>
    <n v="1184"/>
    <d v="2030-02-04T00:00:00"/>
    <n v="1496"/>
    <n v="3.3609"/>
    <x v="0"/>
    <n v="3808533.3857121998"/>
    <n v="1132615.6503039999"/>
    <s v="GAVA"/>
    <n v="316615576000000"/>
    <n v="284936353000000"/>
    <n v="31679222999999.996"/>
    <n v="0.13505500000000001"/>
    <s v="2"/>
    <n v="26256910350.436607"/>
    <n v="1.4499593872289675E-4"/>
    <n v="1.1327755554239936"/>
    <n v="0"/>
    <n v="0"/>
    <n v="1.1327755554239936"/>
    <n v="0"/>
    <n v="1.1327755554239936"/>
    <x v="9"/>
    <x v="43"/>
    <n v="1.5239073159776448E-3"/>
    <s v="15RFIC"/>
    <x v="2"/>
    <x v="3"/>
    <n v="1.1036940164226901E-3"/>
    <x v="1"/>
    <x v="1"/>
  </r>
  <r>
    <s v="31/12/2025"/>
    <s v="15"/>
    <x v="0"/>
    <s v="OSX"/>
    <s v="15532427PD99"/>
    <x v="10"/>
    <s v="USP0R137PD99"/>
    <s v="DAVIVI2035"/>
    <s v="5324"/>
    <s v="2"/>
    <n v="1000"/>
    <n v="24307961.082237002"/>
    <n v="7232574.9299999997"/>
    <n v="6933"/>
    <d v="2032-07-02T00:00:00"/>
    <n v="2375"/>
    <n v="3.3609"/>
    <x v="0"/>
    <n v="25268958.981992301"/>
    <n v="7514708.5534979999"/>
    <s v=""/>
    <n v="177149615000000"/>
    <n v="161267686000000"/>
    <n v="15881929000000"/>
    <n v="-40.694305999999997"/>
    <s v="2"/>
    <n v="26256910350.436607"/>
    <n v="9.2577385373267273E-4"/>
    <n v="7.2325749300000011"/>
    <n v="0"/>
    <n v="0"/>
    <n v="7.2325749300000011"/>
    <n v="0"/>
    <n v="19.49342206"/>
    <x v="10"/>
    <x v="44"/>
    <n v="3.7060805727220517E-3"/>
    <s v="15RFIC"/>
    <x v="2"/>
    <x v="3"/>
    <n v="2.684138929977885E-3"/>
    <x v="2"/>
    <x v="2"/>
  </r>
  <r>
    <s v="31/12/2025"/>
    <s v="15"/>
    <x v="1"/>
    <s v="OSX"/>
    <s v="15532427PD99"/>
    <x v="10"/>
    <s v="USP0R137PD99"/>
    <s v="DAVIVI2035"/>
    <s v="5324"/>
    <s v="2"/>
    <n v="1000"/>
    <n v="41207481.119217001"/>
    <n v="12260847.130000001"/>
    <n v="11753"/>
    <d v="2032-07-02T00:00:00"/>
    <n v="2375"/>
    <n v="3.3609"/>
    <x v="0"/>
    <n v="42836589.487286299"/>
    <n v="12739127.308418"/>
    <s v=""/>
    <n v="177149615000000"/>
    <n v="161267686000000"/>
    <n v="15881929000000"/>
    <n v="-40.694305999999997"/>
    <s v="2"/>
    <n v="7679510866.0565634"/>
    <n v="5.3658991878446395E-3"/>
    <n v="12.26084713"/>
    <n v="0"/>
    <n v="12.26084713"/>
    <n v="0"/>
    <n v="0"/>
    <n v="19.49342206"/>
    <x v="10"/>
    <x v="45"/>
    <n v="2.1480899093309764E-2"/>
    <s v="15RFIC"/>
    <x v="2"/>
    <x v="3"/>
    <n v="4.550221382378491E-3"/>
    <x v="2"/>
    <x v="2"/>
  </r>
  <r>
    <s v="31/12/2025"/>
    <s v="15"/>
    <x v="1"/>
    <s v="OSX"/>
    <s v="15515123CH47"/>
    <x v="11"/>
    <s v="USP32133CH47"/>
    <s v="BCICI 7 1/2  PE"/>
    <s v="5151"/>
    <s v="2"/>
    <n v="1000"/>
    <n v="17937711.463011801"/>
    <n v="5337175.0016400004"/>
    <n v="4920"/>
    <d v="2100-03-12T00:00:00"/>
    <n v="27099"/>
    <n v="3.3609"/>
    <x v="0"/>
    <n v="17939891.324999999"/>
    <n v="5335125"/>
    <s v=""/>
    <n v="0"/>
    <n v="0"/>
    <n v="0"/>
    <n v="0.41666700000000001"/>
    <s v="2"/>
    <n v="7679510866.0565634"/>
    <n v="2.3357882781697053E-3"/>
    <n v="5.3371750016399782"/>
    <n v="0"/>
    <n v="5.3371750016399782"/>
    <n v="0"/>
    <n v="0"/>
    <n v="5.3371750016399782"/>
    <x v="11"/>
    <x v="46"/>
    <n v="3.7372612450715286E-4"/>
    <s v="15RFIC"/>
    <x v="2"/>
    <x v="3"/>
    <n v="7.9165057081597009E-5"/>
    <x v="1"/>
    <x v="1"/>
  </r>
  <r>
    <s v="31/12/2025"/>
    <s v="15"/>
    <x v="1"/>
    <s v="OSX"/>
    <s v="1551112LAN29"/>
    <x v="12"/>
    <s v="US05968LAN29"/>
    <s v="BCOLO 2034"/>
    <s v="5111"/>
    <s v="2"/>
    <n v="1000"/>
    <n v="60957858.844433002"/>
    <n v="18137361.6723"/>
    <n v="16900"/>
    <d v="2034-12-24T00:00:00"/>
    <n v="3280"/>
    <n v="3.3609"/>
    <x v="0"/>
    <n v="60992717.65275"/>
    <n v="18138558.75"/>
    <s v=""/>
    <n v="338596669000000"/>
    <n v="301098538000000"/>
    <n v="37498131000000"/>
    <n v="-7.0832999999999993E-2"/>
    <s v="2"/>
    <n v="7679510866.0565634"/>
    <n v="7.9377267520860904E-3"/>
    <n v="18.137361672299981"/>
    <n v="0"/>
    <n v="18.137361672299981"/>
    <n v="0"/>
    <n v="0"/>
    <n v="32.602175910125979"/>
    <x v="12"/>
    <x v="47"/>
    <n v="7.7789722170443689E-3"/>
    <s v="15RFIC"/>
    <x v="0"/>
    <x v="2"/>
    <n v="1.6477916292594855E-3"/>
    <x v="1"/>
    <x v="1"/>
  </r>
  <r>
    <s v="31/12/2025"/>
    <s v="15"/>
    <x v="0"/>
    <s v="OSX"/>
    <s v="1551112LAN29"/>
    <x v="12"/>
    <s v="US05968LAN29"/>
    <s v="BCOLO 2034"/>
    <s v="5111"/>
    <s v="2"/>
    <n v="1000"/>
    <n v="48614794.171909399"/>
    <n v="14464814.237826001"/>
    <n v="13478"/>
    <d v="2034-12-24T00:00:00"/>
    <n v="3280"/>
    <n v="3.3609"/>
    <x v="0"/>
    <n v="48642594.587205"/>
    <n v="14465768.925000001"/>
    <s v=""/>
    <n v="338596669000000"/>
    <n v="301098538000000"/>
    <n v="37498131000000"/>
    <n v="-7.0832999999999993E-2"/>
    <s v="2"/>
    <n v="26256910350.436607"/>
    <n v="1.8515047476292663E-3"/>
    <n v="14.464814237825999"/>
    <n v="0"/>
    <n v="0"/>
    <n v="14.464814237825999"/>
    <n v="0"/>
    <n v="32.602175910125979"/>
    <x v="12"/>
    <x v="48"/>
    <n v="1.8144746526766811E-3"/>
    <s v="15RFIC"/>
    <x v="0"/>
    <x v="2"/>
    <n v="1.3141381999502585E-3"/>
    <x v="1"/>
    <x v="1"/>
  </r>
  <r>
    <s v="31/12/2025"/>
    <s v="18"/>
    <x v="0"/>
    <s v="BNP"/>
    <s v="182096345816"/>
    <x v="13"/>
    <s v="XS0799645816"/>
    <s v="IVPRB 6.45 06/3"/>
    <s v="2096"/>
    <s v="3"/>
    <n v="1000"/>
    <n v="242817805.95420119"/>
    <n v="242817805.95420119"/>
    <n v="212084"/>
    <d v="2037-06-30T00:00:00"/>
    <n v="4199"/>
    <n v="1"/>
    <x v="0"/>
    <n v="242414877.74263319"/>
    <n v="242414877.74263319"/>
    <s v=""/>
    <n v="4252869000"/>
    <n v="3246804000"/>
    <n v="1006065000"/>
    <n v="1.8998520000000001"/>
    <s v="3"/>
    <n v="26256910350.436607"/>
    <n v="9.2477676433915818E-3"/>
    <n v="72.247852049808444"/>
    <n v="0"/>
    <n v="0"/>
    <n v="72.247852049808444"/>
    <n v="0"/>
    <n v="78.569419874294468"/>
    <x v="13"/>
    <x v="49"/>
    <n v="0.30577170748934385"/>
    <s v="18RFLC"/>
    <x v="2"/>
    <x v="4"/>
    <n v="0.22145599040636707"/>
    <x v="2"/>
    <x v="2"/>
  </r>
  <r>
    <s v="31/12/2025"/>
    <s v="18"/>
    <x v="1"/>
    <s v="BNP"/>
    <s v="182096345816"/>
    <x v="13"/>
    <s v="XS0799645816"/>
    <s v="IVPRB 6.45 06/3"/>
    <s v="2096"/>
    <s v="3"/>
    <n v="1000"/>
    <n v="21246157.301315099"/>
    <n v="21246157.301315099"/>
    <n v="18557"/>
    <d v="2037-06-30T00:00:00"/>
    <n v="4199"/>
    <n v="1"/>
    <x v="0"/>
    <n v="21210901.747751102"/>
    <n v="21210901.747751102"/>
    <s v=""/>
    <n v="4252869000"/>
    <n v="3246804000"/>
    <n v="1006065000"/>
    <n v="1.8998520000000001"/>
    <s v="3"/>
    <n v="7679510866.0565634"/>
    <n v="2.7666029349894027E-3"/>
    <n v="6.3215678244860305"/>
    <n v="0"/>
    <n v="6.3215678244860305"/>
    <n v="0"/>
    <n v="0"/>
    <n v="78.569419874294468"/>
    <x v="13"/>
    <x v="50"/>
    <n v="9.1476011941244162E-2"/>
    <s v="18RFLC"/>
    <x v="2"/>
    <x v="4"/>
    <n v="1.9377033694059683E-2"/>
    <x v="2"/>
    <x v="2"/>
  </r>
  <r>
    <s v="31/12/2025"/>
    <s v="21"/>
    <x v="1"/>
    <s v="BSF"/>
    <s v="21003811902A"/>
    <x v="14"/>
    <s v="PEP12100D292"/>
    <s v="BIF3BS2A"/>
    <s v="0038"/>
    <s v="1"/>
    <n v="1000"/>
    <n v="20536161.806000002"/>
    <n v="20536161.806000002"/>
    <n v="20000"/>
    <d v="2029-02-28T00:00:00"/>
    <n v="1155"/>
    <n v="1"/>
    <x v="0"/>
    <n v="20535736.173999999"/>
    <n v="20535736.173999999"/>
    <s v="GFIE"/>
    <n v="22149047000"/>
    <n v="20355021000"/>
    <n v="1794026000"/>
    <n v="2.1281600000000001E-2"/>
    <s v="1"/>
    <n v="7679510866.0565634"/>
    <n v="2.6741497165880491E-3"/>
    <n v="6.1103162266059696"/>
    <n v="0"/>
    <n v="6.1103162266059696"/>
    <n v="0"/>
    <n v="0"/>
    <n v="7.6378952832574623"/>
    <x v="10"/>
    <x v="51"/>
    <n v="1.0705221662113334E-2"/>
    <s v="21RFLC"/>
    <x v="2"/>
    <x v="4"/>
    <n v="2.2676484954589544E-3"/>
    <x v="2"/>
    <x v="2"/>
  </r>
  <r>
    <s v="31/12/2025"/>
    <s v="21"/>
    <x v="0"/>
    <s v="BSF"/>
    <s v="21003811902A"/>
    <x v="14"/>
    <s v="PEP12100D292"/>
    <s v="BIF3BS2A"/>
    <s v="0038"/>
    <s v="1"/>
    <n v="1000"/>
    <n v="5134040.4515000004"/>
    <n v="5134040.4515000004"/>
    <n v="5000"/>
    <d v="2029-02-28T00:00:00"/>
    <n v="1155"/>
    <n v="1"/>
    <x v="0"/>
    <n v="5133934.0434999997"/>
    <n v="5133934.0434999997"/>
    <s v="GFIE"/>
    <n v="22149047000"/>
    <n v="20355021000"/>
    <n v="1794026000"/>
    <n v="2.1281600000000001E-2"/>
    <s v="1"/>
    <n v="26256910350.436607"/>
    <n v="1.9553101956699297E-4"/>
    <n v="1.5275790566514924"/>
    <n v="0"/>
    <n v="0"/>
    <n v="1.5275790566514924"/>
    <n v="0"/>
    <n v="7.6378952832574623"/>
    <x v="10"/>
    <x v="52"/>
    <n v="7.8275456804056563E-4"/>
    <s v="21RFLC"/>
    <x v="2"/>
    <x v="4"/>
    <n v="5.669121238647386E-4"/>
    <x v="2"/>
    <x v="2"/>
  </r>
  <r>
    <s v="31/12/2025"/>
    <s v="21"/>
    <x v="0"/>
    <s v="BSF"/>
    <s v="21001811601A"/>
    <x v="15"/>
    <s v="PEP12030D010"/>
    <s v="BN1BS1A"/>
    <s v="0018"/>
    <s v="1"/>
    <n v="1000"/>
    <n v="5479726.5060831998"/>
    <n v="5479726.5060831998"/>
    <n v="5176"/>
    <d v="2031-11-30T00:00:00"/>
    <n v="2160"/>
    <n v="1"/>
    <x v="0"/>
    <n v="5482093.2807376003"/>
    <n v="5482093.2807376003"/>
    <s v=""/>
    <n v="47334882000"/>
    <n v="43945418000"/>
    <n v="3389464000"/>
    <n v="-0.45725939999999998"/>
    <s v="1"/>
    <n v="26256910350.436607"/>
    <n v="2.0869654627860972E-4"/>
    <n v="1.6304342604907018"/>
    <n v="0"/>
    <n v="0"/>
    <n v="1.6304342604907018"/>
    <n v="0"/>
    <n v="1.6304342604907018"/>
    <x v="10"/>
    <x v="53"/>
    <n v="8.3545912712791419E-4"/>
    <s v="21RFLC"/>
    <x v="2"/>
    <x v="4"/>
    <n v="6.0508354406399434E-4"/>
    <x v="2"/>
    <x v="2"/>
  </r>
  <r>
    <s v="31/12/2025"/>
    <s v="21"/>
    <x v="0"/>
    <s v="BSF"/>
    <s v="2100022V2J35"/>
    <x v="16"/>
    <s v="US05971V2J35"/>
    <s v="BCP2035"/>
    <s v="0002"/>
    <s v="2"/>
    <n v="1000"/>
    <n v="26964500.6915977"/>
    <n v="8022999.9974999996"/>
    <n v="7500"/>
    <d v="2035-07-30T00:00:00"/>
    <n v="3498"/>
    <n v="3.3609"/>
    <x v="0"/>
    <n v="26969102.8125"/>
    <n v="8020312.5"/>
    <s v="CCOR"/>
    <n v="187469765000"/>
    <n v="164938084000"/>
    <n v="22531681000"/>
    <n v="0.35833300000000001"/>
    <s v="2"/>
    <n v="26256910350.436607"/>
    <n v="1.02694872822877E-3"/>
    <n v="8.0229999974999853"/>
    <n v="0"/>
    <n v="0"/>
    <n v="8.0229999974999853"/>
    <n v="0"/>
    <n v="10.080097196858967"/>
    <x v="14"/>
    <x v="54"/>
    <n v="6.2643872421954967E-4"/>
    <s v="21RFLC"/>
    <x v="2"/>
    <x v="4"/>
    <n v="4.5369994902414611E-4"/>
    <x v="1"/>
    <x v="1"/>
  </r>
  <r>
    <s v="31/12/2025"/>
    <s v="21"/>
    <x v="0"/>
    <s v="BSF"/>
    <s v="2100022V2H78"/>
    <x v="16"/>
    <s v="US05971V2H78"/>
    <s v="BCP 5.8 03/10/2"/>
    <s v="0002"/>
    <s v="2"/>
    <n v="1000"/>
    <n v="100322257.38080519"/>
    <n v="29849819.209380001"/>
    <n v="28895"/>
    <d v="2035-03-10T00:00:00"/>
    <n v="3356"/>
    <n v="3.3609"/>
    <x v="0"/>
    <n v="100341694.2341305"/>
    <n v="29840508.60469"/>
    <s v="CCOR"/>
    <n v="187469765000"/>
    <n v="164938084000"/>
    <n v="22531681000"/>
    <n v="0.32222200000000001"/>
    <s v="2"/>
    <n v="26256910350.436607"/>
    <n v="3.8207944515123429E-3"/>
    <n v="29.849819209379987"/>
    <n v="0"/>
    <n v="0"/>
    <n v="29.849819209379987"/>
    <n v="0"/>
    <n v="44.80726971405597"/>
    <x v="14"/>
    <x v="55"/>
    <n v="2.3306846154225293E-3"/>
    <s v="21RFLC"/>
    <x v="2"/>
    <x v="4"/>
    <n v="1.6880046688141238E-3"/>
    <x v="1"/>
    <x v="1"/>
  </r>
  <r>
    <s v="31/12/2025"/>
    <s v="21"/>
    <x v="1"/>
    <s v="BSF"/>
    <s v="2100022V2H78"/>
    <x v="16"/>
    <s v="US05971V2H78"/>
    <s v="BCP 5.8 03/10/2"/>
    <s v="0002"/>
    <s v="2"/>
    <n v="1000"/>
    <n v="50270495.4011655"/>
    <n v="14957450.504675999"/>
    <n v="14479"/>
    <d v="2035-03-10T00:00:00"/>
    <n v="3356"/>
    <n v="3.3609"/>
    <x v="0"/>
    <n v="50280235.016991697"/>
    <n v="14952785.052338"/>
    <s v="CCOR"/>
    <n v="187469765000"/>
    <n v="164938084000"/>
    <n v="22531681000"/>
    <n v="0.32222200000000001"/>
    <s v="2"/>
    <n v="7679510866.0565634"/>
    <n v="6.5460543357469658E-3"/>
    <n v="14.957450504675981"/>
    <n v="0"/>
    <n v="14.957450504675981"/>
    <n v="0"/>
    <n v="0"/>
    <n v="44.80726971405597"/>
    <x v="14"/>
    <x v="56"/>
    <n v="3.9930931448056489E-3"/>
    <s v="21RFLC"/>
    <x v="2"/>
    <x v="4"/>
    <n v="8.4584251945871863E-4"/>
    <x v="1"/>
    <x v="1"/>
  </r>
  <r>
    <s v="31/12/2025"/>
    <s v="21"/>
    <x v="1"/>
    <s v="BSF"/>
    <s v="2100022V2J35"/>
    <x v="16"/>
    <s v="US05971V2J35"/>
    <s v="BCP2035"/>
    <s v="0002"/>
    <s v="2"/>
    <n v="1000"/>
    <n v="6913697.9773255996"/>
    <n v="2057097.199359"/>
    <n v="1923"/>
    <d v="2035-07-30T00:00:00"/>
    <n v="3498"/>
    <n v="3.3609"/>
    <x v="0"/>
    <n v="6914877.9611250004"/>
    <n v="2056408.125"/>
    <s v="CCOR"/>
    <n v="187469765000"/>
    <n v="164938084000"/>
    <n v="22531681000"/>
    <n v="0.35833300000000001"/>
    <s v="2"/>
    <n v="7679510866.0565634"/>
    <n v="9.0027842891454756E-4"/>
    <n v="2.0570971993589811"/>
    <n v="0"/>
    <n v="2.0570971993589811"/>
    <n v="0"/>
    <n v="0"/>
    <n v="10.080097196858967"/>
    <x v="14"/>
    <x v="57"/>
    <n v="5.4916984163787404E-4"/>
    <s v="21RFLC"/>
    <x v="2"/>
    <x v="4"/>
    <n v="1.163286669297902E-4"/>
    <x v="1"/>
    <x v="1"/>
  </r>
  <r>
    <s v="31/12/2025"/>
    <s v="21"/>
    <x v="1"/>
    <s v="BSF"/>
    <s v="21000325AG03"/>
    <x v="17"/>
    <s v="USP13435AG03"/>
    <s v="BINTPE 6.397 04"/>
    <s v="0003"/>
    <s v="2"/>
    <n v="1000"/>
    <n v="32575042.356295601"/>
    <n v="9692356.9152000006"/>
    <n v="9200"/>
    <d v="2035-04-30T00:00:00"/>
    <n v="3407"/>
    <n v="3.3609"/>
    <x v="0"/>
    <n v="32503185.2773786"/>
    <n v="9666087.3364000004"/>
    <s v="GITC"/>
    <n v="71698610000"/>
    <n v="64045988000"/>
    <n v="7652622000"/>
    <n v="2.8553890000000002"/>
    <s v="2"/>
    <n v="7679510866.0565634"/>
    <n v="4.2418121315873488E-3"/>
    <n v="9.6923569151999764"/>
    <n v="0"/>
    <n v="9.6923569151999764"/>
    <n v="0"/>
    <n v="0"/>
    <n v="33.076221490175968"/>
    <x v="15"/>
    <x v="58"/>
    <n v="1.9936517018460539E-3"/>
    <s v="21RFLC"/>
    <x v="2"/>
    <x v="4"/>
    <n v="4.2230804973989762E-4"/>
    <x v="1"/>
    <x v="1"/>
  </r>
  <r>
    <s v="31/12/2025"/>
    <s v="21"/>
    <x v="0"/>
    <s v="BSF"/>
    <s v="21000325AG03"/>
    <x v="17"/>
    <s v="USP13435AG03"/>
    <s v="BINTPE 6.397 04"/>
    <s v="0003"/>
    <s v="2"/>
    <n v="1000"/>
    <n v="78590830.450036794"/>
    <n v="23383864.574976001"/>
    <n v="22196"/>
    <d v="2035-04-30T00:00:00"/>
    <n v="3407"/>
    <n v="3.3609"/>
    <x v="0"/>
    <n v="78417467.436597407"/>
    <n v="23320486.360732"/>
    <s v="GITC"/>
    <n v="71698610000"/>
    <n v="64045988000"/>
    <n v="7652622000"/>
    <n v="2.8553890000000002"/>
    <s v="2"/>
    <n v="26256910350.436607"/>
    <n v="2.9931484474421404E-3"/>
    <n v="23.383864574975988"/>
    <n v="0"/>
    <n v="0"/>
    <n v="23.383864574975988"/>
    <n v="0"/>
    <n v="33.076221490175968"/>
    <x v="15"/>
    <x v="59"/>
    <n v="1.4067797702978059E-3"/>
    <s v="21RFLC"/>
    <x v="2"/>
    <x v="4"/>
    <n v="1.0188640730463899E-3"/>
    <x v="1"/>
    <x v="1"/>
  </r>
  <r>
    <s v="31/12/2025"/>
    <s v="22"/>
    <x v="0"/>
    <s v="BEP"/>
    <s v="22211619AA48"/>
    <x v="18"/>
    <s v="USP82169AA48"/>
    <s v="RUTLI 2036"/>
    <s v="2116"/>
    <s v="1"/>
    <n v="1000"/>
    <n v="64445851.355999999"/>
    <n v="64445851.355999999"/>
    <n v="222932"/>
    <d v="2036-06-30T00:00:00"/>
    <n v="3834"/>
    <n v="1"/>
    <x v="0"/>
    <n v="66842370.355999999"/>
    <n v="66842370.355999999"/>
    <s v=""/>
    <n v="2816710241"/>
    <n v="1846667545"/>
    <n v="970042696"/>
    <n v="-10.75"/>
    <s v="1"/>
    <n v="26256910350.436607"/>
    <n v="2.4544339183809709E-3"/>
    <n v="19.175176695527981"/>
    <n v="0"/>
    <n v="0"/>
    <n v="19.175176695527981"/>
    <n v="0"/>
    <n v="24.001225957332856"/>
    <x v="16"/>
    <x v="60"/>
    <n v="6.727603370282241E-2"/>
    <s v="22RFLC"/>
    <x v="2"/>
    <x v="4"/>
    <n v="4.8724850302868147E-2"/>
    <x v="1"/>
    <x v="1"/>
  </r>
  <r>
    <s v="31/12/2025"/>
    <s v="22"/>
    <x v="1"/>
    <s v="BEP"/>
    <s v="22211619AA48"/>
    <x v="18"/>
    <s v="USP82169AA48"/>
    <s v="RUTLI 2036"/>
    <s v="2116"/>
    <s v="1"/>
    <n v="1000"/>
    <n v="16219868.964"/>
    <n v="16219868.964"/>
    <n v="56108"/>
    <d v="2036-06-30T00:00:00"/>
    <n v="3834"/>
    <n v="1"/>
    <x v="0"/>
    <n v="16823029.964000002"/>
    <n v="16823029.964000002"/>
    <s v=""/>
    <n v="2816710241"/>
    <n v="1846667545"/>
    <n v="970042696"/>
    <n v="-10.75"/>
    <s v="1"/>
    <n v="7679510866.0565634"/>
    <n v="2.1120966226757772E-3"/>
    <n v="4.826049261804874"/>
    <n v="0"/>
    <n v="4.826049261804874"/>
    <n v="0"/>
    <n v="0"/>
    <n v="24.001225957332856"/>
    <x v="16"/>
    <x v="61"/>
    <n v="5.7892568427543055E-2"/>
    <s v="22RFLC"/>
    <x v="2"/>
    <x v="4"/>
    <n v="1.2263173975890976E-2"/>
    <x v="1"/>
    <x v="1"/>
  </r>
  <r>
    <s v="31/12/2025"/>
    <s v="22"/>
    <x v="1"/>
    <s v="BEP"/>
    <s v="22212511603A"/>
    <x v="19"/>
    <s v="PEP71320M030"/>
    <s v="JPLAZ1BC3A"/>
    <s v="2125"/>
    <s v="1"/>
    <n v="1000"/>
    <n v="16444915.308"/>
    <n v="16444915.308"/>
    <n v="15000"/>
    <d v="2031-07-22T00:00:00"/>
    <n v="2029"/>
    <n v="1"/>
    <x v="0"/>
    <n v="16439628.547499999"/>
    <n v="16439628.547499999"/>
    <s v="GACU"/>
    <n v="1960115000"/>
    <n v="1305903000"/>
    <n v="654212000"/>
    <n v="0.35245070000000001"/>
    <s v="1"/>
    <n v="7679510866.0565634"/>
    <n v="2.1414013984518889E-3"/>
    <n v="4.8930094046237622"/>
    <n v="0"/>
    <n v="4.8930094046237622"/>
    <n v="0"/>
    <n v="0"/>
    <n v="14.026626959921451"/>
    <x v="17"/>
    <x v="62"/>
    <n v="2.6184319529704545E-2"/>
    <s v="22RFLC"/>
    <x v="2"/>
    <x v="4"/>
    <n v="5.5465299701631171E-3"/>
    <x v="2"/>
    <x v="2"/>
  </r>
  <r>
    <s v="31/12/2025"/>
    <s v="22"/>
    <x v="1"/>
    <s v="BEP"/>
    <s v="22212521501A"/>
    <x v="19"/>
    <s v="PEP71320M014"/>
    <s v="JPLAZ1BC1A"/>
    <s v="2125"/>
    <s v="2"/>
    <n v="1000"/>
    <n v="10015025.198755"/>
    <n v="2979864.0836546998"/>
    <n v="2893"/>
    <d v="2030-12-22T00:00:00"/>
    <n v="1817"/>
    <n v="3.3609"/>
    <x v="0"/>
    <n v="10013982.2835589"/>
    <n v="2978047.4286441999"/>
    <s v="GACU"/>
    <n v="1960115000"/>
    <n v="1305903000"/>
    <n v="654212000"/>
    <n v="0.62794850000000002"/>
    <s v="2"/>
    <n v="7679510866.0565634"/>
    <n v="1.3041227981096309E-3"/>
    <n v="2.9798640836546757"/>
    <n v="0"/>
    <n v="2.9798640836546757"/>
    <n v="0"/>
    <n v="0"/>
    <n v="2.9798640836546757"/>
    <x v="17"/>
    <x v="63"/>
    <n v="1.5946364878794649E-2"/>
    <s v="22RFLC"/>
    <x v="2"/>
    <x v="4"/>
    <n v="3.3778609604520455E-3"/>
    <x v="2"/>
    <x v="2"/>
  </r>
  <r>
    <s v="31/12/2025"/>
    <s v="22"/>
    <x v="0"/>
    <s v="BEP"/>
    <s v="22212511603A"/>
    <x v="19"/>
    <s v="PEP71320M030"/>
    <s v="JPLAZ1BC3A"/>
    <s v="2125"/>
    <s v="1"/>
    <n v="1000"/>
    <n v="30697175.241599999"/>
    <n v="30697175.241599999"/>
    <n v="28000"/>
    <d v="2031-07-22T00:00:00"/>
    <n v="2029"/>
    <n v="1"/>
    <x v="0"/>
    <n v="30687306.622000001"/>
    <n v="30687306.622000001"/>
    <s v="GACU"/>
    <n v="1960115000"/>
    <n v="1305903000"/>
    <n v="654212000"/>
    <n v="0.35245070000000001"/>
    <s v="1"/>
    <n v="26256910350.436607"/>
    <n v="1.1691084301961505E-3"/>
    <n v="9.1336175552976879"/>
    <n v="0"/>
    <n v="0"/>
    <n v="9.1336175552976879"/>
    <n v="0"/>
    <n v="14.026626959921451"/>
    <x v="17"/>
    <x v="64"/>
    <n v="1.4295455640992034E-2"/>
    <s v="22RFLC"/>
    <x v="2"/>
    <x v="4"/>
    <n v="1.0353522610971151E-2"/>
    <x v="2"/>
    <x v="2"/>
  </r>
  <r>
    <s v="31/12/2025"/>
    <s v="22"/>
    <x v="0"/>
    <s v="BEP"/>
    <s v="22582511603A"/>
    <x v="20"/>
    <s v="PEP73125M031"/>
    <s v="PRIMX1BC3A"/>
    <s v="5825"/>
    <s v="1"/>
    <n v="1000"/>
    <n v="19793767.1208998"/>
    <n v="19793767.1208998"/>
    <n v="17486"/>
    <d v="2036-10-07T00:00:00"/>
    <n v="3933"/>
    <n v="1"/>
    <x v="0"/>
    <n v="19756725.121225402"/>
    <n v="19756725.121225402"/>
    <s v="CCOR"/>
    <n v="5024202000"/>
    <n v="4179076000"/>
    <n v="845126000"/>
    <n v="2.1183803999999999"/>
    <s v="1"/>
    <n v="26256910350.436607"/>
    <n v="7.5384981921799738E-4"/>
    <n v="5.8894245948703627"/>
    <n v="0"/>
    <n v="0"/>
    <n v="5.8894245948703627"/>
    <n v="0"/>
    <n v="7.7418685655776143"/>
    <x v="18"/>
    <x v="65"/>
    <n v="0.17217112233363541"/>
    <s v="22RFLC"/>
    <x v="2"/>
    <x v="4"/>
    <n v="0.12469540340680403"/>
    <x v="2"/>
    <x v="2"/>
  </r>
  <r>
    <s v="31/12/2025"/>
    <s v="22"/>
    <x v="0"/>
    <s v="BEP"/>
    <s v="22582511801A"/>
    <x v="20"/>
    <s v="PEP73125M049"/>
    <s v="PRIMX2BC1A"/>
    <s v="5825"/>
    <s v="1"/>
    <n v="10000"/>
    <n v="11228743.7663881"/>
    <n v="11228743.7663881"/>
    <n v="1037"/>
    <d v="2028-07-23T00:00:00"/>
    <n v="935"/>
    <n v="1"/>
    <x v="0"/>
    <n v="11231176.2280447"/>
    <n v="11231176.2280447"/>
    <s v="CCOR"/>
    <n v="5024202000"/>
    <n v="4179076000"/>
    <n v="845126000"/>
    <n v="-2.3456717999999999"/>
    <s v="1"/>
    <n v="26256910350.436607"/>
    <n v="4.2764908805050574E-4"/>
    <n v="3.3409931168401616"/>
    <n v="0"/>
    <n v="0"/>
    <n v="3.3409931168401616"/>
    <n v="0"/>
    <n v="5.222516723623821"/>
    <x v="18"/>
    <x v="66"/>
    <n v="9.767041336030266E-2"/>
    <s v="22RFLC"/>
    <x v="2"/>
    <x v="4"/>
    <n v="7.0738062398591553E-2"/>
    <x v="2"/>
    <x v="2"/>
  </r>
  <r>
    <s v="31/12/2025"/>
    <s v="22"/>
    <x v="1"/>
    <s v="BEP"/>
    <s v="22582511801A"/>
    <x v="20"/>
    <s v="PEP73125M049"/>
    <s v="PRIMX2BC1A"/>
    <s v="5825"/>
    <s v="1"/>
    <n v="10000"/>
    <n v="6323612.6900391998"/>
    <n v="6323612.6900391998"/>
    <n v="584"/>
    <d v="2028-07-23T00:00:00"/>
    <n v="935"/>
    <n v="1"/>
    <x v="0"/>
    <n v="6324982.5623703999"/>
    <n v="6324982.5623703999"/>
    <s v="CCOR"/>
    <n v="5024202000"/>
    <n v="4179076000"/>
    <n v="845126000"/>
    <n v="-2.3456717999999999"/>
    <s v="1"/>
    <n v="7679510866.0565634"/>
    <n v="8.2343951331452199E-4"/>
    <n v="1.8815236067836589"/>
    <n v="0"/>
    <n v="1.8815236067836589"/>
    <n v="0"/>
    <n v="0"/>
    <n v="5.222516723623821"/>
    <x v="18"/>
    <x v="67"/>
    <n v="0.18806465368432509"/>
    <s v="22RFLC"/>
    <x v="2"/>
    <x v="4"/>
    <n v="3.9837057319939695E-2"/>
    <x v="2"/>
    <x v="2"/>
  </r>
  <r>
    <s v="31/12/2025"/>
    <s v="22"/>
    <x v="1"/>
    <s v="BEP"/>
    <s v="22582511802A"/>
    <x v="20"/>
    <s v="PEP73125M056"/>
    <s v="PRIMX2BC2A"/>
    <s v="5825"/>
    <s v="1"/>
    <n v="10000"/>
    <n v="7682536.6579499999"/>
    <n v="7682536.6579499999"/>
    <n v="700"/>
    <d v="2038-07-23T00:00:00"/>
    <n v="4587"/>
    <n v="1"/>
    <x v="0"/>
    <n v="7684712.4366600001"/>
    <n v="7684712.4366600001"/>
    <s v="CCOR"/>
    <n v="5024202000"/>
    <n v="4179076000"/>
    <n v="845126000"/>
    <n v="-3.1082553000000002"/>
    <s v="1"/>
    <n v="7679510866.0565634"/>
    <n v="1.000394008413584E-3"/>
    <n v="2.285856960323128"/>
    <n v="0"/>
    <n v="2.285856960323128"/>
    <n v="0"/>
    <n v="0"/>
    <n v="2.285856960323128"/>
    <x v="18"/>
    <x v="68"/>
    <n v="0.22847914108818429"/>
    <s v="22RFLC"/>
    <x v="2"/>
    <x v="4"/>
    <n v="4.8397912428661885E-2"/>
    <x v="2"/>
    <x v="2"/>
  </r>
  <r>
    <s v="31/12/2025"/>
    <s v="22"/>
    <x v="1"/>
    <s v="BEP"/>
    <s v="22582511603A"/>
    <x v="20"/>
    <s v="PEP73125M031"/>
    <s v="PRIMX1BC3A"/>
    <s v="5825"/>
    <s v="1"/>
    <n v="1000"/>
    <n v="6225878.9411500003"/>
    <n v="6225878.9411500003"/>
    <n v="5500"/>
    <d v="2036-10-07T00:00:00"/>
    <n v="3933"/>
    <n v="1"/>
    <x v="0"/>
    <n v="6214227.8489499995"/>
    <n v="6214227.8489499995"/>
    <s v="CCOR"/>
    <n v="5024202000"/>
    <n v="4179076000"/>
    <n v="845126000"/>
    <n v="2.1183803999999999"/>
    <s v="1"/>
    <n v="7679510866.0565634"/>
    <n v="8.1071295421540244E-4"/>
    <n v="1.8524439707072513"/>
    <n v="0"/>
    <n v="1.8524439707072513"/>
    <n v="0"/>
    <n v="0"/>
    <n v="7.7418685655776143"/>
    <x v="18"/>
    <x v="69"/>
    <n v="0.18515804562038243"/>
    <s v="22RFLC"/>
    <x v="2"/>
    <x v="4"/>
    <n v="3.9221361016666033E-2"/>
    <x v="2"/>
    <x v="2"/>
  </r>
  <r>
    <s v="31/12/2025"/>
    <s v="22"/>
    <x v="1"/>
    <s v="BEP"/>
    <s v="22582811701A"/>
    <x v="21"/>
    <s v="PEP73668M014"/>
    <s v="HERME1BC1A"/>
    <s v="5828"/>
    <s v="1"/>
    <n v="1000"/>
    <n v="6957636.3468535002"/>
    <n v="6957636.3468535002"/>
    <n v="12749"/>
    <d v="2030-03-03T00:00:00"/>
    <n v="1523"/>
    <n v="1"/>
    <x v="0"/>
    <n v="6957489.8468196001"/>
    <n v="6957489.8468196001"/>
    <s v=""/>
    <n v="1625198000"/>
    <n v="791660000"/>
    <n v="833538000"/>
    <n v="1.1491100000000001E-2"/>
    <s v="1"/>
    <n v="7679510866.0565634"/>
    <n v="9.0599993517897755E-4"/>
    <n v="2.0701705932498737"/>
    <n v="0"/>
    <n v="2.0701705932498737"/>
    <n v="0"/>
    <n v="0"/>
    <n v="2.0701705932498737"/>
    <x v="13"/>
    <x v="70"/>
    <n v="2.9956326526313054E-2"/>
    <s v="22RFLC"/>
    <x v="2"/>
    <x v="4"/>
    <n v="6.345540608213871E-3"/>
    <x v="2"/>
    <x v="2"/>
  </r>
  <r>
    <s v="31/12/2025"/>
    <s v="22"/>
    <x v="1"/>
    <s v="BEP"/>
    <s v="22583521701U"/>
    <x v="22"/>
    <s v="CVL14017HL12"/>
    <s v="BCIR1P1ESA"/>
    <s v="5835"/>
    <s v="2"/>
    <n v="1000"/>
    <n v="30547552.419070199"/>
    <n v="9089098.8780000005"/>
    <n v="12000"/>
    <d v="2032-12-22T00:00:00"/>
    <n v="2548"/>
    <n v="3.3609"/>
    <x v="0"/>
    <n v="30535893.6630897"/>
    <n v="9081036.5976"/>
    <s v=""/>
    <n v="79333000"/>
    <n v="66161000"/>
    <n v="13172000"/>
    <n v="0.67185669999999997"/>
    <s v="2"/>
    <n v="7679510866.0565634"/>
    <n v="3.9777992312102035E-3"/>
    <n v="9.0890988779999997"/>
    <n v="0"/>
    <n v="9.0890988779999997"/>
    <n v="0"/>
    <n v="0"/>
    <n v="9.0890988779999997"/>
    <x v="13"/>
    <x v="71"/>
    <n v="0.1315234670548957"/>
    <s v="22RFLC"/>
    <x v="2"/>
    <x v="4"/>
    <n v="2.7860141676478069E-2"/>
    <x v="2"/>
    <x v="2"/>
  </r>
  <r>
    <s v="31/12/2025"/>
    <s v="22"/>
    <x v="1"/>
    <s v="BEP"/>
    <s v="2258402PAE36"/>
    <x v="23"/>
    <s v="USP5300PAE36"/>
    <s v="HNTOIL2038"/>
    <s v="5840"/>
    <s v="2"/>
    <n v="1000"/>
    <n v="46769899.282871202"/>
    <n v="13915885.4125"/>
    <n v="12500"/>
    <d v="2038-11-05T00:00:00"/>
    <n v="4692"/>
    <n v="3.3609"/>
    <x v="0"/>
    <n v="46750659.810034998"/>
    <n v="13903128.475"/>
    <s v=""/>
    <n v="721469000"/>
    <n v="616993000"/>
    <n v="104476000"/>
    <n v="1.0205550000000001"/>
    <s v="2"/>
    <n v="7679510866.0565634"/>
    <n v="6.0902185176394692E-3"/>
    <n v="13.915885412499986"/>
    <n v="0"/>
    <n v="13.915885412499986"/>
    <n v="0"/>
    <n v="0"/>
    <n v="26.161864575499983"/>
    <x v="18"/>
    <x v="72"/>
    <n v="1.3909398539443776"/>
    <s v="22RFLC"/>
    <x v="2"/>
    <x v="4"/>
    <n v="0.29463777272671599"/>
    <x v="2"/>
    <x v="2"/>
  </r>
  <r>
    <s v="31/12/2025"/>
    <s v="22"/>
    <x v="0"/>
    <s v="BEP"/>
    <s v="2258402PAE36"/>
    <x v="23"/>
    <s v="USP5300PAE36"/>
    <s v="HNTOIL2038"/>
    <s v="5840"/>
    <s v="2"/>
    <n v="1000"/>
    <n v="41157511.368926696"/>
    <n v="12245979.163000001"/>
    <n v="11000"/>
    <d v="2038-11-05T00:00:00"/>
    <n v="4692"/>
    <n v="3.3609"/>
    <x v="0"/>
    <n v="41140580.632830799"/>
    <n v="12234753.058"/>
    <s v=""/>
    <n v="721469000"/>
    <n v="616993000"/>
    <n v="104476000"/>
    <n v="1.0205550000000001"/>
    <s v="2"/>
    <n v="26256910350.436607"/>
    <n v="1.567492550327511E-3"/>
    <n v="12.245979162999999"/>
    <n v="0"/>
    <n v="0"/>
    <n v="12.245979162999999"/>
    <n v="0"/>
    <n v="26.161864575499983"/>
    <x v="18"/>
    <x v="73"/>
    <n v="0.35799829721980386"/>
    <s v="22RFLC"/>
    <x v="2"/>
    <x v="4"/>
    <n v="0.2592812399995103"/>
    <x v="2"/>
    <x v="2"/>
  </r>
  <r>
    <s v="31/12/2025"/>
    <s v="22"/>
    <x v="0"/>
    <s v="BEP"/>
    <s v="22584221801U"/>
    <x v="24"/>
    <s v="CVL74200B016"/>
    <s v="INTBC1A"/>
    <s v="5842"/>
    <s v="2"/>
    <n v="5000"/>
    <n v="58341137.558402501"/>
    <n v="17358784.122825"/>
    <n v="3470"/>
    <d v="2038-09-12T00:00:00"/>
    <n v="4638"/>
    <n v="3.3609"/>
    <x v="0"/>
    <n v="58275762.276709497"/>
    <n v="17330566.310803998"/>
    <s v="GITU"/>
    <n v="1692171000"/>
    <n v="1063440000"/>
    <n v="628731000"/>
    <n v="8.1319342999999993"/>
    <s v="2"/>
    <n v="26256910350.436607"/>
    <n v="2.2219345985401663E-3"/>
    <n v="17.358784122824989"/>
    <n v="0"/>
    <n v="0"/>
    <n v="17.358784122824989"/>
    <n v="0"/>
    <n v="34.717568245649979"/>
    <x v="17"/>
    <x v="74"/>
    <n v="2.716905179213118E-2"/>
    <s v="22RFLC"/>
    <x v="2"/>
    <x v="4"/>
    <n v="1.9677259621013094E-2"/>
    <x v="2"/>
    <x v="2"/>
  </r>
  <r>
    <s v="31/12/2025"/>
    <s v="22"/>
    <x v="1"/>
    <s v="BEP"/>
    <s v="22584221801U"/>
    <x v="24"/>
    <s v="CVL74200B016"/>
    <s v="INTBC1A"/>
    <s v="5842"/>
    <s v="2"/>
    <n v="5000"/>
    <n v="58341137.558402501"/>
    <n v="17358784.122825"/>
    <n v="3470"/>
    <d v="2038-09-12T00:00:00"/>
    <n v="4638"/>
    <n v="3.3609"/>
    <x v="0"/>
    <n v="58275762.276709497"/>
    <n v="17330566.310803998"/>
    <s v="GITU"/>
    <n v="1692171000"/>
    <n v="1063440000"/>
    <n v="628731000"/>
    <n v="8.1319342999999993"/>
    <s v="2"/>
    <n v="7679510866.0565634"/>
    <n v="7.5969861330973977E-3"/>
    <n v="17.358784122824989"/>
    <n v="0"/>
    <n v="17.358784122824989"/>
    <n v="0"/>
    <n v="0"/>
    <n v="34.717568245649979"/>
    <x v="17"/>
    <x v="74"/>
    <n v="9.2893332616466026E-2"/>
    <s v="22RFLC"/>
    <x v="2"/>
    <x v="4"/>
    <n v="1.9677259621013094E-2"/>
    <x v="2"/>
    <x v="2"/>
  </r>
  <r>
    <s v="31/12/2025"/>
    <s v="22"/>
    <x v="1"/>
    <s v="BEP"/>
    <s v="22586511901A"/>
    <x v="25"/>
    <s v="CVL75840TB14"/>
    <s v="TECSB1P1A"/>
    <s v="5865"/>
    <s v="1"/>
    <n v="10000"/>
    <n v="1764204.2864099999"/>
    <n v="1764204.2864099999"/>
    <n v="180"/>
    <d v="2034-10-04T00:00:00"/>
    <n v="3199"/>
    <n v="1"/>
    <x v="0"/>
    <n v="1760024.479914"/>
    <n v="1760024.479914"/>
    <s v=""/>
    <n v="208079720"/>
    <n v="112987535"/>
    <n v="95092185"/>
    <n v="23.221147200000001"/>
    <s v="1"/>
    <n v="7679510866.0565634"/>
    <n v="2.2972873105861242E-4"/>
    <n v="0.52492019590288319"/>
    <n v="0"/>
    <n v="0.52492019590288319"/>
    <n v="0"/>
    <n v="0"/>
    <n v="0.52492019590288319"/>
    <x v="17"/>
    <x v="75"/>
    <n v="2.8090438829175045E-3"/>
    <s v="22RFLC"/>
    <x v="2"/>
    <x v="4"/>
    <n v="5.9502963468003169E-4"/>
    <x v="2"/>
    <x v="2"/>
  </r>
  <r>
    <s v="31/12/2025"/>
    <s v="22"/>
    <x v="1"/>
    <s v="BEP"/>
    <s v="225917115156"/>
    <x v="26"/>
    <s v="XS2693815156"/>
    <s v="SILAPE2033"/>
    <s v="5917"/>
    <s v="1"/>
    <n v="1000"/>
    <n v="82812605.391399994"/>
    <n v="82812605.391399994"/>
    <n v="75800"/>
    <d v="2033-09-21T00:00:00"/>
    <n v="2821"/>
    <n v="1"/>
    <x v="0"/>
    <n v="82276436.213799998"/>
    <n v="82276436.213799998"/>
    <s v="GSL"/>
    <n v="378150000"/>
    <n v="380055000"/>
    <n v="0"/>
    <n v="7.0734719999999998"/>
    <s v="1"/>
    <n v="7679510866.0565634"/>
    <n v="1.0783578125715232E-2"/>
    <n v="24.640008745098037"/>
    <n v="0"/>
    <n v="24.640008745098037"/>
    <n v="0"/>
    <n v="0"/>
    <n v="65.988413921568622"/>
    <x v="19"/>
    <x v="76"/>
    <n v="4.5700431524156905E-2"/>
    <s v="22RFLC"/>
    <x v="2"/>
    <x v="4"/>
    <n v="9.6805575875503272E-3"/>
    <x v="2"/>
    <x v="2"/>
  </r>
  <r>
    <s v="31/12/2025"/>
    <s v="22"/>
    <x v="0"/>
    <s v="BEP"/>
    <s v="225917115156"/>
    <x v="26"/>
    <s v="XS2693815156"/>
    <s v="SILAPE2033"/>
    <s v="5917"/>
    <s v="1"/>
    <n v="1000"/>
    <n v="138967854.9576"/>
    <n v="138967854.9576"/>
    <n v="127200"/>
    <d v="2033-09-21T00:00:00"/>
    <n v="2821"/>
    <n v="1"/>
    <x v="0"/>
    <n v="138068109.31920001"/>
    <n v="138068109.31920001"/>
    <s v="GSL"/>
    <n v="378150000"/>
    <n v="380055000"/>
    <n v="0"/>
    <n v="7.0734719999999998"/>
    <s v="1"/>
    <n v="26256910350.436607"/>
    <n v="5.2926202322692243E-3"/>
    <n v="41.348405176470585"/>
    <n v="0"/>
    <n v="0"/>
    <n v="41.348405176470585"/>
    <n v="0"/>
    <n v="65.988413921568622"/>
    <x v="19"/>
    <x v="77"/>
    <n v="2.2429941684327947E-2"/>
    <s v="22RFLC"/>
    <x v="2"/>
    <x v="4"/>
    <n v="1.6244946241905037E-2"/>
    <x v="2"/>
    <x v="2"/>
  </r>
  <r>
    <s v="31/12/2025"/>
    <s v="22"/>
    <x v="0"/>
    <s v="BEP"/>
    <s v="2220111KEA71"/>
    <x v="27"/>
    <s v="USP0161KEA71"/>
    <s v="ALI2032"/>
    <s v="2011"/>
    <s v="1"/>
    <n v="1000"/>
    <n v="124228632.0528"/>
    <n v="124228632.0528"/>
    <n v="118800"/>
    <d v="2032-06-16T00:00:00"/>
    <n v="2359"/>
    <n v="1"/>
    <x v="0"/>
    <n v="124158210.0264"/>
    <n v="124158210.0264"/>
    <s v="GROM"/>
    <n v="9255978000"/>
    <n v="6603309000"/>
    <n v="2652669000"/>
    <n v="0.59277800000000003"/>
    <s v="1"/>
    <n v="26256910350.436607"/>
    <n v="4.731273801631207E-3"/>
    <n v="36.962906380076767"/>
    <n v="0"/>
    <n v="0"/>
    <n v="36.962906380076767"/>
    <n v="0"/>
    <n v="76.539351595108457"/>
    <x v="20"/>
    <x v="78"/>
    <n v="0.17316462113970219"/>
    <s v="22RFLC"/>
    <x v="2"/>
    <x v="4"/>
    <n v="0.12541494761797908"/>
    <x v="1"/>
    <x v="1"/>
  </r>
  <r>
    <s v="31/12/2025"/>
    <s v="22"/>
    <x v="1"/>
    <s v="BEP"/>
    <s v="2220111KEA71"/>
    <x v="27"/>
    <s v="USP0161KEA71"/>
    <s v="ALI2032"/>
    <s v="2011"/>
    <s v="1"/>
    <n v="1000"/>
    <n v="133012474.72319999"/>
    <n v="133012474.72319999"/>
    <n v="127200"/>
    <d v="2032-06-16T00:00:00"/>
    <n v="2359"/>
    <n v="1"/>
    <x v="0"/>
    <n v="132937073.3616"/>
    <n v="132937073.3616"/>
    <s v="GROM"/>
    <n v="9255978000"/>
    <n v="6603309000"/>
    <n v="2652669000"/>
    <n v="0.59277800000000003"/>
    <s v="1"/>
    <n v="7679510866.0565634"/>
    <n v="1.7320435772949436E-2"/>
    <n v="39.576445215031683"/>
    <n v="0"/>
    <n v="39.576445215031683"/>
    <n v="0"/>
    <n v="0"/>
    <n v="76.539351595108457"/>
    <x v="20"/>
    <x v="79"/>
    <n v="0.63392794928994933"/>
    <s v="22RFLC"/>
    <x v="2"/>
    <x v="4"/>
    <n v="0.13428267118692705"/>
    <x v="1"/>
    <x v="1"/>
  </r>
  <r>
    <s v="31/12/2025"/>
    <s v="22"/>
    <x v="1"/>
    <s v="BEP"/>
    <s v="2220082PAB78"/>
    <x v="28"/>
    <s v="USP6680PAB78"/>
    <s v="BUENAV 6.8 02/0"/>
    <s v="2008"/>
    <s v="2"/>
    <n v="1000"/>
    <n v="53056043.459974401"/>
    <n v="15786260.662315"/>
    <n v="14765"/>
    <d v="2032-02-04T00:00:00"/>
    <n v="2226"/>
    <n v="3.3609"/>
    <x v="0"/>
    <n v="53003943.841010801"/>
    <n v="15762785.892170001"/>
    <s v="GBUE"/>
    <n v="4052129000"/>
    <n v="932087000"/>
    <n v="3120042000"/>
    <n v="1.589893"/>
    <s v="2"/>
    <n v="7679510866.0565634"/>
    <n v="6.9087790075904581E-3"/>
    <n v="15.786260662314975"/>
    <n v="0"/>
    <n v="15.786260662314975"/>
    <n v="0"/>
    <n v="0"/>
    <n v="27.819742799419949"/>
    <x v="21"/>
    <x v="80"/>
    <n v="0.40347269404328273"/>
    <s v="22RFLC"/>
    <x v="2"/>
    <x v="4"/>
    <n v="8.546616562308551E-2"/>
    <x v="1"/>
    <x v="1"/>
  </r>
  <r>
    <s v="31/12/2025"/>
    <s v="22"/>
    <x v="0"/>
    <s v="BEP"/>
    <s v="2220082PAB78"/>
    <x v="28"/>
    <s v="USP6680PAB78"/>
    <s v="BUENAV 6.8 02/0"/>
    <s v="2008"/>
    <s v="2"/>
    <n v="1000"/>
    <n v="40443330.114596099"/>
    <n v="12033482.137104999"/>
    <n v="11255"/>
    <d v="2032-02-04T00:00:00"/>
    <n v="2226"/>
    <n v="3.3609"/>
    <x v="0"/>
    <n v="40403615.843588002"/>
    <n v="12015587.89139"/>
    <s v="GBUE"/>
    <n v="4052129000"/>
    <n v="932087000"/>
    <n v="3120042000"/>
    <n v="1.589893"/>
    <s v="2"/>
    <n v="26256910350.436607"/>
    <n v="1.5402928057726942E-3"/>
    <n v="12.033482137104972"/>
    <n v="0"/>
    <n v="0"/>
    <n v="12.033482137104972"/>
    <n v="0"/>
    <n v="27.819742799419949"/>
    <x v="21"/>
    <x v="81"/>
    <n v="8.9953099857125338E-2"/>
    <s v="22RFLC"/>
    <x v="2"/>
    <x v="4"/>
    <n v="6.5148777113974043E-2"/>
    <x v="1"/>
    <x v="1"/>
  </r>
  <r>
    <s v="31/12/2025"/>
    <s v="22"/>
    <x v="0"/>
    <s v="BEP"/>
    <s v="22230430719A"/>
    <x v="29"/>
    <s v="PEP70500M335"/>
    <s v="TELE4BC19A"/>
    <s v="2304"/>
    <s v="3"/>
    <n v="5000"/>
    <n v="2320827.2221570001"/>
    <n v="2320827.2221570001"/>
    <n v="670"/>
    <d v="2027-07-13T00:00:00"/>
    <n v="559"/>
    <n v="1"/>
    <x v="0"/>
    <n v="2320827.2221570001"/>
    <n v="2320827.2221570001"/>
    <s v="GTEL"/>
    <n v="11275211000"/>
    <n v="10043242000"/>
    <n v="1231969000"/>
    <n v="0"/>
    <s v="3"/>
    <n v="26256910350.436607"/>
    <n v="8.8389197022124456E-5"/>
    <n v="0.69053742216578895"/>
    <n v="0"/>
    <n v="0"/>
    <n v="0.69053742216578895"/>
    <n v="0"/>
    <n v="0.86368710414168826"/>
    <x v="22"/>
    <x v="82"/>
    <n v="2.1213407285309869E-4"/>
    <s v="22RFLC"/>
    <x v="2"/>
    <x v="4"/>
    <n v="1.5363867896200499E-4"/>
    <x v="1"/>
    <x v="1"/>
  </r>
  <r>
    <s v="31/12/2025"/>
    <s v="22"/>
    <x v="0"/>
    <s v="BEP"/>
    <s v="2223041GAR67"/>
    <x v="29"/>
    <s v="USP9T36GAR67"/>
    <s v="TELEFO 7 3/8  4"/>
    <s v="2304"/>
    <s v="1"/>
    <n v="500000"/>
    <n v="85028630.479128003"/>
    <n v="85028630.479128003"/>
    <n v="431"/>
    <d v="2027-04-10T00:00:00"/>
    <n v="465"/>
    <n v="1"/>
    <x v="0"/>
    <n v="85028630.479128003"/>
    <n v="85028630.479128003"/>
    <s v="GTEL"/>
    <n v="11275211000"/>
    <n v="10043242000"/>
    <n v="1231969000"/>
    <n v="0"/>
    <s v="1"/>
    <n v="26256910350.436607"/>
    <n v="3.238333427059674E-3"/>
    <n v="25.299363408351336"/>
    <n v="0"/>
    <n v="0"/>
    <n v="25.299363408351336"/>
    <n v="0"/>
    <n v="36.569613464971887"/>
    <x v="22"/>
    <x v="83"/>
    <n v="7.7720002249432171E-3"/>
    <s v="22RFLC"/>
    <x v="2"/>
    <x v="4"/>
    <n v="5.6288922915253376E-3"/>
    <x v="1"/>
    <x v="1"/>
  </r>
  <r>
    <s v="31/12/2025"/>
    <s v="22"/>
    <x v="0"/>
    <s v="BEP"/>
    <s v="22230430819C"/>
    <x v="29"/>
    <s v="PEP70500M459"/>
    <s v="TELE4BC19C"/>
    <s v="2304"/>
    <s v="3"/>
    <n v="5000"/>
    <n v="654431.38035999995"/>
    <n v="654431.38035999995"/>
    <n v="200"/>
    <d v="2028-07-21T00:00:00"/>
    <n v="933"/>
    <n v="1"/>
    <x v="0"/>
    <n v="654431.38035999995"/>
    <n v="654431.38035999995"/>
    <s v="GTEL"/>
    <n v="11275211000"/>
    <n v="10043242000"/>
    <n v="1231969000"/>
    <n v="0"/>
    <s v="3"/>
    <n v="26256910350.436607"/>
    <n v="2.4924157931213636E-5"/>
    <n v="0.19471908725638964"/>
    <n v="0"/>
    <n v="0"/>
    <n v="0.19471908725638964"/>
    <n v="0"/>
    <n v="0.19471908725638964"/>
    <x v="22"/>
    <x v="84"/>
    <n v="5.9817979034912724E-5"/>
    <s v="22RFLC"/>
    <x v="2"/>
    <x v="4"/>
    <n v="4.332333393450262E-5"/>
    <x v="1"/>
    <x v="1"/>
  </r>
  <r>
    <s v="31/12/2025"/>
    <s v="22"/>
    <x v="1"/>
    <s v="BEP"/>
    <s v="2223041GAR67"/>
    <x v="29"/>
    <s v="USP9T36GAR67"/>
    <s v="TELEFO 7 3/8  4"/>
    <s v="2304"/>
    <s v="1"/>
    <n v="500000"/>
    <n v="37878183.415296003"/>
    <n v="37878183.415296003"/>
    <n v="192"/>
    <d v="2027-04-10T00:00:00"/>
    <n v="465"/>
    <n v="1"/>
    <x v="0"/>
    <n v="37878183.415296003"/>
    <n v="37878183.415296003"/>
    <s v="GTEL"/>
    <n v="11275211000"/>
    <n v="10043242000"/>
    <n v="1231969000"/>
    <n v="0"/>
    <s v="1"/>
    <n v="7679510866.0565634"/>
    <n v="4.9323692714229456E-3"/>
    <n v="11.270250056620549"/>
    <n v="0"/>
    <n v="11.270250056620549"/>
    <n v="0"/>
    <n v="0"/>
    <n v="36.569613464971887"/>
    <x v="22"/>
    <x v="85"/>
    <n v="1.1837686251415069E-2"/>
    <s v="22RFLC"/>
    <x v="2"/>
    <x v="4"/>
    <n v="2.5075343850878532E-3"/>
    <x v="1"/>
    <x v="1"/>
  </r>
  <r>
    <s v="31/12/2025"/>
    <s v="22"/>
    <x v="1"/>
    <s v="BEP"/>
    <s v="22230430719A"/>
    <x v="29"/>
    <s v="PEP70500M335"/>
    <s v="TELE4BC19A"/>
    <s v="2304"/>
    <s v="3"/>
    <n v="5000"/>
    <n v="581938.76615279994"/>
    <n v="581938.76615279994"/>
    <n v="168"/>
    <d v="2027-07-13T00:00:00"/>
    <n v="559"/>
    <n v="1"/>
    <x v="0"/>
    <n v="581938.76615279994"/>
    <n v="581938.76615279994"/>
    <s v="GTEL"/>
    <n v="11275211000"/>
    <n v="10043242000"/>
    <n v="1231969000"/>
    <n v="0"/>
    <s v="3"/>
    <n v="7679510866.0565634"/>
    <n v="7.5778103098332624E-5"/>
    <n v="0.17314968197589931"/>
    <n v="0"/>
    <n v="0.17314968197589931"/>
    <n v="0"/>
    <n v="0"/>
    <n v="0.86368710414168826"/>
    <x v="22"/>
    <x v="86"/>
    <n v="1.818674474359983E-4"/>
    <s v="22RFLC"/>
    <x v="2"/>
    <x v="4"/>
    <n v="3.8524325471069901E-5"/>
    <x v="1"/>
    <x v="1"/>
  </r>
  <r>
    <s v="31/12/2025"/>
    <s v="22"/>
    <x v="1"/>
    <s v="BEP"/>
    <s v="22230411801A"/>
    <x v="29"/>
    <s v="CVL70500T015"/>
    <s v="TDP1PP1A"/>
    <s v="2304"/>
    <s v="1"/>
    <n v="5000"/>
    <n v="5582694.2561788997"/>
    <n v="5582694.2561788997"/>
    <n v="2833"/>
    <d v="2026-10-16T00:00:00"/>
    <n v="289"/>
    <n v="1"/>
    <x v="0"/>
    <n v="5582694.2561788997"/>
    <n v="5582694.2561788997"/>
    <s v="GTEL"/>
    <n v="11275211000"/>
    <n v="10043242000"/>
    <n v="1231969000"/>
    <n v="0"/>
    <s v="1"/>
    <n v="7679510866.0565634"/>
    <n v="7.2695961416688749E-4"/>
    <n v="1.6610712178817875"/>
    <n v="0"/>
    <n v="1.6610712178817875"/>
    <n v="0"/>
    <n v="0"/>
    <n v="1.6610712178817875"/>
    <x v="22"/>
    <x v="87"/>
    <n v="1.7447030740005299E-3"/>
    <s v="22RFLC"/>
    <x v="2"/>
    <x v="4"/>
    <n v="3.6957415975624741E-4"/>
    <x v="1"/>
    <x v="1"/>
  </r>
  <r>
    <s v="31/12/2025"/>
    <s v="22"/>
    <x v="1"/>
    <s v="BEP"/>
    <s v="22203012504A"/>
    <x v="30"/>
    <s v="PEP70101M746"/>
    <s v="PLUZ7BC4A"/>
    <s v="2030"/>
    <s v="1"/>
    <n v="1000"/>
    <n v="60258705.408"/>
    <n v="60258705.408"/>
    <n v="60000"/>
    <d v="2033-12-19T00:00:00"/>
    <n v="2910"/>
    <n v="1"/>
    <x v="0"/>
    <n v="60087730.272"/>
    <n v="60087730.272"/>
    <s v="GENE"/>
    <n v="6803800000"/>
    <n v="3267830000"/>
    <n v="3535970000"/>
    <n v="2.8495856000000002"/>
    <s v="1"/>
    <n v="7679510866.0565634"/>
    <n v="7.8466853500192921E-3"/>
    <n v="17.929336013567795"/>
    <n v="0"/>
    <n v="17.929336013567795"/>
    <n v="0"/>
    <n v="0"/>
    <n v="17.929336013567795"/>
    <x v="23"/>
    <x v="88"/>
    <n v="2.3163641315130121"/>
    <s v="22RFLC"/>
    <x v="2"/>
    <x v="4"/>
    <n v="0.49066705982841141"/>
    <x v="2"/>
    <x v="2"/>
  </r>
  <r>
    <s v="31/12/2025"/>
    <s v="22"/>
    <x v="1"/>
    <s v="BEP"/>
    <s v="22204726AA03"/>
    <x v="31"/>
    <s v="USP73906AA03"/>
    <s v="ORSAPE 6 ¼ 09/1"/>
    <s v="2047"/>
    <s v="2"/>
    <n v="1000"/>
    <n v="72221175.800855994"/>
    <n v="21488641.673616"/>
    <n v="20848"/>
    <d v="2032-09-17T00:00:00"/>
    <n v="2452"/>
    <n v="3.3609"/>
    <x v="0"/>
    <n v="72233364.949398398"/>
    <n v="21481402.768511999"/>
    <s v="ISQ"/>
    <n v="1185890000"/>
    <n v="384194000"/>
    <n v="801696000"/>
    <n v="0.347223"/>
    <s v="2"/>
    <n v="7679510866.0565634"/>
    <n v="9.4043978920680445E-3"/>
    <n v="21.488641673615994"/>
    <n v="0"/>
    <n v="21.488641673615994"/>
    <n v="0"/>
    <n v="0"/>
    <n v="41.349761992538987"/>
    <x v="23"/>
    <x v="89"/>
    <n v="2.7762053636583555"/>
    <s v="22RFLC"/>
    <x v="2"/>
    <x v="4"/>
    <n v="0.58807356958007662"/>
    <x v="2"/>
    <x v="2"/>
  </r>
  <r>
    <s v="31/12/2025"/>
    <s v="22"/>
    <x v="0"/>
    <s v="BEP"/>
    <s v="22204726AA03"/>
    <x v="31"/>
    <s v="USP73906AA03"/>
    <s v="ORSAPE 6 ¼ 09/1"/>
    <s v="2047"/>
    <s v="2"/>
    <n v="1000"/>
    <n v="66751239.279868297"/>
    <n v="19861120.318923"/>
    <n v="19269"/>
    <d v="2032-09-17T00:00:00"/>
    <n v="2452"/>
    <n v="3.3609"/>
    <x v="0"/>
    <n v="66762505.238390103"/>
    <n v="19854429.678936001"/>
    <s v="ISQ"/>
    <n v="1185890000"/>
    <n v="384194000"/>
    <n v="801696000"/>
    <n v="0.347223"/>
    <s v="2"/>
    <n v="26256910350.436607"/>
    <n v="2.54223510645297E-3"/>
    <n v="19.861120318922996"/>
    <n v="0"/>
    <n v="0"/>
    <n v="19.861120318922996"/>
    <n v="0"/>
    <n v="41.349761992538987"/>
    <x v="23"/>
    <x v="90"/>
    <n v="0.75047513080747474"/>
    <s v="22RFLC"/>
    <x v="2"/>
    <x v="4"/>
    <n v="0.54353365369524642"/>
    <x v="2"/>
    <x v="2"/>
  </r>
  <r>
    <s v="31/12/2025"/>
    <s v="22"/>
    <x v="0"/>
    <s v="BEP"/>
    <s v="2220091VAC83"/>
    <x v="32"/>
    <s v="USP6411VAC83"/>
    <s v="LUZSUR2032"/>
    <s v="2009"/>
    <s v="1"/>
    <n v="1000"/>
    <n v="71901550"/>
    <n v="71901550"/>
    <n v="70000"/>
    <d v="2032-10-09T00:00:00"/>
    <n v="2474"/>
    <n v="1"/>
    <x v="0"/>
    <n v="71835575"/>
    <n v="71835575"/>
    <s v="GSEM"/>
    <n v="9755108000"/>
    <n v="5037943000"/>
    <n v="4717165000"/>
    <n v="0.9425"/>
    <s v="1"/>
    <n v="26256910350.436607"/>
    <n v="2.7383857826518572E-3"/>
    <n v="21.39354042072064"/>
    <n v="0"/>
    <n v="0"/>
    <n v="21.39354042072064"/>
    <n v="0"/>
    <n v="56.265011306495282"/>
    <x v="24"/>
    <x v="91"/>
    <n v="0.29840189873557288"/>
    <s v="22RFLC"/>
    <x v="2"/>
    <x v="4"/>
    <n v="0.21611838638121789"/>
    <x v="1"/>
    <x v="1"/>
  </r>
  <r>
    <s v="31/12/2025"/>
    <s v="22"/>
    <x v="1"/>
    <s v="BEP"/>
    <s v="2220091VAC83"/>
    <x v="32"/>
    <s v="USP6411VAC83"/>
    <s v="LUZSUR2032"/>
    <s v="2009"/>
    <s v="1"/>
    <n v="1000"/>
    <n v="117199526.5"/>
    <n v="117199526.5"/>
    <n v="114100"/>
    <d v="2032-10-09T00:00:00"/>
    <n v="2474"/>
    <n v="1"/>
    <x v="0"/>
    <n v="117091987.25"/>
    <n v="117091987.25"/>
    <s v="GSEM"/>
    <n v="9755108000"/>
    <n v="5037943000"/>
    <n v="4717165000"/>
    <n v="0.9425"/>
    <s v="1"/>
    <n v="7679510866.0565634"/>
    <n v="1.526132699649165E-2"/>
    <n v="34.871470885774642"/>
    <n v="0"/>
    <n v="34.871470885774642"/>
    <n v="0"/>
    <n v="0"/>
    <n v="56.265011306495282"/>
    <x v="24"/>
    <x v="92"/>
    <n v="1.6630268028076951"/>
    <s v="22RFLC"/>
    <x v="2"/>
    <x v="4"/>
    <n v="0.35227296980138512"/>
    <x v="1"/>
    <x v="1"/>
  </r>
  <r>
    <s v="31/12/2025"/>
    <s v="22"/>
    <x v="0"/>
    <s v="BEP"/>
    <s v="2220392TAB19"/>
    <x v="33"/>
    <s v="USP6811TAB19"/>
    <s v="MINSUR 4 1/2 10"/>
    <s v="2039"/>
    <s v="2"/>
    <n v="1000"/>
    <n v="10570088.979660001"/>
    <n v="3145017.4"/>
    <n v="3251"/>
    <d v="2031-10-28T00:00:00"/>
    <n v="2127"/>
    <n v="3.3609"/>
    <x v="0"/>
    <n v="10528506.800997401"/>
    <n v="3131061.321893"/>
    <s v="GITU"/>
    <n v="2610762000"/>
    <n v="781816000"/>
    <n v="1828946000"/>
    <n v="4.2928569999999997"/>
    <s v="2"/>
    <n v="26256910350.436607"/>
    <n v="4.0256408079194426E-4"/>
    <n v="3.1450174000000004"/>
    <n v="0"/>
    <n v="0"/>
    <n v="3.1450174000000004"/>
    <n v="0"/>
    <n v="3.1450174000000004"/>
    <x v="25"/>
    <x v="93"/>
    <n v="4.5972818026440036E-2"/>
    <s v="22RFLC"/>
    <x v="2"/>
    <x v="4"/>
    <n v="3.329593843528434E-2"/>
    <x v="1"/>
    <x v="1"/>
  </r>
  <r>
    <s v="31/12/2025"/>
    <s v="23"/>
    <x v="2"/>
    <s v="PCOM"/>
    <s v="23583412503D"/>
    <x v="34"/>
    <s v="PEP16997V315"/>
    <s v="ECSCP2CP3D"/>
    <s v="5834"/>
    <s v="1"/>
    <n v="10000"/>
    <n v="14247805.640058899"/>
    <n v="14247805.640058899"/>
    <n v="1443"/>
    <d v="2026-04-10T00:00:00"/>
    <n v="100"/>
    <n v="1"/>
    <x v="0"/>
    <n v="14248451.0902071"/>
    <n v="14248451.0902071"/>
    <s v="GSAN"/>
    <n v="1453460000"/>
    <n v="1237682000"/>
    <n v="215778000"/>
    <n v="-0.44729740000000001"/>
    <s v="1"/>
    <n v="2847839359.3764262"/>
    <n v="5.003022938477349E-3"/>
    <n v="4.2392828230708739"/>
    <n v="4.2392828230708739"/>
    <n v="0"/>
    <n v="0"/>
    <n v="0"/>
    <n v="0"/>
    <x v="26"/>
    <x v="94"/>
    <n v="2.1512998635452602E-3"/>
    <e v="#N/A"/>
    <x v="3"/>
    <x v="5"/>
    <n v="1.6899075660957856E-4"/>
    <x v="1"/>
    <x v="1"/>
  </r>
  <r>
    <s v="31/12/2025"/>
    <s v="23"/>
    <x v="2"/>
    <s v="PCOM"/>
    <s v="23583412501B"/>
    <x v="34"/>
    <s v="PEP16997V331"/>
    <s v="ECSCP3CP1B"/>
    <s v="5834"/>
    <s v="1"/>
    <n v="10000"/>
    <n v="15444386.817662001"/>
    <n v="15444386.817662001"/>
    <n v="1595"/>
    <d v="2026-09-12T00:00:00"/>
    <n v="255"/>
    <n v="1"/>
    <x v="0"/>
    <n v="15446790.353785999"/>
    <n v="15446790.353785999"/>
    <s v="GSAN"/>
    <n v="1453460000"/>
    <n v="1237682000"/>
    <n v="215778000"/>
    <n v="-1.5069192"/>
    <s v="1"/>
    <n v="2847839359.3764262"/>
    <n v="5.423194523529502E-3"/>
    <n v="4.5953128083733521"/>
    <n v="4.5953128083733521"/>
    <n v="0"/>
    <n v="0"/>
    <n v="0"/>
    <n v="0"/>
    <x v="27"/>
    <x v="95"/>
    <n v="0"/>
    <e v="#N/A"/>
    <x v="3"/>
    <x v="5"/>
    <n v="0"/>
    <x v="3"/>
    <x v="3"/>
  </r>
  <r>
    <s v="31/12/2025"/>
    <s v="23"/>
    <x v="2"/>
    <s v="PCOM"/>
    <s v="23583412503C"/>
    <x v="34"/>
    <s v="PEP16997V307"/>
    <s v="ECSCP2CP3C"/>
    <s v="5834"/>
    <s v="1"/>
    <n v="10000"/>
    <n v="18529935.317514598"/>
    <n v="18529935.317514598"/>
    <n v="1862"/>
    <d v="2026-02-07T00:00:00"/>
    <n v="38"/>
    <n v="1"/>
    <x v="0"/>
    <n v="18529001.435138602"/>
    <n v="18529001.435138602"/>
    <s v="GSAN"/>
    <n v="1453460000"/>
    <n v="1237682000"/>
    <n v="215778000"/>
    <n v="0.50154799999999999"/>
    <s v="1"/>
    <n v="2847839359.3764262"/>
    <n v="6.5066645197192526E-3"/>
    <n v="5.5133849021138976"/>
    <n v="5.5133849021138976"/>
    <n v="0"/>
    <n v="0"/>
    <n v="0"/>
    <n v="0"/>
    <x v="10"/>
    <x v="96"/>
    <n v="2.6047638818620846E-2"/>
    <e v="#N/A"/>
    <x v="3"/>
    <x v="5"/>
    <n v="2.0461165207335394E-3"/>
    <x v="2"/>
    <x v="2"/>
  </r>
  <r>
    <s v="31/12/2025"/>
    <s v="23"/>
    <x v="2"/>
    <s v="PCOM"/>
    <s v="23583412501A"/>
    <x v="34"/>
    <s v="PEP16997V323"/>
    <s v="ECSCP3CP1A"/>
    <s v="5834"/>
    <s v="1"/>
    <n v="10000"/>
    <n v="19591286.4756"/>
    <n v="19591286.4756"/>
    <n v="2000"/>
    <d v="2026-06-12T00:00:00"/>
    <n v="163"/>
    <n v="1"/>
    <x v="0"/>
    <n v="19593456.614"/>
    <n v="19593456.614"/>
    <s v="GSAN"/>
    <n v="1453460000"/>
    <n v="1237682000"/>
    <n v="215778000"/>
    <n v="-1.0850692"/>
    <s v="1"/>
    <n v="2847839359.3764262"/>
    <n v="6.8793509757129638E-3"/>
    <n v="5.8291786353655271"/>
    <n v="5.8291786353655271"/>
    <n v="0"/>
    <n v="0"/>
    <n v="0"/>
    <n v="0"/>
    <x v="27"/>
    <x v="95"/>
    <n v="0"/>
    <e v="#N/A"/>
    <x v="3"/>
    <x v="5"/>
    <n v="0"/>
    <x v="3"/>
    <x v="3"/>
  </r>
  <r>
    <s v="31/12/2025"/>
    <s v="23"/>
    <x v="2"/>
    <s v="PCOM"/>
    <s v="23583412502A"/>
    <x v="34"/>
    <s v="PEP16997V349"/>
    <s v="ECSCP3CP2A"/>
    <s v="5834"/>
    <s v="1"/>
    <n v="10000"/>
    <n v="34826191.548178799"/>
    <n v="34826191.548178799"/>
    <n v="3628"/>
    <d v="2026-11-20T00:00:00"/>
    <n v="324"/>
    <n v="1"/>
    <x v="0"/>
    <n v="34831580.746629603"/>
    <n v="34831580.746629603"/>
    <s v="GSAN"/>
    <n v="1453460000"/>
    <n v="1237682000"/>
    <n v="215778000"/>
    <n v="-1.4854461000000001"/>
    <s v="1"/>
    <n v="2847839359.3764262"/>
    <n v="1.2228987366690681E-2"/>
    <n v="10.362162381558154"/>
    <n v="10.362162381558154"/>
    <n v="0"/>
    <n v="0"/>
    <n v="0"/>
    <n v="0"/>
    <x v="27"/>
    <x v="95"/>
    <n v="0"/>
    <e v="#N/A"/>
    <x v="3"/>
    <x v="5"/>
    <n v="0"/>
    <x v="3"/>
    <x v="3"/>
  </r>
  <r>
    <s v="31/12/2025"/>
    <s v="23"/>
    <x v="2"/>
    <s v="PCOM"/>
    <s v="23203012501A"/>
    <x v="34"/>
    <s v="PEP70101V069"/>
    <s v="PLUZ6PC1A"/>
    <s v="2030"/>
    <s v="1"/>
    <n v="1000"/>
    <n v="4882320.4024999999"/>
    <n v="4882320.4024999999"/>
    <n v="5000"/>
    <d v="2026-07-11T00:00:00"/>
    <n v="192"/>
    <n v="1"/>
    <x v="0"/>
    <n v="4882973.5415000003"/>
    <n v="4882973.5415000003"/>
    <s v="GENE"/>
    <n v="6803800000"/>
    <n v="3267830000"/>
    <n v="3535970000"/>
    <n v="-0.13062779999999999"/>
    <s v="1"/>
    <n v="2847839359.3764262"/>
    <n v="1.714394594071855E-3"/>
    <n v="1.4526824369960427"/>
    <n v="1.4526824369960427"/>
    <n v="0"/>
    <n v="0"/>
    <n v="0"/>
    <n v="0"/>
    <x v="27"/>
    <x v="95"/>
    <n v="0"/>
    <e v="#N/A"/>
    <x v="3"/>
    <x v="5"/>
    <n v="0"/>
    <x v="3"/>
    <x v="3"/>
  </r>
  <r>
    <s v="31/12/2025"/>
    <s v="23"/>
    <x v="2"/>
    <s v="PCOM"/>
    <s v="23200912503C"/>
    <x v="34"/>
    <s v="PEP70252V110"/>
    <s v="LUSUR4CP3C"/>
    <s v="2009"/>
    <s v="1"/>
    <n v="1000"/>
    <n v="4700592.2187072001"/>
    <n v="4700592.2187072001"/>
    <n v="4761"/>
    <d v="2026-04-11T00:00:00"/>
    <n v="101"/>
    <n v="1"/>
    <x v="0"/>
    <n v="4700814.3255465003"/>
    <n v="4700814.3255465003"/>
    <s v="GSEM"/>
    <n v="9755108000"/>
    <n v="5037943000"/>
    <n v="4717165000"/>
    <n v="-4.66513E-2"/>
    <s v="1"/>
    <n v="2847839359.3764262"/>
    <n v="1.6505819414394426E-3"/>
    <n v="1.3986111513901636"/>
    <n v="1.3986111513901636"/>
    <n v="0"/>
    <n v="0"/>
    <n v="0"/>
    <n v="0"/>
    <x v="27"/>
    <x v="95"/>
    <n v="0"/>
    <e v="#N/A"/>
    <x v="3"/>
    <x v="5"/>
    <n v="0"/>
    <x v="3"/>
    <x v="3"/>
  </r>
  <r>
    <s v="31/12/2025"/>
    <s v="25"/>
    <x v="0"/>
    <s v="OSF"/>
    <s v="25210511604A"/>
    <x v="35"/>
    <s v="PEP16880M023"/>
    <s v="FMV1BC4A"/>
    <s v="2105"/>
    <s v="1"/>
    <n v="5000"/>
    <n v="19086495.625355199"/>
    <n v="19086495.625355199"/>
    <n v="3664"/>
    <d v="2026-07-13T00:00:00"/>
    <n v="194"/>
    <n v="1"/>
    <x v="0"/>
    <n v="19089961.325644799"/>
    <n v="19089961.325644799"/>
    <s v="GFON"/>
    <n v="13448377000"/>
    <n v="9913193000"/>
    <n v="3535184000"/>
    <n v="-0.94587889999999997"/>
    <s v="1"/>
    <n v="26256910350.436607"/>
    <n v="7.2691323429216123E-4"/>
    <n v="5.6789834941102679"/>
    <n v="0"/>
    <n v="0"/>
    <n v="5.6789834941102679"/>
    <n v="0"/>
    <n v="5.6789834941102679"/>
    <x v="28"/>
    <x v="97"/>
    <n v="2.2534310263056998E-4"/>
    <s v="25RFLC"/>
    <x v="2"/>
    <x v="4"/>
    <n v="1.6320535468781276E-4"/>
    <x v="1"/>
    <x v="1"/>
  </r>
  <r>
    <s v="31/12/2025"/>
    <s v="25"/>
    <x v="0"/>
    <s v="OSF"/>
    <s v="25210511905A"/>
    <x v="35"/>
    <s v="PEP16880M049"/>
    <s v="FMV1BC5A"/>
    <s v="2105"/>
    <s v="1"/>
    <n v="5000"/>
    <n v="4974764.5104694003"/>
    <n v="4974764.5104694003"/>
    <n v="971"/>
    <d v="2026-07-17T00:00:00"/>
    <n v="198"/>
    <n v="1"/>
    <x v="0"/>
    <n v="4975702.1014665999"/>
    <n v="4975702.1014665999"/>
    <s v="GFON"/>
    <n v="13448377000"/>
    <n v="9913193000"/>
    <n v="3535184000"/>
    <n v="-0.96559320000000004"/>
    <s v="1"/>
    <n v="26256910350.436607"/>
    <n v="1.8946496156912378E-4"/>
    <n v="1.4801881967536672"/>
    <n v="0"/>
    <n v="0"/>
    <n v="1.4801881967536672"/>
    <n v="0"/>
    <n v="1.4801881967536672"/>
    <x v="28"/>
    <x v="98"/>
    <n v="5.873413808642837E-5"/>
    <s v="25RFLC"/>
    <x v="2"/>
    <x v="4"/>
    <n v="4.2538359181081577E-5"/>
    <x v="1"/>
    <x v="1"/>
  </r>
  <r>
    <s v="31/12/2025"/>
    <s v="25"/>
    <x v="0"/>
    <s v="OSF"/>
    <s v="25517212A026"/>
    <x v="36"/>
    <s v="CVL52632A026"/>
    <s v="INTSNO2029"/>
    <s v="5172"/>
    <s v="1"/>
    <n v="10000"/>
    <n v="12364603.91268"/>
    <n v="12364603.91268"/>
    <n v="1200"/>
    <d v="2029-07-25T00:00:00"/>
    <n v="1302"/>
    <n v="1"/>
    <x v="0"/>
    <n v="12359737.19544"/>
    <n v="12359737.19544"/>
    <s v="GITC"/>
    <n v="13456823000"/>
    <n v="1811056000"/>
    <n v="11645767000"/>
    <n v="4.0555976999999999"/>
    <s v="1"/>
    <n v="26256910350.436607"/>
    <n v="4.7090856264718131E-4"/>
    <n v="3.6789562059805405"/>
    <n v="0"/>
    <n v="0"/>
    <n v="3.6789562059805405"/>
    <n v="0"/>
    <n v="9.1973905149513513"/>
    <x v="29"/>
    <x v="99"/>
    <n v="3.3434507947949872E-4"/>
    <s v="25RFLC"/>
    <x v="2"/>
    <x v="4"/>
    <n v="2.421503327485205E-4"/>
    <x v="1"/>
    <x v="1"/>
  </r>
  <r>
    <s v="31/12/2025"/>
    <s v="25"/>
    <x v="0"/>
    <s v="OSF"/>
    <s v="25517212A018"/>
    <x v="36"/>
    <s v="CVL52632A018"/>
    <s v="IFHBH 7 21/32 0"/>
    <s v="5172"/>
    <s v="1"/>
    <n v="10000"/>
    <n v="47258683.302510001"/>
    <n v="47258683.302510001"/>
    <n v="4300"/>
    <d v="2030-02-10T00:00:00"/>
    <n v="1502"/>
    <n v="1"/>
    <x v="0"/>
    <n v="47228357.162929997"/>
    <n v="47228357.162929997"/>
    <s v="GITC"/>
    <n v="13456823000"/>
    <n v="1811056000"/>
    <n v="11645767000"/>
    <n v="7.0525906000000003"/>
    <s v="1"/>
    <n v="26256910350.436607"/>
    <n v="1.7998569775260771E-3"/>
    <n v="14.061317891787915"/>
    <n v="0"/>
    <n v="0"/>
    <n v="14.061317891787915"/>
    <n v="0"/>
    <n v="18.312413998607518"/>
    <x v="29"/>
    <x v="100"/>
    <n v="1.2778984540435146E-3"/>
    <s v="25RFLC"/>
    <x v="2"/>
    <x v="4"/>
    <n v="9.2552142937827046E-4"/>
    <x v="1"/>
    <x v="1"/>
  </r>
  <r>
    <s v="31/12/2025"/>
    <s v="25"/>
    <x v="1"/>
    <s v="OSF"/>
    <s v="25517212A026"/>
    <x v="36"/>
    <s v="CVL52632A026"/>
    <s v="INTSNO2029"/>
    <s v="5172"/>
    <s v="1"/>
    <n v="10000"/>
    <n v="18546905.86902"/>
    <n v="18546905.86902"/>
    <n v="1800"/>
    <d v="2029-07-25T00:00:00"/>
    <n v="1302"/>
    <n v="1"/>
    <x v="0"/>
    <n v="18539605.793159999"/>
    <n v="18539605.793159999"/>
    <s v="GITC"/>
    <n v="13456823000"/>
    <n v="1811056000"/>
    <n v="11645767000"/>
    <n v="4.0555976999999999"/>
    <s v="1"/>
    <n v="7679510866.0565634"/>
    <n v="2.4151155187496797E-3"/>
    <n v="5.5184343089708117"/>
    <n v="0"/>
    <n v="5.5184343089708117"/>
    <n v="0"/>
    <n v="0"/>
    <n v="9.1973905149513513"/>
    <x v="29"/>
    <x v="101"/>
    <n v="1.7147320183122726E-3"/>
    <s v="25RFLC"/>
    <x v="2"/>
    <x v="4"/>
    <n v="3.6322549912278082E-4"/>
    <x v="1"/>
    <x v="1"/>
  </r>
  <r>
    <s v="31/12/2025"/>
    <s v="25"/>
    <x v="1"/>
    <s v="OSF"/>
    <s v="25517212A018"/>
    <x v="36"/>
    <s v="CVL52632A018"/>
    <s v="IFHBH 7 21/32 0"/>
    <s v="5172"/>
    <s v="1"/>
    <n v="10000"/>
    <n v="14287508.905409999"/>
    <n v="14287508.905409999"/>
    <n v="1300"/>
    <d v="2030-02-10T00:00:00"/>
    <n v="1502"/>
    <n v="1"/>
    <x v="0"/>
    <n v="14278340.537629999"/>
    <n v="14278340.537629999"/>
    <s v="GITC"/>
    <n v="13456823000"/>
    <n v="1811056000"/>
    <n v="11645767000"/>
    <n v="7.0525906000000003"/>
    <s v="1"/>
    <n v="7679510866.0565634"/>
    <n v="1.8604712141968294E-3"/>
    <n v="4.2510961068196016"/>
    <n v="0"/>
    <n v="4.2510961068196016"/>
    <n v="0"/>
    <n v="0"/>
    <n v="18.312413998607518"/>
    <x v="29"/>
    <x v="102"/>
    <n v="1.3209345620797488E-3"/>
    <s v="25RFLC"/>
    <x v="2"/>
    <x v="4"/>
    <n v="2.7980880423063986E-4"/>
    <x v="1"/>
    <x v="1"/>
  </r>
  <r>
    <s v="31/12/2025"/>
    <s v="25"/>
    <x v="1"/>
    <s v="OSF"/>
    <s v="2500021V2F13"/>
    <x v="16"/>
    <s v="US05971V2F13"/>
    <s v="BCP2029"/>
    <s v="0002"/>
    <s v="1"/>
    <n v="1000"/>
    <n v="2019528.500613"/>
    <n v="2019528.500613"/>
    <n v="1839"/>
    <d v="2029-01-11T00:00:00"/>
    <n v="1107"/>
    <n v="1"/>
    <x v="0"/>
    <n v="2017652.2093710001"/>
    <n v="2017652.2093710001"/>
    <s v="CCOR"/>
    <n v="187469765000"/>
    <n v="164938084000"/>
    <n v="22531681000"/>
    <n v="1.020278"/>
    <s v="1"/>
    <n v="7679510866.0565634"/>
    <n v="2.6297618895746545E-4"/>
    <n v="0.60088919652860839"/>
    <n v="0"/>
    <n v="0.60088919652860839"/>
    <n v="0"/>
    <n v="0"/>
    <n v="49.544768281475193"/>
    <x v="14"/>
    <x v="103"/>
    <n v="1.6041547526405393E-4"/>
    <s v="25RFLC"/>
    <x v="2"/>
    <x v="4"/>
    <n v="3.3980231574117016E-5"/>
    <x v="1"/>
    <x v="1"/>
  </r>
  <r>
    <s v="31/12/2025"/>
    <s v="25"/>
    <x v="0"/>
    <s v="OSF"/>
    <s v="2500021V2F13"/>
    <x v="16"/>
    <s v="US05971V2F13"/>
    <s v="BCP2029"/>
    <s v="0002"/>
    <s v="1"/>
    <n v="1000"/>
    <n v="164495483.21659699"/>
    <n v="164495483.21659699"/>
    <n v="149791"/>
    <d v="2029-01-11T00:00:00"/>
    <n v="1107"/>
    <n v="1"/>
    <x v="0"/>
    <n v="164342654.75469899"/>
    <n v="164342654.75469899"/>
    <s v="CCOR"/>
    <n v="187469765000"/>
    <n v="164938084000"/>
    <n v="22531681000"/>
    <n v="1.020278"/>
    <s v="1"/>
    <n v="26256910350.436607"/>
    <n v="6.2648453691301004E-3"/>
    <n v="48.943879084946587"/>
    <n v="0"/>
    <n v="0"/>
    <n v="48.943879084946587"/>
    <n v="0"/>
    <n v="49.544768281475193"/>
    <x v="14"/>
    <x v="104"/>
    <n v="3.8215556751693613E-3"/>
    <s v="25RFLC"/>
    <x v="2"/>
    <x v="4"/>
    <n v="2.7677720868507674E-3"/>
    <x v="1"/>
    <x v="1"/>
  </r>
  <r>
    <s v="31/12/2025"/>
    <s v="25"/>
    <x v="0"/>
    <s v="OSF"/>
    <s v="25000310A109"/>
    <x v="17"/>
    <s v="CVL14800A109"/>
    <s v="IBKSNO2026"/>
    <s v="0003"/>
    <s v="1"/>
    <n v="10000"/>
    <n v="55762899.363049999"/>
    <n v="55762899.363049999"/>
    <n v="5500"/>
    <d v="2026-10-01T00:00:00"/>
    <n v="274"/>
    <n v="1"/>
    <x v="0"/>
    <n v="55777373.631650001"/>
    <n v="55777373.631650001"/>
    <s v="GITC"/>
    <n v="71698610000"/>
    <n v="64045988000"/>
    <n v="7652622000"/>
    <n v="-2.6316852000000002"/>
    <s v="1"/>
    <n v="26256910350.436607"/>
    <n v="2.1237418500049364E-3"/>
    <n v="16.591656807120117"/>
    <n v="0"/>
    <n v="0"/>
    <n v="16.591656807120117"/>
    <n v="0"/>
    <n v="39.216643362283918"/>
    <x v="15"/>
    <x v="105"/>
    <n v="9.9815866950231998E-4"/>
    <s v="25RFLC"/>
    <x v="2"/>
    <x v="4"/>
    <n v="7.2291912993631511E-4"/>
    <x v="1"/>
    <x v="1"/>
  </r>
  <r>
    <s v="31/12/2025"/>
    <s v="25"/>
    <x v="1"/>
    <s v="OSF"/>
    <s v="25000310A109"/>
    <x v="17"/>
    <s v="CVL14800A109"/>
    <s v="IBKSNO2026"/>
    <s v="0003"/>
    <s v="1"/>
    <n v="10000"/>
    <n v="76040317.313250005"/>
    <n v="76040317.313250005"/>
    <n v="7500"/>
    <d v="2026-10-01T00:00:00"/>
    <n v="274"/>
    <n v="1"/>
    <x v="0"/>
    <n v="76060054.952250004"/>
    <n v="76060054.952250004"/>
    <s v="GITC"/>
    <n v="71698610000"/>
    <n v="64045988000"/>
    <n v="7652622000"/>
    <n v="-2.6316852000000002"/>
    <s v="1"/>
    <n v="7679510866.0565634"/>
    <n v="9.9017136168591414E-3"/>
    <n v="22.624986555163797"/>
    <n v="0"/>
    <n v="22.624986555163797"/>
    <n v="0"/>
    <n v="0"/>
    <n v="39.216643362283918"/>
    <x v="15"/>
    <x v="106"/>
    <n v="4.6538053999237959E-3"/>
    <s v="25RFLC"/>
    <x v="2"/>
    <x v="4"/>
    <n v="9.8579881354952069E-4"/>
    <x v="1"/>
    <x v="1"/>
  </r>
  <r>
    <s v="31/12/2025"/>
    <s v="27"/>
    <x v="1"/>
    <s v="TCDC"/>
    <s v="2721171IRSM3"/>
    <x v="37"/>
    <s v="CVL800700S24"/>
    <s v="INROCT32"/>
    <s v="2117"/>
    <s v="1"/>
    <n v="10000"/>
    <n v="62097322.586400002"/>
    <n v="62097322.586400002"/>
    <n v="6000"/>
    <d v="2032-10-20T00:00:00"/>
    <n v="2485"/>
    <n v="1"/>
    <x v="0"/>
    <n v="61970909.720399998"/>
    <n v="61970909.720399998"/>
    <s v="GITC"/>
    <n v="5958165000"/>
    <n v="3039391000"/>
    <n v="2918774000"/>
    <n v="21.068811"/>
    <s v="1"/>
    <n v="7679510866.0565634"/>
    <n v="8.086103876858897E-3"/>
    <n v="18.476396972953673"/>
    <n v="0"/>
    <n v="18.476396972953673"/>
    <n v="0"/>
    <n v="0"/>
    <n v="18.476396972953673"/>
    <x v="30"/>
    <x v="107"/>
    <n v="0.17182970738325157"/>
    <s v="27RFLC"/>
    <x v="2"/>
    <x v="4"/>
    <n v="3.6398067197597986E-2"/>
    <x v="1"/>
    <x v="1"/>
  </r>
  <r>
    <s v="31/12/2025"/>
    <s v="27"/>
    <x v="1"/>
    <s v="TCDC"/>
    <s v="27211723AE14"/>
    <x v="37"/>
    <s v="USP56243AE14"/>
    <s v="INR2032"/>
    <s v="2117"/>
    <s v="2"/>
    <n v="1000"/>
    <n v="20899788.396389201"/>
    <n v="6218509.4457999999"/>
    <n v="6100"/>
    <d v="2032-10-16T00:00:00"/>
    <n v="2481"/>
    <n v="3.3609"/>
    <x v="0"/>
    <n v="20895306.434023499"/>
    <n v="6214032.7229000004"/>
    <s v="GITC"/>
    <n v="5958165000"/>
    <n v="3039391000"/>
    <n v="2918774000"/>
    <n v="0.73388900000000001"/>
    <s v="2"/>
    <n v="7679510866.0565634"/>
    <n v="2.7214999445819214E-3"/>
    <n v="6.2185094457999943"/>
    <n v="0"/>
    <n v="6.2185094457999943"/>
    <n v="0"/>
    <n v="0"/>
    <n v="6.2185094457999943"/>
    <x v="30"/>
    <x v="108"/>
    <n v="5.7831873822365827E-2"/>
    <s v="27RFLC"/>
    <x v="2"/>
    <x v="4"/>
    <n v="1.2250317256576165E-2"/>
    <x v="1"/>
    <x v="1"/>
  </r>
  <r>
    <s v="31/12/2025"/>
    <s v="27"/>
    <x v="0"/>
    <s v="TCDC"/>
    <s v="2721171IRSM1"/>
    <x v="38"/>
    <s v="CVL800707107"/>
    <s v="TITIRSM1"/>
    <s v="2117"/>
    <s v="1"/>
    <n v="10000"/>
    <n v="27463685.27375"/>
    <n v="27463685.27375"/>
    <n v="2500"/>
    <d v="2034-07-25T00:00:00"/>
    <n v="3128"/>
    <n v="1"/>
    <x v="0"/>
    <n v="27415348.517000001"/>
    <n v="27415348.517000001"/>
    <s v="GITC"/>
    <n v="5958165000"/>
    <n v="3039391000"/>
    <n v="2918774000"/>
    <n v="19.334702700000001"/>
    <s v="1"/>
    <n v="26256910350.436607"/>
    <n v="1.0459602789211384E-3"/>
    <n v="8.1715270533934365"/>
    <n v="0"/>
    <n v="0"/>
    <n v="8.1715270533934365"/>
    <n v="0"/>
    <n v="8.1715270533934365"/>
    <x v="30"/>
    <x v="109"/>
    <n v="2.2226655927074193E-2"/>
    <s v="27RFLC"/>
    <x v="2"/>
    <x v="4"/>
    <n v="1.6097715979570489E-2"/>
    <x v="1"/>
    <x v="1"/>
  </r>
  <r>
    <s v="31/12/2025"/>
    <s v="27"/>
    <x v="0"/>
    <s v="TCDC"/>
    <s v="2721181IRC1U"/>
    <x v="39"/>
    <s v="CVL80070P015"/>
    <s v="INRT4.90"/>
    <s v="2118"/>
    <s v="1"/>
    <n v="10000"/>
    <n v="126374962.28004999"/>
    <n v="126374962.28004999"/>
    <n v="12700"/>
    <d v="2028-03-15T00:00:00"/>
    <n v="805"/>
    <n v="1"/>
    <x v="0"/>
    <n v="126392285.98937"/>
    <n v="126392285.98937"/>
    <s v="GITC"/>
    <n v="15587660000"/>
    <n v="12914429000"/>
    <n v="2673231000"/>
    <n v="-1.3640715999999999"/>
    <s v="1"/>
    <n v="26256910350.436607"/>
    <n v="4.813017243590071E-3"/>
    <n v="37.60152407987443"/>
    <n v="0"/>
    <n v="0"/>
    <n v="37.60152407987443"/>
    <n v="0"/>
    <n v="50.332748768335854"/>
    <x v="30"/>
    <x v="110"/>
    <n v="0.102276616426289"/>
    <s v="27RFLC"/>
    <x v="2"/>
    <x v="4"/>
    <n v="7.4074117491348609E-2"/>
    <x v="1"/>
    <x v="1"/>
  </r>
  <r>
    <s v="31/12/2025"/>
    <s v="27"/>
    <x v="1"/>
    <s v="TCDC"/>
    <s v="2721181IRC1U"/>
    <x v="39"/>
    <s v="CVL80070P015"/>
    <s v="INRT4.90"/>
    <s v="2118"/>
    <s v="1"/>
    <n v="10000"/>
    <n v="42788373.05545"/>
    <n v="42788373.05545"/>
    <n v="4300"/>
    <d v="2028-03-15T00:00:00"/>
    <n v="805"/>
    <n v="1"/>
    <x v="0"/>
    <n v="42794238.563330002"/>
    <n v="42794238.563330002"/>
    <s v="GITC"/>
    <n v="15587660000"/>
    <n v="12914429000"/>
    <n v="2673231000"/>
    <n v="-1.3640715999999999"/>
    <s v="1"/>
    <n v="7679510866.0565634"/>
    <n v="5.5717576030232079E-3"/>
    <n v="12.731224688461424"/>
    <n v="0"/>
    <n v="12.731224688461424"/>
    <n v="0"/>
    <n v="0"/>
    <n v="50.332748768335854"/>
    <x v="30"/>
    <x v="111"/>
    <n v="0.11839984906424317"/>
    <s v="27RFLC"/>
    <x v="2"/>
    <x v="4"/>
    <n v="2.5080213008881819E-2"/>
    <x v="1"/>
    <x v="1"/>
  </r>
  <r>
    <s v="31/12/2025"/>
    <s v="27"/>
    <x v="1"/>
    <s v="TCDC"/>
    <s v="274325395894"/>
    <x v="40"/>
    <s v="XS0511095894"/>
    <s v="HUASCA 5.2 04/0"/>
    <s v="4325"/>
    <s v="3"/>
    <n v="1000"/>
    <n v="483453.35047469998"/>
    <n v="483453.35047469998"/>
    <n v="2131"/>
    <d v="2028-04-01T00:00:00"/>
    <n v="822"/>
    <n v="1"/>
    <x v="0"/>
    <n v="483247.58026229998"/>
    <n v="483247.58026229998"/>
    <s v=""/>
    <n v="0"/>
    <n v="0"/>
    <n v="0"/>
    <n v="9.6560400000000005E-2"/>
    <s v="3"/>
    <n v="7679510866.0565634"/>
    <n v="6.2953664485529106E-5"/>
    <n v="0.14384639545202177"/>
    <n v="0"/>
    <n v="0.14384639545202177"/>
    <n v="0"/>
    <n v="0"/>
    <n v="1.7876509107254306"/>
    <x v="23"/>
    <x v="112"/>
    <n v="1.8584103204957195E-2"/>
    <s v="27RFLC"/>
    <x v="2"/>
    <x v="4"/>
    <n v="3.9366035568716802E-3"/>
    <x v="2"/>
    <x v="2"/>
  </r>
  <r>
    <s v="31/12/2025"/>
    <s v="27"/>
    <x v="1"/>
    <s v="TCDC"/>
    <s v="274325396355"/>
    <x v="40"/>
    <s v="XS0511096355"/>
    <s v="HUASCA 5.2  04/"/>
    <s v="4325"/>
    <s v="3"/>
    <n v="1000"/>
    <n v="312930.38543830003"/>
    <n v="312930.38543830003"/>
    <n v="1379"/>
    <d v="2028-04-01T00:00:00"/>
    <n v="822"/>
    <n v="1"/>
    <x v="0"/>
    <n v="312797.48541650001"/>
    <n v="312797.48541650001"/>
    <s v=""/>
    <n v="0"/>
    <n v="0"/>
    <n v="0"/>
    <n v="9.6374199999999993E-2"/>
    <s v="3"/>
    <n v="7679510866.0565634"/>
    <n v="4.0748739196587672E-5"/>
    <n v="9.310910334681187E-2"/>
    <n v="0"/>
    <n v="9.310910334681187E-2"/>
    <n v="0"/>
    <n v="0"/>
    <n v="1.1568080258454878"/>
    <x v="23"/>
    <x v="113"/>
    <n v="1.2029145259293718E-2"/>
    <s v="27RFLC"/>
    <x v="2"/>
    <x v="4"/>
    <n v="2.5480904562147706E-3"/>
    <x v="2"/>
    <x v="2"/>
  </r>
  <r>
    <s v="31/12/2025"/>
    <s v="27"/>
    <x v="0"/>
    <s v="TCDC"/>
    <s v="274325396355"/>
    <x v="40"/>
    <s v="XS0511096355"/>
    <s v="HUASCA 5.2  04/"/>
    <s v="4325"/>
    <s v="3"/>
    <n v="1000"/>
    <n v="3574985.7086258"/>
    <n v="3574985.7086258"/>
    <n v="15754"/>
    <d v="2028-04-01T00:00:00"/>
    <n v="822"/>
    <n v="1"/>
    <x v="0"/>
    <n v="3573467.4294790002"/>
    <n v="3573467.4294790002"/>
    <s v=""/>
    <n v="0"/>
    <n v="0"/>
    <n v="0"/>
    <n v="9.6374199999999993E-2"/>
    <s v="3"/>
    <n v="26256910350.436607"/>
    <n v="1.3615408899647456E-4"/>
    <n v="1.0636989224986759"/>
    <n v="0"/>
    <n v="0"/>
    <n v="1.0636989224986759"/>
    <n v="0"/>
    <n v="1.1568080258454878"/>
    <x v="23"/>
    <x v="114"/>
    <n v="4.0193079503243842E-2"/>
    <s v="27RFLC"/>
    <x v="2"/>
    <x v="4"/>
    <n v="2.9109947097322331E-2"/>
    <x v="2"/>
    <x v="2"/>
  </r>
  <r>
    <s v="31/12/2025"/>
    <s v="27"/>
    <x v="0"/>
    <s v="TCDC"/>
    <s v="274325395894"/>
    <x v="40"/>
    <s v="XS0511095894"/>
    <s v="HUASCA 5.2 04/0"/>
    <s v="4325"/>
    <s v="3"/>
    <n v="1000"/>
    <n v="5524662.5953823999"/>
    <n v="5524662.5953823999"/>
    <n v="24352"/>
    <d v="2028-04-01T00:00:00"/>
    <n v="822"/>
    <n v="1"/>
    <x v="0"/>
    <n v="5522311.1565215997"/>
    <n v="5522311.1565215997"/>
    <s v=""/>
    <n v="0"/>
    <n v="0"/>
    <n v="0"/>
    <n v="9.6560400000000005E-2"/>
    <s v="3"/>
    <n v="26256910350.436607"/>
    <n v="2.104079467708787E-4"/>
    <n v="1.6438045152734089"/>
    <n v="0"/>
    <n v="0"/>
    <n v="1.6438045152734089"/>
    <n v="0"/>
    <n v="1.7876509107254306"/>
    <x v="23"/>
    <x v="115"/>
    <n v="6.211303233717206E-2"/>
    <s v="27RFLC"/>
    <x v="2"/>
    <x v="4"/>
    <n v="4.4985532527892613E-2"/>
    <x v="2"/>
    <x v="2"/>
  </r>
  <r>
    <s v="31/12/2025"/>
    <s v="27"/>
    <x v="0"/>
    <s v="TCDC"/>
    <s v="2702021ADP1A"/>
    <x v="41"/>
    <s v="CVL80050A019"/>
    <s v="BTADP1EU"/>
    <s v="0202"/>
    <s v="1"/>
    <n v="100"/>
    <n v="206963.99310170001"/>
    <n v="206963.99310170001"/>
    <n v="247109"/>
    <d v="2026-05-11T00:00:00"/>
    <n v="131"/>
    <n v="1"/>
    <x v="0"/>
    <n v="206965.74757559999"/>
    <n v="206965.74757559999"/>
    <s v="CCOR"/>
    <n v="0"/>
    <n v="0"/>
    <n v="0"/>
    <n v="-7.0999999999999998E-6"/>
    <s v="1"/>
    <n v="26256910350.436607"/>
    <n v="7.8822675760196046E-6"/>
    <n v="6.1579931893748698E-2"/>
    <n v="0"/>
    <n v="0"/>
    <n v="6.1579931893748698E-2"/>
    <n v="0"/>
    <n v="6.1579931893748698E-2"/>
    <x v="13"/>
    <x v="116"/>
    <n v="2.6062229378456613E-4"/>
    <s v="27RFLC"/>
    <x v="2"/>
    <x v="4"/>
    <n v="1.8875640478951662E-4"/>
    <x v="2"/>
    <x v="2"/>
  </r>
  <r>
    <s v="31/12/2025"/>
    <s v="27"/>
    <x v="0"/>
    <s v="TCDC"/>
    <s v="2702011IS11A"/>
    <x v="42"/>
    <s v="PEP80070F166"/>
    <s v="SINT1TCP1A"/>
    <s v="0201"/>
    <s v="1"/>
    <n v="1000"/>
    <n v="43825878.975749999"/>
    <n v="43825878.975749999"/>
    <n v="47500"/>
    <d v="2034-09-10T00:00:00"/>
    <n v="3175"/>
    <n v="1"/>
    <x v="0"/>
    <n v="43788986.52375"/>
    <n v="43788986.52375"/>
    <s v="GITC"/>
    <n v="0"/>
    <n v="0"/>
    <n v="0"/>
    <n v="0.77668320000000002"/>
    <s v="1"/>
    <n v="26256910350.436607"/>
    <n v="1.6691178966157857E-3"/>
    <n v="13.03992352517183"/>
    <n v="0"/>
    <n v="0"/>
    <n v="13.03992352517183"/>
    <n v="0"/>
    <n v="29.374143519860752"/>
    <x v="17"/>
    <x v="117"/>
    <n v="2.0409399363114318E-2"/>
    <s v="27RFLC"/>
    <x v="2"/>
    <x v="4"/>
    <n v="1.4781562972810598E-2"/>
    <x v="2"/>
    <x v="2"/>
  </r>
  <r>
    <s v="31/12/2025"/>
    <s v="27"/>
    <x v="1"/>
    <s v="TCDC"/>
    <s v="2702011INSC2"/>
    <x v="42"/>
    <s v="CVL800703P16"/>
    <s v="INNSCH2E1U"/>
    <s v="0201"/>
    <s v="1"/>
    <n v="1000"/>
    <n v="18413306.34"/>
    <n v="18413306.34"/>
    <n v="18750"/>
    <d v="2035-08-13T00:00:00"/>
    <n v="3512"/>
    <n v="1"/>
    <x v="0"/>
    <n v="18388096.563749999"/>
    <n v="18388096.563749999"/>
    <s v="GITC"/>
    <n v="0"/>
    <n v="0"/>
    <n v="0"/>
    <n v="1.3445214000000001"/>
    <s v="1"/>
    <n v="7679510866.0565634"/>
    <n v="2.3977186387464872E-3"/>
    <n v="5.4786831920021415"/>
    <n v="0"/>
    <n v="5.4786831920021415"/>
    <n v="0"/>
    <n v="0"/>
    <n v="5.4786831920021415"/>
    <x v="17"/>
    <x v="118"/>
    <n v="2.9318478555517197E-2"/>
    <s v="27RFLC"/>
    <x v="2"/>
    <x v="4"/>
    <n v="6.2104275730092149E-3"/>
    <x v="2"/>
    <x v="2"/>
  </r>
  <r>
    <s v="31/12/2025"/>
    <s v="27"/>
    <x v="1"/>
    <s v="TCDC"/>
    <s v="2702011IS11A"/>
    <x v="42"/>
    <s v="PEP80070F166"/>
    <s v="SINT1TCP1A"/>
    <s v="0201"/>
    <s v="1"/>
    <n v="1000"/>
    <n v="54897679.980149999"/>
    <n v="54897679.980149999"/>
    <n v="59500"/>
    <d v="2034-09-10T00:00:00"/>
    <n v="3175"/>
    <n v="1"/>
    <x v="0"/>
    <n v="54851467.329750001"/>
    <n v="54851467.329750001"/>
    <s v="GITC"/>
    <n v="0"/>
    <n v="0"/>
    <n v="0"/>
    <n v="0.77668320000000002"/>
    <s v="1"/>
    <n v="7679510866.0565634"/>
    <n v="7.1485907029310595E-3"/>
    <n v="16.334219994688922"/>
    <n v="0"/>
    <n v="16.334219994688922"/>
    <n v="0"/>
    <n v="0"/>
    <n v="29.374143519860752"/>
    <x v="17"/>
    <x v="119"/>
    <n v="8.7410507571323751E-2"/>
    <s v="27RFLC"/>
    <x v="2"/>
    <x v="4"/>
    <n v="1.8515852565941696E-2"/>
    <x v="2"/>
    <x v="2"/>
  </r>
  <r>
    <s v="31/12/2025"/>
    <s v="27"/>
    <x v="1"/>
    <s v="TCDC"/>
    <s v="2702011INS3U"/>
    <x v="43"/>
    <s v="CVL800702P33"/>
    <s v="COLPE1P3E"/>
    <s v="0201"/>
    <s v="1"/>
    <n v="975"/>
    <n v="24515266.39144"/>
    <n v="24515266.39144"/>
    <n v="30700"/>
    <d v="2037-08-21T00:00:00"/>
    <n v="4251"/>
    <n v="1"/>
    <x v="0"/>
    <n v="24466296.382429998"/>
    <n v="24466296.382429998"/>
    <s v="GITC"/>
    <n v="0"/>
    <n v="0"/>
    <n v="0"/>
    <n v="1.5951143000000001"/>
    <s v="1"/>
    <n v="7679510866.0565634"/>
    <n v="3.1922952931543432E-3"/>
    <n v="7.2942564168645303"/>
    <n v="0"/>
    <n v="7.2942564168645303"/>
    <n v="0"/>
    <n v="0"/>
    <n v="7.2942564168645303"/>
    <x v="17"/>
    <x v="120"/>
    <n v="3.9034288503572746E-2"/>
    <s v="27RFLC"/>
    <x v="2"/>
    <x v="4"/>
    <n v="8.2684925534707143E-3"/>
    <x v="2"/>
    <x v="2"/>
  </r>
  <r>
    <s v="31/12/2025"/>
    <s v="27"/>
    <x v="1"/>
    <s v="TCDC"/>
    <s v="2702042CA11U"/>
    <x v="44"/>
    <s v="CVL80200F308"/>
    <s v="CA11U"/>
    <s v="0204"/>
    <s v="2"/>
    <n v="10000"/>
    <n v="26724804.714830499"/>
    <n v="7951681.012476"/>
    <n v="920"/>
    <d v="2034-12-12T00:00:00"/>
    <n v="3268"/>
    <n v="3.3609"/>
    <x v="0"/>
    <n v="26707721.564821701"/>
    <n v="7942580.6116760001"/>
    <s v="GBNS"/>
    <n v="0"/>
    <n v="0"/>
    <n v="0"/>
    <n v="9.8917400000000004"/>
    <s v="2"/>
    <n v="7679510866.0565634"/>
    <n v="3.4800139202815807E-3"/>
    <n v="7.9516810124759729"/>
    <n v="0"/>
    <n v="7.9516810124759729"/>
    <n v="0"/>
    <n v="0"/>
    <n v="8.3838375892409474"/>
    <x v="17"/>
    <x v="121"/>
    <n v="4.2552412883613756E-2"/>
    <s v="27RFLC"/>
    <x v="2"/>
    <x v="4"/>
    <n v="9.0137241525016631E-3"/>
    <x v="2"/>
    <x v="2"/>
  </r>
  <r>
    <s v="31/12/2025"/>
    <s v="27"/>
    <x v="0"/>
    <s v="TCDC"/>
    <s v="2702042CA11U"/>
    <x v="44"/>
    <s v="CVL80200F308"/>
    <s v="CA11U"/>
    <s v="0204"/>
    <s v="2"/>
    <n v="10000"/>
    <n v="1452435.0388493999"/>
    <n v="432156.57676500001"/>
    <n v="50"/>
    <d v="2034-12-12T00:00:00"/>
    <n v="3268"/>
    <n v="3.3609"/>
    <x v="0"/>
    <n v="1451506.6067836999"/>
    <n v="431661.98976500001"/>
    <s v="GBNS"/>
    <n v="0"/>
    <n v="0"/>
    <n v="0"/>
    <n v="9.8917400000000004"/>
    <s v="2"/>
    <n v="26256910350.436607"/>
    <n v="5.5316296527829991E-5"/>
    <n v="0.43215657676497365"/>
    <n v="0"/>
    <n v="0"/>
    <n v="0.43215657676497365"/>
    <n v="0"/>
    <n v="8.3838375892409474"/>
    <x v="17"/>
    <x v="122"/>
    <n v="6.7638864181732172E-4"/>
    <s v="27RFLC"/>
    <x v="2"/>
    <x v="4"/>
    <n v="4.8987631263593177E-4"/>
    <x v="2"/>
    <x v="2"/>
  </r>
  <r>
    <s v="31/12/2025"/>
    <s v="30"/>
    <x v="0"/>
    <s v="ACC"/>
    <s v="3021012171A1"/>
    <x v="45"/>
    <s v="PAL1801171A1"/>
    <s v="INRETC1"/>
    <s v="2101"/>
    <s v="2"/>
    <n v="10"/>
    <n v="388490448.9202975"/>
    <n v="115591195.489392"/>
    <n v="4620255"/>
    <m/>
    <m/>
    <n v="3.3609"/>
    <x v="1"/>
    <n v="385203840.19855142"/>
    <n v="114555356.0335905"/>
    <s v="GITC"/>
    <n v="8247269000"/>
    <n v="3281203000"/>
    <n v="4966066000"/>
    <n v="0.22419529999999999"/>
    <s v="2"/>
    <n v="26256910350.436607"/>
    <n v="1.4795741149104299E-2"/>
    <n v="115.59119548939198"/>
    <n v="0"/>
    <n v="0"/>
    <n v="115.59119548939198"/>
    <n v="0"/>
    <n v="140.69979510814073"/>
    <x v="30"/>
    <x v="123"/>
    <n v="0.31440949941846635"/>
    <s v="30RVL"/>
    <x v="2"/>
    <x v="6"/>
    <n v="0.22771193469334663"/>
    <x v="1"/>
    <x v="1"/>
  </r>
  <r>
    <s v="31/12/2025"/>
    <s v="30"/>
    <x v="1"/>
    <s v="ACC"/>
    <s v="3021012171A1"/>
    <x v="45"/>
    <s v="PAL1801171A1"/>
    <s v="INRETC1"/>
    <s v="2101"/>
    <s v="2"/>
    <n v="10"/>
    <n v="15939421.514521601"/>
    <n v="4742605.1100960001"/>
    <n v="189565"/>
    <m/>
    <m/>
    <n v="3.3609"/>
    <x v="1"/>
    <n v="15804574.8486259"/>
    <n v="4700105.5280515002"/>
    <s v="GITC"/>
    <n v="8247269000"/>
    <n v="3281203000"/>
    <n v="4966066000"/>
    <n v="0.22419529999999999"/>
    <s v="2"/>
    <n v="7679510866.0565634"/>
    <n v="2.0755777018265369E-3"/>
    <n v="4.7426051100959858"/>
    <n v="0"/>
    <n v="4.7426051100959858"/>
    <n v="0"/>
    <n v="0"/>
    <n v="140.69979510814073"/>
    <x v="30"/>
    <x v="124"/>
    <n v="4.4106026163813906E-2"/>
    <s v="30RVL"/>
    <x v="2"/>
    <x v="6"/>
    <n v="9.3428204504175938E-3"/>
    <x v="1"/>
    <x v="1"/>
  </r>
  <r>
    <s v="31/12/2025"/>
    <s v="30"/>
    <x v="3"/>
    <s v="ACC"/>
    <s v="3021012171A1"/>
    <x v="45"/>
    <s v="PAL1801171A1"/>
    <s v="INRETC1"/>
    <s v="2101"/>
    <s v="2"/>
    <n v="10"/>
    <n v="68448070.944131106"/>
    <n v="20365994.508652799"/>
    <n v="814042"/>
    <m/>
    <m/>
    <n v="3.3609"/>
    <x v="1"/>
    <n v="67869003.871628106"/>
    <n v="20183490.118250199"/>
    <s v="GITC"/>
    <n v="8247269000"/>
    <n v="3281203000"/>
    <n v="4966066000"/>
    <n v="0.22419529999999999"/>
    <s v="2"/>
    <n v="3164069580.822104"/>
    <n v="2.1632922157908612E-2"/>
    <n v="20.365994508652772"/>
    <n v="0"/>
    <n v="0"/>
    <n v="0"/>
    <n v="20.365994508652772"/>
    <n v="140.69979510814073"/>
    <x v="30"/>
    <x v="125"/>
    <n v="0.45969959585555803"/>
    <s v="30RVL"/>
    <x v="2"/>
    <x v="6"/>
    <n v="4.0120529871541952E-2"/>
    <x v="1"/>
    <x v="1"/>
  </r>
  <r>
    <s v="31/12/2025"/>
    <s v="30"/>
    <x v="3"/>
    <s v="ACC"/>
    <s v="302107100001"/>
    <x v="46"/>
    <s v="PEP736001004"/>
    <s v="ACC_SOL EFE"/>
    <s v="2107"/>
    <s v="1"/>
    <n v="1"/>
    <n v="99472294.527117595"/>
    <n v="99472294.527117595"/>
    <n v="25515237"/>
    <m/>
    <m/>
    <n v="1"/>
    <x v="1"/>
    <n v="98073021.0693717"/>
    <n v="98073021.0693717"/>
    <s v="GFER"/>
    <n v="2788216000"/>
    <n v="117726000"/>
    <n v="2670490000"/>
    <n v="5.4840699999999999E-2"/>
    <s v="1"/>
    <n v="3164069580.822104"/>
    <n v="3.1438086927681352E-2"/>
    <n v="29.59692181472748"/>
    <n v="0"/>
    <n v="0"/>
    <n v="0"/>
    <n v="29.59692181472748"/>
    <n v="159.64177885238479"/>
    <x v="31"/>
    <x v="126"/>
    <n v="0.24993279107506675"/>
    <s v="30RVL"/>
    <x v="2"/>
    <x v="6"/>
    <n v="2.1813018981543298E-2"/>
    <x v="1"/>
    <x v="1"/>
  </r>
  <r>
    <s v="31/12/2025"/>
    <s v="30"/>
    <x v="1"/>
    <s v="ACC"/>
    <s v="302107100001"/>
    <x v="46"/>
    <s v="PEP736001004"/>
    <s v="ACC_SOL EFE"/>
    <s v="2107"/>
    <s v="1"/>
    <n v="1"/>
    <n v="70359786.479683995"/>
    <n v="70359786.479683995"/>
    <n v="18047705"/>
    <m/>
    <m/>
    <n v="1"/>
    <x v="1"/>
    <n v="69370037.704090506"/>
    <n v="69370037.704090506"/>
    <s v="GFER"/>
    <n v="2788216000"/>
    <n v="117726000"/>
    <n v="2670490000"/>
    <n v="5.4840699999999999E-2"/>
    <s v="1"/>
    <n v="7679510866.0565634"/>
    <n v="9.1620140536130025E-3"/>
    <n v="20.934805105681214"/>
    <n v="0"/>
    <n v="20.934805105681214"/>
    <n v="0"/>
    <n v="0"/>
    <n v="159.64177885238479"/>
    <x v="31"/>
    <x v="127"/>
    <n v="7.2838011726223367E-2"/>
    <s v="30RVL"/>
    <x v="2"/>
    <x v="6"/>
    <n v="1.5429013327930048E-2"/>
    <x v="1"/>
    <x v="1"/>
  </r>
  <r>
    <s v="31/12/2025"/>
    <s v="30"/>
    <x v="0"/>
    <s v="ACC"/>
    <s v="302107100001"/>
    <x v="46"/>
    <s v="PEP736001004"/>
    <s v="ACC_SOL EFE"/>
    <s v="2107"/>
    <s v="1"/>
    <n v="1"/>
    <n v="366707973.53817838"/>
    <n v="366707973.53817838"/>
    <n v="94062783"/>
    <m/>
    <m/>
    <n v="1"/>
    <x v="1"/>
    <n v="361549504.6745103"/>
    <n v="361549504.6745103"/>
    <s v="GFER"/>
    <n v="2788216000"/>
    <n v="117726000"/>
    <n v="2670490000"/>
    <n v="5.4840699999999999E-2"/>
    <s v="1"/>
    <n v="26256910350.436607"/>
    <n v="1.3966150953936614E-2"/>
    <n v="109.11005193197607"/>
    <n v="0"/>
    <n v="0"/>
    <n v="109.11005193197607"/>
    <n v="0"/>
    <n v="159.64177885238479"/>
    <x v="31"/>
    <x v="128"/>
    <n v="0.11103090008379608"/>
    <s v="30RVL"/>
    <x v="2"/>
    <x v="6"/>
    <n v="8.0414431229299907E-2"/>
    <x v="1"/>
    <x v="1"/>
  </r>
  <r>
    <s v="31/12/2025"/>
    <s v="30"/>
    <x v="0"/>
    <s v="ACC"/>
    <s v="305923100002"/>
    <x v="47"/>
    <s v="PEP746354203"/>
    <s v="IPCHBC1"/>
    <s v="5923"/>
    <s v="1"/>
    <n v="0.1"/>
    <n v="33791427.8752416"/>
    <n v="33791427.8752416"/>
    <n v="234904776"/>
    <m/>
    <m/>
    <n v="1"/>
    <x v="1"/>
    <n v="33791427.8752416"/>
    <n v="33791427.8752416"/>
    <s v=""/>
    <n v="148030515"/>
    <n v="16201420"/>
    <n v="131829095"/>
    <n v="0"/>
    <s v="1"/>
    <n v="26256910350.436607"/>
    <n v="1.286953698064468E-3"/>
    <n v="10.054279471344461"/>
    <n v="0"/>
    <n v="0"/>
    <n v="10.054279471344461"/>
    <n v="0"/>
    <n v="16.311205760709335"/>
    <x v="13"/>
    <x v="129"/>
    <n v="4.2552326668598921E-2"/>
    <s v="30RVL"/>
    <x v="2"/>
    <x v="6"/>
    <n v="3.0818638270573968E-2"/>
    <x v="2"/>
    <x v="2"/>
  </r>
  <r>
    <s v="31/12/2025"/>
    <s v="30"/>
    <x v="3"/>
    <s v="ACC"/>
    <s v="305923100001"/>
    <x v="48"/>
    <s v="PEP746351100"/>
    <s v="IPCHAC1"/>
    <s v="5923"/>
    <s v="1"/>
    <n v="0.1"/>
    <n v="519.70700480000005"/>
    <n v="519.70700480000005"/>
    <n v="464"/>
    <m/>
    <m/>
    <n v="1"/>
    <x v="1"/>
    <n v="519.70700480000005"/>
    <n v="519.70700480000005"/>
    <s v=""/>
    <n v="148030515"/>
    <n v="16201420"/>
    <n v="131829095"/>
    <n v="0"/>
    <s v="1"/>
    <n v="3164069580.822104"/>
    <n v="1.6425271048083817E-7"/>
    <n v="1.5463328417983279E-4"/>
    <n v="0"/>
    <n v="0"/>
    <n v="0"/>
    <n v="1.5463328417983279E-4"/>
    <n v="3.3326138831860514E-4"/>
    <x v="13"/>
    <x v="130"/>
    <n v="5.4309141059970812E-6"/>
    <s v="30RVL"/>
    <x v="2"/>
    <x v="6"/>
    <n v="4.7398595427066235E-7"/>
    <x v="2"/>
    <x v="2"/>
  </r>
  <r>
    <s v="31/12/2025"/>
    <s v="30"/>
    <x v="0"/>
    <s v="ACC"/>
    <s v="305923100001"/>
    <x v="48"/>
    <s v="PEP746351100"/>
    <s v="IPCHAC1"/>
    <s v="5923"/>
    <s v="1"/>
    <n v="0.1"/>
    <n v="525.30729580000002"/>
    <n v="525.30729580000002"/>
    <n v="469"/>
    <m/>
    <m/>
    <n v="1"/>
    <x v="1"/>
    <n v="525.30729580000002"/>
    <n v="525.30729580000002"/>
    <s v=""/>
    <n v="148030515"/>
    <n v="16201420"/>
    <n v="131829095"/>
    <n v="0"/>
    <s v="1"/>
    <n v="26256910350.436607"/>
    <n v="2.0006439782480541E-8"/>
    <n v="1.562995911214258E-4"/>
    <n v="0"/>
    <n v="0"/>
    <n v="1.562995911214258E-4"/>
    <n v="0"/>
    <n v="3.3326138831860514E-4"/>
    <x v="13"/>
    <x v="131"/>
    <n v="6.6150053601782303E-7"/>
    <s v="30RVL"/>
    <x v="2"/>
    <x v="6"/>
    <n v="4.7909356153650996E-7"/>
    <x v="2"/>
    <x v="2"/>
  </r>
  <r>
    <s v="31/12/2025"/>
    <s v="30"/>
    <x v="1"/>
    <s v="ACC"/>
    <s v="305923100002"/>
    <x v="47"/>
    <s v="PEP746354203"/>
    <s v="IPCHBC1"/>
    <s v="5923"/>
    <s v="1"/>
    <n v="0.1"/>
    <n v="4466719.9202207997"/>
    <n v="4466719.9202207997"/>
    <n v="31050888"/>
    <m/>
    <m/>
    <n v="1"/>
    <x v="1"/>
    <n v="4466719.9202207997"/>
    <n v="4466719.9202207997"/>
    <s v=""/>
    <n v="148030515"/>
    <n v="16201420"/>
    <n v="131829095"/>
    <n v="0"/>
    <s v="1"/>
    <n v="7679510866.0565634"/>
    <n v="5.8164120060871338E-4"/>
    <n v="1.3290249398139782"/>
    <n v="0"/>
    <n v="1.3290249398139782"/>
    <n v="0"/>
    <n v="0"/>
    <n v="16.311205760709335"/>
    <x v="13"/>
    <x v="132"/>
    <n v="1.9231605930688445E-2"/>
    <s v="30RVL"/>
    <x v="2"/>
    <x v="6"/>
    <n v="4.0737617239936658E-3"/>
    <x v="2"/>
    <x v="2"/>
  </r>
  <r>
    <s v="31/12/2025"/>
    <s v="30"/>
    <x v="1"/>
    <s v="ACC"/>
    <s v="305923100001"/>
    <x v="48"/>
    <s v="PEP746351100"/>
    <s v="IPCHAC1"/>
    <s v="5923"/>
    <s v="1"/>
    <n v="0.1"/>
    <n v="75.043899400000001"/>
    <n v="75.043899400000001"/>
    <n v="67"/>
    <m/>
    <m/>
    <n v="1"/>
    <x v="1"/>
    <n v="75.043899400000001"/>
    <n v="75.043899400000001"/>
    <s v=""/>
    <n v="148030515"/>
    <n v="16201420"/>
    <n v="131829095"/>
    <n v="0"/>
    <s v="1"/>
    <n v="7679510866.0565634"/>
    <n v="9.7719634373712554E-9"/>
    <n v="2.2328513017346544E-5"/>
    <n v="0"/>
    <n v="2.2328513017346544E-5"/>
    <n v="0"/>
    <n v="0"/>
    <n v="3.3326138831860514E-4"/>
    <x v="13"/>
    <x v="133"/>
    <n v="3.2310391664129367E-7"/>
    <s v="30RVL"/>
    <x v="2"/>
    <x v="6"/>
    <n v="6.8441937362358572E-8"/>
    <x v="2"/>
    <x v="2"/>
  </r>
  <r>
    <s v="31/12/2025"/>
    <s v="30"/>
    <x v="3"/>
    <s v="ACC"/>
    <s v="305923100002"/>
    <x v="47"/>
    <s v="PEP746354203"/>
    <s v="IPCHBC1"/>
    <s v="5923"/>
    <s v="1"/>
    <n v="0.1"/>
    <n v="16562183.645705599"/>
    <n v="16562183.645705599"/>
    <n v="115133816"/>
    <m/>
    <m/>
    <n v="1"/>
    <x v="1"/>
    <n v="16562183.645705599"/>
    <n v="16562183.645705599"/>
    <s v=""/>
    <n v="148030515"/>
    <n v="16201420"/>
    <n v="131829095"/>
    <n v="0"/>
    <s v="1"/>
    <n v="3164069580.822104"/>
    <n v="5.2344562035207621E-3"/>
    <n v="4.9279013495508934"/>
    <n v="0"/>
    <n v="0"/>
    <n v="0"/>
    <n v="4.9279013495508934"/>
    <n v="16.311205760709335"/>
    <x v="13"/>
    <x v="134"/>
    <n v="0.17307405125738398"/>
    <s v="30RVL"/>
    <x v="2"/>
    <x v="6"/>
    <n v="1.5105131059637634E-2"/>
    <x v="2"/>
    <x v="2"/>
  </r>
  <r>
    <s v="31/12/2025"/>
    <s v="30"/>
    <x v="3"/>
    <s v="ACC"/>
    <s v="302011100001"/>
    <x v="49"/>
    <s v="PEP214001005"/>
    <s v="ACC_SOL ALI"/>
    <s v="2011"/>
    <s v="1"/>
    <n v="1"/>
    <n v="7679913.9241110003"/>
    <n v="7679913.9241110003"/>
    <n v="719290"/>
    <m/>
    <m/>
    <n v="1"/>
    <x v="1"/>
    <n v="7679913.9241110003"/>
    <n v="7679913.9241110003"/>
    <s v="GROM"/>
    <n v="9255978000"/>
    <n v="6603309000"/>
    <n v="2652669000"/>
    <n v="0"/>
    <s v="1"/>
    <n v="3164069580.822104"/>
    <n v="2.4272266231628089E-3"/>
    <n v="2.285076593802553"/>
    <n v="0"/>
    <n v="0"/>
    <n v="0"/>
    <n v="2.285076593802553"/>
    <n v="28.138833268601179"/>
    <x v="20"/>
    <x v="135"/>
    <n v="8.8836494407758815E-2"/>
    <s v="30RVL"/>
    <x v="2"/>
    <x v="6"/>
    <n v="7.7532529062510928E-3"/>
    <x v="1"/>
    <x v="1"/>
  </r>
  <r>
    <s v="31/12/2025"/>
    <s v="30"/>
    <x v="1"/>
    <s v="ACC"/>
    <s v="302011100001"/>
    <x v="49"/>
    <s v="PEP214001005"/>
    <s v="ACC_SOL ALI"/>
    <s v="2011"/>
    <s v="1"/>
    <n v="1"/>
    <n v="400753.36683060002"/>
    <n v="400753.36683060002"/>
    <n v="37534"/>
    <m/>
    <m/>
    <n v="1"/>
    <x v="1"/>
    <n v="400753.36683060002"/>
    <n v="400753.36683060002"/>
    <s v="GROM"/>
    <n v="9255978000"/>
    <n v="6603309000"/>
    <n v="2652669000"/>
    <n v="0"/>
    <s v="1"/>
    <n v="7679510866.0565634"/>
    <n v="5.2184751583844986E-5"/>
    <n v="0.11923989610836384"/>
    <n v="0"/>
    <n v="0.11923989610836384"/>
    <n v="0"/>
    <n v="0"/>
    <n v="28.138833268601179"/>
    <x v="20"/>
    <x v="136"/>
    <n v="1.9099619079687266E-3"/>
    <s v="30RVL"/>
    <x v="2"/>
    <x v="6"/>
    <n v="4.0458034253670769E-4"/>
    <x v="1"/>
    <x v="1"/>
  </r>
  <r>
    <s v="31/12/2025"/>
    <s v="30"/>
    <x v="0"/>
    <s v="ACC"/>
    <s v="302011100001"/>
    <x v="49"/>
    <s v="PEP214001005"/>
    <s v="ACC_SOL ALI"/>
    <s v="2011"/>
    <s v="1"/>
    <n v="1"/>
    <n v="86491137.441500098"/>
    <n v="86491137.441500098"/>
    <n v="8100639"/>
    <m/>
    <m/>
    <n v="1"/>
    <x v="1"/>
    <n v="86491137.441500098"/>
    <n v="86491137.441500098"/>
    <s v="GROM"/>
    <n v="9255978000"/>
    <n v="6603309000"/>
    <n v="2652669000"/>
    <n v="0"/>
    <s v="1"/>
    <n v="26256910350.436607"/>
    <n v="3.2940333149312022E-3"/>
    <n v="25.73451677869026"/>
    <n v="0"/>
    <n v="0"/>
    <n v="25.73451677869026"/>
    <n v="0"/>
    <n v="28.138833268601179"/>
    <x v="20"/>
    <x v="137"/>
    <n v="0.120561619326482"/>
    <s v="30RVL"/>
    <x v="2"/>
    <x v="6"/>
    <n v="8.7317080550599807E-2"/>
    <x v="1"/>
    <x v="1"/>
  </r>
  <r>
    <s v="31/12/2025"/>
    <s v="30"/>
    <x v="0"/>
    <s v="ACC"/>
    <s v="302008100002"/>
    <x v="28"/>
    <s v="PEP612001003"/>
    <s v="ACC_SOL"/>
    <s v="2008"/>
    <s v="1"/>
    <n v="10"/>
    <n v="93565.851500000004"/>
    <n v="93565.851500000004"/>
    <n v="1000"/>
    <m/>
    <m/>
    <n v="1"/>
    <x v="1"/>
    <n v="95844.074999999997"/>
    <n v="95844.074999999997"/>
    <s v="GBUE"/>
    <n v="4052129000"/>
    <n v="932087000"/>
    <n v="3120042000"/>
    <n v="-2.2782235000000002"/>
    <s v="1"/>
    <n v="26256910350.436607"/>
    <n v="3.5634753004533973E-6"/>
    <n v="2.7839522598113602E-2"/>
    <n v="0"/>
    <n v="0"/>
    <n v="2.7839522598113602E-2"/>
    <n v="0"/>
    <n v="2.7839522598113602E-2"/>
    <x v="21"/>
    <x v="138"/>
    <n v="2.0810695754647839E-4"/>
    <s v="30RVL"/>
    <x v="2"/>
    <x v="6"/>
    <n v="1.5072202975325072E-4"/>
    <x v="1"/>
    <x v="1"/>
  </r>
  <r>
    <s v="31/12/2025"/>
    <s v="30"/>
    <x v="0"/>
    <s v="ACC"/>
    <s v="302072200001"/>
    <x v="50"/>
    <s v="PEP646501002"/>
    <s v="CVERDEC1"/>
    <s v="2072"/>
    <s v="2"/>
    <n v="2.83"/>
    <n v="99220112.990915507"/>
    <n v="29521887.884470101"/>
    <n v="602713"/>
    <m/>
    <m/>
    <n v="3.3609"/>
    <x v="1"/>
    <n v="98254985.655109495"/>
    <n v="29219944.5830933"/>
    <s v="GFRE"/>
    <n v="8303997000"/>
    <n v="1275414000"/>
    <n v="7028583000"/>
    <n v="0.50097360000000002"/>
    <s v="2"/>
    <n v="26256910350.436607"/>
    <n v="3.7788190486496309E-3"/>
    <n v="29.521887884470082"/>
    <n v="0"/>
    <n v="0"/>
    <n v="29.521887884470082"/>
    <n v="0"/>
    <n v="41.127114412631045"/>
    <x v="32"/>
    <x v="139"/>
    <n v="1.009287941441728"/>
    <s v="30RVL"/>
    <x v="2"/>
    <x v="6"/>
    <n v="0.73097953539396932"/>
    <x v="2"/>
    <x v="2"/>
  </r>
  <r>
    <s v="31/12/2025"/>
    <s v="30"/>
    <x v="3"/>
    <s v="ACC"/>
    <s v="302072200001"/>
    <x v="50"/>
    <s v="PEP646501002"/>
    <s v="CVERDEC1"/>
    <s v="2072"/>
    <s v="2"/>
    <n v="2.83"/>
    <n v="21228892.807594098"/>
    <n v="6316430.9582535001"/>
    <n v="128955"/>
    <m/>
    <m/>
    <n v="3.3609"/>
    <x v="1"/>
    <n v="21022396.522316001"/>
    <n v="6251827.9076655004"/>
    <s v="GFRE"/>
    <n v="8303997000"/>
    <n v="1275414000"/>
    <n v="7028583000"/>
    <n v="0.50097360000000002"/>
    <s v="2"/>
    <n v="3164069580.822104"/>
    <n v="6.709363452771574E-3"/>
    <n v="6.3164309582534734"/>
    <n v="0"/>
    <n v="0"/>
    <n v="0"/>
    <n v="6.3164309582534734"/>
    <n v="41.127114412631045"/>
    <x v="32"/>
    <x v="140"/>
    <n v="1.7920094983251607"/>
    <s v="30RVL"/>
    <x v="2"/>
    <x v="6"/>
    <n v="0.15639859433383546"/>
    <x v="2"/>
    <x v="2"/>
  </r>
  <r>
    <s v="31/12/2025"/>
    <s v="30"/>
    <x v="1"/>
    <s v="ACC"/>
    <s v="302072200001"/>
    <x v="50"/>
    <s v="PEP646501002"/>
    <s v="CVERDEC1"/>
    <s v="2072"/>
    <s v="2"/>
    <n v="2.83"/>
    <n v="17775113.030902099"/>
    <n v="5288795.5699075004"/>
    <n v="107975"/>
    <m/>
    <m/>
    <n v="3.3609"/>
    <x v="1"/>
    <n v="18009765.079313401"/>
    <n v="5355904.6806974998"/>
    <s v="GFRE"/>
    <n v="8303997000"/>
    <n v="1275414000"/>
    <n v="7028583000"/>
    <n v="0.50097360000000002"/>
    <s v="2"/>
    <n v="7679510866.0565634"/>
    <n v="2.3146152588269775E-3"/>
    <n v="5.2887955699074949"/>
    <n v="0"/>
    <n v="5.2887955699074949"/>
    <n v="0"/>
    <n v="0"/>
    <n v="41.127114412631045"/>
    <x v="32"/>
    <x v="141"/>
    <n v="0.61821252611868449"/>
    <s v="30RVL"/>
    <x v="2"/>
    <x v="6"/>
    <n v="0.13095372977547159"/>
    <x v="2"/>
    <x v="2"/>
  </r>
  <r>
    <s v="31/12/2025"/>
    <s v="30"/>
    <x v="1"/>
    <s v="ACC"/>
    <s v="302002100001"/>
    <x v="51"/>
    <s v="PEP761001002"/>
    <s v="ACC_SOL CL"/>
    <s v="2002"/>
    <s v="1"/>
    <n v="1"/>
    <n v="7950988.5717551997"/>
    <n v="7950988.5717551997"/>
    <n v="4543932"/>
    <m/>
    <m/>
    <n v="1"/>
    <x v="1"/>
    <n v="7942025.6658851998"/>
    <n v="7942025.6658851998"/>
    <s v="GUNA"/>
    <n v="6648909000"/>
    <n v="1203766000"/>
    <n v="5445143000"/>
    <n v="1.9724999999999999E-3"/>
    <s v="1"/>
    <n v="7679510866.0565634"/>
    <n v="1.0353509110715069E-3"/>
    <n v="2.3657319681499596"/>
    <n v="0"/>
    <n v="2.3657319681499596"/>
    <n v="0"/>
    <n v="0"/>
    <n v="36.888817097214194"/>
    <x v="33"/>
    <x v="142"/>
    <n v="2.0722548485096208"/>
    <s v="30RVL"/>
    <x v="2"/>
    <x v="6"/>
    <n v="0.4389582708091912"/>
    <x v="1"/>
    <x v="1"/>
  </r>
  <r>
    <s v="31/12/2025"/>
    <s v="30"/>
    <x v="3"/>
    <s v="ACC"/>
    <s v="302002100001"/>
    <x v="51"/>
    <s v="PEP761001002"/>
    <s v="ACC_SOL CL"/>
    <s v="2002"/>
    <s v="1"/>
    <n v="1"/>
    <n v="10688064.6091436"/>
    <n v="10688064.6091436"/>
    <n v="6108151"/>
    <m/>
    <m/>
    <n v="1"/>
    <x v="1"/>
    <n v="10676016.2812961"/>
    <n v="10676016.2812961"/>
    <s v="GUNA"/>
    <n v="6648909000"/>
    <n v="1203766000"/>
    <n v="5445143000"/>
    <n v="1.9724999999999999E-3"/>
    <s v="1"/>
    <n v="3164069580.822104"/>
    <n v="3.3779486626733962E-3"/>
    <n v="3.1801197920627211"/>
    <n v="0"/>
    <n v="0"/>
    <n v="0"/>
    <n v="3.1801197920627211"/>
    <n v="36.888817097214194"/>
    <x v="33"/>
    <x v="143"/>
    <n v="6.7609642483408026"/>
    <s v="30RVL"/>
    <x v="2"/>
    <x v="6"/>
    <n v="0.5900667969506217"/>
    <x v="1"/>
    <x v="1"/>
  </r>
  <r>
    <s v="31/12/2025"/>
    <s v="30"/>
    <x v="0"/>
    <s v="ACC"/>
    <s v="302002100001"/>
    <x v="51"/>
    <s v="PEP761001002"/>
    <s v="ACC_SOL CL"/>
    <s v="2002"/>
    <s v="1"/>
    <n v="1"/>
    <n v="105340572.20112839"/>
    <n v="105340572.20112839"/>
    <n v="60201369"/>
    <m/>
    <m/>
    <n v="1"/>
    <x v="1"/>
    <n v="105221825.0007759"/>
    <n v="105221825.0007759"/>
    <s v="GUNA"/>
    <n v="6648909000"/>
    <n v="1203766000"/>
    <n v="5445143000"/>
    <n v="1.9724999999999999E-3"/>
    <s v="1"/>
    <n v="26256910350.436607"/>
    <n v="4.0119180358696221E-3"/>
    <n v="31.342965337001512"/>
    <n v="0"/>
    <n v="0"/>
    <n v="31.342965337001512"/>
    <n v="0"/>
    <n v="36.888817097214194"/>
    <x v="33"/>
    <x v="144"/>
    <n v="8.0298539487930487"/>
    <s v="30RVL"/>
    <x v="2"/>
    <x v="6"/>
    <n v="5.8156435520131122"/>
    <x v="1"/>
    <x v="1"/>
  </r>
  <r>
    <s v="31/12/2025"/>
    <s v="30"/>
    <x v="0"/>
    <s v="ACC"/>
    <s v="300011100001"/>
    <x v="52"/>
    <s v="PEP116001004"/>
    <s v="ACC_SOL BCO"/>
    <s v="0011"/>
    <s v="1"/>
    <n v="1"/>
    <n v="50550121.107822597"/>
    <n v="50550121.107822597"/>
    <n v="28241334"/>
    <m/>
    <m/>
    <n v="1"/>
    <x v="1"/>
    <n v="50084365.027494602"/>
    <n v="50084365.027494602"/>
    <s v="GBBV"/>
    <n v="107848509000"/>
    <n v="95703702000"/>
    <n v="12144807000"/>
    <n v="1.6492E-2"/>
    <s v="1"/>
    <n v="26256910350.436607"/>
    <n v="1.9252120844820584E-3"/>
    <n v="15.040650155560296"/>
    <n v="0"/>
    <n v="0"/>
    <n v="15.040650155560296"/>
    <n v="0"/>
    <n v="19.619299900093608"/>
    <x v="34"/>
    <x v="145"/>
    <n v="1.482413305051185E-3"/>
    <s v="30RVL"/>
    <x v="2"/>
    <x v="6"/>
    <n v="1.0736418662054502E-3"/>
    <x v="1"/>
    <x v="1"/>
  </r>
  <r>
    <s v="31/12/2025"/>
    <s v="30"/>
    <x v="3"/>
    <s v="ACC"/>
    <s v="300011100001"/>
    <x v="52"/>
    <s v="PEP116001004"/>
    <s v="ACC_SOL BCO"/>
    <s v="0011"/>
    <s v="1"/>
    <n v="1"/>
    <n v="14389860.3506175"/>
    <n v="14389860.3506175"/>
    <n v="8039325"/>
    <m/>
    <m/>
    <n v="1"/>
    <x v="1"/>
    <n v="14257275.802717499"/>
    <n v="14257275.802717499"/>
    <s v="GBBV"/>
    <n v="107848509000"/>
    <n v="95703702000"/>
    <n v="12144807000"/>
    <n v="1.6492E-2"/>
    <s v="1"/>
    <n v="3164069580.822104"/>
    <n v="4.5478963034936348E-3"/>
    <n v="4.2815496892551099"/>
    <n v="0"/>
    <n v="0"/>
    <n v="0"/>
    <n v="4.2815496892551099"/>
    <n v="19.619299900093608"/>
    <x v="34"/>
    <x v="146"/>
    <n v="3.501880153690099E-3"/>
    <s v="30RVL"/>
    <x v="2"/>
    <x v="6"/>
    <n v="3.0562847689957317E-4"/>
    <x v="1"/>
    <x v="1"/>
  </r>
  <r>
    <s v="31/12/2025"/>
    <s v="30"/>
    <x v="1"/>
    <s v="ACC"/>
    <s v="300011100001"/>
    <x v="52"/>
    <s v="PEP116001004"/>
    <s v="ACC_SOL BCO"/>
    <s v="0011"/>
    <s v="1"/>
    <n v="1"/>
    <n v="998523.57578449999"/>
    <n v="998523.57578449999"/>
    <n v="557855"/>
    <m/>
    <m/>
    <n v="1"/>
    <x v="1"/>
    <n v="989323.4311245"/>
    <n v="989323.4311245"/>
    <s v="GBBV"/>
    <n v="107848509000"/>
    <n v="95703702000"/>
    <n v="12144807000"/>
    <n v="1.6492E-2"/>
    <s v="1"/>
    <n v="7679510866.0565634"/>
    <n v="1.3002437176018255E-4"/>
    <n v="0.29710005527819933"/>
    <n v="0"/>
    <n v="0.29710005527819933"/>
    <n v="0"/>
    <n v="0"/>
    <n v="19.619299900093608"/>
    <x v="34"/>
    <x v="147"/>
    <n v="1.0011876625534057E-4"/>
    <s v="30RVL"/>
    <x v="2"/>
    <x v="6"/>
    <n v="2.1207797169639417E-5"/>
    <x v="1"/>
    <x v="1"/>
  </r>
  <r>
    <s v="31/12/2025"/>
    <s v="30"/>
    <x v="1"/>
    <s v="ACC"/>
    <s v="302051100001"/>
    <x v="53"/>
    <s v="PEP239501005"/>
    <s v="ACC_SOL   CP"/>
    <s v="2051"/>
    <s v="1"/>
    <n v="1"/>
    <n v="27056061.042269401"/>
    <n v="27056061.042269401"/>
    <n v="3871542"/>
    <m/>
    <m/>
    <n v="1"/>
    <x v="1"/>
    <n v="27056061.042269401"/>
    <n v="27056061.042269401"/>
    <s v="GHOC"/>
    <n v="3144080000"/>
    <n v="1867883000"/>
    <n v="1276197000"/>
    <n v="0"/>
    <s v="1"/>
    <n v="7679510866.0565634"/>
    <n v="3.523149001827341E-3"/>
    <n v="8.0502428046860661"/>
    <n v="0"/>
    <n v="8.0502428046860661"/>
    <n v="0"/>
    <n v="0"/>
    <n v="45.554096691039454"/>
    <x v="35"/>
    <x v="148"/>
    <n v="8.8994039156358262"/>
    <s v="30RVL"/>
    <x v="2"/>
    <x v="6"/>
    <n v="1.8851286350467966"/>
    <x v="1"/>
    <x v="1"/>
  </r>
  <r>
    <s v="31/12/2025"/>
    <s v="30"/>
    <x v="3"/>
    <s v="ACC"/>
    <s v="302051100001"/>
    <x v="53"/>
    <s v="PEP239501005"/>
    <s v="ACC_SOL   CP"/>
    <s v="2051"/>
    <s v="1"/>
    <n v="1"/>
    <n v="32926558.095194701"/>
    <n v="32926558.095194701"/>
    <n v="4711571"/>
    <m/>
    <m/>
    <n v="1"/>
    <x v="1"/>
    <n v="32926558.095194701"/>
    <n v="32926558.095194701"/>
    <s v="GHOC"/>
    <n v="3144080000"/>
    <n v="1867883000"/>
    <n v="1276197000"/>
    <n v="0"/>
    <s v="1"/>
    <n v="3164069580.822104"/>
    <n v="1.0406395072588625E-2"/>
    <n v="9.7969466795187898"/>
    <n v="0"/>
    <n v="0"/>
    <n v="0"/>
    <n v="9.7969466795187898"/>
    <n v="45.554096691039454"/>
    <x v="35"/>
    <x v="149"/>
    <n v="26.286345825457413"/>
    <s v="30RVL"/>
    <x v="2"/>
    <x v="6"/>
    <n v="2.294154992547174"/>
    <x v="1"/>
    <x v="1"/>
  </r>
  <r>
    <s v="31/12/2025"/>
    <s v="30"/>
    <x v="0"/>
    <s v="ACC"/>
    <s v="302051100001"/>
    <x v="53"/>
    <s v="PEP239501005"/>
    <s v="ACC_SOL   CP"/>
    <s v="2051"/>
    <s v="1"/>
    <n v="1"/>
    <n v="93120144.431450397"/>
    <n v="93120144.431450397"/>
    <n v="13324872"/>
    <m/>
    <m/>
    <n v="1"/>
    <x v="1"/>
    <n v="93120144.431450397"/>
    <n v="93120144.431450397"/>
    <s v="GHOC"/>
    <n v="3144080000"/>
    <n v="1867883000"/>
    <n v="1276197000"/>
    <n v="0"/>
    <s v="1"/>
    <n v="26256910350.436607"/>
    <n v="3.5465004522096015E-3"/>
    <n v="27.706907206834597"/>
    <n v="0"/>
    <n v="0"/>
    <n v="27.706907206834597"/>
    <n v="0"/>
    <n v="45.554096691039454"/>
    <x v="35"/>
    <x v="150"/>
    <n v="8.9583892122724098"/>
    <s v="30RVL"/>
    <x v="2"/>
    <x v="6"/>
    <n v="6.48813774086224"/>
    <x v="1"/>
    <x v="1"/>
  </r>
  <r>
    <s v="31/12/2025"/>
    <s v="30"/>
    <x v="0"/>
    <s v="ACC"/>
    <s v="302012200001"/>
    <x v="54"/>
    <s v="BMG2519Y1084"/>
    <s v="ACC_DOL BAP"/>
    <s v="2012"/>
    <s v="2"/>
    <n v="5"/>
    <n v="1232852604.2658"/>
    <n v="366822162"/>
    <n v="1278126"/>
    <m/>
    <m/>
    <n v="3.3609"/>
    <x v="1"/>
    <n v="1246369681.404"/>
    <n v="370656540"/>
    <s v="CCOR"/>
    <n v="241171741000"/>
    <n v="206735531000"/>
    <n v="34436210000"/>
    <n v="-3"/>
    <s v="2"/>
    <n v="26256910350.436607"/>
    <n v="4.6953452931498461E-2"/>
    <n v="366.82216199999999"/>
    <n v="0"/>
    <n v="0"/>
    <n v="366.82216199999999"/>
    <n v="0"/>
    <n v="431.71372299999996"/>
    <x v="36"/>
    <x v="151"/>
    <n v="3.4276020639993875E-2"/>
    <s v="30RVL"/>
    <x v="2"/>
    <x v="6"/>
    <n v="2.4824501129763477E-2"/>
    <x v="1"/>
    <x v="1"/>
  </r>
  <r>
    <s v="31/12/2025"/>
    <s v="30"/>
    <x v="3"/>
    <s v="ACC"/>
    <s v="302012200001"/>
    <x v="54"/>
    <s v="BMG2519Y1084"/>
    <s v="ACC_DOL BAP"/>
    <s v="2012"/>
    <s v="2"/>
    <n v="5"/>
    <n v="177484336.35659999"/>
    <n v="52808574"/>
    <n v="184002"/>
    <m/>
    <m/>
    <n v="3.3609"/>
    <x v="1"/>
    <n v="179430286.308"/>
    <n v="53360580"/>
    <s v="CCOR"/>
    <n v="241171741000"/>
    <n v="206735531000"/>
    <n v="34436210000"/>
    <n v="-3"/>
    <s v="2"/>
    <n v="3164069580.822104"/>
    <n v="5.6093689415795067E-2"/>
    <n v="52.808573999999993"/>
    <n v="0"/>
    <n v="0"/>
    <n v="0"/>
    <n v="52.808573999999993"/>
    <n v="431.71372299999996"/>
    <x v="36"/>
    <x v="152"/>
    <n v="4.0948393273530399E-2"/>
    <s v="30RVL"/>
    <x v="2"/>
    <x v="6"/>
    <n v="3.5737930821208067E-3"/>
    <x v="1"/>
    <x v="1"/>
  </r>
  <r>
    <s v="31/12/2025"/>
    <s v="30"/>
    <x v="1"/>
    <s v="ACC"/>
    <s v="302012200001"/>
    <x v="54"/>
    <s v="BMG2519Y1084"/>
    <s v="ACC_DOL BAP"/>
    <s v="2012"/>
    <s v="2"/>
    <n v="5"/>
    <n v="40609711.008299999"/>
    <n v="12082987"/>
    <n v="42101"/>
    <m/>
    <m/>
    <n v="3.3609"/>
    <x v="1"/>
    <n v="41054958.553999998"/>
    <n v="12209290"/>
    <s v="CCOR"/>
    <n v="241171741000"/>
    <n v="206735531000"/>
    <n v="34436210000"/>
    <n v="-3"/>
    <s v="2"/>
    <n v="7679510866.0565634"/>
    <n v="5.2880595804343363E-3"/>
    <n v="12.082986999999999"/>
    <n v="0"/>
    <n v="12.082986999999999"/>
    <n v="0"/>
    <n v="0"/>
    <n v="431.71372299999996"/>
    <x v="36"/>
    <x v="153"/>
    <n v="3.8602834937170654E-3"/>
    <s v="30RVL"/>
    <x v="2"/>
    <x v="6"/>
    <n v="8.177099300571086E-4"/>
    <x v="1"/>
    <x v="1"/>
  </r>
  <r>
    <s v="31/12/2025"/>
    <s v="30"/>
    <x v="3"/>
    <s v="ACC"/>
    <s v="302032100002"/>
    <x v="55"/>
    <s v="PEP700511004"/>
    <s v="ACC_SOL EDEG"/>
    <s v="2032"/>
    <s v="1"/>
    <n v="1"/>
    <n v="20470968.785618"/>
    <n v="20470968.785618"/>
    <n v="7636630"/>
    <m/>
    <m/>
    <n v="1"/>
    <x v="1"/>
    <n v="20233950.700307999"/>
    <n v="20233950.700307999"/>
    <s v="GENE"/>
    <n v="6244522000"/>
    <n v="3045282000"/>
    <n v="3199240000"/>
    <n v="3.1036999999999999E-2"/>
    <s v="1"/>
    <n v="3164069580.822104"/>
    <n v="6.4698225695463789E-3"/>
    <n v="6.0909187377244187"/>
    <n v="0"/>
    <n v="0"/>
    <n v="0"/>
    <n v="6.0909187377244187"/>
    <n v="45.316507032475286"/>
    <x v="23"/>
    <x v="154"/>
    <n v="1.9099102702408906"/>
    <s v="30RVL"/>
    <x v="2"/>
    <x v="6"/>
    <n v="0.16668844771671548"/>
    <x v="2"/>
    <x v="2"/>
  </r>
  <r>
    <s v="31/12/2025"/>
    <s v="30"/>
    <x v="0"/>
    <s v="ACC"/>
    <s v="302032100002"/>
    <x v="55"/>
    <s v="PEP700511004"/>
    <s v="ACC_SOL EDEG"/>
    <s v="2032"/>
    <s v="1"/>
    <n v="1"/>
    <n v="116318887.01761121"/>
    <n v="116318887.01761121"/>
    <n v="43392392"/>
    <m/>
    <m/>
    <n v="1"/>
    <x v="1"/>
    <n v="114972117.3471072"/>
    <n v="114972117.3471072"/>
    <s v="GENE"/>
    <n v="6244522000"/>
    <n v="3045282000"/>
    <n v="3199240000"/>
    <n v="3.1036999999999999E-2"/>
    <s v="1"/>
    <n v="26256910350.436607"/>
    <n v="4.4300294842449742E-3"/>
    <n v="34.60944598697111"/>
    <n v="0"/>
    <n v="0"/>
    <n v="34.60944598697111"/>
    <n v="0"/>
    <n v="45.316507032475286"/>
    <x v="23"/>
    <x v="155"/>
    <n v="1.3077574722458978"/>
    <s v="30RVL"/>
    <x v="2"/>
    <x v="6"/>
    <n v="0.94714690448473005"/>
    <x v="2"/>
    <x v="2"/>
  </r>
  <r>
    <s v="31/12/2025"/>
    <s v="30"/>
    <x v="1"/>
    <s v="ACC"/>
    <s v="302032100002"/>
    <x v="55"/>
    <s v="PEP700511004"/>
    <s v="ACC_SOL EDEG"/>
    <s v="2032"/>
    <s v="1"/>
    <n v="1"/>
    <n v="15514392.682217"/>
    <n v="15514392.682217"/>
    <n v="5787595"/>
    <m/>
    <m/>
    <n v="1"/>
    <x v="1"/>
    <n v="15334763.096201999"/>
    <n v="15334763.096201999"/>
    <s v="GENE"/>
    <n v="6244522000"/>
    <n v="3045282000"/>
    <n v="3199240000"/>
    <n v="3.1036999999999999E-2"/>
    <s v="1"/>
    <n v="7679510866.0565634"/>
    <n v="2.020231881016096E-3"/>
    <n v="4.6161423077797608"/>
    <n v="0"/>
    <n v="4.6161423077797608"/>
    <n v="0"/>
    <n v="0"/>
    <n v="45.316507032475286"/>
    <x v="23"/>
    <x v="156"/>
    <n v="0.59637827410949296"/>
    <s v="30RVL"/>
    <x v="2"/>
    <x v="6"/>
    <n v="0.12632865891931702"/>
    <x v="2"/>
    <x v="2"/>
  </r>
  <r>
    <s v="31/12/2025"/>
    <s v="30"/>
    <x v="0"/>
    <s v="ACC"/>
    <s v="302030100001"/>
    <x v="56"/>
    <s v="PEP701011004"/>
    <s v="ACC_SOL EDEL"/>
    <s v="2030"/>
    <s v="1"/>
    <n v="1"/>
    <n v="25018740.0391992"/>
    <n v="25018740.0391992"/>
    <n v="20850771"/>
    <m/>
    <m/>
    <n v="1"/>
    <x v="1"/>
    <n v="25018740.0391992"/>
    <n v="25018740.0391992"/>
    <s v="GENE"/>
    <n v="6803800000"/>
    <n v="3267830000"/>
    <n v="3535970000"/>
    <n v="0"/>
    <s v="1"/>
    <n v="26256910350.436607"/>
    <n v="9.5284402107055903E-4"/>
    <n v="7.4440596385489597"/>
    <n v="0"/>
    <n v="0"/>
    <n v="7.4440596385489597"/>
    <n v="0"/>
    <n v="8.6202650393892117"/>
    <x v="23"/>
    <x v="157"/>
    <n v="0.28128230136423721"/>
    <s v="30RVL"/>
    <x v="2"/>
    <x v="6"/>
    <n v="0.20371947144446068"/>
    <x v="2"/>
    <x v="2"/>
  </r>
  <r>
    <s v="31/12/2025"/>
    <s v="30"/>
    <x v="3"/>
    <s v="ACC"/>
    <s v="302030100001"/>
    <x v="56"/>
    <s v="PEP701011004"/>
    <s v="ACC_SOL EDEL"/>
    <s v="2030"/>
    <s v="1"/>
    <n v="1"/>
    <n v="1813811.9799184001"/>
    <n v="1813811.9799184001"/>
    <n v="1511642"/>
    <m/>
    <m/>
    <n v="1"/>
    <x v="1"/>
    <n v="1813811.9799184001"/>
    <n v="1813811.9799184001"/>
    <s v="GENE"/>
    <n v="6803800000"/>
    <n v="3267830000"/>
    <n v="3535970000"/>
    <n v="0"/>
    <s v="1"/>
    <n v="3164069580.822104"/>
    <n v="5.7325287373962449E-4"/>
    <n v="0.53968043676348598"/>
    <n v="0"/>
    <n v="0"/>
    <n v="0"/>
    <n v="0.53968043676348598"/>
    <n v="8.6202650393892117"/>
    <x v="23"/>
    <x v="158"/>
    <n v="0.16922590059176504"/>
    <s v="30RVL"/>
    <x v="2"/>
    <x v="6"/>
    <n v="1.4769281637271229E-2"/>
    <x v="2"/>
    <x v="2"/>
  </r>
  <r>
    <s v="31/12/2025"/>
    <s v="30"/>
    <x v="1"/>
    <s v="ACC"/>
    <s v="302030100001"/>
    <x v="56"/>
    <s v="PEP701011004"/>
    <s v="ACC_SOL EDEL"/>
    <s v="2030"/>
    <s v="1"/>
    <n v="1"/>
    <n v="2139296.7517655999"/>
    <n v="2139296.7517655999"/>
    <n v="1782903"/>
    <m/>
    <m/>
    <n v="1"/>
    <x v="1"/>
    <n v="2139296.7517655999"/>
    <n v="2139296.7517655999"/>
    <s v="GENE"/>
    <n v="6803800000"/>
    <n v="3267830000"/>
    <n v="3535970000"/>
    <n v="0"/>
    <s v="1"/>
    <n v="7679510866.0565634"/>
    <n v="2.7857200661324553E-4"/>
    <n v="0.63652496407676507"/>
    <n v="0"/>
    <n v="0.63652496407676507"/>
    <n v="0"/>
    <n v="0"/>
    <n v="8.6202650393892117"/>
    <x v="23"/>
    <x v="159"/>
    <n v="8.2235259269181862E-2"/>
    <s v="30RVL"/>
    <x v="2"/>
    <x v="6"/>
    <n v="1.7419598383040285E-2"/>
    <x v="2"/>
    <x v="2"/>
  </r>
  <r>
    <s v="31/12/2025"/>
    <s v="30"/>
    <x v="1"/>
    <s v="ACC"/>
    <s v="302061100001"/>
    <x v="57"/>
    <s v="PEP702101002"/>
    <s v="ACCNLB"/>
    <s v="2061"/>
    <s v="1"/>
    <n v="1"/>
    <n v="11479549.081369"/>
    <n v="11479549.081369"/>
    <n v="2744470"/>
    <m/>
    <m/>
    <n v="1"/>
    <x v="1"/>
    <n v="11269229.092941999"/>
    <n v="11269229.092941999"/>
    <s v="GENG"/>
    <n v="2350760000"/>
    <n v="1139686000"/>
    <n v="1211074000"/>
    <n v="7.6634099999999997E-2"/>
    <s v="1"/>
    <n v="7679510866.0565634"/>
    <n v="1.4948281578854982E-3"/>
    <n v="3.4156175671305302"/>
    <n v="0"/>
    <n v="3.4156175671305302"/>
    <n v="0"/>
    <n v="0"/>
    <n v="65.55503731960745"/>
    <x v="23"/>
    <x v="160"/>
    <n v="0.44127758069120543"/>
    <s v="30RVL"/>
    <x v="2"/>
    <x v="6"/>
    <n v="9.3474238415408667E-2"/>
    <x v="2"/>
    <x v="2"/>
  </r>
  <r>
    <s v="31/12/2025"/>
    <s v="30"/>
    <x v="3"/>
    <s v="ACC"/>
    <s v="302061100001"/>
    <x v="57"/>
    <s v="PEP702101002"/>
    <s v="ACCNLB"/>
    <s v="2061"/>
    <s v="1"/>
    <n v="1"/>
    <n v="30756764.883895501"/>
    <n v="30756764.883895501"/>
    <n v="7353165"/>
    <m/>
    <m/>
    <n v="1"/>
    <x v="1"/>
    <n v="30193261.701969001"/>
    <n v="30193261.701969001"/>
    <s v="GENG"/>
    <n v="2350760000"/>
    <n v="1139686000"/>
    <n v="1211074000"/>
    <n v="7.6634099999999997E-2"/>
    <s v="1"/>
    <n v="3164069580.822104"/>
    <n v="9.7206348021917164E-3"/>
    <n v="9.1513478187079347"/>
    <n v="0"/>
    <n v="0"/>
    <n v="0"/>
    <n v="9.1513478187079347"/>
    <n v="65.55503731960745"/>
    <x v="23"/>
    <x v="161"/>
    <n v="2.86955941100386"/>
    <s v="30RVL"/>
    <x v="2"/>
    <x v="6"/>
    <n v="0.25044234344621674"/>
    <x v="2"/>
    <x v="2"/>
  </r>
  <r>
    <s v="31/12/2025"/>
    <s v="30"/>
    <x v="0"/>
    <s v="ACC"/>
    <s v="302061100001"/>
    <x v="57"/>
    <s v="PEP702101002"/>
    <s v="ACCNLB"/>
    <s v="2061"/>
    <s v="1"/>
    <n v="1"/>
    <n v="178087610.96220419"/>
    <n v="178087610.96220419"/>
    <n v="42576246"/>
    <m/>
    <m/>
    <n v="1"/>
    <x v="1"/>
    <n v="174824818.66861561"/>
    <n v="174824818.66861561"/>
    <s v="GENG"/>
    <n v="2350760000"/>
    <n v="1139686000"/>
    <n v="1211074000"/>
    <n v="7.6634099999999997E-2"/>
    <s v="1"/>
    <n v="26256910350.436607"/>
    <n v="6.7825044373220744E-3"/>
    <n v="52.988071933768985"/>
    <n v="0"/>
    <n v="0"/>
    <n v="52.988071933768985"/>
    <n v="0"/>
    <n v="65.55503731960745"/>
    <x v="23"/>
    <x v="162"/>
    <n v="2.0022148588387161"/>
    <s v="30RVL"/>
    <x v="2"/>
    <x v="6"/>
    <n v="1.4501095546451919"/>
    <x v="2"/>
    <x v="2"/>
  </r>
  <r>
    <s v="31/12/2025"/>
    <s v="30"/>
    <x v="0"/>
    <s v="ACC"/>
    <s v="302029100001"/>
    <x v="58"/>
    <s v="PEP736581005"/>
    <s v="ACC_SOL GM"/>
    <s v="2029"/>
    <s v="1"/>
    <n v="1"/>
    <n v="22132282.7332476"/>
    <n v="22132282.7332476"/>
    <n v="67207682"/>
    <m/>
    <m/>
    <n v="1"/>
    <x v="1"/>
    <n v="22132282.7332476"/>
    <n v="22132282.7332476"/>
    <s v="GGRA"/>
    <n v="2661442000"/>
    <n v="1470849000"/>
    <n v="1190593000"/>
    <n v="0"/>
    <s v="1"/>
    <n v="26256910350.436607"/>
    <n v="8.429126823323894E-4"/>
    <n v="6.5852250091486209"/>
    <n v="0"/>
    <n v="0"/>
    <n v="6.5852250091486209"/>
    <n v="0"/>
    <n v="17.572722965478889"/>
    <x v="37"/>
    <x v="163"/>
    <n v="0.10811198063595226"/>
    <s v="30RVL"/>
    <x v="2"/>
    <x v="6"/>
    <n v="7.8300395883955889E-2"/>
    <x v="1"/>
    <x v="1"/>
  </r>
  <r>
    <s v="31/12/2025"/>
    <s v="30"/>
    <x v="3"/>
    <s v="ACC"/>
    <s v="302029100001"/>
    <x v="58"/>
    <s v="PEP736581005"/>
    <s v="ACC_SOL GM"/>
    <s v="2029"/>
    <s v="1"/>
    <n v="1"/>
    <n v="33775323.707712598"/>
    <n v="33775323.707712598"/>
    <n v="102563357"/>
    <m/>
    <m/>
    <n v="1"/>
    <x v="1"/>
    <n v="33775323.707712598"/>
    <n v="33775323.707712598"/>
    <s v="GGRA"/>
    <n v="2661442000"/>
    <n v="1470849000"/>
    <n v="1190593000"/>
    <n v="0"/>
    <s v="1"/>
    <n v="3164069580.822104"/>
    <n v="1.0674646320178878E-2"/>
    <n v="10.049487847812371"/>
    <n v="0"/>
    <n v="0"/>
    <n v="0"/>
    <n v="10.049487847812371"/>
    <n v="17.572722965478889"/>
    <x v="37"/>
    <x v="164"/>
    <n v="1.3691301370261428"/>
    <s v="30RVL"/>
    <x v="2"/>
    <x v="6"/>
    <n v="0.11949157026852225"/>
    <x v="1"/>
    <x v="1"/>
  </r>
  <r>
    <s v="31/12/2025"/>
    <s v="30"/>
    <x v="1"/>
    <s v="ACC"/>
    <s v="302029100001"/>
    <x v="58"/>
    <s v="PEP736581005"/>
    <s v="ACC_SOL GM"/>
    <s v="2029"/>
    <s v="1"/>
    <n v="1"/>
    <n v="3152558.1737178001"/>
    <n v="3152558.1737178001"/>
    <n v="9573171"/>
    <m/>
    <m/>
    <n v="1"/>
    <x v="1"/>
    <n v="3152558.1737178001"/>
    <n v="3152558.1737178001"/>
    <s v="GGRA"/>
    <n v="2661442000"/>
    <n v="1470849000"/>
    <n v="1190593000"/>
    <n v="0"/>
    <s v="1"/>
    <n v="7679510866.0565634"/>
    <n v="4.1051549098681617E-4"/>
    <n v="0.93801010851789701"/>
    <n v="0"/>
    <n v="0.93801010851789701"/>
    <n v="0"/>
    <n v="0"/>
    <n v="17.572722965478889"/>
    <x v="37"/>
    <x v="165"/>
    <n v="5.2652716873969038E-2"/>
    <s v="30RVL"/>
    <x v="2"/>
    <x v="6"/>
    <n v="1.1153235119235418E-2"/>
    <x v="1"/>
    <x v="1"/>
  </r>
  <r>
    <s v="31/12/2025"/>
    <s v="30"/>
    <x v="1"/>
    <s v="ACC"/>
    <s v="300013200002"/>
    <x v="59"/>
    <s v="PAL2400671A3"/>
    <s v="IFS US"/>
    <s v="0013"/>
    <s v="2"/>
    <n v="9.7200000000000006"/>
    <n v="3686042.7420839998"/>
    <n v="1096742.76"/>
    <n v="25891"/>
    <m/>
    <m/>
    <n v="3.3609"/>
    <x v="1"/>
    <n v="3670494.9894559998"/>
    <n v="1091564.56"/>
    <s v="GITC"/>
    <n v="11377231000"/>
    <n v="1127997000"/>
    <n v="10249234000"/>
    <n v="0.2"/>
    <s v="2"/>
    <n v="7679510866.0565634"/>
    <n v="4.7998405189792853E-4"/>
    <n v="1.0967427599999999"/>
    <n v="0"/>
    <n v="1.0967427599999999"/>
    <n v="0"/>
    <n v="0"/>
    <n v="107.38844567999999"/>
    <x v="29"/>
    <x v="166"/>
    <n v="3.4078867684752921E-4"/>
    <s v="30RVL"/>
    <x v="2"/>
    <x v="6"/>
    <n v="7.2188036335362528E-5"/>
    <x v="1"/>
    <x v="1"/>
  </r>
  <r>
    <s v="31/12/2025"/>
    <s v="30"/>
    <x v="0"/>
    <s v="ACC"/>
    <s v="300013200002"/>
    <x v="59"/>
    <s v="PAL2400671A3"/>
    <s v="IFS US"/>
    <s v="0013"/>
    <s v="2"/>
    <n v="9.7200000000000006"/>
    <n v="340025662.02808797"/>
    <n v="101171014.31999999"/>
    <n v="2388362"/>
    <m/>
    <m/>
    <n v="3.3609"/>
    <x v="1"/>
    <n v="338591431.54019201"/>
    <n v="100693341.92"/>
    <s v="GITC"/>
    <n v="11377231000"/>
    <n v="1127997000"/>
    <n v="10249234000"/>
    <n v="0.2"/>
    <s v="2"/>
    <n v="26256910350.436607"/>
    <n v="1.2949949460540164E-2"/>
    <n v="101.17101432"/>
    <n v="0"/>
    <n v="0"/>
    <n v="101.17101432"/>
    <n v="0"/>
    <n v="107.38844567999999"/>
    <x v="29"/>
    <x v="167"/>
    <n v="9.194464116983516E-3"/>
    <s v="30RVL"/>
    <x v="2"/>
    <x v="6"/>
    <n v="6.6591156323818753E-3"/>
    <x v="1"/>
    <x v="1"/>
  </r>
  <r>
    <s v="31/12/2025"/>
    <s v="30"/>
    <x v="3"/>
    <s v="ACC"/>
    <s v="300013200002"/>
    <x v="59"/>
    <s v="PAL2400671A3"/>
    <s v="IFS US"/>
    <s v="0013"/>
    <s v="2"/>
    <n v="9.7200000000000006"/>
    <n v="17210122.31574"/>
    <n v="5120688.5999999996"/>
    <n v="120885"/>
    <m/>
    <m/>
    <n v="3.3609"/>
    <x v="1"/>
    <n v="17137529.906160001"/>
    <n v="5096511.5999999996"/>
    <s v="GITC"/>
    <n v="11377231000"/>
    <n v="1127997000"/>
    <n v="10249234000"/>
    <n v="0.2"/>
    <s v="2"/>
    <n v="3164069580.822104"/>
    <n v="5.4392363619476351E-3"/>
    <n v="5.1206886000000003"/>
    <n v="0"/>
    <n v="0"/>
    <n v="0"/>
    <n v="5.1206886000000003"/>
    <n v="107.38844567999999"/>
    <x v="29"/>
    <x v="168"/>
    <n v="3.8618578169828206E-3"/>
    <s v="30RVL"/>
    <x v="2"/>
    <x v="6"/>
    <n v="3.3704572138582137E-4"/>
    <x v="1"/>
    <x v="1"/>
  </r>
  <r>
    <s v="31/12/2025"/>
    <s v="30"/>
    <x v="0"/>
    <s v="ACC"/>
    <s v="302845100002"/>
    <x v="60"/>
    <s v="PEP620001003"/>
    <s v="ACC_SOL MILP"/>
    <s v="2845"/>
    <s v="1"/>
    <n v="1"/>
    <n v="229890569.86023879"/>
    <n v="229890569.86023879"/>
    <n v="97915123"/>
    <m/>
    <m/>
    <n v="1"/>
    <x v="1"/>
    <n v="229890569.86023879"/>
    <n v="229890569.86023879"/>
    <s v="GMIL"/>
    <n v="1000143000"/>
    <n v="200866000"/>
    <n v="799277000"/>
    <n v="0"/>
    <s v="1"/>
    <n v="26256910350.436607"/>
    <n v="8.7554311147814128E-3"/>
    <n v="68.401490630556921"/>
    <n v="0"/>
    <n v="0"/>
    <n v="68.401490630556921"/>
    <n v="0"/>
    <n v="83.092252044235522"/>
    <x v="38"/>
    <x v="169"/>
    <n v="2.4323463179974243"/>
    <s v="30RVL"/>
    <x v="2"/>
    <x v="6"/>
    <n v="1.7616334332769228"/>
    <x v="1"/>
    <x v="1"/>
  </r>
  <r>
    <s v="31/12/2025"/>
    <s v="30"/>
    <x v="3"/>
    <s v="ACC"/>
    <s v="302845100002"/>
    <x v="60"/>
    <s v="PEP620001003"/>
    <s v="ACC_SOL MILP"/>
    <s v="2845"/>
    <s v="1"/>
    <n v="1"/>
    <n v="27987948.4231508"/>
    <n v="27987948.4231508"/>
    <n v="11920643"/>
    <m/>
    <m/>
    <n v="1"/>
    <x v="1"/>
    <n v="27987948.4231508"/>
    <n v="27987948.4231508"/>
    <s v="GMIL"/>
    <n v="1000143000"/>
    <n v="200866000"/>
    <n v="799277000"/>
    <n v="0"/>
    <s v="1"/>
    <n v="3164069580.822104"/>
    <n v="8.8455540272533561E-3"/>
    <n v="8.3275159698743799"/>
    <n v="0"/>
    <n v="0"/>
    <n v="0"/>
    <n v="8.3275159698743799"/>
    <n v="83.092252044235522"/>
    <x v="38"/>
    <x v="170"/>
    <n v="2.457383364311255"/>
    <s v="30RVL"/>
    <x v="2"/>
    <x v="6"/>
    <n v="0.21446945692912547"/>
    <x v="1"/>
    <x v="1"/>
  </r>
  <r>
    <s v="31/12/2025"/>
    <s v="30"/>
    <x v="1"/>
    <s v="ACC"/>
    <s v="302845100002"/>
    <x v="60"/>
    <s v="PEP620001003"/>
    <s v="ACC_SOL MILP"/>
    <s v="2845"/>
    <s v="1"/>
    <n v="1"/>
    <n v="21386231.612081598"/>
    <n v="21386231.612081598"/>
    <n v="9108836"/>
    <m/>
    <m/>
    <n v="1"/>
    <x v="1"/>
    <n v="21386231.612081598"/>
    <n v="21386231.612081598"/>
    <s v="GMIL"/>
    <n v="1000143000"/>
    <n v="200866000"/>
    <n v="799277000"/>
    <n v="0"/>
    <s v="1"/>
    <n v="7679510866.0565634"/>
    <n v="2.7848429392305098E-3"/>
    <n v="6.3632454438042183"/>
    <n v="0"/>
    <n v="6.3632454438042183"/>
    <n v="0"/>
    <n v="0"/>
    <n v="83.092252044235522"/>
    <x v="38"/>
    <x v="171"/>
    <n v="0.7736572169476279"/>
    <s v="30RVL"/>
    <x v="2"/>
    <x v="6"/>
    <n v="0.16388101801022537"/>
    <x v="1"/>
    <x v="1"/>
  </r>
  <r>
    <s v="31/12/2025"/>
    <s v="30"/>
    <x v="3"/>
    <s v="ACC"/>
    <s v="302043100002"/>
    <x v="61"/>
    <s v="PEP648014202"/>
    <s v="ACC_SOL VCM"/>
    <s v="2043"/>
    <s v="1"/>
    <n v="0.66"/>
    <n v="26371648.897955999"/>
    <n v="26371648.897955999"/>
    <n v="35930684"/>
    <m/>
    <m/>
    <n v="1"/>
    <x v="1"/>
    <n v="27221495.808197599"/>
    <n v="27221495.808197599"/>
    <s v="GVOL"/>
    <n v="1998706000"/>
    <n v="1233496000"/>
    <n v="765210000"/>
    <n v="-2.3652400000000001E-2"/>
    <s v="1"/>
    <n v="3164069580.822104"/>
    <n v="8.3347247032108523E-3"/>
    <n v="7.8466032604231009"/>
    <n v="0"/>
    <n v="0"/>
    <n v="0"/>
    <n v="7.8466032604231009"/>
    <n v="26.079329759437652"/>
    <x v="39"/>
    <x v="172"/>
    <n v="1.3458913450744883"/>
    <s v="30RVL"/>
    <x v="2"/>
    <x v="6"/>
    <n v="0.11746339218204892"/>
    <x v="1"/>
    <x v="1"/>
  </r>
  <r>
    <s v="31/12/2025"/>
    <s v="30"/>
    <x v="1"/>
    <s v="ACC"/>
    <s v="302043100002"/>
    <x v="61"/>
    <s v="PEP648014202"/>
    <s v="ACC_SOL VCM"/>
    <s v="2043"/>
    <s v="1"/>
    <n v="0.66"/>
    <n v="3307980.3694830001"/>
    <n v="3307980.3694830001"/>
    <n v="4507037"/>
    <m/>
    <m/>
    <n v="1"/>
    <x v="1"/>
    <n v="3414582.6114218002"/>
    <n v="3414582.6114218002"/>
    <s v="GVOL"/>
    <n v="1998706000"/>
    <n v="1233496000"/>
    <n v="765210000"/>
    <n v="-2.3652400000000001E-2"/>
    <s v="1"/>
    <n v="7679510866.0565634"/>
    <n v="4.3075404504006536E-4"/>
    <n v="0.98425432755601183"/>
    <n v="0"/>
    <n v="0.98425432755601183"/>
    <n v="0"/>
    <n v="0"/>
    <n v="26.079329759437652"/>
    <x v="39"/>
    <x v="173"/>
    <n v="6.9558163193069747E-2"/>
    <s v="30RVL"/>
    <x v="2"/>
    <x v="6"/>
    <n v="1.4734254842184614E-2"/>
    <x v="1"/>
    <x v="1"/>
  </r>
  <r>
    <s v="31/12/2025"/>
    <s v="30"/>
    <x v="1"/>
    <s v="ACC"/>
    <s v="302043100001"/>
    <x v="62"/>
    <s v="PEP648011109"/>
    <s v="VOLCANC1A"/>
    <s v="2043"/>
    <s v="1"/>
    <n v="0.66"/>
    <n v="50.92"/>
    <n v="50.92"/>
    <n v="67"/>
    <m/>
    <m/>
    <n v="1"/>
    <x v="1"/>
    <n v="50.92"/>
    <n v="50.92"/>
    <s v="GVOL"/>
    <n v="1998706000"/>
    <n v="1233496000"/>
    <n v="765210000"/>
    <n v="0"/>
    <s v="1"/>
    <n v="7679510866.0565634"/>
    <n v="6.6306306336600674E-9"/>
    <n v="1.5150703680561754E-5"/>
    <n v="0"/>
    <n v="1.5150703680561754E-5"/>
    <n v="0"/>
    <n v="0"/>
    <n v="2.2612990568002619E-4"/>
    <x v="39"/>
    <x v="174"/>
    <n v="1.0707142347234277E-6"/>
    <s v="30RVL"/>
    <x v="2"/>
    <x v="6"/>
    <n v="2.2680553472610208E-7"/>
    <x v="1"/>
    <x v="1"/>
  </r>
  <r>
    <s v="31/12/2025"/>
    <s v="30"/>
    <x v="0"/>
    <s v="ACC"/>
    <s v="302043100002"/>
    <x v="61"/>
    <s v="PEP648014202"/>
    <s v="ACC_SOL VCM"/>
    <s v="2043"/>
    <s v="1"/>
    <n v="0.66"/>
    <n v="57970390.121055"/>
    <n v="57970390.121055"/>
    <n v="78983145"/>
    <m/>
    <m/>
    <n v="1"/>
    <x v="1"/>
    <n v="59838531.059853002"/>
    <n v="59838531.059853002"/>
    <s v="GVOL"/>
    <n v="1998706000"/>
    <n v="1233496000"/>
    <n v="765210000"/>
    <n v="-2.3652400000000001E-2"/>
    <s v="1"/>
    <n v="26256910350.436607"/>
    <n v="2.2078146037502488E-3"/>
    <n v="17.248472171458538"/>
    <n v="0"/>
    <n v="0"/>
    <n v="17.248472171458538"/>
    <n v="0"/>
    <n v="26.079329759437652"/>
    <x v="39"/>
    <x v="175"/>
    <n v="0.35651790221359014"/>
    <s v="30RVL"/>
    <x v="2"/>
    <x v="6"/>
    <n v="0.25820905989172477"/>
    <x v="1"/>
    <x v="1"/>
  </r>
  <r>
    <s v="31/12/2025"/>
    <s v="30"/>
    <x v="3"/>
    <s v="ACC"/>
    <s v="302043100001"/>
    <x v="62"/>
    <s v="PEP648011109"/>
    <s v="VOLCANC1A"/>
    <s v="2043"/>
    <s v="1"/>
    <n v="0.66"/>
    <n v="352.64"/>
    <n v="352.64"/>
    <n v="464"/>
    <m/>
    <m/>
    <n v="1"/>
    <x v="1"/>
    <n v="352.64"/>
    <n v="352.64"/>
    <s v="GVOL"/>
    <n v="1998706000"/>
    <n v="1233496000"/>
    <n v="765210000"/>
    <n v="0"/>
    <s v="1"/>
    <n v="3164069580.822104"/>
    <n v="1.1145140490506386E-7"/>
    <n v="1.0492427623553214E-4"/>
    <n v="0"/>
    <n v="0"/>
    <n v="0"/>
    <n v="1.0492427623553214E-4"/>
    <n v="2.2612990568002619E-4"/>
    <x v="39"/>
    <x v="176"/>
    <n v="1.7997172864069712E-5"/>
    <s v="30RVL"/>
    <x v="2"/>
    <x v="6"/>
    <n v="1.5707129569091247E-6"/>
    <x v="1"/>
    <x v="1"/>
  </r>
  <r>
    <s v="31/12/2025"/>
    <s v="30"/>
    <x v="0"/>
    <s v="ACC"/>
    <s v="302043100001"/>
    <x v="62"/>
    <s v="PEP648011109"/>
    <s v="VOLCANC1A"/>
    <s v="2043"/>
    <s v="1"/>
    <n v="0.66"/>
    <n v="356.44"/>
    <n v="356.44"/>
    <n v="469"/>
    <m/>
    <m/>
    <n v="1"/>
    <x v="1"/>
    <n v="356.44"/>
    <n v="356.44"/>
    <s v="GVOL"/>
    <n v="1998706000"/>
    <n v="1233496000"/>
    <n v="765210000"/>
    <n v="0"/>
    <s v="1"/>
    <n v="26256910350.436607"/>
    <n v="1.3575093003814632E-8"/>
    <n v="1.0605492576393228E-4"/>
    <n v="0"/>
    <n v="0"/>
    <n v="1.0605492576393228E-4"/>
    <n v="0"/>
    <n v="2.2612990568002619E-4"/>
    <x v="39"/>
    <x v="177"/>
    <n v="2.1921060182559867E-6"/>
    <s v="30RVL"/>
    <x v="2"/>
    <x v="6"/>
    <n v="1.5876387430827146E-6"/>
    <x v="1"/>
    <x v="1"/>
  </r>
  <r>
    <s v="31/12/2025"/>
    <s v="31"/>
    <x v="0"/>
    <s v="ACT"/>
    <s v="312025100001"/>
    <x v="63"/>
    <s v="PEP294015008"/>
    <s v="ACI_SOL ELCO"/>
    <s v="2025"/>
    <s v="1"/>
    <n v="1"/>
    <n v="1239584.192"/>
    <n v="1239584.192"/>
    <n v="4024624"/>
    <m/>
    <m/>
    <n v="1"/>
    <x v="1"/>
    <n v="1239584.192"/>
    <n v="1239584.192"/>
    <s v="GCOM"/>
    <n v="1038594000"/>
    <n v="131779000"/>
    <n v="906815000"/>
    <n v="0"/>
    <s v="1"/>
    <n v="26256910350.436607"/>
    <n v="4.720982687817982E-5"/>
    <n v="0.3688250742360677"/>
    <n v="0"/>
    <n v="0"/>
    <n v="0.3688250742360677"/>
    <n v="0"/>
    <n v="0.55483447528935703"/>
    <x v="19"/>
    <x v="178"/>
    <n v="2.0007361521020742E-4"/>
    <s v="31RVL"/>
    <x v="2"/>
    <x v="6"/>
    <n v="1.4490385972712333E-4"/>
    <x v="2"/>
    <x v="2"/>
  </r>
  <r>
    <s v="31/12/2025"/>
    <s v="31"/>
    <x v="1"/>
    <s v="ACT"/>
    <s v="312025100001"/>
    <x v="63"/>
    <s v="PEP294015008"/>
    <s v="ACI_SOL ELCO"/>
    <s v="2025"/>
    <s v="1"/>
    <n v="1"/>
    <n v="436311.87599999999"/>
    <n v="436311.87599999999"/>
    <n v="1416597"/>
    <m/>
    <m/>
    <n v="1"/>
    <x v="1"/>
    <n v="436311.87599999999"/>
    <n v="436311.87599999999"/>
    <s v="GCOM"/>
    <n v="1038594000"/>
    <n v="131779000"/>
    <n v="906815000"/>
    <n v="0"/>
    <s v="1"/>
    <n v="7679510866.0565634"/>
    <n v="5.6815060699828997E-5"/>
    <n v="0.12981995179862538"/>
    <n v="0"/>
    <n v="0.12981995179862538"/>
    <n v="0"/>
    <n v="0"/>
    <n v="0.55483447528935703"/>
    <x v="19"/>
    <x v="179"/>
    <n v="2.407802642855281E-4"/>
    <s v="31RVL"/>
    <x v="2"/>
    <x v="6"/>
    <n v="5.1003614990583902E-5"/>
    <x v="2"/>
    <x v="2"/>
  </r>
  <r>
    <s v="31/12/2025"/>
    <s v="31"/>
    <x v="3"/>
    <s v="ACT"/>
    <s v="312025100001"/>
    <x v="63"/>
    <s v="PEP294015008"/>
    <s v="ACI_SOL ELCO"/>
    <s v="2025"/>
    <s v="1"/>
    <n v="1"/>
    <n v="188847.12"/>
    <n v="188847.12"/>
    <n v="613140"/>
    <m/>
    <m/>
    <n v="1"/>
    <x v="1"/>
    <n v="188847.12"/>
    <n v="188847.12"/>
    <s v="GCOM"/>
    <n v="1038594000"/>
    <n v="131779000"/>
    <n v="906815000"/>
    <n v="0"/>
    <s v="1"/>
    <n v="3164069580.822104"/>
    <n v="5.968488213553534E-5"/>
    <n v="5.6189449254663931E-2"/>
    <n v="0"/>
    <n v="0"/>
    <n v="0"/>
    <n v="5.6189449254663931E-2"/>
    <n v="0.55483447528935703"/>
    <x v="19"/>
    <x v="180"/>
    <n v="2.5294246837772097E-4"/>
    <s v="31RVL"/>
    <x v="2"/>
    <x v="6"/>
    <n v="2.2075690189465751E-5"/>
    <x v="2"/>
    <x v="2"/>
  </r>
  <r>
    <s v="31/12/2025"/>
    <s v="31"/>
    <x v="3"/>
    <s v="ACT"/>
    <s v="312039100001"/>
    <x v="64"/>
    <s v="PEP622005002"/>
    <s v="ACI_SOL MIN"/>
    <s v="2039"/>
    <s v="1"/>
    <n v="1"/>
    <n v="175808877.27398109"/>
    <n v="175808877.27398109"/>
    <n v="32355671"/>
    <m/>
    <m/>
    <n v="1"/>
    <x v="1"/>
    <n v="173259036.85175249"/>
    <n v="173259036.85175249"/>
    <s v="GITU"/>
    <n v="2610762000"/>
    <n v="781816000"/>
    <n v="1828946000"/>
    <n v="7.8806600000000004E-2"/>
    <s v="1"/>
    <n v="3164069580.822104"/>
    <n v="5.5564162791989412E-2"/>
    <n v="52.310058994311369"/>
    <n v="0"/>
    <n v="0"/>
    <n v="0"/>
    <n v="52.310058994311369"/>
    <n v="309.41353339258967"/>
    <x v="25"/>
    <x v="181"/>
    <n v="6.3454273908451908"/>
    <s v="31RVL"/>
    <x v="2"/>
    <x v="6"/>
    <n v="0.55380059386020664"/>
    <x v="1"/>
    <x v="1"/>
  </r>
  <r>
    <s v="31/12/2025"/>
    <s v="31"/>
    <x v="0"/>
    <s v="ACT"/>
    <s v="312039100001"/>
    <x v="64"/>
    <s v="PEP622005002"/>
    <s v="ACI_SOL MIN"/>
    <s v="2039"/>
    <s v="1"/>
    <n v="1"/>
    <n v="797494857.21138704"/>
    <n v="797494857.21138704"/>
    <n v="146770070"/>
    <m/>
    <m/>
    <n v="1"/>
    <x v="1"/>
    <n v="785928407.01292503"/>
    <n v="785928407.01292503"/>
    <s v="GITU"/>
    <n v="2610762000"/>
    <n v="781816000"/>
    <n v="1828946000"/>
    <n v="7.8806600000000004E-2"/>
    <s v="1"/>
    <n v="26256910350.436607"/>
    <n v="3.037276079202236E-2"/>
    <n v="237.28610110725907"/>
    <n v="0"/>
    <n v="0"/>
    <n v="237.28610110725907"/>
    <n v="0"/>
    <n v="309.41353339258967"/>
    <x v="25"/>
    <x v="182"/>
    <n v="3.4685692824489536"/>
    <s v="31RVL"/>
    <x v="2"/>
    <x v="6"/>
    <n v="2.5121207323100827"/>
    <x v="1"/>
    <x v="1"/>
  </r>
  <r>
    <s v="31/12/2025"/>
    <s v="31"/>
    <x v="1"/>
    <s v="ACT"/>
    <s v="312039100001"/>
    <x v="64"/>
    <s v="PEP622005002"/>
    <s v="ACI_SOL MIN"/>
    <s v="2039"/>
    <s v="1"/>
    <n v="1"/>
    <n v="66604209.893786497"/>
    <n v="66604209.893786497"/>
    <n v="12257765"/>
    <m/>
    <m/>
    <n v="1"/>
    <x v="1"/>
    <n v="65638217.110537499"/>
    <n v="65638217.110537499"/>
    <s v="GITU"/>
    <n v="2610762000"/>
    <n v="781816000"/>
    <n v="1828946000"/>
    <n v="7.8806600000000004E-2"/>
    <s v="1"/>
    <n v="7679510866.0565634"/>
    <n v="8.6729755391293326E-3"/>
    <n v="19.817373291019219"/>
    <n v="0"/>
    <n v="19.817373291019219"/>
    <n v="0"/>
    <n v="0"/>
    <n v="309.41353339258967"/>
    <x v="25"/>
    <x v="183"/>
    <n v="0.99045380656856985"/>
    <s v="31RVL"/>
    <x v="2"/>
    <x v="6"/>
    <n v="0.20980425769562489"/>
    <x v="1"/>
    <x v="1"/>
  </r>
  <r>
    <s v="31/12/2025"/>
    <s v="32"/>
    <x v="3"/>
    <s v="ADR"/>
    <s v="3221282L1089"/>
    <x v="65"/>
    <s v="US34988L7029"/>
    <s v="ADR FOSSAL"/>
    <s v="2128"/>
    <s v="2"/>
    <n v="1"/>
    <n v="4292.4089395000001"/>
    <n v="1277.160564"/>
    <n v="255"/>
    <d v="2090-03-03T00:00:00"/>
    <n v="23438"/>
    <n v="3.3609"/>
    <x v="1"/>
    <n v="4293.4307691000004"/>
    <n v="1276.8187620000001"/>
    <s v="GHOC"/>
    <n v="4617000"/>
    <n v="95000"/>
    <n v="4522000"/>
    <n v="1.3404000000000001E-3"/>
    <s v="2"/>
    <n v="3164069580.822104"/>
    <n v="1.356610159750256E-6"/>
    <n v="1.277160563985837E-3"/>
    <n v="0"/>
    <n v="0"/>
    <n v="0"/>
    <n v="1.277160563985837E-3"/>
    <n v="3.8915833655568449E-3"/>
    <x v="32"/>
    <x v="184"/>
    <n v="3.6233814264341658E-4"/>
    <s v="32RVL"/>
    <x v="2"/>
    <x v="6"/>
    <n v="3.1623256593186022E-5"/>
    <x v="2"/>
    <x v="2"/>
  </r>
  <r>
    <s v="31/12/2025"/>
    <s v="32"/>
    <x v="0"/>
    <s v="ADR"/>
    <s v="3221282L1089"/>
    <x v="65"/>
    <s v="US34988L7029"/>
    <s v="ADR FOSSAL"/>
    <s v="2128"/>
    <s v="2"/>
    <n v="1"/>
    <n v="8096.6615683"/>
    <n v="2409.0754167999999"/>
    <n v="481"/>
    <d v="2090-03-03T00:00:00"/>
    <n v="23438"/>
    <n v="3.3609"/>
    <x v="1"/>
    <n v="8098.5890192999996"/>
    <n v="2408.4306843999998"/>
    <s v="GHOC"/>
    <n v="4617000"/>
    <n v="95000"/>
    <n v="4522000"/>
    <n v="1.3404000000000001E-3"/>
    <s v="2"/>
    <n v="26256910350.436607"/>
    <n v="3.0836307319628588E-7"/>
    <n v="2.409075416793121E-3"/>
    <n v="0"/>
    <n v="0"/>
    <n v="2.409075416793121E-3"/>
    <n v="0"/>
    <n v="3.8915833655568449E-3"/>
    <x v="32"/>
    <x v="185"/>
    <n v="8.2360951227379339E-5"/>
    <s v="32RVL"/>
    <x v="2"/>
    <x v="6"/>
    <n v="5.9650142829206747E-5"/>
    <x v="2"/>
    <x v="2"/>
  </r>
  <r>
    <s v="31/12/2025"/>
    <s v="32"/>
    <x v="1"/>
    <s v="ADR"/>
    <s v="3221282L1089"/>
    <x v="65"/>
    <s v="US34988L7029"/>
    <s v="ADR FOSSAL"/>
    <s v="2128"/>
    <s v="2"/>
    <n v="1"/>
    <n v="690.15202550000004"/>
    <n v="205.34738479999999"/>
    <n v="41"/>
    <d v="2090-03-03T00:00:00"/>
    <n v="23438"/>
    <n v="3.3609"/>
    <x v="1"/>
    <n v="690.31631970000001"/>
    <n v="205.29242840000001"/>
    <s v="GHOC"/>
    <n v="4617000"/>
    <n v="95000"/>
    <n v="4522000"/>
    <n v="1.3404000000000001E-3"/>
    <s v="2"/>
    <n v="7679510866.0565634"/>
    <n v="8.9869268699191752E-8"/>
    <n v="2.0534738477788686E-4"/>
    <n v="0"/>
    <n v="2.0534738477788686E-4"/>
    <n v="0"/>
    <n v="0"/>
    <n v="3.8915833655568449E-3"/>
    <x v="32"/>
    <x v="186"/>
    <n v="2.4003258170484245E-5"/>
    <s v="32RVL"/>
    <x v="2"/>
    <x v="6"/>
    <n v="5.0845236086093473E-6"/>
    <x v="2"/>
    <x v="2"/>
  </r>
  <r>
    <s v="31/12/2025"/>
    <s v="32"/>
    <x v="1"/>
    <s v="ADR"/>
    <s v="3220082A1040"/>
    <x v="66"/>
    <s v="US2044481040"/>
    <s v="ADR_DOL BVN"/>
    <s v="2008"/>
    <s v="2"/>
    <n v="1"/>
    <n v="30889459.437902998"/>
    <n v="9190829.6699999999"/>
    <n v="330249"/>
    <m/>
    <m/>
    <n v="3.3609"/>
    <x v="1"/>
    <n v="31649115.690900002"/>
    <n v="9412096.5"/>
    <s v="GBUE"/>
    <n v="4052129000"/>
    <n v="932087000"/>
    <n v="3120042000"/>
    <n v="-0.67"/>
    <s v="2"/>
    <n v="7679510866.0565634"/>
    <n v="4.0223212098617379E-3"/>
    <n v="9.1908296699999994"/>
    <n v="0"/>
    <n v="9.1908296699999994"/>
    <n v="0"/>
    <n v="0"/>
    <n v="335.27791748000004"/>
    <x v="21"/>
    <x v="187"/>
    <n v="0.23490355865592549"/>
    <s v="32RVL"/>
    <x v="2"/>
    <x v="6"/>
    <n v="4.9758773631867675E-2"/>
    <x v="1"/>
    <x v="1"/>
  </r>
  <r>
    <s v="31/12/2025"/>
    <s v="32"/>
    <x v="3"/>
    <s v="ADR"/>
    <s v="3220082A1040"/>
    <x v="66"/>
    <s v="US2044481040"/>
    <s v="ADR_DOL BVN"/>
    <s v="2008"/>
    <s v="2"/>
    <n v="1"/>
    <n v="175338643.120047"/>
    <n v="52170145.829999998"/>
    <n v="1874601"/>
    <m/>
    <m/>
    <n v="3.3609"/>
    <x v="1"/>
    <n v="179756788.04280001"/>
    <n v="53457678"/>
    <s v="GBUE"/>
    <n v="4052129000"/>
    <n v="932087000"/>
    <n v="3120042000"/>
    <n v="-0.67"/>
    <s v="2"/>
    <n v="3164069580.822104"/>
    <n v="5.541554591049469E-2"/>
    <n v="52.170145829999996"/>
    <n v="0"/>
    <n v="0"/>
    <n v="0"/>
    <n v="52.170145829999996"/>
    <n v="335.27791748000004"/>
    <x v="21"/>
    <x v="188"/>
    <n v="3.23626788117289"/>
    <s v="32RVL"/>
    <x v="2"/>
    <x v="6"/>
    <n v="0.28244702272852534"/>
    <x v="1"/>
    <x v="1"/>
  </r>
  <r>
    <s v="31/12/2025"/>
    <s v="32"/>
    <x v="0"/>
    <s v="ADR"/>
    <s v="3220082A1040"/>
    <x v="66"/>
    <s v="US2044481040"/>
    <s v="ADR_DOL BVN"/>
    <s v="2008"/>
    <s v="2"/>
    <n v="1"/>
    <n v="920607450.30058205"/>
    <n v="273916941.98000002"/>
    <n v="9842506"/>
    <m/>
    <m/>
    <n v="3.3609"/>
    <x v="1"/>
    <n v="943247704.25460005"/>
    <n v="280511421"/>
    <s v="GBUE"/>
    <n v="4052129000"/>
    <n v="932087000"/>
    <n v="3120042000"/>
    <n v="-0.67"/>
    <s v="2"/>
    <n v="26256910350.436607"/>
    <n v="3.5061530013003758E-2"/>
    <n v="273.91694198000005"/>
    <n v="0"/>
    <n v="0"/>
    <n v="273.91694198000005"/>
    <n v="0"/>
    <n v="335.27791748000004"/>
    <x v="21"/>
    <x v="189"/>
    <n v="2.0475933527594194"/>
    <s v="32RVL"/>
    <x v="2"/>
    <x v="6"/>
    <n v="1.4829750522311937"/>
    <x v="1"/>
    <x v="1"/>
  </r>
  <r>
    <s v="31/12/2025"/>
    <s v="32"/>
    <x v="0"/>
    <s v="ADR"/>
    <s v="3220512Q1094"/>
    <x v="67"/>
    <s v="US15126Q2084"/>
    <s v="CPAC"/>
    <s v="2051"/>
    <s v="2"/>
    <n v="1"/>
    <n v="70666987.950702906"/>
    <n v="21026209.6315579"/>
    <n v="2023087"/>
    <m/>
    <m/>
    <n v="3.3609"/>
    <x v="1"/>
    <n v="70683811.109188795"/>
    <n v="21020582.6173761"/>
    <s v="GHOC"/>
    <n v="3144080000"/>
    <n v="1867883000"/>
    <n v="1276197000"/>
    <n v="2.7813999999999998E-3"/>
    <s v="2"/>
    <n v="26256910350.436607"/>
    <n v="2.6913672251437548E-3"/>
    <n v="21.02620963155789"/>
    <n v="0"/>
    <n v="0"/>
    <n v="21.02620963155789"/>
    <n v="0"/>
    <n v="29.116826148476456"/>
    <x v="35"/>
    <x v="190"/>
    <n v="6.7983397833686219"/>
    <s v="32RVL"/>
    <x v="2"/>
    <x v="6"/>
    <n v="4.9237160697654572"/>
    <x v="1"/>
    <x v="1"/>
  </r>
  <r>
    <s v="31/12/2025"/>
    <s v="32"/>
    <x v="3"/>
    <s v="ADR"/>
    <s v="3220512Q1094"/>
    <x v="67"/>
    <s v="US15126Q2084"/>
    <s v="CPAC"/>
    <s v="2051"/>
    <s v="2"/>
    <n v="1"/>
    <n v="20672855.301250201"/>
    <n v="6150987.9202744002"/>
    <n v="591832"/>
    <m/>
    <m/>
    <n v="3.3609"/>
    <x v="1"/>
    <n v="20677776.7324754"/>
    <n v="6149341.7987495996"/>
    <s v="GHOC"/>
    <n v="3144080000"/>
    <n v="1867883000"/>
    <n v="1276197000"/>
    <n v="2.7813999999999998E-3"/>
    <s v="2"/>
    <n v="3164069580.822104"/>
    <n v="6.5336285353999324E-3"/>
    <n v="6.1509879202743907"/>
    <n v="0"/>
    <n v="0"/>
    <n v="0"/>
    <n v="6.1509879202743907"/>
    <n v="29.116826148476456"/>
    <x v="35"/>
    <x v="191"/>
    <n v="16.503815007849521"/>
    <s v="32RVL"/>
    <x v="2"/>
    <x v="6"/>
    <n v="1.4403793455256384"/>
    <x v="1"/>
    <x v="1"/>
  </r>
  <r>
    <s v="31/12/2025"/>
    <s v="32"/>
    <x v="1"/>
    <s v="ADR"/>
    <s v="3220512Q1094"/>
    <x v="67"/>
    <s v="US15126Q2084"/>
    <s v="CPAC"/>
    <s v="2051"/>
    <s v="2"/>
    <n v="1"/>
    <n v="6518897.7504613996"/>
    <n v="1939628.5966441999"/>
    <n v="186626"/>
    <m/>
    <m/>
    <n v="3.3609"/>
    <x v="1"/>
    <n v="6520449.6554341996"/>
    <n v="1939109.5150878001"/>
    <s v="GHOC"/>
    <n v="3144080000"/>
    <n v="1867883000"/>
    <n v="1276197000"/>
    <n v="2.7813999999999998E-3"/>
    <s v="2"/>
    <n v="7679510866.0565634"/>
    <n v="8.4886887513564518E-4"/>
    <n v="1.9396285966441724"/>
    <n v="0"/>
    <n v="1.9396285966441724"/>
    <n v="0"/>
    <n v="0"/>
    <n v="29.116826148476456"/>
    <x v="35"/>
    <x v="192"/>
    <n v="2.144225801215137"/>
    <s v="32RVL"/>
    <x v="2"/>
    <x v="6"/>
    <n v="0.45420361815188159"/>
    <x v="1"/>
    <x v="1"/>
  </r>
  <r>
    <s v="31/12/2025"/>
    <s v="34"/>
    <x v="1"/>
    <s v="ACX"/>
    <s v="345874294721"/>
    <x v="68"/>
    <s v="LU2791994721"/>
    <s v="AUNA US"/>
    <s v="5874"/>
    <s v="2"/>
    <n v="1"/>
    <n v="6920527.2677838001"/>
    <n v="2059129.182"/>
    <n v="418965"/>
    <m/>
    <m/>
    <n v="3.3609"/>
    <x v="1"/>
    <n v="6679598.9558816999"/>
    <n v="1986438.7545"/>
    <s v="GENF"/>
    <n v="7900406000"/>
    <n v="6100902000"/>
    <n v="1799504000"/>
    <n v="0.17349999999999999"/>
    <s v="2"/>
    <n v="7679510866.0565634"/>
    <n v="9.0116771608105006E-4"/>
    <n v="2.0591291819999999"/>
    <n v="0"/>
    <n v="2.0591291819999999"/>
    <n v="0"/>
    <n v="0"/>
    <n v="44.215998199999973"/>
    <x v="40"/>
    <x v="193"/>
    <n v="2.7986245006924484E-3"/>
    <s v="34RVL"/>
    <x v="2"/>
    <x v="6"/>
    <n v="5.9282253452162196E-4"/>
    <x v="2"/>
    <x v="2"/>
  </r>
  <r>
    <s v="31/12/2025"/>
    <s v="34"/>
    <x v="3"/>
    <s v="ACX"/>
    <s v="345874294721"/>
    <x v="68"/>
    <s v="LU2791994721"/>
    <s v="AUNA US"/>
    <s v="5874"/>
    <s v="2"/>
    <n v="1"/>
    <n v="10165716.312413599"/>
    <n v="3024700.6195999999"/>
    <n v="615427"/>
    <m/>
    <m/>
    <n v="3.3609"/>
    <x v="1"/>
    <n v="9811811.3604272008"/>
    <n v="2917924.0351"/>
    <s v="GENF"/>
    <n v="7900406000"/>
    <n v="6100902000"/>
    <n v="1799504000"/>
    <n v="0.17349999999999999"/>
    <s v="2"/>
    <n v="3164069580.822104"/>
    <n v="3.2128611753766468E-3"/>
    <n v="3.0247006195999879"/>
    <n v="0"/>
    <n v="0"/>
    <n v="0"/>
    <n v="3.0247006195999879"/>
    <n v="44.215998199999973"/>
    <x v="40"/>
    <x v="194"/>
    <n v="9.9777120754333884E-3"/>
    <s v="34RVL"/>
    <x v="2"/>
    <x v="6"/>
    <n v="8.708101964437048E-4"/>
    <x v="2"/>
    <x v="2"/>
  </r>
  <r>
    <s v="31/12/2025"/>
    <s v="34"/>
    <x v="0"/>
    <s v="ACX"/>
    <s v="345874294721"/>
    <x v="68"/>
    <s v="LU2791994721"/>
    <s v="AUNA US"/>
    <s v="5874"/>
    <s v="2"/>
    <n v="1"/>
    <n v="131519304.77018251"/>
    <n v="39132168.398400001"/>
    <n v="7962108"/>
    <m/>
    <m/>
    <n v="3.3609"/>
    <x v="1"/>
    <n v="126940647.269861"/>
    <n v="37750742.660400003"/>
    <s v="GENF"/>
    <n v="7900406000"/>
    <n v="6100902000"/>
    <n v="1799504000"/>
    <n v="0.17349999999999999"/>
    <s v="2"/>
    <n v="26256910350.436607"/>
    <n v="5.0089406184835291E-3"/>
    <n v="39.132168398399983"/>
    <n v="0"/>
    <n v="0"/>
    <n v="39.132168398399983"/>
    <n v="0"/>
    <n v="44.215998199999973"/>
    <x v="40"/>
    <x v="195"/>
    <n v="1.5555532768487252E-2"/>
    <s v="34RVL"/>
    <x v="2"/>
    <x v="6"/>
    <n v="1.1266136896148558E-2"/>
    <x v="2"/>
    <x v="2"/>
  </r>
  <r>
    <s v="31/12/2025"/>
    <s v="34"/>
    <x v="0"/>
    <s v="ACX"/>
    <s v="3458857M1032"/>
    <x v="69"/>
    <s v="CA00461M1032"/>
    <s v="ARA CN"/>
    <s v="5885"/>
    <s v="7"/>
    <n v="1.7"/>
    <n v="4377382.6286139004"/>
    <n v="1786561.8737000001"/>
    <n v="831307"/>
    <m/>
    <m/>
    <n v="2.4501713000000001"/>
    <x v="1"/>
    <n v="4322839.2283297004"/>
    <n v="1759295.0041"/>
    <s v=""/>
    <n v="0"/>
    <n v="0"/>
    <n v="0"/>
    <n v="3.2800000000000003E-2"/>
    <s v="7"/>
    <n v="26256910350.436607"/>
    <n v="1.6671354588911532E-4"/>
    <n v="1.3024435801761136"/>
    <n v="0"/>
    <n v="0"/>
    <n v="1.3024435801761136"/>
    <n v="0"/>
    <n v="1.3024435801761136"/>
    <x v="32"/>
    <x v="196"/>
    <n v="4.4527660460747659E-2"/>
    <s v="34RVL"/>
    <x v="2"/>
    <x v="6"/>
    <n v="3.2249279139591282E-2"/>
    <x v="2"/>
    <x v="2"/>
  </r>
  <r>
    <s v="31/12/2025"/>
    <s v="39"/>
    <x v="0"/>
    <s v="AEX"/>
    <s v="395445281022"/>
    <x v="70"/>
    <s v="CA4436281022"/>
    <s v="HBM"/>
    <s v="5445"/>
    <s v="2"/>
    <n v="1"/>
    <n v="17327725.584180001"/>
    <n v="5155680.2"/>
    <n v="259732"/>
    <m/>
    <m/>
    <n v="3.3609"/>
    <x v="1"/>
    <n v="17380158.981679998"/>
    <n v="5168666.8"/>
    <s v=""/>
    <n v="0"/>
    <n v="0"/>
    <n v="0"/>
    <n v="-0.05"/>
    <s v="2"/>
    <n v="26256910350.436607"/>
    <n v="6.5993010422461492E-4"/>
    <n v="5.1556801999999999"/>
    <n v="0"/>
    <n v="0"/>
    <n v="5.1556801999999999"/>
    <n v="0"/>
    <n v="13.458299999999999"/>
    <x v="41"/>
    <x v="197"/>
    <n v="5.6212846277852703E-2"/>
    <s v="39RVL"/>
    <x v="2"/>
    <x v="6"/>
    <n v="4.0712306734450143E-2"/>
    <x v="1"/>
    <x v="1"/>
  </r>
  <r>
    <s v="31/12/2025"/>
    <s v="39"/>
    <x v="3"/>
    <s v="AEX"/>
    <s v="395445281022"/>
    <x v="70"/>
    <s v="CA4436281022"/>
    <s v="HBM"/>
    <s v="5445"/>
    <s v="2"/>
    <n v="1"/>
    <n v="26520429.184124999"/>
    <n v="7890871.25"/>
    <n v="397525"/>
    <m/>
    <m/>
    <n v="3.3609"/>
    <x v="1"/>
    <n v="26600679.543499999"/>
    <n v="7910747.5"/>
    <s v=""/>
    <n v="0"/>
    <n v="0"/>
    <n v="0"/>
    <n v="-0.05"/>
    <s v="2"/>
    <n v="3164069580.822104"/>
    <n v="8.3817465155852644E-3"/>
    <n v="7.89087125"/>
    <n v="0"/>
    <n v="0"/>
    <n v="0"/>
    <n v="7.89087125"/>
    <n v="13.458299999999999"/>
    <x v="41"/>
    <x v="198"/>
    <n v="0.71395716819755284"/>
    <s v="39RVL"/>
    <x v="2"/>
    <x v="6"/>
    <n v="6.2310996467945023E-2"/>
    <x v="1"/>
    <x v="1"/>
  </r>
  <r>
    <s v="31/12/2025"/>
    <s v="39"/>
    <x v="1"/>
    <s v="AEX"/>
    <s v="395445281022"/>
    <x v="70"/>
    <s v="CA4436281022"/>
    <s v="HBM"/>
    <s v="5445"/>
    <s v="2"/>
    <n v="1"/>
    <n v="1383845.7016950001"/>
    <n v="411748.55"/>
    <n v="20743"/>
    <m/>
    <m/>
    <n v="3.3609"/>
    <x v="1"/>
    <n v="1388033.1948200001"/>
    <n v="412785.7"/>
    <s v=""/>
    <n v="0"/>
    <n v="0"/>
    <n v="0"/>
    <n v="-0.05"/>
    <s v="2"/>
    <n v="7679510866.0565634"/>
    <n v="1.8019971920498189E-4"/>
    <n v="0.41174854999999999"/>
    <n v="0"/>
    <n v="0.41174854999999999"/>
    <n v="0"/>
    <n v="0"/>
    <n v="13.458299999999999"/>
    <x v="41"/>
    <x v="199"/>
    <n v="1.5349412081880358E-2"/>
    <s v="39RVL"/>
    <x v="2"/>
    <x v="6"/>
    <n v="3.2514106024390502E-3"/>
    <x v="1"/>
    <x v="1"/>
  </r>
  <r>
    <s v="31/12/2025"/>
    <s v="39"/>
    <x v="1"/>
    <s v="AEX"/>
    <s v="395833228291"/>
    <x v="71"/>
    <s v="LU1701428291"/>
    <s v="NEXA"/>
    <s v="5833"/>
    <s v="2"/>
    <n v="1"/>
    <n v="6878886.7855500001"/>
    <n v="2046739.5"/>
    <n v="231270"/>
    <d v="3000-10-26T00:00:00"/>
    <n v="356045"/>
    <n v="3.3609"/>
    <x v="1"/>
    <n v="7186626.5978159998"/>
    <n v="2137223.16"/>
    <s v=""/>
    <n v="4840507000"/>
    <n v="3383873000"/>
    <n v="1456634000"/>
    <n v="-0.23"/>
    <s v="2"/>
    <n v="7679510866.0565634"/>
    <n v="8.9574543294868925E-4"/>
    <n v="2.0467395000000002"/>
    <n v="0"/>
    <n v="2.0467395000000002"/>
    <n v="0"/>
    <n v="0"/>
    <n v="43.063914150000002"/>
    <x v="6"/>
    <x v="200"/>
    <n v="0.19192241646358615"/>
    <s v="39RVL"/>
    <x v="2"/>
    <x v="6"/>
    <n v="4.0654233296144753E-2"/>
    <x v="1"/>
    <x v="1"/>
  </r>
  <r>
    <s v="31/12/2025"/>
    <s v="39"/>
    <x v="3"/>
    <s v="AEX"/>
    <s v="395833228291"/>
    <x v="71"/>
    <s v="LU1701428291"/>
    <s v="NEXA"/>
    <s v="5833"/>
    <s v="2"/>
    <n v="1"/>
    <n v="29659075.723889999"/>
    <n v="8824742.0999999996"/>
    <n v="997146"/>
    <d v="3000-10-26T00:00:00"/>
    <n v="356045"/>
    <n v="3.3609"/>
    <x v="1"/>
    <n v="30570665.107223999"/>
    <n v="9091377.2400000002"/>
    <s v=""/>
    <n v="4840507000"/>
    <n v="3383873000"/>
    <n v="1456634000"/>
    <n v="-0.23"/>
    <s v="2"/>
    <n v="3164069580.822104"/>
    <n v="9.3737115971336618E-3"/>
    <n v="8.8247420999999999"/>
    <n v="0"/>
    <n v="0"/>
    <n v="0"/>
    <n v="8.8247420999999999"/>
    <n v="43.063914150000002"/>
    <x v="6"/>
    <x v="201"/>
    <n v="2.0084114468018583"/>
    <s v="39RVL"/>
    <x v="2"/>
    <x v="6"/>
    <n v="0.17528519096431683"/>
    <x v="1"/>
    <x v="1"/>
  </r>
  <r>
    <s v="31/12/2025"/>
    <s v="39"/>
    <x v="0"/>
    <s v="AEX"/>
    <s v="395833228291"/>
    <x v="71"/>
    <s v="LU1701428291"/>
    <s v="NEXA"/>
    <s v="5833"/>
    <s v="2"/>
    <n v="1"/>
    <n v="108195546.55729499"/>
    <n v="32192432.550000001"/>
    <n v="3637563"/>
    <d v="3000-10-26T00:00:00"/>
    <n v="356045"/>
    <n v="3.3609"/>
    <x v="1"/>
    <n v="111063557.64170399"/>
    <n v="33029072.039999999"/>
    <s v=""/>
    <n v="4840507000"/>
    <n v="3383873000"/>
    <n v="1456634000"/>
    <n v="-0.23"/>
    <s v="2"/>
    <n v="26256910350.436607"/>
    <n v="4.1206503397874412E-3"/>
    <n v="32.192432549999999"/>
    <n v="0"/>
    <n v="0"/>
    <n v="32.192432549999999"/>
    <n v="0"/>
    <n v="43.063914150000002"/>
    <x v="6"/>
    <x v="202"/>
    <n v="0.88289054180285709"/>
    <s v="39RVL"/>
    <x v="2"/>
    <x v="6"/>
    <n v="0.63943587508723221"/>
    <x v="1"/>
    <x v="1"/>
  </r>
  <r>
    <s v="31/12/2025"/>
    <s v="39"/>
    <x v="0"/>
    <s v="AEX"/>
    <s v="3920836W5029"/>
    <x v="72"/>
    <s v="GB00B1FW5029"/>
    <s v="HOC"/>
    <s v="2083"/>
    <s v="6"/>
    <n v="0.33142500000000003"/>
    <n v="154507271.7079905"/>
    <n v="34164680.094999999"/>
    <n v="6653297"/>
    <m/>
    <m/>
    <n v="4.5224270000000004"/>
    <x v="1"/>
    <n v="159718633.01546499"/>
    <n v="35262474.100000001"/>
    <s v="GHOC"/>
    <n v="1412539000"/>
    <n v="680448000"/>
    <n v="732091000"/>
    <n v="-0.16500000000000001"/>
    <s v="6"/>
    <n v="26256910350.436607"/>
    <n v="5.8844422152441594E-3"/>
    <n v="45.971993129218511"/>
    <n v="0"/>
    <n v="0"/>
    <n v="45.971993129218511"/>
    <n v="0"/>
    <n v="64.531950850099207"/>
    <x v="42"/>
    <x v="203"/>
    <n v="0.42744588251533577"/>
    <s v="39RVL"/>
    <x v="2"/>
    <x v="6"/>
    <n v="0.30957884244688078"/>
    <x v="1"/>
    <x v="1"/>
  </r>
  <r>
    <s v="31/12/2025"/>
    <s v="39"/>
    <x v="3"/>
    <s v="AEX"/>
    <s v="3920836W5029"/>
    <x v="72"/>
    <s v="GB00B1FW5029"/>
    <s v="HOC"/>
    <s v="2083"/>
    <s v="6"/>
    <n v="0.33142500000000003"/>
    <n v="43337645.352183402"/>
    <n v="9582829.1649999991"/>
    <n v="1866179"/>
    <m/>
    <m/>
    <n v="4.5224270000000004"/>
    <x v="1"/>
    <n v="44799376.736401103"/>
    <n v="9890748.6999999993"/>
    <s v="GHOC"/>
    <n v="1412539000"/>
    <n v="680448000"/>
    <n v="732091000"/>
    <n v="-0.16500000000000001"/>
    <s v="6"/>
    <n v="3164069580.822104"/>
    <n v="1.3696805409988235E-2"/>
    <n v="12.894654810373234"/>
    <n v="0"/>
    <n v="0"/>
    <n v="0"/>
    <n v="12.894654810373234"/>
    <n v="64.531950850099207"/>
    <x v="42"/>
    <x v="204"/>
    <n v="0.99493594498154547"/>
    <s v="39RVL"/>
    <x v="2"/>
    <x v="6"/>
    <n v="8.6833570576915042E-2"/>
    <x v="1"/>
    <x v="1"/>
  </r>
  <r>
    <s v="31/12/2025"/>
    <s v="39"/>
    <x v="1"/>
    <s v="AEX"/>
    <s v="3920836W5029"/>
    <x v="72"/>
    <s v="GB00B1FW5029"/>
    <s v="HOC"/>
    <s v="2083"/>
    <s v="6"/>
    <n v="0.33142500000000003"/>
    <n v="19040516.551924501"/>
    <n v="4210242.9850000003"/>
    <n v="819911"/>
    <m/>
    <m/>
    <n v="4.5224270000000004"/>
    <x v="1"/>
    <n v="19682732.3527482"/>
    <n v="4345528.3"/>
    <s v="GHOC"/>
    <n v="1412539000"/>
    <n v="680448000"/>
    <n v="732091000"/>
    <n v="-0.16500000000000001"/>
    <s v="6"/>
    <n v="7679510866.0565634"/>
    <n v="2.4793918368009064E-3"/>
    <n v="5.6653029105074539"/>
    <n v="0"/>
    <n v="5.6653029105074539"/>
    <n v="0"/>
    <n v="0"/>
    <n v="64.531950850099207"/>
    <x v="42"/>
    <x v="205"/>
    <n v="0.18010302302521786"/>
    <s v="39RVL"/>
    <x v="2"/>
    <x v="6"/>
    <n v="3.815057381167012E-2"/>
    <x v="1"/>
    <x v="1"/>
  </r>
  <r>
    <s v="31/12/2025"/>
    <s v="43"/>
    <x v="1"/>
    <s v="GDN"/>
    <s v="431000112G31"/>
    <x v="0"/>
    <s v="US715638BE14"/>
    <s v="SOBAGO31 GDN"/>
    <s v="1000"/>
    <s v="1"/>
    <n v="1000"/>
    <n v="8091510.0837399997"/>
    <n v="8091510.0837399997"/>
    <n v="7102"/>
    <d v="2031-08-12T00:00:00"/>
    <n v="2050"/>
    <n v="1"/>
    <x v="0"/>
    <n v="8076458.857752"/>
    <n v="8076458.857752"/>
    <s v=""/>
    <n v="0"/>
    <n v="0"/>
    <n v="0"/>
    <n v="2.119294"/>
    <s v="1"/>
    <n v="7679510866.0565634"/>
    <n v="1.0536491483467355E-3"/>
    <n v="2.4075426474277721"/>
    <n v="0"/>
    <n v="2.4075426474277721"/>
    <n v="0"/>
    <n v="0"/>
    <n v="12.501458427462882"/>
    <x v="0"/>
    <x v="206"/>
    <n v="0.17956271864519743"/>
    <s v="43RFLG"/>
    <x v="0"/>
    <x v="0"/>
    <n v="3.8036123083500774E-2"/>
    <x v="0"/>
    <x v="0"/>
  </r>
  <r>
    <s v="31/12/2025"/>
    <s v="43"/>
    <x v="0"/>
    <s v="GDN"/>
    <s v="431000112G31"/>
    <x v="0"/>
    <s v="US715638BE14"/>
    <s v="SOBAGO31 GDN"/>
    <s v="1000"/>
    <s v="1"/>
    <n v="1000"/>
    <n v="33924641.545120001"/>
    <n v="33924641.545120001"/>
    <n v="29776"/>
    <d v="2031-08-12T00:00:00"/>
    <n v="2050"/>
    <n v="1"/>
    <x v="0"/>
    <n v="33861537.446975999"/>
    <n v="33861537.446975999"/>
    <s v=""/>
    <n v="0"/>
    <n v="0"/>
    <n v="0"/>
    <n v="2.119294"/>
    <s v="1"/>
    <n v="26256910350.436607"/>
    <n v="1.2920271689374867E-3"/>
    <n v="10.093915780035109"/>
    <n v="0"/>
    <n v="0"/>
    <n v="10.093915780035109"/>
    <n v="0"/>
    <n v="12.501458427462882"/>
    <x v="0"/>
    <x v="207"/>
    <n v="0.22018706263076315"/>
    <s v="43RFLG"/>
    <x v="0"/>
    <x v="0"/>
    <n v="0.15947107870097424"/>
    <x v="0"/>
    <x v="0"/>
  </r>
  <r>
    <s v="31/12/2025"/>
    <s v="48"/>
    <x v="0"/>
    <s v="FMAELL"/>
    <s v="4871412CLPEF"/>
    <x v="73"/>
    <s v="4871412CLPEF"/>
    <s v=""/>
    <s v="7141"/>
    <s v="2"/>
    <n v="1"/>
    <n v="44177165.181748003"/>
    <n v="13144444.994420599"/>
    <n v="86.062040199999998"/>
    <d v="2026-06-25T00:00:00"/>
    <n v="176"/>
    <n v="3.3609"/>
    <x v="1"/>
    <n v="44199510.738238499"/>
    <n v="13144444.994420599"/>
    <s v="CCOR"/>
    <n v="0"/>
    <n v="0"/>
    <n v="0"/>
    <n v="0"/>
    <s v="2"/>
    <n v="26256910350.436607"/>
    <n v="1.6824967062818727E-3"/>
    <n v="13.144444994420544"/>
    <n v="0"/>
    <n v="0"/>
    <n v="13.144444994420544"/>
    <n v="0"/>
    <n v="21.348637992099974"/>
    <x v="43"/>
    <x v="208"/>
    <n v="5.2716786592857938E-2"/>
    <s v="48ALT"/>
    <x v="4"/>
    <x v="7"/>
    <n v="3.8180276003362087E-2"/>
    <x v="2"/>
    <x v="4"/>
  </r>
  <r>
    <s v="31/12/2025"/>
    <s v="48"/>
    <x v="3"/>
    <s v="FMAELL"/>
    <s v="4871412CLPEF"/>
    <x v="73"/>
    <s v="4871412CLPEF"/>
    <s v=""/>
    <s v="7141"/>
    <s v="2"/>
    <n v="1"/>
    <n v="27573472.245900799"/>
    <n v="8204192.9976794003"/>
    <n v="53.7161963"/>
    <d v="2026-06-25T00:00:00"/>
    <n v="176"/>
    <n v="3.3609"/>
    <x v="1"/>
    <n v="27587419.373996899"/>
    <n v="8204192.9976794003"/>
    <s v="CCOR"/>
    <n v="0"/>
    <n v="0"/>
    <n v="0"/>
    <n v="0"/>
    <s v="2"/>
    <n v="3164069580.822104"/>
    <n v="8.7145593804345244E-3"/>
    <n v="8.2041929976794314"/>
    <n v="0"/>
    <n v="0"/>
    <n v="0"/>
    <n v="8.2041929976794314"/>
    <n v="21.348637992099974"/>
    <x v="43"/>
    <x v="209"/>
    <n v="0.27304871706072159"/>
    <s v="48ALT"/>
    <x v="4"/>
    <x v="7"/>
    <n v="2.3830473874645326E-2"/>
    <x v="2"/>
    <x v="4"/>
  </r>
  <r>
    <s v="31/12/2025"/>
    <s v="49"/>
    <x v="3"/>
    <s v="FIT"/>
    <s v="4911141MIND1"/>
    <x v="74"/>
    <s v="CVL79560FI39"/>
    <s v=""/>
    <s v="1114"/>
    <s v="1"/>
    <n v="100000"/>
    <n v="19297209"/>
    <n v="19297209"/>
    <n v="300"/>
    <d v="2030-07-20T00:00:00"/>
    <n v="1662"/>
    <n v="1"/>
    <x v="0"/>
    <n v="19297209"/>
    <n v="19297209"/>
    <s v=""/>
    <n v="0"/>
    <n v="0"/>
    <n v="0"/>
    <n v="0"/>
    <s v="1"/>
    <n v="3164069580.822104"/>
    <n v="6.0988573440240541E-3"/>
    <n v="5.7416790145496748"/>
    <n v="0"/>
    <n v="0"/>
    <n v="0"/>
    <n v="5.7416790145496748"/>
    <n v="28.708395072748374"/>
    <x v="43"/>
    <x v="210"/>
    <n v="0.19109229745578871"/>
    <s v="49RFLG"/>
    <x v="2"/>
    <x v="4"/>
    <n v="1.6677683203153198E-2"/>
    <x v="2"/>
    <x v="2"/>
  </r>
  <r>
    <s v="31/12/2025"/>
    <s v="49"/>
    <x v="0"/>
    <s v="FIT"/>
    <s v="4911141MIND1"/>
    <x v="74"/>
    <s v="CVL79560FI39"/>
    <s v=""/>
    <s v="1114"/>
    <s v="1"/>
    <n v="100000"/>
    <n v="77188836"/>
    <n v="77188836"/>
    <n v="1200"/>
    <d v="2030-07-20T00:00:00"/>
    <n v="1662"/>
    <n v="1"/>
    <x v="0"/>
    <n v="77188836"/>
    <n v="77188836"/>
    <s v=""/>
    <n v="0"/>
    <n v="0"/>
    <n v="0"/>
    <n v="0"/>
    <s v="1"/>
    <n v="26256910350.436607"/>
    <n v="2.9397531914380961E-3"/>
    <n v="22.966716058198699"/>
    <n v="0"/>
    <n v="0"/>
    <n v="22.966716058198699"/>
    <n v="0"/>
    <n v="28.708395072748374"/>
    <x v="43"/>
    <x v="211"/>
    <n v="9.210974443521551E-2"/>
    <s v="49RFLG"/>
    <x v="2"/>
    <x v="4"/>
    <n v="6.6710732812612791E-2"/>
    <x v="2"/>
    <x v="2"/>
  </r>
  <r>
    <s v="31/12/2025"/>
    <s v="49"/>
    <x v="0"/>
    <s v="FIT"/>
    <s v="4974252SCBDC"/>
    <x v="75"/>
    <s v="CVL79590GA30"/>
    <s v=""/>
    <s v="7425"/>
    <s v="2"/>
    <n v="1000"/>
    <n v="5878182.7276144"/>
    <n v="1748990.6654808"/>
    <n v="1704"/>
    <d v="2027-06-04T00:00:00"/>
    <n v="520"/>
    <n v="3.3609"/>
    <x v="0"/>
    <n v="5881156.0117456997"/>
    <n v="1748990.6654808"/>
    <s v=""/>
    <n v="0"/>
    <n v="0"/>
    <n v="0"/>
    <n v="0"/>
    <s v="2"/>
    <n v="26256910350.436607"/>
    <n v="2.2387183599142143E-4"/>
    <n v="1.7489906654807938"/>
    <n v="0"/>
    <n v="0"/>
    <n v="1.7489906654807938"/>
    <n v="0"/>
    <n v="16.30543762431218"/>
    <x v="43"/>
    <x v="212"/>
    <n v="7.0144587849991736E-3"/>
    <s v="49RFLG"/>
    <x v="2"/>
    <x v="4"/>
    <n v="5.0802408442277803E-3"/>
    <x v="2"/>
    <x v="2"/>
  </r>
  <r>
    <s v="31/12/2025"/>
    <s v="49"/>
    <x v="1"/>
    <s v="FIT"/>
    <s v="4974252SCBDC"/>
    <x v="75"/>
    <s v="CVL79590GA30"/>
    <s v=""/>
    <s v="7425"/>
    <s v="2"/>
    <n v="1000"/>
    <n v="48922762.583936401"/>
    <n v="14556446.9588314"/>
    <n v="14182"/>
    <d v="2027-06-04T00:00:00"/>
    <n v="520"/>
    <n v="3.3609"/>
    <x v="0"/>
    <n v="48947508.543766402"/>
    <n v="14556446.9588314"/>
    <s v=""/>
    <n v="0"/>
    <n v="0"/>
    <n v="0"/>
    <n v="0"/>
    <s v="2"/>
    <n v="7679510866.0565634"/>
    <n v="6.3705571145390265E-3"/>
    <n v="14.556446958831385"/>
    <n v="0"/>
    <n v="14.556446958831385"/>
    <n v="0"/>
    <n v="0"/>
    <n v="16.30543762431218"/>
    <x v="43"/>
    <x v="213"/>
    <n v="0.19960532382076673"/>
    <s v="49RFLG"/>
    <x v="2"/>
    <x v="4"/>
    <n v="4.228167585260479E-2"/>
    <x v="2"/>
    <x v="2"/>
  </r>
  <r>
    <s v="31/12/2025"/>
    <s v="49"/>
    <x v="0"/>
    <s v="FIT"/>
    <s v="491105206SI1"/>
    <x v="76"/>
    <s v="CVL795509FD6"/>
    <s v=""/>
    <s v="1105"/>
    <s v="2"/>
    <n v="1"/>
    <n v="9223122.1647929996"/>
    <n v="2744241.77"/>
    <n v="277"/>
    <d v="2027-06-30T00:00:00"/>
    <n v="546"/>
    <n v="3.3609"/>
    <x v="0"/>
    <n v="9227787.3758019991"/>
    <n v="2744241.77"/>
    <s v=""/>
    <n v="0"/>
    <n v="0"/>
    <n v="0"/>
    <n v="0"/>
    <s v="2"/>
    <n v="26256910350.436607"/>
    <n v="3.5126456394514959E-4"/>
    <n v="2.7442417699999999"/>
    <n v="0"/>
    <n v="0"/>
    <n v="2.7442417699999999"/>
    <n v="0"/>
    <n v="2.7442417699999999"/>
    <x v="43"/>
    <x v="214"/>
    <n v="1.1005988294652543E-2"/>
    <s v="49RFLG"/>
    <x v="2"/>
    <x v="4"/>
    <n v="7.9711169427868125E-3"/>
    <x v="2"/>
    <x v="2"/>
  </r>
  <r>
    <s v="31/12/2025"/>
    <s v="50"/>
    <x v="0"/>
    <s v="FM"/>
    <s v="5076822E0800"/>
    <x v="77"/>
    <s v="PEP798008004"/>
    <s v=""/>
    <s v="7682"/>
    <s v="2"/>
    <n v="1"/>
    <n v="107731669.661028"/>
    <n v="32054410.920000002"/>
    <n v="1659131"/>
    <m/>
    <m/>
    <n v="3.3609"/>
    <x v="1"/>
    <n v="107786162.159592"/>
    <n v="32054410.920000002"/>
    <s v=""/>
    <n v="0"/>
    <n v="0"/>
    <n v="0"/>
    <n v="0"/>
    <s v="2"/>
    <n v="26256910350.436607"/>
    <n v="4.102983489801061E-3"/>
    <n v="32.054410919999995"/>
    <n v="0"/>
    <n v="0"/>
    <n v="32.054410919999995"/>
    <n v="0"/>
    <n v="32.054410919999995"/>
    <x v="43"/>
    <x v="215"/>
    <n v="0.12855662909667856"/>
    <s v="50RVL"/>
    <x v="2"/>
    <x v="6"/>
    <n v="9.3107488111538572E-2"/>
    <x v="2"/>
    <x v="2"/>
  </r>
  <r>
    <s v="31/12/2025"/>
    <s v="51"/>
    <x v="3"/>
    <s v="FIV"/>
    <s v="5111141KFIIP"/>
    <x v="78"/>
    <s v="CVL795602F20"/>
    <s v=""/>
    <s v="1114"/>
    <s v="1"/>
    <n v="100000"/>
    <n v="1693591.24"/>
    <n v="1693591.24"/>
    <n v="146"/>
    <d v="2026-01-11T00:00:00"/>
    <n v="11"/>
    <n v="1"/>
    <x v="1"/>
    <n v="1693591.24"/>
    <n v="1693591.24"/>
    <s v=""/>
    <n v="0"/>
    <n v="0"/>
    <n v="0"/>
    <n v="0"/>
    <s v="1"/>
    <n v="3164069580.822104"/>
    <n v="5.3525726812871251E-4"/>
    <n v="0.50391003600226125"/>
    <n v="0"/>
    <n v="0"/>
    <n v="0"/>
    <n v="0.50391003600226125"/>
    <n v="2.5160987414085509"/>
    <x v="43"/>
    <x v="216"/>
    <n v="1.67709351649038E-2"/>
    <s v="51ALT"/>
    <x v="4"/>
    <x v="7"/>
    <n v="1.4636924011319663E-3"/>
    <x v="2"/>
    <x v="4"/>
  </r>
  <r>
    <s v="31/12/2025"/>
    <s v="51"/>
    <x v="3"/>
    <s v="FIV"/>
    <s v="5111142FFOR1"/>
    <x v="79"/>
    <s v="CVL79560FI05"/>
    <s v=""/>
    <s v="1114"/>
    <s v="2"/>
    <n v="100000"/>
    <n v="2027776.8330600001"/>
    <n v="603343.4"/>
    <n v="22"/>
    <d v="2026-01-25T00:00:00"/>
    <n v="25"/>
    <n v="3.3609"/>
    <x v="1"/>
    <n v="2028802.5168399999"/>
    <n v="603343.4"/>
    <s v=""/>
    <n v="0"/>
    <n v="0"/>
    <n v="0"/>
    <n v="0"/>
    <s v="2"/>
    <n v="3164069580.822104"/>
    <n v="6.4087618216446848E-4"/>
    <n v="0.60334339999999997"/>
    <n v="0"/>
    <n v="0"/>
    <n v="0"/>
    <n v="0.60334339999999997"/>
    <n v="4.0314309000000002"/>
    <x v="43"/>
    <x v="217"/>
    <n v="2.0080237186479079E-2"/>
    <s v="51ALT"/>
    <x v="4"/>
    <x v="7"/>
    <n v="1.7525135178080903E-3"/>
    <x v="2"/>
    <x v="4"/>
  </r>
  <r>
    <s v="31/12/2025"/>
    <s v="51"/>
    <x v="0"/>
    <s v="FIV"/>
    <s v="5111142FFOR1"/>
    <x v="79"/>
    <s v="CVL79560FI05"/>
    <s v=""/>
    <s v="1114"/>
    <s v="2"/>
    <n v="100000"/>
    <n v="11521459.278750001"/>
    <n v="3428087.5"/>
    <n v="125"/>
    <d v="2026-01-25T00:00:00"/>
    <n v="25"/>
    <n v="3.3609"/>
    <x v="1"/>
    <n v="11527287.0275"/>
    <n v="3428087.5"/>
    <s v=""/>
    <n v="0"/>
    <n v="0"/>
    <n v="0"/>
    <n v="0"/>
    <s v="2"/>
    <n v="26256910350.436607"/>
    <n v="4.3879722042614272E-4"/>
    <n v="3.4280875000000002"/>
    <n v="0"/>
    <n v="0"/>
    <n v="3.4280875000000002"/>
    <n v="0"/>
    <n v="4.0314309000000002"/>
    <x v="43"/>
    <x v="218"/>
    <n v="1.3748603097038606E-2"/>
    <s v="51ALT"/>
    <x v="4"/>
    <x v="7"/>
    <n v="9.9574631693641509E-3"/>
    <x v="2"/>
    <x v="4"/>
  </r>
  <r>
    <s v="31/12/2025"/>
    <s v="51"/>
    <x v="0"/>
    <s v="FIV"/>
    <s v="5111141KFIIP"/>
    <x v="78"/>
    <s v="CVL795602F20"/>
    <s v=""/>
    <s v="1114"/>
    <s v="1"/>
    <n v="100000"/>
    <n v="6762765.0199999996"/>
    <n v="6762765.0199999996"/>
    <n v="583"/>
    <d v="2026-01-11T00:00:00"/>
    <n v="11"/>
    <n v="1"/>
    <x v="1"/>
    <n v="6762765.0199999996"/>
    <n v="6762765.0199999996"/>
    <s v=""/>
    <n v="0"/>
    <n v="0"/>
    <n v="0"/>
    <n v="0"/>
    <s v="1"/>
    <n v="26256910350.436607"/>
    <n v="2.5756134022400496E-4"/>
    <n v="2.0121887054062899"/>
    <n v="0"/>
    <n v="0"/>
    <n v="2.0121887054062899"/>
    <n v="0"/>
    <n v="2.5160987414085509"/>
    <x v="43"/>
    <x v="219"/>
    <n v="8.0700343462572124E-3"/>
    <s v="51ALT"/>
    <x v="4"/>
    <x v="7"/>
    <n v="5.8447443141091543E-3"/>
    <x v="2"/>
    <x v="4"/>
  </r>
  <r>
    <s v="31/12/2025"/>
    <s v="51"/>
    <x v="0"/>
    <s v="FIV"/>
    <s v="5111181FDVI1"/>
    <x v="80"/>
    <s v="CVL225501V53"/>
    <s v=""/>
    <s v="1118"/>
    <s v="1"/>
    <n v="1"/>
    <n v="3888132.1042960002"/>
    <n v="3888132.1042960002"/>
    <n v="6531646"/>
    <d v="2026-01-31T00:00:00"/>
    <n v="31"/>
    <n v="1"/>
    <x v="1"/>
    <n v="3888132.1042960002"/>
    <n v="3888132.1042960002"/>
    <s v=""/>
    <n v="0"/>
    <n v="0"/>
    <n v="0"/>
    <n v="0"/>
    <s v="1"/>
    <n v="26256910350.436607"/>
    <n v="1.4808033589646419E-4"/>
    <n v="1.1568722973893897"/>
    <n v="0"/>
    <n v="0"/>
    <n v="1.1568722973893897"/>
    <n v="0"/>
    <n v="1.4460902831777203"/>
    <x v="43"/>
    <x v="220"/>
    <n v="4.6397234757764878E-3"/>
    <s v="51ALT"/>
    <x v="4"/>
    <x v="7"/>
    <n v="3.3603323406746584E-3"/>
    <x v="2"/>
    <x v="4"/>
  </r>
  <r>
    <s v="31/12/2025"/>
    <s v="51"/>
    <x v="3"/>
    <s v="FIV"/>
    <s v="5111181FDVI1"/>
    <x v="80"/>
    <s v="CVL225501V53"/>
    <s v=""/>
    <s v="1118"/>
    <s v="1"/>
    <n v="1"/>
    <n v="972032.72843599995"/>
    <n v="972032.72843599995"/>
    <n v="1632911"/>
    <d v="2026-01-31T00:00:00"/>
    <n v="31"/>
    <n v="1"/>
    <x v="1"/>
    <n v="972032.72843599995"/>
    <n v="972032.72843599995"/>
    <s v=""/>
    <n v="0"/>
    <n v="0"/>
    <n v="0"/>
    <n v="0"/>
    <s v="1"/>
    <n v="3164069580.822104"/>
    <n v="3.0720965630074473E-4"/>
    <n v="0.28921798578833047"/>
    <n v="0"/>
    <n v="0"/>
    <n v="0"/>
    <n v="0.28921798578833047"/>
    <n v="1.4460902831777203"/>
    <x v="43"/>
    <x v="221"/>
    <n v="9.6256389863971538E-3"/>
    <s v="51ALT"/>
    <x v="4"/>
    <x v="7"/>
    <n v="8.4008282793393834E-4"/>
    <x v="2"/>
    <x v="4"/>
  </r>
  <r>
    <s v="31/12/2025"/>
    <s v="51"/>
    <x v="0"/>
    <s v="FIV"/>
    <s v="5111302INFAM"/>
    <x v="81"/>
    <s v="CVL79610C019"/>
    <s v=""/>
    <s v="1130"/>
    <s v="2"/>
    <n v="10000"/>
    <n v="55948808.842243701"/>
    <n v="16646972.192639999"/>
    <n v="1800"/>
    <d v="2031-12-06T00:00:00"/>
    <n v="2166"/>
    <n v="3.3609"/>
    <x v="1"/>
    <n v="55977108.694971196"/>
    <n v="16646972.192639999"/>
    <s v=""/>
    <n v="0"/>
    <n v="0"/>
    <n v="0"/>
    <n v="0"/>
    <s v="2"/>
    <n v="26256910350.436607"/>
    <n v="2.1308222519529365E-3"/>
    <n v="16.646972192639979"/>
    <n v="0"/>
    <n v="0"/>
    <n v="16.646972192639979"/>
    <n v="0"/>
    <n v="16.646972192639979"/>
    <x v="43"/>
    <x v="222"/>
    <n v="6.6763935705855093E-2"/>
    <s v="51ALT"/>
    <x v="4"/>
    <x v="7"/>
    <n v="4.8353961936398002E-2"/>
    <x v="2"/>
    <x v="4"/>
  </r>
  <r>
    <s v="31/12/2025"/>
    <s v="51"/>
    <x v="0"/>
    <s v="FIV"/>
    <s v="5111042FINM2"/>
    <x v="82"/>
    <s v="CVL79410FI80"/>
    <s v=""/>
    <s v="1104"/>
    <s v="2"/>
    <n v="1"/>
    <n v="18733193.118110299"/>
    <n v="5573862.0959000001"/>
    <n v="12746083"/>
    <d v="2026-04-30T00:00:00"/>
    <n v="120"/>
    <n v="3.3609"/>
    <x v="1"/>
    <n v="18742668.6836733"/>
    <n v="5573862.0959000001"/>
    <s v=""/>
    <n v="0"/>
    <n v="0"/>
    <n v="0"/>
    <n v="0"/>
    <s v="2"/>
    <n v="26256910350.436607"/>
    <n v="7.1345763336541222E-4"/>
    <n v="5.5738620958999965"/>
    <n v="0"/>
    <n v="0"/>
    <n v="5.5738620958999965"/>
    <n v="0"/>
    <n v="7.41033711799997"/>
    <x v="43"/>
    <x v="223"/>
    <n v="2.2354393717825691E-2"/>
    <s v="51ALT"/>
    <x v="4"/>
    <x v="7"/>
    <n v="1.6190230421784475E-2"/>
    <x v="2"/>
    <x v="4"/>
  </r>
  <r>
    <s v="31/12/2025"/>
    <s v="51"/>
    <x v="0"/>
    <s v="FIV"/>
    <s v="5111042INF2A"/>
    <x v="83"/>
    <s v="CVL79410FH16"/>
    <s v=""/>
    <s v="1104"/>
    <s v="2"/>
    <n v="1"/>
    <n v="73550692.128507301"/>
    <n v="21884225.096999999"/>
    <n v="24528385"/>
    <d v="2029-12-13T00:00:00"/>
    <n v="1443"/>
    <n v="3.3609"/>
    <x v="1"/>
    <n v="73587895.311172202"/>
    <n v="21884225.096999999"/>
    <s v=""/>
    <n v="0"/>
    <n v="0"/>
    <n v="0"/>
    <n v="0"/>
    <s v="2"/>
    <n v="26256910350.436607"/>
    <n v="2.8011937104124775E-3"/>
    <n v="21.884225096999998"/>
    <n v="0"/>
    <n v="0"/>
    <n v="21.884225096999998"/>
    <n v="0"/>
    <n v="21.884225096999998"/>
    <x v="43"/>
    <x v="224"/>
    <n v="8.7768332910085928E-2"/>
    <s v="51ALT"/>
    <x v="4"/>
    <x v="7"/>
    <n v="6.3566453713171586E-2"/>
    <x v="2"/>
    <x v="4"/>
  </r>
  <r>
    <s v="31/12/2025"/>
    <s v="51"/>
    <x v="0"/>
    <s v="FIV"/>
    <s v="5111042INF1U"/>
    <x v="84"/>
    <s v="CVL79410FI15"/>
    <s v="CVL79410FI15"/>
    <s v="1104"/>
    <s v="2"/>
    <n v="1"/>
    <n v="18167180.784150701"/>
    <n v="5405451.1541999998"/>
    <n v="1878654"/>
    <d v="2034-06-24T00:00:00"/>
    <n v="3097"/>
    <n v="3.3609"/>
    <x v="1"/>
    <n v="18176370.051112901"/>
    <n v="5405451.1541999998"/>
    <s v=""/>
    <n v="0"/>
    <n v="0"/>
    <n v="0"/>
    <n v="0"/>
    <s v="2"/>
    <n v="26256910350.436607"/>
    <n v="6.9190093357075473E-4"/>
    <n v="5.4054511541999766"/>
    <n v="0"/>
    <n v="0"/>
    <n v="5.4054511541999766"/>
    <n v="0"/>
    <n v="6.9630659999999702"/>
    <x v="43"/>
    <x v="225"/>
    <n v="2.1678968952666671E-2"/>
    <s v="51ALT"/>
    <x v="4"/>
    <x v="7"/>
    <n v="1.5701052199438671E-2"/>
    <x v="2"/>
    <x v="4"/>
  </r>
  <r>
    <s v="31/12/2025"/>
    <s v="51"/>
    <x v="3"/>
    <s v="FIV"/>
    <s v="5111042FINM2"/>
    <x v="82"/>
    <s v="CVL79410FI80"/>
    <s v=""/>
    <s v="1104"/>
    <s v="2"/>
    <n v="1"/>
    <n v="6172208.9017757997"/>
    <n v="1836475.0220999999"/>
    <n v="4199577"/>
    <d v="2026-04-30T00:00:00"/>
    <n v="120"/>
    <n v="3.3609"/>
    <x v="1"/>
    <n v="6175330.9093134003"/>
    <n v="1836475.0220999999"/>
    <s v=""/>
    <n v="0"/>
    <n v="0"/>
    <n v="0"/>
    <n v="0"/>
    <s v="2"/>
    <n v="3164069580.822104"/>
    <n v="1.9507184479085021E-3"/>
    <n v="1.8364750220999733"/>
    <n v="0"/>
    <n v="0"/>
    <n v="0"/>
    <n v="1.8364750220999733"/>
    <n v="7.41033711799997"/>
    <x v="43"/>
    <x v="226"/>
    <n v="6.1120837703390586E-2"/>
    <s v="51ALT"/>
    <x v="4"/>
    <x v="7"/>
    <n v="5.3343540367676431E-3"/>
    <x v="2"/>
    <x v="4"/>
  </r>
  <r>
    <s v="31/12/2025"/>
    <s v="51"/>
    <x v="3"/>
    <s v="FIV"/>
    <s v="5111042INF1U"/>
    <x v="84"/>
    <s v="CVL79410FI15"/>
    <s v="CVL79410FI15"/>
    <s v="1104"/>
    <s v="2"/>
    <n v="1"/>
    <n v="5234987.7352491999"/>
    <n v="1557614.8458"/>
    <n v="541346"/>
    <d v="2034-06-24T00:00:00"/>
    <n v="3097"/>
    <n v="3.3609"/>
    <x v="1"/>
    <n v="5237635.6804870004"/>
    <n v="1557614.8458"/>
    <s v=""/>
    <n v="0"/>
    <n v="0"/>
    <n v="0"/>
    <n v="0"/>
    <s v="2"/>
    <n v="3164069580.822104"/>
    <n v="1.6545109396390138E-3"/>
    <n v="1.5576148457999939"/>
    <n v="0"/>
    <n v="0"/>
    <n v="0"/>
    <n v="1.5576148457999939"/>
    <n v="6.9630659999999702"/>
    <x v="43"/>
    <x v="227"/>
    <n v="5.1839923249089849E-2"/>
    <s v="51ALT"/>
    <x v="4"/>
    <x v="7"/>
    <n v="4.5243572280778306E-3"/>
    <x v="2"/>
    <x v="4"/>
  </r>
  <r>
    <s v="31/12/2025"/>
    <s v="51"/>
    <x v="0"/>
    <s v="FIV"/>
    <s v="5111011CCINM"/>
    <x v="85"/>
    <s v="CVL790801F46"/>
    <s v=""/>
    <s v="1101"/>
    <s v="1"/>
    <n v="1"/>
    <n v="37189314.615999997"/>
    <n v="37189314.615999997"/>
    <n v="58540"/>
    <d v="2026-02-24T00:00:00"/>
    <n v="55"/>
    <n v="1"/>
    <x v="1"/>
    <n v="37189314.615999997"/>
    <n v="37189314.615999997"/>
    <s v="CCOR"/>
    <n v="0"/>
    <n v="0"/>
    <n v="0"/>
    <n v="0"/>
    <s v="1"/>
    <n v="26256910350.436607"/>
    <n v="1.4163629353055854E-3"/>
    <n v="11.065284482132761"/>
    <n v="0"/>
    <n v="0"/>
    <n v="11.065284482132761"/>
    <n v="0"/>
    <n v="13.831605602665951"/>
    <x v="43"/>
    <x v="228"/>
    <n v="4.4378156771279528E-2"/>
    <s v="51ALT"/>
    <x v="4"/>
    <x v="7"/>
    <n v="3.2141000686059983E-2"/>
    <x v="2"/>
    <x v="4"/>
  </r>
  <r>
    <s v="31/12/2025"/>
    <s v="51"/>
    <x v="3"/>
    <s v="FIV"/>
    <s v="5111011CCINM"/>
    <x v="85"/>
    <s v="CVL790801F46"/>
    <s v=""/>
    <s v="1101"/>
    <s v="1"/>
    <n v="1"/>
    <n v="9297328.6539999992"/>
    <n v="9297328.6539999992"/>
    <n v="14635"/>
    <d v="2026-02-24T00:00:00"/>
    <n v="55"/>
    <n v="1"/>
    <x v="1"/>
    <n v="9297328.6539999992"/>
    <n v="9297328.6539999992"/>
    <s v="CCOR"/>
    <n v="0"/>
    <n v="0"/>
    <n v="0"/>
    <n v="0"/>
    <s v="1"/>
    <n v="3164069580.822104"/>
    <n v="2.9384084061717512E-3"/>
    <n v="2.7663211205331901"/>
    <n v="0"/>
    <n v="0"/>
    <n v="0"/>
    <n v="2.7663211205331901"/>
    <n v="13.831605602665951"/>
    <x v="43"/>
    <x v="229"/>
    <n v="9.2067608983993271E-2"/>
    <s v="51ALT"/>
    <x v="4"/>
    <x v="7"/>
    <n v="8.0352501715149956E-3"/>
    <x v="2"/>
    <x v="4"/>
  </r>
  <r>
    <s v="31/12/2025"/>
    <s v="51"/>
    <x v="0"/>
    <s v="FIV"/>
    <s v="5111072DES1B"/>
    <x v="86"/>
    <s v="CVL79010FI43"/>
    <s v=""/>
    <s v="1107"/>
    <s v="2"/>
    <n v="1"/>
    <n v="9870963.3000000007"/>
    <n v="2937000"/>
    <n v="13350000"/>
    <d v="2026-12-31T00:00:00"/>
    <n v="365"/>
    <n v="3.3609"/>
    <x v="1"/>
    <n v="9875956.1999999993"/>
    <n v="2937000"/>
    <s v=""/>
    <n v="0"/>
    <n v="0"/>
    <n v="0"/>
    <n v="0"/>
    <s v="2"/>
    <n v="26256910350.436607"/>
    <n v="3.7593773099186683E-4"/>
    <n v="2.9369999999999998"/>
    <n v="0"/>
    <n v="0"/>
    <n v="2.9369999999999998"/>
    <n v="0"/>
    <n v="9.7899999999999991"/>
    <x v="43"/>
    <x v="230"/>
    <n v="1.1779059693196975E-2"/>
    <s v="51ALT"/>
    <x v="4"/>
    <x v="7"/>
    <n v="8.5310160048197459E-3"/>
    <x v="2"/>
    <x v="4"/>
  </r>
  <r>
    <s v="31/12/2025"/>
    <s v="51"/>
    <x v="0"/>
    <s v="FIV"/>
    <s v="5111072DES2B"/>
    <x v="87"/>
    <s v="CVL79010FO29"/>
    <s v=""/>
    <s v="1107"/>
    <s v="2"/>
    <n v="1"/>
    <n v="9870963.3000000007"/>
    <n v="2937000"/>
    <n v="13350000"/>
    <d v="2026-12-31T00:00:00"/>
    <n v="365"/>
    <n v="3.3609"/>
    <x v="1"/>
    <n v="9875956.1999999993"/>
    <n v="2937000"/>
    <s v=""/>
    <n v="0"/>
    <n v="0"/>
    <n v="0"/>
    <n v="0"/>
    <s v="2"/>
    <n v="26256910350.436607"/>
    <n v="3.7593773099186683E-4"/>
    <n v="2.9369999999999998"/>
    <n v="0"/>
    <n v="0"/>
    <n v="2.9369999999999998"/>
    <n v="0"/>
    <n v="9.7899999999999991"/>
    <x v="43"/>
    <x v="230"/>
    <n v="1.1779059693196975E-2"/>
    <s v="51ALT"/>
    <x v="4"/>
    <x v="7"/>
    <n v="8.5310160048197459E-3"/>
    <x v="2"/>
    <x v="4"/>
  </r>
  <r>
    <s v="31/12/2025"/>
    <s v="51"/>
    <x v="3"/>
    <s v="FIV"/>
    <s v="5111072DES1B"/>
    <x v="86"/>
    <s v="CVL79010FI43"/>
    <s v=""/>
    <s v="1107"/>
    <s v="2"/>
    <n v="1"/>
    <n v="23032247.699999999"/>
    <n v="6853000"/>
    <n v="31150000"/>
    <d v="2026-12-31T00:00:00"/>
    <n v="365"/>
    <n v="3.3609"/>
    <x v="1"/>
    <n v="23043897.800000001"/>
    <n v="6853000"/>
    <s v=""/>
    <n v="0"/>
    <n v="0"/>
    <n v="0"/>
    <n v="0"/>
    <s v="2"/>
    <n v="3164069580.822104"/>
    <n v="7.2793113778539748E-3"/>
    <n v="6.8529999999999998"/>
    <n v="0"/>
    <n v="0"/>
    <n v="0"/>
    <n v="6.8529999999999998"/>
    <n v="9.7899999999999991"/>
    <x v="43"/>
    <x v="231"/>
    <n v="0.22807884438437731"/>
    <s v="51ALT"/>
    <x v="4"/>
    <x v="7"/>
    <n v="1.9905704011246073E-2"/>
    <x v="2"/>
    <x v="4"/>
  </r>
  <r>
    <s v="31/12/2025"/>
    <s v="51"/>
    <x v="3"/>
    <s v="FIV"/>
    <s v="5111072DES2B"/>
    <x v="87"/>
    <s v="CVL79010FO29"/>
    <s v=""/>
    <s v="1107"/>
    <s v="2"/>
    <n v="1"/>
    <n v="23032247.699999999"/>
    <n v="6853000"/>
    <n v="31150000"/>
    <d v="2026-12-31T00:00:00"/>
    <n v="365"/>
    <n v="3.3609"/>
    <x v="1"/>
    <n v="23043897.800000001"/>
    <n v="6853000"/>
    <s v=""/>
    <n v="0"/>
    <n v="0"/>
    <n v="0"/>
    <n v="0"/>
    <s v="2"/>
    <n v="3164069580.822104"/>
    <n v="7.2793113778539748E-3"/>
    <n v="6.8529999999999998"/>
    <n v="0"/>
    <n v="0"/>
    <n v="0"/>
    <n v="6.8529999999999998"/>
    <n v="9.7899999999999991"/>
    <x v="43"/>
    <x v="231"/>
    <n v="0.22807884438437731"/>
    <s v="51ALT"/>
    <x v="4"/>
    <x v="7"/>
    <n v="1.9905704011246073E-2"/>
    <x v="2"/>
    <x v="4"/>
  </r>
  <r>
    <s v="31/12/2025"/>
    <s v="51"/>
    <x v="3"/>
    <s v="FIV"/>
    <s v="5111152FCRET"/>
    <x v="88"/>
    <s v="CVL793501F27"/>
    <s v=""/>
    <s v="1115"/>
    <s v="2"/>
    <n v="1000"/>
    <n v="26013.366000000002"/>
    <n v="7740"/>
    <n v="6000"/>
    <d v="2026-01-09T00:00:00"/>
    <n v="9"/>
    <n v="3.3609"/>
    <x v="1"/>
    <n v="26026.524000000001"/>
    <n v="7740"/>
    <s v=""/>
    <n v="0"/>
    <n v="0"/>
    <n v="0"/>
    <n v="0"/>
    <s v="2"/>
    <n v="3164069580.822104"/>
    <n v="8.2214898678811868E-6"/>
    <n v="7.7400000000000012E-3"/>
    <n v="0"/>
    <n v="0"/>
    <n v="0"/>
    <n v="7.7400000000000012E-3"/>
    <n v="3.8700000000000005E-2"/>
    <x v="43"/>
    <x v="232"/>
    <n v="2.5759962870787695E-4"/>
    <s v="51ALT"/>
    <x v="4"/>
    <x v="7"/>
    <n v="2.2482146366123542E-5"/>
    <x v="2"/>
    <x v="4"/>
  </r>
  <r>
    <s v="31/12/2025"/>
    <s v="51"/>
    <x v="0"/>
    <s v="FIV"/>
    <s v="5111152FCRET"/>
    <x v="88"/>
    <s v="CVL793501F27"/>
    <s v=""/>
    <s v="1115"/>
    <s v="2"/>
    <n v="1000"/>
    <n v="104053.46400000001"/>
    <n v="30960"/>
    <n v="24000"/>
    <d v="2026-01-09T00:00:00"/>
    <n v="9"/>
    <n v="3.3609"/>
    <x v="1"/>
    <n v="104106.09600000001"/>
    <n v="30960"/>
    <s v=""/>
    <n v="0"/>
    <n v="0"/>
    <n v="0"/>
    <n v="0"/>
    <s v="2"/>
    <n v="26256910350.436607"/>
    <n v="3.9628982470235601E-6"/>
    <n v="3.0960000000000005E-2"/>
    <n v="0"/>
    <n v="0"/>
    <n v="3.0960000000000005E-2"/>
    <n v="0"/>
    <n v="3.8700000000000005E-2"/>
    <x v="43"/>
    <x v="233"/>
    <n v="1.2416741167905289E-4"/>
    <s v="51ALT"/>
    <x v="4"/>
    <x v="7"/>
    <n v="8.992858546449417E-5"/>
    <x v="2"/>
    <x v="4"/>
  </r>
  <r>
    <s v="31/12/2025"/>
    <s v="51"/>
    <x v="0"/>
    <s v="FIV"/>
    <s v="5111102FIBR3"/>
    <x v="89"/>
    <s v="CVL79033FI87"/>
    <s v=""/>
    <s v="1110"/>
    <s v="2"/>
    <n v="1000"/>
    <n v="95605727.982708007"/>
    <n v="28446466.120000001"/>
    <n v="28012"/>
    <d v="2030-01-22T00:00:00"/>
    <n v="1483"/>
    <n v="3.3609"/>
    <x v="1"/>
    <n v="95654086.975112006"/>
    <n v="28446466.120000001"/>
    <s v=""/>
    <n v="0"/>
    <n v="0"/>
    <n v="0"/>
    <n v="0"/>
    <s v="2"/>
    <n v="26256910350.436607"/>
    <n v="3.6411644289716764E-3"/>
    <n v="28.44646612"/>
    <n v="0"/>
    <n v="0"/>
    <n v="28.44646612"/>
    <n v="0"/>
    <n v="28.44646612"/>
    <x v="43"/>
    <x v="234"/>
    <n v="0.11408669475246352"/>
    <s v="51ALT"/>
    <x v="4"/>
    <x v="7"/>
    <n v="8.2627598825428222E-2"/>
    <x v="2"/>
    <x v="4"/>
  </r>
  <r>
    <s v="31/12/2025"/>
    <s v="51"/>
    <x v="0"/>
    <s v="FIV"/>
    <s v="5111102FIBR2"/>
    <x v="90"/>
    <s v="CVL79033FI61"/>
    <s v=""/>
    <s v="1110"/>
    <s v="2"/>
    <n v="1000"/>
    <n v="35956093.118904002"/>
    <n v="10698352.560000001"/>
    <n v="18900"/>
    <d v="2026-12-31T00:00:00"/>
    <n v="365"/>
    <n v="3.3609"/>
    <x v="1"/>
    <n v="35974280.318255998"/>
    <n v="10698352.560000001"/>
    <s v=""/>
    <n v="0"/>
    <n v="0"/>
    <n v="0"/>
    <n v="0"/>
    <s v="2"/>
    <n v="26256910350.436607"/>
    <n v="1.3693954330124037E-3"/>
    <n v="10.69835256"/>
    <n v="0"/>
    <n v="0"/>
    <n v="10.69835256"/>
    <n v="0"/>
    <n v="15.075054252799994"/>
    <x v="43"/>
    <x v="235"/>
    <n v="4.2906548662957671E-2"/>
    <s v="51ALT"/>
    <x v="4"/>
    <x v="7"/>
    <n v="3.1075184512960267E-2"/>
    <x v="2"/>
    <x v="4"/>
  </r>
  <r>
    <s v="31/12/2025"/>
    <s v="51"/>
    <x v="3"/>
    <s v="FIV"/>
    <s v="5111102FIBR2"/>
    <x v="90"/>
    <s v="CVL79033FI61"/>
    <s v=""/>
    <s v="1110"/>
    <s v="2"/>
    <n v="1000"/>
    <n v="14709656.719331499"/>
    <n v="4376701.6928000003"/>
    <n v="7732"/>
    <d v="2026-12-31T00:00:00"/>
    <n v="365"/>
    <n v="3.3609"/>
    <x v="1"/>
    <n v="14717097.112209201"/>
    <n v="4376701.6928000003"/>
    <s v=""/>
    <n v="0"/>
    <n v="0"/>
    <n v="0"/>
    <n v="0"/>
    <s v="2"/>
    <n v="3164069580.822104"/>
    <n v="4.6489675222343135E-3"/>
    <n v="4.376701692799994"/>
    <n v="0"/>
    <n v="0"/>
    <n v="0"/>
    <n v="4.376701692799994"/>
    <n v="15.075054252799994"/>
    <x v="43"/>
    <x v="236"/>
    <n v="0.14566366033984687"/>
    <s v="51ALT"/>
    <x v="4"/>
    <x v="7"/>
    <n v="1.2712874426148595E-2"/>
    <x v="2"/>
    <x v="4"/>
  </r>
  <r>
    <s v="31/12/2025"/>
    <s v="51"/>
    <x v="3"/>
    <s v="FIV"/>
    <s v="5111052INFS1"/>
    <x v="91"/>
    <s v="CVL79550FD69"/>
    <s v=""/>
    <s v="1105"/>
    <s v="2"/>
    <n v="1"/>
    <n v="19706273.50062"/>
    <n v="5863391.7999999998"/>
    <n v="70"/>
    <d v="2026-04-21T00:00:00"/>
    <n v="111"/>
    <n v="3.3609"/>
    <x v="1"/>
    <n v="19716241.266679998"/>
    <n v="5863391.7999999998"/>
    <s v=""/>
    <n v="0"/>
    <n v="0"/>
    <n v="0"/>
    <n v="0"/>
    <s v="2"/>
    <n v="3164069580.822104"/>
    <n v="6.2281416376120972E-3"/>
    <n v="5.8633917999999996"/>
    <n v="0"/>
    <n v="0"/>
    <n v="0"/>
    <n v="5.8633917999999996"/>
    <n v="29.316958999999997"/>
    <x v="43"/>
    <x v="237"/>
    <n v="0.1951430943990711"/>
    <s v="51ALT"/>
    <x v="4"/>
    <x v="7"/>
    <n v="1.7031218688569581E-2"/>
    <x v="2"/>
    <x v="4"/>
  </r>
  <r>
    <s v="31/12/2025"/>
    <s v="51"/>
    <x v="0"/>
    <s v="FIV"/>
    <s v="5111052INFS1"/>
    <x v="91"/>
    <s v="CVL79550FD69"/>
    <s v=""/>
    <s v="1105"/>
    <s v="2"/>
    <n v="1"/>
    <n v="78825094.00248"/>
    <n v="23453567.199999999"/>
    <n v="280"/>
    <d v="2026-04-21T00:00:00"/>
    <n v="111"/>
    <n v="3.3609"/>
    <x v="1"/>
    <n v="78864965.066719994"/>
    <n v="23453567.199999999"/>
    <s v=""/>
    <n v="0"/>
    <n v="0"/>
    <n v="0"/>
    <n v="0"/>
    <s v="2"/>
    <n v="26256910350.436607"/>
    <n v="3.002070424526139E-3"/>
    <n v="23.453567199999998"/>
    <n v="0"/>
    <n v="0"/>
    <n v="23.453567199999998"/>
    <n v="0"/>
    <n v="29.316958999999997"/>
    <x v="43"/>
    <x v="238"/>
    <n v="9.4062297605449985E-2"/>
    <s v="51ALT"/>
    <x v="4"/>
    <x v="7"/>
    <n v="6.8124874754278322E-2"/>
    <x v="2"/>
    <x v="4"/>
  </r>
  <r>
    <s v="31/12/2025"/>
    <s v="52"/>
    <x v="0"/>
    <s v="FMX"/>
    <s v="5270432F9263"/>
    <x v="92"/>
    <s v="LU0998992639"/>
    <s v=""/>
    <s v="7043"/>
    <s v="2"/>
    <n v="1"/>
    <n v="1283.6406698000001"/>
    <n v="381.93360999999999"/>
    <n v="1.7889999999999999"/>
    <m/>
    <m/>
    <n v="3.3609"/>
    <x v="0"/>
    <n v="1283.3274463"/>
    <n v="381.64737000000002"/>
    <s v=""/>
    <n v="0"/>
    <n v="0"/>
    <n v="0"/>
    <n v="0.16"/>
    <s v="2"/>
    <n v="26256910350.436607"/>
    <n v="4.8887727179929045E-8"/>
    <n v="3.8193360998542062E-4"/>
    <n v="0"/>
    <n v="0"/>
    <n v="3.8193360998542062E-4"/>
    <n v="0"/>
    <n v="6.3598670995864207E-4"/>
    <x v="44"/>
    <x v="239"/>
    <n v="5.5166604742481083E-6"/>
    <s v="52RFIG"/>
    <x v="1"/>
    <x v="1"/>
    <n v="3.9954563458192084E-6"/>
    <x v="4"/>
    <x v="5"/>
  </r>
  <r>
    <s v="31/12/2025"/>
    <s v="52"/>
    <x v="1"/>
    <s v="FMX"/>
    <s v="5270432F9263"/>
    <x v="92"/>
    <s v="LU0998992639"/>
    <s v=""/>
    <s v="7043"/>
    <s v="2"/>
    <n v="1"/>
    <n v="853.84706370000004"/>
    <n v="254.0531"/>
    <n v="1.19"/>
    <m/>
    <m/>
    <n v="3.3609"/>
    <x v="0"/>
    <n v="853.63871500000005"/>
    <n v="253.86269999999999"/>
    <s v=""/>
    <n v="0"/>
    <n v="0"/>
    <n v="0"/>
    <n v="0.16"/>
    <s v="2"/>
    <n v="7679510866.0565634"/>
    <n v="1.1118508438786172E-7"/>
    <n v="2.5405309997322145E-4"/>
    <n v="0"/>
    <n v="2.5405309997322145E-4"/>
    <n v="0"/>
    <n v="0"/>
    <n v="6.3598670995864207E-4"/>
    <x v="44"/>
    <x v="240"/>
    <n v="1.2546510049669023E-5"/>
    <s v="52RFIG"/>
    <x v="1"/>
    <x v="1"/>
    <n v="2.6576819738430372E-6"/>
    <x v="4"/>
    <x v="5"/>
  </r>
  <r>
    <s v="31/12/2025"/>
    <s v="52"/>
    <x v="1"/>
    <s v="FMX"/>
    <s v="5270492F2267"/>
    <x v="93"/>
    <s v="LU2416422678"/>
    <s v=""/>
    <s v="7049"/>
    <s v="2"/>
    <n v="0"/>
    <n v="158325404.85864431"/>
    <n v="47108037.98347"/>
    <n v="312159.81699999998"/>
    <m/>
    <m/>
    <n v="3.3609"/>
    <x v="0"/>
    <n v="158594428.87133211"/>
    <n v="47164226.750529997"/>
    <s v=""/>
    <n v="0"/>
    <n v="0"/>
    <n v="0"/>
    <n v="-0.18"/>
    <s v="2"/>
    <n v="7679510866.0565634"/>
    <n v="2.0616600148121746E-2"/>
    <n v="47.108037983469991"/>
    <n v="0"/>
    <n v="47.108037983469991"/>
    <n v="0"/>
    <n v="0"/>
    <n v="146.9171402195"/>
    <x v="45"/>
    <x v="241"/>
    <n v="0.88678739710600663"/>
    <s v="52RFIG"/>
    <x v="1"/>
    <x v="1"/>
    <n v="0.18784497606025458"/>
    <x v="4"/>
    <x v="5"/>
  </r>
  <r>
    <s v="31/12/2025"/>
    <s v="52"/>
    <x v="1"/>
    <s v="FMX"/>
    <s v="5270492F8979"/>
    <x v="94"/>
    <s v="LU1305089796"/>
    <s v=""/>
    <s v="7049"/>
    <s v="2"/>
    <n v="168.8"/>
    <n v="34376186.318189502"/>
    <n v="10228268.11812"/>
    <n v="57262.726000000002"/>
    <m/>
    <m/>
    <n v="3.3609"/>
    <x v="0"/>
    <n v="34376244.726170003"/>
    <n v="10223114.47278"/>
    <s v=""/>
    <n v="0"/>
    <n v="0"/>
    <n v="0"/>
    <n v="0.09"/>
    <s v="2"/>
    <n v="7679510866.0565634"/>
    <n v="4.476351022580388E-3"/>
    <n v="10.228268118119997"/>
    <n v="0"/>
    <n v="10.228268118119997"/>
    <n v="0"/>
    <n v="0"/>
    <n v="10.228787902319974"/>
    <x v="46"/>
    <x v="242"/>
    <n v="1.6197563634370806"/>
    <s v="52RFIG"/>
    <x v="1"/>
    <x v="1"/>
    <n v="0.34310714868776132"/>
    <x v="4"/>
    <x v="5"/>
  </r>
  <r>
    <s v="31/12/2025"/>
    <s v="52"/>
    <x v="1"/>
    <s v="FMX"/>
    <s v="5270492F3972"/>
    <x v="95"/>
    <s v="LU0926439729"/>
    <s v=""/>
    <s v="7049"/>
    <s v="2"/>
    <n v="1"/>
    <n v="91067064.737759501"/>
    <n v="27096035.210140001"/>
    <n v="154781.41899999999"/>
    <m/>
    <m/>
    <n v="3.3609"/>
    <x v="0"/>
    <n v="91092309.2776355"/>
    <n v="27089843.95338"/>
    <s v=""/>
    <n v="0"/>
    <n v="0"/>
    <n v="0"/>
    <n v="0.04"/>
    <s v="2"/>
    <n v="7679510866.0565634"/>
    <n v="1.1858445977370239E-2"/>
    <n v="27.096035210139995"/>
    <n v="0"/>
    <n v="27.096035210139995"/>
    <n v="0"/>
    <n v="0"/>
    <n v="27.096035210139995"/>
    <x v="47"/>
    <x v="243"/>
    <n v="3.6225996527213682"/>
    <s v="52RFIG"/>
    <x v="1"/>
    <x v="1"/>
    <n v="0.76736221924451475"/>
    <x v="4"/>
    <x v="5"/>
  </r>
  <r>
    <s v="31/12/2025"/>
    <s v="52"/>
    <x v="0"/>
    <s v="FMX"/>
    <s v="5270492F8979"/>
    <x v="94"/>
    <s v="LU1305089796"/>
    <s v=""/>
    <s v="7049"/>
    <s v="2"/>
    <n v="168.8"/>
    <n v="1746.9427177"/>
    <n v="519.78420000000006"/>
    <n v="2.91"/>
    <m/>
    <m/>
    <n v="3.3609"/>
    <x v="0"/>
    <n v="1746.9456858999999"/>
    <n v="519.52229999999997"/>
    <s v=""/>
    <n v="0"/>
    <n v="0"/>
    <n v="0"/>
    <n v="0.09"/>
    <s v="2"/>
    <n v="26256910350.436607"/>
    <n v="6.6532683944322165E-8"/>
    <n v="5.1978419997619687E-4"/>
    <n v="0"/>
    <n v="0"/>
    <n v="5.1978419997619687E-4"/>
    <n v="0"/>
    <n v="10.228787902319974"/>
    <x v="46"/>
    <x v="244"/>
    <n v="2.4074684414101619E-5"/>
    <s v="52RFIG"/>
    <x v="1"/>
    <x v="1"/>
    <n v="1.743615563526722E-5"/>
    <x v="4"/>
    <x v="5"/>
  </r>
  <r>
    <s v="31/12/2025"/>
    <s v="52"/>
    <x v="3"/>
    <s v="FMX"/>
    <s v="5270492F2267"/>
    <x v="93"/>
    <s v="LU2416422678"/>
    <s v=""/>
    <s v="7049"/>
    <s v="2"/>
    <n v="0"/>
    <n v="16231203.794838"/>
    <n v="4829421.82"/>
    <n v="32002"/>
    <m/>
    <m/>
    <n v="3.3609"/>
    <x v="0"/>
    <n v="16258783.598468"/>
    <n v="4835182.18"/>
    <s v=""/>
    <n v="0"/>
    <n v="0"/>
    <n v="0"/>
    <n v="-0.18"/>
    <s v="2"/>
    <n v="3164069580.822104"/>
    <n v="5.1298504600586978E-3"/>
    <n v="4.8294218200000003"/>
    <n v="0"/>
    <n v="0"/>
    <n v="0"/>
    <n v="4.8294218200000003"/>
    <n v="146.9171402195"/>
    <x v="45"/>
    <x v="245"/>
    <n v="0.22065164500136766"/>
    <s v="52RFIG"/>
    <x v="1"/>
    <x v="1"/>
    <n v="1.9257491184011901E-2"/>
    <x v="4"/>
    <x v="5"/>
  </r>
  <r>
    <s v="31/12/2025"/>
    <s v="52"/>
    <x v="0"/>
    <s v="FMX"/>
    <s v="5270492F2267"/>
    <x v="93"/>
    <s v="LU2416422678"/>
    <s v=""/>
    <s v="7049"/>
    <s v="2"/>
    <n v="0"/>
    <n v="319217207.91023523"/>
    <n v="94979680.416030005"/>
    <n v="629379.63300000003"/>
    <m/>
    <m/>
    <n v="3.3609"/>
    <x v="0"/>
    <n v="319759616.71864909"/>
    <n v="95092968.749970004"/>
    <s v=""/>
    <n v="0"/>
    <n v="0"/>
    <n v="0"/>
    <n v="-0.18"/>
    <s v="2"/>
    <n v="26256910350.436607"/>
    <n v="1.2157455071819872E-2"/>
    <n v="94.979680416030007"/>
    <n v="0"/>
    <n v="0"/>
    <n v="94.979680416030007"/>
    <n v="0"/>
    <n v="146.9171402195"/>
    <x v="45"/>
    <x v="246"/>
    <n v="0.52293190250161414"/>
    <s v="52RFIG"/>
    <x v="1"/>
    <x v="1"/>
    <n v="0.3787348520059417"/>
    <x v="4"/>
    <x v="5"/>
  </r>
  <r>
    <s v="31/12/2025"/>
    <s v="52"/>
    <x v="0"/>
    <s v="FMX"/>
    <s v="5270512FGKM4"/>
    <x v="96"/>
    <s v="IE00BKZGKM40"/>
    <s v=""/>
    <s v="7051"/>
    <s v="2"/>
    <n v="1"/>
    <n v="418.06235099999998"/>
    <n v="124.39"/>
    <n v="1"/>
    <m/>
    <m/>
    <n v="3.3609"/>
    <x v="0"/>
    <n v="419.28259400000002"/>
    <n v="124.69"/>
    <s v=""/>
    <n v="0"/>
    <n v="0"/>
    <n v="0"/>
    <n v="-0.3"/>
    <s v="2"/>
    <n v="26256910350.436607"/>
    <n v="1.592199331225002E-8"/>
    <n v="1.2438999999999999E-4"/>
    <n v="0"/>
    <n v="0"/>
    <n v="1.2438999999999999E-4"/>
    <n v="0"/>
    <n v="3.3747006998125504E-4"/>
    <x v="48"/>
    <x v="247"/>
    <n v="3.876422658421638E-8"/>
    <s v="52RFIG"/>
    <x v="1"/>
    <x v="1"/>
    <n v="2.8075096486301414E-8"/>
    <x v="4"/>
    <x v="5"/>
  </r>
  <r>
    <s v="31/12/2025"/>
    <s v="52"/>
    <x v="1"/>
    <s v="FMX"/>
    <s v="5270512FWZK5"/>
    <x v="97"/>
    <s v="IE00BYXWZK58"/>
    <s v=""/>
    <s v="7051"/>
    <s v="2"/>
    <n v="103.92"/>
    <n v="371.64832200000001"/>
    <n v="110.58"/>
    <n v="1"/>
    <m/>
    <m/>
    <n v="3.3609"/>
    <x v="0"/>
    <n v="371.56729999999999"/>
    <n v="110.5"/>
    <s v=""/>
    <n v="0"/>
    <n v="0"/>
    <n v="0"/>
    <n v="0.08"/>
    <s v="2"/>
    <n v="7679510866.0565634"/>
    <n v="4.8394790824853903E-8"/>
    <n v="1.1058E-4"/>
    <n v="0"/>
    <n v="1.1058E-4"/>
    <n v="0"/>
    <n v="0"/>
    <n v="1.1058E-4"/>
    <x v="49"/>
    <x v="248"/>
    <n v="1.9976724529128235E-5"/>
    <s v="52RFIG"/>
    <x v="1"/>
    <x v="1"/>
    <n v="4.2315975093721554E-6"/>
    <x v="4"/>
    <x v="5"/>
  </r>
  <r>
    <s v="31/12/2025"/>
    <s v="52"/>
    <x v="1"/>
    <s v="FMX"/>
    <s v="5270512FGKM4"/>
    <x v="96"/>
    <s v="IE00BKZGKM40"/>
    <s v=""/>
    <s v="7051"/>
    <s v="2"/>
    <n v="1"/>
    <n v="716.14080720000004"/>
    <n v="213.08007000000001"/>
    <n v="1.7130000000000001"/>
    <m/>
    <m/>
    <n v="3.3609"/>
    <x v="0"/>
    <n v="718.23108349999995"/>
    <n v="213.59397000000001"/>
    <s v=""/>
    <n v="0"/>
    <n v="0"/>
    <n v="0"/>
    <n v="-0.3"/>
    <s v="2"/>
    <n v="7679510866.0565634"/>
    <n v="9.3253440185278242E-8"/>
    <n v="2.1308006998125504E-4"/>
    <n v="0"/>
    <n v="2.1308006998125504E-4"/>
    <n v="0"/>
    <n v="0"/>
    <n v="3.3747006998125504E-4"/>
    <x v="48"/>
    <x v="249"/>
    <n v="2.2703799795711349E-7"/>
    <s v="52RFIG"/>
    <x v="1"/>
    <x v="1"/>
    <n v="4.8092640276803542E-8"/>
    <x v="4"/>
    <x v="5"/>
  </r>
  <r>
    <s v="31/12/2025"/>
    <s v="52"/>
    <x v="1"/>
    <s v="FMX"/>
    <s v="5270604F1743"/>
    <x v="98"/>
    <s v="LU2343117433"/>
    <s v=""/>
    <s v="7060"/>
    <s v="4"/>
    <n v="0"/>
    <n v="603.34855760000005"/>
    <n v="152.90003999999999"/>
    <n v="1.244"/>
    <m/>
    <m/>
    <n v="3.9460326999999999"/>
    <x v="0"/>
    <n v="604.27295019999997"/>
    <n v="152.88759999999999"/>
    <s v=""/>
    <n v="0"/>
    <n v="0"/>
    <n v="0"/>
    <n v="0.01"/>
    <s v="4"/>
    <n v="7679510866.0565634"/>
    <n v="7.8566013919818843E-8"/>
    <n v="1.7951993739772086E-4"/>
    <n v="0"/>
    <n v="1.7951993739772086E-4"/>
    <n v="0"/>
    <n v="0"/>
    <n v="3.9843613115534532E-4"/>
    <x v="50"/>
    <x v="250"/>
    <n v="8.2870481399531787E-6"/>
    <s v="52RFIG"/>
    <x v="1"/>
    <x v="1"/>
    <n v="1.755415519593358E-6"/>
    <x v="2"/>
    <x v="6"/>
  </r>
  <r>
    <s v="31/12/2025"/>
    <s v="52"/>
    <x v="1"/>
    <s v="FMX"/>
    <s v="5270604F1414"/>
    <x v="99"/>
    <s v="LU0646914142"/>
    <s v=""/>
    <s v="7060"/>
    <s v="4"/>
    <n v="186.59"/>
    <n v="103572660.4955181"/>
    <n v="26247288.953159999"/>
    <n v="138889.242"/>
    <m/>
    <m/>
    <n v="3.9460326999999999"/>
    <x v="0"/>
    <n v="103635485.1488542"/>
    <n v="26220899.99718"/>
    <s v=""/>
    <n v="0"/>
    <n v="0"/>
    <n v="0"/>
    <n v="0.19"/>
    <s v="4"/>
    <n v="7679510866.0565634"/>
    <n v="1.3486882472334176E-2"/>
    <n v="30.816942038001162"/>
    <n v="0"/>
    <n v="30.816942038001162"/>
    <n v="0"/>
    <n v="0"/>
    <n v="30.816942038001162"/>
    <x v="50"/>
    <x v="251"/>
    <n v="1.4225800537645727"/>
    <s v="52RFIG"/>
    <x v="1"/>
    <x v="1"/>
    <n v="0.30134000214175105"/>
    <x v="2"/>
    <x v="6"/>
  </r>
  <r>
    <s v="31/12/2025"/>
    <s v="52"/>
    <x v="0"/>
    <s v="FMX"/>
    <s v="5270604F1743"/>
    <x v="98"/>
    <s v="LU2343117433"/>
    <s v=""/>
    <s v="7060"/>
    <s v="4"/>
    <n v="0"/>
    <n v="735.75543560000006"/>
    <n v="186.45446999999999"/>
    <n v="1.5169999999999999"/>
    <m/>
    <m/>
    <n v="3.9460326999999999"/>
    <x v="0"/>
    <n v="736.88268930000004"/>
    <n v="186.4393"/>
    <s v=""/>
    <n v="0"/>
    <n v="0"/>
    <n v="0"/>
    <n v="0.01"/>
    <s v="4"/>
    <n v="26256910350.436607"/>
    <n v="2.8021401824520673E-8"/>
    <n v="2.1891619375762446E-4"/>
    <n v="0"/>
    <n v="0"/>
    <n v="2.1891619375762446E-4"/>
    <n v="0"/>
    <n v="3.9843613115534532E-4"/>
    <x v="50"/>
    <x v="252"/>
    <n v="2.9556635787296424E-6"/>
    <s v="52RFIG"/>
    <x v="1"/>
    <x v="1"/>
    <n v="2.1406473820289969E-6"/>
    <x v="2"/>
    <x v="6"/>
  </r>
  <r>
    <s v="31/12/2025"/>
    <s v="52"/>
    <x v="0"/>
    <s v="FMX"/>
    <s v="5270882F3974"/>
    <x v="100"/>
    <s v="LU0301639745"/>
    <s v=""/>
    <s v="7088"/>
    <s v="2"/>
    <n v="220.06"/>
    <n v="46132353.046488002"/>
    <n v="13726190.32"/>
    <n v="56338"/>
    <m/>
    <m/>
    <n v="3.3609"/>
    <x v="1"/>
    <n v="46163265.256384"/>
    <n v="13728443.84"/>
    <s v="GJPM"/>
    <n v="0"/>
    <n v="0"/>
    <n v="0"/>
    <n v="-0.04"/>
    <s v="2"/>
    <n v="26256910350.436607"/>
    <n v="1.7569604508216976E-3"/>
    <n v="13.726190320000001"/>
    <n v="0"/>
    <n v="0"/>
    <n v="13.726190320000001"/>
    <n v="0"/>
    <n v="17.875135879999998"/>
    <x v="51"/>
    <x v="253"/>
    <n v="0.30463408652405299"/>
    <s v="52RVI"/>
    <x v="1"/>
    <x v="8"/>
    <n v="0.22063206532957"/>
    <x v="4"/>
    <x v="5"/>
  </r>
  <r>
    <s v="31/12/2025"/>
    <s v="52"/>
    <x v="3"/>
    <s v="FMX"/>
    <s v="5270882F3974"/>
    <x v="100"/>
    <s v="LU0301639745"/>
    <s v=""/>
    <s v="7088"/>
    <s v="2"/>
    <n v="220.06"/>
    <n v="9956393.2104839999"/>
    <n v="2962418.76"/>
    <n v="12159"/>
    <m/>
    <m/>
    <n v="3.3609"/>
    <x v="1"/>
    <n v="9963064.7565119993"/>
    <n v="2962905.12"/>
    <s v="GJPM"/>
    <n v="0"/>
    <n v="0"/>
    <n v="0"/>
    <n v="-0.04"/>
    <s v="2"/>
    <n v="3164069580.822104"/>
    <n v="3.14670488627405E-3"/>
    <n v="2.9624187599999998"/>
    <n v="0"/>
    <n v="0"/>
    <n v="0"/>
    <n v="2.9624187599999998"/>
    <n v="17.875135879999998"/>
    <x v="51"/>
    <x v="254"/>
    <n v="0.54559769296033556"/>
    <s v="52RVI"/>
    <x v="1"/>
    <x v="8"/>
    <n v="4.7617332570241068E-2"/>
    <x v="4"/>
    <x v="5"/>
  </r>
  <r>
    <s v="31/12/2025"/>
    <s v="52"/>
    <x v="1"/>
    <s v="FMX"/>
    <s v="5270882F3974"/>
    <x v="100"/>
    <s v="LU0301639745"/>
    <s v=""/>
    <s v="7088"/>
    <s v="2"/>
    <n v="220.06"/>
    <n v="3987797.9221199998"/>
    <n v="1186526.8"/>
    <n v="4870"/>
    <m/>
    <m/>
    <n v="3.3609"/>
    <x v="1"/>
    <n v="3990470.05216"/>
    <n v="1186721.6000000001"/>
    <s v="GJPM"/>
    <n v="0"/>
    <n v="0"/>
    <n v="0"/>
    <n v="-0.04"/>
    <s v="2"/>
    <n v="7679510866.0565634"/>
    <n v="5.1927759354388912E-4"/>
    <n v="1.1865268"/>
    <n v="0"/>
    <n v="1.1865268"/>
    <n v="0"/>
    <n v="0"/>
    <n v="17.875135879999998"/>
    <x v="51"/>
    <x v="255"/>
    <n v="9.003597963042867E-2"/>
    <s v="52RVI"/>
    <x v="1"/>
    <x v="8"/>
    <n v="1.9071996843249776E-2"/>
    <x v="4"/>
    <x v="5"/>
  </r>
  <r>
    <s v="31/12/2025"/>
    <s v="52"/>
    <x v="3"/>
    <s v="FMX"/>
    <s v="5270942F9527"/>
    <x v="101"/>
    <s v="IE0003895277"/>
    <s v=""/>
    <s v="7094"/>
    <s v="2"/>
    <n v="974.3229"/>
    <n v="3366.4120806000001"/>
    <n v="1001.6400609"/>
    <n v="1.0109999999999999"/>
    <m/>
    <m/>
    <n v="3.3609"/>
    <x v="1"/>
    <n v="3370.3704957999998"/>
    <n v="1002.3108594"/>
    <s v=""/>
    <n v="0"/>
    <n v="0"/>
    <n v="0"/>
    <n v="-0.66349999999999998"/>
    <s v="2"/>
    <n v="3164069580.822104"/>
    <n v="1.0639500790388188E-6"/>
    <n v="1.001640060876551E-3"/>
    <n v="0"/>
    <n v="0"/>
    <n v="0"/>
    <n v="1.001640060876551E-3"/>
    <n v="2.204400727453956E-3"/>
    <x v="52"/>
    <x v="256"/>
    <n v="8.2299041247668061E-5"/>
    <s v="52RVI"/>
    <x v="1"/>
    <x v="8"/>
    <n v="7.182693159934413E-6"/>
    <x v="4"/>
    <x v="5"/>
  </r>
  <r>
    <s v="31/12/2025"/>
    <s v="52"/>
    <x v="0"/>
    <s v="FMX"/>
    <s v="5270942F9527"/>
    <x v="101"/>
    <s v="IE0003895277"/>
    <s v=""/>
    <s v="7094"/>
    <s v="2"/>
    <n v="974.3229"/>
    <n v="4042.3583242999998"/>
    <n v="1202.7606665999999"/>
    <n v="1.214"/>
    <m/>
    <m/>
    <n v="3.3609"/>
    <x v="1"/>
    <n v="4047.1115547999998"/>
    <n v="1203.5661556"/>
    <s v=""/>
    <n v="0"/>
    <n v="0"/>
    <n v="0"/>
    <n v="-0.66349999999999998"/>
    <s v="2"/>
    <n v="26256910350.436607"/>
    <n v="1.5395407419794851E-7"/>
    <n v="1.2027606665774048E-3"/>
    <n v="0"/>
    <n v="0"/>
    <n v="1.2027606665774048E-3"/>
    <n v="0"/>
    <n v="2.204400727453956E-3"/>
    <x v="52"/>
    <x v="257"/>
    <n v="1.1908709771524188E-5"/>
    <s v="52RVI"/>
    <x v="1"/>
    <x v="8"/>
    <n v="8.6249154265091007E-6"/>
    <x v="4"/>
    <x v="5"/>
  </r>
  <r>
    <s v="31/12/2025"/>
    <s v="52"/>
    <x v="3"/>
    <s v="FMX"/>
    <s v="5271112E6772"/>
    <x v="102"/>
    <s v="US4642867729"/>
    <s v=""/>
    <s v="7111"/>
    <s v="2"/>
    <n v="1"/>
    <n v="53586458.472000003"/>
    <n v="15944080"/>
    <n v="164000"/>
    <m/>
    <m/>
    <n v="3.3609"/>
    <x v="1"/>
    <n v="54385616.368000001"/>
    <n v="16173680"/>
    <s v=""/>
    <n v="0"/>
    <n v="0"/>
    <n v="0"/>
    <n v="-1.4"/>
    <s v="2"/>
    <n v="3164069580.822104"/>
    <n v="1.6935929221277398E-2"/>
    <n v="15.94408"/>
    <n v="0"/>
    <n v="0"/>
    <n v="0"/>
    <n v="15.94408"/>
    <n v="104.72538399999999"/>
    <x v="53"/>
    <x v="258"/>
    <n v="1.7035441604847532"/>
    <s v="52RVI"/>
    <x v="1"/>
    <x v="8"/>
    <n v="0.14867773431694448"/>
    <x v="4"/>
    <x v="5"/>
  </r>
  <r>
    <s v="31/12/2025"/>
    <s v="52"/>
    <x v="3"/>
    <s v="FMX"/>
    <s v="5271112E6731"/>
    <x v="103"/>
    <s v="US46434G7723"/>
    <s v=""/>
    <s v="7111"/>
    <s v="2"/>
    <n v="1"/>
    <n v="42895761.579300001"/>
    <n v="12763177"/>
    <n v="200900"/>
    <m/>
    <m/>
    <n v="3.3609"/>
    <x v="1"/>
    <n v="43039057.321400002"/>
    <n v="12799339"/>
    <s v=""/>
    <n v="0"/>
    <n v="0"/>
    <n v="0"/>
    <n v="-0.18"/>
    <s v="2"/>
    <n v="3164069580.822104"/>
    <n v="1.3557148628872636E-2"/>
    <n v="12.763177000000001"/>
    <n v="0"/>
    <n v="0"/>
    <n v="0"/>
    <n v="12.763177000000001"/>
    <n v="68.472633999999999"/>
    <x v="54"/>
    <x v="259"/>
    <n v="0.95207989935084258"/>
    <s v="52RVI"/>
    <x v="1"/>
    <x v="8"/>
    <n v="8.3093286107656927E-2"/>
    <x v="4"/>
    <x v="5"/>
  </r>
  <r>
    <s v="31/12/2025"/>
    <s v="52"/>
    <x v="3"/>
    <s v="FMX"/>
    <s v="5271112E7523"/>
    <x v="104"/>
    <s v="US4642875235"/>
    <s v=""/>
    <s v="7111"/>
    <s v="2"/>
    <n v="420.85"/>
    <n v="257082298.88999999"/>
    <n v="76492100"/>
    <n v="254000"/>
    <m/>
    <m/>
    <n v="3.3609"/>
    <x v="1"/>
    <n v="260432293.96799999"/>
    <n v="77449680"/>
    <s v=""/>
    <n v="0"/>
    <n v="0"/>
    <n v="0"/>
    <n v="-3.77"/>
    <s v="2"/>
    <n v="3164069580.822104"/>
    <n v="8.125052004172538E-2"/>
    <n v="76.492099999999994"/>
    <n v="0"/>
    <n v="0"/>
    <n v="0"/>
    <n v="76.492099999999994"/>
    <n v="420.28493999999995"/>
    <x v="55"/>
    <x v="260"/>
    <n v="0.68725435256513701"/>
    <s v="52RVI"/>
    <x v="1"/>
    <x v="8"/>
    <n v="5.9980493848640466E-2"/>
    <x v="4"/>
    <x v="5"/>
  </r>
  <r>
    <s v="31/12/2025"/>
    <s v="52"/>
    <x v="0"/>
    <s v="FMX"/>
    <s v="5271112E7176"/>
    <x v="105"/>
    <s v="US4642871762"/>
    <s v=""/>
    <s v="7111"/>
    <s v="2"/>
    <n v="1"/>
    <n v="272356053.4587"/>
    <n v="81036643"/>
    <n v="737300"/>
    <m/>
    <m/>
    <n v="3.3609"/>
    <x v="0"/>
    <n v="273039249.64740002"/>
    <n v="81198849"/>
    <s v=""/>
    <n v="0"/>
    <n v="0"/>
    <n v="0"/>
    <n v="-0.22"/>
    <s v="2"/>
    <n v="26256910350.436607"/>
    <n v="1.0372738064902262E-2"/>
    <n v="81.036642999999998"/>
    <n v="0"/>
    <n v="0"/>
    <n v="81.036642999999998"/>
    <n v="0"/>
    <n v="98.248548999999997"/>
    <x v="56"/>
    <x v="261"/>
    <n v="2.1014310806205381"/>
    <s v="52RFIG"/>
    <x v="1"/>
    <x v="1"/>
    <n v="1.521967172995434"/>
    <x v="4"/>
    <x v="7"/>
  </r>
  <r>
    <s v="31/12/2025"/>
    <s v="52"/>
    <x v="0"/>
    <s v="FMX"/>
    <s v="5271112E6772"/>
    <x v="102"/>
    <s v="US4642867729"/>
    <s v=""/>
    <s v="7111"/>
    <s v="2"/>
    <n v="1"/>
    <n v="283158688.48680001"/>
    <n v="84250852"/>
    <n v="866600"/>
    <m/>
    <m/>
    <n v="3.3609"/>
    <x v="1"/>
    <n v="287381555.75919998"/>
    <n v="85464092"/>
    <s v=""/>
    <n v="0"/>
    <n v="0"/>
    <n v="0"/>
    <n v="-1.4"/>
    <s v="2"/>
    <n v="26256910350.436607"/>
    <n v="1.0784158711273948E-2"/>
    <n v="84.250851999999995"/>
    <n v="0"/>
    <n v="0"/>
    <n v="84.250851999999995"/>
    <n v="0"/>
    <n v="104.72538399999999"/>
    <x v="53"/>
    <x v="262"/>
    <n v="1.08475244306352"/>
    <s v="52RVI"/>
    <x v="1"/>
    <x v="8"/>
    <n v="0.78563490584795181"/>
    <x v="4"/>
    <x v="5"/>
  </r>
  <r>
    <s v="31/12/2025"/>
    <s v="52"/>
    <x v="0"/>
    <s v="FMX"/>
    <s v="5271112E6731"/>
    <x v="103"/>
    <s v="US46434G7723"/>
    <s v=""/>
    <s v="7111"/>
    <s v="2"/>
    <n v="1"/>
    <n v="187233914.03130001"/>
    <n v="55709457"/>
    <n v="876900"/>
    <m/>
    <m/>
    <n v="3.3609"/>
    <x v="1"/>
    <n v="187859379.61739999"/>
    <n v="55867299"/>
    <s v=""/>
    <n v="0"/>
    <n v="0"/>
    <n v="0"/>
    <n v="-0.18"/>
    <s v="2"/>
    <n v="26256910350.436607"/>
    <n v="7.130843329713644E-3"/>
    <n v="55.709457"/>
    <n v="0"/>
    <n v="0"/>
    <n v="55.709457"/>
    <n v="0"/>
    <n v="68.472633999999999"/>
    <x v="54"/>
    <x v="263"/>
    <n v="0.50077879836631645"/>
    <s v="52RVI"/>
    <x v="1"/>
    <x v="8"/>
    <n v="0.36269040611151993"/>
    <x v="4"/>
    <x v="5"/>
  </r>
  <r>
    <s v="31/12/2025"/>
    <s v="52"/>
    <x v="0"/>
    <s v="FMX"/>
    <s v="5271112E7523"/>
    <x v="104"/>
    <s v="US4642875235"/>
    <s v=""/>
    <s v="7111"/>
    <s v="2"/>
    <n v="420.85"/>
    <n v="1074583766.6594999"/>
    <n v="319730955"/>
    <n v="1061700"/>
    <m/>
    <m/>
    <n v="3.3609"/>
    <x v="1"/>
    <n v="1088586482.3064001"/>
    <n v="323733564"/>
    <s v=""/>
    <n v="0"/>
    <n v="0"/>
    <n v="0"/>
    <n v="-3.77"/>
    <s v="2"/>
    <n v="26256910350.436607"/>
    <n v="4.092575068115855E-2"/>
    <n v="319.73095499999994"/>
    <n v="0"/>
    <n v="0"/>
    <n v="319.73095499999994"/>
    <n v="0"/>
    <n v="420.28493999999995"/>
    <x v="55"/>
    <x v="264"/>
    <n v="0.34616886480453052"/>
    <s v="52RVI"/>
    <x v="1"/>
    <x v="8"/>
    <n v="0.25071374141378572"/>
    <x v="4"/>
    <x v="5"/>
  </r>
  <r>
    <s v="31/12/2025"/>
    <s v="52"/>
    <x v="1"/>
    <s v="FMX"/>
    <s v="5271112E7176"/>
    <x v="105"/>
    <s v="US4642871762"/>
    <s v=""/>
    <s v="7111"/>
    <s v="2"/>
    <n v="1"/>
    <n v="57847494.875399999"/>
    <n v="17211906"/>
    <n v="156600"/>
    <m/>
    <m/>
    <n v="3.3609"/>
    <x v="0"/>
    <n v="57992603.410800003"/>
    <n v="17246358"/>
    <s v=""/>
    <n v="0"/>
    <n v="0"/>
    <n v="0"/>
    <n v="-0.22"/>
    <s v="2"/>
    <n v="7679510866.0565634"/>
    <n v="7.5327056481013545E-3"/>
    <n v="17.211905999999999"/>
    <n v="0"/>
    <n v="17.211905999999999"/>
    <n v="0"/>
    <n v="0"/>
    <n v="98.248548999999997"/>
    <x v="56"/>
    <x v="265"/>
    <n v="1.5260639641183509"/>
    <s v="52RFIG"/>
    <x v="1"/>
    <x v="1"/>
    <n v="0.32326062564910479"/>
    <x v="4"/>
    <x v="7"/>
  </r>
  <r>
    <s v="31/12/2025"/>
    <s v="52"/>
    <x v="1"/>
    <s v="FMX"/>
    <s v="5271112EG102"/>
    <x v="106"/>
    <s v="US46435G1022"/>
    <s v=""/>
    <s v="7111"/>
    <s v="2"/>
    <n v="1"/>
    <n v="57668674.829999998"/>
    <n v="17158700"/>
    <n v="174200"/>
    <m/>
    <m/>
    <n v="3.3609"/>
    <x v="0"/>
    <n v="57908719.9912"/>
    <n v="17221412"/>
    <s v=""/>
    <n v="0"/>
    <n v="0"/>
    <n v="0"/>
    <n v="-0.36"/>
    <s v="2"/>
    <n v="7679510866.0565634"/>
    <n v="7.5094203049956643E-3"/>
    <n v="17.1587"/>
    <n v="0"/>
    <n v="17.1587"/>
    <n v="0"/>
    <n v="0"/>
    <n v="17.1587"/>
    <x v="57"/>
    <x v="266"/>
    <n v="0.41721572502742771"/>
    <s v="52RFIG"/>
    <x v="1"/>
    <x v="1"/>
    <n v="8.8377302311131445E-2"/>
    <x v="4"/>
    <x v="5"/>
  </r>
  <r>
    <s v="31/12/2025"/>
    <s v="52"/>
    <x v="1"/>
    <s v="FMX"/>
    <s v="5271112E7523"/>
    <x v="104"/>
    <s v="US4642875235"/>
    <s v=""/>
    <s v="7111"/>
    <s v="2"/>
    <n v="420.85"/>
    <n v="80869589.296499997"/>
    <n v="24061885"/>
    <n v="79900"/>
    <m/>
    <m/>
    <n v="3.3609"/>
    <x v="1"/>
    <n v="81923386.960800007"/>
    <n v="24363108"/>
    <s v=""/>
    <n v="0"/>
    <n v="0"/>
    <n v="0"/>
    <n v="-3.77"/>
    <s v="2"/>
    <n v="7679510866.0565634"/>
    <n v="1.0530565124133565E-2"/>
    <n v="24.061885"/>
    <n v="0"/>
    <n v="24.061885"/>
    <n v="0"/>
    <n v="0"/>
    <n v="420.28493999999995"/>
    <x v="55"/>
    <x v="267"/>
    <n v="8.9072374094526979E-2"/>
    <s v="52RVI"/>
    <x v="1"/>
    <x v="8"/>
    <n v="1.8867879757899109E-2"/>
    <x v="4"/>
    <x v="5"/>
  </r>
  <r>
    <s v="31/12/2025"/>
    <s v="52"/>
    <x v="1"/>
    <s v="FMX"/>
    <s v="5271112E6772"/>
    <x v="102"/>
    <s v="US4642867729"/>
    <s v=""/>
    <s v="7111"/>
    <s v="2"/>
    <n v="1"/>
    <n v="15226396.126800001"/>
    <n v="4530452"/>
    <n v="46600"/>
    <m/>
    <m/>
    <n v="3.3609"/>
    <x v="1"/>
    <n v="15453473.919199999"/>
    <n v="4595692"/>
    <s v=""/>
    <n v="0"/>
    <n v="0"/>
    <n v="0"/>
    <n v="-1.4"/>
    <s v="2"/>
    <n v="7679510866.0565634"/>
    <n v="1.9827299410566197E-3"/>
    <n v="4.5304520000000004"/>
    <n v="0"/>
    <n v="4.5304520000000004"/>
    <n v="0"/>
    <n v="0"/>
    <n v="104.72538399999999"/>
    <x v="53"/>
    <x v="268"/>
    <n v="0.19943800949886833"/>
    <s v="52RVI"/>
    <x v="1"/>
    <x v="8"/>
    <n v="4.2246234263229349E-2"/>
    <x v="4"/>
    <x v="5"/>
  </r>
  <r>
    <s v="31/12/2025"/>
    <s v="52"/>
    <x v="3"/>
    <s v="FMX"/>
    <s v="5271284E8930"/>
    <x v="107"/>
    <s v="DE0006289309"/>
    <s v=""/>
    <s v="7128"/>
    <s v="4"/>
    <n v="1"/>
    <n v="86111511.362226307"/>
    <n v="21822300.5"/>
    <n v="843700"/>
    <m/>
    <m/>
    <n v="3.9460326999999999"/>
    <x v="1"/>
    <n v="86250460.496199995"/>
    <n v="21822300.5"/>
    <s v=""/>
    <n v="0"/>
    <n v="0"/>
    <n v="0"/>
    <n v="0"/>
    <s v="4"/>
    <n v="3164069580.822104"/>
    <n v="2.7215429105655886E-2"/>
    <n v="25.621563081979918"/>
    <n v="0"/>
    <n v="0"/>
    <n v="0"/>
    <n v="25.621563081979918"/>
    <n v="127.67051481919144"/>
    <x v="58"/>
    <x v="269"/>
    <n v="1.1432193979946255E-2"/>
    <s v="52RVI"/>
    <x v="1"/>
    <x v="8"/>
    <n v="9.9775088819919902E-4"/>
    <x v="4"/>
    <x v="5"/>
  </r>
  <r>
    <s v="31/12/2025"/>
    <s v="52"/>
    <x v="0"/>
    <s v="FMX"/>
    <s v="5271284E8930"/>
    <x v="107"/>
    <s v="DE0006289309"/>
    <s v=""/>
    <s v="7128"/>
    <s v="4"/>
    <n v="1"/>
    <n v="342976321.89359421"/>
    <n v="86916746"/>
    <n v="3360400"/>
    <m/>
    <m/>
    <n v="3.9460326999999999"/>
    <x v="1"/>
    <n v="343529746.89039999"/>
    <n v="86916746"/>
    <s v=""/>
    <n v="0"/>
    <n v="0"/>
    <n v="0"/>
    <n v="0"/>
    <s v="4"/>
    <n v="26256910350.436607"/>
    <n v="1.3062325967376855E-2"/>
    <n v="102.04895173721152"/>
    <n v="0"/>
    <n v="0"/>
    <n v="102.04895173721152"/>
    <n v="0"/>
    <n v="127.67051481919144"/>
    <x v="58"/>
    <x v="270"/>
    <n v="5.4869994409644449E-3"/>
    <s v="52RVI"/>
    <x v="1"/>
    <x v="8"/>
    <n v="3.9739742618283636E-3"/>
    <x v="4"/>
    <x v="5"/>
  </r>
  <r>
    <s v="31/12/2025"/>
    <s v="52"/>
    <x v="0"/>
    <s v="FMX"/>
    <s v="5273862FW849"/>
    <x v="108"/>
    <s v="IE00B3RW8498"/>
    <s v=""/>
    <s v="7386"/>
    <s v="2"/>
    <n v="1"/>
    <n v="1468.9445298999999"/>
    <n v="437.06880000000001"/>
    <n v="1"/>
    <m/>
    <m/>
    <n v="3.3609"/>
    <x v="0"/>
    <n v="1468.4944963999999"/>
    <n v="436.714"/>
    <s v=""/>
    <n v="0"/>
    <n v="0"/>
    <n v="0"/>
    <n v="0.3548"/>
    <s v="2"/>
    <n v="26256910350.436607"/>
    <n v="5.5945063996289032E-8"/>
    <n v="4.3706879999404918E-4"/>
    <n v="0"/>
    <n v="0"/>
    <n v="4.3706879999404918E-4"/>
    <n v="0"/>
    <n v="8.7413759998809836E-4"/>
    <x v="59"/>
    <x v="271"/>
    <n v="8.2327564815612137E-6"/>
    <s v="52RFIG"/>
    <x v="1"/>
    <x v="1"/>
    <n v="5.9625962629721546E-6"/>
    <x v="4"/>
    <x v="5"/>
  </r>
  <r>
    <s v="31/12/2025"/>
    <s v="52"/>
    <x v="1"/>
    <s v="FMX"/>
    <s v="5273862FW849"/>
    <x v="108"/>
    <s v="IE00B3RW8498"/>
    <s v=""/>
    <s v="7386"/>
    <s v="2"/>
    <n v="1"/>
    <n v="1468.9445298999999"/>
    <n v="437.06880000000001"/>
    <n v="1"/>
    <m/>
    <m/>
    <n v="3.3609"/>
    <x v="0"/>
    <n v="1468.4944963999999"/>
    <n v="436.714"/>
    <s v=""/>
    <n v="0"/>
    <n v="0"/>
    <n v="0"/>
    <n v="0.3548"/>
    <s v="2"/>
    <n v="7679510866.0565634"/>
    <n v="1.912810015534628E-7"/>
    <n v="4.3706879999404918E-4"/>
    <n v="0"/>
    <n v="4.3706879999404918E-4"/>
    <n v="0"/>
    <n v="0"/>
    <n v="8.7413759998809836E-4"/>
    <x v="59"/>
    <x v="271"/>
    <n v="2.8148504851889161E-5"/>
    <s v="52RFIG"/>
    <x v="1"/>
    <x v="1"/>
    <n v="5.9625962629721546E-6"/>
    <x v="4"/>
    <x v="5"/>
  </r>
  <r>
    <s v="31/12/2025"/>
    <s v="52"/>
    <x v="0"/>
    <s v="FMX"/>
    <s v="5273874F4273"/>
    <x v="109"/>
    <s v="LU1353442731"/>
    <s v=""/>
    <s v="7387"/>
    <s v="4"/>
    <n v="1"/>
    <n v="107.9847632"/>
    <n v="27.365400000000001"/>
    <n v="1.38"/>
    <m/>
    <m/>
    <n v="3.9460326999999999"/>
    <x v="1"/>
    <n v="108.43172250000001"/>
    <n v="27.4344"/>
    <s v=""/>
    <n v="0"/>
    <n v="0"/>
    <n v="0"/>
    <n v="-0.05"/>
    <s v="4"/>
    <n v="26256910350.436607"/>
    <n v="4.1126226109160021E-9"/>
    <n v="3.2129716206968376E-5"/>
    <n v="0"/>
    <n v="0"/>
    <n v="3.2129716206968376E-5"/>
    <n v="0"/>
    <n v="5.7973183581778694E-5"/>
    <x v="60"/>
    <x v="272"/>
    <n v="7.6021554979863967E-8"/>
    <s v="52RVI"/>
    <x v="1"/>
    <x v="8"/>
    <n v="5.5058817862946256E-8"/>
    <x v="4"/>
    <x v="5"/>
  </r>
  <r>
    <s v="31/12/2025"/>
    <s v="52"/>
    <x v="3"/>
    <s v="FMX"/>
    <s v="5273874F4273"/>
    <x v="109"/>
    <s v="LU1353442731"/>
    <s v=""/>
    <s v="7387"/>
    <s v="4"/>
    <n v="1"/>
    <n v="86.8573095"/>
    <n v="22.011299999999999"/>
    <n v="1.1100000000000001"/>
    <m/>
    <m/>
    <n v="3.9460326999999999"/>
    <x v="1"/>
    <n v="87.216820299999995"/>
    <n v="22.066800000000001"/>
    <s v=""/>
    <n v="0"/>
    <n v="0"/>
    <n v="0"/>
    <n v="-0.05"/>
    <s v="4"/>
    <n v="3164069580.822104"/>
    <n v="2.7451137619240442E-8"/>
    <n v="2.5843467374810321E-5"/>
    <n v="0"/>
    <n v="0"/>
    <n v="0"/>
    <n v="2.5843467374810321E-5"/>
    <n v="5.7973183581778694E-5"/>
    <x v="60"/>
    <x v="273"/>
    <n v="5.0743245009687143E-7"/>
    <s v="52RVI"/>
    <x v="1"/>
    <x v="8"/>
    <n v="4.428644043946055E-8"/>
    <x v="4"/>
    <x v="5"/>
  </r>
  <r>
    <s v="31/12/2025"/>
    <s v="52"/>
    <x v="3"/>
    <s v="FMX"/>
    <s v="5273882F7240"/>
    <x v="110"/>
    <s v="LU0440072402"/>
    <s v=""/>
    <s v="7388"/>
    <s v="2"/>
    <n v="237.76"/>
    <n v="663.94579499999998"/>
    <n v="197.55"/>
    <n v="1"/>
    <m/>
    <m/>
    <n v="3.3609"/>
    <x v="1"/>
    <n v="667.17346599999996"/>
    <n v="198.41"/>
    <s v=""/>
    <n v="0"/>
    <n v="0"/>
    <n v="0"/>
    <n v="-0.86"/>
    <s v="2"/>
    <n v="3164069580.822104"/>
    <n v="2.0983918906975817E-7"/>
    <n v="1.9754999999999998E-4"/>
    <n v="0"/>
    <n v="0"/>
    <n v="0"/>
    <n v="1.9754999999999998E-4"/>
    <n v="3.9509999999999995E-4"/>
    <x v="61"/>
    <x v="274"/>
    <n v="1.5106059373532336E-5"/>
    <s v="52RVI"/>
    <x v="1"/>
    <x v="8"/>
    <n v="1.3183894695602936E-6"/>
    <x v="4"/>
    <x v="5"/>
  </r>
  <r>
    <s v="31/12/2025"/>
    <s v="52"/>
    <x v="0"/>
    <s v="FMX"/>
    <s v="5273882F7240"/>
    <x v="110"/>
    <s v="LU0440072402"/>
    <s v=""/>
    <s v="7388"/>
    <s v="2"/>
    <n v="237.76"/>
    <n v="663.94579499999998"/>
    <n v="197.55"/>
    <n v="1"/>
    <m/>
    <m/>
    <n v="3.3609"/>
    <x v="1"/>
    <n v="667.17346599999996"/>
    <n v="198.41"/>
    <s v=""/>
    <n v="0"/>
    <n v="0"/>
    <n v="0"/>
    <n v="-0.86"/>
    <s v="2"/>
    <n v="26256910350.436607"/>
    <n v="2.528651643086254E-8"/>
    <n v="1.9754999999999998E-4"/>
    <n v="0"/>
    <n v="0"/>
    <n v="1.9754999999999998E-4"/>
    <n v="0"/>
    <n v="3.9509999999999995E-4"/>
    <x v="61"/>
    <x v="274"/>
    <n v="1.8203445230977643E-6"/>
    <s v="52RVI"/>
    <x v="1"/>
    <x v="8"/>
    <n v="1.3183894695602936E-6"/>
    <x v="4"/>
    <x v="5"/>
  </r>
  <r>
    <s v="31/12/2025"/>
    <s v="52"/>
    <x v="1"/>
    <s v="FMX"/>
    <s v="5273882F4892"/>
    <x v="111"/>
    <s v="LU0398248921"/>
    <s v=""/>
    <s v="7388"/>
    <s v="2"/>
    <n v="1"/>
    <n v="1329.135123"/>
    <n v="395.47"/>
    <n v="1"/>
    <m/>
    <m/>
    <n v="3.3609"/>
    <x v="0"/>
    <n v="1328.7313899999999"/>
    <n v="395.15"/>
    <s v=""/>
    <n v="0"/>
    <n v="0"/>
    <n v="0"/>
    <n v="0.32"/>
    <s v="2"/>
    <n v="7679510866.0565634"/>
    <n v="1.7307549220026201E-7"/>
    <n v="3.9547000000000003E-4"/>
    <n v="0"/>
    <n v="3.9547000000000003E-4"/>
    <n v="0"/>
    <n v="0"/>
    <n v="3.9547000000000003E-4"/>
    <x v="62"/>
    <x v="275"/>
    <n v="1.9264252326150192E-5"/>
    <s v="52RFIG"/>
    <x v="1"/>
    <x v="1"/>
    <n v="4.0806770922025273E-6"/>
    <x v="4"/>
    <x v="5"/>
  </r>
  <r>
    <s v="31/12/2025"/>
    <s v="52"/>
    <x v="1"/>
    <s v="FMX"/>
    <s v="5273932EA359"/>
    <x v="112"/>
    <s v="US78464A3591"/>
    <s v=""/>
    <s v="7393"/>
    <s v="2"/>
    <n v="1"/>
    <n v="95663716.547999993"/>
    <n v="28463720"/>
    <n v="319100"/>
    <m/>
    <m/>
    <n v="3.3609"/>
    <x v="0"/>
    <n v="153786251.3328"/>
    <n v="45734328"/>
    <s v=""/>
    <n v="0"/>
    <n v="0"/>
    <n v="0"/>
    <n v="-0.44"/>
    <s v="2"/>
    <n v="7679510866.0565634"/>
    <n v="1.2457006470403421E-2"/>
    <n v="28.463719999999995"/>
    <n v="0"/>
    <n v="28.463719999999995"/>
    <n v="0"/>
    <n v="0"/>
    <n v="36.946639999999995"/>
    <x v="63"/>
    <x v="276"/>
    <n v="0.61173418636113031"/>
    <s v="52RFIG"/>
    <x v="1"/>
    <x v="1"/>
    <n v="0.12958144642927233"/>
    <x v="4"/>
    <x v="5"/>
  </r>
  <r>
    <s v="31/12/2025"/>
    <s v="52"/>
    <x v="3"/>
    <s v="FMX"/>
    <s v="5273932EA359"/>
    <x v="112"/>
    <s v="US78464A3591"/>
    <s v=""/>
    <s v="7393"/>
    <s v="2"/>
    <n v="1"/>
    <n v="28510245.828000002"/>
    <n v="8482920"/>
    <n v="95100"/>
    <m/>
    <m/>
    <n v="3.3609"/>
    <x v="0"/>
    <n v="28665371.426399998"/>
    <n v="8524764"/>
    <s v=""/>
    <n v="0"/>
    <n v="0"/>
    <n v="0"/>
    <n v="-0.44"/>
    <s v="2"/>
    <n v="3164069580.822104"/>
    <n v="9.0106254302385891E-3"/>
    <n v="8.48292"/>
    <n v="0"/>
    <n v="0"/>
    <n v="0"/>
    <n v="8.48292"/>
    <n v="36.946639999999995"/>
    <x v="63"/>
    <x v="277"/>
    <n v="0.4424905477305579"/>
    <s v="52RFIG"/>
    <x v="1"/>
    <x v="1"/>
    <n v="3.8618600925803194E-2"/>
    <x v="4"/>
    <x v="5"/>
  </r>
  <r>
    <s v="31/12/2025"/>
    <s v="52"/>
    <x v="3"/>
    <s v="FMX"/>
    <s v="5274042ER704"/>
    <x v="113"/>
    <s v="US33738R7044"/>
    <s v=""/>
    <s v="7404"/>
    <s v="2"/>
    <n v="0"/>
    <n v="63577365.571199998"/>
    <n v="18916768"/>
    <n v="192400"/>
    <m/>
    <m/>
    <n v="3.3609"/>
    <x v="1"/>
    <n v="64418229.376800001"/>
    <n v="19157268"/>
    <s v=""/>
    <n v="0"/>
    <n v="0"/>
    <n v="0"/>
    <n v="-1.25"/>
    <s v="2"/>
    <n v="3164069580.822104"/>
    <n v="2.0093542176364217E-2"/>
    <n v="18.916768000000001"/>
    <n v="0"/>
    <n v="0"/>
    <n v="0"/>
    <n v="18.916768000000001"/>
    <n v="109.84310400000001"/>
    <x v="64"/>
    <x v="278"/>
    <n v="0.53734743327901557"/>
    <s v="52RVI"/>
    <x v="1"/>
    <x v="8"/>
    <n v="4.6897286712083784E-2"/>
    <x v="4"/>
    <x v="5"/>
  </r>
  <r>
    <s v="31/12/2025"/>
    <s v="52"/>
    <x v="0"/>
    <s v="FMX"/>
    <s v="5274042ER704"/>
    <x v="113"/>
    <s v="US33738R7044"/>
    <s v=""/>
    <s v="7404"/>
    <s v="2"/>
    <n v="0"/>
    <n v="305594322.66240001"/>
    <n v="90926336"/>
    <n v="924800"/>
    <m/>
    <m/>
    <n v="3.3609"/>
    <x v="1"/>
    <n v="309636063.03359997"/>
    <n v="92082336"/>
    <s v=""/>
    <n v="0"/>
    <n v="0"/>
    <n v="0"/>
    <n v="-1.25"/>
    <s v="2"/>
    <n v="26256910350.436607"/>
    <n v="1.1638624597631628E-2"/>
    <n v="90.926336000000006"/>
    <n v="0"/>
    <n v="0"/>
    <n v="90.926336000000006"/>
    <n v="0"/>
    <n v="109.84310400000001"/>
    <x v="64"/>
    <x v="279"/>
    <n v="0.31124353284966627"/>
    <s v="52RVI"/>
    <x v="1"/>
    <x v="8"/>
    <n v="0.22541897479903891"/>
    <x v="4"/>
    <x v="5"/>
  </r>
  <r>
    <s v="31/12/2025"/>
    <s v="52"/>
    <x v="0"/>
    <s v="FMX"/>
    <s v="5274084F6545"/>
    <x v="114"/>
    <s v="LU1240965456"/>
    <s v=""/>
    <s v="7408"/>
    <s v="4"/>
    <n v="12.6"/>
    <n v="81.998559499999999"/>
    <n v="20.78"/>
    <n v="1"/>
    <m/>
    <m/>
    <n v="3.9460326999999999"/>
    <x v="1"/>
    <n v="82.130871999999997"/>
    <n v="20.78"/>
    <s v=""/>
    <n v="0"/>
    <n v="0"/>
    <n v="0"/>
    <n v="0"/>
    <s v="4"/>
    <n v="26256910350.436607"/>
    <n v="3.122932531116956E-9"/>
    <n v="2.4397798060043442E-5"/>
    <n v="0"/>
    <n v="0"/>
    <n v="2.4397798060043442E-5"/>
    <n v="0"/>
    <n v="2.4397798060043442E-5"/>
    <x v="65"/>
    <x v="280"/>
    <n v="2.0690774664632441E-7"/>
    <s v="52RVI"/>
    <x v="1"/>
    <x v="8"/>
    <n v="1.4985349799869339E-7"/>
    <x v="4"/>
    <x v="5"/>
  </r>
  <r>
    <s v="31/12/2025"/>
    <s v="52"/>
    <x v="0"/>
    <s v="FMX"/>
    <s v="5274095F6533"/>
    <x v="115"/>
    <s v="LU1259265335"/>
    <s v=""/>
    <s v="7409"/>
    <s v="5"/>
    <n v="1"/>
    <n v="60.585740800000004"/>
    <n v="2825.498"/>
    <n v="0.997"/>
    <m/>
    <m/>
    <n v="2.14425E-2"/>
    <x v="1"/>
    <n v="60.7558358"/>
    <n v="2825.498"/>
    <s v=""/>
    <n v="0"/>
    <n v="0"/>
    <n v="0"/>
    <n v="0"/>
    <s v="5"/>
    <n v="26256910350.436607"/>
    <n v="2.307420789094958E-9"/>
    <n v="1.8026641911392784E-5"/>
    <n v="0"/>
    <n v="0"/>
    <n v="1.8026641911392784E-5"/>
    <n v="0"/>
    <n v="3.6125607367074295E-5"/>
    <x v="66"/>
    <x v="281"/>
    <n v="3.0345340068367373E-7"/>
    <s v="52RVI"/>
    <x v="1"/>
    <x v="8"/>
    <n v="2.1977695039991589E-7"/>
    <x v="4"/>
    <x v="5"/>
  </r>
  <r>
    <s v="31/12/2025"/>
    <s v="52"/>
    <x v="3"/>
    <s v="FMX"/>
    <s v="5274095F6533"/>
    <x v="115"/>
    <s v="LU1259265335"/>
    <s v=""/>
    <s v="7409"/>
    <s v="5"/>
    <n v="1"/>
    <n v="60.828812999999997"/>
    <n v="2836.8339999999998"/>
    <n v="1.0009999999999999"/>
    <m/>
    <m/>
    <n v="2.14425E-2"/>
    <x v="1"/>
    <n v="60.999590400000002"/>
    <n v="2836.8339999999998"/>
    <s v=""/>
    <n v="0"/>
    <n v="0"/>
    <n v="0"/>
    <n v="0"/>
    <s v="5"/>
    <n v="3164069580.822104"/>
    <n v="1.9224865776875602E-8"/>
    <n v="1.8098965455681511E-5"/>
    <n v="0"/>
    <n v="0"/>
    <n v="0"/>
    <n v="1.8098965455681511E-5"/>
    <n v="3.6125607367074295E-5"/>
    <x v="66"/>
    <x v="282"/>
    <n v="2.5282995304763186E-6"/>
    <s v="52RVI"/>
    <x v="1"/>
    <x v="8"/>
    <n v="2.2065870353419456E-7"/>
    <x v="4"/>
    <x v="5"/>
  </r>
  <r>
    <s v="31/12/2025"/>
    <s v="52"/>
    <x v="3"/>
    <s v="FMX"/>
    <s v="5274104F8932"/>
    <x v="116"/>
    <s v="FR0010589325"/>
    <s v=""/>
    <s v="7410"/>
    <s v="4"/>
    <n v="1"/>
    <n v="2488.6958991000001"/>
    <n v="630.68304000000001"/>
    <n v="1.3779999999999999"/>
    <m/>
    <m/>
    <n v="3.9460326999999999"/>
    <x v="1"/>
    <n v="2482.0366890999999"/>
    <n v="627.98216000000002"/>
    <s v=""/>
    <n v="0"/>
    <n v="0"/>
    <n v="0"/>
    <n v="1.96"/>
    <s v="4"/>
    <n v="3164069580.822104"/>
    <n v="7.8654904246871048E-7"/>
    <n v="7.4048495911809345E-4"/>
    <n v="0"/>
    <n v="0"/>
    <n v="0"/>
    <n v="7.4048495911809345E-4"/>
    <n v="2.1709428409652175E-3"/>
    <x v="67"/>
    <x v="283"/>
    <n v="8.9464762199825718E-6"/>
    <s v="52RVI"/>
    <x v="1"/>
    <x v="8"/>
    <n v="7.808085316255795E-7"/>
    <x v="4"/>
    <x v="5"/>
  </r>
  <r>
    <s v="31/12/2025"/>
    <s v="52"/>
    <x v="0"/>
    <s v="FMX"/>
    <s v="5274104F8932"/>
    <x v="116"/>
    <s v="FR0010589325"/>
    <s v=""/>
    <s v="7410"/>
    <s v="4"/>
    <n v="1"/>
    <n v="3001.6056490000001"/>
    <n v="760.66416000000004"/>
    <n v="1.6619999999999999"/>
    <m/>
    <m/>
    <n v="3.9460326999999999"/>
    <x v="1"/>
    <n v="2993.5740039000002"/>
    <n v="757.40664000000004"/>
    <s v=""/>
    <n v="0"/>
    <n v="0"/>
    <n v="0"/>
    <n v="1.96"/>
    <s v="4"/>
    <n v="26256910350.436607"/>
    <n v="1.1431678780706537E-7"/>
    <n v="8.930957924960576E-4"/>
    <n v="0"/>
    <n v="0"/>
    <n v="8.930957924960576E-4"/>
    <n v="0"/>
    <n v="2.1709428409652175E-3"/>
    <x v="67"/>
    <x v="284"/>
    <n v="1.30027800993908E-6"/>
    <s v="52RVI"/>
    <x v="1"/>
    <x v="8"/>
    <n v="9.4172988357568764E-7"/>
    <x v="4"/>
    <x v="5"/>
  </r>
  <r>
    <s v="31/12/2025"/>
    <s v="52"/>
    <x v="1"/>
    <s v="FMX"/>
    <s v="5274104F8932"/>
    <x v="116"/>
    <s v="FR0010589325"/>
    <s v=""/>
    <s v="7410"/>
    <s v="4"/>
    <n v="1"/>
    <n v="1806.0202460999999"/>
    <n v="457.68"/>
    <n v="1"/>
    <m/>
    <m/>
    <n v="3.9460326999999999"/>
    <x v="1"/>
    <n v="1801.1877280000001"/>
    <n v="455.72"/>
    <s v=""/>
    <n v="0"/>
    <n v="0"/>
    <n v="0"/>
    <n v="1.96"/>
    <s v="4"/>
    <n v="7679510866.0565634"/>
    <n v="2.3517386427338869E-7"/>
    <n v="5.3736208935106658E-4"/>
    <n v="0"/>
    <n v="5.3736208935106658E-4"/>
    <n v="0"/>
    <n v="0"/>
    <n v="2.1709428409652175E-3"/>
    <x v="67"/>
    <x v="285"/>
    <n v="2.6749474866558988E-6"/>
    <s v="52RVI"/>
    <x v="1"/>
    <x v="8"/>
    <n v="5.6662447868916821E-7"/>
    <x v="4"/>
    <x v="5"/>
  </r>
  <r>
    <s v="31/12/2025"/>
    <s v="52"/>
    <x v="1"/>
    <s v="FMX"/>
    <s v="5274122F6097"/>
    <x v="117"/>
    <s v="IE0002460974"/>
    <s v=""/>
    <s v="7412"/>
    <s v="2"/>
    <n v="35.94"/>
    <n v="159.87801300000001"/>
    <n v="47.57"/>
    <n v="1"/>
    <m/>
    <m/>
    <n v="3.3609"/>
    <x v="0"/>
    <n v="159.85800399999999"/>
    <n v="47.54"/>
    <s v=""/>
    <n v="0"/>
    <n v="0"/>
    <n v="0"/>
    <n v="0.03"/>
    <s v="2"/>
    <n v="7679510866.0565634"/>
    <n v="2.0818775542939954E-8"/>
    <n v="4.757E-5"/>
    <n v="0"/>
    <n v="4.757E-5"/>
    <n v="0"/>
    <n v="0"/>
    <n v="9.5140000000000001E-5"/>
    <x v="68"/>
    <x v="286"/>
    <n v="2.2249914559333324E-6"/>
    <s v="52RFIG"/>
    <x v="1"/>
    <x v="1"/>
    <n v="4.7131191550313118E-7"/>
    <x v="4"/>
    <x v="5"/>
  </r>
  <r>
    <s v="31/12/2025"/>
    <s v="52"/>
    <x v="1"/>
    <s v="FMX"/>
    <s v="5274122FXQQ0"/>
    <x v="118"/>
    <s v="IE00BGSXQQ02"/>
    <s v=""/>
    <s v="7412"/>
    <s v="2"/>
    <n v="1"/>
    <n v="43564248.827025197"/>
    <n v="12962078.26089"/>
    <n v="1156296.0090000001"/>
    <m/>
    <m/>
    <n v="3.3609"/>
    <x v="0"/>
    <n v="43586284.360068701"/>
    <n v="12962078.26089"/>
    <s v=""/>
    <n v="0"/>
    <n v="0"/>
    <n v="0"/>
    <n v="0"/>
    <s v="2"/>
    <n v="7679510866.0565634"/>
    <n v="5.672789528767928E-3"/>
    <n v="12.962078260889999"/>
    <n v="0"/>
    <n v="12.962078260889999"/>
    <n v="0"/>
    <n v="0"/>
    <n v="12.962090053809991"/>
    <x v="69"/>
    <x v="287"/>
    <n v="2.3579435310788037"/>
    <s v="52RFIG"/>
    <x v="1"/>
    <x v="1"/>
    <n v="0.49947467407904811"/>
    <x v="4"/>
    <x v="5"/>
  </r>
  <r>
    <s v="31/12/2025"/>
    <s v="52"/>
    <x v="1"/>
    <s v="FMX"/>
    <s v="5274122FKCF7"/>
    <x v="119"/>
    <s v="IE00B87KCF77"/>
    <s v=""/>
    <s v="7412"/>
    <s v="2"/>
    <n v="12"/>
    <n v="51354220.830055103"/>
    <n v="15279901.46391"/>
    <n v="762850.79700000002"/>
    <m/>
    <m/>
    <n v="3.3609"/>
    <x v="0"/>
    <n v="51354545.041643798"/>
    <n v="15272272.955940001"/>
    <s v=""/>
    <n v="0"/>
    <n v="0"/>
    <n v="0"/>
    <n v="0.01"/>
    <s v="2"/>
    <n v="7679510866.0565634"/>
    <n v="6.6871734054105908E-3"/>
    <n v="15.279901463909995"/>
    <n v="0"/>
    <n v="15.279901463909995"/>
    <n v="0"/>
    <n v="0"/>
    <n v="15.279933672149991"/>
    <x v="70"/>
    <x v="288"/>
    <n v="0.30898524087053891"/>
    <s v="52RFIG"/>
    <x v="1"/>
    <x v="1"/>
    <n v="6.5451229193957641E-2"/>
    <x v="4"/>
    <x v="5"/>
  </r>
  <r>
    <s v="31/12/2025"/>
    <s v="52"/>
    <x v="0"/>
    <s v="FMX"/>
    <s v="5274122FKCF7"/>
    <x v="119"/>
    <s v="IE00B87KCF77"/>
    <s v=""/>
    <s v="7412"/>
    <s v="2"/>
    <n v="12"/>
    <n v="108.24867380000001"/>
    <n v="32.208240000000004"/>
    <n v="1.6080000000000001"/>
    <m/>
    <m/>
    <n v="3.3609"/>
    <x v="0"/>
    <n v="108.24935720000001"/>
    <n v="32.192160000000001"/>
    <s v=""/>
    <n v="0"/>
    <n v="0"/>
    <n v="0"/>
    <n v="0.01"/>
    <s v="2"/>
    <n v="26256910350.436607"/>
    <n v="4.1226737020945811E-9"/>
    <n v="3.2208239995239374E-5"/>
    <n v="0"/>
    <n v="0"/>
    <n v="3.2208239995239374E-5"/>
    <n v="0"/>
    <n v="15.279933672149991"/>
    <x v="70"/>
    <x v="289"/>
    <n v="1.904908471255826E-7"/>
    <s v="52RFIG"/>
    <x v="1"/>
    <x v="1"/>
    <n v="1.3796351389055155E-7"/>
    <x v="4"/>
    <x v="5"/>
  </r>
  <r>
    <s v="31/12/2025"/>
    <s v="52"/>
    <x v="0"/>
    <s v="FMX"/>
    <s v="5274122FXQQ0"/>
    <x v="118"/>
    <s v="IE00BGSXQQ02"/>
    <s v=""/>
    <s v="7412"/>
    <s v="2"/>
    <n v="1"/>
    <n v="39.634824799999997"/>
    <n v="11.792920000000001"/>
    <n v="1.052"/>
    <m/>
    <m/>
    <n v="3.3609"/>
    <x v="0"/>
    <n v="39.654872699999999"/>
    <n v="11.792920000000001"/>
    <s v=""/>
    <n v="0"/>
    <n v="0"/>
    <n v="0"/>
    <n v="0"/>
    <s v="2"/>
    <n v="26256910350.436607"/>
    <n v="1.5095007093757678E-9"/>
    <n v="1.1792919991668897E-5"/>
    <n v="0"/>
    <n v="0"/>
    <n v="1.1792919991668897E-5"/>
    <n v="0"/>
    <n v="12.962090053809991"/>
    <x v="69"/>
    <x v="290"/>
    <n v="6.2743689234042573E-7"/>
    <s v="52RFIG"/>
    <x v="1"/>
    <x v="1"/>
    <n v="4.5442287499926553E-7"/>
    <x v="4"/>
    <x v="5"/>
  </r>
  <r>
    <s v="31/12/2025"/>
    <s v="52"/>
    <x v="0"/>
    <s v="FMX"/>
    <s v="5274122F6097"/>
    <x v="117"/>
    <s v="IE0002460974"/>
    <s v=""/>
    <s v="7412"/>
    <s v="2"/>
    <n v="35.94"/>
    <n v="159.87801300000001"/>
    <n v="47.57"/>
    <n v="1"/>
    <m/>
    <m/>
    <n v="3.3609"/>
    <x v="0"/>
    <n v="159.85800399999999"/>
    <n v="47.54"/>
    <s v=""/>
    <n v="0"/>
    <n v="0"/>
    <n v="0"/>
    <n v="0.03"/>
    <s v="2"/>
    <n v="26256910350.436607"/>
    <n v="6.0889880365281257E-9"/>
    <n v="4.757E-5"/>
    <n v="0"/>
    <n v="0"/>
    <n v="4.757E-5"/>
    <n v="0"/>
    <n v="9.5140000000000001E-5"/>
    <x v="68"/>
    <x v="286"/>
    <n v="6.5075615655742674E-7"/>
    <s v="52RFIG"/>
    <x v="1"/>
    <x v="1"/>
    <n v="4.7131191550313118E-7"/>
    <x v="4"/>
    <x v="5"/>
  </r>
  <r>
    <s v="31/12/2025"/>
    <s v="52"/>
    <x v="0"/>
    <s v="FMX"/>
    <s v="5274122FK0P9"/>
    <x v="120"/>
    <s v="IE00B29K0P99"/>
    <s v=""/>
    <s v="7412"/>
    <s v="2"/>
    <n v="1"/>
    <n v="144364173.81532869"/>
    <n v="42954022.379519999"/>
    <n v="2396987.8560000001"/>
    <m/>
    <m/>
    <n v="3.3609"/>
    <x v="0"/>
    <n v="144275993.42608219"/>
    <n v="42906082.622400001"/>
    <s v=""/>
    <n v="0"/>
    <n v="0"/>
    <n v="0"/>
    <n v="0.02"/>
    <s v="2"/>
    <n v="26256910350.436607"/>
    <n v="5.4981401805688137E-3"/>
    <n v="42.954022379519976"/>
    <n v="0"/>
    <n v="0"/>
    <n v="42.954022379519976"/>
    <n v="0"/>
    <n v="146.17737840383995"/>
    <x v="71"/>
    <x v="291"/>
    <n v="0.9330655200469139"/>
    <s v="52RFIG"/>
    <x v="1"/>
    <x v="1"/>
    <n v="0.67577523948392926"/>
    <x v="4"/>
    <x v="5"/>
  </r>
  <r>
    <s v="31/12/2025"/>
    <s v="52"/>
    <x v="1"/>
    <s v="FMX"/>
    <s v="5274122FK0P9"/>
    <x v="120"/>
    <s v="IE00B29K0P99"/>
    <s v=""/>
    <s v="7412"/>
    <s v="2"/>
    <n v="1"/>
    <n v="346923377.262137"/>
    <n v="103223356.02432001"/>
    <n v="5760231.9210000001"/>
    <m/>
    <m/>
    <n v="3.3609"/>
    <x v="0"/>
    <n v="346711469.8502273"/>
    <n v="103108151.38590001"/>
    <s v=""/>
    <n v="0"/>
    <n v="0"/>
    <n v="0"/>
    <n v="0.02"/>
    <s v="2"/>
    <n v="7679510866.0565634"/>
    <n v="4.5175191924727687E-2"/>
    <n v="103.22335602431998"/>
    <n v="0"/>
    <n v="103.22335602431998"/>
    <n v="0"/>
    <n v="0"/>
    <n v="146.17737840383995"/>
    <x v="71"/>
    <x v="292"/>
    <n v="7.6664858592427496"/>
    <s v="52RFIG"/>
    <x v="1"/>
    <x v="1"/>
    <n v="1.6239640497772927"/>
    <x v="4"/>
    <x v="5"/>
  </r>
  <r>
    <s v="31/12/2025"/>
    <s v="52"/>
    <x v="3"/>
    <s v="FMX"/>
    <s v="5274186F1948"/>
    <x v="121"/>
    <s v="GB00B0119487"/>
    <s v=""/>
    <s v="7418"/>
    <s v="6"/>
    <n v="1"/>
    <n v="65.156930299999999"/>
    <n v="14.407514000000001"/>
    <n v="1.661"/>
    <m/>
    <m/>
    <n v="4.5224270000000004"/>
    <x v="1"/>
    <n v="65.099722900000003"/>
    <n v="14.372633"/>
    <s v=""/>
    <n v="0"/>
    <n v="0"/>
    <n v="0"/>
    <n v="2.1000000000000001E-2"/>
    <s v="6"/>
    <n v="3164069580.822104"/>
    <n v="2.0592761516663804E-8"/>
    <n v="1.938675066202505E-5"/>
    <n v="0"/>
    <n v="0"/>
    <n v="0"/>
    <n v="1.938675066202505E-5"/>
    <n v="3.1513682585021865E-5"/>
    <x v="72"/>
    <x v="293"/>
    <n v="1.4693516892021235E-6"/>
    <s v="52RVI"/>
    <x v="1"/>
    <x v="8"/>
    <n v="1.2823846022470171E-7"/>
    <x v="4"/>
    <x v="5"/>
  </r>
  <r>
    <s v="31/12/2025"/>
    <s v="52"/>
    <x v="0"/>
    <s v="FMX"/>
    <s v="5274186F1948"/>
    <x v="121"/>
    <s v="GB00B0119487"/>
    <s v=""/>
    <s v="7418"/>
    <s v="6"/>
    <n v="1"/>
    <n v="40.757405499999997"/>
    <n v="9.0122859999999996"/>
    <n v="1.0389999999999999"/>
    <m/>
    <m/>
    <n v="4.5224270000000004"/>
    <x v="1"/>
    <n v="40.721620799999997"/>
    <n v="8.9904670000000007"/>
    <s v=""/>
    <n v="0"/>
    <n v="0"/>
    <n v="0"/>
    <n v="2.1000000000000001E-2"/>
    <s v="6"/>
    <n v="26256910350.436607"/>
    <n v="1.5522544334437379E-9"/>
    <n v="1.2126931922996816E-5"/>
    <n v="0"/>
    <n v="0"/>
    <n v="1.2126931922996816E-5"/>
    <n v="0"/>
    <n v="3.1513682585021865E-5"/>
    <x v="72"/>
    <x v="294"/>
    <n v="1.1075773747034346E-7"/>
    <s v="52RVI"/>
    <x v="1"/>
    <x v="8"/>
    <n v="8.0216592463899258E-8"/>
    <x v="4"/>
    <x v="5"/>
  </r>
  <r>
    <s v="31/12/2025"/>
    <s v="52"/>
    <x v="0"/>
    <s v="FMX"/>
    <s v="5274244F1260"/>
    <x v="122"/>
    <s v="LU1136112601"/>
    <s v=""/>
    <s v="7424"/>
    <s v="4"/>
    <n v="1"/>
    <n v="83.063988300000005"/>
    <n v="21.05"/>
    <n v="1"/>
    <m/>
    <m/>
    <n v="3.9460326999999999"/>
    <x v="1"/>
    <n v="83.316592"/>
    <n v="21.08"/>
    <s v=""/>
    <n v="0"/>
    <n v="0"/>
    <n v="0"/>
    <n v="-0.03"/>
    <s v="4"/>
    <n v="26256910350.436607"/>
    <n v="3.1635096129510451E-9"/>
    <n v="2.4714805052218158E-5"/>
    <n v="0"/>
    <n v="0"/>
    <n v="2.4714805052218158E-5"/>
    <n v="0"/>
    <n v="4.9429610104436316E-5"/>
    <x v="73"/>
    <x v="295"/>
    <n v="1.9528863453858711E-7"/>
    <s v="52RVI"/>
    <x v="1"/>
    <x v="8"/>
    <n v="1.4143832446746913E-7"/>
    <x v="2"/>
    <x v="6"/>
  </r>
  <r>
    <s v="31/12/2025"/>
    <s v="52"/>
    <x v="3"/>
    <s v="FMX"/>
    <s v="5274244F1260"/>
    <x v="122"/>
    <s v="LU1136112601"/>
    <s v=""/>
    <s v="7424"/>
    <s v="4"/>
    <n v="1"/>
    <n v="83.063988300000005"/>
    <n v="21.05"/>
    <n v="1"/>
    <m/>
    <m/>
    <n v="3.9460326999999999"/>
    <x v="1"/>
    <n v="83.316592"/>
    <n v="21.08"/>
    <s v=""/>
    <n v="0"/>
    <n v="0"/>
    <n v="0"/>
    <n v="-0.03"/>
    <s v="4"/>
    <n v="3164069580.822104"/>
    <n v="2.6252263478484538E-8"/>
    <n v="2.4714805052218158E-5"/>
    <n v="0"/>
    <n v="0"/>
    <n v="0"/>
    <n v="2.4714805052218158E-5"/>
    <n v="4.9429610104436316E-5"/>
    <x v="73"/>
    <x v="295"/>
    <n v="1.6205952614375068E-6"/>
    <s v="52RVI"/>
    <x v="1"/>
    <x v="8"/>
    <n v="1.4143832446746913E-7"/>
    <x v="2"/>
    <x v="6"/>
  </r>
  <r>
    <s v="31/12/2025"/>
    <s v="52"/>
    <x v="1"/>
    <s v="FMX"/>
    <s v="5274262F6624"/>
    <x v="123"/>
    <s v="LU1034966249"/>
    <s v=""/>
    <s v="7426"/>
    <s v="2"/>
    <n v="1"/>
    <n v="236091564.82932031"/>
    <n v="70246530.640400007"/>
    <n v="339125.86"/>
    <m/>
    <m/>
    <n v="3.3609"/>
    <x v="0"/>
    <n v="235982915.0080418"/>
    <n v="70178705.468400002"/>
    <s v=""/>
    <n v="0"/>
    <n v="0"/>
    <n v="0"/>
    <n v="0.2"/>
    <s v="2"/>
    <n v="7679510866.0565634"/>
    <n v="3.0743047174116907E-2"/>
    <n v="70.246530640399996"/>
    <n v="0"/>
    <n v="70.246530640399996"/>
    <n v="0"/>
    <n v="0"/>
    <n v="70.246530640399996"/>
    <x v="74"/>
    <x v="296"/>
    <n v="1.9728953938680977E-2"/>
    <s v="52RFIG"/>
    <x v="1"/>
    <x v="1"/>
    <n v="4.1791131588018952E-3"/>
    <x v="4"/>
    <x v="5"/>
  </r>
  <r>
    <s v="31/12/2025"/>
    <s v="52"/>
    <x v="3"/>
    <s v="FMX"/>
    <s v="5274302F65N6"/>
    <x v="124"/>
    <s v="IE00BD065N65"/>
    <s v=""/>
    <s v="7430"/>
    <s v="2"/>
    <n v="591.01"/>
    <n v="2706.8112341999999"/>
    <n v="805.38285410000003"/>
    <n v="1.0016"/>
    <m/>
    <m/>
    <n v="3.3609"/>
    <x v="1"/>
    <n v="2710.4446781000001"/>
    <n v="806.05622979999998"/>
    <s v=""/>
    <n v="0"/>
    <n v="0"/>
    <n v="0"/>
    <n v="-0.67230000000000001"/>
    <s v="2"/>
    <n v="3164069580.822104"/>
    <n v="8.5548410521891974E-7"/>
    <n v="8.0538285405694896E-4"/>
    <n v="0"/>
    <n v="0"/>
    <n v="0"/>
    <n v="8.0538285405694896E-4"/>
    <n v="1.6131779970246065E-3"/>
    <x v="75"/>
    <x v="297"/>
    <n v="9.0144567589663945E-5"/>
    <s v="52RVI"/>
    <x v="1"/>
    <x v="8"/>
    <n v="7.8674156978696368E-6"/>
    <x v="2"/>
    <x v="6"/>
  </r>
  <r>
    <s v="31/12/2025"/>
    <s v="52"/>
    <x v="0"/>
    <s v="FMX"/>
    <s v="5274302F65N6"/>
    <x v="124"/>
    <s v="IE00BD065N65"/>
    <s v=""/>
    <s v="7430"/>
    <s v="2"/>
    <n v="591.01"/>
    <n v="2714.9186960000002"/>
    <n v="807.79514300000005"/>
    <n v="1.0045999999999999"/>
    <m/>
    <m/>
    <n v="3.3609"/>
    <x v="1"/>
    <n v="2718.5630228"/>
    <n v="808.47053559999995"/>
    <s v=""/>
    <n v="0"/>
    <n v="0"/>
    <n v="0"/>
    <n v="-0.67230000000000001"/>
    <s v="2"/>
    <n v="26256910350.436607"/>
    <n v="1.0339825439343269E-7"/>
    <n v="8.077951429676575E-4"/>
    <n v="0"/>
    <n v="0"/>
    <n v="8.077951429676575E-4"/>
    <n v="0"/>
    <n v="1.6131779970246065E-3"/>
    <x v="75"/>
    <x v="298"/>
    <n v="1.0895340866019779E-5"/>
    <s v="52RVI"/>
    <x v="1"/>
    <x v="8"/>
    <n v="7.8909802417984092E-6"/>
    <x v="2"/>
    <x v="6"/>
  </r>
  <r>
    <s v="31/12/2025"/>
    <s v="52"/>
    <x v="0"/>
    <s v="FMX"/>
    <s v="5274472F3543"/>
    <x v="125"/>
    <s v="LU1200235437"/>
    <s v=""/>
    <s v="7447"/>
    <s v="2"/>
    <n v="126.51"/>
    <n v="520.77145499999995"/>
    <n v="154.94999999999999"/>
    <n v="1"/>
    <m/>
    <m/>
    <n v="3.3609"/>
    <x v="0"/>
    <n v="519.656204"/>
    <n v="154.54"/>
    <s v=""/>
    <n v="0"/>
    <n v="0"/>
    <n v="0"/>
    <n v="0.41"/>
    <s v="2"/>
    <n v="26256910350.436607"/>
    <n v="1.9833691323523921E-8"/>
    <n v="1.5495E-4"/>
    <n v="0"/>
    <n v="0"/>
    <n v="1.5495E-4"/>
    <n v="0"/>
    <n v="3.4058009997322143E-4"/>
    <x v="76"/>
    <x v="299"/>
    <n v="1.2180429151871363E-9"/>
    <s v="52RFIG"/>
    <x v="1"/>
    <x v="1"/>
    <n v="8.8217089264096291E-10"/>
    <x v="4"/>
    <x v="5"/>
  </r>
  <r>
    <s v="31/12/2025"/>
    <s v="52"/>
    <x v="1"/>
    <s v="FMX"/>
    <s v="5274472F3543"/>
    <x v="125"/>
    <s v="LU1200235437"/>
    <s v=""/>
    <s v="7447"/>
    <s v="2"/>
    <n v="126.51"/>
    <n v="623.88420299999996"/>
    <n v="185.6301"/>
    <n v="1.198"/>
    <m/>
    <m/>
    <n v="3.3609"/>
    <x v="0"/>
    <n v="622.54813230000002"/>
    <n v="185.13892000000001"/>
    <s v=""/>
    <n v="0"/>
    <n v="0"/>
    <n v="0"/>
    <n v="0.41"/>
    <s v="2"/>
    <n v="7679510866.0565634"/>
    <n v="8.1240096391759537E-8"/>
    <n v="1.8563009997322143E-4"/>
    <n v="0"/>
    <n v="1.8563009997322143E-4"/>
    <n v="0"/>
    <n v="0"/>
    <n v="3.4058009997322143E-4"/>
    <x v="76"/>
    <x v="300"/>
    <n v="4.9891834164897783E-9"/>
    <s v="52RFIG"/>
    <x v="1"/>
    <x v="1"/>
    <n v="1.056840729231416E-9"/>
    <x v="4"/>
    <x v="5"/>
  </r>
  <r>
    <s v="31/12/2025"/>
    <s v="52"/>
    <x v="1"/>
    <s v="FMX"/>
    <s v="5274494F1144"/>
    <x v="126"/>
    <s v="FR0013311446"/>
    <s v=""/>
    <s v="7449"/>
    <s v="4"/>
    <n v="1"/>
    <n v="62150.962072800001"/>
    <n v="15750.24"/>
    <n v="1"/>
    <m/>
    <m/>
    <n v="3.9460326999999999"/>
    <x v="0"/>
    <n v="62222.870344000003"/>
    <n v="15743.06"/>
    <s v=""/>
    <n v="0"/>
    <n v="0"/>
    <n v="0"/>
    <n v="7.18"/>
    <s v="4"/>
    <n v="7679510866.0565634"/>
    <n v="8.0930886298380339E-6"/>
    <n v="1.8492356830848881E-2"/>
    <n v="0"/>
    <n v="1.8492356830848881E-2"/>
    <n v="0"/>
    <n v="0"/>
    <n v="5.4293559655389928E-2"/>
    <x v="77"/>
    <x v="301"/>
    <n v="2.2641143981810357E-5"/>
    <s v="52RFIG"/>
    <x v="1"/>
    <x v="1"/>
    <n v="4.7959918725948429E-6"/>
    <x v="4"/>
    <x v="5"/>
  </r>
  <r>
    <s v="31/12/2025"/>
    <s v="52"/>
    <x v="1"/>
    <s v="FMX"/>
    <s v="5274492F8555"/>
    <x v="127"/>
    <s v="FR0013185550"/>
    <s v=""/>
    <s v="7449"/>
    <s v="2"/>
    <n v="1"/>
    <n v="5962.0013369999997"/>
    <n v="1773.93"/>
    <n v="1"/>
    <m/>
    <m/>
    <n v="3.3609"/>
    <x v="0"/>
    <n v="5978.3329139999996"/>
    <n v="1777.89"/>
    <s v=""/>
    <n v="0"/>
    <n v="0"/>
    <n v="0"/>
    <n v="-3.96"/>
    <s v="2"/>
    <n v="7679510866.0565634"/>
    <n v="7.7635170273044926E-7"/>
    <n v="1.7739299999999997E-3"/>
    <n v="0"/>
    <n v="1.7739299999999997E-3"/>
    <n v="0"/>
    <n v="0"/>
    <n v="1.7739299999999997E-3"/>
    <x v="78"/>
    <x v="302"/>
    <n v="5.447627063040647E-5"/>
    <s v="52RFIG"/>
    <x v="1"/>
    <x v="1"/>
    <n v="1.1539511934671064E-5"/>
    <x v="4"/>
    <x v="5"/>
  </r>
  <r>
    <s v="31/12/2025"/>
    <s v="52"/>
    <x v="0"/>
    <s v="FMX"/>
    <s v="5274494F1144"/>
    <x v="126"/>
    <s v="FR0013311446"/>
    <s v=""/>
    <s v="7449"/>
    <s v="4"/>
    <n v="1"/>
    <n v="120324.262573"/>
    <n v="30492.464639999998"/>
    <n v="1.9359999999999999"/>
    <m/>
    <m/>
    <n v="3.9460326999999999"/>
    <x v="0"/>
    <n v="120463.47698589999"/>
    <n v="30478.564160000002"/>
    <s v=""/>
    <n v="0"/>
    <n v="0"/>
    <n v="0"/>
    <n v="7.18"/>
    <s v="4"/>
    <n v="26256910350.436607"/>
    <n v="4.5825750618445944E-6"/>
    <n v="3.5801202824541051E-2"/>
    <n v="0"/>
    <n v="0"/>
    <n v="3.5801202824541051E-2"/>
    <n v="0"/>
    <n v="5.4293559655389928E-2"/>
    <x v="77"/>
    <x v="303"/>
    <n v="1.282016625891732E-5"/>
    <s v="52RFIG"/>
    <x v="1"/>
    <x v="1"/>
    <n v="9.2850402653481846E-6"/>
    <x v="4"/>
    <x v="5"/>
  </r>
  <r>
    <s v="31/12/2025"/>
    <s v="52"/>
    <x v="3"/>
    <s v="FMX"/>
    <s v="5274722E7306"/>
    <x v="128"/>
    <s v="US5007673065"/>
    <s v=""/>
    <s v="7472"/>
    <s v="2"/>
    <n v="33.380000000000003"/>
    <n v="26574484.387320001"/>
    <n v="7906954.7999999998"/>
    <n v="232216"/>
    <m/>
    <m/>
    <n v="3.3609"/>
    <x v="1"/>
    <n v="26853415.047823999"/>
    <n v="7985908.2400000002"/>
    <s v=""/>
    <n v="0"/>
    <n v="0"/>
    <n v="0"/>
    <n v="-0.34"/>
    <s v="2"/>
    <n v="3164069580.822104"/>
    <n v="8.398830590955364E-3"/>
    <n v="7.9069547999999994"/>
    <n v="0"/>
    <n v="0"/>
    <n v="0"/>
    <n v="7.9069547999999994"/>
    <n v="46.086164250000003"/>
    <x v="79"/>
    <x v="304"/>
    <n v="5.9542008435574841E-2"/>
    <s v="52RVI"/>
    <x v="1"/>
    <x v="8"/>
    <n v="5.1965608618931318E-3"/>
    <x v="4"/>
    <x v="5"/>
  </r>
  <r>
    <s v="31/12/2025"/>
    <s v="52"/>
    <x v="0"/>
    <s v="FMX"/>
    <s v="5274722E7306"/>
    <x v="128"/>
    <s v="US5007673065"/>
    <s v=""/>
    <s v="7472"/>
    <s v="2"/>
    <n v="33.380000000000003"/>
    <n v="128316505.04050501"/>
    <n v="38179209.450000003"/>
    <n v="1121269"/>
    <m/>
    <m/>
    <n v="3.3609"/>
    <x v="1"/>
    <n v="129663338.603966"/>
    <n v="38560440.909999996"/>
    <s v=""/>
    <n v="0"/>
    <n v="0"/>
    <n v="0"/>
    <n v="-0.34"/>
    <s v="2"/>
    <n v="26256910350.436607"/>
    <n v="4.8869613114389645E-3"/>
    <n v="38.179209450000002"/>
    <n v="0"/>
    <n v="0"/>
    <n v="38.179209450000002"/>
    <n v="0"/>
    <n v="46.086164250000003"/>
    <x v="79"/>
    <x v="305"/>
    <n v="3.464523881972096E-2"/>
    <s v="52RVI"/>
    <x v="1"/>
    <x v="8"/>
    <n v="2.509190840017075E-2"/>
    <x v="4"/>
    <x v="5"/>
  </r>
  <r>
    <s v="31/12/2025"/>
    <s v="52"/>
    <x v="0"/>
    <s v="FMX"/>
    <s v="5274822F3552"/>
    <x v="129"/>
    <s v="CL0002535525"/>
    <s v=""/>
    <s v="7482"/>
    <s v="2"/>
    <n v="1"/>
    <n v="294.61246089999997"/>
    <n v="87.658799999999999"/>
    <n v="1"/>
    <m/>
    <m/>
    <n v="3.3609"/>
    <x v="0"/>
    <n v="293.63702740000002"/>
    <n v="87.324399999999997"/>
    <s v=""/>
    <n v="0"/>
    <n v="0"/>
    <n v="0"/>
    <n v="0.33439999999999998"/>
    <s v="2"/>
    <n v="26256910350.436607"/>
    <n v="1.1220378063068684E-8"/>
    <n v="8.7658799994049202E-5"/>
    <n v="0"/>
    <n v="0"/>
    <n v="8.7658799994049202E-5"/>
    <n v="0"/>
    <n v="44.300303073599984"/>
    <x v="80"/>
    <x v="306"/>
    <n v="1.6354073081194724E-6"/>
    <s v="52RFLG"/>
    <x v="1"/>
    <x v="9"/>
    <n v="1.1844481888502719E-6"/>
    <x v="2"/>
    <x v="6"/>
  </r>
  <r>
    <s v="31/12/2025"/>
    <s v="52"/>
    <x v="1"/>
    <s v="FMX"/>
    <s v="5274822F3552"/>
    <x v="129"/>
    <s v="CL0002535525"/>
    <s v=""/>
    <s v="7482"/>
    <s v="2"/>
    <n v="1"/>
    <n v="148888593.98760131"/>
    <n v="44300215.414800003"/>
    <n v="505371"/>
    <m/>
    <m/>
    <n v="3.3609"/>
    <x v="0"/>
    <n v="148395638.19438019"/>
    <n v="44131219.352399997"/>
    <s v=""/>
    <n v="0"/>
    <n v="0"/>
    <n v="0"/>
    <n v="0.33439999999999998"/>
    <s v="2"/>
    <n v="7679510866.0565634"/>
    <n v="1.9387770469300184E-2"/>
    <n v="44.300215414799993"/>
    <n v="0"/>
    <n v="44.300215414799993"/>
    <n v="0"/>
    <n v="0"/>
    <n v="44.300303073599984"/>
    <x v="80"/>
    <x v="307"/>
    <n v="2.8258318334208457"/>
    <s v="52RFLG"/>
    <x v="1"/>
    <x v="9"/>
    <n v="0.59858576568808619"/>
    <x v="2"/>
    <x v="6"/>
  </r>
  <r>
    <s v="31/12/2025"/>
    <s v="52"/>
    <x v="1"/>
    <s v="FMX"/>
    <s v="5275114F0215"/>
    <x v="130"/>
    <s v="LU1163202150"/>
    <s v=""/>
    <s v="7511"/>
    <s v="4"/>
    <n v="1"/>
    <n v="102267871.9087857"/>
    <n v="25916630.622140002"/>
    <n v="196352.986"/>
    <m/>
    <m/>
    <n v="3.9460326999999999"/>
    <x v="0"/>
    <n v="102417369.5601088"/>
    <n v="25912703.562419999"/>
    <s v=""/>
    <n v="0"/>
    <n v="0"/>
    <n v="0"/>
    <n v="0.02"/>
    <s v="4"/>
    <n v="7679510866.0565634"/>
    <n v="1.3316977303959511E-2"/>
    <n v="30.428716090566724"/>
    <n v="0"/>
    <n v="30.428716090566724"/>
    <n v="0"/>
    <n v="0"/>
    <n v="31.192300517160582"/>
    <x v="81"/>
    <x v="308"/>
    <n v="6.8360464405991354E-3"/>
    <s v="52RFIG"/>
    <x v="1"/>
    <x v="1"/>
    <n v="1.4480550627712966E-3"/>
    <x v="4"/>
    <x v="5"/>
  </r>
  <r>
    <s v="31/12/2025"/>
    <s v="52"/>
    <x v="0"/>
    <s v="FMX"/>
    <s v="5275114F0215"/>
    <x v="130"/>
    <s v="LU1163202150"/>
    <s v=""/>
    <s v="7511"/>
    <s v="4"/>
    <n v="1"/>
    <n v="2566330.8993393001"/>
    <n v="650357.23077999998"/>
    <n v="4927.3220000000001"/>
    <m/>
    <m/>
    <n v="3.9460326999999999"/>
    <x v="0"/>
    <n v="2570082.4239853998"/>
    <n v="650258.68434000004"/>
    <s v=""/>
    <n v="0"/>
    <n v="0"/>
    <n v="0"/>
    <n v="0.02"/>
    <s v="4"/>
    <n v="26256910350.436607"/>
    <n v="9.7739256640933244E-5"/>
    <n v="0.76358442659385883"/>
    <n v="0"/>
    <n v="0"/>
    <n v="0.76358442659385883"/>
    <n v="0"/>
    <n v="31.192300517160582"/>
    <x v="81"/>
    <x v="309"/>
    <n v="5.0172804399718947E-5"/>
    <s v="52RFIG"/>
    <x v="1"/>
    <x v="1"/>
    <n v="3.6337789984025618E-5"/>
    <x v="4"/>
    <x v="5"/>
  </r>
  <r>
    <s v="31/12/2025"/>
    <s v="52"/>
    <x v="1"/>
    <s v="FMX"/>
    <s v="5275122EE103"/>
    <x v="131"/>
    <s v="US46090E1038"/>
    <s v=""/>
    <s v="7512"/>
    <s v="2"/>
    <n v="1"/>
    <n v="15071831.696699999"/>
    <n v="4484463"/>
    <n v="7300"/>
    <m/>
    <m/>
    <n v="3.3609"/>
    <x v="1"/>
    <m/>
    <m/>
    <s v=""/>
    <n v="0"/>
    <n v="0"/>
    <n v="0"/>
    <n v="-5.12"/>
    <s v="2"/>
    <n v="7679510866.0565634"/>
    <n v="1.9626030823548272E-3"/>
    <n v="4.4844629999999999"/>
    <n v="0"/>
    <n v="4.4844629999999999"/>
    <n v="0"/>
    <n v="0"/>
    <n v="8.2317540000000005"/>
    <x v="82"/>
    <x v="310"/>
    <n v="1.804998008169097E-2"/>
    <s v="52RVI"/>
    <x v="1"/>
    <x v="8"/>
    <n v="3.8234621820273794E-3"/>
    <x v="4"/>
    <x v="5"/>
  </r>
  <r>
    <s v="31/12/2025"/>
    <s v="52"/>
    <x v="3"/>
    <s v="FMX"/>
    <s v="5275122EE103"/>
    <x v="131"/>
    <s v="US46090E1038"/>
    <s v=""/>
    <s v="7512"/>
    <s v="2"/>
    <n v="1"/>
    <n v="12594270.321900001"/>
    <n v="3747291"/>
    <n v="6100"/>
    <m/>
    <m/>
    <n v="3.3609"/>
    <x v="1"/>
    <m/>
    <m/>
    <s v=""/>
    <n v="0"/>
    <n v="0"/>
    <n v="0"/>
    <n v="-5.12"/>
    <s v="2"/>
    <n v="3164069580.822104"/>
    <n v="3.9804024532948783E-3"/>
    <n v="3.7472910000000006"/>
    <n v="0"/>
    <n v="0"/>
    <n v="0"/>
    <n v="3.7472910000000006"/>
    <n v="8.2317540000000005"/>
    <x v="82"/>
    <x v="311"/>
    <n v="3.6607598166452406E-2"/>
    <s v="52RVI"/>
    <x v="1"/>
    <x v="8"/>
    <n v="3.1949478507352076E-3"/>
    <x v="4"/>
    <x v="5"/>
  </r>
  <r>
    <s v="31/12/2025"/>
    <s v="52"/>
    <x v="0"/>
    <s v="FMX"/>
    <s v="5275152F0769"/>
    <x v="132"/>
    <s v="LU1713307699"/>
    <s v=""/>
    <s v="7515"/>
    <s v="2"/>
    <n v="1"/>
    <n v="776.94337340000004"/>
    <n v="231.17122599999999"/>
    <n v="1.43"/>
    <m/>
    <m/>
    <n v="3.3609"/>
    <x v="1"/>
    <n v="777.97926340000004"/>
    <n v="231.36241699999999"/>
    <s v=""/>
    <n v="0"/>
    <n v="0"/>
    <n v="0"/>
    <n v="-0.13370000000000001"/>
    <s v="2"/>
    <n v="26256910350.436607"/>
    <n v="2.9590053171929301E-8"/>
    <n v="2.3117122598113603E-4"/>
    <n v="0"/>
    <n v="0"/>
    <n v="2.3117122598113603E-4"/>
    <n v="0"/>
    <n v="5.1730623996548545E-4"/>
    <x v="83"/>
    <x v="312"/>
    <n v="2.2796630875069992E-6"/>
    <s v="52RVI"/>
    <x v="1"/>
    <x v="8"/>
    <n v="1.6510521885164702E-6"/>
    <x v="4"/>
    <x v="5"/>
  </r>
  <r>
    <s v="31/12/2025"/>
    <s v="52"/>
    <x v="3"/>
    <s v="FMX"/>
    <s v="5275152F0769"/>
    <x v="132"/>
    <s v="LU1713307699"/>
    <s v=""/>
    <s v="7515"/>
    <s v="2"/>
    <n v="1"/>
    <n v="961.67116850000002"/>
    <n v="286.13501400000001"/>
    <n v="1.77"/>
    <m/>
    <m/>
    <n v="3.3609"/>
    <x v="1"/>
    <n v="962.95335399999999"/>
    <n v="286.37166300000001"/>
    <s v=""/>
    <n v="0"/>
    <n v="0"/>
    <n v="0"/>
    <n v="-0.13370000000000001"/>
    <s v="2"/>
    <n v="3164069580.822104"/>
    <n v="3.0393489900754138E-7"/>
    <n v="2.861350139843494E-4"/>
    <n v="0"/>
    <n v="0"/>
    <n v="0"/>
    <n v="2.861350139843494E-4"/>
    <n v="5.1730623996548545E-4"/>
    <x v="83"/>
    <x v="313"/>
    <n v="2.3415610855676065E-5"/>
    <s v="52RVI"/>
    <x v="1"/>
    <x v="8"/>
    <n v="2.0436100515753699E-6"/>
    <x v="4"/>
    <x v="5"/>
  </r>
  <r>
    <s v="31/12/2025"/>
    <s v="52"/>
    <x v="3"/>
    <s v="FMX"/>
    <s v="5275282EY830"/>
    <x v="133"/>
    <s v="US37954Y8306"/>
    <s v=""/>
    <s v="7528"/>
    <s v="2"/>
    <n v="1"/>
    <n v="62225856.936899997"/>
    <n v="18514641"/>
    <n v="257900"/>
    <m/>
    <m/>
    <n v="3.3609"/>
    <x v="1"/>
    <n v="62873054.149999999"/>
    <n v="18697750"/>
    <s v=""/>
    <n v="0"/>
    <n v="0"/>
    <n v="0"/>
    <n v="-0.71"/>
    <s v="2"/>
    <n v="3164069580.822104"/>
    <n v="1.9666399662656018E-2"/>
    <n v="18.514641000000001"/>
    <n v="0"/>
    <n v="0"/>
    <n v="0"/>
    <n v="18.514641000000001"/>
    <n v="154.33414200000001"/>
    <x v="84"/>
    <x v="314"/>
    <n v="2.3723943460299042"/>
    <s v="52RVI"/>
    <x v="1"/>
    <x v="8"/>
    <n v="0.2070519945744678"/>
    <x v="4"/>
    <x v="5"/>
  </r>
  <r>
    <s v="31/12/2025"/>
    <s v="52"/>
    <x v="3"/>
    <s v="FMX"/>
    <s v="5275282EY848"/>
    <x v="134"/>
    <s v="US37954Y8488"/>
    <s v=""/>
    <s v="7528"/>
    <s v="2"/>
    <n v="68.02"/>
    <n v="33319371.081599999"/>
    <n v="9913824"/>
    <n v="118700"/>
    <m/>
    <m/>
    <n v="3.3609"/>
    <x v="1"/>
    <n v="34130514.416199997"/>
    <n v="10150037"/>
    <s v=""/>
    <n v="0"/>
    <n v="0"/>
    <n v="0"/>
    <n v="-1.99"/>
    <s v="2"/>
    <n v="3164069580.822104"/>
    <n v="1.0530543096635314E-2"/>
    <n v="9.913824"/>
    <n v="0"/>
    <n v="0"/>
    <n v="0"/>
    <n v="9.913824"/>
    <n v="45.76896"/>
    <x v="85"/>
    <x v="315"/>
    <n v="0.6968490199592543"/>
    <s v="52RVI"/>
    <x v="1"/>
    <x v="8"/>
    <n v="6.0817873614173582E-2"/>
    <x v="4"/>
    <x v="5"/>
  </r>
  <r>
    <s v="31/12/2025"/>
    <s v="52"/>
    <x v="3"/>
    <s v="FMX"/>
    <s v="5275282EY871"/>
    <x v="135"/>
    <s v="US37954Y8710"/>
    <s v=""/>
    <s v="7528"/>
    <s v="2"/>
    <n v="48.36"/>
    <n v="12652151.741699999"/>
    <n v="3764513"/>
    <n v="88100"/>
    <m/>
    <m/>
    <n v="3.3609"/>
    <x v="1"/>
    <n v="17418301.625999998"/>
    <n v="5180010"/>
    <s v=""/>
    <n v="0"/>
    <n v="0"/>
    <n v="0"/>
    <n v="-0.08"/>
    <s v="2"/>
    <n v="3164069580.822104"/>
    <n v="3.9986957993549104E-3"/>
    <n v="3.7645129999999996"/>
    <n v="0"/>
    <n v="0"/>
    <n v="0"/>
    <n v="3.7645129999999996"/>
    <n v="3.7645129999999996"/>
    <x v="86"/>
    <x v="316"/>
    <n v="0.27491353020390674"/>
    <s v="52RVI"/>
    <x v="1"/>
    <x v="8"/>
    <n v="2.3993226446304122E-2"/>
    <x v="4"/>
    <x v="5"/>
  </r>
  <r>
    <s v="31/12/2025"/>
    <s v="52"/>
    <x v="3"/>
    <s v="FMX"/>
    <s v="5275282EE259"/>
    <x v="136"/>
    <s v="US37950E2596"/>
    <s v=""/>
    <s v="7528"/>
    <s v="2"/>
    <n v="91.24"/>
    <n v="6420895.2620999999"/>
    <n v="1910469"/>
    <n v="20900"/>
    <m/>
    <m/>
    <n v="3.3609"/>
    <x v="1"/>
    <n v="6427656.9764"/>
    <n v="1911514"/>
    <s v=""/>
    <n v="0"/>
    <n v="0"/>
    <n v="0"/>
    <n v="-0.05"/>
    <s v="2"/>
    <n v="3164069580.822104"/>
    <n v="2.0293154426874807E-3"/>
    <n v="1.910469"/>
    <n v="0"/>
    <n v="0"/>
    <n v="0"/>
    <n v="1.910469"/>
    <n v="1.910469"/>
    <x v="87"/>
    <x v="317"/>
    <n v="0.42025950285682884"/>
    <s v="52RVI"/>
    <x v="1"/>
    <x v="8"/>
    <n v="3.6678374508435883E-2"/>
    <x v="4"/>
    <x v="5"/>
  </r>
  <r>
    <s v="31/12/2025"/>
    <s v="52"/>
    <x v="0"/>
    <s v="FMX"/>
    <s v="5275282EY848"/>
    <x v="134"/>
    <s v="US37954Y8488"/>
    <s v=""/>
    <s v="7528"/>
    <s v="2"/>
    <n v="68.02"/>
    <n v="102708996.45119999"/>
    <n v="30559968"/>
    <n v="365900"/>
    <m/>
    <m/>
    <n v="3.3609"/>
    <x v="1"/>
    <n v="105209395.32340001"/>
    <n v="31288109"/>
    <s v=""/>
    <n v="0"/>
    <n v="0"/>
    <n v="0"/>
    <n v="-1.99"/>
    <s v="2"/>
    <n v="26256910350.436607"/>
    <n v="3.911693915255041E-3"/>
    <n v="30.559967999999998"/>
    <n v="0"/>
    <n v="0"/>
    <n v="30.559967999999998"/>
    <n v="0"/>
    <n v="45.76896"/>
    <x v="85"/>
    <x v="318"/>
    <n v="0.25885275300729854"/>
    <s v="52RVI"/>
    <x v="1"/>
    <x v="8"/>
    <n v="0.1874748100709866"/>
    <x v="4"/>
    <x v="5"/>
  </r>
  <r>
    <s v="31/12/2025"/>
    <s v="52"/>
    <x v="0"/>
    <s v="FMX"/>
    <s v="5275282EY830"/>
    <x v="133"/>
    <s v="US37954Y8306"/>
    <s v=""/>
    <s v="7528"/>
    <s v="2"/>
    <n v="1"/>
    <n v="398134496.05110002"/>
    <n v="118460679"/>
    <n v="1650100"/>
    <m/>
    <m/>
    <n v="3.3609"/>
    <x v="1"/>
    <n v="402275403.85000002"/>
    <n v="119632250"/>
    <s v=""/>
    <n v="0"/>
    <n v="0"/>
    <n v="0"/>
    <n v="-0.71"/>
    <s v="2"/>
    <n v="26256910350.436607"/>
    <n v="1.516303672966152E-2"/>
    <n v="118.460679"/>
    <n v="0"/>
    <n v="0"/>
    <n v="118.460679"/>
    <n v="0"/>
    <n v="154.33414200000001"/>
    <x v="84"/>
    <x v="319"/>
    <n v="1.8291453048419599"/>
    <s v="52RVI"/>
    <x v="1"/>
    <x v="8"/>
    <n v="1.3247634596639368"/>
    <x v="4"/>
    <x v="5"/>
  </r>
  <r>
    <s v="31/12/2025"/>
    <s v="52"/>
    <x v="1"/>
    <s v="FMX"/>
    <s v="5275282EY848"/>
    <x v="134"/>
    <s v="US37954Y8488"/>
    <s v=""/>
    <s v="7528"/>
    <s v="2"/>
    <n v="68.02"/>
    <n v="17796530.131200001"/>
    <n v="5295168"/>
    <n v="63400"/>
    <m/>
    <m/>
    <n v="3.3609"/>
    <x v="1"/>
    <n v="18229777.7084"/>
    <n v="5421334"/>
    <s v=""/>
    <n v="0"/>
    <n v="0"/>
    <n v="0"/>
    <n v="-1.99"/>
    <s v="2"/>
    <n v="7679510866.0565634"/>
    <n v="2.3174041213823477E-3"/>
    <n v="5.2951680000000003"/>
    <n v="0"/>
    <n v="5.2951680000000003"/>
    <n v="0"/>
    <n v="0"/>
    <n v="45.76896"/>
    <x v="85"/>
    <x v="320"/>
    <n v="0.15335208982249049"/>
    <s v="52RVI"/>
    <x v="1"/>
    <x v="8"/>
    <n v="3.2484020110687496E-2"/>
    <x v="4"/>
    <x v="5"/>
  </r>
  <r>
    <s v="31/12/2025"/>
    <s v="52"/>
    <x v="1"/>
    <s v="FMX"/>
    <s v="5275282EY830"/>
    <x v="133"/>
    <s v="US37954Y8306"/>
    <s v=""/>
    <s v="7528"/>
    <s v="2"/>
    <n v="1"/>
    <n v="58341264.859800003"/>
    <n v="17358822"/>
    <n v="241800"/>
    <m/>
    <m/>
    <n v="3.3609"/>
    <x v="1"/>
    <n v="58948059.299999997"/>
    <n v="17530500"/>
    <s v=""/>
    <n v="0"/>
    <n v="0"/>
    <n v="0"/>
    <n v="-0.71"/>
    <s v="2"/>
    <n v="7679510866.0565634"/>
    <n v="7.5970027098559599E-3"/>
    <n v="17.358822"/>
    <n v="0"/>
    <n v="17.358822"/>
    <n v="0"/>
    <n v="0"/>
    <n v="154.33414200000001"/>
    <x v="84"/>
    <x v="321"/>
    <n v="0.91644055774274136"/>
    <s v="52RVI"/>
    <x v="1"/>
    <x v="8"/>
    <n v="0.19412629813147075"/>
    <x v="4"/>
    <x v="5"/>
  </r>
  <r>
    <s v="31/12/2025"/>
    <s v="52"/>
    <x v="0"/>
    <s v="FMX"/>
    <s v="5275336F6323"/>
    <x v="137"/>
    <s v="GB0006063233"/>
    <s v=""/>
    <s v="7533"/>
    <s v="6"/>
    <n v="1226"/>
    <n v="65516638.324499004"/>
    <n v="14487052.70964"/>
    <n v="915742.902"/>
    <m/>
    <m/>
    <n v="4.5224270000000004"/>
    <x v="1"/>
    <n v="65203199.532632403"/>
    <n v="14395478.419439999"/>
    <s v=""/>
    <n v="0"/>
    <n v="0"/>
    <n v="0"/>
    <n v="0.1"/>
    <s v="6"/>
    <n v="26256910350.436607"/>
    <n v="2.4952150671988557E-3"/>
    <n v="19.493777953672826"/>
    <n v="0"/>
    <n v="0"/>
    <n v="19.493777953672826"/>
    <n v="0"/>
    <n v="23.364725624382249"/>
    <x v="88"/>
    <x v="322"/>
    <n v="6.5272780680418585E-2"/>
    <s v="52RVI"/>
    <x v="1"/>
    <x v="8"/>
    <n v="4.7273988855438612E-2"/>
    <x v="4"/>
    <x v="5"/>
  </r>
  <r>
    <s v="31/12/2025"/>
    <s v="52"/>
    <x v="3"/>
    <s v="FMX"/>
    <s v="5275336F6323"/>
    <x v="137"/>
    <s v="GB0006063233"/>
    <s v=""/>
    <s v="7533"/>
    <s v="6"/>
    <n v="1226"/>
    <n v="13009868.0264873"/>
    <n v="2876744.7272199998"/>
    <n v="181842.27100000001"/>
    <m/>
    <m/>
    <n v="4.5224270000000004"/>
    <x v="1"/>
    <n v="12947627.3892866"/>
    <n v="2858560.50012"/>
    <s v=""/>
    <n v="0"/>
    <n v="0"/>
    <n v="0"/>
    <n v="0.1"/>
    <s v="6"/>
    <n v="3164069580.822104"/>
    <n v="4.1117515573431268E-3"/>
    <n v="3.8709476707094232"/>
    <n v="0"/>
    <n v="0"/>
    <n v="0"/>
    <n v="3.8709476707094232"/>
    <n v="23.364725624382249"/>
    <x v="88"/>
    <x v="323"/>
    <n v="0.10756005009063956"/>
    <s v="52RVI"/>
    <x v="1"/>
    <x v="8"/>
    <n v="9.387361314979234E-3"/>
    <x v="4"/>
    <x v="5"/>
  </r>
  <r>
    <s v="31/12/2025"/>
    <s v="52"/>
    <x v="3"/>
    <s v="FMX"/>
    <s v="5275504F2546"/>
    <x v="138"/>
    <s v="LU1966825462"/>
    <s v=""/>
    <s v="7550"/>
    <s v="4"/>
    <n v="1"/>
    <n v="880.6277126"/>
    <n v="223.16786999999999"/>
    <n v="1.1870000000000001"/>
    <m/>
    <m/>
    <n v="3.9460326999999999"/>
    <x v="1"/>
    <n v="882.04868929999998"/>
    <n v="223.16786999999999"/>
    <s v=""/>
    <n v="0"/>
    <n v="0"/>
    <n v="0"/>
    <n v="0"/>
    <s v="4"/>
    <n v="3164069580.822104"/>
    <n v="2.7832122211774844E-7"/>
    <n v="2.6202139682823052E-4"/>
    <n v="0"/>
    <n v="0"/>
    <n v="0"/>
    <n v="2.6202139682823052E-4"/>
    <n v="5.5450526439346606E-4"/>
    <x v="89"/>
    <x v="324"/>
    <n v="9.8947848800824924E-6"/>
    <s v="52RVI"/>
    <x v="1"/>
    <x v="8"/>
    <n v="8.6357268079602015E-7"/>
    <x v="4"/>
    <x v="5"/>
  </r>
  <r>
    <s v="31/12/2025"/>
    <s v="52"/>
    <x v="0"/>
    <s v="FMX"/>
    <s v="5275504F2546"/>
    <x v="138"/>
    <s v="LU1966825462"/>
    <s v=""/>
    <s v="7550"/>
    <s v="4"/>
    <n v="1"/>
    <n v="983.00903049999999"/>
    <n v="249.11324999999999"/>
    <n v="1.325"/>
    <m/>
    <m/>
    <n v="3.9460326999999999"/>
    <x v="1"/>
    <n v="984.59520929999996"/>
    <n v="249.11324999999999"/>
    <s v=""/>
    <n v="0"/>
    <n v="0"/>
    <n v="0"/>
    <n v="0"/>
    <s v="4"/>
    <n v="26256910350.436607"/>
    <n v="3.7438107430779806E-8"/>
    <n v="2.9248386756523554E-4"/>
    <n v="0"/>
    <n v="0"/>
    <n v="2.9248386756523554E-4"/>
    <n v="0"/>
    <n v="5.5450526439346606E-4"/>
    <x v="89"/>
    <x v="325"/>
    <n v="1.3309873265368976E-6"/>
    <s v="52RVI"/>
    <x v="1"/>
    <x v="8"/>
    <n v="9.6397118960662381E-7"/>
    <x v="4"/>
    <x v="5"/>
  </r>
  <r>
    <s v="31/12/2025"/>
    <s v="52"/>
    <x v="3"/>
    <s v="FMX"/>
    <s v="5275522EX192"/>
    <x v="139"/>
    <s v="US33734X1928"/>
    <s v=""/>
    <s v="7552"/>
    <s v="2"/>
    <n v="71.540000000000006"/>
    <n v="34187935.190399997"/>
    <n v="10172256"/>
    <n v="78200"/>
    <m/>
    <m/>
    <n v="3.3609"/>
    <x v="1"/>
    <n v="34541810.835199997"/>
    <n v="10272352"/>
    <s v=""/>
    <n v="0"/>
    <n v="0"/>
    <n v="0"/>
    <n v="-1.28"/>
    <s v="2"/>
    <n v="3164069580.822104"/>
    <n v="1.0805051632751111E-2"/>
    <n v="10.172256000000001"/>
    <n v="0"/>
    <n v="0"/>
    <n v="0"/>
    <n v="10.172256000000001"/>
    <n v="13.502304000000001"/>
    <x v="90"/>
    <x v="326"/>
    <n v="4.4610308082359162E-2"/>
    <s v="52RVI"/>
    <x v="1"/>
    <x v="8"/>
    <n v="3.8933886697593472E-3"/>
    <x v="4"/>
    <x v="5"/>
  </r>
  <r>
    <s v="31/12/2025"/>
    <s v="52"/>
    <x v="1"/>
    <s v="FMX"/>
    <s v="5275522EX192"/>
    <x v="139"/>
    <s v="US33734X1928"/>
    <s v=""/>
    <s v="7552"/>
    <s v="2"/>
    <n v="71.540000000000006"/>
    <n v="11191958.3232"/>
    <n v="3330048"/>
    <n v="25600"/>
    <m/>
    <m/>
    <n v="3.3609"/>
    <x v="1"/>
    <n v="11307805.081599999"/>
    <n v="3362816"/>
    <s v=""/>
    <n v="0"/>
    <n v="0"/>
    <n v="0"/>
    <n v="-1.28"/>
    <s v="2"/>
    <n v="7679510866.0565634"/>
    <n v="1.4573790594747972E-3"/>
    <n v="3.3300480000000001"/>
    <n v="0"/>
    <n v="3.3300480000000001"/>
    <n v="0"/>
    <n v="0"/>
    <n v="13.502304000000001"/>
    <x v="90"/>
    <x v="327"/>
    <n v="6.0170123240212659E-3"/>
    <s v="52RVI"/>
    <x v="1"/>
    <x v="8"/>
    <n v="1.2745620197677659E-3"/>
    <x v="4"/>
    <x v="5"/>
  </r>
  <r>
    <s v="31/12/2025"/>
    <s v="52"/>
    <x v="3"/>
    <s v="FMX"/>
    <s v="5276846FQVT8"/>
    <x v="140"/>
    <s v="GB00BKPQVT86"/>
    <s v=""/>
    <s v="7684"/>
    <s v="6"/>
    <n v="0"/>
    <n v="11.6475715"/>
    <n v="2.5755135"/>
    <n v="1.5449999999999999"/>
    <m/>
    <m/>
    <n v="4.5224270000000004"/>
    <x v="1"/>
    <n v="11.647659000000001"/>
    <n v="2.5715552000000002"/>
    <s v=""/>
    <n v="0"/>
    <n v="0"/>
    <n v="0"/>
    <n v="2.562E-3"/>
    <s v="6"/>
    <n v="3164069580.822104"/>
    <n v="3.6811995445984063E-9"/>
    <n v="3.4656108482846855E-6"/>
    <n v="0"/>
    <n v="0"/>
    <n v="0"/>
    <n v="3.4656108482846855E-6"/>
    <n v="7.2048816090928026E-6"/>
    <x v="91"/>
    <x v="328"/>
    <n v="7.7262796295899516E-7"/>
    <s v="52RVI"/>
    <x v="1"/>
    <x v="8"/>
    <n v="6.7431521687099601E-8"/>
    <x v="4"/>
    <x v="5"/>
  </r>
  <r>
    <s v="31/12/2025"/>
    <s v="52"/>
    <x v="0"/>
    <s v="FMX"/>
    <s v="5276846FQVT8"/>
    <x v="140"/>
    <s v="GB00BKPQVT86"/>
    <s v=""/>
    <s v="7684"/>
    <s v="6"/>
    <n v="0"/>
    <n v="12.5673151"/>
    <n v="2.7788873000000001"/>
    <n v="1.667"/>
    <m/>
    <m/>
    <n v="4.5224270000000004"/>
    <x v="1"/>
    <n v="12.567409400000001"/>
    <n v="2.7746165"/>
    <s v=""/>
    <n v="0"/>
    <n v="0"/>
    <n v="0"/>
    <n v="2.562E-3"/>
    <s v="6"/>
    <n v="26256910350.436607"/>
    <n v="4.7862886121295027E-10"/>
    <n v="3.739270760808117E-6"/>
    <n v="0"/>
    <n v="0"/>
    <n v="3.739270760808117E-6"/>
    <n v="0"/>
    <n v="7.2048816090928026E-6"/>
    <x v="91"/>
    <x v="329"/>
    <n v="1.0045694007405085E-7"/>
    <s v="52RVI"/>
    <x v="1"/>
    <x v="8"/>
    <n v="7.2756211946349867E-8"/>
    <x v="4"/>
    <x v="5"/>
  </r>
  <r>
    <s v="31/12/2025"/>
    <s v="52"/>
    <x v="3"/>
    <s v="FMX"/>
    <s v="5277192F9LZQ"/>
    <x v="141"/>
    <s v="IE000NG9LZQ6"/>
    <s v=""/>
    <s v="7719"/>
    <s v="2"/>
    <n v="1"/>
    <n v="56.848521099999999"/>
    <n v="16.914671999999999"/>
    <n v="1.163"/>
    <m/>
    <m/>
    <n v="3.3609"/>
    <x v="0"/>
    <n v="56.896829500000003"/>
    <n v="16.920487000000001"/>
    <s v=""/>
    <n v="0"/>
    <n v="0"/>
    <n v="0"/>
    <n v="-5.0000000000000001E-3"/>
    <s v="2"/>
    <n v="3164069580.822104"/>
    <n v="1.7966899794039719E-8"/>
    <n v="1.6914671992621024E-5"/>
    <n v="0"/>
    <n v="0"/>
    <n v="0"/>
    <n v="1.6914671992621024E-5"/>
    <n v="81.80509590863997"/>
    <x v="80"/>
    <x v="330"/>
    <n v="2.6187352210649782E-6"/>
    <s v="52RFIG"/>
    <x v="1"/>
    <x v="1"/>
    <n v="2.2855152714863149E-7"/>
    <x v="2"/>
    <x v="6"/>
  </r>
  <r>
    <s v="31/12/2025"/>
    <s v="52"/>
    <x v="0"/>
    <s v="FMX"/>
    <s v="5277192F9LZQ"/>
    <x v="141"/>
    <s v="IE000NG9LZQ6"/>
    <s v=""/>
    <s v="7719"/>
    <s v="2"/>
    <n v="1"/>
    <n v="132394187.13744029"/>
    <n v="39392480.328911997"/>
    <n v="2708503.8730000001"/>
    <m/>
    <m/>
    <n v="3.3609"/>
    <x v="0"/>
    <n v="132506692.4296162"/>
    <n v="39406022.848277003"/>
    <s v=""/>
    <n v="0"/>
    <n v="0"/>
    <n v="0"/>
    <n v="-5.0000000000000001E-3"/>
    <s v="2"/>
    <n v="26256910350.436607"/>
    <n v="5.0422606990101863E-3"/>
    <n v="39.392480328911979"/>
    <n v="0"/>
    <n v="0"/>
    <n v="39.392480328911979"/>
    <n v="0"/>
    <n v="81.80509590863997"/>
    <x v="80"/>
    <x v="331"/>
    <n v="0.73492621641214129"/>
    <s v="52RFIG"/>
    <x v="1"/>
    <x v="1"/>
    <n v="0.53227231017384691"/>
    <x v="2"/>
    <x v="6"/>
  </r>
  <r>
    <s v="31/12/2025"/>
    <s v="52"/>
    <x v="1"/>
    <s v="FMX"/>
    <s v="5277192F9LZQ"/>
    <x v="141"/>
    <s v="IE000NG9LZQ6"/>
    <s v=""/>
    <s v="7719"/>
    <s v="2"/>
    <n v="1"/>
    <n v="142544502.8533867"/>
    <n v="42412598.665055998"/>
    <n v="2916157.7740000002"/>
    <m/>
    <m/>
    <n v="3.3609"/>
    <x v="0"/>
    <n v="142665633.6317715"/>
    <n v="42427179.453925997"/>
    <s v=""/>
    <n v="0"/>
    <n v="0"/>
    <n v="0"/>
    <n v="-5.0000000000000001E-3"/>
    <s v="2"/>
    <n v="7679510866.0565634"/>
    <n v="1.8561664322064231E-2"/>
    <n v="42.412598665055995"/>
    <n v="0"/>
    <n v="42.412598665055995"/>
    <n v="0"/>
    <n v="0"/>
    <n v="81.80509590863997"/>
    <x v="80"/>
    <x v="332"/>
    <n v="2.7054241231923539"/>
    <s v="52RFIG"/>
    <x v="1"/>
    <x v="1"/>
    <n v="0.57308023469029146"/>
    <x v="2"/>
    <x v="6"/>
  </r>
  <r>
    <s v="31/12/2025"/>
    <s v="52"/>
    <x v="1"/>
    <s v="FMX"/>
    <s v="5277312FGRM4"/>
    <x v="142"/>
    <s v="IE00BHXGRM40"/>
    <s v=""/>
    <s v="7731"/>
    <s v="2"/>
    <n v="1"/>
    <n v="56.147464200000002"/>
    <n v="16.70608"/>
    <n v="1.544"/>
    <m/>
    <m/>
    <n v="3.3609"/>
    <x v="0"/>
    <n v="56.123945999999997"/>
    <n v="16.690639999999998"/>
    <s v=""/>
    <n v="0"/>
    <n v="0"/>
    <n v="0"/>
    <n v="0.01"/>
    <s v="2"/>
    <n v="7679510866.0565634"/>
    <n v="7.3113333881942645E-9"/>
    <n v="1.6706079978577169E-5"/>
    <n v="0"/>
    <n v="1.6706079978577169E-5"/>
    <n v="0"/>
    <n v="0"/>
    <n v="0.77832481963997757"/>
    <x v="92"/>
    <x v="333"/>
    <n v="9.5361713793053724E-7"/>
    <s v="52RFIG"/>
    <x v="1"/>
    <x v="1"/>
    <n v="2.0200127903238211E-7"/>
    <x v="2"/>
    <x v="6"/>
  </r>
  <r>
    <s v="31/12/2025"/>
    <s v="52"/>
    <x v="0"/>
    <s v="FMX"/>
    <s v="5277312FGRM4"/>
    <x v="142"/>
    <s v="IE00BHXGRM40"/>
    <s v=""/>
    <s v="7731"/>
    <s v="2"/>
    <n v="1"/>
    <n v="2615815.7388638002"/>
    <n v="778308.11355999997"/>
    <n v="71932.357999999993"/>
    <m/>
    <m/>
    <n v="3.3609"/>
    <x v="0"/>
    <n v="2614720.0651866999"/>
    <n v="777588.78998"/>
    <s v=""/>
    <n v="0"/>
    <n v="0"/>
    <n v="0"/>
    <n v="0.01"/>
    <s v="2"/>
    <n v="26256910350.436607"/>
    <n v="9.96238972503596E-5"/>
    <n v="0.77830811355999896"/>
    <n v="0"/>
    <n v="0"/>
    <n v="0.77830811355999896"/>
    <n v="0"/>
    <n v="0.77832481963997757"/>
    <x v="92"/>
    <x v="334"/>
    <n v="1.2993943884268349E-2"/>
    <s v="52RFIG"/>
    <x v="1"/>
    <x v="1"/>
    <n v="9.4108991829327041E-3"/>
    <x v="2"/>
    <x v="6"/>
  </r>
  <r>
    <s v="31/12/2025"/>
    <s v="52"/>
    <x v="0"/>
    <s v="FMX"/>
    <s v="5277324FC1W6"/>
    <x v="143"/>
    <s v="GB00BMCC1W62"/>
    <s v=""/>
    <s v="7732"/>
    <s v="4"/>
    <n v="1"/>
    <n v="8.8212218999999994"/>
    <n v="2.2354660000000002"/>
    <n v="1.7769999999999999"/>
    <m/>
    <m/>
    <n v="3.9460326999999999"/>
    <x v="1"/>
    <n v="8.8284324000000005"/>
    <n v="2.233689"/>
    <s v=""/>
    <n v="0"/>
    <n v="0"/>
    <n v="0"/>
    <n v="1E-3"/>
    <s v="4"/>
    <n v="26256910350.436607"/>
    <n v="3.359581071142027E-10"/>
    <n v="2.62466062661787E-6"/>
    <n v="0"/>
    <n v="0"/>
    <n v="2.62466062661787E-6"/>
    <n v="0"/>
    <n v="5.0395847243297923E-6"/>
    <x v="93"/>
    <x v="335"/>
    <n v="1.2377722278996624E-9"/>
    <s v="52RVI"/>
    <x v="1"/>
    <x v="8"/>
    <n v="8.9645990100823193E-10"/>
    <x v="4"/>
    <x v="5"/>
  </r>
  <r>
    <s v="31/12/2025"/>
    <s v="52"/>
    <x v="3"/>
    <s v="FMX"/>
    <s v="5277324FC1W6"/>
    <x v="143"/>
    <s v="GB00BMCC1W62"/>
    <s v=""/>
    <s v="7732"/>
    <s v="4"/>
    <n v="1"/>
    <n v="8.1163184000000008"/>
    <n v="2.0568300000000002"/>
    <n v="1.635"/>
    <m/>
    <m/>
    <n v="3.9460326999999999"/>
    <x v="1"/>
    <n v="8.1229527000000008"/>
    <n v="2.0551949999999999"/>
    <s v=""/>
    <n v="0"/>
    <n v="0"/>
    <n v="0"/>
    <n v="1E-3"/>
    <s v="4"/>
    <n v="3164069580.822104"/>
    <n v="2.5651516797210193E-9"/>
    <n v="2.4149240977119227E-6"/>
    <n v="0"/>
    <n v="0"/>
    <n v="0"/>
    <n v="2.4149240977119227E-6"/>
    <n v="5.0395847243297923E-6"/>
    <x v="93"/>
    <x v="336"/>
    <n v="9.4508018775970202E-9"/>
    <s v="52RVI"/>
    <x v="1"/>
    <x v="8"/>
    <n v="8.2482382507748659E-10"/>
    <x v="4"/>
    <x v="5"/>
  </r>
  <r>
    <s v="31/12/2025"/>
    <s v="52"/>
    <x v="0"/>
    <s v="FMX"/>
    <s v="5277512F3236"/>
    <x v="144"/>
    <s v="LU2536832368"/>
    <s v=""/>
    <s v="7751"/>
    <s v="2"/>
    <n v="0"/>
    <n v="10985777.6106629"/>
    <n v="3268701.1248960001"/>
    <n v="29437.1499"/>
    <m/>
    <m/>
    <n v="3.3609"/>
    <x v="0"/>
    <n v="10984405.4273575"/>
    <n v="3266640.5244029998"/>
    <s v=""/>
    <n v="0"/>
    <n v="0"/>
    <n v="0"/>
    <n v="7.0000000000000007E-2"/>
    <s v="2"/>
    <n v="26256910350.436607"/>
    <n v="4.1839567047461946E-4"/>
    <n v="3.2687011248959803"/>
    <n v="0"/>
    <n v="0"/>
    <n v="3.2687011248959803"/>
    <n v="0"/>
    <n v="10.849110633663958"/>
    <x v="94"/>
    <x v="337"/>
    <n v="1.0614338862659075E-2"/>
    <s v="52RFIG"/>
    <x v="1"/>
    <x v="1"/>
    <n v="7.6874637769450147E-3"/>
    <x v="4"/>
    <x v="5"/>
  </r>
  <r>
    <s v="31/12/2025"/>
    <s v="52"/>
    <x v="1"/>
    <s v="FMX"/>
    <s v="5277512F3236"/>
    <x v="144"/>
    <s v="LU2536832368"/>
    <s v=""/>
    <s v="7751"/>
    <s v="2"/>
    <n v="0"/>
    <n v="25476998.318018299"/>
    <n v="7580409.5087679997"/>
    <n v="68267.376699999993"/>
    <m/>
    <m/>
    <n v="3.3609"/>
    <x v="0"/>
    <n v="25473816.102520801"/>
    <n v="7575630.7923990004"/>
    <s v=""/>
    <n v="0"/>
    <n v="0"/>
    <n v="0"/>
    <n v="7.0000000000000007E-2"/>
    <s v="2"/>
    <n v="7679510866.0565634"/>
    <n v="3.3175287804626499E-3"/>
    <n v="7.5804095087679784"/>
    <n v="0"/>
    <n v="7.5804095087679784"/>
    <n v="0"/>
    <n v="0"/>
    <n v="10.849110633663958"/>
    <x v="94"/>
    <x v="338"/>
    <n v="8.4162856232497196E-2"/>
    <s v="52RFIG"/>
    <x v="1"/>
    <x v="1"/>
    <n v="1.7827914295748846E-2"/>
    <x v="4"/>
    <x v="5"/>
  </r>
  <r>
    <s v="31/12/2025"/>
    <s v="52"/>
    <x v="1"/>
    <s v="FMX"/>
    <s v="5270472F4576"/>
    <x v="145"/>
    <s v="LU1997245763"/>
    <s v=""/>
    <s v="7047"/>
    <s v="2"/>
    <n v="1753.82"/>
    <n v="6477.1442255000002"/>
    <n v="1927.2052799999999"/>
    <n v="1.274"/>
    <m/>
    <m/>
    <n v="3.3609"/>
    <x v="1"/>
    <n v="6528.7434575999996"/>
    <n v="1941.576"/>
    <s v=""/>
    <n v="0"/>
    <n v="0"/>
    <n v="0"/>
    <n v="-11.28"/>
    <s v="2"/>
    <n v="7679510866.0565634"/>
    <n v="8.4343187196061883E-7"/>
    <n v="1.9272052799845279E-3"/>
    <n v="0"/>
    <n v="1.9272052799845279E-3"/>
    <n v="0"/>
    <n v="0"/>
    <n v="9.6904843199738175E-3"/>
    <x v="95"/>
    <x v="339"/>
    <n v="3.0216828173992411E-5"/>
    <s v="52RVI"/>
    <x v="1"/>
    <x v="8"/>
    <n v="6.400721732722044E-6"/>
    <x v="4"/>
    <x v="5"/>
  </r>
  <r>
    <s v="31/12/2025"/>
    <s v="52"/>
    <x v="1"/>
    <s v="FMX"/>
    <s v="5270474F8219"/>
    <x v="146"/>
    <s v="LU0852482198"/>
    <s v=""/>
    <s v="7047"/>
    <s v="4"/>
    <n v="1"/>
    <n v="9056.5791100000006"/>
    <n v="2295.11"/>
    <n v="1"/>
    <m/>
    <m/>
    <n v="3.9460326999999999"/>
    <x v="1"/>
    <n v="9071.1927639999994"/>
    <n v="2295.11"/>
    <s v=""/>
    <n v="0"/>
    <n v="0"/>
    <n v="0"/>
    <n v="0"/>
    <s v="4"/>
    <n v="7679510866.0565634"/>
    <n v="1.1793171815186925E-6"/>
    <n v="2.6946886577999944E-3"/>
    <n v="0"/>
    <n v="2.6946886577999944E-3"/>
    <n v="0"/>
    <n v="0"/>
    <n v="8.0840659733999835E-3"/>
    <x v="96"/>
    <x v="340"/>
    <n v="3.8854035505015043E-5"/>
    <s v="52RVI"/>
    <x v="1"/>
    <x v="8"/>
    <n v="8.2303102108828965E-6"/>
    <x v="4"/>
    <x v="5"/>
  </r>
  <r>
    <s v="31/12/2025"/>
    <s v="52"/>
    <x v="0"/>
    <s v="FMX"/>
    <s v="5270474F8219"/>
    <x v="146"/>
    <s v="LU0852482198"/>
    <s v=""/>
    <s v="7047"/>
    <s v="4"/>
    <n v="1"/>
    <n v="9056.5791100000006"/>
    <n v="2295.11"/>
    <n v="1"/>
    <m/>
    <m/>
    <n v="3.9460326999999999"/>
    <x v="1"/>
    <n v="9071.1927639999994"/>
    <n v="2295.11"/>
    <s v=""/>
    <n v="0"/>
    <n v="0"/>
    <n v="0"/>
    <n v="0"/>
    <s v="4"/>
    <n v="26256910350.436607"/>
    <n v="3.4492173637822567E-7"/>
    <n v="2.6946886577999944E-3"/>
    <n v="0"/>
    <n v="0"/>
    <n v="2.6946886577999944E-3"/>
    <n v="0"/>
    <n v="8.0840659733999835E-3"/>
    <x v="96"/>
    <x v="340"/>
    <n v="1.1363865126117132E-5"/>
    <s v="52RVI"/>
    <x v="1"/>
    <x v="8"/>
    <n v="8.2303102108828965E-6"/>
    <x v="4"/>
    <x v="5"/>
  </r>
  <r>
    <s v="31/12/2025"/>
    <s v="52"/>
    <x v="0"/>
    <s v="FMX"/>
    <s v="5270472F4576"/>
    <x v="145"/>
    <s v="LU1997245763"/>
    <s v=""/>
    <s v="7047"/>
    <s v="2"/>
    <n v="1753.82"/>
    <n v="19543.282890900002"/>
    <n v="5814.8956799999996"/>
    <n v="3.8439999999999999"/>
    <m/>
    <m/>
    <n v="3.3609"/>
    <x v="1"/>
    <n v="19698.971625599999"/>
    <n v="5858.2560000000003"/>
    <s v=""/>
    <n v="0"/>
    <n v="0"/>
    <n v="0"/>
    <n v="-11.28"/>
    <s v="2"/>
    <n v="26256910350.436607"/>
    <n v="7.4431007418871855E-7"/>
    <n v="5.8148956799964294E-3"/>
    <n v="0"/>
    <n v="0"/>
    <n v="5.8148956799964294E-3"/>
    <n v="0"/>
    <n v="9.6904843199738175E-3"/>
    <x v="95"/>
    <x v="341"/>
    <n v="2.6665686189509066E-5"/>
    <s v="52RVI"/>
    <x v="1"/>
    <x v="8"/>
    <n v="1.9312695714886939E-5"/>
    <x v="4"/>
    <x v="5"/>
  </r>
  <r>
    <s v="31/12/2025"/>
    <s v="52"/>
    <x v="3"/>
    <s v="FMX"/>
    <s v="5270472F4576"/>
    <x v="145"/>
    <s v="LU1997245763"/>
    <s v=""/>
    <s v="7047"/>
    <s v="2"/>
    <n v="1753.82"/>
    <n v="6548.3216345999999"/>
    <n v="1948.38336"/>
    <n v="1.288"/>
    <m/>
    <m/>
    <n v="3.3609"/>
    <x v="1"/>
    <n v="6600.4878912000004"/>
    <n v="1962.912"/>
    <s v=""/>
    <n v="0"/>
    <n v="0"/>
    <n v="0"/>
    <n v="-11.28"/>
    <s v="2"/>
    <n v="3164069580.822104"/>
    <n v="2.069588378931472E-6"/>
    <n v="1.9483833599928592E-3"/>
    <n v="0"/>
    <n v="0"/>
    <n v="0"/>
    <n v="1.9483833599928592E-3"/>
    <n v="9.6904843199738175E-3"/>
    <x v="95"/>
    <x v="342"/>
    <n v="7.4145166332988306E-5"/>
    <s v="52RVI"/>
    <x v="1"/>
    <x v="8"/>
    <n v="6.471059334208763E-6"/>
    <x v="4"/>
    <x v="5"/>
  </r>
  <r>
    <s v="31/12/2025"/>
    <s v="52"/>
    <x v="3"/>
    <s v="FMX"/>
    <s v="5270474F8219"/>
    <x v="146"/>
    <s v="LU0852482198"/>
    <s v=""/>
    <s v="7047"/>
    <s v="4"/>
    <n v="1"/>
    <n v="9056.5791100000006"/>
    <n v="2295.11"/>
    <n v="1"/>
    <m/>
    <m/>
    <n v="3.9460326999999999"/>
    <x v="1"/>
    <n v="9071.1927639999994"/>
    <n v="2295.11"/>
    <s v=""/>
    <n v="0"/>
    <n v="0"/>
    <n v="0"/>
    <n v="0"/>
    <s v="4"/>
    <n v="3164069580.822104"/>
    <n v="2.8623198316791999E-6"/>
    <n v="2.6946886577999944E-3"/>
    <n v="0"/>
    <n v="0"/>
    <n v="0"/>
    <n v="2.6946886577999944E-3"/>
    <n v="8.0840659733999835E-3"/>
    <x v="96"/>
    <x v="340"/>
    <n v="9.4302599936308619E-5"/>
    <s v="52RVI"/>
    <x v="1"/>
    <x v="8"/>
    <n v="8.2303102108828965E-6"/>
    <x v="4"/>
    <x v="5"/>
  </r>
  <r>
    <s v="31/12/2025"/>
    <s v="52"/>
    <x v="3"/>
    <s v="FMX"/>
    <s v="5270012F2664"/>
    <x v="147"/>
    <s v="LU0823426647"/>
    <s v=""/>
    <s v="7001"/>
    <s v="2"/>
    <n v="465.85735"/>
    <n v="2755.5809379000002"/>
    <n v="819.89376000000004"/>
    <n v="1.3440000000000001"/>
    <m/>
    <m/>
    <n v="3.3609"/>
    <x v="1"/>
    <n v="2735.1463721999999"/>
    <n v="813.40224000000001"/>
    <s v=""/>
    <n v="0"/>
    <n v="0"/>
    <n v="0"/>
    <n v="4.83"/>
    <s v="2"/>
    <n v="3164069580.822104"/>
    <n v="8.7089770547461589E-7"/>
    <n v="8.1989375997500679E-4"/>
    <n v="0"/>
    <n v="0"/>
    <n v="0"/>
    <n v="8.1989375997500679E-4"/>
    <n v="1.9515179599512039E-3"/>
    <x v="97"/>
    <x v="343"/>
    <n v="2.2341396380409783E-5"/>
    <s v="52RVI"/>
    <x v="1"/>
    <x v="8"/>
    <n v="1.9498574045599801E-6"/>
    <x v="4"/>
    <x v="5"/>
  </r>
  <r>
    <s v="31/12/2025"/>
    <s v="52"/>
    <x v="0"/>
    <s v="FMX"/>
    <s v="5270012F2664"/>
    <x v="147"/>
    <s v="LU0823426647"/>
    <s v=""/>
    <s v="7001"/>
    <s v="2"/>
    <n v="465.85735"/>
    <n v="3803.2757737000002"/>
    <n v="1131.6242"/>
    <n v="1.855"/>
    <m/>
    <m/>
    <n v="3.3609"/>
    <x v="1"/>
    <n v="3775.0718158"/>
    <n v="1122.66455"/>
    <s v=""/>
    <n v="0"/>
    <n v="0"/>
    <n v="0"/>
    <n v="4.83"/>
    <s v="2"/>
    <n v="26256910350.436607"/>
    <n v="1.4484856454699965E-7"/>
    <n v="1.131624199976197E-3"/>
    <n v="0"/>
    <n v="0"/>
    <n v="1.131624199976197E-3"/>
    <n v="0"/>
    <n v="1.9515179599512039E-3"/>
    <x v="97"/>
    <x v="344"/>
    <n v="3.7158430609416897E-6"/>
    <s v="52RVI"/>
    <x v="1"/>
    <x v="8"/>
    <n v="2.6912094386108186E-6"/>
    <x v="4"/>
    <x v="5"/>
  </r>
  <r>
    <s v="31/12/2025"/>
    <s v="52"/>
    <x v="0"/>
    <s v="FMX"/>
    <s v="5270242F3827"/>
    <x v="148"/>
    <s v="US2332038270"/>
    <s v=""/>
    <s v="7024"/>
    <s v="2"/>
    <n v="1"/>
    <n v="190.66385700000001"/>
    <n v="56.73"/>
    <n v="1"/>
    <m/>
    <m/>
    <n v="3.3609"/>
    <x v="1"/>
    <n v="190.894802"/>
    <n v="56.77"/>
    <s v=""/>
    <n v="0"/>
    <n v="0"/>
    <n v="0"/>
    <n v="-0.04"/>
    <s v="2"/>
    <n v="26256910350.436607"/>
    <n v="7.2614734351953026E-9"/>
    <n v="5.6730000000000001E-5"/>
    <n v="0"/>
    <n v="0"/>
    <n v="5.6730000000000001E-5"/>
    <n v="0"/>
    <n v="5.6730000000000001E-5"/>
    <x v="98"/>
    <x v="345"/>
    <n v="4.14011156875956E-7"/>
    <s v="52RVI"/>
    <x v="1"/>
    <x v="8"/>
    <n v="2.9984870587951919E-7"/>
    <x v="4"/>
    <x v="5"/>
  </r>
  <r>
    <s v="31/12/2025"/>
    <s v="52"/>
    <x v="3"/>
    <s v="FMX"/>
    <s v="5270465F0075"/>
    <x v="149"/>
    <s v="LU0102000758"/>
    <s v=""/>
    <s v="7046"/>
    <s v="5"/>
    <n v="1"/>
    <n v="42889404.203730002"/>
    <n v="2000205396"/>
    <n v="57976.968000000001"/>
    <m/>
    <m/>
    <n v="2.14425E-2"/>
    <x v="1"/>
    <n v="43163155.9145962"/>
    <n v="2007336563.0639999"/>
    <s v=""/>
    <n v="0"/>
    <n v="0"/>
    <n v="0"/>
    <n v="-123"/>
    <s v="5"/>
    <n v="3164069580.822104"/>
    <n v="1.3555139388744501E-2"/>
    <n v="12.761285430607874"/>
    <n v="0"/>
    <n v="0"/>
    <n v="0"/>
    <n v="12.761285430607874"/>
    <n v="90.985261769726861"/>
    <x v="99"/>
    <x v="346"/>
    <n v="1.6454233479860563"/>
    <s v="52RVI"/>
    <x v="1"/>
    <x v="8"/>
    <n v="0.14360520909605012"/>
    <x v="4"/>
    <x v="5"/>
  </r>
  <r>
    <s v="31/12/2025"/>
    <s v="52"/>
    <x v="0"/>
    <s v="FMX"/>
    <s v="5270465F0075"/>
    <x v="149"/>
    <s v="LU0102000758"/>
    <s v=""/>
    <s v="7046"/>
    <s v="5"/>
    <n v="1"/>
    <n v="239288143.84564501"/>
    <n v="11159526354"/>
    <n v="323464.53200000001"/>
    <m/>
    <m/>
    <n v="2.14425E-2"/>
    <x v="1"/>
    <n v="240815456.70960081"/>
    <n v="11199312491.436001"/>
    <s v=""/>
    <n v="0"/>
    <n v="0"/>
    <n v="0"/>
    <n v="-123"/>
    <s v="5"/>
    <n v="26256910350.436607"/>
    <n v="9.1133397133172627E-3"/>
    <n v="71.197638681795056"/>
    <n v="0"/>
    <n v="0"/>
    <n v="71.197638681795056"/>
    <n v="0"/>
    <n v="90.985261769726861"/>
    <x v="99"/>
    <x v="347"/>
    <n v="1.1062447616637652"/>
    <s v="52RVI"/>
    <x v="1"/>
    <x v="8"/>
    <n v="0.80120077602222994"/>
    <x v="4"/>
    <x v="5"/>
  </r>
  <r>
    <s v="31/12/2025"/>
    <s v="52"/>
    <x v="1"/>
    <s v="FMX"/>
    <s v="5270465F0075"/>
    <x v="149"/>
    <s v="LU0102000758"/>
    <s v=""/>
    <s v="7046"/>
    <s v="5"/>
    <n v="1"/>
    <n v="23614818.232500002"/>
    <n v="1101309000"/>
    <n v="31922"/>
    <m/>
    <m/>
    <n v="2.14425E-2"/>
    <x v="1"/>
    <n v="23765545.364596199"/>
    <n v="1105235406"/>
    <s v=""/>
    <n v="0"/>
    <n v="0"/>
    <n v="0"/>
    <n v="-123"/>
    <s v="5"/>
    <n v="7679510866.0565634"/>
    <n v="3.0750419713418851E-3"/>
    <n v="7.0263376573239311"/>
    <n v="0"/>
    <n v="7.0263376573239311"/>
    <n v="0"/>
    <n v="0"/>
    <n v="90.985261769726861"/>
    <x v="99"/>
    <x v="348"/>
    <n v="0.37327139991525005"/>
    <s v="52RVI"/>
    <x v="1"/>
    <x v="8"/>
    <n v="7.9068734411294361E-2"/>
    <x v="4"/>
    <x v="5"/>
  </r>
  <r>
    <s v="31/12/2025"/>
    <s v="52"/>
    <x v="1"/>
    <s v="FMX"/>
    <s v="5270272F0606"/>
    <x v="150"/>
    <s v="LU0622306065"/>
    <s v=""/>
    <s v="7027"/>
    <s v="2"/>
    <n v="170.62"/>
    <n v="483.44570290000001"/>
    <n v="143.84412"/>
    <n v="0.71799999999999997"/>
    <m/>
    <m/>
    <n v="3.3609"/>
    <x v="0"/>
    <n v="483.59366399999999"/>
    <n v="143.81540000000001"/>
    <s v=""/>
    <n v="0"/>
    <n v="0"/>
    <n v="0"/>
    <n v="0.04"/>
    <s v="2"/>
    <n v="7679510866.0565634"/>
    <n v="6.2952668644148937E-8"/>
    <n v="1.4384411999761968E-4"/>
    <n v="0"/>
    <n v="1.4384411999761968E-4"/>
    <n v="0"/>
    <n v="0"/>
    <n v="1.4384411999761968E-4"/>
    <x v="100"/>
    <x v="349"/>
    <n v="2.2295840808858331E-5"/>
    <s v="52RFIG"/>
    <x v="1"/>
    <x v="1"/>
    <n v="4.7228475468315511E-6"/>
    <x v="4"/>
    <x v="5"/>
  </r>
  <r>
    <s v="31/12/2025"/>
    <s v="52"/>
    <x v="3"/>
    <s v="FMX"/>
    <s v="5270272F1107"/>
    <x v="151"/>
    <s v="LU0333811072"/>
    <s v=""/>
    <s v="7027"/>
    <s v="2"/>
    <n v="0"/>
    <n v="7376142.7001352003"/>
    <n v="2194692.7014000001"/>
    <n v="46537.165000000001"/>
    <m/>
    <m/>
    <n v="3.3609"/>
    <x v="1"/>
    <n v="7373614.2428863999"/>
    <n v="2192831.2148000002"/>
    <s v=""/>
    <n v="0"/>
    <n v="0"/>
    <n v="0"/>
    <n v="0.04"/>
    <s v="2"/>
    <n v="3164069580.822104"/>
    <n v="2.3312201301902771E-3"/>
    <n v="2.1946927013999824"/>
    <n v="0"/>
    <n v="0"/>
    <n v="0"/>
    <n v="2.1946927013999824"/>
    <n v="15.15473970551998"/>
    <x v="101"/>
    <x v="350"/>
    <n v="0.29909473701042338"/>
    <s v="52RVI"/>
    <x v="1"/>
    <x v="8"/>
    <n v="2.6103654296920766E-2"/>
    <x v="4"/>
    <x v="5"/>
  </r>
  <r>
    <s v="31/12/2025"/>
    <s v="52"/>
    <x v="0"/>
    <s v="FMX"/>
    <s v="5270272F1107"/>
    <x v="151"/>
    <s v="LU0333811072"/>
    <s v=""/>
    <s v="7027"/>
    <s v="2"/>
    <n v="0"/>
    <n v="43557421.976146899"/>
    <n v="12960047.00412"/>
    <n v="274810.15700000001"/>
    <m/>
    <m/>
    <n v="3.3609"/>
    <x v="1"/>
    <n v="43542490.990696698"/>
    <n v="12949054.59784"/>
    <s v=""/>
    <n v="0"/>
    <n v="0"/>
    <n v="0"/>
    <n v="0.04"/>
    <s v="2"/>
    <n v="26256910350.436607"/>
    <n v="1.6588936548439948E-3"/>
    <n v="12.960047004119998"/>
    <n v="0"/>
    <n v="0"/>
    <n v="12.960047004119998"/>
    <n v="0"/>
    <n v="15.15473970551998"/>
    <x v="101"/>
    <x v="351"/>
    <n v="0.21283548258624849"/>
    <s v="52RVI"/>
    <x v="1"/>
    <x v="8"/>
    <n v="0.15414667686805969"/>
    <x v="4"/>
    <x v="5"/>
  </r>
  <r>
    <s v="31/12/2025"/>
    <s v="52"/>
    <x v="0"/>
    <s v="FMX"/>
    <s v="5270132F4904"/>
    <x v="152"/>
    <s v="LU0129464904"/>
    <s v=""/>
    <s v="7013"/>
    <s v="2"/>
    <n v="1"/>
    <n v="137176896.2281929"/>
    <n v="40815524.480999999"/>
    <n v="1294087.6499999999"/>
    <m/>
    <m/>
    <n v="3.3609"/>
    <x v="1"/>
    <n v="137855492.49827519"/>
    <n v="40996696.751999997"/>
    <s v="GJPM"/>
    <n v="0"/>
    <n v="0"/>
    <n v="0"/>
    <n v="-0.14000000000000001"/>
    <s v="2"/>
    <n v="26256910350.436607"/>
    <n v="5.2244111891828838E-3"/>
    <n v="40.815524480999997"/>
    <n v="0"/>
    <n v="0"/>
    <n v="40.815524480999997"/>
    <n v="0"/>
    <n v="53.041409311919992"/>
    <x v="102"/>
    <x v="352"/>
    <n v="0.11879322444545781"/>
    <s v="52RVI"/>
    <x v="1"/>
    <x v="8"/>
    <n v="8.6036315750539258E-2"/>
    <x v="4"/>
    <x v="5"/>
  </r>
  <r>
    <s v="31/12/2025"/>
    <s v="52"/>
    <x v="3"/>
    <s v="FMX"/>
    <s v="5270132F4904"/>
    <x v="152"/>
    <s v="LU0129464904"/>
    <s v=""/>
    <s v="7013"/>
    <s v="2"/>
    <n v="1"/>
    <n v="33711284.4730388"/>
    <n v="10030433.655579999"/>
    <n v="318022.62699999998"/>
    <m/>
    <m/>
    <n v="3.3609"/>
    <x v="1"/>
    <n v="33878049.8142303"/>
    <n v="10074956.82336"/>
    <s v="GJPM"/>
    <n v="0"/>
    <n v="0"/>
    <n v="0"/>
    <n v="-0.14000000000000001"/>
    <s v="2"/>
    <n v="3164069580.822104"/>
    <n v="1.0654406804884414E-2"/>
    <n v="10.030433655579994"/>
    <n v="0"/>
    <n v="0"/>
    <n v="0"/>
    <n v="10.030433655579994"/>
    <n v="53.041409311919992"/>
    <x v="102"/>
    <x v="353"/>
    <n v="0.24226104972870691"/>
    <s v="52RVI"/>
    <x v="1"/>
    <x v="8"/>
    <n v="2.1143463622721348E-2"/>
    <x v="4"/>
    <x v="5"/>
  </r>
  <r>
    <s v="31/12/2025"/>
    <s v="52"/>
    <x v="1"/>
    <s v="FMX"/>
    <s v="5270132F4904"/>
    <x v="152"/>
    <s v="LU0129464904"/>
    <s v=""/>
    <s v="7013"/>
    <s v="2"/>
    <n v="1"/>
    <n v="7378691.8552002003"/>
    <n v="2195451.1753400001"/>
    <n v="69608.471000000005"/>
    <m/>
    <m/>
    <n v="3.3609"/>
    <x v="1"/>
    <n v="7415193.2844401002"/>
    <n v="2205196.3612799998"/>
    <s v="GJPM"/>
    <n v="0"/>
    <n v="0"/>
    <n v="0"/>
    <n v="-0.14000000000000001"/>
    <s v="2"/>
    <n v="7679510866.0565634"/>
    <n v="9.6082836314667088E-4"/>
    <n v="2.1954511753399983"/>
    <n v="0"/>
    <n v="2.1954511753399983"/>
    <n v="0"/>
    <n v="0"/>
    <n v="53.041409311919992"/>
    <x v="102"/>
    <x v="354"/>
    <n v="2.1847418831268565E-2"/>
    <s v="52RVI"/>
    <x v="1"/>
    <x v="8"/>
    <n v="4.6278599365879511E-3"/>
    <x v="4"/>
    <x v="5"/>
  </r>
  <r>
    <s v="31/12/2025"/>
    <s v="52"/>
    <x v="0"/>
    <s v="FMX"/>
    <s v="5277445FGVH8"/>
    <x v="153"/>
    <s v="IE00B8JGVH80"/>
    <s v=""/>
    <s v="7744"/>
    <s v="5"/>
    <n v="0"/>
    <n v="42978625.029104501"/>
    <n v="2004366329.9104381"/>
    <n v="5122530.6449999996"/>
    <m/>
    <m/>
    <n v="2.14425E-2"/>
    <x v="1"/>
    <n v="43100587.631393597"/>
    <n v="2004426775.7720487"/>
    <s v=""/>
    <n v="0"/>
    <n v="0"/>
    <n v="0"/>
    <n v="-1.18E-2"/>
    <s v="5"/>
    <n v="26256910350.436607"/>
    <n v="1.6368500503483588E-3"/>
    <n v="12.787832136958702"/>
    <n v="0"/>
    <n v="0"/>
    <n v="12.787832136958702"/>
    <n v="0"/>
    <n v="12.787836685380494"/>
    <x v="103"/>
    <x v="355"/>
    <n v="9.3698460030790867E-2"/>
    <s v="52RVI"/>
    <x v="1"/>
    <x v="8"/>
    <n v="6.7861364401718999E-2"/>
    <x v="4"/>
    <x v="5"/>
  </r>
  <r>
    <s v="31/12/2025"/>
    <s v="52"/>
    <x v="3"/>
    <s v="FMX"/>
    <s v="5277445FGVH8"/>
    <x v="153"/>
    <s v="IE00B8JGVH80"/>
    <s v=""/>
    <s v="7744"/>
    <s v="5"/>
    <n v="0"/>
    <n v="15.2867908"/>
    <n v="712.92017680000004"/>
    <n v="1.8220000000000001"/>
    <m/>
    <m/>
    <n v="2.14425E-2"/>
    <x v="1"/>
    <n v="15.330170900000001"/>
    <n v="712.94167640000001"/>
    <s v=""/>
    <n v="0"/>
    <n v="0"/>
    <n v="0"/>
    <n v="-1.18E-2"/>
    <s v="5"/>
    <n v="3164069580.822104"/>
    <n v="4.8313699839774421E-9"/>
    <n v="4.5484217917819633E-6"/>
    <n v="0"/>
    <n v="0"/>
    <n v="0"/>
    <n v="4.5484217917819633E-6"/>
    <n v="12.787836685380494"/>
    <x v="103"/>
    <x v="356"/>
    <n v="2.7656285756983667E-7"/>
    <s v="52RVI"/>
    <x v="1"/>
    <x v="8"/>
    <n v="2.4137172380669343E-8"/>
    <x v="4"/>
    <x v="5"/>
  </r>
  <r>
    <s v="31/12/2025"/>
    <s v="52"/>
    <x v="0"/>
    <s v="FMX"/>
    <s v="5270802F0077"/>
    <x v="154"/>
    <s v="LU1164800770"/>
    <s v=""/>
    <s v="7080"/>
    <s v="2"/>
    <n v="120.45"/>
    <n v="443.033838"/>
    <n v="131.82"/>
    <n v="1"/>
    <m/>
    <m/>
    <n v="3.3609"/>
    <x v="0"/>
    <n v="443.19067999999999"/>
    <n v="131.80000000000001"/>
    <s v=""/>
    <n v="0"/>
    <n v="0"/>
    <n v="0"/>
    <n v="0.02"/>
    <s v="2"/>
    <n v="26256910350.436607"/>
    <n v="1.6873037691299925E-8"/>
    <n v="1.3181999999999999E-4"/>
    <n v="0"/>
    <n v="0"/>
    <n v="1.3181999999999999E-4"/>
    <n v="0"/>
    <n v="3.3442733999821474E-4"/>
    <x v="104"/>
    <x v="357"/>
    <n v="3.5114283163984393E-7"/>
    <s v="52RFIG"/>
    <x v="1"/>
    <x v="1"/>
    <n v="2.5431615041626399E-7"/>
    <x v="4"/>
    <x v="5"/>
  </r>
  <r>
    <s v="31/12/2025"/>
    <s v="52"/>
    <x v="1"/>
    <s v="FMX"/>
    <s v="5270802F0077"/>
    <x v="154"/>
    <s v="LU1164800770"/>
    <s v=""/>
    <s v="7080"/>
    <s v="2"/>
    <n v="120.45"/>
    <n v="680.94300899999996"/>
    <n v="202.60733999999999"/>
    <n v="1.5369999999999999"/>
    <m/>
    <m/>
    <n v="3.3609"/>
    <x v="0"/>
    <n v="681.18407509999997"/>
    <n v="202.57660000000001"/>
    <s v=""/>
    <n v="0"/>
    <n v="0"/>
    <n v="0"/>
    <n v="0.02"/>
    <s v="2"/>
    <n v="7679510866.0565634"/>
    <n v="8.8670101634958021E-8"/>
    <n v="2.0260733999821474E-4"/>
    <n v="0"/>
    <n v="2.0260733999821474E-4"/>
    <n v="0"/>
    <n v="0"/>
    <n v="3.3442733999821474E-4"/>
    <x v="104"/>
    <x v="358"/>
    <n v="1.8453032073736307E-6"/>
    <s v="52RFIG"/>
    <x v="1"/>
    <x v="1"/>
    <n v="3.908839231863535E-7"/>
    <x v="4"/>
    <x v="5"/>
  </r>
  <r>
    <s v="31/12/2025"/>
    <s v="52"/>
    <x v="0"/>
    <s v="FMX"/>
    <s v="5270192F5998"/>
    <x v="155"/>
    <s v="LU0106259988"/>
    <s v=""/>
    <s v="7019"/>
    <s v="2"/>
    <n v="1"/>
    <n v="234.57600170000001"/>
    <n v="69.795591000000002"/>
    <n v="1.81"/>
    <m/>
    <m/>
    <n v="3.3609"/>
    <x v="1"/>
    <n v="234.7336066"/>
    <n v="69.807175000000001"/>
    <s v=""/>
    <n v="0"/>
    <n v="0"/>
    <n v="0"/>
    <n v="-6.4000000000000003E-3"/>
    <s v="2"/>
    <n v="26256910350.436607"/>
    <n v="8.9338767802168089E-9"/>
    <n v="6.9795590972656125E-5"/>
    <n v="0"/>
    <n v="0"/>
    <n v="6.9795590972656125E-5"/>
    <n v="0"/>
    <n v="1.1336963396709214E-4"/>
    <x v="105"/>
    <x v="359"/>
    <n v="2.2439622736538523E-7"/>
    <s v="52RVI"/>
    <x v="1"/>
    <x v="8"/>
    <n v="1.6251957770287017E-7"/>
    <x v="4"/>
    <x v="5"/>
  </r>
  <r>
    <s v="31/12/2025"/>
    <s v="52"/>
    <x v="3"/>
    <s v="FMX"/>
    <s v="5270192F5998"/>
    <x v="155"/>
    <s v="LU0106259988"/>
    <s v=""/>
    <s v="7019"/>
    <s v="2"/>
    <n v="1"/>
    <n v="146.4480011"/>
    <n v="43.574043000000003"/>
    <n v="1.1299999999999999"/>
    <m/>
    <m/>
    <n v="3.3609"/>
    <x v="1"/>
    <n v="146.5463953"/>
    <n v="43.581274999999998"/>
    <s v=""/>
    <n v="0"/>
    <n v="0"/>
    <n v="0"/>
    <n v="-6.4000000000000003E-3"/>
    <s v="2"/>
    <n v="3164069580.822104"/>
    <n v="4.6284696767619495E-8"/>
    <n v="4.3574042994436014E-5"/>
    <n v="0"/>
    <n v="0"/>
    <n v="0"/>
    <n v="4.3574042994436014E-5"/>
    <n v="1.1336963396709214E-4"/>
    <x v="105"/>
    <x v="360"/>
    <n v="1.1625536813316785E-6"/>
    <s v="52RVI"/>
    <x v="1"/>
    <x v="8"/>
    <n v="1.0146249881366901E-7"/>
    <x v="4"/>
    <x v="5"/>
  </r>
  <r>
    <s v="31/12/2025"/>
    <s v="52"/>
    <x v="3"/>
    <s v="FMX"/>
    <s v="5260012E1030"/>
    <x v="156"/>
    <s v="US78462F1030"/>
    <s v=""/>
    <s v="6001"/>
    <s v="2"/>
    <n v="1"/>
    <n v="8021527.2479999997"/>
    <n v="2386720"/>
    <n v="3500"/>
    <m/>
    <m/>
    <n v="3.3609"/>
    <x v="1"/>
    <n v="8085489.3909999998"/>
    <n v="2404535"/>
    <s v=""/>
    <n v="0"/>
    <n v="0"/>
    <n v="0"/>
    <n v="-5.09"/>
    <s v="2"/>
    <n v="3164069580.822104"/>
    <n v="2.5351930616885508E-3"/>
    <n v="2.38672"/>
    <n v="0"/>
    <n v="0"/>
    <n v="0"/>
    <n v="2.38672"/>
    <n v="2.38672"/>
    <x v="106"/>
    <x v="361"/>
    <n v="5.7626265972787166E-2"/>
    <s v="52RVI"/>
    <x v="1"/>
    <x v="8"/>
    <n v="5.0293634064300556E-3"/>
    <x v="4"/>
    <x v="5"/>
  </r>
  <r>
    <s v="31/12/2025"/>
    <s v="52"/>
    <x v="3"/>
    <s v="FMX"/>
    <s v="5260012EA755"/>
    <x v="157"/>
    <s v="US78464A7550"/>
    <s v=""/>
    <s v="6001"/>
    <s v="2"/>
    <n v="24.54"/>
    <n v="42134964.729000002"/>
    <n v="12536810"/>
    <n v="121000"/>
    <m/>
    <m/>
    <n v="3.3609"/>
    <x v="1"/>
    <n v="42611976.858000003"/>
    <n v="12672330"/>
    <s v=""/>
    <n v="0"/>
    <n v="0"/>
    <n v="0"/>
    <n v="-1.1200000000000001"/>
    <s v="2"/>
    <n v="3164069580.822104"/>
    <n v="1.3316699792060922E-2"/>
    <n v="12.536809999999999"/>
    <n v="0"/>
    <n v="0"/>
    <n v="0"/>
    <n v="12.536809999999999"/>
    <n v="53.856477999999996"/>
    <x v="107"/>
    <x v="362"/>
    <n v="8.6531343303214161"/>
    <s v="52RVI"/>
    <x v="1"/>
    <x v="8"/>
    <n v="0.7552069601801632"/>
    <x v="4"/>
    <x v="5"/>
  </r>
  <r>
    <s v="31/12/2025"/>
    <s v="52"/>
    <x v="3"/>
    <s v="FMX"/>
    <s v="5260012EY803"/>
    <x v="158"/>
    <s v="US81369Y8030"/>
    <s v=""/>
    <s v="6001"/>
    <s v="2"/>
    <n v="39.840000000000003"/>
    <n v="87580247.913000003"/>
    <n v="26058570"/>
    <n v="181000"/>
    <m/>
    <m/>
    <n v="3.3609"/>
    <x v="1"/>
    <n v="88500975.546000004"/>
    <n v="26319210"/>
    <s v=""/>
    <n v="0"/>
    <n v="0"/>
    <n v="0"/>
    <n v="-1.44"/>
    <s v="2"/>
    <n v="3164069580.822104"/>
    <n v="2.7679621347089491E-2"/>
    <n v="26.05857"/>
    <n v="0"/>
    <n v="0"/>
    <n v="0"/>
    <n v="26.05857"/>
    <n v="277.8621"/>
    <x v="108"/>
    <x v="363"/>
    <n v="9.1945589347453005E-2"/>
    <s v="52RVI"/>
    <x v="1"/>
    <x v="8"/>
    <n v="8.0246008420031493E-3"/>
    <x v="4"/>
    <x v="5"/>
  </r>
  <r>
    <s v="31/12/2025"/>
    <s v="52"/>
    <x v="0"/>
    <s v="FMX"/>
    <s v="5260012EY803"/>
    <x v="158"/>
    <s v="US81369Y8030"/>
    <s v=""/>
    <s v="6001"/>
    <s v="2"/>
    <n v="39.840000000000003"/>
    <n v="846286483.977"/>
    <n v="251803530"/>
    <n v="1749000"/>
    <m/>
    <m/>
    <n v="3.3609"/>
    <x v="1"/>
    <n v="855183459.83399999"/>
    <n v="254322090"/>
    <s v=""/>
    <n v="0"/>
    <n v="0"/>
    <n v="0"/>
    <n v="-1.44"/>
    <s v="2"/>
    <n v="26256910350.436607"/>
    <n v="3.2231000246490449E-2"/>
    <n v="251.80352999999999"/>
    <n v="0"/>
    <n v="0"/>
    <n v="251.80352999999999"/>
    <n v="0"/>
    <n v="277.8621"/>
    <x v="108"/>
    <x v="364"/>
    <n v="0.10706426492474684"/>
    <s v="52RVI"/>
    <x v="1"/>
    <x v="8"/>
    <n v="7.7541584931842572E-2"/>
    <x v="4"/>
    <x v="5"/>
  </r>
  <r>
    <s v="31/12/2025"/>
    <s v="52"/>
    <x v="0"/>
    <s v="FMX"/>
    <s v="5260012EA755"/>
    <x v="157"/>
    <s v="US78464A7550"/>
    <s v=""/>
    <s v="6001"/>
    <s v="2"/>
    <n v="24.54"/>
    <n v="127414740.4491"/>
    <n v="37910899"/>
    <n v="365900"/>
    <m/>
    <m/>
    <n v="3.3609"/>
    <x v="1"/>
    <n v="128857209.3582"/>
    <n v="38320707"/>
    <s v=""/>
    <n v="0"/>
    <n v="0"/>
    <n v="0"/>
    <n v="-1.1200000000000001"/>
    <s v="2"/>
    <n v="26256910350.436607"/>
    <n v="4.8526174157037224E-3"/>
    <n v="37.910899000000001"/>
    <n v="0"/>
    <n v="0"/>
    <n v="37.910899000000001"/>
    <n v="0"/>
    <n v="53.856477999999996"/>
    <x v="107"/>
    <x v="365"/>
    <n v="3.1532099549751096"/>
    <s v="52RVI"/>
    <x v="1"/>
    <x v="8"/>
    <n v="2.2837208820654689"/>
    <x v="4"/>
    <x v="5"/>
  </r>
  <r>
    <s v="31/12/2025"/>
    <s v="52"/>
    <x v="1"/>
    <s v="FMX"/>
    <s v="5260012EA755"/>
    <x v="157"/>
    <s v="US78464A7550"/>
    <s v=""/>
    <s v="6001"/>
    <s v="2"/>
    <n v="24.54"/>
    <n v="11456531.732100001"/>
    <n v="3408769"/>
    <n v="32900"/>
    <m/>
    <m/>
    <n v="3.3609"/>
    <x v="1"/>
    <n v="11586231.724199999"/>
    <n v="3445617"/>
    <s v=""/>
    <n v="0"/>
    <n v="0"/>
    <n v="0"/>
    <n v="-1.1200000000000001"/>
    <s v="2"/>
    <n v="7679510866.0565634"/>
    <n v="1.491830916307166E-3"/>
    <n v="3.4087689999999999"/>
    <n v="0"/>
    <n v="3.4087689999999999"/>
    <n v="0"/>
    <n v="0"/>
    <n v="53.856477999999996"/>
    <x v="107"/>
    <x v="366"/>
    <n v="0.96938532207720252"/>
    <s v="52RVI"/>
    <x v="1"/>
    <x v="8"/>
    <n v="0.20534139661097003"/>
    <x v="4"/>
    <x v="5"/>
  </r>
  <r>
    <s v="31/12/2025"/>
    <s v="52"/>
    <x v="3"/>
    <s v="FMX"/>
    <s v="5270082F8671"/>
    <x v="159"/>
    <s v="LU1951186714"/>
    <s v=""/>
    <s v="7008"/>
    <s v="2"/>
    <n v="92.31"/>
    <n v="325.738428"/>
    <n v="96.92"/>
    <n v="1"/>
    <m/>
    <m/>
    <n v="3.3609"/>
    <x v="1"/>
    <n v="326.81109400000003"/>
    <n v="97.19"/>
    <s v=""/>
    <n v="0"/>
    <n v="0"/>
    <n v="0"/>
    <n v="-0.27"/>
    <s v="2"/>
    <n v="3164069580.822104"/>
    <n v="1.029491987073701E-7"/>
    <n v="9.692E-5"/>
    <n v="0"/>
    <n v="0"/>
    <n v="0"/>
    <n v="9.692E-5"/>
    <n v="1.9384E-4"/>
    <x v="109"/>
    <x v="367"/>
    <n v="1.0381537480347328E-5"/>
    <s v="52RVI"/>
    <x v="1"/>
    <x v="8"/>
    <n v="9.0605427620101653E-7"/>
    <x v="4"/>
    <x v="5"/>
  </r>
  <r>
    <s v="31/12/2025"/>
    <s v="52"/>
    <x v="0"/>
    <s v="FMX"/>
    <s v="5270082F8671"/>
    <x v="159"/>
    <s v="LU1951186714"/>
    <s v=""/>
    <s v="7008"/>
    <s v="2"/>
    <n v="92.31"/>
    <n v="325.738428"/>
    <n v="96.92"/>
    <n v="1"/>
    <m/>
    <m/>
    <n v="3.3609"/>
    <x v="1"/>
    <n v="326.81109400000003"/>
    <n v="97.19"/>
    <s v=""/>
    <n v="0"/>
    <n v="0"/>
    <n v="0"/>
    <n v="-0.27"/>
    <s v="2"/>
    <n v="26256910350.436607"/>
    <n v="1.240581712214223E-8"/>
    <n v="9.692E-5"/>
    <n v="0"/>
    <n v="0"/>
    <n v="9.692E-5"/>
    <n v="0"/>
    <n v="1.9384E-4"/>
    <x v="109"/>
    <x v="367"/>
    <n v="1.2510195032594658E-6"/>
    <s v="52RVI"/>
    <x v="1"/>
    <x v="8"/>
    <n v="9.0605427620101653E-7"/>
    <x v="4"/>
    <x v="5"/>
  </r>
  <r>
    <s v="31/12/2025"/>
    <s v="52"/>
    <x v="0"/>
    <s v="FMX"/>
    <s v="5270652EF676"/>
    <x v="160"/>
    <s v="US92189F6768"/>
    <s v=""/>
    <s v="7065"/>
    <s v="2"/>
    <n v="238.17"/>
    <n v="1105906769.8629"/>
    <n v="329050781"/>
    <n v="913700"/>
    <m/>
    <m/>
    <n v="3.3609"/>
    <x v="1"/>
    <n v="1116236412.4222"/>
    <n v="331956347"/>
    <s v=""/>
    <n v="0"/>
    <n v="0"/>
    <n v="0"/>
    <n v="-3.18"/>
    <s v="2"/>
    <n v="26256910350.436607"/>
    <n v="4.2118693902023038E-2"/>
    <n v="329.05078099999997"/>
    <n v="0"/>
    <n v="0"/>
    <n v="329.05078099999997"/>
    <n v="0"/>
    <n v="432.3900845"/>
    <x v="110"/>
    <x v="368"/>
    <n v="0.26412506295046084"/>
    <s v="52RVI"/>
    <x v="1"/>
    <x v="8"/>
    <n v="0.19129329488038652"/>
    <x v="4"/>
    <x v="5"/>
  </r>
  <r>
    <s v="31/12/2025"/>
    <s v="52"/>
    <x v="0"/>
    <s v="FMX"/>
    <s v="5270652EF106"/>
    <x v="161"/>
    <s v="US92189F1066"/>
    <s v=""/>
    <s v="7065"/>
    <s v="2"/>
    <n v="1"/>
    <n v="380999048.2281"/>
    <n v="113362209"/>
    <n v="1321700"/>
    <m/>
    <m/>
    <n v="3.3609"/>
    <x v="1"/>
    <n v="385947216.79280001"/>
    <n v="114776428"/>
    <s v=""/>
    <n v="0"/>
    <n v="0"/>
    <n v="0"/>
    <n v="-1.07"/>
    <s v="2"/>
    <n v="26256910350.436607"/>
    <n v="1.4510429564755118E-2"/>
    <n v="113.36220900000001"/>
    <n v="0"/>
    <n v="0"/>
    <n v="113.36220900000001"/>
    <n v="0"/>
    <n v="145.94623200000001"/>
    <x v="111"/>
    <x v="369"/>
    <n v="1.1879133180438946"/>
    <s v="52RVI"/>
    <x v="1"/>
    <x v="8"/>
    <n v="0.86034945000100249"/>
    <x v="4"/>
    <x v="5"/>
  </r>
  <r>
    <s v="31/12/2025"/>
    <s v="52"/>
    <x v="0"/>
    <s v="FMX"/>
    <s v="5270652EF494"/>
    <x v="162"/>
    <s v="US92189H3003"/>
    <s v=""/>
    <s v="7065"/>
    <s v="2"/>
    <n v="1"/>
    <n v="135166095.02880001"/>
    <n v="40217232"/>
    <n v="1557600"/>
    <m/>
    <m/>
    <n v="3.3609"/>
    <x v="0"/>
    <n v="135234464.32319999"/>
    <n v="40217232"/>
    <s v=""/>
    <n v="0"/>
    <n v="0"/>
    <n v="0"/>
    <n v="0"/>
    <s v="2"/>
    <n v="26256910350.436607"/>
    <n v="5.1478293989967649E-3"/>
    <n v="40.217232000000003"/>
    <n v="0"/>
    <n v="0"/>
    <n v="40.217232000000003"/>
    <n v="0"/>
    <n v="57.294580000000003"/>
    <x v="112"/>
    <x v="370"/>
    <n v="5.4853863791674305E-2"/>
    <s v="52RFIG"/>
    <x v="1"/>
    <x v="1"/>
    <n v="3.9728059974366785E-2"/>
    <x v="4"/>
    <x v="5"/>
  </r>
  <r>
    <s v="31/12/2025"/>
    <s v="52"/>
    <x v="3"/>
    <s v="FMX"/>
    <s v="5270652EF106"/>
    <x v="161"/>
    <s v="US92189F1066"/>
    <s v=""/>
    <s v="7065"/>
    <s v="2"/>
    <n v="1"/>
    <n v="78119650.503000006"/>
    <n v="23243670"/>
    <n v="271000"/>
    <m/>
    <m/>
    <n v="3.3609"/>
    <x v="1"/>
    <n v="79134217.863999993"/>
    <n v="23533640"/>
    <s v=""/>
    <n v="0"/>
    <n v="0"/>
    <n v="0"/>
    <n v="-1.07"/>
    <s v="2"/>
    <n v="3164069580.822104"/>
    <n v="2.4689612066844176E-2"/>
    <n v="23.243670000000002"/>
    <n v="0"/>
    <n v="0"/>
    <n v="0"/>
    <n v="23.243670000000002"/>
    <n v="145.94623200000001"/>
    <x v="111"/>
    <x v="371"/>
    <n v="2.0212440204237612"/>
    <s v="52RVI"/>
    <x v="1"/>
    <x v="8"/>
    <n v="0.17640516074016166"/>
    <x v="4"/>
    <x v="5"/>
  </r>
  <r>
    <s v="31/12/2025"/>
    <s v="52"/>
    <x v="3"/>
    <s v="FMX"/>
    <s v="5270652EF676"/>
    <x v="160"/>
    <s v="US92189F6768"/>
    <s v=""/>
    <s v="7065"/>
    <s v="2"/>
    <n v="238.17"/>
    <n v="258896200.14629999"/>
    <n v="77031807"/>
    <n v="213900"/>
    <m/>
    <m/>
    <n v="3.3609"/>
    <x v="1"/>
    <n v="261314401.46340001"/>
    <n v="77712009"/>
    <s v=""/>
    <n v="0"/>
    <n v="0"/>
    <n v="0"/>
    <n v="-3.18"/>
    <s v="2"/>
    <n v="3164069580.822104"/>
    <n v="8.1823801131147164E-2"/>
    <n v="77.031807000000001"/>
    <n v="0"/>
    <n v="0"/>
    <n v="0"/>
    <n v="77.031807000000001"/>
    <n v="432.3900845"/>
    <x v="110"/>
    <x v="372"/>
    <n v="0.51311459645172386"/>
    <s v="52RVI"/>
    <x v="1"/>
    <x v="8"/>
    <n v="4.4782352823590547E-2"/>
    <x v="4"/>
    <x v="5"/>
  </r>
  <r>
    <s v="31/12/2025"/>
    <s v="52"/>
    <x v="1"/>
    <s v="FMX"/>
    <s v="5270652EF676"/>
    <x v="160"/>
    <s v="US92189F6768"/>
    <s v=""/>
    <s v="7065"/>
    <s v="2"/>
    <n v="238.17"/>
    <n v="88416864.986849993"/>
    <n v="26307496.5"/>
    <n v="73050"/>
    <m/>
    <m/>
    <n v="3.3609"/>
    <x v="1"/>
    <n v="73971888.773300007"/>
    <n v="21998420.5"/>
    <s v=""/>
    <n v="0"/>
    <n v="0"/>
    <n v="0"/>
    <n v="-3.18"/>
    <s v="2"/>
    <n v="7679510866.0565634"/>
    <n v="1.1513345905616531E-2"/>
    <n v="26.307496499999996"/>
    <n v="0"/>
    <n v="26.307496499999996"/>
    <n v="0"/>
    <n v="0"/>
    <n v="432.3900845"/>
    <x v="110"/>
    <x v="373"/>
    <n v="7.2199845967809886E-2"/>
    <s v="52RVI"/>
    <x v="1"/>
    <x v="8"/>
    <n v="1.5293832976920472E-2"/>
    <x v="4"/>
    <x v="5"/>
  </r>
  <r>
    <s v="31/12/2025"/>
    <s v="52"/>
    <x v="1"/>
    <s v="FMX"/>
    <s v="5270652EF106"/>
    <x v="161"/>
    <s v="US92189F1066"/>
    <s v=""/>
    <s v="7065"/>
    <s v="2"/>
    <n v="1"/>
    <n v="31391992.397700001"/>
    <n v="9340353"/>
    <n v="108900"/>
    <m/>
    <m/>
    <n v="3.3609"/>
    <x v="1"/>
    <n v="31799691.237599999"/>
    <n v="9456876"/>
    <s v=""/>
    <n v="0"/>
    <n v="0"/>
    <n v="0"/>
    <n v="-1.07"/>
    <s v="2"/>
    <n v="7679510866.0565634"/>
    <n v="4.0877593567127564E-3"/>
    <n v="9.3403530000000003"/>
    <n v="0"/>
    <n v="9.3403530000000003"/>
    <n v="0"/>
    <n v="0"/>
    <n v="145.94623200000001"/>
    <x v="111"/>
    <x v="374"/>
    <n v="0.33464920932405046"/>
    <s v="52RVI"/>
    <x v="1"/>
    <x v="8"/>
    <n v="7.0887535072338026E-2"/>
    <x v="4"/>
    <x v="5"/>
  </r>
  <r>
    <s v="31/12/2025"/>
    <s v="52"/>
    <x v="1"/>
    <s v="FMX"/>
    <s v="5270652EF494"/>
    <x v="162"/>
    <s v="US92189H3003"/>
    <s v=""/>
    <s v="7065"/>
    <s v="2"/>
    <n v="1"/>
    <n v="57395258.893200003"/>
    <n v="17077348"/>
    <n v="661400"/>
    <m/>
    <m/>
    <n v="3.3609"/>
    <x v="0"/>
    <m/>
    <m/>
    <s v=""/>
    <n v="0"/>
    <n v="0"/>
    <n v="0"/>
    <n v="0"/>
    <s v="2"/>
    <n v="7679510866.0565634"/>
    <n v="7.4738170040082935E-3"/>
    <n v="17.077348000000001"/>
    <n v="0"/>
    <n v="17.077348000000001"/>
    <n v="0"/>
    <n v="0"/>
    <n v="57.294580000000003"/>
    <x v="112"/>
    <x v="375"/>
    <n v="7.9638952297383214E-2"/>
    <s v="52RFIG"/>
    <x v="1"/>
    <x v="1"/>
    <n v="1.686963204099011E-2"/>
    <x v="4"/>
    <x v="5"/>
  </r>
  <r>
    <s v="31/12/2025"/>
    <s v="52"/>
    <x v="1"/>
    <s v="FMX"/>
    <s v="5270172FWXM7"/>
    <x v="163"/>
    <s v="IE00BKLWXM74"/>
    <s v=""/>
    <s v="7017"/>
    <s v="2"/>
    <n v="1"/>
    <n v="488.00581570000003"/>
    <n v="145.20093299999999"/>
    <n v="1.01"/>
    <m/>
    <m/>
    <n v="3.3609"/>
    <x v="0"/>
    <n v="488.38544969999998"/>
    <n v="145.24042399999999"/>
    <s v=""/>
    <n v="0"/>
    <n v="0"/>
    <n v="0"/>
    <n v="-3.9100000000000003E-2"/>
    <s v="2"/>
    <n v="7679510866.0565634"/>
    <n v="6.3546471150524141E-8"/>
    <n v="1.4520093299413847E-4"/>
    <n v="0"/>
    <n v="1.4520093299413847E-4"/>
    <n v="0"/>
    <n v="0"/>
    <n v="4.3416516596744918E-4"/>
    <x v="113"/>
    <x v="376"/>
    <n v="2.7588100125851631E-5"/>
    <s v="52RFIG"/>
    <x v="1"/>
    <x v="1"/>
    <n v="5.8438877509994818E-6"/>
    <x v="4"/>
    <x v="5"/>
  </r>
  <r>
    <s v="31/12/2025"/>
    <s v="52"/>
    <x v="1"/>
    <s v="FMX"/>
    <s v="5270172FWXN8"/>
    <x v="164"/>
    <s v="IE00BKLWXN81"/>
    <s v=""/>
    <s v="7017"/>
    <s v="2"/>
    <n v="1"/>
    <n v="970.31673090000004"/>
    <n v="288.70740899999998"/>
    <n v="1.99"/>
    <m/>
    <m/>
    <n v="3.3609"/>
    <x v="0"/>
    <n v="971.06783570000005"/>
    <n v="288.78482000000002"/>
    <s v=""/>
    <n v="0"/>
    <n v="0"/>
    <n v="0"/>
    <n v="-3.8899999999999997E-2"/>
    <s v="2"/>
    <n v="7679510866.0565634"/>
    <n v="1.2635137156831171E-7"/>
    <n v="2.8870740899758995E-4"/>
    <n v="0"/>
    <n v="2.8870740899758995E-4"/>
    <n v="0"/>
    <n v="0"/>
    <n v="7.3410024597578033E-4"/>
    <x v="113"/>
    <x v="377"/>
    <n v="5.485425432371181E-5"/>
    <s v="52RFIG"/>
    <x v="1"/>
    <x v="1"/>
    <n v="1.1619578857195926E-5"/>
    <x v="4"/>
    <x v="5"/>
  </r>
  <r>
    <s v="31/12/2025"/>
    <s v="52"/>
    <x v="3"/>
    <s v="FMX"/>
    <s v="5270172E8413"/>
    <x v="165"/>
    <s v="US9229083632"/>
    <s v=""/>
    <s v="7017"/>
    <s v="2"/>
    <n v="1"/>
    <n v="44262145.556999996"/>
    <n v="13169730"/>
    <n v="21000"/>
    <m/>
    <m/>
    <n v="3.3609"/>
    <x v="1"/>
    <n v="44608655.112000003"/>
    <n v="13266120"/>
    <s v=""/>
    <n v="0"/>
    <n v="0"/>
    <n v="0"/>
    <n v="-4.59"/>
    <s v="2"/>
    <n v="3164069580.822104"/>
    <n v="1.3988992475159029E-2"/>
    <n v="13.169729999999998"/>
    <n v="0"/>
    <n v="0"/>
    <n v="0"/>
    <n v="13.169729999999998"/>
    <n v="58.197664000000003"/>
    <x v="114"/>
    <x v="378"/>
    <n v="0.31850379895154995"/>
    <s v="52RVI"/>
    <x v="1"/>
    <x v="8"/>
    <n v="2.7797590633624122E-2"/>
    <x v="4"/>
    <x v="5"/>
  </r>
  <r>
    <s v="31/12/2025"/>
    <s v="52"/>
    <x v="3"/>
    <s v="FMX"/>
    <s v="5270172FWXN8"/>
    <x v="164"/>
    <s v="IE00BKLWXN81"/>
    <s v=""/>
    <s v="7017"/>
    <s v="2"/>
    <n v="1"/>
    <n v="892.30131530000006"/>
    <n v="265.494753"/>
    <n v="1.83"/>
    <m/>
    <m/>
    <n v="3.3609"/>
    <x v="0"/>
    <n v="892.99202979999995"/>
    <n v="265.56594000000001"/>
    <s v=""/>
    <n v="0"/>
    <n v="0"/>
    <n v="0"/>
    <n v="-3.8899999999999997E-2"/>
    <s v="2"/>
    <n v="3164069580.822104"/>
    <n v="2.8201064878862684E-7"/>
    <n v="2.6549475298283197E-4"/>
    <n v="0"/>
    <n v="0"/>
    <n v="0"/>
    <n v="2.6549475298283197E-4"/>
    <n v="7.3410024597578033E-4"/>
    <x v="113"/>
    <x v="379"/>
    <n v="1.2243225901416313E-4"/>
    <s v="52RFIG"/>
    <x v="1"/>
    <x v="1"/>
    <n v="1.0685341360538208E-5"/>
    <x v="4"/>
    <x v="5"/>
  </r>
  <r>
    <s v="31/12/2025"/>
    <s v="52"/>
    <x v="3"/>
    <s v="FMX"/>
    <s v="5270172FWXM7"/>
    <x v="163"/>
    <s v="IE00BKLWXM74"/>
    <s v=""/>
    <s v="7017"/>
    <s v="2"/>
    <n v="1"/>
    <n v="483.17407489999999"/>
    <n v="143.76329999999999"/>
    <n v="1"/>
    <m/>
    <m/>
    <n v="3.3609"/>
    <x v="0"/>
    <n v="483.54995020000001"/>
    <n v="143.80240000000001"/>
    <s v=""/>
    <n v="0"/>
    <n v="0"/>
    <n v="0"/>
    <n v="-3.9100000000000003E-2"/>
    <s v="2"/>
    <n v="3164069580.822104"/>
    <n v="1.5270652637621812E-7"/>
    <n v="1.4376329997917224E-4"/>
    <n v="0"/>
    <n v="0"/>
    <n v="0"/>
    <n v="1.4376329997917224E-4"/>
    <n v="4.3416516596744918E-4"/>
    <x v="113"/>
    <x v="380"/>
    <n v="6.6296095806153352E-5"/>
    <s v="52RFIG"/>
    <x v="1"/>
    <x v="1"/>
    <n v="5.7860274756324304E-6"/>
    <x v="4"/>
    <x v="5"/>
  </r>
  <r>
    <s v="31/12/2025"/>
    <s v="52"/>
    <x v="0"/>
    <s v="FMX"/>
    <s v="5270172FWXM7"/>
    <x v="163"/>
    <s v="IE00BKLWXM74"/>
    <s v=""/>
    <s v="7017"/>
    <s v="2"/>
    <n v="1"/>
    <n v="488.00581570000003"/>
    <n v="145.20093299999999"/>
    <n v="1.01"/>
    <m/>
    <m/>
    <n v="3.3609"/>
    <x v="0"/>
    <n v="488.38544969999998"/>
    <n v="145.24042399999999"/>
    <s v=""/>
    <n v="0"/>
    <n v="0"/>
    <n v="0"/>
    <n v="-3.9100000000000003E-2"/>
    <s v="2"/>
    <n v="26256910350.436607"/>
    <n v="1.8585805000925608E-8"/>
    <n v="1.4520093299413847E-4"/>
    <n v="0"/>
    <n v="0"/>
    <n v="1.4520093299413847E-4"/>
    <n v="0"/>
    <n v="4.3416516596744918E-4"/>
    <x v="113"/>
    <x v="376"/>
    <n v="8.0688516608661517E-6"/>
    <s v="52RFIG"/>
    <x v="1"/>
    <x v="1"/>
    <n v="5.8438877509994818E-6"/>
    <x v="4"/>
    <x v="5"/>
  </r>
  <r>
    <s v="31/12/2025"/>
    <s v="52"/>
    <x v="0"/>
    <s v="FMX"/>
    <s v="5270172FWXN8"/>
    <x v="164"/>
    <s v="IE00BKLWXN81"/>
    <s v=""/>
    <s v="7017"/>
    <s v="2"/>
    <n v="1"/>
    <n v="604.61947050000003"/>
    <n v="179.89808400000001"/>
    <n v="1.24"/>
    <m/>
    <m/>
    <n v="3.3609"/>
    <x v="0"/>
    <n v="605.08749560000001"/>
    <n v="179.94631999999999"/>
    <s v=""/>
    <n v="0"/>
    <n v="0"/>
    <n v="0"/>
    <n v="-3.8899999999999997E-2"/>
    <s v="2"/>
    <n v="26256910350.436607"/>
    <n v="2.3027060778685496E-8"/>
    <n v="1.7989808399535842E-4"/>
    <n v="0"/>
    <n v="0"/>
    <n v="1.7989808399535842E-4"/>
    <n v="0"/>
    <n v="7.3410024597578033E-4"/>
    <x v="113"/>
    <x v="381"/>
    <n v="9.9969809001928617E-6"/>
    <s v="52RFIG"/>
    <x v="1"/>
    <x v="1"/>
    <n v="7.2403405943072735E-6"/>
    <x v="4"/>
    <x v="5"/>
  </r>
  <r>
    <s v="31/12/2025"/>
    <s v="52"/>
    <x v="0"/>
    <s v="FMX"/>
    <s v="5270172E8413"/>
    <x v="165"/>
    <s v="US9229083632"/>
    <s v=""/>
    <s v="7017"/>
    <s v="2"/>
    <n v="1"/>
    <n v="151334383.38060001"/>
    <n v="45027934"/>
    <n v="71800"/>
    <m/>
    <m/>
    <n v="3.3609"/>
    <x v="1"/>
    <n v="323306538.47839999"/>
    <n v="96147784"/>
    <s v=""/>
    <n v="0"/>
    <n v="0"/>
    <n v="0"/>
    <n v="-4.59"/>
    <s v="2"/>
    <n v="26256910350.436607"/>
    <n v="5.7636020903001472E-3"/>
    <n v="45.027934000000002"/>
    <n v="0"/>
    <n v="0"/>
    <n v="45.027934000000002"/>
    <n v="0"/>
    <n v="58.197664000000003"/>
    <x v="114"/>
    <x v="382"/>
    <n v="0.13122668874584711"/>
    <s v="52RVI"/>
    <x v="1"/>
    <x v="8"/>
    <n v="9.5041286071152975E-2"/>
    <x v="4"/>
    <x v="5"/>
  </r>
  <r>
    <s v="31/12/2025"/>
    <s v="53"/>
    <x v="0"/>
    <s v="FIAX"/>
    <s v="5358472ASF8G"/>
    <x v="166"/>
    <s v="5358472ASF8G"/>
    <s v=""/>
    <s v="5847"/>
    <s v="2"/>
    <n v="1"/>
    <n v="326558685.88154072"/>
    <n v="97164058.996560693"/>
    <n v="12.346203300000001"/>
    <d v="2028-10-11T00:00:00"/>
    <n v="1015"/>
    <n v="3.3609"/>
    <x v="1"/>
    <n v="326723864.78183478"/>
    <n v="97164058.996560693"/>
    <s v=""/>
    <n v="0"/>
    <n v="0"/>
    <n v="0"/>
    <n v="0"/>
    <s v="2"/>
    <n v="26256910350.436607"/>
    <n v="1.2437056817544057E-2"/>
    <n v="97.164058996560669"/>
    <n v="0"/>
    <n v="0"/>
    <n v="97.164058996560669"/>
    <n v="0"/>
    <n v="97.164058996560669"/>
    <x v="115"/>
    <x v="383"/>
    <n v="0.4913651354087662"/>
    <s v="53ALT"/>
    <x v="4"/>
    <x v="7"/>
    <n v="0.35587253512295353"/>
    <x v="2"/>
    <x v="4"/>
  </r>
  <r>
    <s v="31/12/2025"/>
    <s v="53"/>
    <x v="0"/>
    <s v="FIAX"/>
    <s v="5370862TRGL1"/>
    <x v="167"/>
    <s v="PRIVATE1"/>
    <s v="PRIVFAATRGL1"/>
    <s v="7086"/>
    <s v="2"/>
    <n v="1"/>
    <n v="50245199.573045298"/>
    <n v="14949924.000429999"/>
    <n v="187.8788543"/>
    <d v="2026-12-31T00:00:00"/>
    <n v="365"/>
    <n v="3.3609"/>
    <x v="1"/>
    <n v="50270614.443846002"/>
    <n v="14949924.000429999"/>
    <s v=""/>
    <n v="0"/>
    <n v="0"/>
    <n v="0"/>
    <n v="0"/>
    <s v="2"/>
    <n v="26256910350.436607"/>
    <n v="1.9135990831537348E-3"/>
    <n v="14.949924000430032"/>
    <n v="0"/>
    <n v="0"/>
    <n v="14.949924000430032"/>
    <n v="0"/>
    <n v="19.272793001986045"/>
    <x v="115"/>
    <x v="384"/>
    <n v="7.5602764094922087E-2"/>
    <s v="53ALT"/>
    <x v="4"/>
    <x v="7"/>
    <n v="5.4755507426021026E-2"/>
    <x v="2"/>
    <x v="4"/>
  </r>
  <r>
    <s v="31/12/2025"/>
    <s v="53"/>
    <x v="3"/>
    <s v="FIAX"/>
    <s v="5370862TRGL1"/>
    <x v="167"/>
    <s v="PRIVATE1"/>
    <s v="PRIVFAATRGL1"/>
    <s v="7086"/>
    <s v="2"/>
    <n v="1"/>
    <n v="14528730.4273296"/>
    <n v="4322869.0015559997"/>
    <n v="54.326408299999997"/>
    <d v="2026-12-31T00:00:00"/>
    <n v="365"/>
    <n v="3.3609"/>
    <x v="1"/>
    <n v="14536079.304632301"/>
    <n v="4322869.0015559997"/>
    <s v=""/>
    <n v="0"/>
    <n v="0"/>
    <n v="0"/>
    <n v="0"/>
    <s v="2"/>
    <n v="3164069580.822104"/>
    <n v="4.5917860072959187E-3"/>
    <n v="4.3228690015560121"/>
    <n v="0"/>
    <n v="0"/>
    <n v="0"/>
    <n v="4.3228690015560121"/>
    <n v="19.272793001986045"/>
    <x v="115"/>
    <x v="385"/>
    <n v="0.18141298108892751"/>
    <s v="53ALT"/>
    <x v="4"/>
    <x v="7"/>
    <n v="1.5832915652922892E-2"/>
    <x v="2"/>
    <x v="4"/>
  </r>
  <r>
    <s v="31/12/2025"/>
    <s v="53"/>
    <x v="0"/>
    <s v="FIAX"/>
    <s v="5370904PGD09"/>
    <x v="168"/>
    <s v="PARTNERS1"/>
    <s v="PRIVFADPGD09"/>
    <s v="7090"/>
    <s v="4"/>
    <n v="1"/>
    <n v="824570.88388009998"/>
    <n v="208961.9997017"/>
    <n v="11.8688628"/>
    <d v="2026-09-30T00:00:00"/>
    <n v="273"/>
    <n v="3.9460326999999999"/>
    <x v="1"/>
    <n v="825901.40762079996"/>
    <n v="208961.9997017"/>
    <s v=""/>
    <n v="0"/>
    <n v="0"/>
    <n v="0"/>
    <n v="0"/>
    <s v="4"/>
    <n v="26256910350.436607"/>
    <n v="3.140395701074513E-5"/>
    <n v="0.24534228447145109"/>
    <n v="0"/>
    <n v="0"/>
    <n v="0.24534228447145109"/>
    <n v="0"/>
    <n v="0.24534228447145109"/>
    <x v="116"/>
    <x v="386"/>
    <n v="7.1306128778901763E-4"/>
    <s v="53ALT"/>
    <x v="4"/>
    <x v="7"/>
    <n v="5.1643657617753808E-4"/>
    <x v="2"/>
    <x v="4"/>
  </r>
  <r>
    <s v="31/12/2025"/>
    <s v="53"/>
    <x v="0"/>
    <s v="FIAX"/>
    <s v="5371242PAVIL"/>
    <x v="169"/>
    <s v="PANTHEON"/>
    <s v=""/>
    <s v="7124"/>
    <s v="2"/>
    <n v="1"/>
    <n v="5516870.2886095"/>
    <n v="1641485.9973845"/>
    <n v="6.1838566000000004"/>
    <d v="2026-12-31T00:00:00"/>
    <n v="365"/>
    <n v="3.3609"/>
    <x v="1"/>
    <n v="5519660.8148050997"/>
    <n v="1641485.9973845"/>
    <s v=""/>
    <n v="0"/>
    <n v="0"/>
    <n v="0"/>
    <n v="0"/>
    <s v="2"/>
    <n v="26256910350.436607"/>
    <n v="2.1011117511462137E-4"/>
    <n v="1.6414859973844804"/>
    <n v="0"/>
    <n v="0"/>
    <n v="1.6414859973844804"/>
    <n v="0"/>
    <n v="2.0519319944227141"/>
    <x v="115"/>
    <x v="387"/>
    <n v="8.3011043147648792E-3"/>
    <s v="53ALT"/>
    <x v="4"/>
    <x v="7"/>
    <n v="6.0120973669772542E-3"/>
    <x v="2"/>
    <x v="4"/>
  </r>
  <r>
    <s v="31/12/2025"/>
    <s v="53"/>
    <x v="3"/>
    <s v="FIAX"/>
    <s v="5371242PAVIL"/>
    <x v="169"/>
    <s v="PANTHEON"/>
    <s v=""/>
    <s v="7124"/>
    <s v="2"/>
    <n v="1"/>
    <n v="1379467.9514458"/>
    <n v="410445.99703829997"/>
    <n v="1.5462448"/>
    <d v="2026-12-31T00:00:00"/>
    <n v="365"/>
    <n v="3.3609"/>
    <x v="1"/>
    <n v="1380165.7096408"/>
    <n v="410445.99703829997"/>
    <s v=""/>
    <n v="0"/>
    <n v="0"/>
    <n v="0"/>
    <n v="0"/>
    <s v="2"/>
    <n v="3164069580.822104"/>
    <n v="4.3597901885816933E-4"/>
    <n v="0.41044599703823381"/>
    <n v="0"/>
    <n v="0"/>
    <n v="0"/>
    <n v="0.41044599703823381"/>
    <n v="2.0519319944227141"/>
    <x v="115"/>
    <x v="388"/>
    <n v="1.7224725494092288E-2"/>
    <s v="53ALT"/>
    <x v="4"/>
    <x v="7"/>
    <n v="1.5032971965717786E-3"/>
    <x v="2"/>
    <x v="4"/>
  </r>
  <r>
    <s v="31/12/2025"/>
    <s v="53"/>
    <x v="3"/>
    <s v="FIAX"/>
    <s v="5371262AGPII"/>
    <x v="170"/>
    <s v="ARCFUNDII"/>
    <s v="PRIVFAEAGPII"/>
    <s v="7126"/>
    <s v="2"/>
    <n v="1"/>
    <n v="16801602.887256399"/>
    <n v="4999137.9949586"/>
    <n v="42.861291399999999"/>
    <d v="2026-12-31T00:00:00"/>
    <n v="365"/>
    <n v="3.3609"/>
    <x v="1"/>
    <n v="16810101.421847899"/>
    <n v="4999137.9949586"/>
    <s v=""/>
    <n v="0"/>
    <n v="0"/>
    <n v="0"/>
    <n v="0"/>
    <s v="2"/>
    <n v="3164069580.822104"/>
    <n v="5.3101243376863175E-3"/>
    <n v="4.9991379949586126"/>
    <n v="0"/>
    <n v="0"/>
    <n v="0"/>
    <n v="4.9991379949586126"/>
    <n v="15.850878992187866"/>
    <x v="115"/>
    <x v="389"/>
    <n v="0.20979320127765264"/>
    <s v="53ALT"/>
    <x v="4"/>
    <x v="7"/>
    <n v="1.8309814658508387E-2"/>
    <x v="2"/>
    <x v="4"/>
  </r>
  <r>
    <s v="31/12/2025"/>
    <s v="53"/>
    <x v="0"/>
    <s v="FIAX"/>
    <s v="5371262AGPII"/>
    <x v="170"/>
    <s v="ARCFUNDII"/>
    <s v="PRIVFAEAGPII"/>
    <s v="7126"/>
    <s v="2"/>
    <n v="1"/>
    <n v="36471616.3175878"/>
    <n v="10851740.9972293"/>
    <n v="93.039966800000002"/>
    <d v="2026-12-31T00:00:00"/>
    <n v="365"/>
    <n v="3.3609"/>
    <x v="1"/>
    <n v="36490064.277283102"/>
    <n v="10851740.9972293"/>
    <s v=""/>
    <n v="0"/>
    <n v="0"/>
    <n v="0"/>
    <n v="0"/>
    <s v="2"/>
    <n v="26256910350.436607"/>
    <n v="1.3890292433809273E-3"/>
    <n v="10.851740997229253"/>
    <n v="0"/>
    <n v="0"/>
    <n v="10.851740997229253"/>
    <n v="0"/>
    <n v="15.850878992187866"/>
    <x v="115"/>
    <x v="390"/>
    <n v="5.4877978952208618E-2"/>
    <s v="53ALT"/>
    <x v="4"/>
    <x v="7"/>
    <n v="3.9745525444942149E-2"/>
    <x v="2"/>
    <x v="4"/>
  </r>
  <r>
    <s v="31/12/2025"/>
    <s v="53"/>
    <x v="0"/>
    <s v="FIAX"/>
    <s v="5371332COL6A"/>
    <x v="171"/>
    <s v="COLLER"/>
    <s v="PRIVFAECOL6A"/>
    <s v="7133"/>
    <s v="2"/>
    <n v="1"/>
    <n v="1827260.8337458"/>
    <n v="543681.99998389999"/>
    <n v="400.993334"/>
    <d v="2026-07-12T00:00:00"/>
    <n v="193"/>
    <n v="3.3609"/>
    <x v="1"/>
    <n v="1828185.0931458001"/>
    <n v="543681.99998389999"/>
    <s v=""/>
    <n v="0"/>
    <n v="0"/>
    <n v="0"/>
    <n v="0"/>
    <s v="2"/>
    <n v="26256910350.436607"/>
    <n v="6.9591616430050225E-5"/>
    <n v="0.54368199998387334"/>
    <n v="0"/>
    <n v="0"/>
    <n v="0.54368199998387334"/>
    <n v="0"/>
    <n v="0.6041019999788152"/>
    <x v="115"/>
    <x v="391"/>
    <n v="2.7494361835052714E-3"/>
    <s v="53ALT"/>
    <x v="4"/>
    <x v="7"/>
    <n v="1.9912866303972263E-3"/>
    <x v="2"/>
    <x v="4"/>
  </r>
  <r>
    <s v="31/12/2025"/>
    <s v="53"/>
    <x v="3"/>
    <s v="FIAX"/>
    <s v="5371332COL6A"/>
    <x v="171"/>
    <s v="COLLER"/>
    <s v="PRIVFAECOL6A"/>
    <s v="7133"/>
    <s v="2"/>
    <n v="1"/>
    <n v="203065.577983"/>
    <n v="60419.999994899998"/>
    <n v="44.562846"/>
    <d v="2026-07-12T00:00:00"/>
    <n v="193"/>
    <n v="3.3609"/>
    <x v="1"/>
    <n v="203168.291983"/>
    <n v="60419.999994899998"/>
    <s v=""/>
    <n v="0"/>
    <n v="0"/>
    <n v="0"/>
    <n v="0"/>
    <s v="2"/>
    <n v="3164069580.822104"/>
    <n v="6.4178606947777202E-5"/>
    <n v="6.0419999994941825E-2"/>
    <n v="0"/>
    <n v="0"/>
    <n v="0"/>
    <n v="6.0419999994941825E-2"/>
    <n v="0.6041019999788152"/>
    <x v="115"/>
    <x v="392"/>
    <n v="2.5355781802617644E-3"/>
    <s v="53ALT"/>
    <x v="4"/>
    <x v="7"/>
    <n v="2.2129395161527672E-4"/>
    <x v="2"/>
    <x v="4"/>
  </r>
  <r>
    <s v="31/12/2025"/>
    <s v="53"/>
    <x v="3"/>
    <s v="FIAX"/>
    <s v="5371362PGS11"/>
    <x v="172"/>
    <s v="5371362PGS11"/>
    <s v=""/>
    <s v="7136"/>
    <s v="2"/>
    <n v="1"/>
    <n v="1392017.5527929999"/>
    <n v="414179.99726059998"/>
    <n v="5.0355125000000003"/>
    <d v="2026-06-30T00:00:00"/>
    <n v="181"/>
    <n v="3.3609"/>
    <x v="1"/>
    <n v="1392721.6587884"/>
    <n v="414179.99726059998"/>
    <s v=""/>
    <n v="0"/>
    <n v="0"/>
    <n v="0"/>
    <n v="0"/>
    <s v="2"/>
    <n v="3164069580.822104"/>
    <n v="4.3994530374117725E-4"/>
    <n v="0.41417999726055515"/>
    <n v="0"/>
    <n v="0"/>
    <n v="0"/>
    <n v="0.41417999726055515"/>
    <n v="1.4716129987796125"/>
    <x v="115"/>
    <x v="393"/>
    <n v="1.7381426081474003E-2"/>
    <s v="53ALT"/>
    <x v="4"/>
    <x v="7"/>
    <n v="1.5169733247511726E-3"/>
    <x v="2"/>
    <x v="4"/>
  </r>
  <r>
    <s v="31/12/2025"/>
    <s v="53"/>
    <x v="0"/>
    <s v="FIAX"/>
    <s v="5371362PGS11"/>
    <x v="172"/>
    <s v="5371362PGS11"/>
    <s v=""/>
    <s v="7136"/>
    <s v="2"/>
    <n v="1"/>
    <n v="3553926.5748053999"/>
    <n v="1057433.0015191"/>
    <n v="12.856045999999999"/>
    <d v="2026-06-30T00:00:00"/>
    <n v="181"/>
    <n v="3.3609"/>
    <x v="1"/>
    <n v="3555724.2109079999"/>
    <n v="1057433.0015191"/>
    <s v=""/>
    <n v="0"/>
    <n v="0"/>
    <n v="0"/>
    <n v="0"/>
    <s v="2"/>
    <n v="26256910350.436607"/>
    <n v="1.3535204741811155E-4"/>
    <n v="1.0574330015190574"/>
    <n v="0"/>
    <n v="0"/>
    <n v="1.0574330015190574"/>
    <n v="0"/>
    <n v="1.4716129987796125"/>
    <x v="115"/>
    <x v="394"/>
    <n v="5.3475093089256553E-3"/>
    <s v="53ALT"/>
    <x v="4"/>
    <x v="7"/>
    <n v="3.872948154487672E-3"/>
    <x v="2"/>
    <x v="4"/>
  </r>
  <r>
    <s v="31/12/2025"/>
    <s v="53"/>
    <x v="0"/>
    <s v="FIAX"/>
    <s v="5371484A8AFE"/>
    <x v="173"/>
    <s v="APAX VIII"/>
    <s v="PRIVFAEA8AFE"/>
    <s v="7148"/>
    <s v="4"/>
    <n v="1"/>
    <n v="3059674.8329032999"/>
    <n v="775379.99948740005"/>
    <n v="17.2440791"/>
    <d v="2027-06-21T00:00:00"/>
    <n v="537"/>
    <n v="3.9460326999999999"/>
    <x v="1"/>
    <n v="3064611.909974"/>
    <n v="775379.99948740005"/>
    <s v=""/>
    <n v="0"/>
    <n v="0"/>
    <n v="0"/>
    <n v="0"/>
    <s v="4"/>
    <n v="26256910350.436607"/>
    <n v="1.1652836499296737E-4"/>
    <n v="0.91037365970522766"/>
    <n v="0"/>
    <n v="0"/>
    <n v="0.91037365970522766"/>
    <n v="0"/>
    <n v="1.1379670759513523"/>
    <x v="115"/>
    <x v="395"/>
    <n v="4.6038203960732781E-3"/>
    <s v="53ALT"/>
    <x v="4"/>
    <x v="7"/>
    <n v="3.3343294375951116E-3"/>
    <x v="2"/>
    <x v="4"/>
  </r>
  <r>
    <s v="31/12/2025"/>
    <s v="53"/>
    <x v="3"/>
    <s v="FIAX"/>
    <s v="5371484A8AFE"/>
    <x v="173"/>
    <s v="APAX VIII"/>
    <s v="PRIVFAEA8AFE"/>
    <s v="7148"/>
    <s v="4"/>
    <n v="1"/>
    <n v="764918.71266159997"/>
    <n v="193845.00099599999"/>
    <n v="4.3110198000000004"/>
    <d v="2027-06-21T00:00:00"/>
    <n v="537"/>
    <n v="3.9460326999999999"/>
    <x v="1"/>
    <n v="766152.98193649994"/>
    <n v="193845.00099599999"/>
    <s v=""/>
    <n v="0"/>
    <n v="0"/>
    <n v="0"/>
    <n v="0"/>
    <s v="4"/>
    <n v="3164069580.822104"/>
    <n v="2.4175154595141839E-4"/>
    <n v="0.22759341624612453"/>
    <n v="0"/>
    <n v="0"/>
    <n v="0"/>
    <n v="0.22759341624612453"/>
    <n v="1.1379670759513523"/>
    <x v="115"/>
    <x v="396"/>
    <n v="9.5511569058791476E-3"/>
    <s v="53ALT"/>
    <x v="4"/>
    <x v="7"/>
    <n v="8.3358236423273439E-4"/>
    <x v="2"/>
    <x v="4"/>
  </r>
  <r>
    <s v="31/12/2025"/>
    <s v="53"/>
    <x v="3"/>
    <s v="FIAX"/>
    <s v="5372842LCP8F"/>
    <x v="174"/>
    <s v="5372842LCP8F"/>
    <s v="LEXCAPVIIIA"/>
    <s v="7284"/>
    <s v="2"/>
    <n v="1"/>
    <n v="69186996.707439393"/>
    <n v="20585853.999654699"/>
    <n v="123.7155578"/>
    <d v="2026-01-17T00:00:00"/>
    <n v="17"/>
    <n v="3.3609"/>
    <x v="1"/>
    <n v="69221992.6592388"/>
    <n v="20585853.999654699"/>
    <s v=""/>
    <n v="0"/>
    <n v="0"/>
    <n v="0"/>
    <n v="0"/>
    <s v="2"/>
    <n v="3164069580.822104"/>
    <n v="2.1866458666646292E-2"/>
    <n v="20.585853999654674"/>
    <n v="0"/>
    <n v="0"/>
    <n v="0"/>
    <n v="20.585853999654674"/>
    <n v="57.640418997256958"/>
    <x v="115"/>
    <x v="397"/>
    <n v="0.86390338013817503"/>
    <s v="53ALT"/>
    <x v="4"/>
    <x v="7"/>
    <n v="7.5397632892090477E-2"/>
    <x v="2"/>
    <x v="4"/>
  </r>
  <r>
    <s v="31/12/2025"/>
    <s v="53"/>
    <x v="0"/>
    <s v="FIAX"/>
    <s v="5372842LCP8F"/>
    <x v="174"/>
    <s v="5372842LCP8F"/>
    <s v="LEXCAPVIIIA"/>
    <s v="7284"/>
    <s v="2"/>
    <n v="1"/>
    <n v="124536687.50044151"/>
    <n v="37054564.997602299"/>
    <n v="222.68817110000001"/>
    <d v="2026-01-17T00:00:00"/>
    <n v="17"/>
    <n v="3.3609"/>
    <x v="1"/>
    <n v="124599680.26093739"/>
    <n v="37054564.997602299"/>
    <s v=""/>
    <n v="0"/>
    <n v="0"/>
    <n v="0"/>
    <n v="0"/>
    <s v="2"/>
    <n v="26256910350.436607"/>
    <n v="4.743006158695693E-3"/>
    <n v="37.054564997602284"/>
    <n v="0"/>
    <n v="0"/>
    <n v="37.054564997602284"/>
    <n v="0"/>
    <n v="57.640418997256958"/>
    <x v="115"/>
    <x v="398"/>
    <n v="0.18738740986730767"/>
    <s v="53ALT"/>
    <x v="4"/>
    <x v="7"/>
    <n v="0.135715841019381"/>
    <x v="2"/>
    <x v="4"/>
  </r>
  <r>
    <s v="31/12/2025"/>
    <s v="53"/>
    <x v="0"/>
    <s v="FIAX"/>
    <s v="5373382ACOA3"/>
    <x v="175"/>
    <s v="APOLLO"/>
    <s v="PRIVFAEACOA3"/>
    <s v="7338"/>
    <s v="2"/>
    <n v="1"/>
    <n v="196488.2967759"/>
    <n v="58463.000022599997"/>
    <n v="36.0843068"/>
    <d v="2026-09-11T00:00:00"/>
    <n v="254"/>
    <n v="3.3609"/>
    <x v="1"/>
    <n v="196587.683876"/>
    <n v="58463.000022599997"/>
    <s v=""/>
    <n v="0"/>
    <n v="0"/>
    <n v="0"/>
    <n v="0"/>
    <s v="2"/>
    <n v="26256910350.436607"/>
    <n v="7.483298459471365E-6"/>
    <n v="5.8463000022583235E-2"/>
    <n v="0"/>
    <n v="0"/>
    <n v="5.8463000022583235E-2"/>
    <n v="0"/>
    <n v="8.0085999950043146E-2"/>
    <x v="117"/>
    <x v="399"/>
    <n v="9.1466234432510468E-4"/>
    <s v="53ALT"/>
    <x v="4"/>
    <x v="7"/>
    <n v="6.6244668943736301E-4"/>
    <x v="2"/>
    <x v="4"/>
  </r>
  <r>
    <s v="31/12/2025"/>
    <s v="53"/>
    <x v="3"/>
    <s v="FIAX"/>
    <s v="5373382ACOA3"/>
    <x v="175"/>
    <s v="APOLLO"/>
    <s v="PRIVFAEACOA3"/>
    <s v="7338"/>
    <s v="2"/>
    <n v="1"/>
    <n v="72672.740456200001"/>
    <n v="21622.999927500001"/>
    <n v="13.346064399999999"/>
    <d v="2026-09-11T00:00:00"/>
    <n v="254"/>
    <n v="3.3609"/>
    <x v="1"/>
    <n v="72709.499555999995"/>
    <n v="21622.999927500001"/>
    <s v=""/>
    <n v="0"/>
    <n v="0"/>
    <n v="0"/>
    <n v="0"/>
    <s v="2"/>
    <n v="3164069580.822104"/>
    <n v="2.2968123361344605E-5"/>
    <n v="2.1622999927459908E-2"/>
    <n v="0"/>
    <n v="0"/>
    <n v="0"/>
    <n v="2.1622999927459908E-2"/>
    <n v="8.0085999950043146E-2"/>
    <x v="117"/>
    <x v="400"/>
    <n v="2.8073285693752366E-3"/>
    <s v="53ALT"/>
    <x v="4"/>
    <x v="7"/>
    <n v="2.4501111321890794E-4"/>
    <x v="2"/>
    <x v="4"/>
  </r>
  <r>
    <s v="31/12/2025"/>
    <s v="53"/>
    <x v="3"/>
    <s v="FIAX"/>
    <s v="5373542PGS15"/>
    <x v="176"/>
    <s v="PGS15"/>
    <s v=""/>
    <s v="7354"/>
    <s v="2"/>
    <n v="1"/>
    <n v="18934994.778941199"/>
    <n v="5633906.0308076004"/>
    <n v="8.1753733000000004"/>
    <d v="2028-03-31T00:00:00"/>
    <n v="821"/>
    <n v="3.3609"/>
    <x v="1"/>
    <n v="18944572.419193499"/>
    <n v="5633906.0308076004"/>
    <s v=""/>
    <n v="0"/>
    <n v="0"/>
    <n v="0"/>
    <n v="0"/>
    <s v="2"/>
    <n v="3164069580.822104"/>
    <n v="5.9843800192350433E-3"/>
    <n v="5.633906030807581"/>
    <n v="0"/>
    <n v="0"/>
    <n v="0"/>
    <n v="5.633906030807581"/>
    <n v="39.437345041091582"/>
    <x v="115"/>
    <x v="401"/>
    <n v="0.23643179746039023"/>
    <s v="53ALT"/>
    <x v="4"/>
    <x v="7"/>
    <n v="2.0634712490746814E-2"/>
    <x v="2"/>
    <x v="4"/>
  </r>
  <r>
    <s v="31/12/2025"/>
    <s v="53"/>
    <x v="0"/>
    <s v="FIAX"/>
    <s v="5373542PGS15"/>
    <x v="176"/>
    <s v="PGS15"/>
    <s v=""/>
    <s v="7354"/>
    <s v="2"/>
    <n v="1"/>
    <n v="113609978.1696635"/>
    <n v="33803439.010283999"/>
    <n v="49.052243900000001"/>
    <d v="2028-03-31T00:00:00"/>
    <n v="821"/>
    <n v="3.3609"/>
    <x v="1"/>
    <n v="113667444.015981"/>
    <n v="33803439.010283999"/>
    <s v=""/>
    <n v="0"/>
    <n v="0"/>
    <n v="0"/>
    <n v="0"/>
    <s v="2"/>
    <n v="26256910350.436607"/>
    <n v="4.3268601161893508E-3"/>
    <n v="33.803439010284002"/>
    <n v="0"/>
    <n v="0"/>
    <n v="33.803439010284002"/>
    <n v="0"/>
    <n v="39.437345041091582"/>
    <x v="115"/>
    <x v="402"/>
    <n v="0.17094624862427898"/>
    <s v="53ALT"/>
    <x v="4"/>
    <x v="7"/>
    <n v="0.12380828529291607"/>
    <x v="2"/>
    <x v="4"/>
  </r>
  <r>
    <s v="31/12/2025"/>
    <s v="53"/>
    <x v="0"/>
    <s v="FIAX"/>
    <s v="5373592OPF6F"/>
    <x v="177"/>
    <s v="OPF6F"/>
    <s v="OAKPVILP"/>
    <s v="7359"/>
    <s v="2"/>
    <n v="1"/>
    <n v="182909413.74430031"/>
    <n v="54422747.997351997"/>
    <n v="251.52282400000001"/>
    <d v="2029-11-16T00:00:00"/>
    <n v="1416"/>
    <n v="3.3609"/>
    <x v="1"/>
    <n v="183001932.41589579"/>
    <n v="54422747.997351997"/>
    <s v=""/>
    <n v="0"/>
    <n v="0"/>
    <n v="0"/>
    <n v="0"/>
    <s v="2"/>
    <n v="26256910350.436607"/>
    <n v="6.9661438190216788E-3"/>
    <n v="54.422747997351991"/>
    <n v="0"/>
    <n v="0"/>
    <n v="54.422747997351991"/>
    <n v="0"/>
    <n v="65.307296990977989"/>
    <x v="117"/>
    <x v="403"/>
    <n v="0.85145199953207718"/>
    <s v="53ALT"/>
    <x v="4"/>
    <x v="7"/>
    <n v="0.61666642538021288"/>
    <x v="2"/>
    <x v="4"/>
  </r>
  <r>
    <s v="31/12/2025"/>
    <s v="53"/>
    <x v="3"/>
    <s v="FIAX"/>
    <s v="5373592OPF6F"/>
    <x v="177"/>
    <s v="OPF6F"/>
    <s v="OAKPVILP"/>
    <s v="7359"/>
    <s v="2"/>
    <n v="1"/>
    <n v="36581880.712677598"/>
    <n v="10884548.993626"/>
    <n v="50.304561999999997"/>
    <d v="2029-11-16T00:00:00"/>
    <n v="1416"/>
    <n v="3.3609"/>
    <x v="1"/>
    <n v="36600384.445966698"/>
    <n v="10884548.993626"/>
    <s v=""/>
    <n v="0"/>
    <n v="0"/>
    <n v="0"/>
    <n v="0"/>
    <s v="2"/>
    <n v="3164069580.822104"/>
    <n v="1.1561654944128225E-2"/>
    <n v="10.884548993625993"/>
    <n v="0"/>
    <n v="0"/>
    <n v="0"/>
    <n v="10.884548993625993"/>
    <n v="65.307296990977989"/>
    <x v="117"/>
    <x v="404"/>
    <n v="1.4131482891865439"/>
    <s v="53ALT"/>
    <x v="4"/>
    <x v="7"/>
    <n v="0.12333327821119437"/>
    <x v="2"/>
    <x v="4"/>
  </r>
  <r>
    <s v="31/12/2025"/>
    <s v="53"/>
    <x v="3"/>
    <s v="FIAX"/>
    <s v="5373852ASSIV"/>
    <x v="178"/>
    <s v="5373852ASSIV"/>
    <s v=""/>
    <s v="7385"/>
    <s v="2"/>
    <n v="1"/>
    <n v="10669906.5327824"/>
    <n v="3174717.0498326002"/>
    <n v="3.0737866999999999"/>
    <d v="2026-08-07T00:00:00"/>
    <n v="219"/>
    <n v="3.3609"/>
    <x v="1"/>
    <n v="10675303.5517671"/>
    <n v="3174717.0498326002"/>
    <s v=""/>
    <n v="0"/>
    <n v="0"/>
    <n v="0"/>
    <n v="0"/>
    <s v="2"/>
    <n v="3164069580.822104"/>
    <n v="3.3722098266910088E-3"/>
    <n v="3.1747170498326045"/>
    <n v="0"/>
    <n v="0"/>
    <n v="0"/>
    <n v="3.1747170498326045"/>
    <n v="47.620762047787679"/>
    <x v="117"/>
    <x v="405"/>
    <n v="0.4121756418432686"/>
    <s v="53ALT"/>
    <x v="4"/>
    <x v="7"/>
    <n v="3.5972851183647389E-2"/>
    <x v="2"/>
    <x v="4"/>
  </r>
  <r>
    <s v="31/12/2025"/>
    <s v="53"/>
    <x v="0"/>
    <s v="FIAX"/>
    <s v="5373852ASSIV"/>
    <x v="178"/>
    <s v="5373852ASSIV"/>
    <s v=""/>
    <s v="7385"/>
    <s v="2"/>
    <n v="1"/>
    <n v="149378712.63362721"/>
    <n v="44446044.997955099"/>
    <n v="43.033019899999999"/>
    <d v="2026-08-07T00:00:00"/>
    <n v="219"/>
    <n v="3.3609"/>
    <x v="1"/>
    <n v="149454270.9101238"/>
    <n v="44446044.997955099"/>
    <s v=""/>
    <n v="0"/>
    <n v="0"/>
    <n v="0"/>
    <n v="0"/>
    <s v="2"/>
    <n v="26256910350.436607"/>
    <n v="5.6891199550880628E-3"/>
    <n v="44.446044997955077"/>
    <n v="0"/>
    <n v="0"/>
    <n v="44.446044997955077"/>
    <n v="0"/>
    <n v="47.620762047787679"/>
    <x v="117"/>
    <x v="406"/>
    <n v="0.69536499492166137"/>
    <s v="53ALT"/>
    <x v="4"/>
    <x v="7"/>
    <n v="0.50361998796000962"/>
    <x v="2"/>
    <x v="4"/>
  </r>
  <r>
    <s v="31/12/2025"/>
    <s v="53"/>
    <x v="0"/>
    <s v="FIAX"/>
    <s v="5373892AESS3"/>
    <x v="179"/>
    <s v="AESS3"/>
    <s v="AECPIII"/>
    <s v="7389"/>
    <s v="2"/>
    <n v="1"/>
    <n v="71090160.114357203"/>
    <n v="21152120.001891501"/>
    <n v="84.804227499999996"/>
    <d v="2026-06-05T00:00:00"/>
    <n v="156"/>
    <n v="3.3609"/>
    <x v="1"/>
    <n v="71126118.718360394"/>
    <n v="21152120.001891501"/>
    <s v=""/>
    <n v="0"/>
    <n v="0"/>
    <n v="0"/>
    <n v="0"/>
    <s v="2"/>
    <n v="26256910350.436607"/>
    <n v="2.7074838267547763E-3"/>
    <n v="21.152120001891522"/>
    <n v="0"/>
    <n v="0"/>
    <n v="21.152120001891522"/>
    <n v="0"/>
    <n v="23.502370013102478"/>
    <x v="117"/>
    <x v="407"/>
    <n v="0.33092806836636174"/>
    <s v="53ALT"/>
    <x v="4"/>
    <x v="7"/>
    <n v="0.23967555316049843"/>
    <x v="2"/>
    <x v="4"/>
  </r>
  <r>
    <s v="31/12/2025"/>
    <s v="53"/>
    <x v="3"/>
    <s v="FIAX"/>
    <s v="5373892AESS3"/>
    <x v="179"/>
    <s v="AESS3"/>
    <s v="AECPIII"/>
    <s v="7389"/>
    <s v="2"/>
    <n v="1"/>
    <n v="7898955.2626788998"/>
    <n v="2350250.0112109999"/>
    <n v="9.4227498999999995"/>
    <d v="2026-06-05T00:00:00"/>
    <n v="156"/>
    <n v="3.3609"/>
    <x v="1"/>
    <n v="7902950.6876979005"/>
    <n v="2350250.0112109999"/>
    <s v=""/>
    <n v="0"/>
    <n v="0"/>
    <n v="0"/>
    <n v="0"/>
    <s v="2"/>
    <n v="3164069580.822104"/>
    <n v="2.4964543480824955E-3"/>
    <n v="2.3502500112109552"/>
    <n v="0"/>
    <n v="0"/>
    <n v="0"/>
    <n v="2.3502500112109552"/>
    <n v="23.502370013102478"/>
    <x v="117"/>
    <x v="408"/>
    <n v="0.30513453377336508"/>
    <s v="53ALT"/>
    <x v="4"/>
    <x v="7"/>
    <n v="2.6630780813085429E-2"/>
    <x v="2"/>
    <x v="4"/>
  </r>
  <r>
    <s v="31/12/2025"/>
    <s v="53"/>
    <x v="3"/>
    <s v="FIAX"/>
    <s v="5373962COL7F"/>
    <x v="180"/>
    <s v="COL7F"/>
    <s v=""/>
    <s v="7396"/>
    <s v="2"/>
    <n v="1"/>
    <n v="55584419.563385203"/>
    <n v="16538552.0436149"/>
    <n v="15.5384829"/>
    <d v="2027-12-31T00:00:00"/>
    <n v="730"/>
    <n v="3.3609"/>
    <x v="1"/>
    <n v="55612535.101859301"/>
    <n v="16538552.0436149"/>
    <s v=""/>
    <n v="0"/>
    <n v="0"/>
    <n v="0"/>
    <n v="0"/>
    <s v="2"/>
    <n v="3164069580.822104"/>
    <n v="1.7567382177778465E-2"/>
    <n v="16.538552043614867"/>
    <n v="0"/>
    <n v="0"/>
    <n v="0"/>
    <n v="16.538552043614867"/>
    <n v="41.346381013743851"/>
    <x v="115"/>
    <x v="409"/>
    <n v="0.69405481129467261"/>
    <s v="53ALT"/>
    <x v="4"/>
    <x v="7"/>
    <n v="6.0574007547713311E-2"/>
    <x v="2"/>
    <x v="4"/>
  </r>
  <r>
    <s v="31/12/2025"/>
    <s v="53"/>
    <x v="0"/>
    <s v="FIAX"/>
    <s v="5373962COL7F"/>
    <x v="180"/>
    <s v="COL7F"/>
    <s v=""/>
    <s v="7396"/>
    <s v="2"/>
    <n v="1"/>
    <n v="83376632.385706499"/>
    <n v="24807828.970128998"/>
    <n v="23.3077252"/>
    <d v="2027-12-31T00:00:00"/>
    <n v="730"/>
    <n v="3.3609"/>
    <x v="1"/>
    <n v="83418805.694955707"/>
    <n v="24807828.970128998"/>
    <s v=""/>
    <n v="0"/>
    <n v="0"/>
    <n v="0"/>
    <n v="0"/>
    <s v="2"/>
    <n v="26256910350.436607"/>
    <n v="3.1754167292695232E-3"/>
    <n v="24.807828970128984"/>
    <n v="0"/>
    <n v="0"/>
    <n v="24.807828970128984"/>
    <n v="0"/>
    <n v="41.346381013743851"/>
    <x v="115"/>
    <x v="410"/>
    <n v="0.12545484788296488"/>
    <s v="53ALT"/>
    <x v="4"/>
    <x v="7"/>
    <n v="9.0861014635143553E-2"/>
    <x v="2"/>
    <x v="4"/>
  </r>
  <r>
    <s v="31/12/2025"/>
    <s v="53"/>
    <x v="0"/>
    <s v="FIAX"/>
    <s v="5374062AIXFE"/>
    <x v="181"/>
    <s v="5374062AIXFE"/>
    <s v=""/>
    <s v="7406"/>
    <s v="2"/>
    <n v="1"/>
    <n v="133268181.6336017"/>
    <n v="39652528.082835503"/>
    <n v="23.197207899999999"/>
    <d v="2026-12-19T00:00:00"/>
    <n v="353"/>
    <n v="3.3609"/>
    <x v="1"/>
    <n v="133335590.9313425"/>
    <n v="39652528.082835503"/>
    <s v=""/>
    <n v="0"/>
    <n v="0"/>
    <n v="0"/>
    <n v="0"/>
    <s v="2"/>
    <n v="26256910350.436607"/>
    <n v="5.0755469647778143E-3"/>
    <n v="39.65252808283546"/>
    <n v="0"/>
    <n v="0"/>
    <n v="39.65252808283546"/>
    <n v="0"/>
    <n v="39.65252808283546"/>
    <x v="115"/>
    <x v="411"/>
    <n v="0.2005254826932665"/>
    <s v="53ALT"/>
    <x v="4"/>
    <x v="7"/>
    <n v="0.1452311259801555"/>
    <x v="2"/>
    <x v="4"/>
  </r>
  <r>
    <s v="31/12/2025"/>
    <s v="53"/>
    <x v="0"/>
    <s v="FIAX"/>
    <s v="5374112KKR12"/>
    <x v="182"/>
    <s v="5374112KKR12"/>
    <s v=""/>
    <s v="7411"/>
    <s v="2"/>
    <n v="1"/>
    <n v="319805478.5766291"/>
    <n v="95154714.087485194"/>
    <n v="5.4156978999999996"/>
    <d v="2028-10-31T00:00:00"/>
    <n v="1035"/>
    <n v="3.3609"/>
    <x v="1"/>
    <n v="319967241.59057778"/>
    <n v="95154714.087485194"/>
    <s v=""/>
    <n v="0"/>
    <n v="0"/>
    <n v="0"/>
    <n v="0"/>
    <s v="2"/>
    <n v="26256910350.436607"/>
    <n v="1.2179859484926461E-2"/>
    <n v="95.154714087485218"/>
    <n v="0"/>
    <n v="0"/>
    <n v="95.154714087485218"/>
    <n v="0"/>
    <n v="95.154714087485218"/>
    <x v="116"/>
    <x v="412"/>
    <n v="0.27655706847513839"/>
    <s v="53ALT"/>
    <x v="4"/>
    <x v="7"/>
    <n v="0.20029720867872525"/>
    <x v="2"/>
    <x v="4"/>
  </r>
  <r>
    <s v="31/12/2025"/>
    <s v="53"/>
    <x v="0"/>
    <s v="FIAX"/>
    <s v="5374192HCI4A"/>
    <x v="183"/>
    <s v="5374192HCI4A"/>
    <s v=""/>
    <s v="7419"/>
    <s v="2"/>
    <n v="1"/>
    <n v="58502709.050992899"/>
    <n v="17406857.9996408"/>
    <n v="19.903154099999998"/>
    <d v="2028-08-01T00:00:00"/>
    <n v="944"/>
    <n v="3.3609"/>
    <x v="1"/>
    <n v="58532300.709592201"/>
    <n v="17406857.9996408"/>
    <s v=""/>
    <n v="0"/>
    <n v="0"/>
    <n v="0"/>
    <n v="0"/>
    <s v="2"/>
    <n v="26256910350.436607"/>
    <n v="2.2280880831060954E-3"/>
    <n v="17.406857999640842"/>
    <n v="0"/>
    <n v="0"/>
    <n v="17.406857999640842"/>
    <n v="0"/>
    <n v="29.011427025836653"/>
    <x v="116"/>
    <x v="413"/>
    <n v="5.059118369393345E-2"/>
    <s v="53ALT"/>
    <x v="4"/>
    <x v="7"/>
    <n v="3.6640802325247607E-2"/>
    <x v="2"/>
    <x v="4"/>
  </r>
  <r>
    <s v="31/12/2025"/>
    <s v="53"/>
    <x v="3"/>
    <s v="FIAX"/>
    <s v="5374192HCI4A"/>
    <x v="183"/>
    <s v="5374192HCI4A"/>
    <s v=""/>
    <s v="7419"/>
    <s v="2"/>
    <n v="1"/>
    <n v="39001796.040141501"/>
    <n v="11604569.0261958"/>
    <n v="13.268765999999999"/>
    <d v="2028-08-01T00:00:00"/>
    <n v="944"/>
    <n v="3.3609"/>
    <x v="1"/>
    <n v="39021523.807485998"/>
    <n v="11604569.0261958"/>
    <s v=""/>
    <n v="0"/>
    <n v="0"/>
    <n v="0"/>
    <n v="0"/>
    <s v="2"/>
    <n v="3164069580.822104"/>
    <n v="1.232646597803575E-2"/>
    <n v="11.604569026195811"/>
    <n v="0"/>
    <n v="0"/>
    <n v="0"/>
    <n v="11.604569026195811"/>
    <n v="29.011427025836653"/>
    <x v="116"/>
    <x v="414"/>
    <n v="0.27988592969918641"/>
    <s v="53ALT"/>
    <x v="4"/>
    <x v="7"/>
    <n v="2.4427195290919541E-2"/>
    <x v="2"/>
    <x v="4"/>
  </r>
  <r>
    <s v="31/12/2025"/>
    <s v="53"/>
    <x v="0"/>
    <s v="FIAX"/>
    <s v="5374204CVC7A"/>
    <x v="184"/>
    <s v="5374204CVC7A"/>
    <s v=""/>
    <s v="7420"/>
    <s v="4"/>
    <n v="1"/>
    <n v="389165262.97355479"/>
    <n v="98621905.229917303"/>
    <n v="4.5089594999999996"/>
    <d v="2027-10-04T00:00:00"/>
    <n v="642"/>
    <n v="3.9460326999999999"/>
    <x v="1"/>
    <n v="389793218.23072523"/>
    <n v="98621905.229917303"/>
    <s v=""/>
    <n v="0"/>
    <n v="0"/>
    <n v="0"/>
    <n v="0"/>
    <s v="4"/>
    <n v="26256910350.436607"/>
    <n v="1.4821441585456136E-2"/>
    <n v="115.79197922388491"/>
    <n v="0"/>
    <n v="0"/>
    <n v="115.79197922388491"/>
    <n v="0"/>
    <n v="115.79197922388491"/>
    <x v="115"/>
    <x v="415"/>
    <n v="0.58556777205661215"/>
    <s v="53ALT"/>
    <x v="4"/>
    <x v="7"/>
    <n v="0.42409905081020655"/>
    <x v="2"/>
    <x v="4"/>
  </r>
  <r>
    <s v="31/12/2025"/>
    <s v="53"/>
    <x v="0"/>
    <s v="FIAX"/>
    <s v="5374272CRF8B"/>
    <x v="185"/>
    <s v="5374272CRF8B"/>
    <s v=""/>
    <s v="7427"/>
    <s v="2"/>
    <n v="1"/>
    <n v="89813939.247549698"/>
    <n v="26723181.066842102"/>
    <n v="12.8554569"/>
    <d v="2027-05-03T00:00:00"/>
    <n v="488"/>
    <n v="3.3609"/>
    <x v="1"/>
    <n v="89859368.655363306"/>
    <n v="26723181.066842102"/>
    <s v=""/>
    <n v="0"/>
    <n v="0"/>
    <n v="0"/>
    <n v="0"/>
    <s v="2"/>
    <n v="26256910350.436607"/>
    <n v="3.4205829265078116E-3"/>
    <n v="26.723181066842123"/>
    <n v="0"/>
    <n v="0"/>
    <n v="26.723181066842123"/>
    <n v="0"/>
    <n v="33.403973163470766"/>
    <x v="118"/>
    <x v="416"/>
    <n v="2.0850245048871965E-2"/>
    <s v="53ALT"/>
    <x v="4"/>
    <x v="7"/>
    <n v="1.5100846659183828E-2"/>
    <x v="2"/>
    <x v="4"/>
  </r>
  <r>
    <s v="31/12/2025"/>
    <s v="53"/>
    <x v="3"/>
    <s v="FIAX"/>
    <s v="5374272CRF8B"/>
    <x v="185"/>
    <s v="5374272CRF8B"/>
    <s v=""/>
    <s v="7427"/>
    <s v="2"/>
    <n v="1"/>
    <n v="22453474.157559201"/>
    <n v="6680792.0966285998"/>
    <n v="3.2138627"/>
    <d v="2027-05-03T00:00:00"/>
    <n v="488"/>
    <n v="3.3609"/>
    <x v="1"/>
    <n v="22464831.504123401"/>
    <n v="6680792.0966285998"/>
    <s v=""/>
    <n v="0"/>
    <n v="0"/>
    <n v="0"/>
    <n v="0"/>
    <s v="2"/>
    <n v="3164069580.822104"/>
    <n v="7.0963907663892873E-3"/>
    <n v="6.6807920966286414"/>
    <n v="0"/>
    <n v="0"/>
    <n v="0"/>
    <n v="6.6807920966286414"/>
    <n v="33.403973163470766"/>
    <x v="118"/>
    <x v="417"/>
    <n v="4.3256219662193028E-2"/>
    <s v="53ALT"/>
    <x v="4"/>
    <x v="7"/>
    <n v="3.7752098734328558E-3"/>
    <x v="2"/>
    <x v="4"/>
  </r>
  <r>
    <s v="31/12/2025"/>
    <s v="53"/>
    <x v="0"/>
    <s v="FIAX"/>
    <s v="5374342CPVII"/>
    <x v="186"/>
    <s v="5374342CPVII"/>
    <s v=""/>
    <s v="7434"/>
    <s v="2"/>
    <n v="1"/>
    <n v="259359113.5143142"/>
    <n v="77169541.942430407"/>
    <n v="3.6194209000000002"/>
    <d v="2028-11-29T00:00:00"/>
    <n v="1064"/>
    <n v="3.3609"/>
    <x v="1"/>
    <n v="259490301.7356163"/>
    <n v="77169541.942430407"/>
    <s v=""/>
    <n v="0"/>
    <n v="0"/>
    <n v="0"/>
    <n v="0"/>
    <s v="2"/>
    <n v="26256910350.436607"/>
    <n v="9.8777468503639648E-3"/>
    <n v="77.169541942430357"/>
    <n v="0"/>
    <n v="0"/>
    <n v="77.169541942430357"/>
    <n v="0"/>
    <n v="77.169541942430357"/>
    <x v="116"/>
    <x v="418"/>
    <n v="0.2242850761502593"/>
    <s v="53ALT"/>
    <x v="4"/>
    <x v="7"/>
    <n v="0.16243907613314457"/>
    <x v="2"/>
    <x v="4"/>
  </r>
  <r>
    <s v="31/12/2025"/>
    <s v="53"/>
    <x v="0"/>
    <s v="FIAX"/>
    <s v="5374404P7SCS"/>
    <x v="187"/>
    <s v="5374404P7SCS"/>
    <s v=""/>
    <s v="7440"/>
    <s v="4"/>
    <n v="1"/>
    <n v="43528887.941578902"/>
    <n v="11031050.9949851"/>
    <n v="2.9298397999999999"/>
    <d v="2028-03-28T00:00:00"/>
    <n v="818"/>
    <n v="3.9460326999999999"/>
    <x v="1"/>
    <n v="43599125.9525792"/>
    <n v="11031050.9949851"/>
    <s v=""/>
    <n v="0"/>
    <n v="0"/>
    <n v="0"/>
    <n v="0"/>
    <s v="4"/>
    <n v="26256910350.436607"/>
    <n v="1.6578069300851725E-3"/>
    <n v="12.95155700603377"/>
    <n v="0"/>
    <n v="0"/>
    <n v="12.95155700603377"/>
    <n v="0"/>
    <n v="12.95155700603377"/>
    <x v="115"/>
    <x v="419"/>
    <n v="6.5496888744112733E-2"/>
    <s v="53ALT"/>
    <x v="4"/>
    <x v="7"/>
    <n v="4.7436299729819206E-2"/>
    <x v="2"/>
    <x v="4"/>
  </r>
  <r>
    <s v="31/12/2025"/>
    <s v="53"/>
    <x v="0"/>
    <s v="FIAX"/>
    <s v="5374414P7SLP"/>
    <x v="187"/>
    <s v="5374414P7SLP"/>
    <s v=""/>
    <s v="7441"/>
    <s v="4"/>
    <n v="1"/>
    <n v="22515007.909478799"/>
    <n v="5705732.7247893"/>
    <n v="2.5896108999999998"/>
    <d v="2028-03-28T00:00:00"/>
    <n v="818"/>
    <n v="3.9460326999999999"/>
    <x v="1"/>
    <n v="22551338.0214573"/>
    <n v="5705732.7247893"/>
    <s v=""/>
    <n v="0"/>
    <n v="0"/>
    <n v="0"/>
    <n v="0"/>
    <s v="4"/>
    <n v="26256910350.436607"/>
    <n v="8.5748885184826825E-4"/>
    <n v="6.6991008091519531"/>
    <n v="0"/>
    <n v="0"/>
    <n v="6.6991008091519531"/>
    <n v="0"/>
    <n v="6.6991008091519531"/>
    <x v="115"/>
    <x v="420"/>
    <n v="3.3877800188673077E-2"/>
    <s v="53ALT"/>
    <x v="4"/>
    <x v="7"/>
    <n v="2.4536088885310184E-2"/>
    <x v="2"/>
    <x v="4"/>
  </r>
  <r>
    <s v="31/12/2025"/>
    <s v="53"/>
    <x v="0"/>
    <s v="FIAX"/>
    <s v="5374434CEPVF"/>
    <x v="188"/>
    <s v="5374434CEPVF"/>
    <s v=""/>
    <s v="7443"/>
    <s v="4"/>
    <n v="1"/>
    <n v="121717974.6721701"/>
    <n v="30845657.8862537"/>
    <n v="7.3759750999999998"/>
    <d v="2029-04-23T00:00:00"/>
    <n v="1209"/>
    <n v="3.9460326999999999"/>
    <x v="1"/>
    <n v="121914378.2296292"/>
    <n v="30845657.8862537"/>
    <s v=""/>
    <n v="0"/>
    <n v="0"/>
    <n v="0"/>
    <n v="0"/>
    <s v="4"/>
    <n v="26256910350.436607"/>
    <n v="4.6356548827591266E-3"/>
    <n v="36.215887016028482"/>
    <n v="0"/>
    <n v="0"/>
    <n v="36.215887016028482"/>
    <n v="0"/>
    <n v="36.215887016028482"/>
    <x v="115"/>
    <x v="421"/>
    <n v="0.18314615930371242"/>
    <s v="53ALT"/>
    <x v="4"/>
    <x v="7"/>
    <n v="0.13264410376862415"/>
    <x v="2"/>
    <x v="4"/>
  </r>
  <r>
    <s v="31/12/2025"/>
    <s v="53"/>
    <x v="0"/>
    <s v="FIAX"/>
    <s v="5374482LCPIX"/>
    <x v="189"/>
    <s v="LCPIX"/>
    <s v=""/>
    <s v="7448"/>
    <s v="2"/>
    <n v="1"/>
    <n v="369719582.1423595"/>
    <n v="110006123.9972506"/>
    <n v="409.43396790000003"/>
    <d v="2028-07-13T00:00:00"/>
    <n v="925"/>
    <n v="3.3609"/>
    <x v="1"/>
    <n v="369906592.55315483"/>
    <n v="110006123.9972506"/>
    <s v=""/>
    <n v="0"/>
    <n v="0"/>
    <n v="0"/>
    <n v="0"/>
    <s v="2"/>
    <n v="26256910350.436607"/>
    <n v="1.4080848706413461E-2"/>
    <n v="110.00612399725058"/>
    <n v="0"/>
    <n v="0"/>
    <n v="110.00612399725058"/>
    <n v="0"/>
    <n v="122.22902400369412"/>
    <x v="115"/>
    <x v="422"/>
    <n v="0.55630831576947493"/>
    <s v="53ALT"/>
    <x v="4"/>
    <x v="7"/>
    <n v="0.40290781005080567"/>
    <x v="2"/>
    <x v="4"/>
  </r>
  <r>
    <s v="31/12/2025"/>
    <s v="53"/>
    <x v="3"/>
    <s v="FIAX"/>
    <s v="5374482LCPIX"/>
    <x v="189"/>
    <s v="LCPIX"/>
    <s v=""/>
    <s v="7448"/>
    <s v="2"/>
    <n v="1"/>
    <n v="41079944.631656103"/>
    <n v="12222900.006443599"/>
    <n v="45.492653199999999"/>
    <d v="2028-07-13T00:00:00"/>
    <n v="925"/>
    <n v="3.3609"/>
    <x v="1"/>
    <n v="41100723.561667003"/>
    <n v="12222900.006443599"/>
    <s v=""/>
    <n v="0"/>
    <n v="0"/>
    <n v="0"/>
    <n v="0"/>
    <s v="2"/>
    <n v="3164069580.822104"/>
    <n v="1.2983262087739079E-2"/>
    <n v="12.222900006443544"/>
    <n v="0"/>
    <n v="0"/>
    <n v="0"/>
    <n v="12.222900006443544"/>
    <n v="122.22902400369412"/>
    <x v="115"/>
    <x v="423"/>
    <n v="0.51294469643254204"/>
    <s v="53ALT"/>
    <x v="4"/>
    <x v="7"/>
    <n v="4.476752470789018E-2"/>
    <x v="2"/>
    <x v="4"/>
  </r>
  <r>
    <s v="31/12/2025"/>
    <s v="53"/>
    <x v="3"/>
    <s v="FIAX"/>
    <s v="5374552HFCP9"/>
    <x v="190"/>
    <s v="5374552HFCP9"/>
    <s v=""/>
    <s v="7455"/>
    <s v="2"/>
    <n v="1"/>
    <n v="115352312.1456051"/>
    <n v="34321851.928235002"/>
    <n v="2.8535984000000001"/>
    <d v="2028-09-28T00:00:00"/>
    <n v="1002"/>
    <n v="3.3609"/>
    <x v="1"/>
    <n v="115410659.2938831"/>
    <n v="34321851.928235002"/>
    <s v="HELF"/>
    <n v="0"/>
    <n v="0"/>
    <n v="0"/>
    <n v="0"/>
    <s v="2"/>
    <n v="3164069580.822104"/>
    <n v="3.6456945461873724E-2"/>
    <n v="34.321851928235027"/>
    <n v="0"/>
    <n v="0"/>
    <n v="0"/>
    <n v="34.321851928235027"/>
    <n v="85.804641848156677"/>
    <x v="115"/>
    <x v="424"/>
    <n v="1.4403465551587789"/>
    <s v="53ALT"/>
    <x v="4"/>
    <x v="7"/>
    <n v="0.12570702152580904"/>
    <x v="2"/>
    <x v="4"/>
  </r>
  <r>
    <s v="31/12/2025"/>
    <s v="53"/>
    <x v="0"/>
    <s v="FIAX"/>
    <s v="5374552HFCP9"/>
    <x v="190"/>
    <s v="5374552HFCP9"/>
    <s v=""/>
    <s v="7455"/>
    <s v="2"/>
    <n v="1"/>
    <n v="173028508.64186469"/>
    <n v="51482789.919921704"/>
    <n v="4.2803985999999998"/>
    <d v="2028-09-28T00:00:00"/>
    <n v="1002"/>
    <n v="3.3609"/>
    <x v="1"/>
    <n v="173116029.38472849"/>
    <n v="51482789.919921704"/>
    <s v="HELF"/>
    <n v="0"/>
    <n v="0"/>
    <n v="0"/>
    <n v="0"/>
    <s v="2"/>
    <n v="26256910350.436607"/>
    <n v="6.5898274523753146E-3"/>
    <n v="51.48278991992165"/>
    <n v="0"/>
    <n v="0"/>
    <n v="51.48278991992165"/>
    <n v="0"/>
    <n v="85.804641848156677"/>
    <x v="115"/>
    <x v="425"/>
    <n v="0.26035190688275806"/>
    <s v="53ALT"/>
    <x v="4"/>
    <x v="7"/>
    <n v="0.18856057634082041"/>
    <x v="2"/>
    <x v="4"/>
  </r>
  <r>
    <s v="31/12/2025"/>
    <s v="53"/>
    <x v="0"/>
    <s v="FIAX"/>
    <s v="5374632COL8F"/>
    <x v="191"/>
    <s v="5374632COL8F"/>
    <s v=""/>
    <s v="7463"/>
    <s v="2"/>
    <n v="1"/>
    <n v="302413139.92907059"/>
    <n v="89979808.958633304"/>
    <n v="33.866483799999997"/>
    <d v="2029-01-28T00:00:00"/>
    <n v="1124"/>
    <n v="3.3609"/>
    <x v="1"/>
    <n v="302566105.60430032"/>
    <n v="89979808.958633304"/>
    <s v=""/>
    <n v="0"/>
    <n v="0"/>
    <n v="0"/>
    <n v="0"/>
    <s v="2"/>
    <n v="26256910350.436607"/>
    <n v="1.1517468578478122E-2"/>
    <n v="89.979808958633271"/>
    <n v="0"/>
    <n v="0"/>
    <n v="89.979808958633271"/>
    <n v="0"/>
    <n v="89.979808958633271"/>
    <x v="115"/>
    <x v="426"/>
    <n v="0.45503390316967696"/>
    <s v="53ALT"/>
    <x v="4"/>
    <x v="7"/>
    <n v="0.32955954140533933"/>
    <x v="2"/>
    <x v="4"/>
  </r>
  <r>
    <s v="31/12/2025"/>
    <s v="53"/>
    <x v="0"/>
    <s v="FIAX"/>
    <s v="5374652VEP7A"/>
    <x v="192"/>
    <s v="5374652VEP7A"/>
    <s v=""/>
    <s v="7465"/>
    <s v="2"/>
    <n v="1"/>
    <n v="750227874.08281195"/>
    <n v="223222313.69062221"/>
    <n v="23.503587599999999"/>
    <d v="2029-08-30T00:00:00"/>
    <n v="1338"/>
    <n v="3.3609"/>
    <x v="1"/>
    <n v="750607352.0160861"/>
    <n v="223222313.69062221"/>
    <s v=""/>
    <n v="0"/>
    <n v="0"/>
    <n v="0"/>
    <n v="0"/>
    <s v="2"/>
    <n v="26256910350.436607"/>
    <n v="2.8572587713860131E-2"/>
    <n v="223.22231369062214"/>
    <n v="0"/>
    <n v="0"/>
    <n v="223.22231369062214"/>
    <n v="0"/>
    <n v="223.22231369062214"/>
    <x v="115"/>
    <x v="427"/>
    <n v="1.1288501481471984"/>
    <s v="53ALT"/>
    <x v="4"/>
    <x v="7"/>
    <n v="0.81757278863684346"/>
    <x v="2"/>
    <x v="4"/>
  </r>
  <r>
    <s v="31/12/2025"/>
    <s v="53"/>
    <x v="0"/>
    <s v="FIAX"/>
    <s v="5374782A10FE"/>
    <x v="193"/>
    <s v="5374782A10FE"/>
    <s v=""/>
    <s v="7478"/>
    <s v="2"/>
    <n v="1"/>
    <n v="466633305.23318958"/>
    <n v="138841770.1309737"/>
    <n v="33.958432999999999"/>
    <d v="2029-10-17T00:00:00"/>
    <n v="1386"/>
    <n v="3.3609"/>
    <x v="1"/>
    <n v="466869336.24241221"/>
    <n v="138841770.1309737"/>
    <s v=""/>
    <n v="0"/>
    <n v="0"/>
    <n v="0"/>
    <n v="0"/>
    <s v="2"/>
    <n v="26256910350.436607"/>
    <n v="1.7771828406514336E-2"/>
    <n v="138.84177013097371"/>
    <n v="0"/>
    <n v="0"/>
    <n v="138.84177013097371"/>
    <n v="0"/>
    <n v="138.84177013097371"/>
    <x v="115"/>
    <x v="428"/>
    <n v="0.70213210404490789"/>
    <s v="53ALT"/>
    <x v="4"/>
    <x v="7"/>
    <n v="0.50852108513927929"/>
    <x v="2"/>
    <x v="4"/>
  </r>
  <r>
    <s v="31/12/2025"/>
    <s v="53"/>
    <x v="0"/>
    <s v="FIAX"/>
    <s v="5374792GIP4F"/>
    <x v="194"/>
    <s v="5374792GIP4F"/>
    <s v=""/>
    <s v="7479"/>
    <s v="2"/>
    <n v="1"/>
    <n v="315260163.52331293"/>
    <n v="93802304.002890006"/>
    <n v="914.99999319999995"/>
    <d v="2029-07-18T00:00:00"/>
    <n v="1295"/>
    <n v="3.3609"/>
    <x v="1"/>
    <n v="315419627.44011778"/>
    <n v="93802304.002890006"/>
    <s v=""/>
    <n v="0"/>
    <n v="0"/>
    <n v="0"/>
    <n v="0"/>
    <s v="2"/>
    <n v="26256910350.436607"/>
    <n v="1.2006750197022732E-2"/>
    <n v="93.802304002889983"/>
    <n v="0"/>
    <n v="0"/>
    <n v="93.802304002889983"/>
    <n v="0"/>
    <n v="102.51618100465856"/>
    <x v="119"/>
    <x v="429"/>
    <n v="1.7893658932524812"/>
    <s v="53ALT"/>
    <x v="4"/>
    <x v="7"/>
    <n v="1.2959531126777379"/>
    <x v="2"/>
    <x v="4"/>
  </r>
  <r>
    <s v="31/12/2025"/>
    <s v="53"/>
    <x v="3"/>
    <s v="FIAX"/>
    <s v="5374792GIP4F"/>
    <x v="194"/>
    <s v="5374792GIP4F"/>
    <s v=""/>
    <s v="7479"/>
    <s v="2"/>
    <n v="1"/>
    <n v="29286469.215243999"/>
    <n v="8713877.0017686002"/>
    <n v="85.000016599999995"/>
    <d v="2029-07-18T00:00:00"/>
    <n v="1295"/>
    <n v="3.3609"/>
    <x v="1"/>
    <n v="29301282.806147002"/>
    <n v="8713877.0017686002"/>
    <s v=""/>
    <n v="0"/>
    <n v="0"/>
    <n v="0"/>
    <n v="0"/>
    <s v="2"/>
    <n v="3164069580.822104"/>
    <n v="9.2559498036179876E-3"/>
    <n v="8.7138770017685747"/>
    <n v="0"/>
    <n v="0"/>
    <n v="0"/>
    <n v="8.7138770017685747"/>
    <n v="102.51618100465856"/>
    <x v="119"/>
    <x v="430"/>
    <n v="1.3794141309242791"/>
    <s v="53ALT"/>
    <x v="4"/>
    <x v="7"/>
    <n v="0.12038911137603843"/>
    <x v="2"/>
    <x v="4"/>
  </r>
  <r>
    <s v="31/12/2025"/>
    <s v="53"/>
    <x v="0"/>
    <s v="FIAX"/>
    <s v="5374842BREVI"/>
    <x v="195"/>
    <s v="5374842BREVI"/>
    <s v=""/>
    <s v="7484"/>
    <s v="2"/>
    <n v="1"/>
    <n v="250835938.69024989"/>
    <n v="74633562.048930302"/>
    <n v="9.0002978000000002"/>
    <d v="2029-10-31T00:00:00"/>
    <n v="1400"/>
    <n v="3.3609"/>
    <x v="1"/>
    <n v="250962815.74573311"/>
    <n v="74633562.048930302"/>
    <s v=""/>
    <n v="0"/>
    <n v="0"/>
    <n v="0"/>
    <n v="0"/>
    <s v="2"/>
    <n v="26256910350.436607"/>
    <n v="9.5531399293549753E-3"/>
    <n v="74.633562048930315"/>
    <n v="0"/>
    <n v="0"/>
    <n v="74.633562048930315"/>
    <n v="0"/>
    <n v="74.633562048930315"/>
    <x v="120"/>
    <x v="431"/>
    <n v="6.2616862811749815E-2"/>
    <s v="53ALT"/>
    <x v="4"/>
    <x v="7"/>
    <n v="4.535043311879642E-2"/>
    <x v="2"/>
    <x v="4"/>
  </r>
  <r>
    <s v="31/12/2025"/>
    <s v="53"/>
    <x v="0"/>
    <s v="FIAX"/>
    <s v="5374872ASFCC"/>
    <x v="196"/>
    <s v="5374872ASFCC"/>
    <s v=""/>
    <s v="7487"/>
    <s v="2"/>
    <n v="1"/>
    <n v="89731899.502027795"/>
    <n v="26698771.0143199"/>
    <n v="28.9735105"/>
    <d v="2030-12-03T00:00:00"/>
    <n v="1798"/>
    <n v="3.3609"/>
    <x v="1"/>
    <n v="89777287.412752107"/>
    <n v="26698771.0143199"/>
    <s v=""/>
    <n v="0"/>
    <n v="0"/>
    <n v="0"/>
    <n v="0"/>
    <s v="2"/>
    <n v="26256910350.436607"/>
    <n v="3.4174584253983146E-3"/>
    <n v="26.698771014319913"/>
    <n v="0"/>
    <n v="0"/>
    <n v="26.698771014319913"/>
    <n v="0"/>
    <n v="26.698771014319913"/>
    <x v="115"/>
    <x v="432"/>
    <n v="0.13501746808625315"/>
    <s v="53ALT"/>
    <x v="4"/>
    <x v="7"/>
    <n v="9.7786768313884234E-2"/>
    <x v="2"/>
    <x v="4"/>
  </r>
  <r>
    <s v="31/12/2025"/>
    <s v="53"/>
    <x v="0"/>
    <s v="FIAX"/>
    <s v="5311082FIEAM"/>
    <x v="197"/>
    <s v="CVL79033FI20"/>
    <s v=""/>
    <s v="1108"/>
    <s v="2"/>
    <n v="1"/>
    <n v="26540369.621611301"/>
    <n v="7896804.3147999998"/>
    <n v="29889494"/>
    <d v="2026-06-25T00:00:00"/>
    <n v="176"/>
    <n v="3.3609"/>
    <x v="1"/>
    <n v="26553794.1889464"/>
    <n v="7896804.3147999998"/>
    <s v=""/>
    <n v="0"/>
    <n v="0"/>
    <n v="0"/>
    <n v="0"/>
    <s v="2"/>
    <n v="26256910350.436607"/>
    <n v="1.0107956064666984E-3"/>
    <n v="7.8968043147999945"/>
    <n v="0"/>
    <n v="0"/>
    <n v="7.8968043147999945"/>
    <n v="0"/>
    <n v="11.698973357399982"/>
    <x v="115"/>
    <x v="433"/>
    <n v="3.993466680488901E-2"/>
    <s v="53ALT"/>
    <x v="4"/>
    <x v="7"/>
    <n v="2.8922790998029704E-2"/>
    <x v="2"/>
    <x v="4"/>
  </r>
  <r>
    <s v="31/12/2025"/>
    <s v="53"/>
    <x v="3"/>
    <s v="FIAX"/>
    <s v="5311082FIEAM"/>
    <x v="197"/>
    <s v="CVL79033FI20"/>
    <s v=""/>
    <s v="1108"/>
    <s v="2"/>
    <n v="1"/>
    <n v="12778709.935274299"/>
    <n v="3802169.0425999998"/>
    <n v="14391253"/>
    <d v="2026-06-25T00:00:00"/>
    <n v="176"/>
    <n v="3.3609"/>
    <x v="1"/>
    <n v="12785173.622646701"/>
    <n v="3802169.0425999998"/>
    <s v=""/>
    <n v="0"/>
    <n v="0"/>
    <n v="0"/>
    <n v="0"/>
    <s v="2"/>
    <n v="3164069580.822104"/>
    <n v="4.0386943487993945E-3"/>
    <n v="3.8021690425999877"/>
    <n v="0"/>
    <n v="0"/>
    <n v="0"/>
    <n v="3.8021690425999877"/>
    <n v="11.698973357399982"/>
    <x v="115"/>
    <x v="434"/>
    <n v="0.15956135158706358"/>
    <s v="53ALT"/>
    <x v="4"/>
    <x v="7"/>
    <n v="1.3925802916528696E-2"/>
    <x v="2"/>
    <x v="4"/>
  </r>
  <r>
    <s v="31/12/2025"/>
    <s v="54"/>
    <x v="1"/>
    <s v="ETF PE"/>
    <s v="5460042E8427"/>
    <x v="198"/>
    <s v="US4642898427"/>
    <s v=""/>
    <s v="6004"/>
    <s v="2"/>
    <n v="25"/>
    <n v="1173981.8632199999"/>
    <n v="349305.8"/>
    <n v="4828"/>
    <m/>
    <m/>
    <n v="3.3609"/>
    <x v="1"/>
    <n v="1183667.077448"/>
    <n v="352009.48"/>
    <s v=""/>
    <n v="0"/>
    <n v="0"/>
    <n v="0"/>
    <n v="-0.56000000000000005"/>
    <s v="2"/>
    <n v="7679510866.0565634"/>
    <n v="1.528719580838149E-4"/>
    <n v="0.3493058"/>
    <n v="0"/>
    <n v="0.3493058"/>
    <n v="0"/>
    <n v="0"/>
    <n v="7.2349999999999994"/>
    <x v="43"/>
    <x v="435"/>
    <n v="4.7898568598960835E-3"/>
    <s v="54RVL"/>
    <x v="2"/>
    <x v="6"/>
    <n v="1.0146181036351262E-3"/>
    <x v="4"/>
    <x v="5"/>
  </r>
  <r>
    <s v="31/12/2025"/>
    <s v="54"/>
    <x v="3"/>
    <s v="ETF PE"/>
    <s v="5460042E8427"/>
    <x v="198"/>
    <s v="US4642898427"/>
    <s v=""/>
    <s v="6004"/>
    <s v="2"/>
    <n v="25"/>
    <n v="22499941.132064998"/>
    <n v="6694617.8499999996"/>
    <n v="92531"/>
    <m/>
    <m/>
    <n v="3.3609"/>
    <x v="1"/>
    <n v="22685563.037145998"/>
    <n v="6746435.21"/>
    <s v=""/>
    <n v="0"/>
    <n v="0"/>
    <n v="0"/>
    <n v="-0.56000000000000005"/>
    <s v="2"/>
    <n v="3164069580.822104"/>
    <n v="7.1110765921332721E-3"/>
    <n v="6.6946178499999993"/>
    <n v="0"/>
    <n v="0"/>
    <n v="0"/>
    <n v="6.6946178499999993"/>
    <n v="7.2349999999999994"/>
    <x v="43"/>
    <x v="436"/>
    <n v="0.22280763210608853"/>
    <s v="54RVL"/>
    <x v="2"/>
    <x v="6"/>
    <n v="1.9445656120021092E-2"/>
    <x v="4"/>
    <x v="5"/>
  </r>
  <r>
    <s v="31/12/2025"/>
    <s v="54"/>
    <x v="0"/>
    <s v="ETF PE"/>
    <s v="5460042E8427"/>
    <x v="198"/>
    <s v="US4642898427"/>
    <s v=""/>
    <s v="6004"/>
    <s v="2"/>
    <n v="25"/>
    <n v="642188.50471500005"/>
    <n v="191076.35"/>
    <n v="2641"/>
    <m/>
    <m/>
    <n v="3.3609"/>
    <x v="1"/>
    <n v="647486.48540600005"/>
    <n v="192555.31"/>
    <s v=""/>
    <n v="0"/>
    <n v="0"/>
    <n v="0"/>
    <n v="-0.56000000000000005"/>
    <s v="2"/>
    <n v="26256910350.436607"/>
    <n v="2.4457885415460601E-5"/>
    <n v="0.19107635000000001"/>
    <n v="0"/>
    <n v="0"/>
    <n v="0.19107635000000001"/>
    <n v="0"/>
    <n v="7.2349999999999994"/>
    <x v="43"/>
    <x v="437"/>
    <n v="7.6632609213762263E-4"/>
    <s v="54RVL"/>
    <x v="2"/>
    <x v="6"/>
    <n v="5.5501375553031651E-4"/>
    <x v="4"/>
    <x v="5"/>
  </r>
  <r>
    <s v="31/12/2025"/>
    <s v="59"/>
    <x v="0"/>
    <s v="TDEMEX"/>
    <s v="59509428AS81"/>
    <x v="199"/>
    <s v="US279158AS81"/>
    <s v="ECOPET 8 7/8 01"/>
    <s v="5094"/>
    <s v="2"/>
    <n v="1000"/>
    <n v="3716023.4287145999"/>
    <n v="1105663.1939999999"/>
    <n v="1000"/>
    <d v="2033-01-13T00:00:00"/>
    <n v="2570"/>
    <n v="3.3609"/>
    <x v="0"/>
    <n v="3730321.9920448"/>
    <n v="1109356.4480000001"/>
    <s v=""/>
    <n v="293045373000000"/>
    <n v="191552463000000"/>
    <n v="101492910000000"/>
    <n v="-3.693254"/>
    <s v="2"/>
    <n v="26256910350.436607"/>
    <n v="1.4152554048130073E-4"/>
    <n v="1.1056631939999999"/>
    <n v="0"/>
    <n v="0"/>
    <n v="1.1056631939999999"/>
    <n v="0"/>
    <n v="10.393234023599987"/>
    <x v="121"/>
    <x v="438"/>
    <n v="3.6744276075160107E-2"/>
    <s v="59RFIC"/>
    <x v="2"/>
    <x v="3"/>
    <n v="2.6612141838770816E-2"/>
    <x v="1"/>
    <x v="1"/>
  </r>
  <r>
    <s v="31/12/2025"/>
    <s v="59"/>
    <x v="0"/>
    <s v="TDEMEX"/>
    <s v="59509428AJ82"/>
    <x v="199"/>
    <s v="US279158AJ82"/>
    <s v="ECOPET 45"/>
    <s v="5094"/>
    <s v="2"/>
    <n v="1000"/>
    <n v="75783470.106895804"/>
    <n v="22548564.404444002"/>
    <n v="30004"/>
    <d v="2045-05-28T00:00:00"/>
    <n v="7088"/>
    <n v="3.3609"/>
    <x v="0"/>
    <n v="75878045.311648995"/>
    <n v="22565290.344271999"/>
    <s v=""/>
    <n v="293045373000000"/>
    <n v="191552463000000"/>
    <n v="101492910000000"/>
    <n v="-0.55745699999999998"/>
    <s v="2"/>
    <n v="26256910350.436607"/>
    <n v="2.8862295333097199E-3"/>
    <n v="22.54856440444399"/>
    <n v="0"/>
    <n v="0"/>
    <n v="22.54856440444399"/>
    <n v="0"/>
    <n v="46.180067127338987"/>
    <x v="121"/>
    <x v="439"/>
    <n v="0.74935177373320261"/>
    <s v="59RFIC"/>
    <x v="2"/>
    <x v="3"/>
    <n v="0.54272005928029676"/>
    <x v="1"/>
    <x v="1"/>
  </r>
  <r>
    <s v="31/12/2025"/>
    <s v="59"/>
    <x v="0"/>
    <s v="TDEMEX"/>
    <s v="59509428AQ26"/>
    <x v="199"/>
    <s v="US279158AQ26"/>
    <s v="ECOPET 51"/>
    <s v="5094"/>
    <s v="2"/>
    <n v="1000"/>
    <n v="82324329.692351699"/>
    <n v="24494727.511188"/>
    <n v="33564"/>
    <d v="2051-11-02T00:00:00"/>
    <n v="9437"/>
    <n v="3.3609"/>
    <x v="0"/>
    <n v="82329133.713797107"/>
    <n v="24483772.590792"/>
    <s v=""/>
    <n v="293045373000000"/>
    <n v="191552463000000"/>
    <n v="101492910000000"/>
    <n v="0.32638899999999998"/>
    <s v="2"/>
    <n v="26256910350.436607"/>
    <n v="3.1353395579911702E-3"/>
    <n v="24.494727511187985"/>
    <n v="0"/>
    <n v="0"/>
    <n v="24.494727511187985"/>
    <n v="0"/>
    <n v="37.815614808938975"/>
    <x v="121"/>
    <x v="440"/>
    <n v="0.81402820944124754"/>
    <s v="59RFIC"/>
    <x v="2"/>
    <x v="3"/>
    <n v="0.58956214366829718"/>
    <x v="1"/>
    <x v="1"/>
  </r>
  <r>
    <s v="31/12/2025"/>
    <s v="59"/>
    <x v="0"/>
    <s v="TDEMEX"/>
    <s v="59509428AV11"/>
    <x v="199"/>
    <s v="US279158AV11"/>
    <s v="ECOPET 2036"/>
    <s v="5094"/>
    <s v="2"/>
    <n v="1000"/>
    <n v="50188427.067311399"/>
    <n v="14933031.946"/>
    <n v="14000"/>
    <d v="2036-01-19T00:00:00"/>
    <n v="3671"/>
    <n v="3.3609"/>
    <x v="0"/>
    <n v="50248973.125411198"/>
    <n v="14943488.112"/>
    <s v=""/>
    <n v="293045373000000"/>
    <n v="191552463000000"/>
    <n v="101492910000000"/>
    <n v="-0.74686900000000001"/>
    <s v="2"/>
    <n v="26256910350.436607"/>
    <n v="1.9114368902309502E-3"/>
    <n v="14.933031946"/>
    <n v="0"/>
    <n v="0"/>
    <n v="14.933031946"/>
    <n v="0"/>
    <n v="27.285849300758994"/>
    <x v="121"/>
    <x v="441"/>
    <n v="0.49626635981066158"/>
    <s v="59RFIC"/>
    <x v="2"/>
    <x v="3"/>
    <n v="0.35942226022027446"/>
    <x v="1"/>
    <x v="1"/>
  </r>
  <r>
    <s v="31/12/2025"/>
    <s v="59"/>
    <x v="0"/>
    <s v="TDEMEX"/>
    <s v="59509428AW93"/>
    <x v="199"/>
    <s v="US279158AW93"/>
    <s v="ECOPET32"/>
    <s v="5094"/>
    <s v="2"/>
    <n v="1000"/>
    <n v="50588598.200872302"/>
    <n v="15052098.604800001"/>
    <n v="14200"/>
    <d v="2032-02-01T00:00:00"/>
    <n v="2223"/>
    <n v="3.3609"/>
    <x v="0"/>
    <n v="50553996.628649801"/>
    <n v="15034198.7238"/>
    <s v=""/>
    <n v="293045373000000"/>
    <n v="191552463000000"/>
    <n v="101492910000000"/>
    <n v="1.2605550000000001"/>
    <s v="2"/>
    <n v="26256910350.436607"/>
    <n v="1.9266774927321599E-3"/>
    <n v="15.052098604799996"/>
    <n v="0"/>
    <n v="0"/>
    <n v="15.052098604799996"/>
    <n v="0"/>
    <n v="21.697282136735996"/>
    <x v="121"/>
    <x v="442"/>
    <n v="0.50022327743805062"/>
    <s v="59RFIC"/>
    <x v="2"/>
    <x v="3"/>
    <n v="0.3622880685690093"/>
    <x v="1"/>
    <x v="1"/>
  </r>
  <r>
    <s v="31/12/2025"/>
    <s v="59"/>
    <x v="1"/>
    <s v="TDEMEX"/>
    <s v="59509428AW93"/>
    <x v="199"/>
    <s v="US279158AW93"/>
    <s v="ECOPET32"/>
    <s v="5094"/>
    <s v="2"/>
    <n v="1000"/>
    <n v="22333797.332483701"/>
    <n v="6645183.5319360001"/>
    <n v="6269"/>
    <d v="2032-02-01T00:00:00"/>
    <n v="2223"/>
    <n v="3.3609"/>
    <x v="0"/>
    <n v="22318521.469366599"/>
    <n v="6637281.1126410002"/>
    <s v=""/>
    <n v="293045373000000"/>
    <n v="191552463000000"/>
    <n v="101492910000000"/>
    <n v="1.2605550000000001"/>
    <s v="2"/>
    <n v="7679510866.0565634"/>
    <n v="2.9082317509568326E-3"/>
    <n v="6.6451835319360004"/>
    <n v="0"/>
    <n v="6.6451835319360004"/>
    <n v="0"/>
    <n v="0"/>
    <n v="21.697282136735996"/>
    <x v="121"/>
    <x v="443"/>
    <n v="0.75506420950092246"/>
    <s v="59RFIC"/>
    <x v="2"/>
    <x v="3"/>
    <n v="0.15994252829993802"/>
    <x v="1"/>
    <x v="1"/>
  </r>
  <r>
    <s v="31/12/2025"/>
    <s v="59"/>
    <x v="1"/>
    <s v="TDEMEX"/>
    <s v="59509428AV11"/>
    <x v="199"/>
    <s v="US279158AV11"/>
    <s v="ECOPET 2036"/>
    <s v="5094"/>
    <s v="2"/>
    <n v="1000"/>
    <n v="41516583.847609498"/>
    <n v="12352817.354759"/>
    <n v="11581"/>
    <d v="2036-01-19T00:00:00"/>
    <n v="3671"/>
    <n v="3.3609"/>
    <x v="0"/>
    <n v="41566668.411813296"/>
    <n v="12361466.844648"/>
    <s v=""/>
    <n v="293045373000000"/>
    <n v="191552463000000"/>
    <n v="101492910000000"/>
    <n v="-0.74686900000000001"/>
    <s v="2"/>
    <n v="7679510866.0565634"/>
    <n v="5.4061495024524007E-3"/>
    <n v="12.352817354758994"/>
    <n v="0"/>
    <n v="12.352817354758994"/>
    <n v="0"/>
    <n v="0"/>
    <n v="27.285849300758994"/>
    <x v="121"/>
    <x v="444"/>
    <n v="1.4035985953217167"/>
    <s v="59RFIC"/>
    <x v="2"/>
    <x v="3"/>
    <n v="0.29731922825792834"/>
    <x v="1"/>
    <x v="1"/>
  </r>
  <r>
    <s v="31/12/2025"/>
    <s v="59"/>
    <x v="1"/>
    <s v="TDEMEX"/>
    <s v="59509428AS81"/>
    <x v="199"/>
    <s v="US279158AS81"/>
    <s v="ECOPET 8 7/8 01"/>
    <s v="5094"/>
    <s v="2"/>
    <n v="1000"/>
    <n v="31214596.801202599"/>
    <n v="9287570.8296000008"/>
    <n v="8400"/>
    <d v="2033-01-13T00:00:00"/>
    <n v="2570"/>
    <n v="3.3609"/>
    <x v="0"/>
    <n v="31334704.733176298"/>
    <n v="9318594.1632000003"/>
    <s v=""/>
    <n v="293045373000000"/>
    <n v="191552463000000"/>
    <n v="101492910000000"/>
    <n v="-3.693254"/>
    <s v="2"/>
    <n v="7679510866.0565634"/>
    <n v="4.0646595005381283E-3"/>
    <n v="9.2875708295999875"/>
    <n v="0"/>
    <n v="9.2875708295999875"/>
    <n v="0"/>
    <n v="0"/>
    <n v="10.393234023599987"/>
    <x v="121"/>
    <x v="445"/>
    <n v="1.0553075461247143"/>
    <s v="59RFIC"/>
    <x v="2"/>
    <x v="3"/>
    <n v="0.22354199144567458"/>
    <x v="1"/>
    <x v="1"/>
  </r>
  <r>
    <s v="31/12/2025"/>
    <s v="59"/>
    <x v="1"/>
    <s v="TDEMEX"/>
    <s v="59509428AQ26"/>
    <x v="199"/>
    <s v="US279158AQ26"/>
    <s v="ECOPET 51"/>
    <s v="5094"/>
    <s v="2"/>
    <n v="1000"/>
    <n v="44770170.119011298"/>
    <n v="13320887.297751"/>
    <n v="18253"/>
    <d v="2051-11-02T00:00:00"/>
    <n v="9437"/>
    <n v="3.3609"/>
    <x v="0"/>
    <n v="44772782.674232498"/>
    <n v="13314929.719334001"/>
    <s v=""/>
    <n v="293045373000000"/>
    <n v="191552463000000"/>
    <n v="101492910000000"/>
    <n v="0.32638899999999998"/>
    <s v="2"/>
    <n v="7679510866.0565634"/>
    <n v="5.8298205315257048E-3"/>
    <n v="13.320887297750989"/>
    <n v="0"/>
    <n v="13.320887297750989"/>
    <n v="0"/>
    <n v="0"/>
    <n v="37.815614808938975"/>
    <x v="121"/>
    <x v="446"/>
    <n v="1.5135963046000187"/>
    <s v="59RFIC"/>
    <x v="2"/>
    <x v="3"/>
    <n v="0.32061964629893414"/>
    <x v="1"/>
    <x v="1"/>
  </r>
  <r>
    <s v="31/12/2025"/>
    <s v="59"/>
    <x v="1"/>
    <s v="TDEMEX"/>
    <s v="59509428AE95"/>
    <x v="199"/>
    <s v="US279158AE95"/>
    <s v="ECOPET 2043"/>
    <s v="5094"/>
    <s v="2"/>
    <n v="1000"/>
    <n v="3787689.4897924"/>
    <n v="1126986.6672"/>
    <n v="1200"/>
    <d v="2043-09-18T00:00:00"/>
    <n v="6470"/>
    <n v="3.3609"/>
    <x v="0"/>
    <n v="3792592.4736549002"/>
    <n v="1127874.9996"/>
    <s v=""/>
    <n v="293045373000000"/>
    <n v="191552463000000"/>
    <n v="101492910000000"/>
    <n v="-0.74027699999999996"/>
    <s v="2"/>
    <n v="7679510866.0565634"/>
    <n v="4.9322014850372662E-4"/>
    <n v="1.1269866671999762"/>
    <n v="0"/>
    <n v="1.1269866671999762"/>
    <n v="0"/>
    <n v="0"/>
    <n v="1.1269866671999762"/>
    <x v="121"/>
    <x v="447"/>
    <n v="0.12805474715602255"/>
    <s v="59RFIC"/>
    <x v="2"/>
    <x v="3"/>
    <n v="2.712537525051175E-2"/>
    <x v="1"/>
    <x v="1"/>
  </r>
  <r>
    <s v="31/12/2025"/>
    <s v="59"/>
    <x v="1"/>
    <s v="TDEMEX"/>
    <s v="59509428AJ82"/>
    <x v="199"/>
    <s v="US279158AJ82"/>
    <s v="ECOPET 45"/>
    <s v="5094"/>
    <s v="2"/>
    <n v="1000"/>
    <n v="79423117.501377806"/>
    <n v="23631502.722895"/>
    <n v="31445"/>
    <d v="2045-05-28T00:00:00"/>
    <n v="7088"/>
    <n v="3.3609"/>
    <x v="0"/>
    <n v="79522234.862845004"/>
    <n v="23649031.95826"/>
    <s v=""/>
    <n v="293045373000000"/>
    <n v="191552463000000"/>
    <n v="101492910000000"/>
    <n v="-0.55745699999999998"/>
    <s v="2"/>
    <n v="7679510866.0565634"/>
    <n v="1.0342210446296518E-2"/>
    <n v="23.631502722895"/>
    <n v="0"/>
    <n v="23.631502722895"/>
    <n v="0"/>
    <n v="0"/>
    <n v="46.180067127338987"/>
    <x v="121"/>
    <x v="448"/>
    <n v="2.6851480981719651"/>
    <s v="59RFIC"/>
    <x v="2"/>
    <x v="3"/>
    <n v="0.56878523743730636"/>
    <x v="1"/>
    <x v="1"/>
  </r>
  <r>
    <s v="31/12/2025"/>
    <s v="59"/>
    <x v="1"/>
    <s v="TDEMEX"/>
    <s v="595132FRAZ03"/>
    <x v="200"/>
    <s v="USP9379RAZ03"/>
    <s v="EEPPME8 3/8 11/"/>
    <s v="5132"/>
    <s v="F"/>
    <n v="1000000"/>
    <n v="59781546.141988501"/>
    <n v="67245833680.527"/>
    <n v="71529"/>
    <d v="2027-11-08T00:00:00"/>
    <n v="677"/>
    <n v="8.8900000000000003E-4"/>
    <x v="0"/>
    <n v="59842067.392300896"/>
    <n v="67245833680.527"/>
    <s v=""/>
    <n v="75144776000000"/>
    <n v="44883876000000"/>
    <n v="30260899999999.996"/>
    <n v="0"/>
    <s v="F"/>
    <n v="7679510866.0565634"/>
    <n v="7.7845512799809844E-3"/>
    <n v="17.787362355913146"/>
    <n v="0"/>
    <n v="17.787362355913146"/>
    <n v="0"/>
    <n v="0"/>
    <n v="45.69946374523937"/>
    <x v="122"/>
    <x v="449"/>
    <n v="0.25400990826577952"/>
    <s v="59RFIC"/>
    <x v="2"/>
    <x v="3"/>
    <n v="5.3806002761165789E-2"/>
    <x v="1"/>
    <x v="1"/>
  </r>
  <r>
    <s v="31/12/2025"/>
    <s v="59"/>
    <x v="0"/>
    <s v="TDEMEX"/>
    <s v="595132FRAZ03"/>
    <x v="200"/>
    <s v="USP9379RAZ03"/>
    <s v="EEPPME8 3/8 11/"/>
    <s v="5132"/>
    <s v="F"/>
    <n v="1000000"/>
    <n v="93809781.559386507"/>
    <n v="105522813902.57201"/>
    <n v="112244"/>
    <d v="2027-11-08T00:00:00"/>
    <n v="677"/>
    <n v="8.8900000000000003E-4"/>
    <x v="0"/>
    <n v="93904752.091898799"/>
    <n v="105522813902.57201"/>
    <s v=""/>
    <n v="75144776000000"/>
    <n v="44883876000000"/>
    <n v="30260899999999.996"/>
    <n v="0"/>
    <s v="F"/>
    <n v="26256910350.436607"/>
    <n v="3.5727654285046761E-3"/>
    <n v="27.912101389326224"/>
    <n v="0"/>
    <n v="0"/>
    <n v="27.912101389326224"/>
    <n v="0"/>
    <n v="45.69946374523937"/>
    <x v="122"/>
    <x v="450"/>
    <n v="0.11657933593210759"/>
    <s v="59RFIC"/>
    <x v="2"/>
    <x v="3"/>
    <n v="8.4432900976167624E-2"/>
    <x v="1"/>
    <x v="1"/>
  </r>
  <r>
    <s v="31/12/2025"/>
    <s v="60"/>
    <x v="1"/>
    <s v="DPZ"/>
    <s v="6000032AX864"/>
    <x v="201"/>
    <s v="1"/>
    <s v="DPZDOL360"/>
    <s v="0003"/>
    <s v="2"/>
    <n v="1"/>
    <n v="5041350"/>
    <n v="1500000"/>
    <n v="0"/>
    <d v="2026-01-05T00:00:00"/>
    <n v="5"/>
    <n v="3.3609"/>
    <x v="0"/>
    <m/>
    <m/>
    <s v="GFIE"/>
    <n v="22149047000"/>
    <n v="20355021000"/>
    <n v="1794026000"/>
    <n v="0"/>
    <s v="2"/>
    <n v="7679510866.0565634"/>
    <n v="6.564675912215667E-4"/>
    <n v="1.5"/>
    <n v="0"/>
    <n v="1.5"/>
    <n v="0"/>
    <n v="0"/>
    <n v="1.5"/>
    <x v="27"/>
    <x v="95"/>
    <n v="0"/>
    <n v="0"/>
    <x v="5"/>
    <x v="10"/>
    <n v="0"/>
    <x v="5"/>
    <x v="3"/>
  </r>
  <r>
    <s v="31/12/2025"/>
    <s v="60"/>
    <x v="0"/>
    <s v="DPZ"/>
    <s v="6000032AX863"/>
    <x v="201"/>
    <s v="1"/>
    <s v="DPZDOL360"/>
    <s v="0003"/>
    <s v="2"/>
    <n v="1"/>
    <n v="52093950"/>
    <n v="15500000"/>
    <n v="0"/>
    <d v="2026-01-05T00:00:00"/>
    <n v="5"/>
    <n v="3.3609"/>
    <x v="0"/>
    <m/>
    <m/>
    <s v="GFIE"/>
    <n v="22149047000"/>
    <n v="20355021000"/>
    <n v="1794026000"/>
    <n v="0"/>
    <s v="2"/>
    <n v="26256910350.436607"/>
    <n v="1.9840091352992628E-3"/>
    <n v="15.5"/>
    <n v="0"/>
    <n v="0"/>
    <n v="15.5"/>
    <n v="0"/>
    <n v="15.5"/>
    <x v="27"/>
    <x v="95"/>
    <n v="0"/>
    <n v="0"/>
    <x v="5"/>
    <x v="10"/>
    <n v="0"/>
    <x v="5"/>
    <x v="3"/>
  </r>
  <r>
    <s v="31/12/2025"/>
    <s v="60"/>
    <x v="1"/>
    <s v="DPZ"/>
    <s v="6000031AX831"/>
    <x v="201"/>
    <s v="1"/>
    <s v="DPZNSOL360"/>
    <s v="0003"/>
    <s v="1"/>
    <n v="1"/>
    <n v="11001393.336999999"/>
    <n v="11001393.336999999"/>
    <n v="0"/>
    <d v="2026-01-05T00:00:00"/>
    <n v="5"/>
    <n v="1"/>
    <x v="0"/>
    <n v="11000000"/>
    <n v="11000000"/>
    <s v="GFAL"/>
    <n v="4565854000"/>
    <n v="3638173000"/>
    <n v="927681000"/>
    <n v="0"/>
    <s v="1"/>
    <n v="7679510866.0565634"/>
    <n v="1.4325643297968568E-3"/>
    <n v="3.2733474179535245"/>
    <n v="0"/>
    <n v="3.2733474179535245"/>
    <n v="0"/>
    <n v="0"/>
    <n v="3.2733474179535245"/>
    <x v="27"/>
    <x v="95"/>
    <n v="0"/>
    <n v="0"/>
    <x v="5"/>
    <x v="10"/>
    <n v="0"/>
    <x v="5"/>
    <x v="3"/>
  </r>
  <r>
    <s v="31/12/2025"/>
    <s v="60"/>
    <x v="1"/>
    <s v="DPZ"/>
    <s v="6000091AX829"/>
    <x v="201"/>
    <s v="1"/>
    <s v="DPZNSOL360"/>
    <s v="0009"/>
    <s v="1"/>
    <n v="1"/>
    <n v="26002166.658"/>
    <n v="26002166.658"/>
    <n v="0"/>
    <d v="2026-01-05T00:00:00"/>
    <n v="5"/>
    <n v="1"/>
    <x v="0"/>
    <n v="26000000"/>
    <n v="26000000"/>
    <s v="GFAL"/>
    <n v="4565854000"/>
    <n v="3638173000"/>
    <n v="927681000"/>
    <n v="0"/>
    <s v="1"/>
    <n v="7679510866.0565634"/>
    <n v="3.3859144301663239E-3"/>
    <n v="7.736667755065608"/>
    <n v="0"/>
    <n v="7.736667755065608"/>
    <n v="0"/>
    <n v="0"/>
    <n v="7.736667755065608"/>
    <x v="27"/>
    <x v="95"/>
    <n v="0"/>
    <n v="0"/>
    <x v="5"/>
    <x v="10"/>
    <n v="0"/>
    <x v="5"/>
    <x v="3"/>
  </r>
  <r>
    <s v="31/12/2025"/>
    <s v="60"/>
    <x v="0"/>
    <s v="DPZ"/>
    <s v="6000871AX862"/>
    <x v="201"/>
    <s v="1"/>
    <s v="DPZNSOL360"/>
    <s v="0087"/>
    <s v="1"/>
    <n v="1"/>
    <n v="23500000"/>
    <n v="23500000"/>
    <n v="0"/>
    <d v="2026-01-05T00:00:00"/>
    <n v="5"/>
    <n v="1"/>
    <x v="0"/>
    <m/>
    <m/>
    <s v="GFAL"/>
    <n v="4565854000"/>
    <n v="3638173000"/>
    <n v="927681000"/>
    <n v="0"/>
    <s v="1"/>
    <n v="26256910350.436607"/>
    <n v="8.9500248454057866E-4"/>
    <n v="6.9921747151060725"/>
    <n v="0"/>
    <n v="0"/>
    <n v="6.9921747151060725"/>
    <n v="0"/>
    <n v="6.9921747151060725"/>
    <x v="27"/>
    <x v="95"/>
    <n v="0"/>
    <n v="0"/>
    <x v="5"/>
    <x v="10"/>
    <n v="0"/>
    <x v="5"/>
    <x v="3"/>
  </r>
  <r>
    <s v="31/12/2025"/>
    <s v="60"/>
    <x v="2"/>
    <s v="DPZ"/>
    <s v="6000871AX861"/>
    <x v="34"/>
    <s v="1"/>
    <s v="DPZNSOL360"/>
    <s v="0087"/>
    <s v="1"/>
    <n v="1"/>
    <n v="2500000"/>
    <n v="2500000"/>
    <n v="0"/>
    <d v="2026-01-05T00:00:00"/>
    <n v="5"/>
    <n v="1"/>
    <x v="0"/>
    <m/>
    <m/>
    <s v="GFAL"/>
    <n v="4565854000"/>
    <n v="3638173000"/>
    <n v="927681000"/>
    <n v="0"/>
    <s v="1"/>
    <n v="2847839359.3764262"/>
    <n v="8.7785850412131731E-4"/>
    <n v="0.74384837394745451"/>
    <n v="0.74384837394745451"/>
    <n v="0"/>
    <n v="0"/>
    <n v="0"/>
    <n v="0"/>
    <x v="27"/>
    <x v="95"/>
    <n v="0"/>
    <e v="#N/A"/>
    <x v="3"/>
    <x v="5"/>
    <n v="0"/>
    <x v="3"/>
    <x v="3"/>
  </r>
  <r>
    <s v="31/12/2025"/>
    <s v="60"/>
    <x v="2"/>
    <s v="DPZ"/>
    <s v="6000091AX860"/>
    <x v="34"/>
    <s v="1"/>
    <s v="DPZNSOL360"/>
    <s v="0009"/>
    <s v="1"/>
    <n v="1"/>
    <n v="17000000"/>
    <n v="17000000"/>
    <n v="0"/>
    <d v="2026-01-05T00:00:00"/>
    <n v="5"/>
    <n v="1"/>
    <x v="0"/>
    <m/>
    <m/>
    <s v="GFAL"/>
    <n v="4565854000"/>
    <n v="3638173000"/>
    <n v="927681000"/>
    <n v="0"/>
    <s v="1"/>
    <n v="2847839359.3764262"/>
    <n v="5.9694378280249578E-3"/>
    <n v="5.0581689428426913"/>
    <n v="5.0581689428426913"/>
    <n v="0"/>
    <n v="0"/>
    <n v="0"/>
    <n v="0"/>
    <x v="27"/>
    <x v="95"/>
    <n v="0"/>
    <e v="#N/A"/>
    <x v="3"/>
    <x v="5"/>
    <n v="0"/>
    <x v="3"/>
    <x v="3"/>
  </r>
  <r>
    <s v="31/12/2025"/>
    <s v="60"/>
    <x v="0"/>
    <s v="DPZ"/>
    <s v="6000031AX832"/>
    <x v="201"/>
    <s v="1"/>
    <s v="DPZNSOL360"/>
    <s v="0003"/>
    <s v="1"/>
    <n v="1"/>
    <n v="255532363.41850001"/>
    <n v="255532363.41850001"/>
    <n v="0"/>
    <d v="2026-01-05T00:00:00"/>
    <n v="5"/>
    <n v="1"/>
    <x v="0"/>
    <n v="255500000"/>
    <n v="255500000"/>
    <s v="GFAL"/>
    <n v="4565854000"/>
    <n v="3638173000"/>
    <n v="927681000"/>
    <n v="0"/>
    <s v="1"/>
    <n v="26256910350.436607"/>
    <n v="9.7320042612801527E-3"/>
    <n v="76.030933207920512"/>
    <n v="0"/>
    <n v="0"/>
    <n v="76.030933207920512"/>
    <n v="0"/>
    <n v="76.030933207920512"/>
    <x v="27"/>
    <x v="95"/>
    <n v="0"/>
    <n v="0"/>
    <x v="5"/>
    <x v="10"/>
    <n v="0"/>
    <x v="5"/>
    <x v="3"/>
  </r>
  <r>
    <s v="31/12/2025"/>
    <s v="60"/>
    <x v="3"/>
    <s v="DPZ"/>
    <s v="6000031AX833"/>
    <x v="201"/>
    <s v="1"/>
    <s v="DPZNSOL360"/>
    <s v="0003"/>
    <s v="1"/>
    <n v="1"/>
    <n v="500063.33350000001"/>
    <n v="500063.33350000001"/>
    <n v="0"/>
    <d v="2026-01-05T00:00:00"/>
    <n v="5"/>
    <n v="1"/>
    <x v="0"/>
    <n v="500000"/>
    <n v="500000"/>
    <s v="GFAL"/>
    <n v="4565854000"/>
    <n v="3638173000"/>
    <n v="927681000"/>
    <n v="0"/>
    <s v="1"/>
    <n v="3164069580.822104"/>
    <n v="1.5804435418581127E-4"/>
    <n v="0.14878851899788748"/>
    <n v="0"/>
    <n v="0"/>
    <n v="0"/>
    <n v="0.14878851899788748"/>
    <n v="0.14878851899788748"/>
    <x v="27"/>
    <x v="95"/>
    <n v="0"/>
    <n v="0"/>
    <x v="5"/>
    <x v="10"/>
    <n v="0"/>
    <x v="5"/>
    <x v="3"/>
  </r>
  <r>
    <s v="31/12/2025"/>
    <s v="60"/>
    <x v="2"/>
    <s v="DPZ"/>
    <s v="6000491AR358"/>
    <x v="201"/>
    <s v="1"/>
    <s v="DPZNSOL360"/>
    <s v="0049"/>
    <s v="1"/>
    <n v="1"/>
    <n v="3132237.855"/>
    <n v="3132237.855"/>
    <n v="0"/>
    <d v="2026-01-05T00:00:00"/>
    <n v="5"/>
    <n v="1"/>
    <x v="0"/>
    <n v="3131865.3539999998"/>
    <n v="3131865.3539999998"/>
    <s v="GFAL"/>
    <n v="4565854000"/>
    <n v="3638173000"/>
    <n v="927681000"/>
    <n v="0"/>
    <s v="1"/>
    <n v="2847839359.3764262"/>
    <n v="1.0998646551769855E-3"/>
    <n v="0.93196401410336516"/>
    <n v="0.93196401410336516"/>
    <n v="0"/>
    <n v="0"/>
    <n v="0"/>
    <n v="0"/>
    <x v="27"/>
    <x v="95"/>
    <n v="0"/>
    <n v="0"/>
    <x v="5"/>
    <x v="10"/>
    <n v="0"/>
    <x v="5"/>
    <x v="3"/>
  </r>
  <r>
    <s v="31/12/2025"/>
    <s v="60"/>
    <x v="2"/>
    <s v="DPZ"/>
    <s v="6000021AR357"/>
    <x v="201"/>
    <s v="1"/>
    <s v="DPZNSOL360"/>
    <s v="0002"/>
    <s v="1"/>
    <n v="1"/>
    <n v="64726796.890000001"/>
    <n v="64726796.890000001"/>
    <n v="0"/>
    <d v="2026-01-05T00:00:00"/>
    <n v="5"/>
    <n v="1"/>
    <x v="0"/>
    <n v="64719115.772"/>
    <n v="64719115.772"/>
    <s v="GFAL"/>
    <n v="4565854000"/>
    <n v="3638173000"/>
    <n v="927681000"/>
    <n v="0"/>
    <s v="1"/>
    <n v="2847839359.3764262"/>
    <n v="2.2728387637767893E-2"/>
    <n v="19.258769046981467"/>
    <n v="19.258769046981467"/>
    <n v="0"/>
    <n v="0"/>
    <n v="0"/>
    <n v="0"/>
    <x v="27"/>
    <x v="95"/>
    <n v="0"/>
    <n v="0"/>
    <x v="5"/>
    <x v="10"/>
    <n v="0"/>
    <x v="5"/>
    <x v="3"/>
  </r>
  <r>
    <s v="31/12/2025"/>
    <s v="60"/>
    <x v="2"/>
    <s v="DPZ"/>
    <s v="6000021AR786"/>
    <x v="201"/>
    <s v="1"/>
    <s v="DPZNSOL360"/>
    <s v="0002"/>
    <s v="1"/>
    <n v="1"/>
    <n v="20836695.18"/>
    <n v="20836695.18"/>
    <n v="0"/>
    <d v="2026-01-29T00:00:00"/>
    <n v="29"/>
    <n v="1"/>
    <x v="0"/>
    <n v="20834167.399999999"/>
    <n v="20834167.399999999"/>
    <s v="GFAL"/>
    <n v="4565854000"/>
    <n v="3638173000"/>
    <n v="927681000"/>
    <n v="0"/>
    <s v="1"/>
    <n v="2847839359.3764262"/>
    <n v="7.3166680246186649E-3"/>
    <n v="6.1997367312327052"/>
    <n v="6.1997367312327052"/>
    <n v="0"/>
    <n v="0"/>
    <n v="0"/>
    <n v="0"/>
    <x v="27"/>
    <x v="95"/>
    <n v="0"/>
    <n v="0"/>
    <x v="5"/>
    <x v="10"/>
    <n v="0"/>
    <x v="5"/>
    <x v="3"/>
  </r>
  <r>
    <s v="31/12/2025"/>
    <s v="60"/>
    <x v="2"/>
    <s v="DPZ"/>
    <s v="6000021AR876"/>
    <x v="201"/>
    <s v="1"/>
    <s v="DPZNSOL360"/>
    <s v="0002"/>
    <s v="1"/>
    <n v="1"/>
    <n v="41660427.520000003"/>
    <n v="41660427.520000003"/>
    <n v="0"/>
    <d v="2026-02-02T00:00:00"/>
    <n v="33"/>
    <n v="1"/>
    <x v="0"/>
    <n v="41655349.759999998"/>
    <n v="41655349.759999998"/>
    <s v="GFAL"/>
    <n v="4565854000"/>
    <n v="3638173000"/>
    <n v="927681000"/>
    <n v="0"/>
    <s v="1"/>
    <n v="2847839359.3764262"/>
    <n v="1.4628784233504706E-2"/>
    <n v="12.395616507483115"/>
    <n v="12.395616507483115"/>
    <n v="0"/>
    <n v="0"/>
    <n v="0"/>
    <n v="0"/>
    <x v="27"/>
    <x v="95"/>
    <n v="0"/>
    <n v="0"/>
    <x v="5"/>
    <x v="10"/>
    <n v="0"/>
    <x v="5"/>
    <x v="3"/>
  </r>
  <r>
    <s v="31/12/2025"/>
    <s v="60"/>
    <x v="2"/>
    <s v="DPZ"/>
    <s v="6000111AR903"/>
    <x v="201"/>
    <s v="1"/>
    <s v="DPZNSOL360"/>
    <s v="0011"/>
    <s v="1"/>
    <n v="1"/>
    <n v="46802248.380000003"/>
    <n v="46802248.380000003"/>
    <n v="0"/>
    <d v="2026-02-05T00:00:00"/>
    <n v="36"/>
    <n v="1"/>
    <x v="0"/>
    <n v="46796685.884999998"/>
    <n v="46796685.884999998"/>
    <s v="GFAL"/>
    <n v="4565854000"/>
    <n v="3638173000"/>
    <n v="927681000"/>
    <n v="0"/>
    <s v="1"/>
    <n v="2847839359.3764262"/>
    <n v="1.6434300700952458E-2"/>
    <n v="13.925510541819158"/>
    <n v="13.925510541819158"/>
    <n v="0"/>
    <n v="0"/>
    <n v="0"/>
    <n v="0"/>
    <x v="27"/>
    <x v="95"/>
    <n v="0"/>
    <n v="0"/>
    <x v="5"/>
    <x v="10"/>
    <n v="0"/>
    <x v="5"/>
    <x v="3"/>
  </r>
  <r>
    <s v="31/12/2025"/>
    <s v="60"/>
    <x v="2"/>
    <s v="DPZ"/>
    <s v="6000111AR956"/>
    <x v="201"/>
    <s v="1"/>
    <s v="DPZNSOL360"/>
    <s v="0011"/>
    <s v="1"/>
    <n v="1"/>
    <n v="29121987.103999998"/>
    <n v="29121987.103999998"/>
    <n v="0"/>
    <d v="2026-02-06T00:00:00"/>
    <n v="37"/>
    <n v="1"/>
    <x v="0"/>
    <n v="29118502.671999998"/>
    <n v="29118502.671999998"/>
    <s v="GFAL"/>
    <n v="4565854000"/>
    <n v="3638173000"/>
    <n v="927681000"/>
    <n v="0"/>
    <s v="1"/>
    <n v="2847839359.3764262"/>
    <n v="1.0225993614463092E-2"/>
    <n v="8.6649371013716561"/>
    <n v="8.6649371013716561"/>
    <n v="0"/>
    <n v="0"/>
    <n v="0"/>
    <n v="0"/>
    <x v="27"/>
    <x v="95"/>
    <n v="0"/>
    <n v="0"/>
    <x v="5"/>
    <x v="10"/>
    <n v="0"/>
    <x v="5"/>
    <x v="3"/>
  </r>
  <r>
    <s v="31/12/2025"/>
    <s v="60"/>
    <x v="2"/>
    <s v="DPZ"/>
    <s v="6000031AX830"/>
    <x v="34"/>
    <s v="1"/>
    <s v="DPZNSOL360"/>
    <s v="0003"/>
    <s v="1"/>
    <n v="1"/>
    <n v="81510323.360499993"/>
    <n v="81510323.360499993"/>
    <n v="0"/>
    <d v="2026-01-05T00:00:00"/>
    <n v="5"/>
    <n v="1"/>
    <x v="0"/>
    <n v="81500000"/>
    <n v="81500000"/>
    <s v="GFAL"/>
    <n v="4565854000"/>
    <n v="3638173000"/>
    <n v="927681000"/>
    <n v="0"/>
    <s v="1"/>
    <n v="2847839359.3764262"/>
    <n v="2.8621812214277356E-2"/>
    <n v="24.252528596655655"/>
    <n v="24.252528596655655"/>
    <n v="0"/>
    <n v="0"/>
    <n v="0"/>
    <n v="0"/>
    <x v="27"/>
    <x v="95"/>
    <n v="0"/>
    <e v="#N/A"/>
    <x v="3"/>
    <x v="5"/>
    <n v="0"/>
    <x v="3"/>
    <x v="3"/>
  </r>
  <r>
    <s v="31/12/2025"/>
    <s v="60"/>
    <x v="2"/>
    <s v="DPZ"/>
    <s v="6000031AX799"/>
    <x v="34"/>
    <s v="1"/>
    <s v="DPZNSOL360"/>
    <s v="0003"/>
    <s v="1"/>
    <n v="1"/>
    <n v="25006194.449999999"/>
    <n v="25006194.449999999"/>
    <n v="0"/>
    <d v="2026-12-23T00:00:00"/>
    <n v="357"/>
    <n v="1"/>
    <x v="0"/>
    <n v="25003097.225000001"/>
    <n v="25003097.225000001"/>
    <s v="GFAL"/>
    <n v="4565854000"/>
    <n v="3638173000"/>
    <n v="927681000"/>
    <n v="0"/>
    <s v="1"/>
    <n v="2847839359.3764262"/>
    <n v="8.7807601814575142E-3"/>
    <n v="7.4403268320985445"/>
    <n v="7.4403268320985445"/>
    <n v="0"/>
    <n v="0"/>
    <n v="0"/>
    <n v="0"/>
    <x v="27"/>
    <x v="95"/>
    <n v="0"/>
    <e v="#N/A"/>
    <x v="3"/>
    <x v="5"/>
    <n v="0"/>
    <x v="3"/>
    <x v="3"/>
  </r>
  <r>
    <s v="31/12/2025"/>
    <s v="60"/>
    <x v="2"/>
    <s v="DPZ"/>
    <s v="6000031AX800"/>
    <x v="34"/>
    <s v="1"/>
    <s v="DPZNSOL360"/>
    <s v="0003"/>
    <s v="1"/>
    <n v="1"/>
    <n v="25006194.449999999"/>
    <n v="25006194.449999999"/>
    <n v="0"/>
    <d v="2026-12-21T00:00:00"/>
    <n v="355"/>
    <n v="1"/>
    <x v="0"/>
    <n v="25003097.225000001"/>
    <n v="25003097.225000001"/>
    <s v="GFAL"/>
    <n v="4565854000"/>
    <n v="3638173000"/>
    <n v="927681000"/>
    <n v="0"/>
    <s v="1"/>
    <n v="2847839359.3764262"/>
    <n v="8.7807601814575142E-3"/>
    <n v="7.4403268320985445"/>
    <n v="7.4403268320985445"/>
    <n v="0"/>
    <n v="0"/>
    <n v="0"/>
    <n v="0"/>
    <x v="27"/>
    <x v="95"/>
    <n v="0"/>
    <e v="#N/A"/>
    <x v="3"/>
    <x v="5"/>
    <n v="0"/>
    <x v="3"/>
    <x v="3"/>
  </r>
  <r>
    <s v="31/12/2025"/>
    <s v="60"/>
    <x v="2"/>
    <s v="DPZ"/>
    <s v="6000481AX409"/>
    <x v="34"/>
    <s v="1"/>
    <s v="DPZNSOL360"/>
    <s v="0048"/>
    <s v="1"/>
    <n v="1"/>
    <n v="10023802.82"/>
    <n v="10023802.82"/>
    <n v="0"/>
    <d v="2026-11-24T00:00:00"/>
    <n v="328"/>
    <n v="1"/>
    <x v="0"/>
    <n v="10022550.039999999"/>
    <n v="10022550.039999999"/>
    <s v="GFAL"/>
    <n v="4565854000"/>
    <n v="3638173000"/>
    <n v="927681000"/>
    <n v="0"/>
    <s v="1"/>
    <n v="2847839359.3764262"/>
    <n v="3.5197922196688967E-3"/>
    <n v="2.9824757713707637"/>
    <n v="2.9824757713707637"/>
    <n v="0"/>
    <n v="0"/>
    <n v="0"/>
    <n v="0"/>
    <x v="27"/>
    <x v="95"/>
    <n v="0"/>
    <e v="#N/A"/>
    <x v="3"/>
    <x v="5"/>
    <n v="0"/>
    <x v="3"/>
    <x v="3"/>
  </r>
  <r>
    <s v="31/12/2025"/>
    <s v="60"/>
    <x v="2"/>
    <s v="DPZ"/>
    <s v="6000481AX410"/>
    <x v="34"/>
    <s v="1"/>
    <s v="DPZNSOL360"/>
    <s v="0048"/>
    <s v="1"/>
    <n v="1"/>
    <n v="10023802.82"/>
    <n v="10023802.82"/>
    <n v="0"/>
    <d v="2026-11-17T00:00:00"/>
    <n v="321"/>
    <n v="1"/>
    <x v="0"/>
    <n v="10022550.039999999"/>
    <n v="10022550.039999999"/>
    <s v="GFAL"/>
    <n v="4565854000"/>
    <n v="3638173000"/>
    <n v="927681000"/>
    <n v="0"/>
    <s v="1"/>
    <n v="2847839359.3764262"/>
    <n v="3.5197922196688967E-3"/>
    <n v="2.9824757713707637"/>
    <n v="2.9824757713707637"/>
    <n v="0"/>
    <n v="0"/>
    <n v="0"/>
    <n v="0"/>
    <x v="27"/>
    <x v="95"/>
    <n v="0"/>
    <e v="#N/A"/>
    <x v="3"/>
    <x v="5"/>
    <n v="0"/>
    <x v="3"/>
    <x v="3"/>
  </r>
  <r>
    <s v="31/12/2025"/>
    <s v="60"/>
    <x v="2"/>
    <s v="DPZ"/>
    <s v="6000481AX411"/>
    <x v="34"/>
    <s v="1"/>
    <s v="DPZNSOL360"/>
    <s v="0048"/>
    <s v="1"/>
    <n v="1"/>
    <n v="30071408.460000001"/>
    <n v="30071408.460000001"/>
    <n v="0"/>
    <d v="2026-12-07T00:00:00"/>
    <n v="341"/>
    <n v="1"/>
    <x v="0"/>
    <n v="30067650.120000001"/>
    <n v="30067650.120000001"/>
    <s v="GFAL"/>
    <n v="4565854000"/>
    <n v="3638173000"/>
    <n v="927681000"/>
    <n v="0"/>
    <s v="1"/>
    <n v="2847839359.3764262"/>
    <n v="1.055937665900669E-2"/>
    <n v="8.9474273141122911"/>
    <n v="8.9474273141122911"/>
    <n v="0"/>
    <n v="0"/>
    <n v="0"/>
    <n v="0"/>
    <x v="27"/>
    <x v="95"/>
    <n v="0"/>
    <e v="#N/A"/>
    <x v="3"/>
    <x v="5"/>
    <n v="0"/>
    <x v="3"/>
    <x v="3"/>
  </r>
  <r>
    <s v="31/12/2025"/>
    <s v="60"/>
    <x v="2"/>
    <s v="DPZ"/>
    <s v="6000491AX456"/>
    <x v="34"/>
    <s v="1"/>
    <s v="DPZNSOL360"/>
    <s v="0049"/>
    <s v="1"/>
    <n v="1"/>
    <n v="20040355.52"/>
    <n v="20040355.52"/>
    <n v="0"/>
    <d v="2026-12-10T00:00:00"/>
    <n v="344"/>
    <n v="1"/>
    <x v="0"/>
    <n v="20037833.300000001"/>
    <n v="20037833.300000001"/>
    <s v="GFAL"/>
    <n v="4565854000"/>
    <n v="3638173000"/>
    <n v="927681000"/>
    <n v="0"/>
    <s v="1"/>
    <n v="2847839359.3764262"/>
    <n v="7.0370386075386329E-3"/>
    <n v="5.9627943467523581"/>
    <n v="5.9627943467523581"/>
    <n v="0"/>
    <n v="0"/>
    <n v="0"/>
    <n v="0"/>
    <x v="27"/>
    <x v="95"/>
    <n v="0"/>
    <e v="#N/A"/>
    <x v="3"/>
    <x v="5"/>
    <n v="0"/>
    <x v="3"/>
    <x v="3"/>
  </r>
  <r>
    <s v="31/12/2025"/>
    <s v="60"/>
    <x v="2"/>
    <s v="DPZ"/>
    <s v="6000481AX655"/>
    <x v="34"/>
    <s v="1"/>
    <s v="DPZNSOL360"/>
    <s v="0048"/>
    <s v="1"/>
    <n v="1"/>
    <n v="30033750"/>
    <n v="30033750"/>
    <n v="0"/>
    <d v="2026-12-17T00:00:00"/>
    <n v="351"/>
    <n v="1"/>
    <x v="0"/>
    <n v="30030000"/>
    <n v="30030000"/>
    <s v="GFAL"/>
    <n v="4565854000"/>
    <n v="3638173000"/>
    <n v="927681000"/>
    <n v="0"/>
    <s v="1"/>
    <n v="2847839359.3764262"/>
    <n v="1.0546153139261445E-2"/>
    <n v="8.9362224404177457"/>
    <n v="8.9362224404177457"/>
    <n v="0"/>
    <n v="0"/>
    <n v="0"/>
    <n v="0"/>
    <x v="27"/>
    <x v="95"/>
    <n v="0"/>
    <e v="#N/A"/>
    <x v="3"/>
    <x v="5"/>
    <n v="0"/>
    <x v="3"/>
    <x v="3"/>
  </r>
  <r>
    <s v="31/12/2025"/>
    <s v="60"/>
    <x v="2"/>
    <s v="DPZ"/>
    <s v="6000491AX656"/>
    <x v="34"/>
    <s v="1"/>
    <s v="DPZNSOL360"/>
    <s v="0049"/>
    <s v="1"/>
    <n v="1"/>
    <n v="25028437.524999999"/>
    <n v="25028437.524999999"/>
    <n v="0"/>
    <d v="2026-12-15T00:00:00"/>
    <n v="349"/>
    <n v="1"/>
    <x v="0"/>
    <n v="25025277.800000001"/>
    <n v="25025277.800000001"/>
    <s v="GFAL"/>
    <n v="4565854000"/>
    <n v="3638173000"/>
    <n v="927681000"/>
    <n v="0"/>
    <s v="1"/>
    <n v="2847839359.3764262"/>
    <n v="8.7885706904761371E-3"/>
    <n v="7.4469450221666813"/>
    <n v="7.4469450221666813"/>
    <n v="0"/>
    <n v="0"/>
    <n v="0"/>
    <n v="0"/>
    <x v="27"/>
    <x v="95"/>
    <n v="0"/>
    <e v="#N/A"/>
    <x v="3"/>
    <x v="5"/>
    <n v="0"/>
    <x v="3"/>
    <x v="3"/>
  </r>
  <r>
    <s v="31/12/2025"/>
    <s v="60"/>
    <x v="2"/>
    <s v="DPZ"/>
    <s v="6000031AX370"/>
    <x v="34"/>
    <s v="1"/>
    <s v="DPZNSOL360"/>
    <s v="0003"/>
    <s v="1"/>
    <n v="1"/>
    <n v="15036750"/>
    <n v="15036750"/>
    <n v="0"/>
    <d v="2026-11-24T00:00:00"/>
    <n v="328"/>
    <n v="1"/>
    <x v="0"/>
    <n v="15034912.5"/>
    <n v="15034912.5"/>
    <s v="GFAL"/>
    <n v="4565854000"/>
    <n v="3638173000"/>
    <n v="927681000"/>
    <n v="0"/>
    <s v="1"/>
    <n v="2847839359.3764262"/>
    <n v="5.2800555447384866E-3"/>
    <n v="4.474024814781755"/>
    <n v="4.474024814781755"/>
    <n v="0"/>
    <n v="0"/>
    <n v="0"/>
    <n v="0"/>
    <x v="27"/>
    <x v="95"/>
    <n v="0"/>
    <e v="#N/A"/>
    <x v="3"/>
    <x v="5"/>
    <n v="0"/>
    <x v="3"/>
    <x v="3"/>
  </r>
  <r>
    <s v="31/12/2025"/>
    <s v="60"/>
    <x v="2"/>
    <s v="DPZ"/>
    <s v="6000031AX371"/>
    <x v="34"/>
    <s v="1"/>
    <s v="DPZNSOL360"/>
    <s v="0003"/>
    <s v="1"/>
    <n v="1"/>
    <n v="15036750"/>
    <n v="15036750"/>
    <n v="0"/>
    <d v="2026-11-17T00:00:00"/>
    <n v="321"/>
    <n v="1"/>
    <x v="0"/>
    <n v="15034912.5"/>
    <n v="15034912.5"/>
    <s v="GFAL"/>
    <n v="4565854000"/>
    <n v="3638173000"/>
    <n v="927681000"/>
    <n v="0"/>
    <s v="1"/>
    <n v="2847839359.3764262"/>
    <n v="5.2800555447384866E-3"/>
    <n v="4.474024814781755"/>
    <n v="4.474024814781755"/>
    <n v="0"/>
    <n v="0"/>
    <n v="0"/>
    <n v="0"/>
    <x v="27"/>
    <x v="95"/>
    <n v="0"/>
    <e v="#N/A"/>
    <x v="3"/>
    <x v="5"/>
    <n v="0"/>
    <x v="3"/>
    <x v="3"/>
  </r>
  <r>
    <s v="31/12/2025"/>
    <s v="60"/>
    <x v="2"/>
    <s v="DPZ"/>
    <s v="6000031AX372"/>
    <x v="34"/>
    <s v="1"/>
    <s v="DPZNSOL360"/>
    <s v="0003"/>
    <s v="1"/>
    <n v="1"/>
    <n v="15036750"/>
    <n v="15036750"/>
    <n v="0"/>
    <d v="2026-11-02T00:00:00"/>
    <n v="306"/>
    <n v="1"/>
    <x v="0"/>
    <n v="15034912.5"/>
    <n v="15034912.5"/>
    <s v="GFAL"/>
    <n v="4565854000"/>
    <n v="3638173000"/>
    <n v="927681000"/>
    <n v="0"/>
    <s v="1"/>
    <n v="2847839359.3764262"/>
    <n v="5.2800555447384866E-3"/>
    <n v="4.474024814781755"/>
    <n v="4.474024814781755"/>
    <n v="0"/>
    <n v="0"/>
    <n v="0"/>
    <n v="0"/>
    <x v="27"/>
    <x v="95"/>
    <n v="0"/>
    <e v="#N/A"/>
    <x v="3"/>
    <x v="5"/>
    <n v="0"/>
    <x v="3"/>
    <x v="3"/>
  </r>
  <r>
    <s v="31/12/2025"/>
    <s v="60"/>
    <x v="2"/>
    <s v="DPZ"/>
    <s v="6000091AX373"/>
    <x v="34"/>
    <s v="1"/>
    <s v="DPZNSOL360"/>
    <s v="0009"/>
    <s v="1"/>
    <n v="1"/>
    <n v="25060416.5"/>
    <n v="25060416.5"/>
    <n v="0"/>
    <d v="2026-12-04T00:00:00"/>
    <n v="338"/>
    <n v="1"/>
    <x v="0"/>
    <n v="25057395.675000001"/>
    <n v="25057395.675000001"/>
    <s v="GFAL"/>
    <n v="4565854000"/>
    <n v="3638173000"/>
    <n v="927681000"/>
    <n v="0"/>
    <s v="1"/>
    <n v="2847839359.3764262"/>
    <n v="8.7997998965388714E-3"/>
    <n v="7.4564600255883837"/>
    <n v="7.4564600255883837"/>
    <n v="0"/>
    <n v="0"/>
    <n v="0"/>
    <n v="0"/>
    <x v="27"/>
    <x v="95"/>
    <n v="0"/>
    <e v="#N/A"/>
    <x v="3"/>
    <x v="5"/>
    <n v="0"/>
    <x v="3"/>
    <x v="3"/>
  </r>
  <r>
    <s v="31/12/2025"/>
    <s v="60"/>
    <x v="2"/>
    <s v="DPZ"/>
    <s v="6000481AX407"/>
    <x v="34"/>
    <s v="1"/>
    <s v="DPZNSOL360"/>
    <s v="0048"/>
    <s v="1"/>
    <n v="1"/>
    <n v="10023750"/>
    <n v="10023750"/>
    <n v="0"/>
    <d v="2026-11-02T00:00:00"/>
    <n v="306"/>
    <n v="1"/>
    <x v="0"/>
    <n v="10022500"/>
    <n v="10022500"/>
    <s v="GFAL"/>
    <n v="4565854000"/>
    <n v="3638173000"/>
    <n v="927681000"/>
    <n v="0"/>
    <s v="1"/>
    <n v="2847839359.3764262"/>
    <n v="3.5197736722744218E-3"/>
    <n v="2.9824600553423188"/>
    <n v="2.9824600553423188"/>
    <n v="0"/>
    <n v="0"/>
    <n v="0"/>
    <n v="0"/>
    <x v="27"/>
    <x v="95"/>
    <n v="0"/>
    <e v="#N/A"/>
    <x v="3"/>
    <x v="5"/>
    <n v="0"/>
    <x v="3"/>
    <x v="3"/>
  </r>
  <r>
    <s v="31/12/2025"/>
    <s v="60"/>
    <x v="2"/>
    <s v="DPZ"/>
    <s v="6000481AX408"/>
    <x v="34"/>
    <s v="1"/>
    <s v="DPZNSOL360"/>
    <s v="0048"/>
    <s v="1"/>
    <n v="1"/>
    <n v="10023750"/>
    <n v="10023750"/>
    <n v="0"/>
    <d v="2026-11-10T00:00:00"/>
    <n v="314"/>
    <n v="1"/>
    <x v="0"/>
    <n v="10022500"/>
    <n v="10022500"/>
    <s v="GFAL"/>
    <n v="4565854000"/>
    <n v="3638173000"/>
    <n v="927681000"/>
    <n v="0"/>
    <s v="1"/>
    <n v="2847839359.3764262"/>
    <n v="3.5197736722744218E-3"/>
    <n v="2.9824600553423188"/>
    <n v="2.9824600553423188"/>
    <n v="0"/>
    <n v="0"/>
    <n v="0"/>
    <n v="0"/>
    <x v="27"/>
    <x v="95"/>
    <n v="0"/>
    <e v="#N/A"/>
    <x v="3"/>
    <x v="5"/>
    <n v="0"/>
    <x v="3"/>
    <x v="3"/>
  </r>
  <r>
    <s v="31/12/2025"/>
    <s v="60"/>
    <x v="2"/>
    <s v="DPZ"/>
    <s v="6000091AW979"/>
    <x v="34"/>
    <s v="1"/>
    <s v="DPZNSOL360"/>
    <s v="0009"/>
    <s v="1"/>
    <n v="1"/>
    <n v="20092500"/>
    <n v="20092500"/>
    <n v="0"/>
    <d v="2026-10-29T00:00:00"/>
    <n v="302"/>
    <n v="1"/>
    <x v="0"/>
    <n v="20090000"/>
    <n v="20090000"/>
    <s v="GFAL"/>
    <n v="4565854000"/>
    <n v="3638173000"/>
    <n v="927681000"/>
    <n v="0"/>
    <s v="1"/>
    <n v="2847839359.3764262"/>
    <n v="7.055348797623027E-3"/>
    <n v="5.9783093814156922"/>
    <n v="5.9783093814156922"/>
    <n v="0"/>
    <n v="0"/>
    <n v="0"/>
    <n v="0"/>
    <x v="27"/>
    <x v="95"/>
    <n v="0"/>
    <e v="#N/A"/>
    <x v="3"/>
    <x v="5"/>
    <n v="0"/>
    <x v="3"/>
    <x v="3"/>
  </r>
  <r>
    <s v="31/12/2025"/>
    <s v="60"/>
    <x v="2"/>
    <s v="DPZ"/>
    <s v="6000091AW980"/>
    <x v="34"/>
    <s v="1"/>
    <s v="DPZNSOL360"/>
    <s v="0009"/>
    <s v="1"/>
    <n v="1"/>
    <n v="20092705.719999999"/>
    <n v="20092705.719999999"/>
    <n v="0"/>
    <d v="2026-11-05T00:00:00"/>
    <n v="309"/>
    <n v="1"/>
    <x v="0"/>
    <n v="20090200.16"/>
    <n v="20090200.16"/>
    <s v="GFAL"/>
    <n v="4565854000"/>
    <n v="3638173000"/>
    <n v="927681000"/>
    <n v="0"/>
    <s v="1"/>
    <n v="2847839359.3764262"/>
    <n v="7.0554210348436133E-3"/>
    <n v="5.9783705912106875"/>
    <n v="5.9783705912106875"/>
    <n v="0"/>
    <n v="0"/>
    <n v="0"/>
    <n v="0"/>
    <x v="27"/>
    <x v="95"/>
    <n v="0"/>
    <e v="#N/A"/>
    <x v="3"/>
    <x v="5"/>
    <n v="0"/>
    <x v="3"/>
    <x v="3"/>
  </r>
  <r>
    <s v="31/12/2025"/>
    <s v="60"/>
    <x v="2"/>
    <s v="DPZ"/>
    <s v="6000481AX121"/>
    <x v="34"/>
    <s v="1"/>
    <s v="DPZNSOL360"/>
    <s v="0048"/>
    <s v="1"/>
    <n v="1"/>
    <n v="20075000"/>
    <n v="20075000"/>
    <n v="0"/>
    <d v="2026-11-26T00:00:00"/>
    <n v="330"/>
    <n v="1"/>
    <x v="0"/>
    <n v="20072500"/>
    <n v="20072500"/>
    <s v="GFAL"/>
    <n v="4565854000"/>
    <n v="3638173000"/>
    <n v="927681000"/>
    <n v="0"/>
    <s v="1"/>
    <n v="2847839359.3764262"/>
    <n v="7.049203788094178E-3"/>
    <n v="5.9731024427980604"/>
    <n v="5.9731024427980604"/>
    <n v="0"/>
    <n v="0"/>
    <n v="0"/>
    <n v="0"/>
    <x v="27"/>
    <x v="95"/>
    <n v="0"/>
    <e v="#N/A"/>
    <x v="3"/>
    <x v="5"/>
    <n v="0"/>
    <x v="3"/>
    <x v="3"/>
  </r>
  <r>
    <s v="31/12/2025"/>
    <s v="60"/>
    <x v="2"/>
    <s v="DPZ"/>
    <s v="6000091AX253"/>
    <x v="34"/>
    <s v="1"/>
    <s v="DPZNSOL360"/>
    <s v="0009"/>
    <s v="1"/>
    <n v="1"/>
    <n v="16050844.352"/>
    <n v="16050844.352"/>
    <n v="0"/>
    <d v="2026-11-10T00:00:00"/>
    <n v="314"/>
    <n v="1"/>
    <x v="0"/>
    <n v="16048888.800000001"/>
    <n v="16048888.800000001"/>
    <s v="GFAL"/>
    <n v="4565854000"/>
    <n v="3638173000"/>
    <n v="927681000"/>
    <n v="0"/>
    <s v="1"/>
    <n v="2847839359.3764262"/>
    <n v="5.6361480850923252E-3"/>
    <n v="4.775757788687554"/>
    <n v="4.775757788687554"/>
    <n v="0"/>
    <n v="0"/>
    <n v="0"/>
    <n v="0"/>
    <x v="27"/>
    <x v="95"/>
    <n v="0"/>
    <e v="#N/A"/>
    <x v="3"/>
    <x v="5"/>
    <n v="0"/>
    <x v="3"/>
    <x v="3"/>
  </r>
  <r>
    <s v="31/12/2025"/>
    <s v="60"/>
    <x v="2"/>
    <s v="DPZ"/>
    <s v="6000481AX255"/>
    <x v="34"/>
    <s v="1"/>
    <s v="DPZNSOL360"/>
    <s v="0048"/>
    <s v="1"/>
    <n v="1"/>
    <n v="12039000"/>
    <n v="12039000"/>
    <n v="0"/>
    <d v="2026-11-12T00:00:00"/>
    <n v="316"/>
    <n v="1"/>
    <x v="0"/>
    <n v="12037500"/>
    <n v="12037500"/>
    <s v="GFAL"/>
    <n v="4565854000"/>
    <n v="3638173000"/>
    <n v="927681000"/>
    <n v="0"/>
    <s v="1"/>
    <n v="2847839359.3764262"/>
    <n v="4.227415412446615E-3"/>
    <n v="3.5820762295813622"/>
    <n v="3.5820762295813622"/>
    <n v="0"/>
    <n v="0"/>
    <n v="0"/>
    <n v="0"/>
    <x v="27"/>
    <x v="95"/>
    <n v="0"/>
    <e v="#N/A"/>
    <x v="3"/>
    <x v="5"/>
    <n v="0"/>
    <x v="3"/>
    <x v="3"/>
  </r>
  <r>
    <s v="31/12/2025"/>
    <s v="60"/>
    <x v="2"/>
    <s v="DPZ"/>
    <s v="6000031AX254"/>
    <x v="34"/>
    <s v="1"/>
    <s v="DPZNSOL360"/>
    <s v="0003"/>
    <s v="1"/>
    <n v="1"/>
    <n v="8025306.7359999996"/>
    <n v="8025306.7359999996"/>
    <n v="0"/>
    <d v="2026-11-12T00:00:00"/>
    <n v="316"/>
    <n v="1"/>
    <x v="0"/>
    <n v="8024333.4000000004"/>
    <n v="8024333.4000000004"/>
    <s v="GFAL"/>
    <n v="4565854000"/>
    <n v="3638173000"/>
    <n v="927681000"/>
    <n v="0"/>
    <s v="1"/>
    <n v="2847839359.3764262"/>
    <n v="2.8180335065518766E-3"/>
    <n v="2.3878445464012614"/>
    <n v="2.3878445464012614"/>
    <n v="0"/>
    <n v="0"/>
    <n v="0"/>
    <n v="0"/>
    <x v="27"/>
    <x v="95"/>
    <n v="0"/>
    <e v="#N/A"/>
    <x v="3"/>
    <x v="5"/>
    <n v="0"/>
    <x v="3"/>
    <x v="3"/>
  </r>
  <r>
    <s v="31/12/2025"/>
    <s v="60"/>
    <x v="2"/>
    <s v="DPZ"/>
    <s v="6000111AW730"/>
    <x v="34"/>
    <s v="1"/>
    <s v="DPZNSOL360"/>
    <s v="0011"/>
    <s v="1"/>
    <n v="1"/>
    <n v="46272933.088"/>
    <n v="46272933.088"/>
    <n v="0"/>
    <d v="2026-09-29T00:00:00"/>
    <n v="272"/>
    <n v="1"/>
    <x v="0"/>
    <n v="46267246.982000001"/>
    <n v="46267246.982000001"/>
    <s v="GFAL"/>
    <n v="4565854000"/>
    <n v="3638173000"/>
    <n v="927681000"/>
    <n v="0"/>
    <s v="1"/>
    <n v="2847839359.3764262"/>
    <n v="1.6248435128774993E-2"/>
    <n v="13.768018414115266"/>
    <n v="13.768018414115266"/>
    <n v="0"/>
    <n v="0"/>
    <n v="0"/>
    <n v="0"/>
    <x v="27"/>
    <x v="95"/>
    <n v="0"/>
    <e v="#N/A"/>
    <x v="3"/>
    <x v="5"/>
    <n v="0"/>
    <x v="3"/>
    <x v="3"/>
  </r>
  <r>
    <s v="31/12/2025"/>
    <s v="60"/>
    <x v="2"/>
    <s v="DPZ"/>
    <s v="6000031AW843"/>
    <x v="34"/>
    <s v="1"/>
    <s v="DPZNSOL360"/>
    <s v="0003"/>
    <s v="1"/>
    <n v="1"/>
    <n v="4020926.7239999999"/>
    <n v="4020926.7239999999"/>
    <n v="0"/>
    <d v="2026-08-17T00:00:00"/>
    <n v="229"/>
    <n v="1"/>
    <x v="0"/>
    <n v="4020440.0559999999"/>
    <n v="4020440.0559999999"/>
    <s v="GFAL"/>
    <n v="4565854000"/>
    <n v="3638173000"/>
    <n v="927681000"/>
    <n v="0"/>
    <s v="1"/>
    <n v="2847839359.3764262"/>
    <n v="1.4119218876448274E-3"/>
    <n v="1.196383922163706"/>
    <n v="1.196383922163706"/>
    <n v="0"/>
    <n v="0"/>
    <n v="0"/>
    <n v="0"/>
    <x v="27"/>
    <x v="95"/>
    <n v="0"/>
    <e v="#N/A"/>
    <x v="3"/>
    <x v="5"/>
    <n v="0"/>
    <x v="3"/>
    <x v="3"/>
  </r>
  <r>
    <s v="31/12/2025"/>
    <s v="60"/>
    <x v="2"/>
    <s v="DPZ"/>
    <s v="6001031AW842"/>
    <x v="34"/>
    <s v="1"/>
    <s v="DPZNSOL360"/>
    <s v="0103"/>
    <s v="1"/>
    <n v="1"/>
    <n v="9048375"/>
    <n v="9048375"/>
    <n v="0"/>
    <d v="2026-08-17T00:00:00"/>
    <n v="229"/>
    <n v="1"/>
    <x v="0"/>
    <n v="9047250"/>
    <n v="9047250"/>
    <s v="GFAL"/>
    <n v="4565854000"/>
    <n v="3638173000"/>
    <n v="927681000"/>
    <n v="0"/>
    <s v="1"/>
    <n v="2847839359.3764262"/>
    <n v="3.1772771768914898E-3"/>
    <n v="2.6922476122467196"/>
    <n v="2.6922476122467196"/>
    <n v="0"/>
    <n v="0"/>
    <n v="0"/>
    <n v="0"/>
    <x v="27"/>
    <x v="95"/>
    <n v="0"/>
    <e v="#N/A"/>
    <x v="3"/>
    <x v="5"/>
    <n v="0"/>
    <x v="3"/>
    <x v="3"/>
  </r>
  <r>
    <s v="31/12/2025"/>
    <s v="60"/>
    <x v="2"/>
    <s v="DPZ"/>
    <s v="6001031AW844"/>
    <x v="34"/>
    <s v="1"/>
    <s v="DPZNSOL360"/>
    <s v="0103"/>
    <s v="1"/>
    <n v="1"/>
    <n v="13069875"/>
    <n v="13069875"/>
    <n v="0"/>
    <d v="2026-07-17T00:00:00"/>
    <n v="198"/>
    <n v="1"/>
    <x v="0"/>
    <n v="13068250"/>
    <n v="13068250"/>
    <s v="GFAL"/>
    <n v="4565854000"/>
    <n v="3638173000"/>
    <n v="927681000"/>
    <n v="0"/>
    <s v="1"/>
    <n v="2847839359.3764262"/>
    <n v="4.5894003666210404E-3"/>
    <n v="3.8888021065785949"/>
    <n v="3.8888021065785949"/>
    <n v="0"/>
    <n v="0"/>
    <n v="0"/>
    <n v="0"/>
    <x v="27"/>
    <x v="95"/>
    <n v="0"/>
    <e v="#N/A"/>
    <x v="3"/>
    <x v="5"/>
    <n v="0"/>
    <x v="3"/>
    <x v="3"/>
  </r>
  <r>
    <s v="31/12/2025"/>
    <s v="60"/>
    <x v="2"/>
    <s v="DPZ"/>
    <s v="6000481AW914"/>
    <x v="34"/>
    <s v="1"/>
    <s v="DPZNSOL360"/>
    <s v="0048"/>
    <s v="1"/>
    <n v="1"/>
    <n v="15076875"/>
    <n v="15076875"/>
    <n v="0"/>
    <d v="2026-09-15T00:00:00"/>
    <n v="258"/>
    <n v="1"/>
    <x v="0"/>
    <n v="15075000"/>
    <n v="15075000"/>
    <s v="GFAL"/>
    <n v="4565854000"/>
    <n v="3638173000"/>
    <n v="927681000"/>
    <n v="0"/>
    <s v="1"/>
    <n v="2847839359.3764262"/>
    <n v="5.2941451737296341E-3"/>
    <n v="4.4859635811836114"/>
    <n v="4.4859635811836114"/>
    <n v="0"/>
    <n v="0"/>
    <n v="0"/>
    <n v="0"/>
    <x v="27"/>
    <x v="95"/>
    <n v="0"/>
    <e v="#N/A"/>
    <x v="3"/>
    <x v="5"/>
    <n v="0"/>
    <x v="3"/>
    <x v="3"/>
  </r>
  <r>
    <s v="31/12/2025"/>
    <s v="60"/>
    <x v="2"/>
    <s v="DPZ"/>
    <s v="6000091AW913"/>
    <x v="34"/>
    <s v="1"/>
    <s v="DPZNSOL360"/>
    <s v="0009"/>
    <s v="1"/>
    <n v="1"/>
    <n v="15076020.765000001"/>
    <n v="15076020.765000001"/>
    <n v="0"/>
    <d v="2026-10-15T00:00:00"/>
    <n v="288"/>
    <n v="1"/>
    <x v="0"/>
    <n v="15074166.6"/>
    <n v="15074166.6"/>
    <s v="GFAL"/>
    <n v="4565854000"/>
    <n v="3638173000"/>
    <n v="927681000"/>
    <n v="0"/>
    <s v="1"/>
    <n v="2847839359.3764262"/>
    <n v="5.2938452147459269E-3"/>
    <n v="4.4857094126573243"/>
    <n v="4.4857094126573243"/>
    <n v="0"/>
    <n v="0"/>
    <n v="0"/>
    <n v="0"/>
    <x v="27"/>
    <x v="95"/>
    <n v="0"/>
    <e v="#N/A"/>
    <x v="3"/>
    <x v="5"/>
    <n v="0"/>
    <x v="3"/>
    <x v="3"/>
  </r>
  <r>
    <s v="31/12/2025"/>
    <s v="60"/>
    <x v="2"/>
    <s v="DPZ"/>
    <s v="6000111AW131"/>
    <x v="34"/>
    <s v="1"/>
    <s v="DPZNSOL360"/>
    <s v="0011"/>
    <s v="1"/>
    <n v="1"/>
    <n v="17149599.728"/>
    <n v="17149599.728"/>
    <n v="0"/>
    <d v="2026-05-25T00:00:00"/>
    <n v="145"/>
    <n v="1"/>
    <x v="0"/>
    <n v="17147521.954"/>
    <n v="17147521.954"/>
    <s v="GFAL"/>
    <n v="4565854000"/>
    <n v="3638173000"/>
    <n v="927681000"/>
    <n v="0"/>
    <s v="1"/>
    <n v="2847839359.3764262"/>
    <n v="6.0219687854005718E-3"/>
    <n v="5.1026807486090036"/>
    <n v="5.1026807486090036"/>
    <n v="0"/>
    <n v="0"/>
    <n v="0"/>
    <n v="0"/>
    <x v="27"/>
    <x v="95"/>
    <n v="0"/>
    <e v="#N/A"/>
    <x v="3"/>
    <x v="5"/>
    <n v="0"/>
    <x v="3"/>
    <x v="3"/>
  </r>
  <r>
    <s v="31/12/2025"/>
    <s v="60"/>
    <x v="2"/>
    <s v="DPZ"/>
    <s v="6000111AW132"/>
    <x v="34"/>
    <s v="1"/>
    <s v="DPZNSOL360"/>
    <s v="0011"/>
    <s v="1"/>
    <n v="1"/>
    <n v="17149599.728"/>
    <n v="17149599.728"/>
    <n v="0"/>
    <d v="2026-03-20T00:00:00"/>
    <n v="79"/>
    <n v="1"/>
    <x v="0"/>
    <n v="17147521.954"/>
    <n v="17147521.954"/>
    <s v="GFAL"/>
    <n v="4565854000"/>
    <n v="3638173000"/>
    <n v="927681000"/>
    <n v="0"/>
    <s v="1"/>
    <n v="2847839359.3764262"/>
    <n v="6.0219687854005718E-3"/>
    <n v="5.1026807486090036"/>
    <n v="5.1026807486090036"/>
    <n v="0"/>
    <n v="0"/>
    <n v="0"/>
    <n v="0"/>
    <x v="27"/>
    <x v="95"/>
    <n v="0"/>
    <e v="#N/A"/>
    <x v="3"/>
    <x v="5"/>
    <n v="0"/>
    <x v="3"/>
    <x v="3"/>
  </r>
  <r>
    <s v="31/12/2025"/>
    <s v="60"/>
    <x v="2"/>
    <s v="DPZ"/>
    <s v="6000031AW266"/>
    <x v="34"/>
    <s v="1"/>
    <s v="DPZNSOL360"/>
    <s v="0003"/>
    <s v="1"/>
    <n v="1"/>
    <n v="30253865.760000002"/>
    <n v="30253865.760000002"/>
    <n v="0"/>
    <d v="2026-10-19T00:00:00"/>
    <n v="292"/>
    <n v="1"/>
    <x v="0"/>
    <n v="30250132.440000001"/>
    <n v="30250132.440000001"/>
    <s v="GFAL"/>
    <n v="4565854000"/>
    <n v="3638173000"/>
    <n v="927681000"/>
    <n v="0"/>
    <s v="1"/>
    <n v="2847839359.3764262"/>
    <n v="1.0623445335984296E-2"/>
    <n v="9.0017155404802285"/>
    <n v="9.0017155404802285"/>
    <n v="0"/>
    <n v="0"/>
    <n v="0"/>
    <n v="0"/>
    <x v="27"/>
    <x v="95"/>
    <n v="0"/>
    <e v="#N/A"/>
    <x v="3"/>
    <x v="5"/>
    <n v="0"/>
    <x v="3"/>
    <x v="3"/>
  </r>
  <r>
    <s v="31/12/2025"/>
    <s v="60"/>
    <x v="2"/>
    <s v="DPZ"/>
    <s v="6000031AW727"/>
    <x v="34"/>
    <s v="1"/>
    <s v="DPZNSOL360"/>
    <s v="0003"/>
    <s v="1"/>
    <n v="1"/>
    <n v="12071199.936000001"/>
    <n v="12071199.936000001"/>
    <n v="0"/>
    <d v="2026-08-03T00:00:00"/>
    <n v="215"/>
    <n v="1"/>
    <x v="0"/>
    <n v="12069716.604"/>
    <n v="12069716.604"/>
    <s v="GFAL"/>
    <n v="4565854000"/>
    <n v="3638173000"/>
    <n v="927681000"/>
    <n v="0"/>
    <s v="1"/>
    <n v="2847839359.3764262"/>
    <n v="4.238722207506521E-3"/>
    <n v="3.5916569775952873"/>
    <n v="3.5916569775952873"/>
    <n v="0"/>
    <n v="0"/>
    <n v="0"/>
    <n v="0"/>
    <x v="27"/>
    <x v="95"/>
    <n v="0"/>
    <e v="#N/A"/>
    <x v="3"/>
    <x v="5"/>
    <n v="0"/>
    <x v="3"/>
    <x v="3"/>
  </r>
  <r>
    <s v="31/12/2025"/>
    <s v="60"/>
    <x v="2"/>
    <s v="DPZ"/>
    <s v="6000491AW728"/>
    <x v="34"/>
    <s v="1"/>
    <s v="DPZNSOL360"/>
    <s v="0049"/>
    <s v="1"/>
    <n v="1"/>
    <n v="3017919.9360000002"/>
    <n v="3017919.9360000002"/>
    <n v="0"/>
    <d v="2026-08-03T00:00:00"/>
    <n v="215"/>
    <n v="1"/>
    <x v="0"/>
    <n v="3017546.6039999998"/>
    <n v="3017546.6039999998"/>
    <s v="GFAL"/>
    <n v="4565854000"/>
    <n v="3638173000"/>
    <n v="927681000"/>
    <n v="0"/>
    <s v="1"/>
    <n v="2847839359.3764262"/>
    <n v="1.0597226722299448E-3"/>
    <n v="0.89794993483888252"/>
    <n v="0.89794993483888252"/>
    <n v="0"/>
    <n v="0"/>
    <n v="0"/>
    <n v="0"/>
    <x v="27"/>
    <x v="95"/>
    <n v="0"/>
    <e v="#N/A"/>
    <x v="3"/>
    <x v="5"/>
    <n v="0"/>
    <x v="3"/>
    <x v="3"/>
  </r>
  <r>
    <s v="31/12/2025"/>
    <s v="60"/>
    <x v="2"/>
    <s v="DPZ"/>
    <s v="6000111AW729"/>
    <x v="34"/>
    <s v="1"/>
    <s v="DPZNSOL360"/>
    <s v="0011"/>
    <s v="1"/>
    <n v="1"/>
    <n v="15088999.92"/>
    <n v="15088999.92"/>
    <n v="0"/>
    <d v="2026-07-27T00:00:00"/>
    <n v="208"/>
    <n v="1"/>
    <x v="0"/>
    <n v="15087145.755000001"/>
    <n v="15087145.755000001"/>
    <s v="GFAL"/>
    <n v="4565854000"/>
    <n v="3638173000"/>
    <n v="927681000"/>
    <n v="0"/>
    <s v="1"/>
    <n v="2847839359.3764262"/>
    <n v="5.2984027593831508E-3"/>
    <n v="4.4895712219941082"/>
    <n v="4.4895712219941082"/>
    <n v="0"/>
    <n v="0"/>
    <n v="0"/>
    <n v="0"/>
    <x v="27"/>
    <x v="95"/>
    <n v="0"/>
    <e v="#N/A"/>
    <x v="3"/>
    <x v="5"/>
    <n v="0"/>
    <x v="3"/>
    <x v="3"/>
  </r>
  <r>
    <s v="31/12/2025"/>
    <s v="60"/>
    <x v="2"/>
    <s v="DPZ"/>
    <s v="6000031AV852"/>
    <x v="34"/>
    <s v="1"/>
    <s v="DPZNSOL360"/>
    <s v="0003"/>
    <s v="1"/>
    <n v="1"/>
    <n v="26277015.804000001"/>
    <n v="26277015.804000001"/>
    <n v="0"/>
    <d v="2026-09-09T00:00:00"/>
    <n v="252"/>
    <n v="1"/>
    <x v="0"/>
    <n v="26273794.690000001"/>
    <n v="26273794.690000001"/>
    <s v="GFAL"/>
    <n v="4565854000"/>
    <n v="3638173000"/>
    <n v="927681000"/>
    <n v="0"/>
    <s v="1"/>
    <n v="2847839359.3764262"/>
    <n v="9.2270007145886616E-3"/>
    <n v="7.8184461911987864"/>
    <n v="7.8184461911987864"/>
    <n v="0"/>
    <n v="0"/>
    <n v="0"/>
    <n v="0"/>
    <x v="27"/>
    <x v="95"/>
    <n v="0"/>
    <e v="#N/A"/>
    <x v="3"/>
    <x v="5"/>
    <n v="0"/>
    <x v="3"/>
    <x v="3"/>
  </r>
  <r>
    <s v="31/12/2025"/>
    <s v="60"/>
    <x v="2"/>
    <s v="DPZ"/>
    <s v="6000031AW006"/>
    <x v="34"/>
    <s v="1"/>
    <s v="DPZNSOL360"/>
    <s v="0003"/>
    <s v="1"/>
    <n v="1"/>
    <n v="40390610.759999998"/>
    <n v="40390610.759999998"/>
    <n v="0"/>
    <d v="2026-10-07T00:00:00"/>
    <n v="280"/>
    <n v="1"/>
    <x v="0"/>
    <n v="40385666.32"/>
    <n v="40385666.32"/>
    <s v="GFAL"/>
    <n v="4565854000"/>
    <n v="3638173000"/>
    <n v="927681000"/>
    <n v="0"/>
    <s v="1"/>
    <n v="2847839359.3764262"/>
    <n v="1.4182896456927992E-2"/>
    <n v="12.017796054628223"/>
    <n v="12.017796054628223"/>
    <n v="0"/>
    <n v="0"/>
    <n v="0"/>
    <n v="0"/>
    <x v="27"/>
    <x v="95"/>
    <n v="0"/>
    <e v="#N/A"/>
    <x v="3"/>
    <x v="5"/>
    <n v="0"/>
    <x v="3"/>
    <x v="3"/>
  </r>
  <r>
    <s v="31/12/2025"/>
    <s v="60"/>
    <x v="2"/>
    <s v="DPZ"/>
    <s v="6000031AW041"/>
    <x v="34"/>
    <s v="1"/>
    <s v="DPZNSOL360"/>
    <s v="0003"/>
    <s v="1"/>
    <n v="1"/>
    <n v="20191643.760000002"/>
    <n v="20191643.760000002"/>
    <n v="0"/>
    <d v="2026-04-23T00:00:00"/>
    <n v="113"/>
    <n v="1"/>
    <x v="0"/>
    <n v="20189154.879999999"/>
    <n v="20189154.879999999"/>
    <s v="GFAL"/>
    <n v="4565854000"/>
    <n v="3638173000"/>
    <n v="927681000"/>
    <n v="0"/>
    <s v="1"/>
    <n v="2847839359.3764262"/>
    <n v="7.0901624747616524E-3"/>
    <n v="6.007808551280907"/>
    <n v="6.007808551280907"/>
    <n v="0"/>
    <n v="0"/>
    <n v="0"/>
    <n v="0"/>
    <x v="27"/>
    <x v="95"/>
    <n v="0"/>
    <e v="#N/A"/>
    <x v="3"/>
    <x v="5"/>
    <n v="0"/>
    <x v="3"/>
    <x v="3"/>
  </r>
  <r>
    <s v="31/12/2025"/>
    <s v="60"/>
    <x v="2"/>
    <s v="DPZ"/>
    <s v="6000031AW042"/>
    <x v="34"/>
    <s v="1"/>
    <s v="DPZNSOL360"/>
    <s v="0003"/>
    <s v="1"/>
    <n v="1"/>
    <n v="20191643.760000002"/>
    <n v="20191643.760000002"/>
    <n v="0"/>
    <d v="2026-02-17T00:00:00"/>
    <n v="48"/>
    <n v="1"/>
    <x v="0"/>
    <n v="20189154.879999999"/>
    <n v="20189154.879999999"/>
    <s v="GFAL"/>
    <n v="4565854000"/>
    <n v="3638173000"/>
    <n v="927681000"/>
    <n v="0"/>
    <s v="1"/>
    <n v="2847839359.3764262"/>
    <n v="7.0901624747616524E-3"/>
    <n v="6.007808551280907"/>
    <n v="6.007808551280907"/>
    <n v="0"/>
    <n v="0"/>
    <n v="0"/>
    <n v="0"/>
    <x v="27"/>
    <x v="95"/>
    <n v="0"/>
    <e v="#N/A"/>
    <x v="3"/>
    <x v="5"/>
    <n v="0"/>
    <x v="3"/>
    <x v="3"/>
  </r>
  <r>
    <s v="31/12/2025"/>
    <s v="60"/>
    <x v="2"/>
    <s v="DPZ"/>
    <s v="6000031AW043"/>
    <x v="34"/>
    <s v="1"/>
    <s v="DPZNSOL360"/>
    <s v="0003"/>
    <s v="1"/>
    <n v="1"/>
    <n v="20191643.760000002"/>
    <n v="20191643.760000002"/>
    <n v="0"/>
    <d v="2026-01-29T00:00:00"/>
    <n v="29"/>
    <n v="1"/>
    <x v="0"/>
    <n v="20189154.879999999"/>
    <n v="20189154.879999999"/>
    <s v="GFAL"/>
    <n v="4565854000"/>
    <n v="3638173000"/>
    <n v="927681000"/>
    <n v="0"/>
    <s v="1"/>
    <n v="2847839359.3764262"/>
    <n v="7.0901624747616524E-3"/>
    <n v="6.007808551280907"/>
    <n v="6.007808551280907"/>
    <n v="0"/>
    <n v="0"/>
    <n v="0"/>
    <n v="0"/>
    <x v="27"/>
    <x v="95"/>
    <n v="0"/>
    <e v="#N/A"/>
    <x v="3"/>
    <x v="5"/>
    <n v="0"/>
    <x v="3"/>
    <x v="3"/>
  </r>
  <r>
    <s v="31/12/2025"/>
    <s v="60"/>
    <x v="2"/>
    <s v="DPZ"/>
    <s v="6000031AW130"/>
    <x v="34"/>
    <s v="1"/>
    <s v="DPZNSOL360"/>
    <s v="0003"/>
    <s v="1"/>
    <n v="1"/>
    <n v="17152319.456"/>
    <n v="17152319.456"/>
    <n v="0"/>
    <d v="2026-10-13T00:00:00"/>
    <n v="286"/>
    <n v="1"/>
    <x v="0"/>
    <n v="17150203.908"/>
    <n v="17150203.908"/>
    <s v="GFAL"/>
    <n v="4565854000"/>
    <n v="3638173000"/>
    <n v="927681000"/>
    <n v="0"/>
    <s v="1"/>
    <n v="2847839359.3764262"/>
    <n v="6.0229237999420504E-3"/>
    <n v="5.1034899747091549"/>
    <n v="5.1034899747091549"/>
    <n v="0"/>
    <n v="0"/>
    <n v="0"/>
    <n v="0"/>
    <x v="27"/>
    <x v="95"/>
    <n v="0"/>
    <e v="#N/A"/>
    <x v="3"/>
    <x v="5"/>
    <n v="0"/>
    <x v="3"/>
    <x v="3"/>
  </r>
  <r>
    <s v="31/12/2025"/>
    <s v="60"/>
    <x v="2"/>
    <s v="DPZ"/>
    <s v="6000111AV777"/>
    <x v="34"/>
    <s v="1"/>
    <s v="DPZNSOL360"/>
    <s v="0011"/>
    <s v="1"/>
    <n v="1"/>
    <n v="20224972.02"/>
    <n v="20224972.02"/>
    <n v="0"/>
    <d v="2026-05-18T00:00:00"/>
    <n v="138"/>
    <n v="1"/>
    <x v="0"/>
    <n v="20222499.800000001"/>
    <n v="20222499.800000001"/>
    <s v="GFAL"/>
    <n v="4565854000"/>
    <n v="3638173000"/>
    <n v="927681000"/>
    <n v="0"/>
    <s v="1"/>
    <n v="2847839359.3764262"/>
    <n v="7.1018654733490784E-3"/>
    <n v="6.0177250200839065"/>
    <n v="6.0177250200839065"/>
    <n v="0"/>
    <n v="0"/>
    <n v="0"/>
    <n v="0"/>
    <x v="27"/>
    <x v="95"/>
    <n v="0"/>
    <e v="#N/A"/>
    <x v="3"/>
    <x v="5"/>
    <n v="0"/>
    <x v="3"/>
    <x v="3"/>
  </r>
  <r>
    <s v="31/12/2025"/>
    <s v="60"/>
    <x v="2"/>
    <s v="DPZ"/>
    <s v="6000111AV778"/>
    <x v="34"/>
    <s v="1"/>
    <s v="DPZNSOL360"/>
    <s v="0011"/>
    <s v="1"/>
    <n v="1"/>
    <n v="26292463.625999998"/>
    <n v="26292463.625999998"/>
    <n v="0"/>
    <d v="2026-07-14T00:00:00"/>
    <n v="195"/>
    <n v="1"/>
    <x v="0"/>
    <n v="26289249.739999998"/>
    <n v="26289249.739999998"/>
    <s v="GFAL"/>
    <n v="4565854000"/>
    <n v="3638173000"/>
    <n v="927681000"/>
    <n v="0"/>
    <s v="1"/>
    <n v="2847839359.3764262"/>
    <n v="9.2324251153538019E-3"/>
    <n v="7.8230425261090772"/>
    <n v="7.8230425261090772"/>
    <n v="0"/>
    <n v="0"/>
    <n v="0"/>
    <n v="0"/>
    <x v="27"/>
    <x v="95"/>
    <n v="0"/>
    <e v="#N/A"/>
    <x v="3"/>
    <x v="5"/>
    <n v="0"/>
    <x v="3"/>
    <x v="3"/>
  </r>
  <r>
    <s v="31/12/2025"/>
    <s v="60"/>
    <x v="2"/>
    <s v="DPZ"/>
    <s v="6000111AV859"/>
    <x v="34"/>
    <s v="1"/>
    <s v="DPZNSOL360"/>
    <s v="0011"/>
    <s v="1"/>
    <n v="1"/>
    <n v="10106544.539999999"/>
    <n v="10106544.539999999"/>
    <n v="0"/>
    <d v="2026-10-01T00:00:00"/>
    <n v="274"/>
    <n v="1"/>
    <x v="0"/>
    <n v="10105305.65"/>
    <n v="10105305.65"/>
    <s v="GFAL"/>
    <n v="4565854000"/>
    <n v="3638173000"/>
    <n v="927681000"/>
    <n v="0"/>
    <s v="1"/>
    <n v="2847839359.3764262"/>
    <n v="3.5488464286879463E-3"/>
    <n v="3.0070946889226096"/>
    <n v="3.0070946889226096"/>
    <n v="0"/>
    <n v="0"/>
    <n v="0"/>
    <n v="0"/>
    <x v="27"/>
    <x v="95"/>
    <n v="0"/>
    <e v="#N/A"/>
    <x v="3"/>
    <x v="5"/>
    <n v="0"/>
    <x v="3"/>
    <x v="3"/>
  </r>
  <r>
    <s v="31/12/2025"/>
    <s v="60"/>
    <x v="2"/>
    <s v="DPZ"/>
    <s v="6000031AV860"/>
    <x v="34"/>
    <s v="1"/>
    <s v="DPZNSOL360"/>
    <s v="0003"/>
    <s v="1"/>
    <n v="1"/>
    <n v="30319633.620000001"/>
    <n v="30319633.620000001"/>
    <n v="0"/>
    <d v="2026-10-01T00:00:00"/>
    <n v="274"/>
    <n v="1"/>
    <x v="0"/>
    <n v="30315916.949999999"/>
    <n v="30315916.949999999"/>
    <s v="GFAL"/>
    <n v="4565854000"/>
    <n v="3638173000"/>
    <n v="927681000"/>
    <n v="0"/>
    <s v="1"/>
    <n v="2847839359.3764262"/>
    <n v="1.0646539286063841E-2"/>
    <n v="9.02128406676783"/>
    <n v="9.02128406676783"/>
    <n v="0"/>
    <n v="0"/>
    <n v="0"/>
    <n v="0"/>
    <x v="27"/>
    <x v="95"/>
    <n v="0"/>
    <e v="#N/A"/>
    <x v="3"/>
    <x v="5"/>
    <n v="0"/>
    <x v="3"/>
    <x v="3"/>
  </r>
  <r>
    <s v="31/12/2025"/>
    <s v="60"/>
    <x v="2"/>
    <s v="DPZ"/>
    <s v="6000491AV858"/>
    <x v="34"/>
    <s v="1"/>
    <s v="DPZNSOL360"/>
    <s v="0049"/>
    <s v="1"/>
    <n v="1"/>
    <n v="10107021.84"/>
    <n v="10107021.84"/>
    <n v="0"/>
    <d v="2026-10-01T00:00:00"/>
    <n v="274"/>
    <n v="1"/>
    <x v="0"/>
    <n v="10105777.4"/>
    <n v="10105777.4"/>
    <s v="GFAL"/>
    <n v="4565854000"/>
    <n v="3638173000"/>
    <n v="927681000"/>
    <n v="0"/>
    <s v="1"/>
    <n v="2847839359.3764262"/>
    <n v="3.5490140294335533E-3"/>
    <n v="3.0072367044541641"/>
    <n v="3.0072367044541641"/>
    <n v="0"/>
    <n v="0"/>
    <n v="0"/>
    <n v="0"/>
    <x v="27"/>
    <x v="95"/>
    <n v="0"/>
    <e v="#N/A"/>
    <x v="3"/>
    <x v="5"/>
    <n v="0"/>
    <x v="3"/>
    <x v="3"/>
  </r>
  <r>
    <s v="31/12/2025"/>
    <s v="60"/>
    <x v="2"/>
    <s v="DPZ"/>
    <s v="6000031AV861"/>
    <x v="34"/>
    <s v="1"/>
    <s v="DPZNSOL360"/>
    <s v="0003"/>
    <s v="1"/>
    <n v="1"/>
    <n v="26277015.804000001"/>
    <n v="26277015.804000001"/>
    <n v="0"/>
    <d v="2026-09-22T00:00:00"/>
    <n v="265"/>
    <n v="1"/>
    <x v="0"/>
    <n v="26273794.690000001"/>
    <n v="26273794.690000001"/>
    <s v="GFAL"/>
    <n v="4565854000"/>
    <n v="3638173000"/>
    <n v="927681000"/>
    <n v="0"/>
    <s v="1"/>
    <n v="2847839359.3764262"/>
    <n v="9.2270007145886616E-3"/>
    <n v="7.8184461911987864"/>
    <n v="7.8184461911987864"/>
    <n v="0"/>
    <n v="0"/>
    <n v="0"/>
    <n v="0"/>
    <x v="27"/>
    <x v="95"/>
    <n v="0"/>
    <e v="#N/A"/>
    <x v="3"/>
    <x v="5"/>
    <n v="0"/>
    <x v="3"/>
    <x v="3"/>
  </r>
  <r>
    <s v="31/12/2025"/>
    <s v="60"/>
    <x v="2"/>
    <s v="DPZ"/>
    <s v="6000031AV691"/>
    <x v="34"/>
    <s v="1"/>
    <s v="DPZNSOL360"/>
    <s v="0003"/>
    <s v="1"/>
    <n v="1"/>
    <n v="31620833"/>
    <n v="31620833"/>
    <n v="0"/>
    <d v="2026-08-20T00:00:00"/>
    <n v="232"/>
    <n v="1"/>
    <x v="0"/>
    <n v="31616970.15625"/>
    <n v="31616970.15625"/>
    <s v="GFAL"/>
    <n v="4565854000"/>
    <n v="3638173000"/>
    <n v="927681000"/>
    <n v="0"/>
    <s v="1"/>
    <n v="2847839359.3764262"/>
    <n v="1.1103446862579995E-2"/>
    <n v="9.4084420839656051"/>
    <n v="9.4084420839656051"/>
    <n v="0"/>
    <n v="0"/>
    <n v="0"/>
    <n v="0"/>
    <x v="27"/>
    <x v="95"/>
    <n v="0"/>
    <e v="#N/A"/>
    <x v="3"/>
    <x v="5"/>
    <n v="0"/>
    <x v="3"/>
    <x v="3"/>
  </r>
  <r>
    <s v="31/12/2025"/>
    <s v="60"/>
    <x v="2"/>
    <s v="DPZ"/>
    <s v="6000111AV690"/>
    <x v="34"/>
    <s v="1"/>
    <s v="DPZNSOL360"/>
    <s v="0011"/>
    <s v="1"/>
    <n v="1"/>
    <n v="46135039.027199998"/>
    <n v="46135039.027199998"/>
    <n v="0"/>
    <d v="2026-01-16T00:00:00"/>
    <n v="16"/>
    <n v="1"/>
    <x v="0"/>
    <n v="46129465.704000004"/>
    <n v="46129465.704000004"/>
    <s v="GFAL"/>
    <n v="4565854000"/>
    <n v="3638173000"/>
    <n v="927681000"/>
    <n v="0"/>
    <s v="1"/>
    <n v="2847839359.3764262"/>
    <n v="1.6200014539198553E-2"/>
    <n v="13.726989504954028"/>
    <n v="13.726989504954028"/>
    <n v="0"/>
    <n v="0"/>
    <n v="0"/>
    <n v="0"/>
    <x v="27"/>
    <x v="95"/>
    <n v="0"/>
    <e v="#N/A"/>
    <x v="3"/>
    <x v="5"/>
    <n v="0"/>
    <x v="3"/>
    <x v="3"/>
  </r>
  <r>
    <s v="31/12/2025"/>
    <s v="60"/>
    <x v="2"/>
    <s v="DPZ"/>
    <s v="6000031AV692"/>
    <x v="34"/>
    <s v="1"/>
    <s v="DPZNSOL360"/>
    <s v="0003"/>
    <s v="1"/>
    <n v="1"/>
    <n v="31620833"/>
    <n v="31620833"/>
    <n v="0"/>
    <d v="2026-08-11T00:00:00"/>
    <n v="223"/>
    <n v="1"/>
    <x v="0"/>
    <n v="31616970.15625"/>
    <n v="31616970.15625"/>
    <s v="GFAL"/>
    <n v="4565854000"/>
    <n v="3638173000"/>
    <n v="927681000"/>
    <n v="0"/>
    <s v="1"/>
    <n v="2847839359.3764262"/>
    <n v="1.1103446862579995E-2"/>
    <n v="9.4084420839656051"/>
    <n v="9.4084420839656051"/>
    <n v="0"/>
    <n v="0"/>
    <n v="0"/>
    <n v="0"/>
    <x v="27"/>
    <x v="95"/>
    <n v="0"/>
    <e v="#N/A"/>
    <x v="3"/>
    <x v="5"/>
    <n v="0"/>
    <x v="3"/>
    <x v="3"/>
  </r>
  <r>
    <s v="31/12/2025"/>
    <s v="60"/>
    <x v="2"/>
    <s v="DPZ"/>
    <s v="6000031AV718"/>
    <x v="34"/>
    <s v="1"/>
    <s v="DPZNSOL360"/>
    <s v="0003"/>
    <s v="1"/>
    <n v="1"/>
    <n v="30344874.690000001"/>
    <n v="30344874.690000001"/>
    <n v="0"/>
    <d v="2026-09-17T00:00:00"/>
    <n v="260"/>
    <n v="1"/>
    <x v="0"/>
    <n v="30341166.359999999"/>
    <n v="30341166.359999999"/>
    <s v="GFAL"/>
    <n v="4565854000"/>
    <n v="3638173000"/>
    <n v="927681000"/>
    <n v="0"/>
    <s v="1"/>
    <n v="2847839359.3764262"/>
    <n v="1.0655402521244889E-2"/>
    <n v="9.0287942783183084"/>
    <n v="9.0287942783183084"/>
    <n v="0"/>
    <n v="0"/>
    <n v="0"/>
    <n v="0"/>
    <x v="27"/>
    <x v="95"/>
    <n v="0"/>
    <e v="#N/A"/>
    <x v="3"/>
    <x v="5"/>
    <n v="0"/>
    <x v="3"/>
    <x v="3"/>
  </r>
  <r>
    <s v="31/12/2025"/>
    <s v="60"/>
    <x v="2"/>
    <s v="DPZ"/>
    <s v="6000481AV717"/>
    <x v="34"/>
    <s v="1"/>
    <s v="DPZNSOL360"/>
    <s v="0048"/>
    <s v="1"/>
    <n v="1"/>
    <n v="20228884.16"/>
    <n v="20228884.16"/>
    <n v="0"/>
    <d v="2026-09-03T00:00:00"/>
    <n v="246"/>
    <n v="1"/>
    <x v="0"/>
    <n v="20226423.039999999"/>
    <n v="20226423.039999999"/>
    <s v="GFAL"/>
    <n v="4565854000"/>
    <n v="3638173000"/>
    <n v="927681000"/>
    <n v="0"/>
    <s v="1"/>
    <n v="2847839359.3764262"/>
    <n v="7.1032391954964037E-3"/>
    <n v="6.0188890356749676"/>
    <n v="6.0188890356749676"/>
    <n v="0"/>
    <n v="0"/>
    <n v="0"/>
    <n v="0"/>
    <x v="27"/>
    <x v="95"/>
    <n v="0"/>
    <e v="#N/A"/>
    <x v="3"/>
    <x v="5"/>
    <n v="0"/>
    <x v="3"/>
    <x v="3"/>
  </r>
  <r>
    <s v="31/12/2025"/>
    <s v="60"/>
    <x v="2"/>
    <s v="DPZ"/>
    <s v="6000031AV719"/>
    <x v="34"/>
    <s v="1"/>
    <s v="DPZNSOL360"/>
    <s v="0003"/>
    <s v="1"/>
    <n v="1"/>
    <n v="10113925"/>
    <n v="10113925"/>
    <n v="0"/>
    <d v="2026-09-03T00:00:00"/>
    <n v="246"/>
    <n v="1"/>
    <x v="0"/>
    <n v="10112700"/>
    <n v="10112700"/>
    <s v="GFAL"/>
    <n v="4565854000"/>
    <n v="3638173000"/>
    <n v="927681000"/>
    <n v="0"/>
    <s v="1"/>
    <n v="2847839359.3764262"/>
    <n v="3.5514380285180777E-3"/>
    <n v="3.0092906661906036"/>
    <n v="3.0092906661906036"/>
    <n v="0"/>
    <n v="0"/>
    <n v="0"/>
    <n v="0"/>
    <x v="27"/>
    <x v="95"/>
    <n v="0"/>
    <e v="#N/A"/>
    <x v="3"/>
    <x v="5"/>
    <n v="0"/>
    <x v="3"/>
    <x v="3"/>
  </r>
  <r>
    <s v="31/12/2025"/>
    <s v="60"/>
    <x v="2"/>
    <s v="DPZ"/>
    <s v="6000111AV318"/>
    <x v="34"/>
    <s v="1"/>
    <s v="DPZNSOL360"/>
    <s v="0011"/>
    <s v="1"/>
    <n v="1"/>
    <n v="25864649.337000001"/>
    <n v="25864649.337000001"/>
    <n v="0"/>
    <d v="2026-05-13T00:00:00"/>
    <n v="133"/>
    <n v="1"/>
    <x v="0"/>
    <n v="25861532.675999999"/>
    <n v="25861532.675999999"/>
    <s v="GFAL"/>
    <n v="4565854000"/>
    <n v="3638173000"/>
    <n v="927681000"/>
    <n v="0"/>
    <s v="1"/>
    <n v="2847839359.3764262"/>
    <n v="9.0822009506404972E-3"/>
    <n v="7.6957509408194236"/>
    <n v="7.6957509408194236"/>
    <n v="0"/>
    <n v="0"/>
    <n v="0"/>
    <n v="0"/>
    <x v="27"/>
    <x v="95"/>
    <n v="0"/>
    <e v="#N/A"/>
    <x v="3"/>
    <x v="5"/>
    <n v="0"/>
    <x v="3"/>
    <x v="3"/>
  </r>
  <r>
    <s v="31/12/2025"/>
    <s v="60"/>
    <x v="2"/>
    <s v="DPZ"/>
    <s v="6000091AV342"/>
    <x v="34"/>
    <s v="1"/>
    <s v="DPZNSOL360"/>
    <s v="0009"/>
    <s v="1"/>
    <n v="1"/>
    <n v="20281199.239999998"/>
    <n v="20281199.239999998"/>
    <n v="0"/>
    <d v="2026-03-18T00:00:00"/>
    <n v="77"/>
    <n v="1"/>
    <x v="0"/>
    <n v="20278732.579999998"/>
    <n v="20278732.579999998"/>
    <s v="GFAL"/>
    <n v="4565854000"/>
    <n v="3638173000"/>
    <n v="927681000"/>
    <n v="0"/>
    <s v="1"/>
    <n v="2847839359.3764262"/>
    <n v="7.1216092906451183E-3"/>
    <n v="6.0344548305513399"/>
    <n v="6.0344548305513399"/>
    <n v="0"/>
    <n v="0"/>
    <n v="0"/>
    <n v="0"/>
    <x v="27"/>
    <x v="95"/>
    <n v="0"/>
    <e v="#N/A"/>
    <x v="3"/>
    <x v="5"/>
    <n v="0"/>
    <x v="3"/>
    <x v="3"/>
  </r>
  <r>
    <s v="31/12/2025"/>
    <s v="60"/>
    <x v="2"/>
    <s v="DPZ"/>
    <s v="6000091AV341"/>
    <x v="34"/>
    <s v="1"/>
    <s v="DPZNSOL360"/>
    <s v="0009"/>
    <s v="1"/>
    <n v="1"/>
    <n v="20281199.239999998"/>
    <n v="20281199.239999998"/>
    <n v="0"/>
    <d v="2026-04-29T00:00:00"/>
    <n v="119"/>
    <n v="1"/>
    <x v="0"/>
    <n v="20278732.579999998"/>
    <n v="20278732.579999998"/>
    <s v="GFAL"/>
    <n v="4565854000"/>
    <n v="3638173000"/>
    <n v="927681000"/>
    <n v="0"/>
    <s v="1"/>
    <n v="2847839359.3764262"/>
    <n v="7.1216092906451183E-3"/>
    <n v="6.0344548305513399"/>
    <n v="6.0344548305513399"/>
    <n v="0"/>
    <n v="0"/>
    <n v="0"/>
    <n v="0"/>
    <x v="27"/>
    <x v="95"/>
    <n v="0"/>
    <e v="#N/A"/>
    <x v="3"/>
    <x v="5"/>
    <n v="0"/>
    <x v="3"/>
    <x v="3"/>
  </r>
  <r>
    <s v="31/12/2025"/>
    <s v="60"/>
    <x v="2"/>
    <s v="DPZ"/>
    <s v="6000091AV347"/>
    <x v="34"/>
    <s v="1"/>
    <s v="DPZNSOL360"/>
    <s v="0009"/>
    <s v="1"/>
    <n v="1"/>
    <n v="20281199.239999998"/>
    <n v="20281199.239999998"/>
    <n v="0"/>
    <d v="2026-05-27T00:00:00"/>
    <n v="147"/>
    <n v="1"/>
    <x v="0"/>
    <n v="20278732.579999998"/>
    <n v="20278732.579999998"/>
    <s v="GFAL"/>
    <n v="4565854000"/>
    <n v="3638173000"/>
    <n v="927681000"/>
    <n v="0"/>
    <s v="1"/>
    <n v="2847839359.3764262"/>
    <n v="7.1216092906451183E-3"/>
    <n v="6.0344548305513399"/>
    <n v="6.0344548305513399"/>
    <n v="0"/>
    <n v="0"/>
    <n v="0"/>
    <n v="0"/>
    <x v="27"/>
    <x v="95"/>
    <n v="0"/>
    <e v="#N/A"/>
    <x v="3"/>
    <x v="5"/>
    <n v="0"/>
    <x v="3"/>
    <x v="3"/>
  </r>
  <r>
    <s v="31/12/2025"/>
    <s v="60"/>
    <x v="2"/>
    <s v="DPZ"/>
    <s v="6000481AV685"/>
    <x v="34"/>
    <s v="1"/>
    <s v="DPZNSOL360"/>
    <s v="0048"/>
    <s v="1"/>
    <n v="1"/>
    <n v="26307147.776000001"/>
    <n v="26307147.776000001"/>
    <n v="0"/>
    <d v="2026-03-26T00:00:00"/>
    <n v="85"/>
    <n v="1"/>
    <x v="0"/>
    <n v="26303948.32"/>
    <n v="26303948.32"/>
    <s v="GFAL"/>
    <n v="4565854000"/>
    <n v="3638173000"/>
    <n v="927681000"/>
    <n v="0"/>
    <s v="1"/>
    <n v="2847839359.3764262"/>
    <n v="9.2375813577351192E-3"/>
    <n v="7.8274116385491981"/>
    <n v="7.8274116385491981"/>
    <n v="0"/>
    <n v="0"/>
    <n v="0"/>
    <n v="0"/>
    <x v="27"/>
    <x v="95"/>
    <n v="0"/>
    <e v="#N/A"/>
    <x v="3"/>
    <x v="5"/>
    <n v="0"/>
    <x v="3"/>
    <x v="3"/>
  </r>
  <r>
    <s v="31/12/2025"/>
    <s v="60"/>
    <x v="2"/>
    <s v="DPZ"/>
    <s v="6000481AV689"/>
    <x v="34"/>
    <s v="1"/>
    <s v="DPZNSOL360"/>
    <s v="0048"/>
    <s v="1"/>
    <n v="1"/>
    <n v="20235200"/>
    <n v="20235200"/>
    <n v="0"/>
    <d v="2026-04-16T00:00:00"/>
    <n v="106"/>
    <n v="1"/>
    <x v="0"/>
    <n v="20232750"/>
    <n v="20232750"/>
    <s v="GFAL"/>
    <n v="4565854000"/>
    <n v="3638173000"/>
    <n v="927681000"/>
    <n v="0"/>
    <s v="1"/>
    <n v="2847839359.3764262"/>
    <n v="7.105456961038272E-3"/>
    <n v="6.0207682466006132"/>
    <n v="6.0207682466006132"/>
    <n v="0"/>
    <n v="0"/>
    <n v="0"/>
    <n v="0"/>
    <x v="27"/>
    <x v="95"/>
    <n v="0"/>
    <e v="#N/A"/>
    <x v="3"/>
    <x v="5"/>
    <n v="0"/>
    <x v="3"/>
    <x v="3"/>
  </r>
  <r>
    <s v="31/12/2025"/>
    <s v="60"/>
    <x v="2"/>
    <s v="DPZ"/>
    <s v="6000091AV018"/>
    <x v="34"/>
    <s v="1"/>
    <s v="DPZNSOL360"/>
    <s v="0009"/>
    <s v="1"/>
    <n v="1"/>
    <n v="20325110.52"/>
    <n v="20325110.52"/>
    <n v="0"/>
    <d v="2026-08-14T00:00:00"/>
    <n v="226"/>
    <n v="1"/>
    <x v="0"/>
    <n v="20322666.079999998"/>
    <n v="20322666.079999998"/>
    <s v="GFAL"/>
    <n v="4565854000"/>
    <n v="3638173000"/>
    <n v="927681000"/>
    <n v="0"/>
    <s v="1"/>
    <n v="2847839359.3764262"/>
    <n v="7.1370284468750596E-3"/>
    <n v="6.0475201642417211"/>
    <n v="6.0475201642417211"/>
    <n v="0"/>
    <n v="0"/>
    <n v="0"/>
    <n v="0"/>
    <x v="27"/>
    <x v="95"/>
    <n v="0"/>
    <e v="#N/A"/>
    <x v="3"/>
    <x v="5"/>
    <n v="0"/>
    <x v="3"/>
    <x v="3"/>
  </r>
  <r>
    <s v="31/12/2025"/>
    <s v="60"/>
    <x v="2"/>
    <s v="DPZ"/>
    <s v="6000481AV017"/>
    <x v="34"/>
    <s v="1"/>
    <s v="DPZNSOL360"/>
    <s v="0048"/>
    <s v="1"/>
    <n v="1"/>
    <n v="10164402.630000001"/>
    <n v="10164402.630000001"/>
    <n v="0"/>
    <d v="2026-08-14T00:00:00"/>
    <n v="226"/>
    <n v="1"/>
    <x v="0"/>
    <n v="10163166.52"/>
    <n v="10163166.52"/>
    <s v="GFAL"/>
    <n v="4565854000"/>
    <n v="3638173000"/>
    <n v="927681000"/>
    <n v="0"/>
    <s v="1"/>
    <n v="2847839359.3764262"/>
    <n v="3.5691629152234334E-3"/>
    <n v="3.0243097473890925"/>
    <n v="3.0243097473890925"/>
    <n v="0"/>
    <n v="0"/>
    <n v="0"/>
    <n v="0"/>
    <x v="27"/>
    <x v="95"/>
    <n v="0"/>
    <e v="#N/A"/>
    <x v="3"/>
    <x v="5"/>
    <n v="0"/>
    <x v="3"/>
    <x v="3"/>
  </r>
  <r>
    <s v="31/12/2025"/>
    <s v="60"/>
    <x v="2"/>
    <s v="DPZ"/>
    <s v="6000021AV040"/>
    <x v="34"/>
    <s v="1"/>
    <s v="DPZNSOL360"/>
    <s v="0002"/>
    <s v="1"/>
    <n v="1"/>
    <n v="20326333.039999999"/>
    <n v="20326333.039999999"/>
    <n v="0"/>
    <d v="2026-03-24T00:00:00"/>
    <n v="83"/>
    <n v="1"/>
    <x v="0"/>
    <n v="20323860.82"/>
    <n v="20323860.82"/>
    <s v="GFAL"/>
    <n v="4565854000"/>
    <n v="3638173000"/>
    <n v="927681000"/>
    <n v="0"/>
    <s v="1"/>
    <n v="2847839359.3764262"/>
    <n v="7.1374577267064422E-3"/>
    <n v="6.047883912047368"/>
    <n v="6.047883912047368"/>
    <n v="0"/>
    <n v="0"/>
    <n v="0"/>
    <n v="0"/>
    <x v="27"/>
    <x v="95"/>
    <n v="0"/>
    <e v="#N/A"/>
    <x v="3"/>
    <x v="5"/>
    <n v="0"/>
    <x v="3"/>
    <x v="3"/>
  </r>
  <r>
    <s v="31/12/2025"/>
    <s v="60"/>
    <x v="2"/>
    <s v="DPZ"/>
    <s v="6000021AV039"/>
    <x v="34"/>
    <s v="1"/>
    <s v="DPZNSOL360"/>
    <s v="0002"/>
    <s v="1"/>
    <n v="1"/>
    <n v="10165000"/>
    <n v="10165000"/>
    <n v="0"/>
    <d v="2026-07-22T00:00:00"/>
    <n v="203"/>
    <n v="1"/>
    <x v="0"/>
    <n v="10163750"/>
    <n v="10163750"/>
    <s v="GFAL"/>
    <n v="4565854000"/>
    <n v="3638173000"/>
    <n v="927681000"/>
    <n v="0"/>
    <s v="1"/>
    <n v="2847839359.3764262"/>
    <n v="3.569372677757276E-3"/>
    <n v="3.0244874884703505"/>
    <n v="3.0244874884703505"/>
    <n v="0"/>
    <n v="0"/>
    <n v="0"/>
    <n v="0"/>
    <x v="27"/>
    <x v="95"/>
    <n v="0"/>
    <e v="#N/A"/>
    <x v="3"/>
    <x v="5"/>
    <n v="0"/>
    <x v="3"/>
    <x v="3"/>
  </r>
  <r>
    <s v="31/12/2025"/>
    <s v="60"/>
    <x v="2"/>
    <s v="DPZ"/>
    <s v="6000031AV320"/>
    <x v="34"/>
    <s v="1"/>
    <s v="DPZNSOL360"/>
    <s v="0003"/>
    <s v="1"/>
    <n v="1"/>
    <n v="25864649.337000001"/>
    <n v="25864649.337000001"/>
    <n v="0"/>
    <d v="2026-08-25T00:00:00"/>
    <n v="237"/>
    <n v="1"/>
    <x v="0"/>
    <n v="25861532.675999999"/>
    <n v="25861532.675999999"/>
    <s v="GFAL"/>
    <n v="4565854000"/>
    <n v="3638173000"/>
    <n v="927681000"/>
    <n v="0"/>
    <s v="1"/>
    <n v="2847839359.3764262"/>
    <n v="9.0822009506404972E-3"/>
    <n v="7.6957509408194236"/>
    <n v="7.6957509408194236"/>
    <n v="0"/>
    <n v="0"/>
    <n v="0"/>
    <n v="0"/>
    <x v="27"/>
    <x v="95"/>
    <n v="0"/>
    <e v="#N/A"/>
    <x v="3"/>
    <x v="5"/>
    <n v="0"/>
    <x v="3"/>
    <x v="3"/>
  </r>
  <r>
    <s v="31/12/2025"/>
    <s v="60"/>
    <x v="2"/>
    <s v="DPZ"/>
    <s v="6000111AV319"/>
    <x v="34"/>
    <s v="1"/>
    <s v="DPZNSOL360"/>
    <s v="0011"/>
    <s v="1"/>
    <n v="1"/>
    <n v="25864649.337000001"/>
    <n v="25864649.337000001"/>
    <n v="0"/>
    <d v="2026-08-25T00:00:00"/>
    <n v="237"/>
    <n v="1"/>
    <x v="0"/>
    <n v="25861532.675999999"/>
    <n v="25861532.675999999"/>
    <s v="GFAL"/>
    <n v="4565854000"/>
    <n v="3638173000"/>
    <n v="927681000"/>
    <n v="0"/>
    <s v="1"/>
    <n v="2847839359.3764262"/>
    <n v="9.0822009506404972E-3"/>
    <n v="7.6957509408194236"/>
    <n v="7.6957509408194236"/>
    <n v="0"/>
    <n v="0"/>
    <n v="0"/>
    <n v="0"/>
    <x v="27"/>
    <x v="95"/>
    <n v="0"/>
    <e v="#N/A"/>
    <x v="3"/>
    <x v="5"/>
    <n v="0"/>
    <x v="3"/>
    <x v="3"/>
  </r>
  <r>
    <s v="31/12/2025"/>
    <s v="60"/>
    <x v="2"/>
    <s v="DPZ"/>
    <s v="6000111AU390"/>
    <x v="34"/>
    <s v="1"/>
    <s v="DPZNSOL360"/>
    <s v="0011"/>
    <s v="1"/>
    <n v="1"/>
    <n v="30647834.460000001"/>
    <n v="30647834.460000001"/>
    <n v="0"/>
    <d v="2026-07-10T00:00:00"/>
    <n v="191"/>
    <n v="1"/>
    <x v="0"/>
    <n v="30644001.120000001"/>
    <n v="30644001.120000001"/>
    <s v="GFAL"/>
    <n v="4565854000"/>
    <n v="3638173000"/>
    <n v="927681000"/>
    <n v="0"/>
    <s v="1"/>
    <n v="2847839359.3764262"/>
    <n v="1.0761784845445344E-2"/>
    <n v="9.1189367312327061"/>
    <n v="9.1189367312327061"/>
    <n v="0"/>
    <n v="0"/>
    <n v="0"/>
    <n v="0"/>
    <x v="27"/>
    <x v="95"/>
    <n v="0"/>
    <e v="#N/A"/>
    <x v="3"/>
    <x v="5"/>
    <n v="0"/>
    <x v="3"/>
    <x v="3"/>
  </r>
  <r>
    <s v="31/12/2025"/>
    <s v="60"/>
    <x v="2"/>
    <s v="DPZ"/>
    <s v="6000111AU421"/>
    <x v="34"/>
    <s v="1"/>
    <s v="DPZNSOL360"/>
    <s v="0011"/>
    <s v="1"/>
    <n v="1"/>
    <n v="30644001.120000001"/>
    <n v="30644001.120000001"/>
    <n v="0"/>
    <d v="2026-05-20T00:00:00"/>
    <n v="140"/>
    <n v="1"/>
    <x v="0"/>
    <n v="30640167.780000001"/>
    <n v="30640167.780000001"/>
    <s v="GFAL"/>
    <n v="4565854000"/>
    <n v="3638173000"/>
    <n v="927681000"/>
    <n v="0"/>
    <s v="1"/>
    <n v="2847839359.3764262"/>
    <n v="1.0760438793398068E-2"/>
    <n v="9.1177961617423904"/>
    <n v="9.1177961617423904"/>
    <n v="0"/>
    <n v="0"/>
    <n v="0"/>
    <n v="0"/>
    <x v="27"/>
    <x v="95"/>
    <n v="0"/>
    <e v="#N/A"/>
    <x v="3"/>
    <x v="5"/>
    <n v="0"/>
    <x v="3"/>
    <x v="3"/>
  </r>
  <r>
    <s v="31/12/2025"/>
    <s v="60"/>
    <x v="2"/>
    <s v="DPZ"/>
    <s v="6000021AU802"/>
    <x v="34"/>
    <s v="1"/>
    <s v="DPZNSOL360"/>
    <s v="0002"/>
    <s v="1"/>
    <n v="1"/>
    <n v="15271875"/>
    <n v="15271875"/>
    <n v="0"/>
    <d v="2026-08-03T00:00:00"/>
    <n v="215"/>
    <n v="1"/>
    <x v="0"/>
    <n v="15270000"/>
    <n v="15270000"/>
    <s v="GFAL"/>
    <n v="4565854000"/>
    <n v="3638173000"/>
    <n v="927681000"/>
    <n v="0"/>
    <s v="1"/>
    <n v="2847839359.3764262"/>
    <n v="5.3626181370510966E-3"/>
    <n v="4.5439837543515127"/>
    <n v="4.5439837543515127"/>
    <n v="0"/>
    <n v="0"/>
    <n v="0"/>
    <n v="0"/>
    <x v="27"/>
    <x v="95"/>
    <n v="0"/>
    <e v="#N/A"/>
    <x v="3"/>
    <x v="5"/>
    <n v="0"/>
    <x v="3"/>
    <x v="3"/>
  </r>
  <r>
    <s v="31/12/2025"/>
    <s v="60"/>
    <x v="2"/>
    <s v="DPZ"/>
    <s v="6000031AU827"/>
    <x v="34"/>
    <s v="1"/>
    <s v="DPZNSOL360"/>
    <s v="0003"/>
    <s v="1"/>
    <n v="1"/>
    <n v="12216786.288000001"/>
    <n v="12216786.288000001"/>
    <n v="0"/>
    <d v="2026-08-05T00:00:00"/>
    <n v="217"/>
    <n v="1"/>
    <x v="0"/>
    <n v="12215259.624"/>
    <n v="12215259.624"/>
    <s v="GFAL"/>
    <n v="4565854000"/>
    <n v="3638173000"/>
    <n v="927681000"/>
    <n v="0"/>
    <s v="1"/>
    <n v="2847839359.3764262"/>
    <n v="4.2898438943814003E-3"/>
    <n v="3.6349746460769436"/>
    <n v="3.6349746460769436"/>
    <n v="0"/>
    <n v="0"/>
    <n v="0"/>
    <n v="0"/>
    <x v="27"/>
    <x v="95"/>
    <n v="0"/>
    <e v="#N/A"/>
    <x v="3"/>
    <x v="5"/>
    <n v="0"/>
    <x v="3"/>
    <x v="3"/>
  </r>
  <r>
    <s v="31/12/2025"/>
    <s v="60"/>
    <x v="2"/>
    <s v="DPZ"/>
    <s v="6000021AU828"/>
    <x v="34"/>
    <s v="1"/>
    <s v="DPZNSOL360"/>
    <s v="0002"/>
    <s v="1"/>
    <n v="1"/>
    <n v="35621250"/>
    <n v="35621250"/>
    <n v="0"/>
    <d v="2026-04-20T00:00:00"/>
    <n v="110"/>
    <n v="1"/>
    <x v="0"/>
    <n v="35616875"/>
    <n v="35616875"/>
    <s v="GFAL"/>
    <n v="4565854000"/>
    <n v="3638173000"/>
    <n v="927681000"/>
    <n v="0"/>
    <s v="1"/>
    <n v="2847839359.3764262"/>
    <n v="1.2508166895972589E-2"/>
    <n v="10.598723556190306"/>
    <n v="10.598723556190306"/>
    <n v="0"/>
    <n v="0"/>
    <n v="0"/>
    <n v="0"/>
    <x v="27"/>
    <x v="95"/>
    <n v="0"/>
    <e v="#N/A"/>
    <x v="3"/>
    <x v="5"/>
    <n v="0"/>
    <x v="3"/>
    <x v="3"/>
  </r>
  <r>
    <s v="31/12/2025"/>
    <s v="60"/>
    <x v="2"/>
    <s v="DPZ"/>
    <s v="6000021AU829"/>
    <x v="34"/>
    <s v="1"/>
    <s v="DPZNSOL360"/>
    <s v="0002"/>
    <s v="1"/>
    <n v="1"/>
    <n v="40710000"/>
    <n v="40710000"/>
    <n v="0"/>
    <d v="2026-01-21T00:00:00"/>
    <n v="21"/>
    <n v="1"/>
    <x v="0"/>
    <n v="40705000"/>
    <n v="40705000"/>
    <s v="GFAL"/>
    <n v="4565854000"/>
    <n v="3638173000"/>
    <n v="927681000"/>
    <n v="0"/>
    <s v="1"/>
    <n v="2847839359.3764262"/>
    <n v="1.4295047881111531E-2"/>
    <n v="12.11282692136035"/>
    <n v="12.11282692136035"/>
    <n v="0"/>
    <n v="0"/>
    <n v="0"/>
    <n v="0"/>
    <x v="27"/>
    <x v="95"/>
    <n v="0"/>
    <e v="#N/A"/>
    <x v="3"/>
    <x v="5"/>
    <n v="0"/>
    <x v="3"/>
    <x v="3"/>
  </r>
  <r>
    <s v="31/12/2025"/>
    <s v="60"/>
    <x v="2"/>
    <s v="DPZ"/>
    <s v="6000111AT824"/>
    <x v="34"/>
    <s v="1"/>
    <s v="DPZNSOL360"/>
    <s v="0011"/>
    <s v="1"/>
    <n v="1"/>
    <n v="61581915.299999997"/>
    <n v="61581915.299999997"/>
    <n v="0"/>
    <d v="2026-06-04T00:00:00"/>
    <n v="155"/>
    <n v="1"/>
    <x v="0"/>
    <n v="61574198.640000001"/>
    <n v="61574198.640000001"/>
    <s v="GFAL"/>
    <n v="4565854000"/>
    <n v="3638173000"/>
    <n v="927681000"/>
    <n v="0"/>
    <s v="1"/>
    <n v="2847839359.3764262"/>
    <n v="2.1624083218473464E-2"/>
    <n v="18.32304302418995"/>
    <n v="18.32304302418995"/>
    <n v="0"/>
    <n v="0"/>
    <n v="0"/>
    <n v="0"/>
    <x v="27"/>
    <x v="95"/>
    <n v="0"/>
    <e v="#N/A"/>
    <x v="3"/>
    <x v="5"/>
    <n v="0"/>
    <x v="3"/>
    <x v="3"/>
  </r>
  <r>
    <s v="31/12/2025"/>
    <s v="60"/>
    <x v="2"/>
    <s v="DPZ"/>
    <s v="6000091AT841"/>
    <x v="34"/>
    <s v="1"/>
    <s v="DPZNSOL360"/>
    <s v="0009"/>
    <s v="1"/>
    <n v="1"/>
    <n v="76989000"/>
    <n v="76989000"/>
    <n v="0"/>
    <d v="2026-06-05T00:00:00"/>
    <n v="156"/>
    <n v="1"/>
    <x v="0"/>
    <n v="76979250"/>
    <n v="76979250"/>
    <s v="GFAL"/>
    <n v="4565854000"/>
    <n v="3638173000"/>
    <n v="927681000"/>
    <n v="0"/>
    <s v="1"/>
    <n v="2847839359.3764262"/>
    <n v="2.7034179349518437E-2"/>
    <n v="22.907256984736229"/>
    <n v="22.907256984736229"/>
    <n v="0"/>
    <n v="0"/>
    <n v="0"/>
    <n v="0"/>
    <x v="27"/>
    <x v="95"/>
    <n v="0"/>
    <e v="#N/A"/>
    <x v="3"/>
    <x v="5"/>
    <n v="0"/>
    <x v="3"/>
    <x v="3"/>
  </r>
  <r>
    <s v="31/12/2025"/>
    <s v="60"/>
    <x v="2"/>
    <s v="DPZ"/>
    <s v="6000091AU122"/>
    <x v="34"/>
    <s v="1"/>
    <s v="DPZNSOL360"/>
    <s v="0009"/>
    <s v="1"/>
    <n v="1"/>
    <n v="25602556.074999999"/>
    <n v="25602556.074999999"/>
    <n v="0"/>
    <d v="2026-06-22T00:00:00"/>
    <n v="173"/>
    <n v="1"/>
    <x v="0"/>
    <n v="25599333.850000001"/>
    <n v="25599333.850000001"/>
    <s v="GFAL"/>
    <n v="4565854000"/>
    <n v="3638173000"/>
    <n v="927681000"/>
    <n v="0"/>
    <s v="1"/>
    <n v="2847839359.3764262"/>
    <n v="8.9901686310726574E-3"/>
    <n v="7.6177678821149097"/>
    <n v="7.6177678821149097"/>
    <n v="0"/>
    <n v="0"/>
    <n v="0"/>
    <n v="0"/>
    <x v="27"/>
    <x v="95"/>
    <n v="0"/>
    <e v="#N/A"/>
    <x v="3"/>
    <x v="5"/>
    <n v="0"/>
    <x v="3"/>
    <x v="3"/>
  </r>
  <r>
    <s v="31/12/2025"/>
    <s v="60"/>
    <x v="2"/>
    <s v="DPZ"/>
    <s v="6000091AU297"/>
    <x v="34"/>
    <s v="1"/>
    <s v="DPZNSOL360"/>
    <s v="0009"/>
    <s v="1"/>
    <n v="1"/>
    <n v="40900277"/>
    <n v="40900277"/>
    <n v="0"/>
    <d v="2026-07-03T00:00:00"/>
    <n v="184"/>
    <n v="1"/>
    <x v="0"/>
    <n v="40895132.560000002"/>
    <n v="40895132.560000002"/>
    <s v="GFAL"/>
    <n v="4565854000"/>
    <n v="3638173000"/>
    <n v="927681000"/>
    <n v="0"/>
    <s v="1"/>
    <n v="2847839359.3764262"/>
    <n v="1.4361862394147008E-2"/>
    <n v="12.169441816180191"/>
    <n v="12.169441816180191"/>
    <n v="0"/>
    <n v="0"/>
    <n v="0"/>
    <n v="0"/>
    <x v="27"/>
    <x v="95"/>
    <n v="0"/>
    <e v="#N/A"/>
    <x v="3"/>
    <x v="5"/>
    <n v="0"/>
    <x v="3"/>
    <x v="3"/>
  </r>
  <r>
    <s v="31/12/2025"/>
    <s v="60"/>
    <x v="2"/>
    <s v="DPZ"/>
    <s v="6000031AU325"/>
    <x v="34"/>
    <s v="1"/>
    <s v="DPZNSOL360"/>
    <s v="0003"/>
    <s v="1"/>
    <n v="1"/>
    <n v="15335674.710000001"/>
    <n v="15335674.710000001"/>
    <n v="0"/>
    <d v="2026-07-03T00:00:00"/>
    <n v="184"/>
    <n v="1"/>
    <x v="0"/>
    <n v="15333745.545"/>
    <n v="15333745.545"/>
    <s v="GFAL"/>
    <n v="4565854000"/>
    <n v="3638173000"/>
    <n v="927681000"/>
    <n v="0"/>
    <s v="1"/>
    <n v="2847839359.3764262"/>
    <n v="5.3850209842446865E-3"/>
    <n v="4.562966678568241"/>
    <n v="4.562966678568241"/>
    <n v="0"/>
    <n v="0"/>
    <n v="0"/>
    <n v="0"/>
    <x v="27"/>
    <x v="95"/>
    <n v="0"/>
    <e v="#N/A"/>
    <x v="3"/>
    <x v="5"/>
    <n v="0"/>
    <x v="3"/>
    <x v="3"/>
  </r>
  <r>
    <s v="31/12/2025"/>
    <s v="60"/>
    <x v="2"/>
    <s v="DPZ"/>
    <s v="6000491AU320"/>
    <x v="34"/>
    <s v="1"/>
    <s v="DPZNSOL360"/>
    <s v="0049"/>
    <s v="1"/>
    <n v="1"/>
    <n v="20448533.719999999"/>
    <n v="20448533.719999999"/>
    <n v="0"/>
    <d v="2026-07-03T00:00:00"/>
    <n v="184"/>
    <n v="1"/>
    <x v="0"/>
    <n v="20445955.940000001"/>
    <n v="20445955.940000001"/>
    <s v="GFAL"/>
    <n v="4565854000"/>
    <n v="3638173000"/>
    <n v="927681000"/>
    <n v="0"/>
    <s v="1"/>
    <n v="2847839359.3764262"/>
    <n v="7.1803676891654053E-3"/>
    <n v="6.0842434228926772"/>
    <n v="6.0842434228926772"/>
    <n v="0"/>
    <n v="0"/>
    <n v="0"/>
    <n v="0"/>
    <x v="27"/>
    <x v="95"/>
    <n v="0"/>
    <e v="#N/A"/>
    <x v="3"/>
    <x v="5"/>
    <n v="0"/>
    <x v="3"/>
    <x v="3"/>
  </r>
  <r>
    <s v="31/12/2025"/>
    <s v="60"/>
    <x v="2"/>
    <s v="DPZ"/>
    <s v="6000111AS555"/>
    <x v="201"/>
    <s v="1"/>
    <s v="DPZNSOL360"/>
    <s v="0011"/>
    <s v="1"/>
    <n v="1"/>
    <n v="38292067.269000001"/>
    <n v="38292067.269000001"/>
    <n v="0"/>
    <d v="2026-03-12T00:00:00"/>
    <n v="71"/>
    <n v="1"/>
    <x v="0"/>
    <n v="38287596.447999999"/>
    <n v="38287596.447999999"/>
    <s v="GFAL"/>
    <n v="4565854000"/>
    <n v="3638173000"/>
    <n v="927681000"/>
    <n v="0"/>
    <s v="1"/>
    <n v="2847839359.3764262"/>
    <n v="1.3446006756990878E-2"/>
    <n v="11.393396789252879"/>
    <n v="11.393396789252879"/>
    <n v="0"/>
    <n v="0"/>
    <n v="0"/>
    <n v="0"/>
    <x v="27"/>
    <x v="95"/>
    <n v="0"/>
    <n v="0"/>
    <x v="5"/>
    <x v="10"/>
    <n v="0"/>
    <x v="5"/>
    <x v="3"/>
  </r>
  <r>
    <s v="31/12/2025"/>
    <s v="60"/>
    <x v="2"/>
    <s v="DPZ"/>
    <s v="6000111AS974"/>
    <x v="34"/>
    <s v="1"/>
    <s v="DPZNSOL360"/>
    <s v="0011"/>
    <s v="1"/>
    <n v="1"/>
    <n v="25850667.399999999"/>
    <n v="25850667.399999999"/>
    <n v="0"/>
    <d v="2026-04-06T00:00:00"/>
    <n v="96"/>
    <n v="1"/>
    <x v="0"/>
    <n v="25847445.175000001"/>
    <n v="25847445.175000001"/>
    <s v="GFAL"/>
    <n v="4565854000"/>
    <n v="3638173000"/>
    <n v="927681000"/>
    <n v="0"/>
    <s v="1"/>
    <n v="2847839359.3764262"/>
    <n v="9.077291285720681E-3"/>
    <n v="7.6915907643785886"/>
    <n v="7.6915907643785886"/>
    <n v="0"/>
    <n v="0"/>
    <n v="0"/>
    <n v="0"/>
    <x v="27"/>
    <x v="95"/>
    <n v="0"/>
    <e v="#N/A"/>
    <x v="3"/>
    <x v="5"/>
    <n v="0"/>
    <x v="3"/>
    <x v="3"/>
  </r>
  <r>
    <s v="31/12/2025"/>
    <s v="60"/>
    <x v="2"/>
    <s v="DPZ"/>
    <s v="6000091AT010"/>
    <x v="34"/>
    <s v="1"/>
    <s v="DPZNSOL360"/>
    <s v="0009"/>
    <s v="1"/>
    <n v="1"/>
    <n v="31022665.800000001"/>
    <n v="31022665.800000001"/>
    <n v="0"/>
    <d v="2026-04-10T00:00:00"/>
    <n v="100"/>
    <n v="1"/>
    <x v="0"/>
    <n v="31018732.469999999"/>
    <n v="31018732.469999999"/>
    <s v="GFAL"/>
    <n v="4565854000"/>
    <n v="3638173000"/>
    <n v="927681000"/>
    <n v="0"/>
    <s v="1"/>
    <n v="2847839359.3764262"/>
    <n v="1.0893404397217419E-2"/>
    <n v="9.2304638043381235"/>
    <n v="9.2304638043381235"/>
    <n v="0"/>
    <n v="0"/>
    <n v="0"/>
    <n v="0"/>
    <x v="27"/>
    <x v="95"/>
    <n v="0"/>
    <e v="#N/A"/>
    <x v="3"/>
    <x v="5"/>
    <n v="0"/>
    <x v="3"/>
    <x v="3"/>
  </r>
  <r>
    <s v="31/12/2025"/>
    <s v="60"/>
    <x v="2"/>
    <s v="DPZ"/>
    <s v="6000091AT027"/>
    <x v="34"/>
    <s v="1"/>
    <s v="DPZNSOL360"/>
    <s v="0009"/>
    <s v="1"/>
    <n v="1"/>
    <n v="16546775.936000001"/>
    <n v="16546775.936000001"/>
    <n v="0"/>
    <d v="2026-04-10T00:00:00"/>
    <n v="100"/>
    <n v="1"/>
    <x v="0"/>
    <n v="16544664.832"/>
    <n v="16544664.832"/>
    <s v="GFAL"/>
    <n v="4565854000"/>
    <n v="3638173000"/>
    <n v="927681000"/>
    <n v="0"/>
    <s v="1"/>
    <n v="2847839359.3764262"/>
    <n v="5.8102911884830282E-3"/>
    <n v="4.9233169496265878"/>
    <n v="4.9233169496265878"/>
    <n v="0"/>
    <n v="0"/>
    <n v="0"/>
    <n v="0"/>
    <x v="27"/>
    <x v="95"/>
    <n v="0"/>
    <e v="#N/A"/>
    <x v="3"/>
    <x v="5"/>
    <n v="0"/>
    <x v="3"/>
    <x v="3"/>
  </r>
  <r>
    <s v="31/12/2025"/>
    <s v="60"/>
    <x v="2"/>
    <s v="DPZ"/>
    <s v="6000111AT355"/>
    <x v="34"/>
    <s v="1"/>
    <s v="DPZNSOL360"/>
    <s v="0011"/>
    <s v="1"/>
    <n v="1"/>
    <n v="72133838.840000004"/>
    <n v="72133838.840000004"/>
    <n v="0"/>
    <d v="2026-05-04T00:00:00"/>
    <n v="124"/>
    <n v="1"/>
    <x v="0"/>
    <n v="72124797.150000006"/>
    <n v="72124797.150000006"/>
    <s v="GFAL"/>
    <n v="4565854000"/>
    <n v="3638173000"/>
    <n v="927681000"/>
    <n v="0"/>
    <s v="1"/>
    <n v="2847839359.3764262"/>
    <n v="2.5329321544244231E-2"/>
    <n v="21.462655491088697"/>
    <n v="21.462655491088697"/>
    <n v="0"/>
    <n v="0"/>
    <n v="0"/>
    <n v="0"/>
    <x v="27"/>
    <x v="95"/>
    <n v="0"/>
    <e v="#N/A"/>
    <x v="3"/>
    <x v="5"/>
    <n v="0"/>
    <x v="3"/>
    <x v="3"/>
  </r>
  <r>
    <s v="31/12/2025"/>
    <s v="60"/>
    <x v="2"/>
    <s v="DPZ"/>
    <s v="6000111AT399"/>
    <x v="34"/>
    <s v="1"/>
    <s v="DPZNSOL360"/>
    <s v="0011"/>
    <s v="1"/>
    <n v="1"/>
    <n v="31924970.311999999"/>
    <n v="31924970.311999999"/>
    <n v="0"/>
    <d v="2026-05-08T00:00:00"/>
    <n v="128"/>
    <n v="1"/>
    <x v="0"/>
    <n v="31920983.370999999"/>
    <n v="31920983.370999999"/>
    <s v="GFAL"/>
    <n v="4565854000"/>
    <n v="3638173000"/>
    <n v="927681000"/>
    <n v="0"/>
    <s v="1"/>
    <n v="2847839359.3764262"/>
    <n v="1.1210242672883912E-2"/>
    <n v="9.4989349019607854"/>
    <n v="9.4989349019607854"/>
    <n v="0"/>
    <n v="0"/>
    <n v="0"/>
    <n v="0"/>
    <x v="27"/>
    <x v="95"/>
    <n v="0"/>
    <e v="#N/A"/>
    <x v="3"/>
    <x v="5"/>
    <n v="0"/>
    <x v="3"/>
    <x v="3"/>
  </r>
  <r>
    <s v="31/12/2025"/>
    <s v="60"/>
    <x v="2"/>
    <s v="DPZ"/>
    <s v="6000481AS355"/>
    <x v="201"/>
    <s v="1"/>
    <s v="DPZNSOL360"/>
    <s v="0048"/>
    <s v="1"/>
    <n v="1"/>
    <n v="33194576.704"/>
    <n v="33194576.704"/>
    <n v="0"/>
    <d v="2026-02-27T00:00:00"/>
    <n v="58"/>
    <n v="1"/>
    <x v="0"/>
    <n v="33190621.151999999"/>
    <n v="33190621.151999999"/>
    <s v="GFAL"/>
    <n v="4565854000"/>
    <n v="3638173000"/>
    <n v="927681000"/>
    <n v="0"/>
    <s v="1"/>
    <n v="2847839359.3764262"/>
    <n v="1.1656056580125506E-2"/>
    <n v="9.8766927620577807"/>
    <n v="9.8766927620577807"/>
    <n v="0"/>
    <n v="0"/>
    <n v="0"/>
    <n v="0"/>
    <x v="27"/>
    <x v="95"/>
    <n v="0"/>
    <n v="0"/>
    <x v="5"/>
    <x v="10"/>
    <n v="0"/>
    <x v="5"/>
    <x v="3"/>
  </r>
  <r>
    <s v="31/12/2025"/>
    <s v="60"/>
    <x v="2"/>
    <s v="DPZ"/>
    <s v="6000031AS354"/>
    <x v="201"/>
    <s v="1"/>
    <s v="DPZNSOL360"/>
    <s v="0003"/>
    <s v="1"/>
    <n v="1"/>
    <n v="8297303.2960000001"/>
    <n v="8297303.2960000001"/>
    <n v="0"/>
    <d v="2026-02-27T00:00:00"/>
    <n v="58"/>
    <n v="1"/>
    <x v="0"/>
    <n v="8296318.8480000002"/>
    <n v="8296318.8480000002"/>
    <s v="GFAL"/>
    <n v="4565854000"/>
    <n v="3638173000"/>
    <n v="927681000"/>
    <n v="0"/>
    <s v="1"/>
    <n v="2847839359.3764262"/>
    <n v="2.9135433038669743E-3"/>
    <n v="2.4687742259513819"/>
    <n v="2.4687742259513819"/>
    <n v="0"/>
    <n v="0"/>
    <n v="0"/>
    <n v="0"/>
    <x v="27"/>
    <x v="95"/>
    <n v="0"/>
    <n v="0"/>
    <x v="5"/>
    <x v="10"/>
    <n v="0"/>
    <x v="5"/>
    <x v="3"/>
  </r>
  <r>
    <s v="31/12/2025"/>
    <s v="60"/>
    <x v="2"/>
    <s v="DPZ"/>
    <s v="6000021AS458"/>
    <x v="201"/>
    <s v="1"/>
    <s v="DPZNSOL360"/>
    <s v="0002"/>
    <s v="1"/>
    <n v="1"/>
    <n v="6221250"/>
    <n v="6221250"/>
    <n v="0"/>
    <d v="2026-03-06T00:00:00"/>
    <n v="65"/>
    <n v="1"/>
    <x v="0"/>
    <n v="6220500"/>
    <n v="6220500"/>
    <s v="GFAL"/>
    <n v="4565854000"/>
    <n v="3638173000"/>
    <n v="927681000"/>
    <n v="0"/>
    <s v="1"/>
    <n v="2847839359.3764262"/>
    <n v="2.1845508875058981E-3"/>
    <n v="1.8510666785682408"/>
    <n v="1.8510666785682408"/>
    <n v="0"/>
    <n v="0"/>
    <n v="0"/>
    <n v="0"/>
    <x v="27"/>
    <x v="95"/>
    <n v="0"/>
    <n v="0"/>
    <x v="5"/>
    <x v="10"/>
    <n v="0"/>
    <x v="5"/>
    <x v="3"/>
  </r>
  <r>
    <s v="31/12/2025"/>
    <s v="60"/>
    <x v="2"/>
    <s v="DPZ"/>
    <s v="6000111AS457"/>
    <x v="201"/>
    <s v="1"/>
    <s v="DPZNSOL360"/>
    <s v="0011"/>
    <s v="1"/>
    <n v="1"/>
    <n v="40406164.109999999"/>
    <n v="40406164.109999999"/>
    <n v="0"/>
    <d v="2026-03-06T00:00:00"/>
    <n v="65"/>
    <n v="1"/>
    <x v="0"/>
    <n v="40401397.452"/>
    <n v="40401397.452"/>
    <s v="GFAL"/>
    <n v="4565854000"/>
    <n v="3638173000"/>
    <n v="927681000"/>
    <n v="0"/>
    <s v="1"/>
    <n v="2847839359.3764262"/>
    <n v="1.4188357913154023E-2"/>
    <n v="12.022423788270999"/>
    <n v="12.022423788270999"/>
    <n v="0"/>
    <n v="0"/>
    <n v="0"/>
    <n v="0"/>
    <x v="27"/>
    <x v="95"/>
    <n v="0"/>
    <n v="0"/>
    <x v="5"/>
    <x v="10"/>
    <n v="0"/>
    <x v="5"/>
    <x v="3"/>
  </r>
  <r>
    <s v="31/12/2025"/>
    <s v="60"/>
    <x v="2"/>
    <s v="DPZ"/>
    <s v="6000111AS530"/>
    <x v="201"/>
    <s v="1"/>
    <s v="DPZNSOL360"/>
    <s v="0011"/>
    <s v="1"/>
    <n v="1"/>
    <n v="27952647.372000001"/>
    <n v="27952647.372000001"/>
    <n v="0"/>
    <d v="2026-03-09T00:00:00"/>
    <n v="68"/>
    <n v="1"/>
    <x v="0"/>
    <n v="27949384.881000001"/>
    <n v="27949384.881000001"/>
    <s v="GFAL"/>
    <n v="4565854000"/>
    <n v="3638173000"/>
    <n v="927681000"/>
    <n v="0"/>
    <s v="1"/>
    <n v="2847839359.3764262"/>
    <n v="9.815387683285836E-3"/>
    <n v="8.317012518075515"/>
    <n v="8.317012518075515"/>
    <n v="0"/>
    <n v="0"/>
    <n v="0"/>
    <n v="0"/>
    <x v="27"/>
    <x v="95"/>
    <n v="0"/>
    <n v="0"/>
    <x v="5"/>
    <x v="10"/>
    <n v="0"/>
    <x v="5"/>
    <x v="3"/>
  </r>
  <r>
    <s v="31/12/2025"/>
    <s v="60"/>
    <x v="2"/>
    <s v="DPZ"/>
    <s v="6000021AS529"/>
    <x v="201"/>
    <s v="1"/>
    <s v="DPZNSOL360"/>
    <s v="0002"/>
    <s v="1"/>
    <n v="1"/>
    <n v="10356888.24"/>
    <n v="10356888.24"/>
    <n v="0"/>
    <d v="2026-03-09T00:00:00"/>
    <n v="68"/>
    <n v="1"/>
    <x v="0"/>
    <n v="10355666.02"/>
    <n v="10355666.02"/>
    <s v="GFAL"/>
    <n v="4565854000"/>
    <n v="3638173000"/>
    <n v="927681000"/>
    <n v="0"/>
    <s v="1"/>
    <n v="2847839359.3764262"/>
    <n v="3.636752967087225E-3"/>
    <n v="3.0815817905918057"/>
    <n v="3.0815817905918057"/>
    <n v="0"/>
    <n v="0"/>
    <n v="0"/>
    <n v="0"/>
    <x v="27"/>
    <x v="95"/>
    <n v="0"/>
    <n v="0"/>
    <x v="5"/>
    <x v="10"/>
    <n v="0"/>
    <x v="5"/>
    <x v="3"/>
  </r>
  <r>
    <s v="31/12/2025"/>
    <s v="63"/>
    <x v="2"/>
    <s v="CDLP"/>
    <s v="63010312503A"/>
    <x v="201"/>
    <s v="PEP16820Q269"/>
    <s v="COMPF3CD3A"/>
    <s v="0103"/>
    <s v="1"/>
    <n v="1000"/>
    <n v="15436419.86025"/>
    <n v="15436419.86025"/>
    <n v="15500"/>
    <d v="2026-02-02T00:00:00"/>
    <n v="33"/>
    <n v="1"/>
    <x v="0"/>
    <n v="15435549.200449999"/>
    <n v="15435549.200449999"/>
    <s v="GGSA"/>
    <n v="4861193000"/>
    <n v="3966334000"/>
    <n v="894859000"/>
    <n v="5.6171600000000002E-2"/>
    <s v="1"/>
    <n v="2847839359.3764262"/>
    <n v="5.4203969790030636E-3"/>
    <n v="4.5929423250468622"/>
    <n v="4.5929423250468622"/>
    <n v="0"/>
    <n v="0"/>
    <n v="0"/>
    <n v="0"/>
    <x v="27"/>
    <x v="95"/>
    <n v="0"/>
    <n v="0"/>
    <x v="5"/>
    <x v="10"/>
    <n v="0"/>
    <x v="5"/>
    <x v="3"/>
  </r>
  <r>
    <s v="31/12/2025"/>
    <s v="63"/>
    <x v="2"/>
    <s v="CDLP"/>
    <s v="63594212503B"/>
    <x v="34"/>
    <s v="PEP16820Q277"/>
    <s v="COMPA3CD3B"/>
    <s v="5942"/>
    <s v="1"/>
    <n v="1000"/>
    <n v="16849620.126472"/>
    <n v="16849620.126472"/>
    <n v="17360"/>
    <d v="2026-08-31T00:00:00"/>
    <n v="243"/>
    <n v="1"/>
    <x v="0"/>
    <n v="16852262.523320001"/>
    <n v="16852262.523320001"/>
    <s v=""/>
    <n v="0"/>
    <n v="0"/>
    <n v="0"/>
    <n v="-0.15221180000000001"/>
    <s v="1"/>
    <n v="2847839359.3764262"/>
    <n v="5.91663292769486E-3"/>
    <n v="5.0134250130833999"/>
    <n v="5.0134250130833999"/>
    <n v="0"/>
    <n v="0"/>
    <n v="0"/>
    <n v="0"/>
    <x v="27"/>
    <x v="95"/>
    <n v="0"/>
    <e v="#N/A"/>
    <x v="3"/>
    <x v="5"/>
    <n v="0"/>
    <x v="3"/>
    <x v="3"/>
  </r>
  <r>
    <s v="31/12/2025"/>
    <s v="63"/>
    <x v="2"/>
    <s v="CDLP"/>
    <s v="63588612504A"/>
    <x v="34"/>
    <s v="PEP11700Q037"/>
    <s v="BCIPE1CD4A"/>
    <s v="5886"/>
    <s v="1"/>
    <n v="1000"/>
    <n v="19315972.780000001"/>
    <n v="19315972.780000001"/>
    <n v="20000"/>
    <d v="2026-10-09T00:00:00"/>
    <n v="282"/>
    <n v="1"/>
    <x v="0"/>
    <n v="19319096.372000001"/>
    <n v="19319096.372000001"/>
    <s v="GBCI"/>
    <n v="1515962000"/>
    <n v="930226000"/>
    <n v="585736000"/>
    <n v="-0.1561796"/>
    <s v="1"/>
    <n v="2847839359.3764262"/>
    <n v="6.7826763881195535E-3"/>
    <n v="5.7472619774465183"/>
    <n v="5.7472619774465183"/>
    <n v="0"/>
    <n v="0"/>
    <n v="0"/>
    <n v="0"/>
    <x v="27"/>
    <x v="95"/>
    <n v="0"/>
    <e v="#N/A"/>
    <x v="3"/>
    <x v="5"/>
    <n v="0"/>
    <x v="3"/>
    <x v="3"/>
  </r>
  <r>
    <s v="31/12/2025"/>
    <s v="63"/>
    <x v="2"/>
    <s v="CDLP"/>
    <s v="63588612501B"/>
    <x v="34"/>
    <s v="PEP11700Q029"/>
    <s v="BCIPE1CD1B"/>
    <s v="5886"/>
    <s v="1"/>
    <n v="1000"/>
    <n v="31900398.9036396"/>
    <n v="31900398.9036396"/>
    <n v="32524"/>
    <d v="2026-06-05T00:00:00"/>
    <n v="156"/>
    <n v="1"/>
    <x v="0"/>
    <n v="31903837.718198001"/>
    <n v="31903837.718198001"/>
    <s v="GBCI"/>
    <n v="1515962000"/>
    <n v="930226000"/>
    <n v="585736000"/>
    <n v="-0.1057316"/>
    <s v="1"/>
    <n v="2847839359.3764262"/>
    <n v="1.1201614584968947E-2"/>
    <n v="9.4916239410989913"/>
    <n v="9.4916239410989913"/>
    <n v="0"/>
    <n v="0"/>
    <n v="0"/>
    <n v="0"/>
    <x v="27"/>
    <x v="95"/>
    <n v="0"/>
    <e v="#N/A"/>
    <x v="3"/>
    <x v="5"/>
    <n v="0"/>
    <x v="3"/>
    <x v="3"/>
  </r>
  <r>
    <s v="31/12/2025"/>
    <s v="63"/>
    <x v="2"/>
    <s v="CDLP"/>
    <s v="63003812501E"/>
    <x v="34"/>
    <s v="PEP12100Q229"/>
    <s v="BIF5CD1E"/>
    <s v="0038"/>
    <s v="1"/>
    <n v="1000"/>
    <n v="32783830.480696499"/>
    <n v="32783830.480696499"/>
    <n v="33185"/>
    <d v="2026-04-09T00:00:00"/>
    <n v="99"/>
    <n v="1"/>
    <x v="0"/>
    <n v="32785420.218077"/>
    <n v="32785420.218077"/>
    <s v="GFIE"/>
    <n v="22149047000"/>
    <n v="20355021000"/>
    <n v="1794026000"/>
    <n v="-4.7905299999999998E-2"/>
    <s v="1"/>
    <n v="2847839359.3764262"/>
    <n v="1.151182575406043E-2"/>
    <n v="9.7544795979340364"/>
    <n v="9.7544795979340364"/>
    <n v="0"/>
    <n v="0"/>
    <n v="0"/>
    <n v="0"/>
    <x v="27"/>
    <x v="95"/>
    <n v="0"/>
    <e v="#N/A"/>
    <x v="3"/>
    <x v="5"/>
    <n v="0"/>
    <x v="3"/>
    <x v="3"/>
  </r>
  <r>
    <s v="31/12/2025"/>
    <s v="63"/>
    <x v="2"/>
    <s v="CDLP"/>
    <s v="63003812501H"/>
    <x v="34"/>
    <s v="PEP12100Q252"/>
    <s v="BIF5CD1H"/>
    <s v="0038"/>
    <s v="1"/>
    <n v="1000"/>
    <n v="36686560.331480302"/>
    <n v="36686560.331480302"/>
    <n v="38201"/>
    <d v="2026-11-30T00:00:00"/>
    <n v="334"/>
    <n v="1"/>
    <x v="0"/>
    <n v="36692358.242414102"/>
    <n v="36692358.242414102"/>
    <s v="GFIE"/>
    <n v="22149047000"/>
    <n v="20355021000"/>
    <n v="1794026000"/>
    <n v="-0.15177379999999999"/>
    <s v="1"/>
    <n v="2847839359.3764262"/>
    <n v="1.2882243589579902E-2"/>
    <n v="10.915695299318726"/>
    <n v="10.915695299318726"/>
    <n v="0"/>
    <n v="0"/>
    <n v="0"/>
    <n v="0"/>
    <x v="27"/>
    <x v="95"/>
    <n v="0"/>
    <e v="#N/A"/>
    <x v="3"/>
    <x v="5"/>
    <n v="0"/>
    <x v="3"/>
    <x v="3"/>
  </r>
  <r>
    <s v="31/12/2025"/>
    <s v="63"/>
    <x v="2"/>
    <s v="CDLP"/>
    <s v="63003812501F"/>
    <x v="34"/>
    <s v="PEP12100Q237"/>
    <s v="BIF5CD1F"/>
    <s v="0038"/>
    <s v="1"/>
    <n v="1000"/>
    <n v="24477332.859999999"/>
    <n v="24477332.859999999"/>
    <n v="25000"/>
    <d v="2026-06-22T00:00:00"/>
    <n v="173"/>
    <n v="1"/>
    <x v="0"/>
    <n v="24480351.585000001"/>
    <n v="24480351.585000001"/>
    <s v="GFIE"/>
    <n v="22149047000"/>
    <n v="20355021000"/>
    <n v="1794026000"/>
    <n v="-0.120749"/>
    <s v="1"/>
    <n v="2847839359.3764262"/>
    <n v="8.595053923743665E-3"/>
    <n v="7.2829696985926384"/>
    <n v="7.2829696985926384"/>
    <n v="0"/>
    <n v="0"/>
    <n v="0"/>
    <n v="0"/>
    <x v="27"/>
    <x v="95"/>
    <n v="0"/>
    <e v="#N/A"/>
    <x v="3"/>
    <x v="5"/>
    <n v="0"/>
    <x v="3"/>
    <x v="3"/>
  </r>
  <r>
    <s v="31/12/2025"/>
    <s v="63"/>
    <x v="2"/>
    <s v="CDLP"/>
    <s v="63003812501G"/>
    <x v="34"/>
    <s v="PEP12100Q245"/>
    <s v="BIF5CD1G"/>
    <s v="0038"/>
    <s v="1"/>
    <n v="1000"/>
    <n v="12156456.65625"/>
    <n v="12156456.65625"/>
    <n v="12500"/>
    <d v="2026-08-17T00:00:00"/>
    <n v="229"/>
    <n v="1"/>
    <x v="0"/>
    <n v="12158325.914999999"/>
    <n v="12158325.914999999"/>
    <s v="GFIE"/>
    <n v="22149047000"/>
    <n v="20355021000"/>
    <n v="1794026000"/>
    <n v="-0.1495407"/>
    <s v="1"/>
    <n v="2847839359.3764262"/>
    <n v="4.268659542268502E-3"/>
    <n v="3.6170242066857092"/>
    <n v="3.6170242066857092"/>
    <n v="0"/>
    <n v="0"/>
    <n v="0"/>
    <n v="0"/>
    <x v="27"/>
    <x v="95"/>
    <n v="0"/>
    <e v="#N/A"/>
    <x v="3"/>
    <x v="5"/>
    <n v="0"/>
    <x v="3"/>
    <x v="3"/>
  </r>
  <r>
    <s v="31/12/2025"/>
    <s v="63"/>
    <x v="2"/>
    <s v="CDLP"/>
    <s v="63003812501D"/>
    <x v="201"/>
    <s v="PEP12100Q211"/>
    <s v="BIF5CD1D"/>
    <s v="0038"/>
    <s v="1"/>
    <n v="1000"/>
    <n v="12481419.535"/>
    <n v="12481419.535"/>
    <n v="12500"/>
    <d v="2026-01-12T00:00:00"/>
    <n v="12"/>
    <n v="1"/>
    <x v="0"/>
    <n v="12480213.502499999"/>
    <n v="12480213.502499999"/>
    <s v="GFIE"/>
    <n v="22149047000"/>
    <n v="20355021000"/>
    <n v="1794026000"/>
    <n v="9.6482600000000002E-2"/>
    <s v="1"/>
    <n v="2847839359.3764262"/>
    <n v="4.3827681129222753E-3"/>
    <n v="3.7137134502662978"/>
    <n v="3.7137134502662978"/>
    <n v="0"/>
    <n v="0"/>
    <n v="0"/>
    <n v="0"/>
    <x v="27"/>
    <x v="95"/>
    <n v="0"/>
    <n v="0"/>
    <x v="5"/>
    <x v="10"/>
    <n v="0"/>
    <x v="5"/>
    <x v="3"/>
  </r>
  <r>
    <s v="31/12/2025"/>
    <s v="63"/>
    <x v="2"/>
    <s v="CDLP"/>
    <s v="63004212502G"/>
    <x v="201"/>
    <s v="PEP16920Q226"/>
    <s v="CSCOT5CD2G"/>
    <s v="0042"/>
    <s v="1"/>
    <n v="1000"/>
    <n v="13632111.0102826"/>
    <n v="13632111.0102826"/>
    <n v="13651"/>
    <d v="2026-01-11T00:00:00"/>
    <n v="11"/>
    <n v="1"/>
    <x v="0"/>
    <n v="13630739.536630699"/>
    <n v="13630739.536630699"/>
    <s v="GBNS"/>
    <n v="2798873000"/>
    <n v="2084426000"/>
    <n v="714447000"/>
    <n v="0.1004669"/>
    <s v="1"/>
    <n v="2847839359.3764262"/>
    <n v="4.786825831800969E-3"/>
    <n v="4.0560894433879611"/>
    <n v="4.0560894433879611"/>
    <n v="0"/>
    <n v="0"/>
    <n v="0"/>
    <n v="0"/>
    <x v="27"/>
    <x v="95"/>
    <n v="0"/>
    <n v="0"/>
    <x v="5"/>
    <x v="10"/>
    <n v="0"/>
    <x v="5"/>
    <x v="3"/>
  </r>
  <r>
    <s v="31/12/2025"/>
    <s v="63"/>
    <x v="2"/>
    <s v="CDLP"/>
    <s v="63004212501B"/>
    <x v="34"/>
    <s v="PEP16920Q242"/>
    <s v="SANTC6CD1B"/>
    <s v="0042"/>
    <s v="1"/>
    <n v="1000"/>
    <n v="25025440.83571"/>
    <n v="25025440.83571"/>
    <n v="25900"/>
    <d v="2026-10-05T00:00:00"/>
    <n v="278"/>
    <n v="1"/>
    <x v="0"/>
    <n v="25029479.541850001"/>
    <n v="25029479.541850001"/>
    <s v="GBNS"/>
    <n v="2798873000"/>
    <n v="2084426000"/>
    <n v="714447000"/>
    <n v="-0.15593460000000001"/>
    <s v="1"/>
    <n v="2847839359.3764262"/>
    <n v="8.7875184228051635E-3"/>
    <n v="7.4460533891844447"/>
    <n v="7.4460533891844447"/>
    <n v="0"/>
    <n v="0"/>
    <n v="0"/>
    <n v="0"/>
    <x v="27"/>
    <x v="95"/>
    <n v="0"/>
    <e v="#N/A"/>
    <x v="3"/>
    <x v="5"/>
    <n v="0"/>
    <x v="3"/>
    <x v="3"/>
  </r>
  <r>
    <s v="31/12/2025"/>
    <s v="63"/>
    <x v="2"/>
    <s v="CDLP"/>
    <s v="63004212501A"/>
    <x v="34"/>
    <s v="PEP16920Q234"/>
    <s v="SANTC6CD1A"/>
    <s v="0042"/>
    <s v="1"/>
    <n v="1000"/>
    <n v="26875645.395500001"/>
    <n v="26875645.395500001"/>
    <n v="27500"/>
    <d v="2026-07-04T00:00:00"/>
    <n v="185"/>
    <n v="1"/>
    <x v="0"/>
    <n v="26879121.796999998"/>
    <n v="26879121.796999998"/>
    <s v="GBNS"/>
    <n v="2798873000"/>
    <n v="2084426000"/>
    <n v="714447000"/>
    <n v="-0.12641459999999999"/>
    <s v="1"/>
    <n v="2847839359.3764262"/>
    <n v="9.4372055456754395E-3"/>
    <n v="7.996562050492428"/>
    <n v="7.996562050492428"/>
    <n v="0"/>
    <n v="0"/>
    <n v="0"/>
    <n v="0"/>
    <x v="27"/>
    <x v="95"/>
    <n v="0"/>
    <e v="#N/A"/>
    <x v="3"/>
    <x v="5"/>
    <n v="0"/>
    <x v="3"/>
    <x v="3"/>
  </r>
  <r>
    <s v="31/12/2025"/>
    <s v="63"/>
    <x v="2"/>
    <s v="CDLP"/>
    <s v="63008612501A"/>
    <x v="34"/>
    <s v="PEP11100V204"/>
    <s v="ZCOF5DCP1A"/>
    <s v="0086"/>
    <s v="1"/>
    <n v="5000"/>
    <n v="30263109.413400002"/>
    <n v="30263109.413400002"/>
    <n v="6000"/>
    <d v="2026-10-23T00:00:00"/>
    <n v="296"/>
    <n v="1"/>
    <x v="0"/>
    <n v="30268103.920200001"/>
    <n v="30268103.920200001"/>
    <s v="GFON"/>
    <n v="11067773000"/>
    <n v="8906334000"/>
    <n v="2161439000"/>
    <n v="-0.83241779999999999"/>
    <s v="1"/>
    <n v="2847839359.3764262"/>
    <n v="1.0626691183882833E-2"/>
    <n v="9.0044658911005993"/>
    <n v="9.0044658911005993"/>
    <n v="0"/>
    <n v="0"/>
    <n v="0"/>
    <n v="0"/>
    <x v="27"/>
    <x v="95"/>
    <n v="0"/>
    <e v="#N/A"/>
    <x v="3"/>
    <x v="5"/>
    <n v="0"/>
    <x v="3"/>
    <x v="3"/>
  </r>
  <r>
    <s v="31/12/2025"/>
    <s v="63"/>
    <x v="2"/>
    <s v="CDLP"/>
    <s v="63008612504A"/>
    <x v="34"/>
    <s v="PEP11100V212"/>
    <s v="SCOF4DCP4A"/>
    <s v="0086"/>
    <s v="1"/>
    <n v="5000"/>
    <n v="14526426.3573"/>
    <n v="14526426.3573"/>
    <n v="2900"/>
    <d v="2026-12-11T00:00:00"/>
    <n v="345"/>
    <n v="1"/>
    <x v="0"/>
    <n v="14528695.46607"/>
    <n v="14528695.46607"/>
    <s v="GFON"/>
    <n v="11067773000"/>
    <n v="8906334000"/>
    <n v="2161439000"/>
    <n v="-0.78245129999999996"/>
    <s v="1"/>
    <n v="2847839359.3764262"/>
    <n v="5.1008587648991421E-3"/>
    <n v="4.322183450058021"/>
    <n v="4.322183450058021"/>
    <n v="0"/>
    <n v="0"/>
    <n v="0"/>
    <n v="0"/>
    <x v="27"/>
    <x v="95"/>
    <n v="0"/>
    <e v="#N/A"/>
    <x v="3"/>
    <x v="5"/>
    <n v="0"/>
    <x v="3"/>
    <x v="3"/>
  </r>
  <r>
    <s v="31/12/2025"/>
    <s v="63"/>
    <x v="2"/>
    <s v="CDLP"/>
    <s v="63004912502A"/>
    <x v="34"/>
    <s v="PEP16900Q095"/>
    <s v="GNB3CD2A"/>
    <s v="0049"/>
    <s v="1"/>
    <n v="1000"/>
    <n v="14224266.916313"/>
    <n v="14224266.916313"/>
    <n v="14545"/>
    <d v="2026-06-28T00:00:00"/>
    <n v="179"/>
    <n v="1"/>
    <x v="0"/>
    <n v="14226043.558972999"/>
    <n v="14226043.558972999"/>
    <s v="GHSB"/>
    <n v="5500285000"/>
    <n v="4741468000"/>
    <n v="758817000"/>
    <n v="-0.12214800000000001"/>
    <s v="1"/>
    <n v="2847839359.3764262"/>
    <n v="4.9947574709507487E-3"/>
    <n v="4.2322791265175992"/>
    <n v="4.2322791265175992"/>
    <n v="0"/>
    <n v="0"/>
    <n v="0"/>
    <n v="0"/>
    <x v="27"/>
    <x v="95"/>
    <n v="0"/>
    <e v="#N/A"/>
    <x v="3"/>
    <x v="5"/>
    <n v="0"/>
    <x v="3"/>
    <x v="3"/>
  </r>
  <r>
    <s v="31/12/2025"/>
    <s v="63"/>
    <x v="2"/>
    <s v="CDLP"/>
    <s v="63004912501D"/>
    <x v="34"/>
    <s v="PEP16900Q087"/>
    <s v="GNB3CD1D"/>
    <s v="0049"/>
    <s v="1"/>
    <n v="1000"/>
    <n v="11348674.171331599"/>
    <n v="11348674.171331599"/>
    <n v="11476"/>
    <d v="2026-03-30T00:00:00"/>
    <n v="89"/>
    <n v="1"/>
    <x v="0"/>
    <n v="11349043.822472399"/>
    <n v="11349043.822472399"/>
    <s v="GHSB"/>
    <n v="5500285000"/>
    <n v="4741468000"/>
    <n v="758817000"/>
    <n v="-3.2210799999999998E-2"/>
    <s v="1"/>
    <n v="2847839359.3764262"/>
    <n v="3.9850120527221552E-3"/>
    <n v="3.3766771315217943"/>
    <n v="3.3766771315217943"/>
    <n v="0"/>
    <n v="0"/>
    <n v="0"/>
    <n v="0"/>
    <x v="27"/>
    <x v="95"/>
    <n v="0"/>
    <e v="#N/A"/>
    <x v="3"/>
    <x v="5"/>
    <n v="0"/>
    <x v="3"/>
    <x v="3"/>
  </r>
  <r>
    <s v="31/12/2025"/>
    <s v="63"/>
    <x v="2"/>
    <s v="CDLP"/>
    <s v="63004912502B"/>
    <x v="34"/>
    <s v="PEP16900Q103"/>
    <s v="GNB3CD2B"/>
    <s v="0049"/>
    <s v="1"/>
    <n v="1000"/>
    <n v="27993078.697378799"/>
    <n v="27993078.697378799"/>
    <n v="28939"/>
    <d v="2026-09-25T00:00:00"/>
    <n v="268"/>
    <n v="1"/>
    <x v="0"/>
    <n v="27997560.523717299"/>
    <n v="27997560.523717299"/>
    <s v="GHSB"/>
    <n v="5500285000"/>
    <n v="4741468000"/>
    <n v="758817000"/>
    <n v="-0.1548715"/>
    <s v="1"/>
    <n v="2847839359.3764262"/>
    <n v="9.8295848764125057E-3"/>
    <n v="8.3290424283313396"/>
    <n v="8.3290424283313396"/>
    <n v="0"/>
    <n v="0"/>
    <n v="0"/>
    <n v="0"/>
    <x v="27"/>
    <x v="95"/>
    <n v="0"/>
    <e v="#N/A"/>
    <x v="3"/>
    <x v="5"/>
    <n v="0"/>
    <x v="3"/>
    <x v="3"/>
  </r>
  <r>
    <s v="31/12/2025"/>
    <s v="63"/>
    <x v="2"/>
    <s v="CDLP"/>
    <s v="63000312501D"/>
    <x v="34"/>
    <s v="PEP14800Q057"/>
    <s v="INTER2CD1D"/>
    <s v="0003"/>
    <s v="1"/>
    <n v="1000"/>
    <n v="26884989.422499999"/>
    <n v="26884989.422499999"/>
    <n v="27500"/>
    <d v="2026-07-03T00:00:00"/>
    <n v="184"/>
    <n v="1"/>
    <x v="0"/>
    <n v="26888485.2995"/>
    <n v="26888485.2995"/>
    <s v="GITC"/>
    <n v="71698610000"/>
    <n v="64045988000"/>
    <n v="7652622000"/>
    <n v="-0.12712280000000001"/>
    <s v="1"/>
    <n v="2847839359.3764262"/>
    <n v="9.4404866391013149E-3"/>
    <n v="7.9993422662084557"/>
    <n v="7.9993422662084557"/>
    <n v="0"/>
    <n v="0"/>
    <n v="0"/>
    <n v="0"/>
    <x v="27"/>
    <x v="95"/>
    <n v="0"/>
    <e v="#N/A"/>
    <x v="3"/>
    <x v="5"/>
    <n v="0"/>
    <x v="3"/>
    <x v="3"/>
  </r>
  <r>
    <s v="31/12/2025"/>
    <s v="63"/>
    <x v="2"/>
    <s v="CDLP"/>
    <s v="63000312501E"/>
    <x v="34"/>
    <s v="PEP14800Q065"/>
    <s v="INTER2CD1E"/>
    <s v="0003"/>
    <s v="1"/>
    <n v="1000"/>
    <n v="14540643.855"/>
    <n v="14540643.855"/>
    <n v="15000"/>
    <d v="2026-09-11T00:00:00"/>
    <n v="254"/>
    <n v="1"/>
    <x v="0"/>
    <n v="14542966.0725"/>
    <n v="14542966.0725"/>
    <s v="GITC"/>
    <n v="71698610000"/>
    <n v="64045988000"/>
    <n v="7652622000"/>
    <n v="-0.15481449999999999"/>
    <s v="1"/>
    <n v="2847839359.3764262"/>
    <n v="5.1058511454044496E-3"/>
    <n v="4.3264137150763187"/>
    <n v="4.3264137150763187"/>
    <n v="0"/>
    <n v="0"/>
    <n v="0"/>
    <n v="0"/>
    <x v="27"/>
    <x v="95"/>
    <n v="0"/>
    <e v="#N/A"/>
    <x v="3"/>
    <x v="5"/>
    <n v="0"/>
    <x v="3"/>
    <x v="3"/>
  </r>
  <r>
    <s v="31/12/2025"/>
    <s v="63"/>
    <x v="2"/>
    <s v="CDLP"/>
    <s v="63004812501A"/>
    <x v="34"/>
    <s v="PEP13300Q422"/>
    <s v="MIBAN5CD1A"/>
    <s v="0048"/>
    <s v="1"/>
    <n v="1000"/>
    <n v="19578969.704"/>
    <n v="19578969.704"/>
    <n v="20000"/>
    <d v="2026-06-21T00:00:00"/>
    <n v="172"/>
    <n v="1"/>
    <x v="0"/>
    <n v="19581336.57"/>
    <n v="19581336.57"/>
    <s v="CCOR"/>
    <n v="16665664000"/>
    <n v="14137867000"/>
    <n v="2527797000"/>
    <n v="-0.1183433"/>
    <s v="1"/>
    <n v="2847839359.3764262"/>
    <n v="6.8750260226360122E-3"/>
    <n v="5.8255139111547498"/>
    <n v="5.8255139111547498"/>
    <n v="0"/>
    <n v="0"/>
    <n v="0"/>
    <n v="0"/>
    <x v="27"/>
    <x v="95"/>
    <n v="0"/>
    <e v="#N/A"/>
    <x v="3"/>
    <x v="5"/>
    <n v="0"/>
    <x v="3"/>
    <x v="3"/>
  </r>
  <r>
    <s v="31/12/2025"/>
    <s v="6B"/>
    <x v="3"/>
    <s v="DPZ6B"/>
    <s v="6B53232AX855"/>
    <x v="201"/>
    <s v="1"/>
    <s v="DONDOL360DTV"/>
    <s v="5323"/>
    <s v="2"/>
    <n v="1"/>
    <n v="0"/>
    <n v="0"/>
    <n v="0"/>
    <d v="2025-12-31T00:00:00"/>
    <n v="0"/>
    <n v="3.3609"/>
    <x v="0"/>
    <n v="3532707.5786859998"/>
    <n v="1050588.1100000001"/>
    <s v=""/>
    <n v="0"/>
    <n v="0"/>
    <n v="0"/>
    <n v="0"/>
    <s v="2"/>
    <n v="3164069580.822104"/>
    <n v="0"/>
    <n v="0"/>
    <n v="0"/>
    <n v="0"/>
    <n v="0"/>
    <n v="0"/>
    <n v="0"/>
    <x v="27"/>
    <x v="95"/>
    <n v="0"/>
    <n v="0"/>
    <x v="5"/>
    <x v="10"/>
    <n v="0"/>
    <x v="5"/>
    <x v="3"/>
  </r>
  <r>
    <s v="31/12/2025"/>
    <s v="6B"/>
    <x v="3"/>
    <s v="DPZ6B"/>
    <s v="6B53232AX854"/>
    <x v="201"/>
    <s v="1"/>
    <s v="DONDOL360DTV"/>
    <s v="5323"/>
    <s v="2"/>
    <n v="1"/>
    <n v="0"/>
    <n v="0"/>
    <n v="0"/>
    <d v="2025-12-31T00:00:00"/>
    <n v="0"/>
    <n v="3.3609"/>
    <x v="0"/>
    <n v="67430.587685999999"/>
    <n v="20053.11"/>
    <s v=""/>
    <n v="0"/>
    <n v="0"/>
    <n v="0"/>
    <n v="0"/>
    <s v="2"/>
    <n v="3164069580.822104"/>
    <n v="0"/>
    <n v="0"/>
    <n v="0"/>
    <n v="0"/>
    <n v="0"/>
    <n v="0"/>
    <n v="0"/>
    <x v="27"/>
    <x v="95"/>
    <n v="0"/>
    <n v="0"/>
    <x v="5"/>
    <x v="10"/>
    <n v="0"/>
    <x v="5"/>
    <x v="3"/>
  </r>
  <r>
    <s v="31/12/2025"/>
    <s v="6B"/>
    <x v="3"/>
    <s v="DPZ6B"/>
    <s v="6B58502AX853"/>
    <x v="201"/>
    <s v="1"/>
    <s v="DONDOL360DTV"/>
    <s v="5850"/>
    <s v="2"/>
    <n v="1"/>
    <n v="0"/>
    <n v="0"/>
    <n v="0"/>
    <d v="2025-12-31T00:00:00"/>
    <n v="0"/>
    <n v="3.3609"/>
    <x v="0"/>
    <n v="8974928.3295540009"/>
    <n v="2669044.29"/>
    <s v=""/>
    <n v="0"/>
    <n v="0"/>
    <n v="0"/>
    <n v="0"/>
    <s v="2"/>
    <n v="3164069580.822104"/>
    <n v="0"/>
    <n v="0"/>
    <n v="0"/>
    <n v="0"/>
    <n v="0"/>
    <n v="0"/>
    <n v="0"/>
    <x v="27"/>
    <x v="95"/>
    <n v="0"/>
    <n v="0"/>
    <x v="5"/>
    <x v="10"/>
    <n v="0"/>
    <x v="5"/>
    <x v="3"/>
  </r>
  <r>
    <s v="31/12/2025"/>
    <s v="6B"/>
    <x v="3"/>
    <s v="DPZ6B"/>
    <s v="6B52022AX859"/>
    <x v="201"/>
    <s v="1"/>
    <s v="DONDOL360DTV"/>
    <s v="5202"/>
    <s v="2"/>
    <n v="1"/>
    <n v="0"/>
    <n v="0"/>
    <n v="0"/>
    <d v="2025-12-31T00:00:00"/>
    <n v="0"/>
    <n v="3.3609"/>
    <x v="0"/>
    <n v="4922165.4062480005"/>
    <n v="1463797.48"/>
    <s v=""/>
    <n v="0"/>
    <n v="0"/>
    <n v="0"/>
    <n v="0"/>
    <s v="2"/>
    <n v="3164069580.822104"/>
    <n v="0"/>
    <n v="0"/>
    <n v="0"/>
    <n v="0"/>
    <n v="0"/>
    <n v="0"/>
    <n v="0"/>
    <x v="27"/>
    <x v="95"/>
    <n v="0"/>
    <n v="0"/>
    <x v="5"/>
    <x v="10"/>
    <n v="0"/>
    <x v="5"/>
    <x v="3"/>
  </r>
  <r>
    <s v="31/12/2025"/>
    <s v="6B"/>
    <x v="3"/>
    <s v="DPZ6B"/>
    <s v="6B52022AX858"/>
    <x v="201"/>
    <s v="1"/>
    <s v="DONDOL360DTV"/>
    <s v="5202"/>
    <s v="2"/>
    <n v="1"/>
    <n v="0"/>
    <n v="0"/>
    <n v="0"/>
    <d v="2025-12-31T00:00:00"/>
    <n v="0"/>
    <n v="3.3609"/>
    <x v="0"/>
    <n v="3270386.2769160001"/>
    <n v="972576.66"/>
    <s v=""/>
    <n v="0"/>
    <n v="0"/>
    <n v="0"/>
    <n v="0"/>
    <s v="2"/>
    <n v="3164069580.822104"/>
    <n v="0"/>
    <n v="0"/>
    <n v="0"/>
    <n v="0"/>
    <n v="0"/>
    <n v="0"/>
    <n v="0"/>
    <x v="27"/>
    <x v="95"/>
    <n v="0"/>
    <n v="0"/>
    <x v="5"/>
    <x v="10"/>
    <n v="0"/>
    <x v="5"/>
    <x v="3"/>
  </r>
  <r>
    <s v="31/12/2025"/>
    <s v="6B"/>
    <x v="3"/>
    <s v="DPZ6B"/>
    <s v="6B53032AX857"/>
    <x v="201"/>
    <s v="1"/>
    <s v="DONDOL360DTV"/>
    <s v="5303"/>
    <s v="2"/>
    <n v="1"/>
    <n v="0"/>
    <n v="0"/>
    <n v="0"/>
    <d v="2025-12-31T00:00:00"/>
    <n v="0"/>
    <n v="3.3609"/>
    <x v="0"/>
    <n v="336772.66199599998"/>
    <n v="100152.46"/>
    <s v=""/>
    <n v="0"/>
    <n v="0"/>
    <n v="0"/>
    <n v="0"/>
    <s v="2"/>
    <n v="3164069580.822104"/>
    <n v="0"/>
    <n v="0"/>
    <n v="0"/>
    <n v="0"/>
    <n v="0"/>
    <n v="0"/>
    <n v="0"/>
    <x v="27"/>
    <x v="95"/>
    <n v="0"/>
    <n v="0"/>
    <x v="5"/>
    <x v="10"/>
    <n v="0"/>
    <x v="5"/>
    <x v="3"/>
  </r>
  <r>
    <s v="31/12/2025"/>
    <s v="6B"/>
    <x v="3"/>
    <s v="DPZ6B"/>
    <s v="6B53232AX856"/>
    <x v="201"/>
    <s v="1"/>
    <s v="DONDOL360DTV"/>
    <s v="5323"/>
    <s v="2"/>
    <n v="1"/>
    <n v="0"/>
    <n v="0"/>
    <n v="0"/>
    <d v="2025-12-31T00:00:00"/>
    <n v="0"/>
    <n v="3.3609"/>
    <x v="0"/>
    <n v="19300711.401532002"/>
    <n v="5739817.8200000003"/>
    <s v=""/>
    <n v="0"/>
    <n v="0"/>
    <n v="0"/>
    <n v="0"/>
    <s v="2"/>
    <n v="3164069580.822104"/>
    <n v="0"/>
    <n v="0"/>
    <n v="0"/>
    <n v="0"/>
    <n v="0"/>
    <n v="0"/>
    <n v="0"/>
    <x v="27"/>
    <x v="95"/>
    <n v="0"/>
    <n v="0"/>
    <x v="5"/>
    <x v="10"/>
    <n v="0"/>
    <x v="5"/>
    <x v="3"/>
  </r>
  <r>
    <s v="31/12/2025"/>
    <s v="6B"/>
    <x v="1"/>
    <s v="DPZ6B"/>
    <s v="6B53032AX839"/>
    <x v="201"/>
    <s v="1"/>
    <s v="DONDOL360DTV"/>
    <s v="5303"/>
    <s v="2"/>
    <n v="1"/>
    <n v="0"/>
    <n v="0"/>
    <n v="0"/>
    <d v="2025-12-31T00:00:00"/>
    <n v="0"/>
    <n v="3.3609"/>
    <x v="0"/>
    <n v="1480065.9091459999"/>
    <n v="440155.21"/>
    <s v=""/>
    <n v="0"/>
    <n v="0"/>
    <n v="0"/>
    <n v="0"/>
    <s v="2"/>
    <n v="7679510866.0565634"/>
    <n v="0"/>
    <n v="0"/>
    <n v="0"/>
    <n v="0"/>
    <n v="0"/>
    <n v="0"/>
    <n v="0"/>
    <x v="27"/>
    <x v="95"/>
    <n v="0"/>
    <n v="0"/>
    <x v="5"/>
    <x v="10"/>
    <n v="0"/>
    <x v="5"/>
    <x v="3"/>
  </r>
  <r>
    <s v="31/12/2025"/>
    <s v="6B"/>
    <x v="1"/>
    <s v="DPZ6B"/>
    <s v="6B53032AX838"/>
    <x v="201"/>
    <s v="1"/>
    <s v="DONDOL360DTV"/>
    <s v="5303"/>
    <s v="2"/>
    <n v="1"/>
    <n v="0"/>
    <n v="0"/>
    <n v="0"/>
    <d v="2025-12-31T00:00:00"/>
    <n v="0"/>
    <n v="3.3609"/>
    <x v="0"/>
    <n v="8054688.6138939997"/>
    <n v="2395375.19"/>
    <s v=""/>
    <n v="0"/>
    <n v="0"/>
    <n v="0"/>
    <n v="0"/>
    <s v="2"/>
    <n v="7679510866.0565634"/>
    <n v="0"/>
    <n v="0"/>
    <n v="0"/>
    <n v="0"/>
    <n v="0"/>
    <n v="0"/>
    <n v="0"/>
    <x v="27"/>
    <x v="95"/>
    <n v="0"/>
    <n v="0"/>
    <x v="5"/>
    <x v="10"/>
    <n v="0"/>
    <x v="5"/>
    <x v="3"/>
  </r>
  <r>
    <s v="31/12/2025"/>
    <s v="6B"/>
    <x v="1"/>
    <s v="DPZ6B"/>
    <s v="6B53232AX837"/>
    <x v="201"/>
    <s v="1"/>
    <s v="DONDOL360DTV"/>
    <s v="5323"/>
    <s v="2"/>
    <n v="1"/>
    <n v="0"/>
    <n v="0"/>
    <n v="0"/>
    <d v="2025-12-31T00:00:00"/>
    <n v="0"/>
    <n v="3.3609"/>
    <x v="0"/>
    <n v="2633037.6269979998"/>
    <n v="783036.23"/>
    <s v=""/>
    <n v="0"/>
    <n v="0"/>
    <n v="0"/>
    <n v="0"/>
    <s v="2"/>
    <n v="7679510866.0565634"/>
    <n v="0"/>
    <n v="0"/>
    <n v="0"/>
    <n v="0"/>
    <n v="0"/>
    <n v="0"/>
    <n v="0"/>
    <x v="27"/>
    <x v="95"/>
    <n v="0"/>
    <n v="0"/>
    <x v="5"/>
    <x v="10"/>
    <n v="0"/>
    <x v="5"/>
    <x v="3"/>
  </r>
  <r>
    <s v="31/12/2025"/>
    <s v="6B"/>
    <x v="1"/>
    <s v="DPZ6B"/>
    <s v="6B53232AX836"/>
    <x v="201"/>
    <s v="1"/>
    <s v="DONDOL360DTV"/>
    <s v="5323"/>
    <s v="2"/>
    <n v="1"/>
    <n v="0"/>
    <n v="0"/>
    <n v="0"/>
    <d v="2025-12-31T00:00:00"/>
    <n v="0"/>
    <n v="3.3609"/>
    <x v="0"/>
    <n v="13135313.485176001"/>
    <n v="3906296.76"/>
    <s v=""/>
    <n v="0"/>
    <n v="0"/>
    <n v="0"/>
    <n v="0"/>
    <s v="2"/>
    <n v="7679510866.0565634"/>
    <n v="0"/>
    <n v="0"/>
    <n v="0"/>
    <n v="0"/>
    <n v="0"/>
    <n v="0"/>
    <n v="0"/>
    <x v="27"/>
    <x v="95"/>
    <n v="0"/>
    <n v="0"/>
    <x v="5"/>
    <x v="10"/>
    <n v="0"/>
    <x v="5"/>
    <x v="3"/>
  </r>
  <r>
    <s v="31/12/2025"/>
    <s v="6B"/>
    <x v="1"/>
    <s v="DPZ6B"/>
    <s v="6B53232AX835"/>
    <x v="201"/>
    <s v="1"/>
    <s v="DONDOL360DTV"/>
    <s v="5323"/>
    <s v="2"/>
    <n v="1"/>
    <n v="0"/>
    <n v="0"/>
    <n v="0"/>
    <d v="2025-12-31T00:00:00"/>
    <n v="0"/>
    <n v="3.3609"/>
    <x v="0"/>
    <n v="31454325.720311999"/>
    <n v="9354168.1199999992"/>
    <s v=""/>
    <n v="0"/>
    <n v="0"/>
    <n v="0"/>
    <n v="0"/>
    <s v="2"/>
    <n v="7679510866.0565634"/>
    <n v="0"/>
    <n v="0"/>
    <n v="0"/>
    <n v="0"/>
    <n v="0"/>
    <n v="0"/>
    <n v="0"/>
    <x v="27"/>
    <x v="95"/>
    <n v="0"/>
    <n v="0"/>
    <x v="5"/>
    <x v="10"/>
    <n v="0"/>
    <x v="5"/>
    <x v="3"/>
  </r>
  <r>
    <s v="31/12/2025"/>
    <s v="6B"/>
    <x v="1"/>
    <s v="DPZ6B"/>
    <s v="6B57552AX834"/>
    <x v="201"/>
    <s v="1"/>
    <s v="DONDOL360DTV"/>
    <s v="5755"/>
    <s v="2"/>
    <n v="1"/>
    <n v="0"/>
    <n v="0"/>
    <n v="0"/>
    <d v="2025-12-31T00:00:00"/>
    <n v="0"/>
    <n v="3.3609"/>
    <x v="0"/>
    <n v="69397285.939927995"/>
    <n v="20637984.280000001"/>
    <s v=""/>
    <n v="0"/>
    <n v="0"/>
    <n v="0"/>
    <n v="0"/>
    <s v="2"/>
    <n v="7679510866.0565634"/>
    <n v="0"/>
    <n v="0"/>
    <n v="0"/>
    <n v="0"/>
    <n v="0"/>
    <n v="0"/>
    <n v="0"/>
    <x v="27"/>
    <x v="95"/>
    <n v="0"/>
    <n v="0"/>
    <x v="5"/>
    <x v="10"/>
    <n v="0"/>
    <x v="5"/>
    <x v="3"/>
  </r>
  <r>
    <s v="31/12/2025"/>
    <s v="6B"/>
    <x v="1"/>
    <s v="DPZ6B"/>
    <s v="6B52022AX842"/>
    <x v="201"/>
    <s v="1"/>
    <s v="DONDOL360DTV"/>
    <s v="5202"/>
    <s v="2"/>
    <n v="1"/>
    <n v="0"/>
    <n v="0"/>
    <n v="0"/>
    <d v="2025-12-31T00:00:00"/>
    <n v="0"/>
    <n v="3.3609"/>
    <x v="0"/>
    <n v="1751324.2955700001"/>
    <n v="520824.45"/>
    <s v=""/>
    <n v="0"/>
    <n v="0"/>
    <n v="0"/>
    <n v="0"/>
    <s v="2"/>
    <n v="7679510866.0565634"/>
    <n v="0"/>
    <n v="0"/>
    <n v="0"/>
    <n v="0"/>
    <n v="0"/>
    <n v="0"/>
    <n v="0"/>
    <x v="27"/>
    <x v="95"/>
    <n v="0"/>
    <n v="0"/>
    <x v="5"/>
    <x v="10"/>
    <n v="0"/>
    <x v="5"/>
    <x v="3"/>
  </r>
  <r>
    <s v="31/12/2025"/>
    <s v="6B"/>
    <x v="1"/>
    <s v="DPZ6B"/>
    <s v="6B53032AX841"/>
    <x v="201"/>
    <s v="1"/>
    <s v="DONDOL360DTV"/>
    <s v="5303"/>
    <s v="2"/>
    <n v="1"/>
    <n v="0"/>
    <n v="0"/>
    <n v="0"/>
    <d v="2025-12-31T00:00:00"/>
    <n v="0"/>
    <n v="3.3609"/>
    <x v="0"/>
    <n v="4886040.5573100001"/>
    <n v="1453054.35"/>
    <s v=""/>
    <n v="0"/>
    <n v="0"/>
    <n v="0"/>
    <n v="0"/>
    <s v="2"/>
    <n v="7679510866.0565634"/>
    <n v="0"/>
    <n v="0"/>
    <n v="0"/>
    <n v="0"/>
    <n v="0"/>
    <n v="0"/>
    <n v="0"/>
    <x v="27"/>
    <x v="95"/>
    <n v="0"/>
    <n v="0"/>
    <x v="5"/>
    <x v="10"/>
    <n v="0"/>
    <x v="5"/>
    <x v="3"/>
  </r>
  <r>
    <s v="31/12/2025"/>
    <s v="6B"/>
    <x v="1"/>
    <s v="DPZ6B"/>
    <s v="6B53032AX840"/>
    <x v="201"/>
    <s v="1"/>
    <s v="DONDOL360DTV"/>
    <s v="5303"/>
    <s v="2"/>
    <n v="1"/>
    <n v="0"/>
    <n v="0"/>
    <n v="0"/>
    <d v="2025-12-31T00:00:00"/>
    <n v="0"/>
    <n v="3.3609"/>
    <x v="0"/>
    <n v="2764656.5161979999"/>
    <n v="822178.23"/>
    <s v=""/>
    <n v="0"/>
    <n v="0"/>
    <n v="0"/>
    <n v="0"/>
    <s v="2"/>
    <n v="7679510866.0565634"/>
    <n v="0"/>
    <n v="0"/>
    <n v="0"/>
    <n v="0"/>
    <n v="0"/>
    <n v="0"/>
    <n v="0"/>
    <x v="27"/>
    <x v="95"/>
    <n v="0"/>
    <n v="0"/>
    <x v="5"/>
    <x v="10"/>
    <n v="0"/>
    <x v="5"/>
    <x v="3"/>
  </r>
  <r>
    <s v="31/12/2025"/>
    <s v="6B"/>
    <x v="0"/>
    <s v="DPZ6B"/>
    <s v="6B53232AX845"/>
    <x v="201"/>
    <s v="1"/>
    <s v="DONDOL360DTV"/>
    <s v="5323"/>
    <s v="2"/>
    <n v="1"/>
    <n v="0"/>
    <n v="0"/>
    <n v="0"/>
    <d v="2025-12-31T00:00:00"/>
    <n v="0"/>
    <n v="3.3609"/>
    <x v="0"/>
    <n v="10706410.292409999"/>
    <n v="3183967.85"/>
    <s v=""/>
    <n v="0"/>
    <n v="0"/>
    <n v="0"/>
    <n v="0"/>
    <s v="2"/>
    <n v="26256910350.436607"/>
    <n v="0"/>
    <n v="0"/>
    <n v="0"/>
    <n v="0"/>
    <n v="0"/>
    <n v="0"/>
    <n v="0"/>
    <x v="27"/>
    <x v="95"/>
    <n v="0"/>
    <n v="0"/>
    <x v="5"/>
    <x v="10"/>
    <n v="0"/>
    <x v="5"/>
    <x v="3"/>
  </r>
  <r>
    <s v="31/12/2025"/>
    <s v="6B"/>
    <x v="0"/>
    <s v="DPZ6B"/>
    <s v="6B53232AX844"/>
    <x v="201"/>
    <s v="1"/>
    <s v="DONDOL360DTV"/>
    <s v="5323"/>
    <s v="2"/>
    <n v="1"/>
    <n v="0"/>
    <n v="0"/>
    <n v="0"/>
    <d v="2025-12-31T00:00:00"/>
    <n v="0"/>
    <n v="3.3609"/>
    <x v="0"/>
    <n v="8826215.2933680005"/>
    <n v="2624818.6800000002"/>
    <s v=""/>
    <n v="0"/>
    <n v="0"/>
    <n v="0"/>
    <n v="0"/>
    <s v="2"/>
    <n v="26256910350.436607"/>
    <n v="0"/>
    <n v="0"/>
    <n v="0"/>
    <n v="0"/>
    <n v="0"/>
    <n v="0"/>
    <n v="0"/>
    <x v="27"/>
    <x v="95"/>
    <n v="0"/>
    <n v="0"/>
    <x v="5"/>
    <x v="10"/>
    <n v="0"/>
    <x v="5"/>
    <x v="3"/>
  </r>
  <r>
    <s v="31/12/2025"/>
    <s v="6B"/>
    <x v="0"/>
    <s v="DPZ6B"/>
    <s v="6B58502AX843"/>
    <x v="201"/>
    <s v="1"/>
    <s v="DONDOL360DTV"/>
    <s v="5850"/>
    <s v="2"/>
    <n v="1"/>
    <n v="0"/>
    <n v="0"/>
    <n v="0"/>
    <d v="2025-12-31T00:00:00"/>
    <n v="0"/>
    <n v="3.3609"/>
    <x v="0"/>
    <n v="8384495.582738"/>
    <n v="2493456.13"/>
    <s v=""/>
    <n v="0"/>
    <n v="0"/>
    <n v="0"/>
    <n v="0"/>
    <s v="2"/>
    <n v="26256910350.436607"/>
    <n v="0"/>
    <n v="0"/>
    <n v="0"/>
    <n v="0"/>
    <n v="0"/>
    <n v="0"/>
    <n v="0"/>
    <x v="27"/>
    <x v="95"/>
    <n v="0"/>
    <n v="0"/>
    <x v="5"/>
    <x v="10"/>
    <n v="0"/>
    <x v="5"/>
    <x v="3"/>
  </r>
  <r>
    <s v="31/12/2025"/>
    <s v="6B"/>
    <x v="0"/>
    <s v="DPZ6B"/>
    <s v="6B52022AX851"/>
    <x v="201"/>
    <s v="1"/>
    <s v="DONDOL360DTV"/>
    <s v="5202"/>
    <s v="2"/>
    <n v="1"/>
    <n v="0"/>
    <n v="0"/>
    <n v="0"/>
    <d v="2025-12-31T00:00:00"/>
    <n v="0"/>
    <n v="3.3609"/>
    <x v="0"/>
    <n v="2501349.5354900002"/>
    <n v="743873.65"/>
    <s v=""/>
    <n v="0"/>
    <n v="0"/>
    <n v="0"/>
    <n v="0"/>
    <s v="2"/>
    <n v="26256910350.436607"/>
    <n v="0"/>
    <n v="0"/>
    <n v="0"/>
    <n v="0"/>
    <n v="0"/>
    <n v="0"/>
    <n v="0"/>
    <x v="27"/>
    <x v="95"/>
    <n v="0"/>
    <n v="0"/>
    <x v="5"/>
    <x v="10"/>
    <n v="0"/>
    <x v="5"/>
    <x v="3"/>
  </r>
  <r>
    <s v="31/12/2025"/>
    <s v="6B"/>
    <x v="0"/>
    <s v="DPZ6B"/>
    <s v="6B52022AX850"/>
    <x v="201"/>
    <s v="1"/>
    <s v="DONDOL360DTV"/>
    <s v="5202"/>
    <s v="2"/>
    <n v="1"/>
    <n v="0"/>
    <n v="0"/>
    <n v="0"/>
    <d v="2025-12-31T00:00:00"/>
    <n v="0"/>
    <n v="3.3609"/>
    <x v="0"/>
    <n v="30883126.742862001"/>
    <n v="9184299.8699999992"/>
    <s v=""/>
    <n v="0"/>
    <n v="0"/>
    <n v="0"/>
    <n v="0"/>
    <s v="2"/>
    <n v="26256910350.436607"/>
    <n v="0"/>
    <n v="0"/>
    <n v="0"/>
    <n v="0"/>
    <n v="0"/>
    <n v="0"/>
    <n v="0"/>
    <x v="27"/>
    <x v="95"/>
    <n v="0"/>
    <n v="0"/>
    <x v="5"/>
    <x v="10"/>
    <n v="0"/>
    <x v="5"/>
    <x v="3"/>
  </r>
  <r>
    <s v="31/12/2025"/>
    <s v="6B"/>
    <x v="0"/>
    <s v="DPZ6B"/>
    <s v="6B53032AX849"/>
    <x v="201"/>
    <s v="1"/>
    <s v="DONDOL360DTV"/>
    <s v="5303"/>
    <s v="2"/>
    <n v="1"/>
    <n v="0"/>
    <n v="0"/>
    <n v="0"/>
    <d v="2025-12-31T00:00:00"/>
    <n v="0"/>
    <n v="3.3609"/>
    <x v="0"/>
    <n v="18512626.035496"/>
    <n v="5505449.96"/>
    <s v=""/>
    <n v="0"/>
    <n v="0"/>
    <n v="0"/>
    <n v="0"/>
    <s v="2"/>
    <n v="26256910350.436607"/>
    <n v="0"/>
    <n v="0"/>
    <n v="0"/>
    <n v="0"/>
    <n v="0"/>
    <n v="0"/>
    <n v="0"/>
    <x v="27"/>
    <x v="95"/>
    <n v="0"/>
    <n v="0"/>
    <x v="5"/>
    <x v="10"/>
    <n v="0"/>
    <x v="5"/>
    <x v="3"/>
  </r>
  <r>
    <s v="31/12/2025"/>
    <s v="6B"/>
    <x v="0"/>
    <s v="DPZ6B"/>
    <s v="6B53032AX848"/>
    <x v="201"/>
    <s v="1"/>
    <s v="DONDOL360DTV"/>
    <s v="5303"/>
    <s v="2"/>
    <n v="1"/>
    <n v="0"/>
    <n v="0"/>
    <n v="0"/>
    <d v="2025-12-31T00:00:00"/>
    <n v="0"/>
    <n v="3.3609"/>
    <x v="0"/>
    <n v="104988.7785"/>
    <n v="31222.5"/>
    <s v=""/>
    <n v="0"/>
    <n v="0"/>
    <n v="0"/>
    <n v="0"/>
    <s v="2"/>
    <n v="26256910350.436607"/>
    <n v="0"/>
    <n v="0"/>
    <n v="0"/>
    <n v="0"/>
    <n v="0"/>
    <n v="0"/>
    <n v="0"/>
    <x v="27"/>
    <x v="95"/>
    <n v="0"/>
    <n v="0"/>
    <x v="5"/>
    <x v="10"/>
    <n v="0"/>
    <x v="5"/>
    <x v="3"/>
  </r>
  <r>
    <s v="31/12/2025"/>
    <s v="6B"/>
    <x v="0"/>
    <s v="DPZ6B"/>
    <s v="6B53032AX847"/>
    <x v="201"/>
    <s v="1"/>
    <s v="DONDOL360DTV"/>
    <s v="5303"/>
    <s v="2"/>
    <n v="1"/>
    <n v="0"/>
    <n v="0"/>
    <n v="0"/>
    <d v="2025-12-31T00:00:00"/>
    <n v="0"/>
    <n v="3.3609"/>
    <x v="0"/>
    <n v="32702686.968818001"/>
    <n v="9725416.9299999997"/>
    <s v=""/>
    <n v="0"/>
    <n v="0"/>
    <n v="0"/>
    <n v="0"/>
    <s v="2"/>
    <n v="26256910350.436607"/>
    <n v="0"/>
    <n v="0"/>
    <n v="0"/>
    <n v="0"/>
    <n v="0"/>
    <n v="0"/>
    <n v="0"/>
    <x v="27"/>
    <x v="95"/>
    <n v="0"/>
    <n v="0"/>
    <x v="5"/>
    <x v="10"/>
    <n v="0"/>
    <x v="5"/>
    <x v="3"/>
  </r>
  <r>
    <s v="31/12/2025"/>
    <s v="6B"/>
    <x v="0"/>
    <s v="DPZ6B"/>
    <s v="6B53232AX846"/>
    <x v="201"/>
    <s v="1"/>
    <s v="DONDOL360DTV"/>
    <s v="5323"/>
    <s v="2"/>
    <n v="1"/>
    <n v="0"/>
    <n v="0"/>
    <n v="0"/>
    <d v="2025-12-31T00:00:00"/>
    <n v="0"/>
    <n v="3.3609"/>
    <x v="0"/>
    <n v="27649723.786664002"/>
    <n v="8222721.6399999997"/>
    <s v=""/>
    <n v="0"/>
    <n v="0"/>
    <n v="0"/>
    <n v="0"/>
    <s v="2"/>
    <n v="26256910350.436607"/>
    <n v="0"/>
    <n v="0"/>
    <n v="0"/>
    <n v="0"/>
    <n v="0"/>
    <n v="0"/>
    <n v="0"/>
    <x v="27"/>
    <x v="95"/>
    <n v="0"/>
    <n v="0"/>
    <x v="5"/>
    <x v="10"/>
    <n v="0"/>
    <x v="5"/>
    <x v="3"/>
  </r>
  <r>
    <s v="31/12/2025"/>
    <s v="6B"/>
    <x v="0"/>
    <s v="DPZ6B"/>
    <s v="6B52022AX852"/>
    <x v="201"/>
    <s v="1"/>
    <s v="DONDOL360DTV"/>
    <s v="5202"/>
    <s v="2"/>
    <n v="1"/>
    <n v="0"/>
    <n v="0"/>
    <n v="0"/>
    <d v="2025-12-31T00:00:00"/>
    <n v="0"/>
    <n v="3.3609"/>
    <x v="0"/>
    <n v="2092561.817846"/>
    <n v="622304.71"/>
    <s v=""/>
    <n v="0"/>
    <n v="0"/>
    <n v="0"/>
    <n v="0"/>
    <s v="2"/>
    <n v="26256910350.436607"/>
    <n v="0"/>
    <n v="0"/>
    <n v="0"/>
    <n v="0"/>
    <n v="0"/>
    <n v="0"/>
    <n v="0"/>
    <x v="27"/>
    <x v="95"/>
    <n v="0"/>
    <n v="0"/>
    <x v="5"/>
    <x v="10"/>
    <n v="0"/>
    <x v="5"/>
    <x v="3"/>
  </r>
  <r>
    <s v="31/12/2025"/>
    <s v="6B"/>
    <x v="3"/>
    <s v="DPZ6B"/>
    <s v="6B58502AX865"/>
    <x v="201"/>
    <s v="1"/>
    <s v="DONDOL360DTV"/>
    <s v="5850"/>
    <s v="2"/>
    <n v="1"/>
    <n v="7301702.3229839997"/>
    <n v="2172543.7599999998"/>
    <n v="0"/>
    <d v="2026-01-02T00:00:00"/>
    <n v="2"/>
    <n v="3.3609"/>
    <x v="0"/>
    <m/>
    <m/>
    <s v=""/>
    <n v="0"/>
    <n v="0"/>
    <n v="0"/>
    <n v="0"/>
    <s v="2"/>
    <n v="3164069580.822104"/>
    <n v="2.3076933475928286E-3"/>
    <n v="2.1725437599999999"/>
    <n v="0"/>
    <n v="0"/>
    <n v="0"/>
    <n v="2.1725437599999999"/>
    <n v="2.1725437599999999"/>
    <x v="27"/>
    <x v="95"/>
    <n v="0"/>
    <n v="0"/>
    <x v="5"/>
    <x v="10"/>
    <n v="0"/>
    <x v="5"/>
    <x v="3"/>
  </r>
  <r>
    <s v="31/12/2025"/>
    <s v="6B"/>
    <x v="0"/>
    <s v="DPZ6B"/>
    <s v="6B53032AX876"/>
    <x v="201"/>
    <s v="1"/>
    <s v="DONDOL360DTV"/>
    <s v="5303"/>
    <s v="2"/>
    <n v="1"/>
    <n v="2487066"/>
    <n v="740000"/>
    <n v="0"/>
    <d v="2026-01-02T00:00:00"/>
    <n v="2"/>
    <n v="3.3609"/>
    <x v="0"/>
    <m/>
    <m/>
    <s v=""/>
    <n v="0"/>
    <n v="0"/>
    <n v="0"/>
    <n v="0"/>
    <s v="2"/>
    <n v="26256910350.436607"/>
    <n v="9.4720436136868036E-5"/>
    <n v="0.74"/>
    <n v="0"/>
    <n v="0"/>
    <n v="0.74"/>
    <n v="0"/>
    <n v="0.74"/>
    <x v="27"/>
    <x v="95"/>
    <n v="0"/>
    <n v="0"/>
    <x v="5"/>
    <x v="10"/>
    <n v="0"/>
    <x v="5"/>
    <x v="3"/>
  </r>
  <r>
    <s v="31/12/2025"/>
    <s v="6B"/>
    <x v="0"/>
    <s v="DPZ6B"/>
    <s v="6B52022AX881"/>
    <x v="201"/>
    <s v="1"/>
    <s v="DONDOL360DTV"/>
    <s v="5202"/>
    <s v="2"/>
    <n v="1"/>
    <n v="59315418.263072997"/>
    <n v="17648670.969999999"/>
    <n v="0"/>
    <d v="2026-01-02T00:00:00"/>
    <n v="2"/>
    <n v="3.3609"/>
    <x v="0"/>
    <m/>
    <m/>
    <s v=""/>
    <n v="0"/>
    <n v="0"/>
    <n v="0"/>
    <n v="0"/>
    <s v="2"/>
    <n v="26256910350.436607"/>
    <n v="2.259040285830381E-3"/>
    <n v="17.648670969999998"/>
    <n v="0"/>
    <n v="0"/>
    <n v="17.648670969999998"/>
    <n v="0"/>
    <n v="17.648670969999998"/>
    <x v="27"/>
    <x v="95"/>
    <n v="0"/>
    <n v="0"/>
    <x v="5"/>
    <x v="10"/>
    <n v="0"/>
    <x v="5"/>
    <x v="3"/>
  </r>
  <r>
    <s v="31/12/2025"/>
    <s v="6B"/>
    <x v="3"/>
    <s v="DPZ6B"/>
    <s v="6B53232AX866"/>
    <x v="201"/>
    <s v="1"/>
    <s v="DONDOL360DTV"/>
    <s v="5323"/>
    <s v="2"/>
    <n v="1"/>
    <n v="3260073"/>
    <n v="970000"/>
    <n v="0"/>
    <d v="2026-01-02T00:00:00"/>
    <n v="2"/>
    <n v="3.3609"/>
    <x v="0"/>
    <m/>
    <m/>
    <s v=""/>
    <n v="0"/>
    <n v="0"/>
    <n v="0"/>
    <n v="0"/>
    <s v="2"/>
    <n v="3164069580.822104"/>
    <n v="1.0303417534683139E-3"/>
    <n v="0.97"/>
    <n v="0"/>
    <n v="0"/>
    <n v="0"/>
    <n v="0.97"/>
    <n v="0.97"/>
    <x v="27"/>
    <x v="95"/>
    <n v="0"/>
    <n v="0"/>
    <x v="5"/>
    <x v="10"/>
    <n v="0"/>
    <x v="5"/>
    <x v="3"/>
  </r>
  <r>
    <s v="31/12/2025"/>
    <s v="6B"/>
    <x v="1"/>
    <s v="DPZ6B"/>
    <s v="6B52022AX890"/>
    <x v="201"/>
    <s v="1"/>
    <s v="DONDOL360DTV"/>
    <s v="5202"/>
    <s v="2"/>
    <n v="1"/>
    <n v="2755938"/>
    <n v="820000"/>
    <n v="0"/>
    <d v="2026-01-02T00:00:00"/>
    <n v="2"/>
    <n v="3.3609"/>
    <x v="0"/>
    <m/>
    <m/>
    <s v=""/>
    <n v="0"/>
    <n v="0"/>
    <n v="0"/>
    <n v="0"/>
    <s v="2"/>
    <n v="7679510866.0565634"/>
    <n v="3.5886894986778982E-4"/>
    <n v="0.82"/>
    <n v="0"/>
    <n v="0.82"/>
    <n v="0"/>
    <n v="0"/>
    <n v="0.82"/>
    <x v="27"/>
    <x v="95"/>
    <n v="0"/>
    <n v="0"/>
    <x v="5"/>
    <x v="10"/>
    <n v="0"/>
    <x v="5"/>
    <x v="3"/>
  </r>
  <r>
    <s v="31/12/2025"/>
    <s v="6B"/>
    <x v="1"/>
    <s v="DPZ6B"/>
    <s v="6B53232AX885"/>
    <x v="201"/>
    <s v="1"/>
    <s v="DONDOL360DTV"/>
    <s v="5323"/>
    <s v="2"/>
    <n v="1"/>
    <n v="2621502"/>
    <n v="780000"/>
    <n v="0"/>
    <d v="2026-01-02T00:00:00"/>
    <n v="2"/>
    <n v="3.3609"/>
    <x v="0"/>
    <m/>
    <m/>
    <s v=""/>
    <n v="0"/>
    <n v="0"/>
    <n v="0"/>
    <n v="0"/>
    <s v="2"/>
    <n v="7679510866.0565634"/>
    <n v="3.4136314743521472E-4"/>
    <n v="0.78"/>
    <n v="0"/>
    <n v="0.78"/>
    <n v="0"/>
    <n v="0"/>
    <n v="0.78"/>
    <x v="27"/>
    <x v="95"/>
    <n v="0"/>
    <n v="0"/>
    <x v="5"/>
    <x v="10"/>
    <n v="0"/>
    <x v="5"/>
    <x v="3"/>
  </r>
  <r>
    <s v="31/12/2025"/>
    <s v="6B"/>
    <x v="3"/>
    <s v="DPZ6B"/>
    <s v="6B52022AX870"/>
    <x v="201"/>
    <s v="1"/>
    <s v="DONDOL360DTV"/>
    <s v="5202"/>
    <s v="2"/>
    <n v="1"/>
    <n v="67218"/>
    <n v="20000"/>
    <n v="0"/>
    <d v="2026-01-02T00:00:00"/>
    <n v="2"/>
    <n v="3.3609"/>
    <x v="0"/>
    <m/>
    <m/>
    <s v=""/>
    <n v="0"/>
    <n v="0"/>
    <n v="0"/>
    <n v="0"/>
    <s v="2"/>
    <n v="3164069580.822104"/>
    <n v="2.1244159865326064E-5"/>
    <n v="0.02"/>
    <n v="0"/>
    <n v="0"/>
    <n v="0"/>
    <n v="0.02"/>
    <n v="0.02"/>
    <x v="27"/>
    <x v="95"/>
    <n v="0"/>
    <n v="0"/>
    <x v="5"/>
    <x v="10"/>
    <n v="0"/>
    <x v="5"/>
    <x v="3"/>
  </r>
  <r>
    <s v="31/12/2025"/>
    <s v="6B"/>
    <x v="0"/>
    <s v="DPZ6B"/>
    <s v="6B53232AX873"/>
    <x v="201"/>
    <s v="1"/>
    <s v="DONDOL360DTV"/>
    <s v="5323"/>
    <s v="2"/>
    <n v="1"/>
    <n v="18451341"/>
    <n v="5490000"/>
    <n v="0"/>
    <d v="2026-01-02T00:00:00"/>
    <n v="2"/>
    <n v="3.3609"/>
    <x v="0"/>
    <m/>
    <m/>
    <s v=""/>
    <n v="0"/>
    <n v="0"/>
    <n v="0"/>
    <n v="0"/>
    <s v="2"/>
    <n v="26256910350.436607"/>
    <n v="7.0272323566406155E-4"/>
    <n v="5.49"/>
    <n v="0"/>
    <n v="0"/>
    <n v="5.49"/>
    <n v="0"/>
    <n v="5.49"/>
    <x v="27"/>
    <x v="95"/>
    <n v="0"/>
    <n v="0"/>
    <x v="5"/>
    <x v="10"/>
    <n v="0"/>
    <x v="5"/>
    <x v="3"/>
  </r>
  <r>
    <s v="31/12/2025"/>
    <s v="6B"/>
    <x v="0"/>
    <s v="DPZ6B"/>
    <s v="6B53232AX875"/>
    <x v="201"/>
    <s v="1"/>
    <s v="DONDOL360DTV"/>
    <s v="5323"/>
    <s v="2"/>
    <n v="1"/>
    <n v="3764208"/>
    <n v="1120000"/>
    <n v="0"/>
    <d v="2026-01-02T00:00:00"/>
    <n v="2"/>
    <n v="3.3609"/>
    <x v="0"/>
    <m/>
    <m/>
    <s v=""/>
    <n v="0"/>
    <n v="0"/>
    <n v="0"/>
    <n v="0"/>
    <s v="2"/>
    <n v="26256910350.436607"/>
    <n v="1.4336066009904352E-4"/>
    <n v="1.1200000000000001"/>
    <n v="0"/>
    <n v="0"/>
    <n v="1.1200000000000001"/>
    <n v="0"/>
    <n v="1.1200000000000001"/>
    <x v="27"/>
    <x v="95"/>
    <n v="0"/>
    <n v="0"/>
    <x v="5"/>
    <x v="10"/>
    <n v="0"/>
    <x v="5"/>
    <x v="3"/>
  </r>
  <r>
    <s v="31/12/2025"/>
    <s v="6B"/>
    <x v="0"/>
    <s v="DPZ6B"/>
    <s v="6B53232AX882"/>
    <x v="201"/>
    <s v="1"/>
    <s v="DONDOL360DTV"/>
    <s v="5323"/>
    <s v="2"/>
    <n v="1"/>
    <n v="35759976"/>
    <n v="10640000"/>
    <n v="0"/>
    <d v="2026-01-02T00:00:00"/>
    <n v="2"/>
    <n v="3.3609"/>
    <x v="0"/>
    <m/>
    <m/>
    <s v=""/>
    <n v="0"/>
    <n v="0"/>
    <n v="0"/>
    <n v="0"/>
    <s v="2"/>
    <n v="26256910350.436607"/>
    <n v="1.3619262709409134E-3"/>
    <n v="10.64"/>
    <n v="0"/>
    <n v="0"/>
    <n v="10.64"/>
    <n v="0"/>
    <n v="10.64"/>
    <x v="27"/>
    <x v="95"/>
    <n v="0"/>
    <n v="0"/>
    <x v="5"/>
    <x v="10"/>
    <n v="0"/>
    <x v="5"/>
    <x v="3"/>
  </r>
  <r>
    <s v="31/12/2025"/>
    <s v="6B"/>
    <x v="1"/>
    <s v="DPZ6B"/>
    <s v="6B53032AX886"/>
    <x v="201"/>
    <s v="1"/>
    <s v="DONDOL360DTV"/>
    <s v="5303"/>
    <s v="2"/>
    <n v="1"/>
    <n v="8032551"/>
    <n v="2390000"/>
    <n v="0"/>
    <d v="2026-01-02T00:00:00"/>
    <n v="2"/>
    <n v="3.3609"/>
    <x v="0"/>
    <m/>
    <m/>
    <s v=""/>
    <n v="0"/>
    <n v="0"/>
    <n v="0"/>
    <n v="0"/>
    <s v="2"/>
    <n v="7679510866.0565634"/>
    <n v="1.0459716953463631E-3"/>
    <n v="2.39"/>
    <n v="0"/>
    <n v="2.39"/>
    <n v="0"/>
    <n v="0"/>
    <n v="2.39"/>
    <x v="27"/>
    <x v="95"/>
    <n v="0"/>
    <n v="0"/>
    <x v="5"/>
    <x v="10"/>
    <n v="0"/>
    <x v="5"/>
    <x v="3"/>
  </r>
  <r>
    <s v="31/12/2025"/>
    <s v="6B"/>
    <x v="0"/>
    <s v="DPZ6B"/>
    <s v="6B52022AX878"/>
    <x v="201"/>
    <s v="1"/>
    <s v="DONDOL360DTV"/>
    <s v="5202"/>
    <s v="2"/>
    <n v="1"/>
    <n v="31861332"/>
    <n v="9480000"/>
    <n v="0"/>
    <d v="2026-01-02T00:00:00"/>
    <n v="2"/>
    <n v="3.3609"/>
    <x v="0"/>
    <m/>
    <m/>
    <s v=""/>
    <n v="0"/>
    <n v="0"/>
    <n v="0"/>
    <n v="0"/>
    <s v="2"/>
    <n v="26256910350.436607"/>
    <n v="1.213445587266904E-3"/>
    <n v="9.48"/>
    <n v="0"/>
    <n v="0"/>
    <n v="9.48"/>
    <n v="0"/>
    <n v="9.48"/>
    <x v="27"/>
    <x v="95"/>
    <n v="0"/>
    <n v="0"/>
    <x v="5"/>
    <x v="10"/>
    <n v="0"/>
    <x v="5"/>
    <x v="3"/>
  </r>
  <r>
    <s v="31/12/2025"/>
    <s v="6B"/>
    <x v="3"/>
    <s v="DPZ6B"/>
    <s v="6B53232AX867"/>
    <x v="201"/>
    <s v="1"/>
    <s v="DONDOL360DTV"/>
    <s v="5323"/>
    <s v="2"/>
    <n v="1"/>
    <n v="4906914"/>
    <n v="1460000"/>
    <n v="0"/>
    <d v="2026-01-02T00:00:00"/>
    <n v="2"/>
    <n v="3.3609"/>
    <x v="0"/>
    <m/>
    <m/>
    <s v=""/>
    <n v="0"/>
    <n v="0"/>
    <n v="0"/>
    <n v="0"/>
    <s v="2"/>
    <n v="3164069580.822104"/>
    <n v="1.5508236701688026E-3"/>
    <n v="1.46"/>
    <n v="0"/>
    <n v="0"/>
    <n v="0"/>
    <n v="1.46"/>
    <n v="1.46"/>
    <x v="27"/>
    <x v="95"/>
    <n v="0"/>
    <n v="0"/>
    <x v="5"/>
    <x v="10"/>
    <n v="0"/>
    <x v="5"/>
    <x v="3"/>
  </r>
  <r>
    <s v="31/12/2025"/>
    <s v="6B"/>
    <x v="3"/>
    <s v="DPZ6B"/>
    <s v="6B52022AX871"/>
    <x v="201"/>
    <s v="1"/>
    <s v="DONDOL360DTV"/>
    <s v="5202"/>
    <s v="2"/>
    <n v="1"/>
    <n v="3528945"/>
    <n v="1050000"/>
    <n v="0"/>
    <d v="2026-01-02T00:00:00"/>
    <n v="2"/>
    <n v="3.3609"/>
    <x v="0"/>
    <m/>
    <m/>
    <s v=""/>
    <n v="0"/>
    <n v="0"/>
    <n v="0"/>
    <n v="0"/>
    <s v="2"/>
    <n v="3164069580.822104"/>
    <n v="1.1153183929296182E-3"/>
    <n v="1.05"/>
    <n v="0"/>
    <n v="0"/>
    <n v="0"/>
    <n v="1.05"/>
    <n v="1.05"/>
    <x v="27"/>
    <x v="95"/>
    <n v="0"/>
    <n v="0"/>
    <x v="5"/>
    <x v="10"/>
    <n v="0"/>
    <x v="5"/>
    <x v="3"/>
  </r>
  <r>
    <s v="31/12/2025"/>
    <s v="6B"/>
    <x v="0"/>
    <s v="DPZ6B"/>
    <s v="6B53232AX874"/>
    <x v="201"/>
    <s v="1"/>
    <s v="DONDOL360DTV"/>
    <s v="5323"/>
    <s v="2"/>
    <n v="1"/>
    <n v="3528945"/>
    <n v="1050000"/>
    <n v="0"/>
    <d v="2026-01-02T00:00:00"/>
    <n v="2"/>
    <n v="3.3609"/>
    <x v="0"/>
    <m/>
    <m/>
    <s v=""/>
    <n v="0"/>
    <n v="0"/>
    <n v="0"/>
    <n v="0"/>
    <s v="2"/>
    <n v="26256910350.436607"/>
    <n v="1.3440061884285331E-4"/>
    <n v="1.05"/>
    <n v="0"/>
    <n v="0"/>
    <n v="1.05"/>
    <n v="0"/>
    <n v="1.05"/>
    <x v="27"/>
    <x v="95"/>
    <n v="0"/>
    <n v="0"/>
    <x v="5"/>
    <x v="10"/>
    <n v="0"/>
    <x v="5"/>
    <x v="3"/>
  </r>
  <r>
    <s v="31/12/2025"/>
    <s v="6B"/>
    <x v="1"/>
    <s v="DPZ6B"/>
    <s v="6B53232AX884"/>
    <x v="201"/>
    <s v="1"/>
    <s v="DONDOL360DTV"/>
    <s v="5323"/>
    <s v="2"/>
    <n v="1"/>
    <n v="13073901"/>
    <n v="3890000"/>
    <n v="0"/>
    <d v="2026-01-02T00:00:00"/>
    <n v="2"/>
    <n v="3.3609"/>
    <x v="0"/>
    <m/>
    <m/>
    <s v=""/>
    <n v="0"/>
    <n v="0"/>
    <n v="0"/>
    <n v="0"/>
    <s v="2"/>
    <n v="7679510866.0565634"/>
    <n v="1.7024392865679298E-3"/>
    <n v="3.89"/>
    <n v="0"/>
    <n v="3.89"/>
    <n v="0"/>
    <n v="0"/>
    <n v="3.89"/>
    <x v="27"/>
    <x v="95"/>
    <n v="0"/>
    <n v="0"/>
    <x v="5"/>
    <x v="10"/>
    <n v="0"/>
    <x v="5"/>
    <x v="3"/>
  </r>
  <r>
    <s v="31/12/2025"/>
    <s v="6B"/>
    <x v="1"/>
    <s v="DPZ6B"/>
    <s v="6B53032AX889"/>
    <x v="201"/>
    <s v="1"/>
    <s v="DONDOL360DTV"/>
    <s v="5303"/>
    <s v="2"/>
    <n v="1"/>
    <n v="1747668"/>
    <n v="520000"/>
    <n v="0"/>
    <d v="2026-01-02T00:00:00"/>
    <n v="2"/>
    <n v="3.3609"/>
    <x v="0"/>
    <m/>
    <m/>
    <s v=""/>
    <n v="0"/>
    <n v="0"/>
    <n v="0"/>
    <n v="0"/>
    <s v="2"/>
    <n v="7679510866.0565634"/>
    <n v="2.2757543162347648E-4"/>
    <n v="0.52"/>
    <n v="0"/>
    <n v="0.52"/>
    <n v="0"/>
    <n v="0"/>
    <n v="0.52"/>
    <x v="27"/>
    <x v="95"/>
    <n v="0"/>
    <n v="0"/>
    <x v="5"/>
    <x v="10"/>
    <n v="0"/>
    <x v="5"/>
    <x v="3"/>
  </r>
  <r>
    <s v="31/12/2025"/>
    <s v="6B"/>
    <x v="0"/>
    <s v="DPZ6B"/>
    <s v="6B53232AX872"/>
    <x v="201"/>
    <s v="1"/>
    <s v="DONDOL360DTV"/>
    <s v="5323"/>
    <s v="2"/>
    <n v="1"/>
    <n v="12704202"/>
    <n v="3780000"/>
    <n v="0"/>
    <d v="2026-01-02T00:00:00"/>
    <n v="2"/>
    <n v="3.3609"/>
    <x v="0"/>
    <m/>
    <m/>
    <s v=""/>
    <n v="0"/>
    <n v="0"/>
    <n v="0"/>
    <n v="0"/>
    <s v="2"/>
    <n v="26256910350.436607"/>
    <n v="4.8384222783427185E-4"/>
    <n v="3.78"/>
    <n v="0"/>
    <n v="0"/>
    <n v="3.78"/>
    <n v="0"/>
    <n v="3.78"/>
    <x v="27"/>
    <x v="95"/>
    <n v="0"/>
    <n v="0"/>
    <x v="5"/>
    <x v="10"/>
    <n v="0"/>
    <x v="5"/>
    <x v="3"/>
  </r>
  <r>
    <s v="31/12/2025"/>
    <s v="6B"/>
    <x v="1"/>
    <s v="DPZ6B"/>
    <s v="6B57642AX883"/>
    <x v="201"/>
    <s v="1"/>
    <s v="DONDOL360DTV"/>
    <s v="5764"/>
    <s v="2"/>
    <n v="1"/>
    <n v="79559467.456980005"/>
    <n v="23672072.199999999"/>
    <n v="0"/>
    <d v="2026-01-02T00:00:00"/>
    <n v="2"/>
    <n v="3.3609"/>
    <x v="0"/>
    <m/>
    <m/>
    <s v=""/>
    <n v="0"/>
    <n v="0"/>
    <n v="0"/>
    <n v="0"/>
    <s v="2"/>
    <n v="7679510866.0565634"/>
    <n v="1.0359965477571344E-2"/>
    <n v="23.672072200000002"/>
    <n v="0"/>
    <n v="23.672072200000002"/>
    <n v="0"/>
    <n v="0"/>
    <n v="23.672072200000002"/>
    <x v="27"/>
    <x v="95"/>
    <n v="0"/>
    <n v="0"/>
    <x v="5"/>
    <x v="10"/>
    <n v="0"/>
    <x v="5"/>
    <x v="3"/>
  </r>
  <r>
    <s v="31/12/2025"/>
    <s v="6B"/>
    <x v="1"/>
    <s v="DPZ6B"/>
    <s v="6B53032AX888"/>
    <x v="201"/>
    <s v="1"/>
    <s v="DONDOL360DTV"/>
    <s v="5303"/>
    <s v="2"/>
    <n v="1"/>
    <n v="31323588"/>
    <n v="9320000"/>
    <n v="0"/>
    <d v="2026-01-02T00:00:00"/>
    <n v="2"/>
    <n v="3.3609"/>
    <x v="0"/>
    <m/>
    <m/>
    <s v=""/>
    <n v="0"/>
    <n v="0"/>
    <n v="0"/>
    <n v="0"/>
    <s v="2"/>
    <n v="7679510866.0565634"/>
    <n v="4.078851966790001E-3"/>
    <n v="9.32"/>
    <n v="0"/>
    <n v="9.32"/>
    <n v="0"/>
    <n v="0"/>
    <n v="9.32"/>
    <x v="27"/>
    <x v="95"/>
    <n v="0"/>
    <n v="0"/>
    <x v="5"/>
    <x v="10"/>
    <n v="0"/>
    <x v="5"/>
    <x v="3"/>
  </r>
  <r>
    <s v="31/12/2025"/>
    <s v="6B"/>
    <x v="0"/>
    <s v="DPZ6B"/>
    <s v="6B52022AX880"/>
    <x v="201"/>
    <s v="1"/>
    <s v="DONDOL360DTV"/>
    <s v="5202"/>
    <s v="2"/>
    <n v="1"/>
    <n v="20266227"/>
    <n v="6030000"/>
    <n v="0"/>
    <d v="2026-01-02T00:00:00"/>
    <n v="2"/>
    <n v="3.3609"/>
    <x v="0"/>
    <m/>
    <m/>
    <s v=""/>
    <n v="0"/>
    <n v="0"/>
    <n v="0"/>
    <n v="0"/>
    <s v="2"/>
    <n v="26256910350.436607"/>
    <n v="7.7184355392610033E-4"/>
    <n v="6.03"/>
    <n v="0"/>
    <n v="0"/>
    <n v="6.03"/>
    <n v="0"/>
    <n v="6.03"/>
    <x v="27"/>
    <x v="95"/>
    <n v="0"/>
    <n v="0"/>
    <x v="5"/>
    <x v="10"/>
    <n v="0"/>
    <x v="5"/>
    <x v="3"/>
  </r>
  <r>
    <s v="31/12/2025"/>
    <s v="6B"/>
    <x v="0"/>
    <s v="DPZ6B"/>
    <s v="6B52022AX879"/>
    <x v="201"/>
    <s v="1"/>
    <s v="DONDOL360DTV"/>
    <s v="5202"/>
    <s v="2"/>
    <n v="1"/>
    <n v="100827"/>
    <n v="30000"/>
    <n v="0"/>
    <d v="2026-01-02T00:00:00"/>
    <n v="2"/>
    <n v="3.3609"/>
    <x v="0"/>
    <m/>
    <m/>
    <s v=""/>
    <n v="0"/>
    <n v="0"/>
    <n v="0"/>
    <n v="0"/>
    <s v="2"/>
    <n v="26256910350.436607"/>
    <n v="3.8400176812243796E-6"/>
    <n v="0.03"/>
    <n v="0"/>
    <n v="0"/>
    <n v="0.03"/>
    <n v="0"/>
    <n v="0.03"/>
    <x v="27"/>
    <x v="95"/>
    <n v="0"/>
    <n v="0"/>
    <x v="5"/>
    <x v="10"/>
    <n v="0"/>
    <x v="5"/>
    <x v="3"/>
  </r>
  <r>
    <s v="31/12/2025"/>
    <s v="6B"/>
    <x v="1"/>
    <s v="DPZ6B"/>
    <s v="6B52022AX891"/>
    <x v="201"/>
    <s v="1"/>
    <s v="DONDOL360DTV"/>
    <s v="5202"/>
    <s v="2"/>
    <n v="1"/>
    <n v="3226464"/>
    <n v="960000"/>
    <n v="0"/>
    <d v="2026-01-02T00:00:00"/>
    <n v="2"/>
    <n v="3.3609"/>
    <x v="0"/>
    <m/>
    <m/>
    <s v=""/>
    <n v="0"/>
    <n v="0"/>
    <n v="0"/>
    <n v="0"/>
    <s v="2"/>
    <n v="7679510866.0565634"/>
    <n v="4.201392583818027E-4"/>
    <n v="0.96"/>
    <n v="0"/>
    <n v="0.96"/>
    <n v="0"/>
    <n v="0"/>
    <n v="0.96"/>
    <x v="27"/>
    <x v="95"/>
    <n v="0"/>
    <n v="0"/>
    <x v="5"/>
    <x v="10"/>
    <n v="0"/>
    <x v="5"/>
    <x v="3"/>
  </r>
  <r>
    <s v="31/12/2025"/>
    <s v="6B"/>
    <x v="3"/>
    <s v="DPZ6B"/>
    <s v="6B53232AX868"/>
    <x v="201"/>
    <s v="1"/>
    <s v="DONDOL360DTV"/>
    <s v="5323"/>
    <s v="2"/>
    <n v="1"/>
    <n v="336090"/>
    <n v="100000"/>
    <n v="0"/>
    <d v="2026-01-02T00:00:00"/>
    <n v="2"/>
    <n v="3.3609"/>
    <x v="0"/>
    <m/>
    <m/>
    <s v=""/>
    <n v="0"/>
    <n v="0"/>
    <n v="0"/>
    <n v="0"/>
    <s v="2"/>
    <n v="3164069580.822104"/>
    <n v="1.0622079932663031E-4"/>
    <n v="0.1"/>
    <n v="0"/>
    <n v="0"/>
    <n v="0"/>
    <n v="0.1"/>
    <n v="0.1"/>
    <x v="27"/>
    <x v="95"/>
    <n v="0"/>
    <n v="0"/>
    <x v="5"/>
    <x v="10"/>
    <n v="0"/>
    <x v="5"/>
    <x v="3"/>
  </r>
  <r>
    <s v="31/12/2025"/>
    <s v="6B"/>
    <x v="0"/>
    <s v="DPZ6B"/>
    <s v="6B52022AX877"/>
    <x v="201"/>
    <s v="1"/>
    <s v="DONDOL360DTV"/>
    <s v="5202"/>
    <s v="2"/>
    <n v="1"/>
    <n v="8805558"/>
    <n v="2620000"/>
    <n v="0"/>
    <d v="2026-01-02T00:00:00"/>
    <n v="2"/>
    <n v="3.3609"/>
    <x v="0"/>
    <m/>
    <m/>
    <s v=""/>
    <n v="0"/>
    <n v="0"/>
    <n v="0"/>
    <n v="0"/>
    <s v="2"/>
    <n v="26256910350.436607"/>
    <n v="3.3536154416026248E-4"/>
    <n v="2.62"/>
    <n v="0"/>
    <n v="0"/>
    <n v="2.62"/>
    <n v="0"/>
    <n v="2.62"/>
    <x v="27"/>
    <x v="95"/>
    <n v="0"/>
    <n v="0"/>
    <x v="5"/>
    <x v="10"/>
    <n v="0"/>
    <x v="5"/>
    <x v="3"/>
  </r>
  <r>
    <s v="31/12/2025"/>
    <s v="6B"/>
    <x v="1"/>
    <s v="DPZ6B"/>
    <s v="6B53032AX887"/>
    <x v="201"/>
    <s v="1"/>
    <s v="DONDOL360DTV"/>
    <s v="5303"/>
    <s v="2"/>
    <n v="1"/>
    <n v="2554284"/>
    <n v="760000"/>
    <n v="0"/>
    <d v="2026-01-02T00:00:00"/>
    <n v="2"/>
    <n v="3.3609"/>
    <x v="0"/>
    <m/>
    <m/>
    <s v=""/>
    <n v="0"/>
    <n v="0"/>
    <n v="0"/>
    <n v="0"/>
    <s v="2"/>
    <n v="7679510866.0565634"/>
    <n v="3.3261024621892714E-4"/>
    <n v="0.76"/>
    <n v="0"/>
    <n v="0.76"/>
    <n v="0"/>
    <n v="0"/>
    <n v="0.76"/>
    <x v="27"/>
    <x v="95"/>
    <n v="0"/>
    <n v="0"/>
    <x v="5"/>
    <x v="10"/>
    <n v="0"/>
    <x v="5"/>
    <x v="3"/>
  </r>
  <r>
    <s v="31/12/2025"/>
    <s v="6B"/>
    <x v="3"/>
    <s v="DPZ6B"/>
    <s v="6B53032AX869"/>
    <x v="201"/>
    <s v="1"/>
    <s v="DONDOL360DTV"/>
    <s v="5303"/>
    <s v="2"/>
    <n v="1"/>
    <n v="19224348"/>
    <n v="5720000"/>
    <n v="0"/>
    <d v="2026-01-02T00:00:00"/>
    <n v="2"/>
    <n v="3.3609"/>
    <x v="0"/>
    <m/>
    <m/>
    <s v=""/>
    <n v="0"/>
    <n v="0"/>
    <n v="0"/>
    <n v="0"/>
    <s v="2"/>
    <n v="3164069580.822104"/>
    <n v="6.0758297214832538E-3"/>
    <n v="5.72"/>
    <n v="0"/>
    <n v="0"/>
    <n v="0"/>
    <n v="5.72"/>
    <n v="5.72"/>
    <x v="27"/>
    <x v="95"/>
    <n v="0"/>
    <n v="0"/>
    <x v="5"/>
    <x v="10"/>
    <n v="0"/>
    <x v="5"/>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5512AED-4534-4648-9E5A-5CBA0B119069}" name="PivotTable1" cacheId="3"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5:D22" firstHeaderRow="0" firstDataRow="1" firstDataCol="1" rowPageCount="2" colPageCount="1"/>
  <pivotFields count="43">
    <pivotField showAll="0"/>
    <pivotField showAll="0"/>
    <pivotField axis="axisPage" multipleItemSelectionAllowed="1" showAll="0">
      <items count="5">
        <item h="1" x="2"/>
        <item x="1"/>
        <item x="0"/>
        <item x="3"/>
        <item t="default"/>
      </items>
    </pivotField>
    <pivotField showAll="0"/>
    <pivotField showAll="0"/>
    <pivotField axis="axisRow" showAll="0">
      <items count="203">
        <item x="84"/>
        <item x="83"/>
        <item x="82"/>
        <item x="69"/>
        <item x="41"/>
        <item x="27"/>
        <item x="49"/>
        <item x="145"/>
        <item x="146"/>
        <item x="181"/>
        <item x="173"/>
        <item x="193"/>
        <item x="175"/>
        <item x="170"/>
        <item x="196"/>
        <item x="166"/>
        <item x="178"/>
        <item x="179"/>
        <item x="52"/>
        <item x="12"/>
        <item x="16"/>
        <item x="15"/>
        <item x="14"/>
        <item x="17"/>
        <item x="96"/>
        <item x="97"/>
        <item x="8"/>
        <item x="85"/>
        <item x="75"/>
        <item x="105"/>
        <item x="102"/>
        <item x="198"/>
        <item x="104"/>
        <item x="103"/>
        <item x="195"/>
        <item x="130"/>
        <item x="147"/>
        <item x="149"/>
        <item x="28"/>
        <item x="66"/>
        <item x="186"/>
        <item x="73"/>
        <item x="185"/>
        <item x="44"/>
        <item x="67"/>
        <item x="53"/>
        <item x="188"/>
        <item x="43"/>
        <item x="180"/>
        <item x="171"/>
        <item x="191"/>
        <item x="54"/>
        <item x="184"/>
        <item x="125"/>
        <item x="148"/>
        <item x="115"/>
        <item x="199"/>
        <item x="55"/>
        <item x="56"/>
        <item x="63"/>
        <item x="200"/>
        <item x="57"/>
        <item x="86"/>
        <item x="87"/>
        <item x="88"/>
        <item x="46"/>
        <item x="109"/>
        <item x="35"/>
        <item x="65"/>
        <item x="194"/>
        <item x="133"/>
        <item x="0"/>
        <item x="2"/>
        <item x="1"/>
        <item x="3"/>
        <item x="4"/>
        <item x="150"/>
        <item x="58"/>
        <item x="116"/>
        <item x="9"/>
        <item x="7"/>
        <item x="183"/>
        <item x="190"/>
        <item x="21"/>
        <item x="40"/>
        <item x="23"/>
        <item x="22"/>
        <item x="45"/>
        <item x="37"/>
        <item x="36"/>
        <item x="59"/>
        <item x="42"/>
        <item x="24"/>
        <item x="114"/>
        <item x="131"/>
        <item x="122"/>
        <item x="19"/>
        <item x="138"/>
        <item x="152"/>
        <item x="78"/>
        <item x="182"/>
        <item x="128"/>
        <item x="197"/>
        <item x="90"/>
        <item x="89"/>
        <item x="127"/>
        <item x="126"/>
        <item x="174"/>
        <item x="13"/>
        <item x="32"/>
        <item x="79"/>
        <item x="74"/>
        <item x="121"/>
        <item x="33"/>
        <item x="64"/>
        <item x="129"/>
        <item x="141"/>
        <item x="71"/>
        <item x="60"/>
        <item x="177"/>
        <item x="31"/>
        <item x="187"/>
        <item x="169"/>
        <item x="172"/>
        <item x="176"/>
        <item x="168"/>
        <item x="154"/>
        <item x="118"/>
        <item x="120"/>
        <item x="119"/>
        <item x="117"/>
        <item x="101"/>
        <item x="143"/>
        <item x="20"/>
        <item x="189"/>
        <item x="110"/>
        <item x="111"/>
        <item x="18"/>
        <item x="132"/>
        <item x="155"/>
        <item x="76"/>
        <item x="91"/>
        <item x="39"/>
        <item x="26"/>
        <item x="139"/>
        <item x="50"/>
        <item x="112"/>
        <item x="156"/>
        <item x="158"/>
        <item x="81"/>
        <item x="25"/>
        <item x="29"/>
        <item x="38"/>
        <item x="167"/>
        <item x="159"/>
        <item x="51"/>
        <item x="77"/>
        <item x="161"/>
        <item x="162"/>
        <item x="163"/>
        <item x="164"/>
        <item x="165"/>
        <item x="124"/>
        <item x="192"/>
        <item x="62"/>
        <item x="61"/>
        <item x="94"/>
        <item x="95"/>
        <item x="80"/>
        <item x="34"/>
        <item x="137"/>
        <item x="142"/>
        <item x="108"/>
        <item x="160"/>
        <item x="92"/>
        <item x="151"/>
        <item x="107"/>
        <item x="123"/>
        <item x="6"/>
        <item x="72"/>
        <item x="98"/>
        <item x="113"/>
        <item x="5"/>
        <item x="10"/>
        <item x="11"/>
        <item x="30"/>
        <item x="47"/>
        <item x="48"/>
        <item x="68"/>
        <item x="70"/>
        <item x="93"/>
        <item x="99"/>
        <item x="100"/>
        <item x="106"/>
        <item x="134"/>
        <item x="135"/>
        <item x="136"/>
        <item x="140"/>
        <item x="144"/>
        <item x="153"/>
        <item x="157"/>
        <item x="201"/>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4730">
        <item x="95"/>
        <item m="1" x="4539"/>
        <item m="1" x="4630"/>
        <item m="1" x="4633"/>
        <item m="1" x="4513"/>
        <item m="1" x="4632"/>
        <item m="1" x="4512"/>
        <item m="1" x="4557"/>
        <item m="1" x="4631"/>
        <item m="1" x="4561"/>
        <item m="1" x="4455"/>
        <item m="1" x="4560"/>
        <item m="1" x="4519"/>
        <item m="1" x="4530"/>
        <item m="1" x="4554"/>
        <item m="1" x="4525"/>
        <item m="1" x="4522"/>
        <item m="1" x="4571"/>
        <item m="1" x="4607"/>
        <item m="1" x="4478"/>
        <item m="1" x="4555"/>
        <item m="1" x="4457"/>
        <item m="1" x="4456"/>
        <item m="1" x="4679"/>
        <item m="1" x="4635"/>
        <item m="1" x="4425"/>
        <item m="1" x="4536"/>
        <item m="1" x="4627"/>
        <item m="1" x="4556"/>
        <item m="1" x="4576"/>
        <item m="1" x="4575"/>
        <item m="1" x="4686"/>
        <item m="1" x="4551"/>
        <item m="1" x="4480"/>
        <item m="1" x="4628"/>
        <item m="1" x="4634"/>
        <item m="1" x="4728"/>
        <item m="1" x="4534"/>
        <item m="1" x="4348"/>
        <item m="1" x="4629"/>
        <item m="1" x="4524"/>
        <item m="1" x="4682"/>
        <item m="1" x="4596"/>
        <item m="1" x="4688"/>
        <item m="1" x="4727"/>
        <item m="1" x="4619"/>
        <item m="1" x="4402"/>
        <item m="1" x="4621"/>
        <item m="1" x="4535"/>
        <item m="1" x="4354"/>
        <item m="1" x="4443"/>
        <item m="1" x="4690"/>
        <item m="1" x="4687"/>
        <item m="1" x="4401"/>
        <item m="1" x="4681"/>
        <item m="1" x="4601"/>
        <item m="1" x="4350"/>
        <item m="1" x="4597"/>
        <item m="1" x="4685"/>
        <item m="1" x="4385"/>
        <item m="1" x="4386"/>
        <item m="1" x="4684"/>
        <item m="1" x="4620"/>
        <item m="1" x="4678"/>
        <item m="1" x="4614"/>
        <item m="1" x="4400"/>
        <item m="1" x="4616"/>
        <item m="1" x="4397"/>
        <item m="1" x="4602"/>
        <item m="1" x="4683"/>
        <item m="1" x="4599"/>
        <item m="1" x="4359"/>
        <item m="1" x="4399"/>
        <item m="1" x="4371"/>
        <item m="1" x="4689"/>
        <item m="1" x="4370"/>
        <item m="1" x="4446"/>
        <item m="1" x="4418"/>
        <item m="1" x="4598"/>
        <item m="1" x="4600"/>
        <item m="1" x="4347"/>
        <item m="1" x="4677"/>
        <item m="1" x="4349"/>
        <item m="1" x="4694"/>
        <item m="1" x="4696"/>
        <item m="1" x="4608"/>
        <item m="1" x="4444"/>
        <item m="1" x="4384"/>
        <item m="1" x="4353"/>
        <item m="1" x="4360"/>
        <item m="1" x="4431"/>
        <item m="1" x="4343"/>
        <item m="1" x="4398"/>
        <item m="1" x="4516"/>
        <item m="1" x="4344"/>
        <item m="1" x="4339"/>
        <item m="1" x="4352"/>
        <item m="1" x="4546"/>
        <item m="1" x="4594"/>
        <item m="1" x="4547"/>
        <item m="1" x="4338"/>
        <item m="1" x="4311"/>
        <item m="1" x="4622"/>
        <item m="1" x="4372"/>
        <item m="1" x="4340"/>
        <item m="1" x="4671"/>
        <item m="1" x="4663"/>
        <item m="1" x="4611"/>
        <item m="1" x="4405"/>
        <item m="1" x="4693"/>
        <item m="1" x="4427"/>
        <item m="1" x="4615"/>
        <item m="1" x="4708"/>
        <item m="1" x="4448"/>
        <item m="1" x="4375"/>
        <item m="1" x="4337"/>
        <item m="1" x="4714"/>
        <item m="1" x="4672"/>
        <item m="1" x="4612"/>
        <item m="1" x="4518"/>
        <item m="1" x="4346"/>
        <item m="1" x="4617"/>
        <item m="1" x="4707"/>
        <item m="1" x="4276"/>
        <item m="1" x="4604"/>
        <item m="1" x="4345"/>
        <item m="1" x="4335"/>
        <item m="1" x="4369"/>
        <item m="1" x="4680"/>
        <item m="1" x="4713"/>
        <item m="1" x="4695"/>
        <item m="1" x="4408"/>
        <item m="1" x="4515"/>
        <item m="1" x="4341"/>
        <item m="1" x="4342"/>
        <item m="1" x="4426"/>
        <item m="1" x="4605"/>
        <item m="1" x="4445"/>
        <item m="1" x="4412"/>
        <item m="1" x="4537"/>
        <item m="1" x="4404"/>
        <item m="1" x="4391"/>
        <item m="1" x="4336"/>
        <item m="1" x="4433"/>
        <item m="1" x="4606"/>
        <item m="1" x="4662"/>
        <item m="1" x="4538"/>
        <item m="1" x="4618"/>
        <item m="1" x="4275"/>
        <item m="1" x="4613"/>
        <item m="1" x="4403"/>
        <item m="1" x="4655"/>
        <item m="1" x="4532"/>
        <item m="1" x="4704"/>
        <item m="1" x="4291"/>
        <item m="1" x="4657"/>
        <item m="1" x="4447"/>
        <item m="1" x="4711"/>
        <item m="1" x="4726"/>
        <item m="1" x="4623"/>
        <item m="1" x="4517"/>
        <item m="1" x="4595"/>
        <item m="1" x="4703"/>
        <item m="1" x="4413"/>
        <item m="1" x="4626"/>
        <item m="1" x="4717"/>
        <item m="1" x="4649"/>
        <item m="1" x="4692"/>
        <item m="1" x="4298"/>
        <item m="1" x="4475"/>
        <item m="1" x="4548"/>
        <item m="1" x="4603"/>
        <item m="1" x="4559"/>
        <item m="1" x="4715"/>
        <item m="1" x="4414"/>
        <item m="1" x="4387"/>
        <item m="1" x="4287"/>
        <item m="1" x="4373"/>
        <item m="1" x="4625"/>
        <item m="1" x="4531"/>
        <item m="1" x="4654"/>
        <item m="1" x="4361"/>
        <item m="1" x="4647"/>
        <item m="1" x="4501"/>
        <item m="1" x="4656"/>
        <item m="1" x="4691"/>
        <item m="1" x="4700"/>
        <item m="1" x="4529"/>
        <item m="1" x="4415"/>
        <item m="1" x="4624"/>
        <item m="1" x="4356"/>
        <item m="1" x="4409"/>
        <item m="1" x="4503"/>
        <item m="1" x="4355"/>
        <item m="1" x="4432"/>
        <item m="1" x="4710"/>
        <item m="1" x="4541"/>
        <item m="1" x="4362"/>
        <item m="1" x="4563"/>
        <item m="1" x="4374"/>
        <item m="1" x="4487"/>
        <item m="1" x="4587"/>
        <item m="1" x="4609"/>
        <item m="1" x="4567"/>
        <item m="1" x="4550"/>
        <item m="1" x="4702"/>
        <item m="1" x="4406"/>
        <item m="1" x="4333"/>
        <item m="1" x="4509"/>
        <item m="1" x="4653"/>
        <item m="1" x="4395"/>
        <item m="1" x="4589"/>
        <item m="1" x="4648"/>
        <item m="1" x="4486"/>
        <item m="1" x="4719"/>
        <item m="1" x="4705"/>
        <item m="1" x="4452"/>
        <item m="1" x="4720"/>
        <item m="1" x="4407"/>
        <item m="1" x="4473"/>
        <item m="1" x="4483"/>
        <item m="1" x="4651"/>
        <item m="1" x="4592"/>
        <item m="1" x="4449"/>
        <item m="1" x="4307"/>
        <item m="1" x="4610"/>
        <item m="1" x="4334"/>
        <item m="1" x="4568"/>
        <item m="1" x="4523"/>
        <item m="1" x="4718"/>
        <item m="1" x="4645"/>
        <item m="1" x="4588"/>
        <item m="1" x="4676"/>
        <item m="1" x="4504"/>
        <item m="1" x="4467"/>
        <item m="1" x="4390"/>
        <item m="1" x="4698"/>
        <item m="1" x="4558"/>
        <item m="1" x="4553"/>
        <item m="1" x="4461"/>
        <item m="1" x="4297"/>
        <item m="1" x="4357"/>
        <item m="1" x="4722"/>
        <item m="1" x="4420"/>
        <item m="1" x="4659"/>
        <item m="1" x="4382"/>
        <item m="1" x="4521"/>
        <item m="1" x="4716"/>
        <item m="1" x="4388"/>
        <item m="1" x="4273"/>
        <item m="1" x="4310"/>
        <item m="1" x="4646"/>
        <item m="1" x="4643"/>
        <item m="1" x="4574"/>
        <item m="1" x="4725"/>
        <item m="1" x="4474"/>
        <item m="1" x="4500"/>
        <item m="1" x="4497"/>
        <item m="1" x="4471"/>
        <item m="1" x="4499"/>
        <item m="1" x="4316"/>
        <item m="1" x="4706"/>
        <item m="1" x="4284"/>
        <item m="1" x="4508"/>
        <item m="1" x="4302"/>
        <item m="1" x="4383"/>
        <item m="1" x="4482"/>
        <item m="1" x="4488"/>
        <item m="1" x="4493"/>
        <item m="1" x="4652"/>
        <item m="1" x="4314"/>
        <item m="1" x="4380"/>
        <item m="1" x="4281"/>
        <item m="1" x="4502"/>
        <item m="1" x="4528"/>
        <item m="1" x="4485"/>
        <item m="1" x="4712"/>
        <item m="1" x="4365"/>
        <item m="1" x="4366"/>
        <item m="1" x="4351"/>
        <item m="1" x="4552"/>
        <item m="1" x="4419"/>
        <item m="1" x="4494"/>
        <item m="1" x="4490"/>
        <item m="1" x="4411"/>
        <item m="1" x="4543"/>
        <item m="1" x="4312"/>
        <item m="1" x="4437"/>
        <item m="1" x="4489"/>
        <item m="1" x="4505"/>
        <item m="1" x="4392"/>
        <item m="1" x="4639"/>
        <item m="1" x="4451"/>
        <item m="1" x="4545"/>
        <item m="1" x="4540"/>
        <item m="1" x="4507"/>
        <item m="1" x="4439"/>
        <item m="1" x="4376"/>
        <item m="1" x="4572"/>
        <item m="1" x="4666"/>
        <item m="1" x="4514"/>
        <item m="1" x="4641"/>
        <item m="1" x="4511"/>
        <item m="1" x="4642"/>
        <item m="1" x="4484"/>
        <item m="1" x="4564"/>
        <item m="1" x="4389"/>
        <item m="1" x="4593"/>
        <item m="1" x="4394"/>
        <item m="1" x="4320"/>
        <item m="1" x="4315"/>
        <item m="1" x="4381"/>
        <item m="1" x="4709"/>
        <item m="1" x="4562"/>
        <item m="1" x="4274"/>
        <item m="1" x="4644"/>
        <item m="1" x="4379"/>
        <item m="1" x="4417"/>
        <item m="1" x="4549"/>
        <item m="1" x="4724"/>
        <item m="1" x="4721"/>
        <item m="1" x="4323"/>
        <item m="1" x="4701"/>
        <item m="1" x="4313"/>
        <item m="1" x="4453"/>
        <item m="1" x="4464"/>
        <item m="1" x="4699"/>
        <item m="1" x="4454"/>
        <item m="1" x="4358"/>
        <item m="1" x="4697"/>
        <item m="1" x="4410"/>
        <item m="1" x="4664"/>
        <item m="1" x="4658"/>
        <item m="1" x="4364"/>
        <item m="1" x="4581"/>
        <item m="1" x="4492"/>
        <item m="1" x="4363"/>
        <item m="1" x="4295"/>
        <item m="1" x="4673"/>
        <item m="1" x="4579"/>
        <item m="1" x="4650"/>
        <item m="1" x="4675"/>
        <item m="1" x="4434"/>
        <item m="1" x="4570"/>
        <item m="1" x="4321"/>
        <item m="1" x="4496"/>
        <item m="1" x="4472"/>
        <item m="1" x="4665"/>
        <item m="1" x="4526"/>
        <item m="1" x="4396"/>
        <item m="1" x="4416"/>
        <item m="1" x="4660"/>
        <item m="1" x="4520"/>
        <item m="1" x="4299"/>
        <item m="1" x="4458"/>
        <item m="1" x="4469"/>
        <item m="1" x="4377"/>
        <item m="1" x="4586"/>
        <item m="1" x="4378"/>
        <item m="1" x="4583"/>
        <item m="1" x="4590"/>
        <item m="1" x="4495"/>
        <item m="1" x="4544"/>
        <item m="1" x="4591"/>
        <item m="1" x="4470"/>
        <item m="1" x="4498"/>
        <item m="1" x="4584"/>
        <item m="1" x="4450"/>
        <item m="1" x="4580"/>
        <item m="1" x="4542"/>
        <item m="1" x="4296"/>
        <item m="1" x="4638"/>
        <item m="1" x="4393"/>
        <item m="1" x="4306"/>
        <item m="1" x="4476"/>
        <item m="1" x="4309"/>
        <item m="1" x="4585"/>
        <item m="1" x="4305"/>
        <item m="1" x="4293"/>
        <item m="1" x="4463"/>
        <item m="1" x="4582"/>
        <item m="1" x="4566"/>
        <item m="1" x="4367"/>
        <item m="1" x="4481"/>
        <item m="1" x="4368"/>
        <item m="1" x="4510"/>
        <item m="1" x="4479"/>
        <item m="1" x="4317"/>
        <item m="1" x="4421"/>
        <item m="1" x="4674"/>
        <item m="1" x="4440"/>
        <item m="1" x="4637"/>
        <item m="1" x="4308"/>
        <item m="1" x="4292"/>
        <item m="1" x="4573"/>
        <item m="1" x="4661"/>
        <item m="1" x="4322"/>
        <item m="1" x="4428"/>
        <item m="1" x="4300"/>
        <item m="1" x="4533"/>
        <item m="1" x="4289"/>
        <item m="1" x="4468"/>
        <item m="1" x="4319"/>
        <item m="1" x="4668"/>
        <item m="1" x="4279"/>
        <item m="1" x="4506"/>
        <item m="1" x="4460"/>
        <item m="1" x="4569"/>
        <item m="1" x="4466"/>
        <item m="1" x="4331"/>
        <item m="1" x="4326"/>
        <item m="1" x="4318"/>
        <item m="1" x="4282"/>
        <item m="1" x="4527"/>
        <item m="1" x="4304"/>
        <item m="1" x="4577"/>
        <item m="1" x="4636"/>
        <item m="1" x="4640"/>
        <item m="1" x="4477"/>
        <item m="1" x="4436"/>
        <item m="1" x="4329"/>
        <item m="1" x="4491"/>
        <item m="1" x="4422"/>
        <item m="1" x="4301"/>
        <item m="1" x="4288"/>
        <item m="1" x="4462"/>
        <item m="1" x="4324"/>
        <item m="1" x="4459"/>
        <item m="1" x="4327"/>
        <item m="1" x="4285"/>
        <item m="1" x="4723"/>
        <item m="1" x="4565"/>
        <item m="1" x="4325"/>
        <item m="1" x="4332"/>
        <item m="1" x="4330"/>
        <item m="1" x="4303"/>
        <item m="1" x="4277"/>
        <item m="1" x="4465"/>
        <item m="1" x="4578"/>
        <item m="1" x="4438"/>
        <item m="1" x="4328"/>
        <item m="1" x="4669"/>
        <item m="1" x="4667"/>
        <item m="1" x="4429"/>
        <item m="1" x="4435"/>
        <item m="1" x="4290"/>
        <item m="1" x="4286"/>
        <item m="1" x="4294"/>
        <item m="1" x="4283"/>
        <item m="1" x="4280"/>
        <item m="1" x="4430"/>
        <item m="1" x="4442"/>
        <item m="1" x="4424"/>
        <item m="1" x="4670"/>
        <item m="1" x="4441"/>
        <item m="1" x="4278"/>
        <item m="1" x="4423"/>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5"/>
        <item m="1" x="3196"/>
        <item m="1" x="3197"/>
        <item m="1" x="3198"/>
        <item m="1" x="3199"/>
        <item m="1" x="3200"/>
        <item m="1" x="3201"/>
        <item m="1" x="3202"/>
        <item m="1" x="3203"/>
        <item m="1" x="3204"/>
        <item m="1" x="3205"/>
        <item m="1" x="3206"/>
        <item m="1" x="3207"/>
        <item m="1" x="3208"/>
        <item m="1" x="3209"/>
        <item m="1" x="3210"/>
        <item m="1" x="3211"/>
        <item m="1" x="3212"/>
        <item m="1" x="3213"/>
        <item m="1" x="3214"/>
        <item m="1" x="3215"/>
        <item m="1" x="3216"/>
        <item m="1" x="3217"/>
        <item m="1" x="3218"/>
        <item m="1" x="3219"/>
        <item m="1" x="3220"/>
        <item m="1" x="3221"/>
        <item m="1" x="3222"/>
        <item m="1" x="3223"/>
        <item m="1" x="3224"/>
        <item m="1" x="3225"/>
        <item m="1" x="3226"/>
        <item m="1" x="3227"/>
        <item m="1" x="3228"/>
        <item m="1" x="3229"/>
        <item m="1" x="3230"/>
        <item m="1" x="3231"/>
        <item m="1" x="3232"/>
        <item m="1" x="3233"/>
        <item m="1" x="3234"/>
        <item m="1" x="3235"/>
        <item m="1" x="3236"/>
        <item m="1" x="3237"/>
        <item m="1" x="3238"/>
        <item m="1" x="3239"/>
        <item m="1" x="3240"/>
        <item m="1" x="3241"/>
        <item m="1" x="3242"/>
        <item m="1" x="3243"/>
        <item m="1" x="3244"/>
        <item m="1" x="3245"/>
        <item m="1" x="3246"/>
        <item m="1" x="3247"/>
        <item m="1" x="3248"/>
        <item m="1" x="3249"/>
        <item m="1" x="3250"/>
        <item m="1" x="3251"/>
        <item m="1" x="3252"/>
        <item m="1" x="3253"/>
        <item m="1" x="3254"/>
        <item m="1" x="3255"/>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2758"/>
        <item m="1" x="2769"/>
        <item m="1" x="2763"/>
        <item m="1" x="2753"/>
        <item m="1" x="2773"/>
        <item m="1" x="2755"/>
        <item m="1" x="2771"/>
        <item m="1" x="2767"/>
        <item m="1" x="2765"/>
        <item m="1" x="2760"/>
        <item m="1" x="2759"/>
        <item m="1" x="2764"/>
        <item m="1" x="2754"/>
        <item m="1" x="2770"/>
        <item m="1" x="2756"/>
        <item m="1" x="2774"/>
        <item m="1" x="2768"/>
        <item m="1" x="2766"/>
        <item m="1" x="2761"/>
        <item m="1" x="2772"/>
        <item m="1" x="2757"/>
        <item m="1" x="2762"/>
        <item m="1" x="2777"/>
        <item m="1" x="2779"/>
        <item m="1" x="2776"/>
        <item m="1" x="2778"/>
        <item m="1" x="2775"/>
        <item m="1" x="2780"/>
        <item m="1" x="2782"/>
        <item m="1" x="2783"/>
        <item m="1" x="2781"/>
        <item m="1" x="2784"/>
        <item m="1" x="2785"/>
        <item m="1" x="2788"/>
        <item m="1" x="2787"/>
        <item m="1" x="2786"/>
        <item m="1" x="2799"/>
        <item m="1" x="2797"/>
        <item m="1" x="2791"/>
        <item m="1" x="2789"/>
        <item m="1" x="2794"/>
        <item m="1" x="2798"/>
        <item m="1" x="2800"/>
        <item m="1" x="2792"/>
        <item m="1" x="2795"/>
        <item m="1" x="2790"/>
        <item m="1" x="2796"/>
        <item m="1" x="2793"/>
        <item m="1" x="2805"/>
        <item m="1" x="2802"/>
        <item m="1" x="2803"/>
        <item m="1" x="2804"/>
        <item m="1" x="2806"/>
        <item m="1" x="2801"/>
        <item m="1" x="2807"/>
        <item m="1" x="2809"/>
        <item m="1" x="2808"/>
        <item m="1" x="2810"/>
        <item m="1" x="2811"/>
        <item m="1" x="2812"/>
        <item m="1" x="3006"/>
        <item m="1" x="3005"/>
        <item m="1" x="2813"/>
        <item m="1" x="2814"/>
        <item m="1" x="2816"/>
        <item m="1" x="2815"/>
        <item m="1" x="2817"/>
        <item m="1" x="2818"/>
        <item m="1" x="3007"/>
        <item m="1" x="3008"/>
        <item m="1" x="2819"/>
        <item m="1" x="3009"/>
        <item m="1" x="3010"/>
        <item m="1" x="2821"/>
        <item m="1" x="2820"/>
        <item m="1" x="3012"/>
        <item m="1" x="3011"/>
        <item m="1" x="3013"/>
        <item m="1" x="3014"/>
        <item m="1" x="3015"/>
        <item m="1" x="3017"/>
        <item m="1" x="3016"/>
        <item m="1" x="3018"/>
        <item m="1" x="2822"/>
        <item m="1" x="2823"/>
        <item m="1" x="3021"/>
        <item m="1" x="3025"/>
        <item m="1" x="3020"/>
        <item m="1" x="3022"/>
        <item m="1" x="3019"/>
        <item m="1" x="3024"/>
        <item m="1" x="3023"/>
        <item m="1" x="3026"/>
        <item m="1" x="3027"/>
        <item m="1" x="2825"/>
        <item m="1" x="2824"/>
        <item m="1" x="3028"/>
        <item m="1" x="3029"/>
        <item m="1" x="2826"/>
        <item m="1" x="2829"/>
        <item m="1" x="2827"/>
        <item m="1" x="2828"/>
        <item m="1" x="2831"/>
        <item m="1" x="2833"/>
        <item m="1" x="2830"/>
        <item m="1" x="2832"/>
        <item m="1" x="2836"/>
        <item m="1" x="2834"/>
        <item m="1" x="2835"/>
        <item m="1" x="2837"/>
        <item m="1" x="2838"/>
        <item m="1" x="3031"/>
        <item m="1" x="3030"/>
        <item m="1" x="2839"/>
        <item m="1" x="2840"/>
        <item m="1" x="2841"/>
        <item m="1" x="3034"/>
        <item m="1" x="3033"/>
        <item m="1" x="3032"/>
        <item m="1" x="3037"/>
        <item m="1" x="3036"/>
        <item m="1" x="3035"/>
        <item m="1" x="2842"/>
        <item m="1" x="3039"/>
        <item m="1" x="3040"/>
        <item m="1" x="3038"/>
        <item m="1" x="2843"/>
        <item m="1" x="2845"/>
        <item m="1" x="2844"/>
        <item m="1" x="2847"/>
        <item m="1" x="2848"/>
        <item m="1" x="2846"/>
        <item m="1" x="2849"/>
        <item m="1" x="2851"/>
        <item m="1" x="2850"/>
        <item m="1" x="2853"/>
        <item m="1" x="2854"/>
        <item m="1" x="2852"/>
        <item m="1" x="2856"/>
        <item m="1" x="2857"/>
        <item m="1" x="2855"/>
        <item m="1" x="2858"/>
        <item m="1" x="2860"/>
        <item m="1" x="2859"/>
        <item m="1" x="3042"/>
        <item m="1" x="3043"/>
        <item m="1" x="3041"/>
        <item m="1" x="2861"/>
        <item m="1" x="2863"/>
        <item m="1" x="2862"/>
        <item m="1" x="2865"/>
        <item m="1" x="2866"/>
        <item m="1" x="2864"/>
        <item m="1" x="2867"/>
        <item m="1" x="2870"/>
        <item m="1" x="2869"/>
        <item m="1" x="2872"/>
        <item m="1" x="2868"/>
        <item m="1" x="2871"/>
        <item m="1" x="2873"/>
        <item m="1" x="2875"/>
        <item m="1" x="2874"/>
        <item m="1" x="2876"/>
        <item m="1" x="2878"/>
        <item m="1" x="2877"/>
        <item m="1" x="2880"/>
        <item m="1" x="2881"/>
        <item m="1" x="2879"/>
        <item m="1" x="2882"/>
        <item m="1" x="2884"/>
        <item m="1" x="2883"/>
        <item m="1" x="2887"/>
        <item m="1" x="2885"/>
        <item m="1" x="2889"/>
        <item m="1" x="2888"/>
        <item m="1" x="2886"/>
        <item m="1" x="2890"/>
        <item m="1" x="2891"/>
        <item m="1" x="2892"/>
        <item m="1" x="2895"/>
        <item m="1" x="2893"/>
        <item m="1" x="2894"/>
        <item m="1" x="2896"/>
        <item m="1" x="2897"/>
        <item m="1" x="2919"/>
        <item m="1" x="2916"/>
        <item m="1" x="2913"/>
        <item m="1" x="2922"/>
        <item m="1" x="2905"/>
        <item m="1" x="2902"/>
        <item m="1" x="2899"/>
        <item m="1" x="2906"/>
        <item m="1" x="2907"/>
        <item m="1" x="2918"/>
        <item m="1" x="2912"/>
        <item m="1" x="2910"/>
        <item m="1" x="2904"/>
        <item m="1" x="2921"/>
        <item m="1" x="2915"/>
        <item m="1" x="2901"/>
        <item m="1" x="2909"/>
        <item m="1" x="2920"/>
        <item m="1" x="2900"/>
        <item m="1" x="2898"/>
        <item m="1" x="2914"/>
        <item m="1" x="2911"/>
        <item m="1" x="2917"/>
        <item m="1" x="2908"/>
        <item m="1" x="2903"/>
        <item m="1" x="2923"/>
        <item m="1" x="2924"/>
        <item m="1" x="2926"/>
        <item m="1" x="2925"/>
        <item m="1" x="2928"/>
        <item m="1" x="2927"/>
        <item m="1" x="2929"/>
        <item m="1" x="2930"/>
        <item m="1" x="2931"/>
        <item m="1" x="2934"/>
        <item m="1" x="2933"/>
        <item m="1" x="2932"/>
        <item m="1" x="2938"/>
        <item m="1" x="2937"/>
        <item m="1" x="2939"/>
        <item m="1" x="2935"/>
        <item m="1" x="2936"/>
        <item m="1" x="2940"/>
        <item m="1" x="2941"/>
        <item m="1" x="2942"/>
        <item m="1" x="2943"/>
        <item m="1" x="2944"/>
        <item m="1" x="2946"/>
        <item m="1" x="2945"/>
        <item m="1" x="2947"/>
        <item m="1" x="2949"/>
        <item m="1" x="2948"/>
        <item m="1" x="2951"/>
        <item m="1" x="2952"/>
        <item m="1" x="2950"/>
        <item m="1" x="2953"/>
        <item m="1" x="2954"/>
        <item m="1" x="2955"/>
        <item m="1" x="2958"/>
        <item m="1" x="2957"/>
        <item m="1" x="2956"/>
        <item m="1" x="2959"/>
        <item m="1" x="2960"/>
        <item m="1" x="2963"/>
        <item m="1" x="2962"/>
        <item m="1" x="2961"/>
        <item m="1" x="2966"/>
        <item m="1" x="2967"/>
        <item m="1" x="2965"/>
        <item m="1" x="2964"/>
        <item m="1" x="2968"/>
        <item m="1" x="2969"/>
        <item m="1" x="2972"/>
        <item m="1" x="2971"/>
        <item m="1" x="2970"/>
        <item m="1" x="2973"/>
        <item m="1" x="2974"/>
        <item m="1" x="2975"/>
        <item m="1" x="2976"/>
        <item m="1" x="2978"/>
        <item m="1" x="2977"/>
        <item m="1" x="2979"/>
        <item m="1" x="2980"/>
        <item m="1" x="2981"/>
        <item m="1" x="2982"/>
        <item m="1" x="2984"/>
        <item m="1" x="2985"/>
        <item m="1" x="2983"/>
        <item m="1" x="2986"/>
        <item m="1" x="2989"/>
        <item m="1" x="2988"/>
        <item m="1" x="2987"/>
        <item m="1" x="2993"/>
        <item m="1" x="2990"/>
        <item m="1" x="2992"/>
        <item m="1" x="2994"/>
        <item m="1" x="2991"/>
        <item m="1" x="2995"/>
        <item m="1" x="2996"/>
        <item m="1" x="3002"/>
        <item m="1" x="3004"/>
        <item m="1" x="2998"/>
        <item m="1" x="3000"/>
        <item m="1" x="3001"/>
        <item m="1" x="3003"/>
        <item m="1" x="2997"/>
        <item m="1" x="2999"/>
        <item m="1" x="3044"/>
        <item m="1" x="3045"/>
        <item m="1" x="2342"/>
        <item m="1" x="2347"/>
        <item m="1" x="2343"/>
        <item m="1" x="2350"/>
        <item m="1" x="2340"/>
        <item m="1" x="2345"/>
        <item m="1" x="2351"/>
        <item m="1" x="2344"/>
        <item m="1" x="2352"/>
        <item m="1" x="2341"/>
        <item m="1" x="2348"/>
        <item m="1" x="2346"/>
        <item m="1" x="2353"/>
        <item m="1" x="2339"/>
        <item m="1" x="2349"/>
        <item m="1" x="2354"/>
        <item m="1" x="2355"/>
        <item m="1" x="2356"/>
        <item m="1" x="2357"/>
        <item m="1" x="2358"/>
        <item m="1" x="2359"/>
        <item m="1" x="2360"/>
        <item m="1" x="2365"/>
        <item m="1" x="2361"/>
        <item m="1" x="2362"/>
        <item m="1" x="2363"/>
        <item m="1" x="2364"/>
        <item m="1" x="2366"/>
        <item m="1" x="2368"/>
        <item m="1" x="2367"/>
        <item m="1" x="2369"/>
        <item m="1" x="2370"/>
        <item m="1" x="2371"/>
        <item m="1" x="2372"/>
        <item m="1" x="2376"/>
        <item m="1" x="2375"/>
        <item m="1" x="2378"/>
        <item m="1" x="2373"/>
        <item m="1" x="2377"/>
        <item m="1" x="2374"/>
        <item m="1" x="2379"/>
        <item m="1" x="2380"/>
        <item m="1" x="2382"/>
        <item m="1" x="2381"/>
        <item m="1" x="2389"/>
        <item m="1" x="2388"/>
        <item m="1" x="2390"/>
        <item m="1" x="2393"/>
        <item m="1" x="2394"/>
        <item m="1" x="2421"/>
        <item m="1" x="2422"/>
        <item m="1" x="2433"/>
        <item m="1" x="2432"/>
        <item m="1" x="2434"/>
        <item m="1" x="2435"/>
        <item m="1" x="2749"/>
        <item m="1" x="2750"/>
        <item m="1" x="2751"/>
        <item m="1" x="2752"/>
        <item m="1" x="2440"/>
        <item m="1" x="2441"/>
        <item m="1" x="2442"/>
        <item m="1" x="2458"/>
        <item m="1" x="2457"/>
        <item m="1" x="2459"/>
        <item m="1" x="2472"/>
        <item m="1" x="2478"/>
        <item m="1" x="2477"/>
        <item m="1" x="2476"/>
        <item m="1" x="2481"/>
        <item m="1" x="2479"/>
        <item m="1" x="2480"/>
        <item m="1" x="2484"/>
        <item m="1" x="2483"/>
        <item m="1" x="2482"/>
        <item m="1" x="2487"/>
        <item m="1" x="2485"/>
        <item m="1" x="2486"/>
        <item m="1" x="2491"/>
        <item m="1" x="2492"/>
        <item m="1" x="2493"/>
        <item m="1" x="2496"/>
        <item m="1" x="2495"/>
        <item m="1" x="2494"/>
        <item m="1" x="2500"/>
        <item m="1" x="2502"/>
        <item m="1" x="2501"/>
        <item m="1" x="2504"/>
        <item m="1" x="2503"/>
        <item m="1" x="2505"/>
        <item m="1" x="2507"/>
        <item m="1" x="2510"/>
        <item m="1" x="2508"/>
        <item m="1" x="2509"/>
        <item m="1" x="2511"/>
        <item m="1" x="2506"/>
        <item m="1" x="2516"/>
        <item m="1" x="2517"/>
        <item m="1" x="2515"/>
        <item m="1" x="2522"/>
        <item m="1" x="2523"/>
        <item m="1" x="2521"/>
        <item m="1" x="2525"/>
        <item m="1" x="2524"/>
        <item m="1" x="2526"/>
        <item m="1" x="2534"/>
        <item m="1" x="2535"/>
        <item m="1" x="2533"/>
        <item m="1" x="2536"/>
        <item m="1" x="2537"/>
        <item m="1" x="2571"/>
        <item m="1" x="2573"/>
        <item m="1" x="2572"/>
        <item m="1" x="2575"/>
        <item m="1" x="2574"/>
        <item m="1" x="2576"/>
        <item m="1" x="2578"/>
        <item m="1" x="2577"/>
        <item m="1" x="2592"/>
        <item m="1" x="2584"/>
        <item m="1" x="2581"/>
        <item m="1" x="2585"/>
        <item m="1" x="2591"/>
        <item m="1" x="2583"/>
        <item m="1" x="2588"/>
        <item m="1" x="2595"/>
        <item m="1" x="2580"/>
        <item m="1" x="2586"/>
        <item m="1" x="2596"/>
        <item m="1" x="2582"/>
        <item m="1" x="2589"/>
        <item m="1" x="2587"/>
        <item m="1" x="2593"/>
        <item m="1" x="2597"/>
        <item m="1" x="2579"/>
        <item m="1" x="2590"/>
        <item m="1" x="2594"/>
        <item m="1" x="2598"/>
        <item m="1" x="2600"/>
        <item m="1" x="2599"/>
        <item m="1" x="2601"/>
        <item m="1" x="2602"/>
        <item m="1" x="2604"/>
        <item m="1" x="2603"/>
        <item m="1" x="2605"/>
        <item m="1" x="2606"/>
        <item m="1" x="2607"/>
        <item m="1" x="2609"/>
        <item m="1" x="2610"/>
        <item m="1" x="2608"/>
        <item m="1" x="2617"/>
        <item m="1" x="2611"/>
        <item m="1" x="2614"/>
        <item m="1" x="2615"/>
        <item m="1" x="2612"/>
        <item m="1" x="2613"/>
        <item m="1" x="2616"/>
        <item m="1" x="2619"/>
        <item m="1" x="2618"/>
        <item m="1" x="2620"/>
        <item m="1" x="2622"/>
        <item m="1" x="2621"/>
        <item m="1" x="2624"/>
        <item m="1" x="2623"/>
        <item m="1" x="2625"/>
        <item m="1" x="2626"/>
        <item m="1" x="2627"/>
        <item m="1" x="2632"/>
        <item m="1" x="2633"/>
        <item m="1" x="2635"/>
        <item m="1" x="2634"/>
        <item m="1" x="2636"/>
        <item m="1" x="2637"/>
        <item m="1" x="2639"/>
        <item m="1" x="2640"/>
        <item m="1" x="2638"/>
        <item m="1" x="2641"/>
        <item m="1" x="2642"/>
        <item m="1" x="2644"/>
        <item m="1" x="2645"/>
        <item m="1" x="2643"/>
        <item m="1" x="2650"/>
        <item m="1" x="2649"/>
        <item m="1" x="2654"/>
        <item m="1" x="2651"/>
        <item m="1" x="2653"/>
        <item m="1" x="2652"/>
        <item m="1" x="2656"/>
        <item m="1" x="2655"/>
        <item m="1" x="2657"/>
        <item m="1" x="2658"/>
        <item m="1" x="2659"/>
        <item m="1" x="2660"/>
        <item m="1" x="2661"/>
        <item m="1" x="2662"/>
        <item m="1" x="2664"/>
        <item m="1" x="2663"/>
        <item m="1" x="2666"/>
        <item m="1" x="2665"/>
        <item m="1" x="2668"/>
        <item m="1" x="2667"/>
        <item m="1" x="2670"/>
        <item m="1" x="2674"/>
        <item m="1" x="2675"/>
        <item m="1" x="2669"/>
        <item m="1" x="2672"/>
        <item m="1" x="2671"/>
        <item m="1" x="2673"/>
        <item m="1" x="2676"/>
        <item m="1" x="2680"/>
        <item m="1" x="2678"/>
        <item m="1" x="2679"/>
        <item m="1" x="2677"/>
        <item m="1" x="2682"/>
        <item m="1" x="2683"/>
        <item m="1" x="2681"/>
        <item m="1" x="2687"/>
        <item m="1" x="2685"/>
        <item m="1" x="2684"/>
        <item m="1" x="2686"/>
        <item m="1" x="2741"/>
        <item m="1" x="2743"/>
        <item m="1" x="2746"/>
        <item m="1" x="2744"/>
        <item m="1" x="2745"/>
        <item m="1" x="2742"/>
        <item m="1" x="2748"/>
        <item m="1" x="2747"/>
        <item m="1" x="2383"/>
        <item m="1" x="2384"/>
        <item m="1" x="2385"/>
        <item m="1" x="2386"/>
        <item m="1" x="2387"/>
        <item m="1" x="2391"/>
        <item m="1" x="2392"/>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3"/>
        <item m="1" x="2424"/>
        <item m="1" x="2425"/>
        <item m="1" x="2426"/>
        <item m="1" x="2427"/>
        <item m="1" x="2428"/>
        <item m="1" x="2429"/>
        <item m="1" x="2430"/>
        <item m="1" x="2431"/>
        <item m="1" x="2436"/>
        <item m="1" x="2437"/>
        <item m="1" x="2438"/>
        <item m="1" x="2439"/>
        <item m="1" x="2443"/>
        <item m="1" x="2444"/>
        <item m="1" x="2445"/>
        <item m="1" x="2446"/>
        <item m="1" x="2447"/>
        <item m="1" x="2448"/>
        <item m="1" x="2449"/>
        <item m="1" x="2450"/>
        <item m="1" x="2451"/>
        <item m="1" x="2452"/>
        <item m="1" x="2453"/>
        <item m="1" x="2454"/>
        <item m="1" x="2455"/>
        <item m="1" x="2456"/>
        <item m="1" x="2460"/>
        <item m="1" x="2461"/>
        <item m="1" x="2462"/>
        <item m="1" x="2463"/>
        <item m="1" x="2464"/>
        <item m="1" x="2465"/>
        <item m="1" x="2466"/>
        <item m="1" x="2467"/>
        <item m="1" x="2468"/>
        <item m="1" x="2469"/>
        <item m="1" x="2470"/>
        <item m="1" x="2471"/>
        <item m="1" x="2473"/>
        <item m="1" x="2474"/>
        <item m="1" x="2475"/>
        <item m="1" x="2488"/>
        <item m="1" x="2489"/>
        <item m="1" x="2490"/>
        <item m="1" x="2497"/>
        <item m="1" x="2498"/>
        <item m="1" x="2499"/>
        <item m="1" x="2512"/>
        <item m="1" x="2513"/>
        <item m="1" x="2514"/>
        <item m="1" x="2518"/>
        <item m="1" x="2519"/>
        <item m="1" x="2520"/>
        <item m="1" x="2527"/>
        <item m="1" x="2528"/>
        <item m="1" x="2529"/>
        <item m="1" x="2530"/>
        <item m="1" x="2531"/>
        <item m="1" x="2532"/>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628"/>
        <item m="1" x="2629"/>
        <item m="1" x="2630"/>
        <item m="1" x="2631"/>
        <item m="1" x="2646"/>
        <item m="1" x="2647"/>
        <item m="1" x="2648"/>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095"/>
        <item m="1" x="1096"/>
        <item m="1" x="1097"/>
        <item m="1" x="1098"/>
        <item m="1" x="1099"/>
        <item m="1" x="1100"/>
        <item m="1" x="1107"/>
        <item m="1" x="1108"/>
        <item m="1" x="1109"/>
        <item m="1" x="1110"/>
        <item m="1" x="1111"/>
        <item m="1" x="1112"/>
        <item m="1" x="1101"/>
        <item m="1" x="1102"/>
        <item m="1" x="1103"/>
        <item m="1" x="1104"/>
        <item m="1" x="1105"/>
        <item m="1" x="1106"/>
        <item m="1" x="1113"/>
        <item m="1" x="1114"/>
        <item m="1" x="1115"/>
        <item m="1" x="1116"/>
        <item m="1" x="1117"/>
        <item m="1" x="1118"/>
        <item m="1" x="1119"/>
        <item m="1" x="1121"/>
        <item m="1" x="1122"/>
        <item m="1" x="1120"/>
        <item m="1" x="1123"/>
        <item m="1" x="1124"/>
        <item m="1" x="1127"/>
        <item m="1" x="1128"/>
        <item m="1" x="1125"/>
        <item m="1" x="1126"/>
        <item m="1" x="1133"/>
        <item m="1" x="1134"/>
        <item m="1" x="1129"/>
        <item m="1" x="1130"/>
        <item m="1" x="1131"/>
        <item m="1" x="1132"/>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6"/>
        <item m="1" x="1185"/>
        <item m="1" x="1187"/>
        <item m="1" x="1192"/>
        <item m="1" x="1193"/>
        <item m="1" x="1190"/>
        <item m="1" x="1191"/>
        <item m="1" x="1188"/>
        <item m="1" x="1189"/>
        <item m="1" x="1194"/>
        <item m="1" x="1195"/>
        <item m="1" x="1196"/>
        <item m="1" x="1197"/>
        <item m="1" x="1198"/>
        <item m="1" x="1201"/>
        <item m="1" x="1202"/>
        <item m="1" x="1199"/>
        <item m="1" x="1200"/>
        <item m="1" x="1203"/>
        <item m="1" x="1204"/>
        <item m="1" x="1205"/>
        <item m="1" x="1206"/>
        <item m="1" x="1207"/>
        <item m="1" x="1208"/>
        <item m="1" x="1211"/>
        <item m="1" x="1212"/>
        <item m="1" x="1209"/>
        <item m="1" x="1210"/>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5"/>
        <item m="1" x="1276"/>
        <item m="1" x="1274"/>
        <item m="1" x="1279"/>
        <item m="1" x="1277"/>
        <item m="1" x="1278"/>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9"/>
        <item m="1" x="1308"/>
        <item m="1" x="1310"/>
        <item m="1" x="1311"/>
        <item m="1" x="1312"/>
        <item m="1" x="1313"/>
        <item m="1" x="1314"/>
        <item m="1" x="1315"/>
        <item m="1" x="1316"/>
        <item m="1" x="1317"/>
        <item m="1" x="1318"/>
        <item m="1" x="1319"/>
        <item m="1" x="1320"/>
        <item m="1" x="1321"/>
        <item m="1" x="1322"/>
        <item m="1" x="1323"/>
        <item m="1" x="1324"/>
        <item m="1" x="1325"/>
        <item m="1" x="1328"/>
        <item m="1" x="1326"/>
        <item m="1" x="1327"/>
        <item m="1" x="1329"/>
        <item m="1" x="1330"/>
        <item m="1" x="1332"/>
        <item m="1" x="1331"/>
        <item m="1" x="1335"/>
        <item m="1" x="1333"/>
        <item m="1" x="1334"/>
        <item m="1" x="1336"/>
        <item m="1" x="1337"/>
        <item m="1" x="1338"/>
        <item m="1" x="1339"/>
        <item m="1" x="1340"/>
        <item m="1" x="1341"/>
        <item m="1" x="1343"/>
        <item m="1" x="1354"/>
        <item m="1" x="1352"/>
        <item m="1" x="1353"/>
        <item m="1" x="1350"/>
        <item m="1" x="1351"/>
        <item m="1" x="1344"/>
        <item m="1" x="1345"/>
        <item m="1" x="1346"/>
        <item m="1" x="1347"/>
        <item m="1" x="1348"/>
        <item m="1" x="1349"/>
        <item m="1" x="1342"/>
        <item m="1" x="1355"/>
        <item m="1" x="1356"/>
        <item m="1" x="1357"/>
        <item m="1" x="1358"/>
        <item m="1" x="1359"/>
        <item m="1" x="1360"/>
        <item m="1" x="1361"/>
        <item m="1" x="1362"/>
        <item m="1" x="1363"/>
        <item m="1" x="1364"/>
        <item m="1" x="1365"/>
        <item m="1" x="1366"/>
        <item m="1" x="1367"/>
        <item m="1" x="1369"/>
        <item m="1" x="1368"/>
        <item m="1" x="1371"/>
        <item m="1" x="1372"/>
        <item m="1" x="1370"/>
        <item m="1" x="1373"/>
        <item m="1" x="1374"/>
        <item m="1" x="1375"/>
        <item m="1" x="1376"/>
        <item m="1" x="1377"/>
        <item m="1" x="1378"/>
        <item m="1" x="1379"/>
        <item m="1" x="1380"/>
        <item m="1" x="1381"/>
        <item m="1" x="1384"/>
        <item m="1" x="1385"/>
        <item m="1" x="1382"/>
        <item m="1" x="1383"/>
        <item m="1" x="1387"/>
        <item m="1" x="1386"/>
        <item m="1" x="1390"/>
        <item m="1" x="1391"/>
        <item m="1" x="1392"/>
        <item m="1" x="1393"/>
        <item m="1" x="1395"/>
        <item m="1" x="1396"/>
        <item m="1" x="1394"/>
        <item m="1" x="1399"/>
        <item m="1" x="1397"/>
        <item m="1" x="1398"/>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7"/>
        <item m="1" x="1428"/>
        <item m="1" x="1426"/>
        <item m="1" x="1429"/>
        <item m="1" x="1430"/>
        <item m="1" x="1431"/>
        <item m="1" x="1432"/>
        <item m="1" x="1433"/>
        <item m="1" x="1434"/>
        <item m="1" x="1435"/>
        <item m="1" x="1437"/>
        <item m="1" x="1438"/>
        <item m="1" x="1436"/>
        <item m="1" x="1440"/>
        <item m="1" x="1441"/>
        <item m="1" x="1439"/>
        <item m="1" x="1442"/>
        <item m="1" x="1443"/>
        <item m="1" x="1444"/>
        <item m="1" x="1445"/>
        <item m="1" x="1446"/>
        <item m="1" x="1447"/>
        <item m="1" x="1448"/>
        <item m="1" x="1451"/>
        <item m="1" x="1449"/>
        <item m="1" x="1450"/>
        <item m="1" x="1452"/>
        <item m="1" x="1456"/>
        <item m="1" x="1453"/>
        <item m="1" x="1454"/>
        <item m="1" x="1455"/>
        <item m="1" x="1463"/>
        <item m="1" x="1464"/>
        <item m="1" x="1462"/>
        <item m="1" x="1459"/>
        <item m="1" x="1460"/>
        <item m="1" x="1461"/>
        <item m="1" x="1457"/>
        <item m="1" x="1458"/>
        <item m="1" x="1465"/>
        <item m="1" x="1466"/>
        <item m="1" x="1467"/>
        <item m="1" x="1468"/>
        <item m="1" x="1469"/>
        <item m="1" x="1470"/>
        <item m="1" x="1471"/>
        <item m="1" x="1472"/>
        <item m="1" x="1473"/>
        <item m="1" x="1474"/>
        <item m="1" x="1475"/>
        <item m="1" x="1476"/>
        <item m="1" x="1477"/>
        <item m="1" x="1478"/>
        <item m="1" x="1479"/>
        <item m="1" x="1480"/>
        <item m="1" x="1481"/>
        <item m="1" x="1482"/>
        <item m="1" x="1483"/>
        <item m="1" x="1062"/>
        <item m="1" x="1484"/>
        <item m="1" x="1485"/>
        <item m="1" x="1486"/>
        <item m="1" x="1488"/>
        <item m="1" x="1487"/>
        <item m="1" x="1489"/>
        <item m="1" x="1490"/>
        <item m="1" x="1491"/>
        <item m="1" x="1492"/>
        <item m="1" x="1493"/>
        <item m="1" x="1494"/>
        <item m="1" x="1496"/>
        <item m="1" x="1495"/>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23"/>
        <item m="1" x="1524"/>
        <item m="1" x="1525"/>
        <item m="1" x="1521"/>
        <item m="1" x="1522"/>
        <item m="1" x="1517"/>
        <item m="1" x="1518"/>
        <item m="1" x="1519"/>
        <item m="1" x="1520"/>
        <item m="1" x="1526"/>
        <item m="1" x="1527"/>
        <item m="1" x="1388"/>
        <item m="1" x="1389"/>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924"/>
        <item m="1" x="925"/>
        <item m="1" x="926"/>
        <item m="1" x="927"/>
        <item m="1" x="928"/>
        <item m="1" x="500"/>
        <item m="1" x="501"/>
        <item m="1" x="502"/>
        <item m="1" x="503"/>
        <item m="1" x="504"/>
        <item m="1" x="505"/>
        <item m="1" x="929"/>
        <item m="1" x="930"/>
        <item m="1" x="508"/>
        <item m="1" x="509"/>
        <item m="1" x="931"/>
        <item m="1" x="932"/>
        <item m="1" x="933"/>
        <item m="1" x="934"/>
        <item m="1" x="935"/>
        <item m="1" x="936"/>
        <item m="1" x="937"/>
        <item m="1" x="938"/>
        <item m="1" x="939"/>
        <item m="1" x="940"/>
        <item m="1" x="941"/>
        <item m="1" x="942"/>
        <item m="1" x="943"/>
        <item m="1" x="944"/>
        <item m="1" x="945"/>
        <item m="1" x="946"/>
        <item m="1" x="947"/>
        <item m="1" x="948"/>
        <item m="1" x="949"/>
        <item m="1" x="950"/>
        <item m="1" x="530"/>
        <item m="1" x="531"/>
        <item m="1" x="532"/>
        <item m="1" x="533"/>
        <item m="1" x="951"/>
        <item m="1" x="535"/>
        <item m="1" x="536"/>
        <item m="1" x="537"/>
        <item m="1" x="538"/>
        <item m="1" x="539"/>
        <item m="1" x="952"/>
        <item m="1" x="953"/>
        <item m="1" x="542"/>
        <item m="1" x="543"/>
        <item m="1" x="906"/>
        <item m="1" x="954"/>
        <item m="1" x="955"/>
        <item m="1" x="956"/>
        <item m="1" x="957"/>
        <item m="1" x="958"/>
        <item m="1" x="959"/>
        <item m="1" x="551"/>
        <item m="1" x="552"/>
        <item m="1" x="907"/>
        <item m="1" x="908"/>
        <item m="1" x="909"/>
        <item m="1" x="910"/>
        <item m="1" x="557"/>
        <item m="1" x="558"/>
        <item m="1" x="911"/>
        <item m="1" x="912"/>
        <item m="1" x="913"/>
        <item m="1" x="914"/>
        <item m="1" x="960"/>
        <item m="1" x="961"/>
        <item m="1" x="962"/>
        <item m="1" x="963"/>
        <item m="1" x="964"/>
        <item m="1" x="965"/>
        <item m="1" x="966"/>
        <item m="1" x="967"/>
        <item m="1" x="968"/>
        <item m="1" x="969"/>
        <item m="1" x="970"/>
        <item m="1" x="574"/>
        <item m="1" x="575"/>
        <item m="1" x="576"/>
        <item m="1" x="971"/>
        <item m="1" x="972"/>
        <item m="1" x="973"/>
        <item m="1" x="974"/>
        <item m="1" x="975"/>
        <item m="1" x="976"/>
        <item m="1" x="977"/>
        <item m="1" x="978"/>
        <item m="1" x="979"/>
        <item m="1" x="586"/>
        <item m="1" x="587"/>
        <item m="1" x="588"/>
        <item m="1" x="980"/>
        <item m="1" x="981"/>
        <item m="1" x="982"/>
        <item m="1" x="915"/>
        <item m="1" x="916"/>
        <item m="1" x="917"/>
        <item m="1" x="595"/>
        <item m="1" x="596"/>
        <item m="1" x="597"/>
        <item m="1" x="598"/>
        <item m="1" x="599"/>
        <item m="1" x="600"/>
        <item m="1" x="601"/>
        <item m="1" x="602"/>
        <item m="1" x="603"/>
        <item m="1" x="983"/>
        <item m="1" x="984"/>
        <item m="1" x="985"/>
        <item m="1" x="986"/>
        <item m="1" x="987"/>
        <item m="1" x="988"/>
        <item m="1" x="989"/>
        <item m="1" x="990"/>
        <item m="1" x="991"/>
        <item m="1" x="613"/>
        <item m="1" x="614"/>
        <item m="1" x="615"/>
        <item m="1" x="616"/>
        <item m="1" x="617"/>
        <item m="1" x="618"/>
        <item m="1" x="619"/>
        <item m="1" x="620"/>
        <item m="1" x="621"/>
        <item m="1" x="622"/>
        <item m="1" x="626"/>
        <item m="1" x="627"/>
        <item m="1" x="628"/>
        <item m="1" x="992"/>
        <item m="1" x="993"/>
        <item m="1" x="994"/>
        <item m="1" x="632"/>
        <item m="1" x="633"/>
        <item m="1" x="634"/>
        <item m="1" x="995"/>
        <item m="1" x="996"/>
        <item m="1" x="997"/>
        <item m="1" x="638"/>
        <item m="1" x="639"/>
        <item m="1" x="640"/>
        <item m="1" x="641"/>
        <item m="1" x="642"/>
        <item m="1" x="643"/>
        <item m="1" x="998"/>
        <item m="1" x="999"/>
        <item m="1" x="1000"/>
        <item m="1" x="1001"/>
        <item m="1" x="1002"/>
        <item m="1" x="1003"/>
        <item m="1" x="650"/>
        <item m="1" x="651"/>
        <item m="1" x="652"/>
        <item m="1" x="653"/>
        <item m="1" x="654"/>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686"/>
        <item m="1" x="687"/>
        <item m="1" x="688"/>
        <item m="1" x="689"/>
        <item m="1" x="690"/>
        <item m="1" x="691"/>
        <item m="1" x="692"/>
        <item m="1" x="693"/>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1035"/>
        <item m="1" x="1036"/>
        <item m="1" x="756"/>
        <item m="1" x="757"/>
        <item m="1" x="758"/>
        <item m="1" x="759"/>
        <item m="1" x="760"/>
        <item m="1" x="761"/>
        <item m="1" x="762"/>
        <item m="1" x="763"/>
        <item m="1" x="764"/>
        <item m="1" x="765"/>
        <item m="1" x="1037"/>
        <item m="1" x="1038"/>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1039"/>
        <item m="1" x="1040"/>
        <item m="1" x="1041"/>
        <item m="1" x="795"/>
        <item m="1" x="796"/>
        <item m="1" x="797"/>
        <item m="1" x="798"/>
        <item m="1" x="799"/>
        <item m="1" x="800"/>
        <item m="1" x="801"/>
        <item m="1" x="802"/>
        <item m="1" x="803"/>
        <item m="1" x="804"/>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894"/>
        <item m="1" x="895"/>
        <item m="1" x="896"/>
        <item m="1" x="897"/>
        <item m="1" x="898"/>
        <item m="1" x="899"/>
        <item m="1" x="900"/>
        <item m="1" x="901"/>
        <item m="1" x="902"/>
        <item m="1" x="903"/>
        <item m="1" x="904"/>
        <item m="1" x="905"/>
        <item m="1" x="623"/>
        <item m="1" x="624"/>
        <item m="1" x="625"/>
        <item m="1" x="805"/>
        <item m="1" x="806"/>
        <item m="1" x="807"/>
        <item m="1" x="495"/>
        <item m="1" x="496"/>
        <item m="1" x="497"/>
        <item m="1" x="498"/>
        <item m="1" x="499"/>
        <item m="1" x="506"/>
        <item m="1" x="507"/>
        <item m="1" x="510"/>
        <item m="1" x="511"/>
        <item m="1" x="512"/>
        <item m="1" x="513"/>
        <item m="1" x="514"/>
        <item m="1" x="515"/>
        <item m="1" x="516"/>
        <item m="1" x="517"/>
        <item m="1" x="518"/>
        <item m="1" x="519"/>
        <item m="1" x="520"/>
        <item m="1" x="521"/>
        <item m="1" x="522"/>
        <item m="1" x="523"/>
        <item m="1" x="524"/>
        <item m="1" x="525"/>
        <item m="1" x="526"/>
        <item m="1" x="527"/>
        <item m="1" x="528"/>
        <item m="1" x="529"/>
        <item m="1" x="534"/>
        <item m="1" x="540"/>
        <item m="1" x="541"/>
        <item m="1" x="545"/>
        <item m="1" x="546"/>
        <item m="1" x="547"/>
        <item m="1" x="548"/>
        <item m="1" x="549"/>
        <item m="1" x="550"/>
        <item m="1" x="563"/>
        <item m="1" x="564"/>
        <item m="1" x="565"/>
        <item m="1" x="566"/>
        <item m="1" x="567"/>
        <item m="1" x="568"/>
        <item m="1" x="569"/>
        <item m="1" x="570"/>
        <item m="1" x="571"/>
        <item m="1" x="572"/>
        <item m="1" x="573"/>
        <item m="1" x="577"/>
        <item m="1" x="578"/>
        <item m="1" x="579"/>
        <item m="1" x="580"/>
        <item m="1" x="581"/>
        <item m="1" x="582"/>
        <item m="1" x="583"/>
        <item m="1" x="584"/>
        <item m="1" x="585"/>
        <item m="1" x="589"/>
        <item m="1" x="590"/>
        <item m="1" x="591"/>
        <item m="1" x="604"/>
        <item m="1" x="605"/>
        <item m="1" x="606"/>
        <item m="1" x="918"/>
        <item m="1" x="919"/>
        <item m="1" x="920"/>
        <item m="1" x="921"/>
        <item m="1" x="922"/>
        <item m="1" x="923"/>
        <item m="1" x="629"/>
        <item m="1" x="630"/>
        <item m="1" x="631"/>
        <item m="1" x="635"/>
        <item m="1" x="636"/>
        <item m="1" x="637"/>
        <item m="1" x="644"/>
        <item m="1" x="645"/>
        <item m="1" x="646"/>
        <item m="1" x="647"/>
        <item m="1" x="648"/>
        <item m="1" x="649"/>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94"/>
        <item m="1" x="695"/>
        <item m="1" x="754"/>
        <item m="1" x="755"/>
        <item m="1" x="766"/>
        <item m="1" x="767"/>
        <item m="1" x="792"/>
        <item m="1" x="793"/>
        <item m="1" x="794"/>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544"/>
        <item m="1" x="553"/>
        <item m="1" x="554"/>
        <item m="1" x="555"/>
        <item m="1" x="556"/>
        <item m="1" x="559"/>
        <item m="1" x="560"/>
        <item m="1" x="561"/>
        <item m="1" x="562"/>
        <item m="1" x="592"/>
        <item m="1" x="593"/>
        <item m="1" x="594"/>
        <item m="1" x="607"/>
        <item m="1" x="608"/>
        <item m="1" x="609"/>
        <item m="1" x="610"/>
        <item m="1" x="611"/>
        <item m="1" x="6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t="default"/>
      </items>
    </pivotField>
    <pivotField numFmtId="172" showAll="0"/>
    <pivotField showAll="0"/>
    <pivotField showAll="0"/>
    <pivotField showAll="0"/>
    <pivotField dataField="1" numFmtId="172" showAll="0"/>
    <pivotField axis="axisRow" multipleItemSelectionAllowed="1" showAll="0">
      <items count="8">
        <item x="1"/>
        <item x="4"/>
        <item x="0"/>
        <item m="1" x="6"/>
        <item x="2"/>
        <item sd="0" x="5"/>
        <item x="3"/>
        <item t="default"/>
      </items>
    </pivotField>
    <pivotField axis="axisRow" showAll="0">
      <items count="10">
        <item sd="0" x="3"/>
        <item sd="0" x="1"/>
        <item x="0"/>
        <item sd="0" x="5"/>
        <item sd="0" x="7"/>
        <item m="1" x="8"/>
        <item sd="0" x="2"/>
        <item sd="0" x="6"/>
        <item sd="0" x="4"/>
        <item t="default"/>
      </items>
    </pivotField>
  </pivotFields>
  <rowFields count="3">
    <field x="41"/>
    <field x="42"/>
    <field x="5"/>
  </rowFields>
  <rowItems count="17">
    <i>
      <x/>
    </i>
    <i r="1">
      <x v="1"/>
    </i>
    <i>
      <x v="1"/>
    </i>
    <i r="1">
      <x v="3"/>
    </i>
    <i r="1">
      <x v="4"/>
    </i>
    <i>
      <x v="2"/>
    </i>
    <i r="1">
      <x v="2"/>
    </i>
    <i r="2">
      <x v="71"/>
    </i>
    <i r="2">
      <x v="72"/>
    </i>
    <i r="2">
      <x v="73"/>
    </i>
    <i r="2">
      <x v="74"/>
    </i>
    <i r="2">
      <x v="75"/>
    </i>
    <i>
      <x v="4"/>
    </i>
    <i r="1">
      <x v="6"/>
    </i>
    <i r="1">
      <x v="7"/>
    </i>
    <i r="1">
      <x v="8"/>
    </i>
    <i>
      <x v="5"/>
    </i>
  </rowItems>
  <colFields count="1">
    <field x="-2"/>
  </colFields>
  <colItems count="3">
    <i>
      <x/>
    </i>
    <i i="1">
      <x v="1"/>
    </i>
    <i i="2">
      <x v="2"/>
    </i>
  </colItems>
  <pageFields count="2">
    <pageField fld="2" hier="-1"/>
    <pageField fld="35" hier="-1"/>
  </pageFields>
  <dataFields count="3">
    <dataField name="Emisiones Financiadas" fld="35" baseField="0" baseItem="0"/>
    <dataField name=" Intensidad" fld="40" baseField="0" baseItem="0"/>
    <dataField name="Sum of Inv MM$" fld="28" baseField="0" baseItem="0"/>
  </dataFields>
  <formats count="6">
    <format dxfId="56">
      <pivotArea grandRow="1" outline="0" collapsedLevelsAreSubtotals="1" fieldPosition="0"/>
    </format>
    <format dxfId="55">
      <pivotArea collapsedLevelsAreSubtotals="1" fieldPosition="0">
        <references count="1">
          <reference field="41" count="1">
            <x v="1"/>
          </reference>
        </references>
      </pivotArea>
    </format>
    <format dxfId="54">
      <pivotArea collapsedLevelsAreSubtotals="1" fieldPosition="0">
        <references count="2">
          <reference field="41" count="1" selected="0">
            <x v="1"/>
          </reference>
          <reference field="42" count="2">
            <x v="3"/>
            <x v="4"/>
          </reference>
        </references>
      </pivotArea>
    </format>
    <format dxfId="53">
      <pivotArea collapsedLevelsAreSubtotals="1" fieldPosition="0">
        <references count="1">
          <reference field="41" count="1">
            <x v="0"/>
          </reference>
        </references>
      </pivotArea>
    </format>
    <format dxfId="52">
      <pivotArea collapsedLevelsAreSubtotals="1" fieldPosition="0">
        <references count="1">
          <reference field="41" count="1">
            <x v="2"/>
          </reference>
        </references>
      </pivotArea>
    </format>
    <format dxfId="5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3416A2A-0BF2-476D-B96B-DF8022A7234F}" name="PivotTable2" cacheId="3"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N5:Q43" firstHeaderRow="0" firstDataRow="1" firstDataCol="1" rowPageCount="1" colPageCount="1"/>
  <pivotFields count="43">
    <pivotField showAll="0"/>
    <pivotField showAll="0"/>
    <pivotField axis="axisRow" multipleItemSelectionAllowed="1" showAll="0">
      <items count="5">
        <item h="1" x="2"/>
        <item x="1"/>
        <item x="0"/>
        <item x="3"/>
        <item t="default"/>
      </items>
    </pivotField>
    <pivotField showAll="0"/>
    <pivotField showAll="0"/>
    <pivotField axis="axisRow" showAll="0">
      <items count="203">
        <item x="84"/>
        <item x="83"/>
        <item x="82"/>
        <item x="69"/>
        <item x="41"/>
        <item x="27"/>
        <item x="49"/>
        <item x="145"/>
        <item x="146"/>
        <item x="181"/>
        <item x="173"/>
        <item x="193"/>
        <item x="175"/>
        <item x="170"/>
        <item x="196"/>
        <item x="166"/>
        <item x="178"/>
        <item x="179"/>
        <item x="52"/>
        <item x="12"/>
        <item x="16"/>
        <item x="15"/>
        <item x="14"/>
        <item x="17"/>
        <item x="96"/>
        <item x="97"/>
        <item x="8"/>
        <item x="85"/>
        <item x="75"/>
        <item x="105"/>
        <item x="102"/>
        <item x="198"/>
        <item x="104"/>
        <item x="103"/>
        <item x="195"/>
        <item x="130"/>
        <item x="147"/>
        <item x="149"/>
        <item x="28"/>
        <item x="66"/>
        <item x="186"/>
        <item x="73"/>
        <item x="185"/>
        <item x="44"/>
        <item x="67"/>
        <item x="53"/>
        <item x="188"/>
        <item x="43"/>
        <item x="180"/>
        <item x="171"/>
        <item x="191"/>
        <item x="54"/>
        <item x="184"/>
        <item x="125"/>
        <item x="148"/>
        <item x="115"/>
        <item x="199"/>
        <item x="55"/>
        <item x="56"/>
        <item x="63"/>
        <item x="200"/>
        <item x="57"/>
        <item x="86"/>
        <item x="87"/>
        <item x="88"/>
        <item x="46"/>
        <item x="109"/>
        <item x="35"/>
        <item x="65"/>
        <item x="194"/>
        <item x="133"/>
        <item x="0"/>
        <item x="2"/>
        <item x="1"/>
        <item x="3"/>
        <item x="4"/>
        <item x="150"/>
        <item x="58"/>
        <item x="116"/>
        <item x="9"/>
        <item x="7"/>
        <item x="183"/>
        <item x="190"/>
        <item x="21"/>
        <item x="40"/>
        <item x="23"/>
        <item x="22"/>
        <item x="45"/>
        <item x="37"/>
        <item x="36"/>
        <item x="59"/>
        <item x="42"/>
        <item x="24"/>
        <item x="114"/>
        <item x="131"/>
        <item x="122"/>
        <item x="19"/>
        <item x="138"/>
        <item x="152"/>
        <item x="78"/>
        <item x="182"/>
        <item x="128"/>
        <item x="197"/>
        <item x="90"/>
        <item x="89"/>
        <item x="127"/>
        <item x="126"/>
        <item x="174"/>
        <item x="13"/>
        <item x="32"/>
        <item x="79"/>
        <item x="74"/>
        <item x="121"/>
        <item x="33"/>
        <item x="64"/>
        <item x="129"/>
        <item x="141"/>
        <item x="71"/>
        <item x="60"/>
        <item x="177"/>
        <item x="31"/>
        <item x="187"/>
        <item x="169"/>
        <item x="172"/>
        <item x="176"/>
        <item x="168"/>
        <item x="154"/>
        <item x="118"/>
        <item x="120"/>
        <item x="119"/>
        <item x="117"/>
        <item x="101"/>
        <item x="143"/>
        <item x="20"/>
        <item x="189"/>
        <item x="110"/>
        <item x="111"/>
        <item x="18"/>
        <item x="132"/>
        <item x="155"/>
        <item x="76"/>
        <item x="91"/>
        <item x="39"/>
        <item x="26"/>
        <item x="139"/>
        <item x="50"/>
        <item x="112"/>
        <item x="156"/>
        <item x="158"/>
        <item x="81"/>
        <item x="25"/>
        <item x="29"/>
        <item x="38"/>
        <item x="167"/>
        <item x="159"/>
        <item x="51"/>
        <item x="77"/>
        <item x="161"/>
        <item x="162"/>
        <item x="163"/>
        <item x="164"/>
        <item x="165"/>
        <item x="124"/>
        <item x="192"/>
        <item x="62"/>
        <item x="61"/>
        <item x="94"/>
        <item x="95"/>
        <item x="80"/>
        <item x="34"/>
        <item x="137"/>
        <item x="142"/>
        <item x="108"/>
        <item x="160"/>
        <item x="92"/>
        <item x="151"/>
        <item x="107"/>
        <item x="123"/>
        <item x="6"/>
        <item x="72"/>
        <item x="98"/>
        <item x="113"/>
        <item x="5"/>
        <item x="10"/>
        <item x="11"/>
        <item x="30"/>
        <item x="47"/>
        <item x="48"/>
        <item x="68"/>
        <item x="70"/>
        <item x="93"/>
        <item x="99"/>
        <item x="100"/>
        <item x="106"/>
        <item x="134"/>
        <item x="135"/>
        <item x="136"/>
        <item x="140"/>
        <item x="144"/>
        <item x="153"/>
        <item x="157"/>
        <item x="201"/>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4730">
        <item x="95"/>
        <item m="1" x="4539"/>
        <item m="1" x="4630"/>
        <item m="1" x="4633"/>
        <item m="1" x="4513"/>
        <item m="1" x="4632"/>
        <item m="1" x="4512"/>
        <item m="1" x="4557"/>
        <item m="1" x="4631"/>
        <item m="1" x="4561"/>
        <item m="1" x="4455"/>
        <item m="1" x="4560"/>
        <item m="1" x="4519"/>
        <item m="1" x="4530"/>
        <item m="1" x="4554"/>
        <item m="1" x="4525"/>
        <item m="1" x="4522"/>
        <item m="1" x="4571"/>
        <item m="1" x="4607"/>
        <item m="1" x="4478"/>
        <item m="1" x="4555"/>
        <item m="1" x="4457"/>
        <item m="1" x="4456"/>
        <item m="1" x="4679"/>
        <item m="1" x="4635"/>
        <item m="1" x="4425"/>
        <item m="1" x="4536"/>
        <item m="1" x="4627"/>
        <item m="1" x="4556"/>
        <item m="1" x="4576"/>
        <item m="1" x="4575"/>
        <item m="1" x="4686"/>
        <item m="1" x="4551"/>
        <item m="1" x="4480"/>
        <item m="1" x="4628"/>
        <item m="1" x="4634"/>
        <item m="1" x="4728"/>
        <item m="1" x="4534"/>
        <item m="1" x="4348"/>
        <item m="1" x="4629"/>
        <item m="1" x="4524"/>
        <item m="1" x="4682"/>
        <item m="1" x="4596"/>
        <item m="1" x="4688"/>
        <item m="1" x="4727"/>
        <item m="1" x="4619"/>
        <item m="1" x="4402"/>
        <item m="1" x="4621"/>
        <item m="1" x="4535"/>
        <item m="1" x="4354"/>
        <item m="1" x="4443"/>
        <item m="1" x="4690"/>
        <item m="1" x="4687"/>
        <item m="1" x="4401"/>
        <item m="1" x="4681"/>
        <item m="1" x="4601"/>
        <item m="1" x="4350"/>
        <item m="1" x="4597"/>
        <item m="1" x="4685"/>
        <item m="1" x="4385"/>
        <item m="1" x="4386"/>
        <item m="1" x="4684"/>
        <item m="1" x="4620"/>
        <item m="1" x="4678"/>
        <item m="1" x="4614"/>
        <item m="1" x="4400"/>
        <item m="1" x="4616"/>
        <item m="1" x="4397"/>
        <item m="1" x="4602"/>
        <item m="1" x="4683"/>
        <item m="1" x="4599"/>
        <item m="1" x="4359"/>
        <item m="1" x="4399"/>
        <item m="1" x="4371"/>
        <item m="1" x="4689"/>
        <item m="1" x="4370"/>
        <item m="1" x="4446"/>
        <item m="1" x="4418"/>
        <item m="1" x="4598"/>
        <item m="1" x="4600"/>
        <item m="1" x="4347"/>
        <item m="1" x="4677"/>
        <item m="1" x="4349"/>
        <item m="1" x="4694"/>
        <item m="1" x="4696"/>
        <item m="1" x="4608"/>
        <item m="1" x="4444"/>
        <item m="1" x="4384"/>
        <item m="1" x="4353"/>
        <item m="1" x="4360"/>
        <item m="1" x="4431"/>
        <item m="1" x="4343"/>
        <item m="1" x="4398"/>
        <item m="1" x="4516"/>
        <item m="1" x="4344"/>
        <item m="1" x="4339"/>
        <item m="1" x="4352"/>
        <item m="1" x="4546"/>
        <item m="1" x="4594"/>
        <item m="1" x="4547"/>
        <item m="1" x="4338"/>
        <item m="1" x="4311"/>
        <item m="1" x="4622"/>
        <item m="1" x="4372"/>
        <item m="1" x="4340"/>
        <item m="1" x="4671"/>
        <item m="1" x="4663"/>
        <item m="1" x="4611"/>
        <item m="1" x="4405"/>
        <item m="1" x="4693"/>
        <item m="1" x="4427"/>
        <item m="1" x="4615"/>
        <item m="1" x="4708"/>
        <item m="1" x="4448"/>
        <item m="1" x="4375"/>
        <item m="1" x="4337"/>
        <item m="1" x="4714"/>
        <item m="1" x="4672"/>
        <item m="1" x="4612"/>
        <item m="1" x="4518"/>
        <item m="1" x="4346"/>
        <item m="1" x="4617"/>
        <item m="1" x="4707"/>
        <item m="1" x="4276"/>
        <item m="1" x="4604"/>
        <item m="1" x="4345"/>
        <item m="1" x="4335"/>
        <item m="1" x="4369"/>
        <item m="1" x="4680"/>
        <item m="1" x="4713"/>
        <item m="1" x="4695"/>
        <item m="1" x="4408"/>
        <item m="1" x="4515"/>
        <item m="1" x="4341"/>
        <item m="1" x="4342"/>
        <item m="1" x="4426"/>
        <item m="1" x="4605"/>
        <item m="1" x="4445"/>
        <item m="1" x="4412"/>
        <item m="1" x="4537"/>
        <item m="1" x="4404"/>
        <item m="1" x="4391"/>
        <item m="1" x="4336"/>
        <item m="1" x="4433"/>
        <item m="1" x="4606"/>
        <item m="1" x="4662"/>
        <item m="1" x="4538"/>
        <item m="1" x="4618"/>
        <item m="1" x="4275"/>
        <item m="1" x="4613"/>
        <item m="1" x="4403"/>
        <item m="1" x="4655"/>
        <item m="1" x="4532"/>
        <item m="1" x="4704"/>
        <item m="1" x="4291"/>
        <item m="1" x="4657"/>
        <item m="1" x="4447"/>
        <item m="1" x="4711"/>
        <item m="1" x="4726"/>
        <item m="1" x="4623"/>
        <item m="1" x="4517"/>
        <item m="1" x="4595"/>
        <item m="1" x="4703"/>
        <item m="1" x="4413"/>
        <item m="1" x="4626"/>
        <item m="1" x="4717"/>
        <item m="1" x="4649"/>
        <item m="1" x="4692"/>
        <item m="1" x="4298"/>
        <item m="1" x="4475"/>
        <item m="1" x="4548"/>
        <item m="1" x="4603"/>
        <item m="1" x="4559"/>
        <item m="1" x="4715"/>
        <item m="1" x="4414"/>
        <item m="1" x="4387"/>
        <item m="1" x="4287"/>
        <item m="1" x="4373"/>
        <item m="1" x="4625"/>
        <item m="1" x="4531"/>
        <item m="1" x="4654"/>
        <item m="1" x="4361"/>
        <item m="1" x="4647"/>
        <item m="1" x="4501"/>
        <item m="1" x="4656"/>
        <item m="1" x="4691"/>
        <item m="1" x="4700"/>
        <item m="1" x="4529"/>
        <item m="1" x="4415"/>
        <item m="1" x="4624"/>
        <item m="1" x="4356"/>
        <item m="1" x="4409"/>
        <item m="1" x="4503"/>
        <item m="1" x="4355"/>
        <item m="1" x="4432"/>
        <item m="1" x="4710"/>
        <item m="1" x="4541"/>
        <item m="1" x="4362"/>
        <item m="1" x="4563"/>
        <item m="1" x="4374"/>
        <item m="1" x="4487"/>
        <item m="1" x="4587"/>
        <item m="1" x="4609"/>
        <item m="1" x="4567"/>
        <item m="1" x="4550"/>
        <item m="1" x="4702"/>
        <item m="1" x="4406"/>
        <item m="1" x="4333"/>
        <item m="1" x="4509"/>
        <item m="1" x="4653"/>
        <item m="1" x="4395"/>
        <item m="1" x="4589"/>
        <item m="1" x="4648"/>
        <item m="1" x="4486"/>
        <item m="1" x="4719"/>
        <item m="1" x="4705"/>
        <item m="1" x="4452"/>
        <item m="1" x="4720"/>
        <item m="1" x="4407"/>
        <item m="1" x="4473"/>
        <item m="1" x="4483"/>
        <item m="1" x="4651"/>
        <item m="1" x="4592"/>
        <item m="1" x="4449"/>
        <item m="1" x="4307"/>
        <item m="1" x="4610"/>
        <item m="1" x="4334"/>
        <item m="1" x="4568"/>
        <item m="1" x="4523"/>
        <item m="1" x="4718"/>
        <item m="1" x="4645"/>
        <item m="1" x="4588"/>
        <item m="1" x="4676"/>
        <item m="1" x="4504"/>
        <item m="1" x="4467"/>
        <item m="1" x="4390"/>
        <item m="1" x="4698"/>
        <item m="1" x="4558"/>
        <item m="1" x="4553"/>
        <item m="1" x="4461"/>
        <item m="1" x="4297"/>
        <item m="1" x="4357"/>
        <item m="1" x="4722"/>
        <item m="1" x="4420"/>
        <item m="1" x="4659"/>
        <item m="1" x="4382"/>
        <item m="1" x="4521"/>
        <item m="1" x="4716"/>
        <item m="1" x="4388"/>
        <item m="1" x="4273"/>
        <item m="1" x="4310"/>
        <item m="1" x="4646"/>
        <item m="1" x="4643"/>
        <item m="1" x="4574"/>
        <item m="1" x="4725"/>
        <item m="1" x="4474"/>
        <item m="1" x="4500"/>
        <item m="1" x="4497"/>
        <item m="1" x="4471"/>
        <item m="1" x="4499"/>
        <item m="1" x="4316"/>
        <item m="1" x="4706"/>
        <item m="1" x="4284"/>
        <item m="1" x="4508"/>
        <item m="1" x="4302"/>
        <item m="1" x="4383"/>
        <item m="1" x="4482"/>
        <item m="1" x="4488"/>
        <item m="1" x="4493"/>
        <item m="1" x="4652"/>
        <item m="1" x="4314"/>
        <item m="1" x="4380"/>
        <item m="1" x="4281"/>
        <item m="1" x="4502"/>
        <item m="1" x="4528"/>
        <item m="1" x="4485"/>
        <item m="1" x="4712"/>
        <item m="1" x="4365"/>
        <item m="1" x="4366"/>
        <item m="1" x="4351"/>
        <item m="1" x="4552"/>
        <item m="1" x="4419"/>
        <item m="1" x="4494"/>
        <item m="1" x="4490"/>
        <item m="1" x="4411"/>
        <item m="1" x="4543"/>
        <item m="1" x="4312"/>
        <item m="1" x="4437"/>
        <item m="1" x="4489"/>
        <item m="1" x="4505"/>
        <item m="1" x="4392"/>
        <item m="1" x="4639"/>
        <item m="1" x="4451"/>
        <item m="1" x="4545"/>
        <item m="1" x="4540"/>
        <item m="1" x="4507"/>
        <item m="1" x="4439"/>
        <item m="1" x="4376"/>
        <item m="1" x="4572"/>
        <item m="1" x="4666"/>
        <item m="1" x="4514"/>
        <item m="1" x="4641"/>
        <item m="1" x="4511"/>
        <item m="1" x="4642"/>
        <item m="1" x="4484"/>
        <item m="1" x="4564"/>
        <item m="1" x="4389"/>
        <item m="1" x="4593"/>
        <item m="1" x="4394"/>
        <item m="1" x="4320"/>
        <item m="1" x="4315"/>
        <item m="1" x="4381"/>
        <item m="1" x="4709"/>
        <item m="1" x="4562"/>
        <item m="1" x="4274"/>
        <item m="1" x="4644"/>
        <item m="1" x="4379"/>
        <item m="1" x="4417"/>
        <item m="1" x="4549"/>
        <item m="1" x="4724"/>
        <item m="1" x="4721"/>
        <item m="1" x="4323"/>
        <item m="1" x="4701"/>
        <item m="1" x="4313"/>
        <item m="1" x="4453"/>
        <item m="1" x="4464"/>
        <item m="1" x="4699"/>
        <item m="1" x="4454"/>
        <item m="1" x="4358"/>
        <item m="1" x="4697"/>
        <item m="1" x="4410"/>
        <item m="1" x="4664"/>
        <item m="1" x="4658"/>
        <item m="1" x="4364"/>
        <item m="1" x="4581"/>
        <item m="1" x="4492"/>
        <item m="1" x="4363"/>
        <item m="1" x="4295"/>
        <item m="1" x="4673"/>
        <item m="1" x="4579"/>
        <item m="1" x="4650"/>
        <item m="1" x="4675"/>
        <item m="1" x="4434"/>
        <item m="1" x="4570"/>
        <item m="1" x="4321"/>
        <item m="1" x="4496"/>
        <item m="1" x="4472"/>
        <item m="1" x="4665"/>
        <item m="1" x="4526"/>
        <item m="1" x="4396"/>
        <item m="1" x="4416"/>
        <item m="1" x="4660"/>
        <item m="1" x="4520"/>
        <item m="1" x="4299"/>
        <item m="1" x="4458"/>
        <item m="1" x="4469"/>
        <item m="1" x="4377"/>
        <item m="1" x="4586"/>
        <item m="1" x="4378"/>
        <item m="1" x="4583"/>
        <item m="1" x="4590"/>
        <item m="1" x="4495"/>
        <item m="1" x="4544"/>
        <item m="1" x="4591"/>
        <item m="1" x="4470"/>
        <item m="1" x="4498"/>
        <item m="1" x="4584"/>
        <item m="1" x="4450"/>
        <item m="1" x="4580"/>
        <item m="1" x="4542"/>
        <item m="1" x="4296"/>
        <item m="1" x="4638"/>
        <item m="1" x="4393"/>
        <item m="1" x="4306"/>
        <item m="1" x="4476"/>
        <item m="1" x="4309"/>
        <item m="1" x="4585"/>
        <item m="1" x="4305"/>
        <item m="1" x="4293"/>
        <item m="1" x="4463"/>
        <item m="1" x="4582"/>
        <item m="1" x="4566"/>
        <item m="1" x="4367"/>
        <item m="1" x="4481"/>
        <item m="1" x="4368"/>
        <item m="1" x="4510"/>
        <item m="1" x="4479"/>
        <item m="1" x="4317"/>
        <item m="1" x="4421"/>
        <item m="1" x="4674"/>
        <item m="1" x="4440"/>
        <item m="1" x="4637"/>
        <item m="1" x="4308"/>
        <item m="1" x="4292"/>
        <item m="1" x="4573"/>
        <item m="1" x="4661"/>
        <item m="1" x="4322"/>
        <item m="1" x="4428"/>
        <item m="1" x="4300"/>
        <item m="1" x="4533"/>
        <item m="1" x="4289"/>
        <item m="1" x="4468"/>
        <item m="1" x="4319"/>
        <item m="1" x="4668"/>
        <item m="1" x="4279"/>
        <item m="1" x="4506"/>
        <item m="1" x="4460"/>
        <item m="1" x="4569"/>
        <item m="1" x="4466"/>
        <item m="1" x="4331"/>
        <item m="1" x="4326"/>
        <item m="1" x="4318"/>
        <item m="1" x="4282"/>
        <item m="1" x="4527"/>
        <item m="1" x="4304"/>
        <item m="1" x="4577"/>
        <item m="1" x="4636"/>
        <item m="1" x="4640"/>
        <item m="1" x="4477"/>
        <item m="1" x="4436"/>
        <item m="1" x="4329"/>
        <item m="1" x="4491"/>
        <item m="1" x="4422"/>
        <item m="1" x="4301"/>
        <item m="1" x="4288"/>
        <item m="1" x="4462"/>
        <item m="1" x="4324"/>
        <item m="1" x="4459"/>
        <item m="1" x="4327"/>
        <item m="1" x="4285"/>
        <item m="1" x="4723"/>
        <item m="1" x="4565"/>
        <item m="1" x="4325"/>
        <item m="1" x="4332"/>
        <item m="1" x="4330"/>
        <item m="1" x="4303"/>
        <item m="1" x="4277"/>
        <item m="1" x="4465"/>
        <item m="1" x="4578"/>
        <item m="1" x="4438"/>
        <item m="1" x="4328"/>
        <item m="1" x="4669"/>
        <item m="1" x="4667"/>
        <item m="1" x="4429"/>
        <item m="1" x="4435"/>
        <item m="1" x="4290"/>
        <item m="1" x="4286"/>
        <item m="1" x="4294"/>
        <item m="1" x="4283"/>
        <item m="1" x="4280"/>
        <item m="1" x="4430"/>
        <item m="1" x="4442"/>
        <item m="1" x="4424"/>
        <item m="1" x="4670"/>
        <item m="1" x="4441"/>
        <item m="1" x="4278"/>
        <item m="1" x="4423"/>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5"/>
        <item m="1" x="3196"/>
        <item m="1" x="3197"/>
        <item m="1" x="3198"/>
        <item m="1" x="3199"/>
        <item m="1" x="3200"/>
        <item m="1" x="3201"/>
        <item m="1" x="3202"/>
        <item m="1" x="3203"/>
        <item m="1" x="3204"/>
        <item m="1" x="3205"/>
        <item m="1" x="3206"/>
        <item m="1" x="3207"/>
        <item m="1" x="3208"/>
        <item m="1" x="3209"/>
        <item m="1" x="3210"/>
        <item m="1" x="3211"/>
        <item m="1" x="3212"/>
        <item m="1" x="3213"/>
        <item m="1" x="3214"/>
        <item m="1" x="3215"/>
        <item m="1" x="3216"/>
        <item m="1" x="3217"/>
        <item m="1" x="3218"/>
        <item m="1" x="3219"/>
        <item m="1" x="3220"/>
        <item m="1" x="3221"/>
        <item m="1" x="3222"/>
        <item m="1" x="3223"/>
        <item m="1" x="3224"/>
        <item m="1" x="3225"/>
        <item m="1" x="3226"/>
        <item m="1" x="3227"/>
        <item m="1" x="3228"/>
        <item m="1" x="3229"/>
        <item m="1" x="3230"/>
        <item m="1" x="3231"/>
        <item m="1" x="3232"/>
        <item m="1" x="3233"/>
        <item m="1" x="3234"/>
        <item m="1" x="3235"/>
        <item m="1" x="3236"/>
        <item m="1" x="3237"/>
        <item m="1" x="3238"/>
        <item m="1" x="3239"/>
        <item m="1" x="3240"/>
        <item m="1" x="3241"/>
        <item m="1" x="3242"/>
        <item m="1" x="3243"/>
        <item m="1" x="3244"/>
        <item m="1" x="3245"/>
        <item m="1" x="3246"/>
        <item m="1" x="3247"/>
        <item m="1" x="3248"/>
        <item m="1" x="3249"/>
        <item m="1" x="3250"/>
        <item m="1" x="3251"/>
        <item m="1" x="3252"/>
        <item m="1" x="3253"/>
        <item m="1" x="3254"/>
        <item m="1" x="3255"/>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2758"/>
        <item m="1" x="2769"/>
        <item m="1" x="2763"/>
        <item m="1" x="2753"/>
        <item m="1" x="2773"/>
        <item m="1" x="2755"/>
        <item m="1" x="2771"/>
        <item m="1" x="2767"/>
        <item m="1" x="2765"/>
        <item m="1" x="2760"/>
        <item m="1" x="2759"/>
        <item m="1" x="2764"/>
        <item m="1" x="2754"/>
        <item m="1" x="2770"/>
        <item m="1" x="2756"/>
        <item m="1" x="2774"/>
        <item m="1" x="2768"/>
        <item m="1" x="2766"/>
        <item m="1" x="2761"/>
        <item m="1" x="2772"/>
        <item m="1" x="2757"/>
        <item m="1" x="2762"/>
        <item m="1" x="2777"/>
        <item m="1" x="2779"/>
        <item m="1" x="2776"/>
        <item m="1" x="2778"/>
        <item m="1" x="2775"/>
        <item m="1" x="2780"/>
        <item m="1" x="2782"/>
        <item m="1" x="2783"/>
        <item m="1" x="2781"/>
        <item m="1" x="2784"/>
        <item m="1" x="2785"/>
        <item m="1" x="2788"/>
        <item m="1" x="2787"/>
        <item m="1" x="2786"/>
        <item m="1" x="2799"/>
        <item m="1" x="2797"/>
        <item m="1" x="2791"/>
        <item m="1" x="2789"/>
        <item m="1" x="2794"/>
        <item m="1" x="2798"/>
        <item m="1" x="2800"/>
        <item m="1" x="2792"/>
        <item m="1" x="2795"/>
        <item m="1" x="2790"/>
        <item m="1" x="2796"/>
        <item m="1" x="2793"/>
        <item m="1" x="2805"/>
        <item m="1" x="2802"/>
        <item m="1" x="2803"/>
        <item m="1" x="2804"/>
        <item m="1" x="2806"/>
        <item m="1" x="2801"/>
        <item m="1" x="2807"/>
        <item m="1" x="2809"/>
        <item m="1" x="2808"/>
        <item m="1" x="2810"/>
        <item m="1" x="2811"/>
        <item m="1" x="2812"/>
        <item m="1" x="3006"/>
        <item m="1" x="3005"/>
        <item m="1" x="2813"/>
        <item m="1" x="2814"/>
        <item m="1" x="2816"/>
        <item m="1" x="2815"/>
        <item m="1" x="2817"/>
        <item m="1" x="2818"/>
        <item m="1" x="3007"/>
        <item m="1" x="3008"/>
        <item m="1" x="2819"/>
        <item m="1" x="3009"/>
        <item m="1" x="3010"/>
        <item m="1" x="2821"/>
        <item m="1" x="2820"/>
        <item m="1" x="3012"/>
        <item m="1" x="3011"/>
        <item m="1" x="3013"/>
        <item m="1" x="3014"/>
        <item m="1" x="3015"/>
        <item m="1" x="3017"/>
        <item m="1" x="3016"/>
        <item m="1" x="3018"/>
        <item m="1" x="2822"/>
        <item m="1" x="2823"/>
        <item m="1" x="3021"/>
        <item m="1" x="3025"/>
        <item m="1" x="3020"/>
        <item m="1" x="3022"/>
        <item m="1" x="3019"/>
        <item m="1" x="3024"/>
        <item m="1" x="3023"/>
        <item m="1" x="3026"/>
        <item m="1" x="3027"/>
        <item m="1" x="2825"/>
        <item m="1" x="2824"/>
        <item m="1" x="3028"/>
        <item m="1" x="3029"/>
        <item m="1" x="2826"/>
        <item m="1" x="2829"/>
        <item m="1" x="2827"/>
        <item m="1" x="2828"/>
        <item m="1" x="2831"/>
        <item m="1" x="2833"/>
        <item m="1" x="2830"/>
        <item m="1" x="2832"/>
        <item m="1" x="2836"/>
        <item m="1" x="2834"/>
        <item m="1" x="2835"/>
        <item m="1" x="2837"/>
        <item m="1" x="2838"/>
        <item m="1" x="3031"/>
        <item m="1" x="3030"/>
        <item m="1" x="2839"/>
        <item m="1" x="2840"/>
        <item m="1" x="2841"/>
        <item m="1" x="3034"/>
        <item m="1" x="3033"/>
        <item m="1" x="3032"/>
        <item m="1" x="3037"/>
        <item m="1" x="3036"/>
        <item m="1" x="3035"/>
        <item m="1" x="2842"/>
        <item m="1" x="3039"/>
        <item m="1" x="3040"/>
        <item m="1" x="3038"/>
        <item m="1" x="2843"/>
        <item m="1" x="2845"/>
        <item m="1" x="2844"/>
        <item m="1" x="2847"/>
        <item m="1" x="2848"/>
        <item m="1" x="2846"/>
        <item m="1" x="2849"/>
        <item m="1" x="2851"/>
        <item m="1" x="2850"/>
        <item m="1" x="2853"/>
        <item m="1" x="2854"/>
        <item m="1" x="2852"/>
        <item m="1" x="2856"/>
        <item m="1" x="2857"/>
        <item m="1" x="2855"/>
        <item m="1" x="2858"/>
        <item m="1" x="2860"/>
        <item m="1" x="2859"/>
        <item m="1" x="3042"/>
        <item m="1" x="3043"/>
        <item m="1" x="3041"/>
        <item m="1" x="2861"/>
        <item m="1" x="2863"/>
        <item m="1" x="2862"/>
        <item m="1" x="2865"/>
        <item m="1" x="2866"/>
        <item m="1" x="2864"/>
        <item m="1" x="2867"/>
        <item m="1" x="2870"/>
        <item m="1" x="2869"/>
        <item m="1" x="2872"/>
        <item m="1" x="2868"/>
        <item m="1" x="2871"/>
        <item m="1" x="2873"/>
        <item m="1" x="2875"/>
        <item m="1" x="2874"/>
        <item m="1" x="2876"/>
        <item m="1" x="2878"/>
        <item m="1" x="2877"/>
        <item m="1" x="2880"/>
        <item m="1" x="2881"/>
        <item m="1" x="2879"/>
        <item m="1" x="2882"/>
        <item m="1" x="2884"/>
        <item m="1" x="2883"/>
        <item m="1" x="2887"/>
        <item m="1" x="2885"/>
        <item m="1" x="2889"/>
        <item m="1" x="2888"/>
        <item m="1" x="2886"/>
        <item m="1" x="2890"/>
        <item m="1" x="2891"/>
        <item m="1" x="2892"/>
        <item m="1" x="2895"/>
        <item m="1" x="2893"/>
        <item m="1" x="2894"/>
        <item m="1" x="2896"/>
        <item m="1" x="2897"/>
        <item m="1" x="2919"/>
        <item m="1" x="2916"/>
        <item m="1" x="2913"/>
        <item m="1" x="2922"/>
        <item m="1" x="2905"/>
        <item m="1" x="2902"/>
        <item m="1" x="2899"/>
        <item m="1" x="2906"/>
        <item m="1" x="2907"/>
        <item m="1" x="2918"/>
        <item m="1" x="2912"/>
        <item m="1" x="2910"/>
        <item m="1" x="2904"/>
        <item m="1" x="2921"/>
        <item m="1" x="2915"/>
        <item m="1" x="2901"/>
        <item m="1" x="2909"/>
        <item m="1" x="2920"/>
        <item m="1" x="2900"/>
        <item m="1" x="2898"/>
        <item m="1" x="2914"/>
        <item m="1" x="2911"/>
        <item m="1" x="2917"/>
        <item m="1" x="2908"/>
        <item m="1" x="2903"/>
        <item m="1" x="2923"/>
        <item m="1" x="2924"/>
        <item m="1" x="2926"/>
        <item m="1" x="2925"/>
        <item m="1" x="2928"/>
        <item m="1" x="2927"/>
        <item m="1" x="2929"/>
        <item m="1" x="2930"/>
        <item m="1" x="2931"/>
        <item m="1" x="2934"/>
        <item m="1" x="2933"/>
        <item m="1" x="2932"/>
        <item m="1" x="2938"/>
        <item m="1" x="2937"/>
        <item m="1" x="2939"/>
        <item m="1" x="2935"/>
        <item m="1" x="2936"/>
        <item m="1" x="2940"/>
        <item m="1" x="2941"/>
        <item m="1" x="2942"/>
        <item m="1" x="2943"/>
        <item m="1" x="2944"/>
        <item m="1" x="2946"/>
        <item m="1" x="2945"/>
        <item m="1" x="2947"/>
        <item m="1" x="2949"/>
        <item m="1" x="2948"/>
        <item m="1" x="2951"/>
        <item m="1" x="2952"/>
        <item m="1" x="2950"/>
        <item m="1" x="2953"/>
        <item m="1" x="2954"/>
        <item m="1" x="2955"/>
        <item m="1" x="2958"/>
        <item m="1" x="2957"/>
        <item m="1" x="2956"/>
        <item m="1" x="2959"/>
        <item m="1" x="2960"/>
        <item m="1" x="2963"/>
        <item m="1" x="2962"/>
        <item m="1" x="2961"/>
        <item m="1" x="2966"/>
        <item m="1" x="2967"/>
        <item m="1" x="2965"/>
        <item m="1" x="2964"/>
        <item m="1" x="2968"/>
        <item m="1" x="2969"/>
        <item m="1" x="2972"/>
        <item m="1" x="2971"/>
        <item m="1" x="2970"/>
        <item m="1" x="2973"/>
        <item m="1" x="2974"/>
        <item m="1" x="2975"/>
        <item m="1" x="2976"/>
        <item m="1" x="2978"/>
        <item m="1" x="2977"/>
        <item m="1" x="2979"/>
        <item m="1" x="2980"/>
        <item m="1" x="2981"/>
        <item m="1" x="2982"/>
        <item m="1" x="2984"/>
        <item m="1" x="2985"/>
        <item m="1" x="2983"/>
        <item m="1" x="2986"/>
        <item m="1" x="2989"/>
        <item m="1" x="2988"/>
        <item m="1" x="2987"/>
        <item m="1" x="2993"/>
        <item m="1" x="2990"/>
        <item m="1" x="2992"/>
        <item m="1" x="2994"/>
        <item m="1" x="2991"/>
        <item m="1" x="2995"/>
        <item m="1" x="2996"/>
        <item m="1" x="3002"/>
        <item m="1" x="3004"/>
        <item m="1" x="2998"/>
        <item m="1" x="3000"/>
        <item m="1" x="3001"/>
        <item m="1" x="3003"/>
        <item m="1" x="2997"/>
        <item m="1" x="2999"/>
        <item m="1" x="3044"/>
        <item m="1" x="3045"/>
        <item m="1" x="2342"/>
        <item m="1" x="2347"/>
        <item m="1" x="2343"/>
        <item m="1" x="2350"/>
        <item m="1" x="2340"/>
        <item m="1" x="2345"/>
        <item m="1" x="2351"/>
        <item m="1" x="2344"/>
        <item m="1" x="2352"/>
        <item m="1" x="2341"/>
        <item m="1" x="2348"/>
        <item m="1" x="2346"/>
        <item m="1" x="2353"/>
        <item m="1" x="2339"/>
        <item m="1" x="2349"/>
        <item m="1" x="2354"/>
        <item m="1" x="2355"/>
        <item m="1" x="2356"/>
        <item m="1" x="2357"/>
        <item m="1" x="2358"/>
        <item m="1" x="2359"/>
        <item m="1" x="2360"/>
        <item m="1" x="2365"/>
        <item m="1" x="2361"/>
        <item m="1" x="2362"/>
        <item m="1" x="2363"/>
        <item m="1" x="2364"/>
        <item m="1" x="2366"/>
        <item m="1" x="2368"/>
        <item m="1" x="2367"/>
        <item m="1" x="2369"/>
        <item m="1" x="2370"/>
        <item m="1" x="2371"/>
        <item m="1" x="2372"/>
        <item m="1" x="2376"/>
        <item m="1" x="2375"/>
        <item m="1" x="2378"/>
        <item m="1" x="2373"/>
        <item m="1" x="2377"/>
        <item m="1" x="2374"/>
        <item m="1" x="2379"/>
        <item m="1" x="2380"/>
        <item m="1" x="2382"/>
        <item m="1" x="2381"/>
        <item m="1" x="2389"/>
        <item m="1" x="2388"/>
        <item m="1" x="2390"/>
        <item m="1" x="2393"/>
        <item m="1" x="2394"/>
        <item m="1" x="2421"/>
        <item m="1" x="2422"/>
        <item m="1" x="2433"/>
        <item m="1" x="2432"/>
        <item m="1" x="2434"/>
        <item m="1" x="2435"/>
        <item m="1" x="2749"/>
        <item m="1" x="2750"/>
        <item m="1" x="2751"/>
        <item m="1" x="2752"/>
        <item m="1" x="2440"/>
        <item m="1" x="2441"/>
        <item m="1" x="2442"/>
        <item m="1" x="2458"/>
        <item m="1" x="2457"/>
        <item m="1" x="2459"/>
        <item m="1" x="2472"/>
        <item m="1" x="2478"/>
        <item m="1" x="2477"/>
        <item m="1" x="2476"/>
        <item m="1" x="2481"/>
        <item m="1" x="2479"/>
        <item m="1" x="2480"/>
        <item m="1" x="2484"/>
        <item m="1" x="2483"/>
        <item m="1" x="2482"/>
        <item m="1" x="2487"/>
        <item m="1" x="2485"/>
        <item m="1" x="2486"/>
        <item m="1" x="2491"/>
        <item m="1" x="2492"/>
        <item m="1" x="2493"/>
        <item m="1" x="2496"/>
        <item m="1" x="2495"/>
        <item m="1" x="2494"/>
        <item m="1" x="2500"/>
        <item m="1" x="2502"/>
        <item m="1" x="2501"/>
        <item m="1" x="2504"/>
        <item m="1" x="2503"/>
        <item m="1" x="2505"/>
        <item m="1" x="2507"/>
        <item m="1" x="2510"/>
        <item m="1" x="2508"/>
        <item m="1" x="2509"/>
        <item m="1" x="2511"/>
        <item m="1" x="2506"/>
        <item m="1" x="2516"/>
        <item m="1" x="2517"/>
        <item m="1" x="2515"/>
        <item m="1" x="2522"/>
        <item m="1" x="2523"/>
        <item m="1" x="2521"/>
        <item m="1" x="2525"/>
        <item m="1" x="2524"/>
        <item m="1" x="2526"/>
        <item m="1" x="2534"/>
        <item m="1" x="2535"/>
        <item m="1" x="2533"/>
        <item m="1" x="2536"/>
        <item m="1" x="2537"/>
        <item m="1" x="2571"/>
        <item m="1" x="2573"/>
        <item m="1" x="2572"/>
        <item m="1" x="2575"/>
        <item m="1" x="2574"/>
        <item m="1" x="2576"/>
        <item m="1" x="2578"/>
        <item m="1" x="2577"/>
        <item m="1" x="2592"/>
        <item m="1" x="2584"/>
        <item m="1" x="2581"/>
        <item m="1" x="2585"/>
        <item m="1" x="2591"/>
        <item m="1" x="2583"/>
        <item m="1" x="2588"/>
        <item m="1" x="2595"/>
        <item m="1" x="2580"/>
        <item m="1" x="2586"/>
        <item m="1" x="2596"/>
        <item m="1" x="2582"/>
        <item m="1" x="2589"/>
        <item m="1" x="2587"/>
        <item m="1" x="2593"/>
        <item m="1" x="2597"/>
        <item m="1" x="2579"/>
        <item m="1" x="2590"/>
        <item m="1" x="2594"/>
        <item m="1" x="2598"/>
        <item m="1" x="2600"/>
        <item m="1" x="2599"/>
        <item m="1" x="2601"/>
        <item m="1" x="2602"/>
        <item m="1" x="2604"/>
        <item m="1" x="2603"/>
        <item m="1" x="2605"/>
        <item m="1" x="2606"/>
        <item m="1" x="2607"/>
        <item m="1" x="2609"/>
        <item m="1" x="2610"/>
        <item m="1" x="2608"/>
        <item m="1" x="2617"/>
        <item m="1" x="2611"/>
        <item m="1" x="2614"/>
        <item m="1" x="2615"/>
        <item m="1" x="2612"/>
        <item m="1" x="2613"/>
        <item m="1" x="2616"/>
        <item m="1" x="2619"/>
        <item m="1" x="2618"/>
        <item m="1" x="2620"/>
        <item m="1" x="2622"/>
        <item m="1" x="2621"/>
        <item m="1" x="2624"/>
        <item m="1" x="2623"/>
        <item m="1" x="2625"/>
        <item m="1" x="2626"/>
        <item m="1" x="2627"/>
        <item m="1" x="2632"/>
        <item m="1" x="2633"/>
        <item m="1" x="2635"/>
        <item m="1" x="2634"/>
        <item m="1" x="2636"/>
        <item m="1" x="2637"/>
        <item m="1" x="2639"/>
        <item m="1" x="2640"/>
        <item m="1" x="2638"/>
        <item m="1" x="2641"/>
        <item m="1" x="2642"/>
        <item m="1" x="2644"/>
        <item m="1" x="2645"/>
        <item m="1" x="2643"/>
        <item m="1" x="2650"/>
        <item m="1" x="2649"/>
        <item m="1" x="2654"/>
        <item m="1" x="2651"/>
        <item m="1" x="2653"/>
        <item m="1" x="2652"/>
        <item m="1" x="2656"/>
        <item m="1" x="2655"/>
        <item m="1" x="2657"/>
        <item m="1" x="2658"/>
        <item m="1" x="2659"/>
        <item m="1" x="2660"/>
        <item m="1" x="2661"/>
        <item m="1" x="2662"/>
        <item m="1" x="2664"/>
        <item m="1" x="2663"/>
        <item m="1" x="2666"/>
        <item m="1" x="2665"/>
        <item m="1" x="2668"/>
        <item m="1" x="2667"/>
        <item m="1" x="2670"/>
        <item m="1" x="2674"/>
        <item m="1" x="2675"/>
        <item m="1" x="2669"/>
        <item m="1" x="2672"/>
        <item m="1" x="2671"/>
        <item m="1" x="2673"/>
        <item m="1" x="2676"/>
        <item m="1" x="2680"/>
        <item m="1" x="2678"/>
        <item m="1" x="2679"/>
        <item m="1" x="2677"/>
        <item m="1" x="2682"/>
        <item m="1" x="2683"/>
        <item m="1" x="2681"/>
        <item m="1" x="2687"/>
        <item m="1" x="2685"/>
        <item m="1" x="2684"/>
        <item m="1" x="2686"/>
        <item m="1" x="2741"/>
        <item m="1" x="2743"/>
        <item m="1" x="2746"/>
        <item m="1" x="2744"/>
        <item m="1" x="2745"/>
        <item m="1" x="2742"/>
        <item m="1" x="2748"/>
        <item m="1" x="2747"/>
        <item m="1" x="2383"/>
        <item m="1" x="2384"/>
        <item m="1" x="2385"/>
        <item m="1" x="2386"/>
        <item m="1" x="2387"/>
        <item m="1" x="2391"/>
        <item m="1" x="2392"/>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3"/>
        <item m="1" x="2424"/>
        <item m="1" x="2425"/>
        <item m="1" x="2426"/>
        <item m="1" x="2427"/>
        <item m="1" x="2428"/>
        <item m="1" x="2429"/>
        <item m="1" x="2430"/>
        <item m="1" x="2431"/>
        <item m="1" x="2436"/>
        <item m="1" x="2437"/>
        <item m="1" x="2438"/>
        <item m="1" x="2439"/>
        <item m="1" x="2443"/>
        <item m="1" x="2444"/>
        <item m="1" x="2445"/>
        <item m="1" x="2446"/>
        <item m="1" x="2447"/>
        <item m="1" x="2448"/>
        <item m="1" x="2449"/>
        <item m="1" x="2450"/>
        <item m="1" x="2451"/>
        <item m="1" x="2452"/>
        <item m="1" x="2453"/>
        <item m="1" x="2454"/>
        <item m="1" x="2455"/>
        <item m="1" x="2456"/>
        <item m="1" x="2460"/>
        <item m="1" x="2461"/>
        <item m="1" x="2462"/>
        <item m="1" x="2463"/>
        <item m="1" x="2464"/>
        <item m="1" x="2465"/>
        <item m="1" x="2466"/>
        <item m="1" x="2467"/>
        <item m="1" x="2468"/>
        <item m="1" x="2469"/>
        <item m="1" x="2470"/>
        <item m="1" x="2471"/>
        <item m="1" x="2473"/>
        <item m="1" x="2474"/>
        <item m="1" x="2475"/>
        <item m="1" x="2488"/>
        <item m="1" x="2489"/>
        <item m="1" x="2490"/>
        <item m="1" x="2497"/>
        <item m="1" x="2498"/>
        <item m="1" x="2499"/>
        <item m="1" x="2512"/>
        <item m="1" x="2513"/>
        <item m="1" x="2514"/>
        <item m="1" x="2518"/>
        <item m="1" x="2519"/>
        <item m="1" x="2520"/>
        <item m="1" x="2527"/>
        <item m="1" x="2528"/>
        <item m="1" x="2529"/>
        <item m="1" x="2530"/>
        <item m="1" x="2531"/>
        <item m="1" x="2532"/>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628"/>
        <item m="1" x="2629"/>
        <item m="1" x="2630"/>
        <item m="1" x="2631"/>
        <item m="1" x="2646"/>
        <item m="1" x="2647"/>
        <item m="1" x="2648"/>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095"/>
        <item m="1" x="1096"/>
        <item m="1" x="1097"/>
        <item m="1" x="1098"/>
        <item m="1" x="1099"/>
        <item m="1" x="1100"/>
        <item m="1" x="1107"/>
        <item m="1" x="1108"/>
        <item m="1" x="1109"/>
        <item m="1" x="1110"/>
        <item m="1" x="1111"/>
        <item m="1" x="1112"/>
        <item m="1" x="1101"/>
        <item m="1" x="1102"/>
        <item m="1" x="1103"/>
        <item m="1" x="1104"/>
        <item m="1" x="1105"/>
        <item m="1" x="1106"/>
        <item m="1" x="1113"/>
        <item m="1" x="1114"/>
        <item m="1" x="1115"/>
        <item m="1" x="1116"/>
        <item m="1" x="1117"/>
        <item m="1" x="1118"/>
        <item m="1" x="1119"/>
        <item m="1" x="1121"/>
        <item m="1" x="1122"/>
        <item m="1" x="1120"/>
        <item m="1" x="1123"/>
        <item m="1" x="1124"/>
        <item m="1" x="1127"/>
        <item m="1" x="1128"/>
        <item m="1" x="1125"/>
        <item m="1" x="1126"/>
        <item m="1" x="1133"/>
        <item m="1" x="1134"/>
        <item m="1" x="1129"/>
        <item m="1" x="1130"/>
        <item m="1" x="1131"/>
        <item m="1" x="1132"/>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6"/>
        <item m="1" x="1185"/>
        <item m="1" x="1187"/>
        <item m="1" x="1192"/>
        <item m="1" x="1193"/>
        <item m="1" x="1190"/>
        <item m="1" x="1191"/>
        <item m="1" x="1188"/>
        <item m="1" x="1189"/>
        <item m="1" x="1194"/>
        <item m="1" x="1195"/>
        <item m="1" x="1196"/>
        <item m="1" x="1197"/>
        <item m="1" x="1198"/>
        <item m="1" x="1201"/>
        <item m="1" x="1202"/>
        <item m="1" x="1199"/>
        <item m="1" x="1200"/>
        <item m="1" x="1203"/>
        <item m="1" x="1204"/>
        <item m="1" x="1205"/>
        <item m="1" x="1206"/>
        <item m="1" x="1207"/>
        <item m="1" x="1208"/>
        <item m="1" x="1211"/>
        <item m="1" x="1212"/>
        <item m="1" x="1209"/>
        <item m="1" x="1210"/>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5"/>
        <item m="1" x="1276"/>
        <item m="1" x="1274"/>
        <item m="1" x="1279"/>
        <item m="1" x="1277"/>
        <item m="1" x="1278"/>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9"/>
        <item m="1" x="1308"/>
        <item m="1" x="1310"/>
        <item m="1" x="1311"/>
        <item m="1" x="1312"/>
        <item m="1" x="1313"/>
        <item m="1" x="1314"/>
        <item m="1" x="1315"/>
        <item m="1" x="1316"/>
        <item m="1" x="1317"/>
        <item m="1" x="1318"/>
        <item m="1" x="1319"/>
        <item m="1" x="1320"/>
        <item m="1" x="1321"/>
        <item m="1" x="1322"/>
        <item m="1" x="1323"/>
        <item m="1" x="1324"/>
        <item m="1" x="1325"/>
        <item m="1" x="1328"/>
        <item m="1" x="1326"/>
        <item m="1" x="1327"/>
        <item m="1" x="1329"/>
        <item m="1" x="1330"/>
        <item m="1" x="1332"/>
        <item m="1" x="1331"/>
        <item m="1" x="1335"/>
        <item m="1" x="1333"/>
        <item m="1" x="1334"/>
        <item m="1" x="1336"/>
        <item m="1" x="1337"/>
        <item m="1" x="1338"/>
        <item m="1" x="1339"/>
        <item m="1" x="1340"/>
        <item m="1" x="1341"/>
        <item m="1" x="1343"/>
        <item m="1" x="1354"/>
        <item m="1" x="1352"/>
        <item m="1" x="1353"/>
        <item m="1" x="1350"/>
        <item m="1" x="1351"/>
        <item m="1" x="1344"/>
        <item m="1" x="1345"/>
        <item m="1" x="1346"/>
        <item m="1" x="1347"/>
        <item m="1" x="1348"/>
        <item m="1" x="1349"/>
        <item m="1" x="1342"/>
        <item m="1" x="1355"/>
        <item m="1" x="1356"/>
        <item m="1" x="1357"/>
        <item m="1" x="1358"/>
        <item m="1" x="1359"/>
        <item m="1" x="1360"/>
        <item m="1" x="1361"/>
        <item m="1" x="1362"/>
        <item m="1" x="1363"/>
        <item m="1" x="1364"/>
        <item m="1" x="1365"/>
        <item m="1" x="1366"/>
        <item m="1" x="1367"/>
        <item m="1" x="1369"/>
        <item m="1" x="1368"/>
        <item m="1" x="1371"/>
        <item m="1" x="1372"/>
        <item m="1" x="1370"/>
        <item m="1" x="1373"/>
        <item m="1" x="1374"/>
        <item m="1" x="1375"/>
        <item m="1" x="1376"/>
        <item m="1" x="1377"/>
        <item m="1" x="1378"/>
        <item m="1" x="1379"/>
        <item m="1" x="1380"/>
        <item m="1" x="1381"/>
        <item m="1" x="1384"/>
        <item m="1" x="1385"/>
        <item m="1" x="1382"/>
        <item m="1" x="1383"/>
        <item m="1" x="1387"/>
        <item m="1" x="1386"/>
        <item m="1" x="1390"/>
        <item m="1" x="1391"/>
        <item m="1" x="1392"/>
        <item m="1" x="1393"/>
        <item m="1" x="1395"/>
        <item m="1" x="1396"/>
        <item m="1" x="1394"/>
        <item m="1" x="1399"/>
        <item m="1" x="1397"/>
        <item m="1" x="1398"/>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7"/>
        <item m="1" x="1428"/>
        <item m="1" x="1426"/>
        <item m="1" x="1429"/>
        <item m="1" x="1430"/>
        <item m="1" x="1431"/>
        <item m="1" x="1432"/>
        <item m="1" x="1433"/>
        <item m="1" x="1434"/>
        <item m="1" x="1435"/>
        <item m="1" x="1437"/>
        <item m="1" x="1438"/>
        <item m="1" x="1436"/>
        <item m="1" x="1440"/>
        <item m="1" x="1441"/>
        <item m="1" x="1439"/>
        <item m="1" x="1442"/>
        <item m="1" x="1443"/>
        <item m="1" x="1444"/>
        <item m="1" x="1445"/>
        <item m="1" x="1446"/>
        <item m="1" x="1447"/>
        <item m="1" x="1448"/>
        <item m="1" x="1451"/>
        <item m="1" x="1449"/>
        <item m="1" x="1450"/>
        <item m="1" x="1452"/>
        <item m="1" x="1456"/>
        <item m="1" x="1453"/>
        <item m="1" x="1454"/>
        <item m="1" x="1455"/>
        <item m="1" x="1463"/>
        <item m="1" x="1464"/>
        <item m="1" x="1462"/>
        <item m="1" x="1459"/>
        <item m="1" x="1460"/>
        <item m="1" x="1461"/>
        <item m="1" x="1457"/>
        <item m="1" x="1458"/>
        <item m="1" x="1465"/>
        <item m="1" x="1466"/>
        <item m="1" x="1467"/>
        <item m="1" x="1468"/>
        <item m="1" x="1469"/>
        <item m="1" x="1470"/>
        <item m="1" x="1471"/>
        <item m="1" x="1472"/>
        <item m="1" x="1473"/>
        <item m="1" x="1474"/>
        <item m="1" x="1475"/>
        <item m="1" x="1476"/>
        <item m="1" x="1477"/>
        <item m="1" x="1478"/>
        <item m="1" x="1479"/>
        <item m="1" x="1480"/>
        <item m="1" x="1481"/>
        <item m="1" x="1482"/>
        <item m="1" x="1483"/>
        <item m="1" x="1062"/>
        <item m="1" x="1484"/>
        <item m="1" x="1485"/>
        <item m="1" x="1486"/>
        <item m="1" x="1488"/>
        <item m="1" x="1487"/>
        <item m="1" x="1489"/>
        <item m="1" x="1490"/>
        <item m="1" x="1491"/>
        <item m="1" x="1492"/>
        <item m="1" x="1493"/>
        <item m="1" x="1494"/>
        <item m="1" x="1496"/>
        <item m="1" x="1495"/>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23"/>
        <item m="1" x="1524"/>
        <item m="1" x="1525"/>
        <item m="1" x="1521"/>
        <item m="1" x="1522"/>
        <item m="1" x="1517"/>
        <item m="1" x="1518"/>
        <item m="1" x="1519"/>
        <item m="1" x="1520"/>
        <item m="1" x="1526"/>
        <item m="1" x="1527"/>
        <item m="1" x="1388"/>
        <item m="1" x="1389"/>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924"/>
        <item m="1" x="925"/>
        <item m="1" x="926"/>
        <item m="1" x="927"/>
        <item m="1" x="928"/>
        <item m="1" x="500"/>
        <item m="1" x="501"/>
        <item m="1" x="502"/>
        <item m="1" x="503"/>
        <item m="1" x="504"/>
        <item m="1" x="505"/>
        <item m="1" x="929"/>
        <item m="1" x="930"/>
        <item m="1" x="508"/>
        <item m="1" x="509"/>
        <item m="1" x="931"/>
        <item m="1" x="932"/>
        <item m="1" x="933"/>
        <item m="1" x="934"/>
        <item m="1" x="935"/>
        <item m="1" x="936"/>
        <item m="1" x="937"/>
        <item m="1" x="938"/>
        <item m="1" x="939"/>
        <item m="1" x="940"/>
        <item m="1" x="941"/>
        <item m="1" x="942"/>
        <item m="1" x="943"/>
        <item m="1" x="944"/>
        <item m="1" x="945"/>
        <item m="1" x="946"/>
        <item m="1" x="947"/>
        <item m="1" x="948"/>
        <item m="1" x="949"/>
        <item m="1" x="950"/>
        <item m="1" x="530"/>
        <item m="1" x="531"/>
        <item m="1" x="532"/>
        <item m="1" x="533"/>
        <item m="1" x="951"/>
        <item m="1" x="535"/>
        <item m="1" x="536"/>
        <item m="1" x="537"/>
        <item m="1" x="538"/>
        <item m="1" x="539"/>
        <item m="1" x="952"/>
        <item m="1" x="953"/>
        <item m="1" x="542"/>
        <item m="1" x="543"/>
        <item m="1" x="906"/>
        <item m="1" x="954"/>
        <item m="1" x="955"/>
        <item m="1" x="956"/>
        <item m="1" x="957"/>
        <item m="1" x="958"/>
        <item m="1" x="959"/>
        <item m="1" x="551"/>
        <item m="1" x="552"/>
        <item m="1" x="907"/>
        <item m="1" x="908"/>
        <item m="1" x="909"/>
        <item m="1" x="910"/>
        <item m="1" x="557"/>
        <item m="1" x="558"/>
        <item m="1" x="911"/>
        <item m="1" x="912"/>
        <item m="1" x="913"/>
        <item m="1" x="914"/>
        <item m="1" x="960"/>
        <item m="1" x="961"/>
        <item m="1" x="962"/>
        <item m="1" x="963"/>
        <item m="1" x="964"/>
        <item m="1" x="965"/>
        <item m="1" x="966"/>
        <item m="1" x="967"/>
        <item m="1" x="968"/>
        <item m="1" x="969"/>
        <item m="1" x="970"/>
        <item m="1" x="574"/>
        <item m="1" x="575"/>
        <item m="1" x="576"/>
        <item m="1" x="971"/>
        <item m="1" x="972"/>
        <item m="1" x="973"/>
        <item m="1" x="974"/>
        <item m="1" x="975"/>
        <item m="1" x="976"/>
        <item m="1" x="977"/>
        <item m="1" x="978"/>
        <item m="1" x="979"/>
        <item m="1" x="586"/>
        <item m="1" x="587"/>
        <item m="1" x="588"/>
        <item m="1" x="980"/>
        <item m="1" x="981"/>
        <item m="1" x="982"/>
        <item m="1" x="915"/>
        <item m="1" x="916"/>
        <item m="1" x="917"/>
        <item m="1" x="595"/>
        <item m="1" x="596"/>
        <item m="1" x="597"/>
        <item m="1" x="598"/>
        <item m="1" x="599"/>
        <item m="1" x="600"/>
        <item m="1" x="601"/>
        <item m="1" x="602"/>
        <item m="1" x="603"/>
        <item m="1" x="983"/>
        <item m="1" x="984"/>
        <item m="1" x="985"/>
        <item m="1" x="986"/>
        <item m="1" x="987"/>
        <item m="1" x="988"/>
        <item m="1" x="989"/>
        <item m="1" x="990"/>
        <item m="1" x="991"/>
        <item m="1" x="613"/>
        <item m="1" x="614"/>
        <item m="1" x="615"/>
        <item m="1" x="616"/>
        <item m="1" x="617"/>
        <item m="1" x="618"/>
        <item m="1" x="619"/>
        <item m="1" x="620"/>
        <item m="1" x="621"/>
        <item m="1" x="622"/>
        <item m="1" x="626"/>
        <item m="1" x="627"/>
        <item m="1" x="628"/>
        <item m="1" x="992"/>
        <item m="1" x="993"/>
        <item m="1" x="994"/>
        <item m="1" x="632"/>
        <item m="1" x="633"/>
        <item m="1" x="634"/>
        <item m="1" x="995"/>
        <item m="1" x="996"/>
        <item m="1" x="997"/>
        <item m="1" x="638"/>
        <item m="1" x="639"/>
        <item m="1" x="640"/>
        <item m="1" x="641"/>
        <item m="1" x="642"/>
        <item m="1" x="643"/>
        <item m="1" x="998"/>
        <item m="1" x="999"/>
        <item m="1" x="1000"/>
        <item m="1" x="1001"/>
        <item m="1" x="1002"/>
        <item m="1" x="1003"/>
        <item m="1" x="650"/>
        <item m="1" x="651"/>
        <item m="1" x="652"/>
        <item m="1" x="653"/>
        <item m="1" x="654"/>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686"/>
        <item m="1" x="687"/>
        <item m="1" x="688"/>
        <item m="1" x="689"/>
        <item m="1" x="690"/>
        <item m="1" x="691"/>
        <item m="1" x="692"/>
        <item m="1" x="693"/>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1035"/>
        <item m="1" x="1036"/>
        <item m="1" x="756"/>
        <item m="1" x="757"/>
        <item m="1" x="758"/>
        <item m="1" x="759"/>
        <item m="1" x="760"/>
        <item m="1" x="761"/>
        <item m="1" x="762"/>
        <item m="1" x="763"/>
        <item m="1" x="764"/>
        <item m="1" x="765"/>
        <item m="1" x="1037"/>
        <item m="1" x="1038"/>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1039"/>
        <item m="1" x="1040"/>
        <item m="1" x="1041"/>
        <item m="1" x="795"/>
        <item m="1" x="796"/>
        <item m="1" x="797"/>
        <item m="1" x="798"/>
        <item m="1" x="799"/>
        <item m="1" x="800"/>
        <item m="1" x="801"/>
        <item m="1" x="802"/>
        <item m="1" x="803"/>
        <item m="1" x="804"/>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894"/>
        <item m="1" x="895"/>
        <item m="1" x="896"/>
        <item m="1" x="897"/>
        <item m="1" x="898"/>
        <item m="1" x="899"/>
        <item m="1" x="900"/>
        <item m="1" x="901"/>
        <item m="1" x="902"/>
        <item m="1" x="903"/>
        <item m="1" x="904"/>
        <item m="1" x="905"/>
        <item m="1" x="623"/>
        <item m="1" x="624"/>
        <item m="1" x="625"/>
        <item m="1" x="805"/>
        <item m="1" x="806"/>
        <item m="1" x="807"/>
        <item m="1" x="495"/>
        <item m="1" x="496"/>
        <item m="1" x="497"/>
        <item m="1" x="498"/>
        <item m="1" x="499"/>
        <item m="1" x="506"/>
        <item m="1" x="507"/>
        <item m="1" x="510"/>
        <item m="1" x="511"/>
        <item m="1" x="512"/>
        <item m="1" x="513"/>
        <item m="1" x="514"/>
        <item m="1" x="515"/>
        <item m="1" x="516"/>
        <item m="1" x="517"/>
        <item m="1" x="518"/>
        <item m="1" x="519"/>
        <item m="1" x="520"/>
        <item m="1" x="521"/>
        <item m="1" x="522"/>
        <item m="1" x="523"/>
        <item m="1" x="524"/>
        <item m="1" x="525"/>
        <item m="1" x="526"/>
        <item m="1" x="527"/>
        <item m="1" x="528"/>
        <item m="1" x="529"/>
        <item m="1" x="534"/>
        <item m="1" x="540"/>
        <item m="1" x="541"/>
        <item m="1" x="545"/>
        <item m="1" x="546"/>
        <item m="1" x="547"/>
        <item m="1" x="548"/>
        <item m="1" x="549"/>
        <item m="1" x="550"/>
        <item m="1" x="563"/>
        <item m="1" x="564"/>
        <item m="1" x="565"/>
        <item m="1" x="566"/>
        <item m="1" x="567"/>
        <item m="1" x="568"/>
        <item m="1" x="569"/>
        <item m="1" x="570"/>
        <item m="1" x="571"/>
        <item m="1" x="572"/>
        <item m="1" x="573"/>
        <item m="1" x="577"/>
        <item m="1" x="578"/>
        <item m="1" x="579"/>
        <item m="1" x="580"/>
        <item m="1" x="581"/>
        <item m="1" x="582"/>
        <item m="1" x="583"/>
        <item m="1" x="584"/>
        <item m="1" x="585"/>
        <item m="1" x="589"/>
        <item m="1" x="590"/>
        <item m="1" x="591"/>
        <item m="1" x="604"/>
        <item m="1" x="605"/>
        <item m="1" x="606"/>
        <item m="1" x="918"/>
        <item m="1" x="919"/>
        <item m="1" x="920"/>
        <item m="1" x="921"/>
        <item m="1" x="922"/>
        <item m="1" x="923"/>
        <item m="1" x="629"/>
        <item m="1" x="630"/>
        <item m="1" x="631"/>
        <item m="1" x="635"/>
        <item m="1" x="636"/>
        <item m="1" x="637"/>
        <item m="1" x="644"/>
        <item m="1" x="645"/>
        <item m="1" x="646"/>
        <item m="1" x="647"/>
        <item m="1" x="648"/>
        <item m="1" x="649"/>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94"/>
        <item m="1" x="695"/>
        <item m="1" x="754"/>
        <item m="1" x="755"/>
        <item m="1" x="766"/>
        <item m="1" x="767"/>
        <item m="1" x="792"/>
        <item m="1" x="793"/>
        <item m="1" x="794"/>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544"/>
        <item m="1" x="553"/>
        <item m="1" x="554"/>
        <item m="1" x="555"/>
        <item m="1" x="556"/>
        <item m="1" x="559"/>
        <item m="1" x="560"/>
        <item m="1" x="561"/>
        <item m="1" x="562"/>
        <item m="1" x="592"/>
        <item m="1" x="593"/>
        <item m="1" x="594"/>
        <item m="1" x="607"/>
        <item m="1" x="608"/>
        <item m="1" x="609"/>
        <item m="1" x="610"/>
        <item m="1" x="611"/>
        <item m="1" x="6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t="default"/>
      </items>
    </pivotField>
    <pivotField numFmtId="172" showAll="0"/>
    <pivotField showAll="0"/>
    <pivotField showAll="0"/>
    <pivotField showAll="0"/>
    <pivotField dataField="1" numFmtId="172" showAll="0"/>
    <pivotField axis="axisRow" multipleItemSelectionAllowed="1" showAll="0">
      <items count="8">
        <item x="1"/>
        <item x="4"/>
        <item x="0"/>
        <item m="1" x="6"/>
        <item x="2"/>
        <item x="5"/>
        <item x="3"/>
        <item t="default"/>
      </items>
    </pivotField>
    <pivotField axis="axisRow" showAll="0">
      <items count="10">
        <item sd="0" x="3"/>
        <item sd="0" x="1"/>
        <item sd="0" x="0"/>
        <item sd="0" x="5"/>
        <item sd="0" x="7"/>
        <item m="1" x="8"/>
        <item sd="0" x="2"/>
        <item sd="0" x="6"/>
        <item sd="0" x="4"/>
        <item t="default"/>
      </items>
    </pivotField>
  </pivotFields>
  <rowFields count="4">
    <field x="2"/>
    <field x="41"/>
    <field x="42"/>
    <field x="5"/>
  </rowFields>
  <rowItems count="38">
    <i>
      <x v="1"/>
    </i>
    <i r="1">
      <x/>
    </i>
    <i r="2">
      <x v="1"/>
    </i>
    <i r="1">
      <x v="1"/>
    </i>
    <i r="2">
      <x v="3"/>
    </i>
    <i r="2">
      <x v="4"/>
    </i>
    <i r="1">
      <x v="2"/>
    </i>
    <i r="2">
      <x v="2"/>
    </i>
    <i r="1">
      <x v="4"/>
    </i>
    <i r="2">
      <x v="6"/>
    </i>
    <i r="2">
      <x v="7"/>
    </i>
    <i r="1">
      <x v="5"/>
    </i>
    <i r="2">
      <x/>
    </i>
    <i>
      <x v="2"/>
    </i>
    <i r="1">
      <x/>
    </i>
    <i r="2">
      <x v="1"/>
    </i>
    <i r="1">
      <x v="1"/>
    </i>
    <i r="2">
      <x v="3"/>
    </i>
    <i r="2">
      <x v="4"/>
    </i>
    <i r="1">
      <x v="2"/>
    </i>
    <i r="2">
      <x v="2"/>
    </i>
    <i r="1">
      <x v="4"/>
    </i>
    <i r="2">
      <x v="6"/>
    </i>
    <i r="2">
      <x v="7"/>
    </i>
    <i r="2">
      <x v="8"/>
    </i>
    <i r="1">
      <x v="5"/>
    </i>
    <i r="2">
      <x/>
    </i>
    <i>
      <x v="3"/>
    </i>
    <i r="1">
      <x/>
    </i>
    <i r="2">
      <x v="1"/>
    </i>
    <i r="1">
      <x v="1"/>
    </i>
    <i r="2">
      <x v="3"/>
    </i>
    <i r="1">
      <x v="4"/>
    </i>
    <i r="2">
      <x v="6"/>
    </i>
    <i r="2">
      <x v="7"/>
    </i>
    <i r="2">
      <x v="8"/>
    </i>
    <i r="1">
      <x v="5"/>
    </i>
    <i r="2">
      <x/>
    </i>
  </rowItems>
  <colFields count="1">
    <field x="-2"/>
  </colFields>
  <colItems count="3">
    <i>
      <x/>
    </i>
    <i i="1">
      <x v="1"/>
    </i>
    <i i="2">
      <x v="2"/>
    </i>
  </colItems>
  <pageFields count="1">
    <pageField fld="35" hier="-1"/>
  </pageFields>
  <dataFields count="3">
    <dataField name="Emisiones Financiadas" fld="35" baseField="0" baseItem="0"/>
    <dataField name=" Intensidad" fld="40" baseField="0" baseItem="0"/>
    <dataField name="Sum of Inv MM$" fld="28" baseField="0" baseItem="0"/>
  </dataFields>
  <formats count="6">
    <format dxfId="62">
      <pivotArea grandRow="1" outline="0" collapsedLevelsAreSubtotals="1" fieldPosition="0"/>
    </format>
    <format dxfId="61">
      <pivotArea collapsedLevelsAreSubtotals="1" fieldPosition="0">
        <references count="1">
          <reference field="41" count="1">
            <x v="1"/>
          </reference>
        </references>
      </pivotArea>
    </format>
    <format dxfId="60">
      <pivotArea collapsedLevelsAreSubtotals="1" fieldPosition="0">
        <references count="2">
          <reference field="41" count="1" selected="0">
            <x v="1"/>
          </reference>
          <reference field="42" count="2">
            <x v="3"/>
            <x v="4"/>
          </reference>
        </references>
      </pivotArea>
    </format>
    <format dxfId="59">
      <pivotArea collapsedLevelsAreSubtotals="1" fieldPosition="0">
        <references count="1">
          <reference field="41" count="1">
            <x v="0"/>
          </reference>
        </references>
      </pivotArea>
    </format>
    <format dxfId="58">
      <pivotArea collapsedLevelsAreSubtotals="1" fieldPosition="0">
        <references count="1">
          <reference field="41" count="1">
            <x v="2"/>
          </reference>
        </references>
      </pivotArea>
    </format>
    <format dxfId="5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5BF1AE2-5E94-42E1-BDF0-F5DDDA382185}"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Z3:AA14" firstHeaderRow="1" firstDataRow="1" firstDataCol="1" rowPageCount="1" colPageCount="1"/>
  <pivotFields count="43">
    <pivotField showAll="0"/>
    <pivotField showAll="0"/>
    <pivotField axis="axisPage" multipleItemSelectionAllowed="1" showAll="0">
      <items count="5">
        <item h="1" x="2"/>
        <item x="1"/>
        <item x="0"/>
        <item x="3"/>
        <item t="default"/>
      </items>
    </pivotField>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numFmtId="172" showAll="0"/>
    <pivotField numFmtId="172" showAll="0"/>
    <pivotField showAll="0"/>
    <pivotField showAll="0"/>
    <pivotField axis="axisRow" showAll="0">
      <items count="13">
        <item x="0"/>
        <item x="4"/>
        <item x="2"/>
        <item x="3"/>
        <item x="1"/>
        <item x="6"/>
        <item x="8"/>
        <item x="7"/>
        <item m="1" x="11"/>
        <item x="5"/>
        <item x="10"/>
        <item x="9"/>
        <item t="default"/>
      </items>
    </pivotField>
    <pivotField numFmtId="172" showAll="0"/>
    <pivotField showAll="0"/>
    <pivotField showAll="0"/>
  </pivotFields>
  <rowFields count="1">
    <field x="39"/>
  </rowFields>
  <rowItems count="11">
    <i>
      <x/>
    </i>
    <i>
      <x v="1"/>
    </i>
    <i>
      <x v="2"/>
    </i>
    <i>
      <x v="3"/>
    </i>
    <i>
      <x v="4"/>
    </i>
    <i>
      <x v="5"/>
    </i>
    <i>
      <x v="6"/>
    </i>
    <i>
      <x v="7"/>
    </i>
    <i>
      <x v="10"/>
    </i>
    <i>
      <x v="11"/>
    </i>
    <i t="grand">
      <x/>
    </i>
  </rowItems>
  <colItems count="1">
    <i/>
  </colItems>
  <pageFields count="1">
    <pageField fld="2" hier="-1"/>
  </pageFields>
  <dataFields count="1">
    <dataField name="Sum of Inv MM$" fld="28" baseField="0" baseItem="0" numFmtId="43"/>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CD3EDBA-B872-440F-B149-385FFEDC0026}" name="PivotTable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Z110:AB111" firstHeaderRow="0" firstDataRow="1" firstDataCol="1" rowPageCount="3" colPageCount="1"/>
  <pivotFields count="43">
    <pivotField showAll="0"/>
    <pivotField showAll="0"/>
    <pivotField axis="axisPage" multipleItemSelectionAllowed="1" showAll="0">
      <items count="5">
        <item h="1" x="2"/>
        <item x="1"/>
        <item x="0"/>
        <item x="3"/>
        <item t="default"/>
      </items>
    </pivotField>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4730">
        <item h="1" x="95"/>
        <item m="1" x="4539"/>
        <item m="1" x="4630"/>
        <item m="1" x="4633"/>
        <item m="1" x="4513"/>
        <item m="1" x="4632"/>
        <item m="1" x="4512"/>
        <item m="1" x="4557"/>
        <item m="1" x="4631"/>
        <item m="1" x="4561"/>
        <item m="1" x="4455"/>
        <item m="1" x="4560"/>
        <item m="1" x="4519"/>
        <item m="1" x="4530"/>
        <item m="1" x="4554"/>
        <item m="1" x="4525"/>
        <item m="1" x="4522"/>
        <item m="1" x="4571"/>
        <item m="1" x="4607"/>
        <item m="1" x="4478"/>
        <item m="1" x="4555"/>
        <item m="1" x="4457"/>
        <item m="1" x="4456"/>
        <item m="1" x="4679"/>
        <item m="1" x="4635"/>
        <item m="1" x="4425"/>
        <item m="1" x="4536"/>
        <item m="1" x="4627"/>
        <item m="1" x="4556"/>
        <item m="1" x="4576"/>
        <item m="1" x="4575"/>
        <item m="1" x="4686"/>
        <item m="1" x="4551"/>
        <item m="1" x="4480"/>
        <item m="1" x="4628"/>
        <item m="1" x="4634"/>
        <item m="1" x="4728"/>
        <item m="1" x="4534"/>
        <item m="1" x="4348"/>
        <item m="1" x="4629"/>
        <item m="1" x="4524"/>
        <item m="1" x="4682"/>
        <item m="1" x="4596"/>
        <item m="1" x="4688"/>
        <item m="1" x="4727"/>
        <item m="1" x="4619"/>
        <item m="1" x="4402"/>
        <item m="1" x="4621"/>
        <item m="1" x="4535"/>
        <item m="1" x="4354"/>
        <item m="1" x="4443"/>
        <item m="1" x="4690"/>
        <item m="1" x="4687"/>
        <item m="1" x="4401"/>
        <item m="1" x="4681"/>
        <item m="1" x="4601"/>
        <item m="1" x="4350"/>
        <item m="1" x="4597"/>
        <item m="1" x="4685"/>
        <item m="1" x="4385"/>
        <item m="1" x="4386"/>
        <item m="1" x="4684"/>
        <item m="1" x="4620"/>
        <item m="1" x="4678"/>
        <item m="1" x="4614"/>
        <item m="1" x="4400"/>
        <item m="1" x="4616"/>
        <item m="1" x="4397"/>
        <item m="1" x="4602"/>
        <item m="1" x="4683"/>
        <item m="1" x="4599"/>
        <item m="1" x="4359"/>
        <item m="1" x="4399"/>
        <item m="1" x="4371"/>
        <item m="1" x="4689"/>
        <item m="1" x="4370"/>
        <item m="1" x="4446"/>
        <item m="1" x="4418"/>
        <item m="1" x="4598"/>
        <item m="1" x="4600"/>
        <item m="1" x="4347"/>
        <item m="1" x="4677"/>
        <item m="1" x="4349"/>
        <item m="1" x="4694"/>
        <item m="1" x="4696"/>
        <item m="1" x="4608"/>
        <item m="1" x="4444"/>
        <item m="1" x="4384"/>
        <item m="1" x="4353"/>
        <item m="1" x="4360"/>
        <item m="1" x="4431"/>
        <item m="1" x="4343"/>
        <item m="1" x="4398"/>
        <item m="1" x="4516"/>
        <item m="1" x="4344"/>
        <item m="1" x="4339"/>
        <item m="1" x="4352"/>
        <item m="1" x="4546"/>
        <item m="1" x="4594"/>
        <item m="1" x="4547"/>
        <item m="1" x="4338"/>
        <item m="1" x="4311"/>
        <item m="1" x="4622"/>
        <item m="1" x="4372"/>
        <item m="1" x="4340"/>
        <item m="1" x="4671"/>
        <item m="1" x="4663"/>
        <item m="1" x="4611"/>
        <item m="1" x="4405"/>
        <item m="1" x="4693"/>
        <item m="1" x="4427"/>
        <item m="1" x="4615"/>
        <item m="1" x="4708"/>
        <item m="1" x="4448"/>
        <item m="1" x="4375"/>
        <item m="1" x="4337"/>
        <item m="1" x="4714"/>
        <item m="1" x="4672"/>
        <item m="1" x="4612"/>
        <item m="1" x="4518"/>
        <item m="1" x="4346"/>
        <item m="1" x="4617"/>
        <item m="1" x="4707"/>
        <item m="1" x="4276"/>
        <item m="1" x="4604"/>
        <item m="1" x="4345"/>
        <item m="1" x="4335"/>
        <item m="1" x="4369"/>
        <item m="1" x="4680"/>
        <item m="1" x="4713"/>
        <item m="1" x="4695"/>
        <item m="1" x="4408"/>
        <item m="1" x="4515"/>
        <item m="1" x="4341"/>
        <item m="1" x="4342"/>
        <item m="1" x="4426"/>
        <item m="1" x="4605"/>
        <item m="1" x="4445"/>
        <item m="1" x="4412"/>
        <item m="1" x="4537"/>
        <item m="1" x="4404"/>
        <item m="1" x="4391"/>
        <item m="1" x="4336"/>
        <item m="1" x="4433"/>
        <item m="1" x="4606"/>
        <item m="1" x="4662"/>
        <item m="1" x="4538"/>
        <item m="1" x="4618"/>
        <item m="1" x="4275"/>
        <item m="1" x="4613"/>
        <item m="1" x="4403"/>
        <item m="1" x="4655"/>
        <item m="1" x="4532"/>
        <item m="1" x="4704"/>
        <item m="1" x="4291"/>
        <item m="1" x="4657"/>
        <item m="1" x="4447"/>
        <item m="1" x="4711"/>
        <item m="1" x="4726"/>
        <item m="1" x="4623"/>
        <item m="1" x="4517"/>
        <item m="1" x="4595"/>
        <item m="1" x="4703"/>
        <item m="1" x="4413"/>
        <item m="1" x="4626"/>
        <item m="1" x="4717"/>
        <item m="1" x="4649"/>
        <item m="1" x="4692"/>
        <item m="1" x="4298"/>
        <item m="1" x="4475"/>
        <item m="1" x="4548"/>
        <item m="1" x="4603"/>
        <item m="1" x="4559"/>
        <item m="1" x="4715"/>
        <item m="1" x="4414"/>
        <item m="1" x="4387"/>
        <item m="1" x="4287"/>
        <item m="1" x="4373"/>
        <item m="1" x="4625"/>
        <item m="1" x="4531"/>
        <item m="1" x="4654"/>
        <item m="1" x="4361"/>
        <item m="1" x="4647"/>
        <item m="1" x="4501"/>
        <item m="1" x="4656"/>
        <item m="1" x="4691"/>
        <item m="1" x="4700"/>
        <item m="1" x="4529"/>
        <item m="1" x="4415"/>
        <item m="1" x="4624"/>
        <item m="1" x="4356"/>
        <item m="1" x="4409"/>
        <item m="1" x="4503"/>
        <item m="1" x="4355"/>
        <item m="1" x="4432"/>
        <item m="1" x="4710"/>
        <item m="1" x="4541"/>
        <item m="1" x="4362"/>
        <item m="1" x="4563"/>
        <item m="1" x="4374"/>
        <item m="1" x="4487"/>
        <item m="1" x="4587"/>
        <item m="1" x="4609"/>
        <item m="1" x="4567"/>
        <item m="1" x="4550"/>
        <item m="1" x="4702"/>
        <item m="1" x="4406"/>
        <item m="1" x="4333"/>
        <item m="1" x="4509"/>
        <item m="1" x="4653"/>
        <item m="1" x="4395"/>
        <item m="1" x="4589"/>
        <item m="1" x="4648"/>
        <item m="1" x="4486"/>
        <item m="1" x="4719"/>
        <item m="1" x="4705"/>
        <item m="1" x="4452"/>
        <item m="1" x="4720"/>
        <item m="1" x="4407"/>
        <item m="1" x="4473"/>
        <item m="1" x="4483"/>
        <item m="1" x="4651"/>
        <item m="1" x="4592"/>
        <item m="1" x="4449"/>
        <item m="1" x="4307"/>
        <item m="1" x="4610"/>
        <item m="1" x="4334"/>
        <item m="1" x="4568"/>
        <item m="1" x="4523"/>
        <item m="1" x="4718"/>
        <item m="1" x="4645"/>
        <item m="1" x="4588"/>
        <item m="1" x="4676"/>
        <item m="1" x="4504"/>
        <item m="1" x="4467"/>
        <item m="1" x="4390"/>
        <item m="1" x="4698"/>
        <item m="1" x="4558"/>
        <item m="1" x="4553"/>
        <item m="1" x="4461"/>
        <item m="1" x="4297"/>
        <item m="1" x="4357"/>
        <item m="1" x="4722"/>
        <item m="1" x="4420"/>
        <item m="1" x="4659"/>
        <item m="1" x="4382"/>
        <item m="1" x="4521"/>
        <item m="1" x="4716"/>
        <item m="1" x="4388"/>
        <item m="1" x="4273"/>
        <item m="1" x="4310"/>
        <item m="1" x="4646"/>
        <item m="1" x="4643"/>
        <item m="1" x="4574"/>
        <item m="1" x="4725"/>
        <item m="1" x="4474"/>
        <item m="1" x="4500"/>
        <item m="1" x="4497"/>
        <item m="1" x="4471"/>
        <item m="1" x="4499"/>
        <item m="1" x="4316"/>
        <item m="1" x="4706"/>
        <item m="1" x="4284"/>
        <item m="1" x="4508"/>
        <item m="1" x="4302"/>
        <item m="1" x="4383"/>
        <item m="1" x="4482"/>
        <item m="1" x="4488"/>
        <item m="1" x="4493"/>
        <item m="1" x="4652"/>
        <item m="1" x="4314"/>
        <item m="1" x="4380"/>
        <item m="1" x="4281"/>
        <item m="1" x="4502"/>
        <item m="1" x="4528"/>
        <item m="1" x="4485"/>
        <item m="1" x="4712"/>
        <item m="1" x="4365"/>
        <item m="1" x="4366"/>
        <item m="1" x="4351"/>
        <item m="1" x="4552"/>
        <item m="1" x="4419"/>
        <item m="1" x="4494"/>
        <item m="1" x="4490"/>
        <item m="1" x="4411"/>
        <item m="1" x="4543"/>
        <item m="1" x="4312"/>
        <item m="1" x="4437"/>
        <item m="1" x="4489"/>
        <item m="1" x="4505"/>
        <item m="1" x="4392"/>
        <item m="1" x="4639"/>
        <item m="1" x="4451"/>
        <item m="1" x="4545"/>
        <item m="1" x="4540"/>
        <item m="1" x="4507"/>
        <item m="1" x="4439"/>
        <item m="1" x="4376"/>
        <item m="1" x="4572"/>
        <item m="1" x="4666"/>
        <item m="1" x="4514"/>
        <item m="1" x="4641"/>
        <item m="1" x="4511"/>
        <item m="1" x="4642"/>
        <item m="1" x="4484"/>
        <item m="1" x="4564"/>
        <item m="1" x="4389"/>
        <item m="1" x="4593"/>
        <item m="1" x="4394"/>
        <item m="1" x="4320"/>
        <item m="1" x="4315"/>
        <item m="1" x="4381"/>
        <item m="1" x="4709"/>
        <item m="1" x="4562"/>
        <item m="1" x="4274"/>
        <item m="1" x="4644"/>
        <item m="1" x="4379"/>
        <item m="1" x="4417"/>
        <item m="1" x="4549"/>
        <item m="1" x="4724"/>
        <item m="1" x="4721"/>
        <item m="1" x="4323"/>
        <item m="1" x="4701"/>
        <item m="1" x="4313"/>
        <item m="1" x="4453"/>
        <item m="1" x="4464"/>
        <item m="1" x="4699"/>
        <item m="1" x="4454"/>
        <item m="1" x="4358"/>
        <item m="1" x="4697"/>
        <item m="1" x="4410"/>
        <item m="1" x="4664"/>
        <item m="1" x="4658"/>
        <item m="1" x="4364"/>
        <item m="1" x="4581"/>
        <item m="1" x="4492"/>
        <item m="1" x="4363"/>
        <item m="1" x="4295"/>
        <item m="1" x="4673"/>
        <item m="1" x="4579"/>
        <item m="1" x="4650"/>
        <item m="1" x="4675"/>
        <item m="1" x="4434"/>
        <item m="1" x="4570"/>
        <item m="1" x="4321"/>
        <item m="1" x="4496"/>
        <item m="1" x="4472"/>
        <item m="1" x="4665"/>
        <item m="1" x="4526"/>
        <item m="1" x="4396"/>
        <item m="1" x="4416"/>
        <item m="1" x="4660"/>
        <item m="1" x="4520"/>
        <item m="1" x="4299"/>
        <item m="1" x="4458"/>
        <item m="1" x="4469"/>
        <item m="1" x="4377"/>
        <item m="1" x="4586"/>
        <item m="1" x="4378"/>
        <item m="1" x="4583"/>
        <item m="1" x="4590"/>
        <item m="1" x="4495"/>
        <item m="1" x="4544"/>
        <item m="1" x="4591"/>
        <item m="1" x="4470"/>
        <item m="1" x="4498"/>
        <item m="1" x="4584"/>
        <item m="1" x="4450"/>
        <item m="1" x="4580"/>
        <item m="1" x="4542"/>
        <item m="1" x="4296"/>
        <item m="1" x="4638"/>
        <item m="1" x="4393"/>
        <item m="1" x="4306"/>
        <item m="1" x="4476"/>
        <item m="1" x="4309"/>
        <item m="1" x="4585"/>
        <item m="1" x="4305"/>
        <item m="1" x="4293"/>
        <item m="1" x="4463"/>
        <item m="1" x="4582"/>
        <item m="1" x="4566"/>
        <item m="1" x="4367"/>
        <item m="1" x="4481"/>
        <item m="1" x="4368"/>
        <item m="1" x="4510"/>
        <item m="1" x="4479"/>
        <item m="1" x="4317"/>
        <item m="1" x="4421"/>
        <item m="1" x="4674"/>
        <item m="1" x="4440"/>
        <item m="1" x="4637"/>
        <item m="1" x="4308"/>
        <item m="1" x="4292"/>
        <item m="1" x="4573"/>
        <item m="1" x="4661"/>
        <item m="1" x="4322"/>
        <item m="1" x="4428"/>
        <item m="1" x="4300"/>
        <item m="1" x="4533"/>
        <item m="1" x="4289"/>
        <item m="1" x="4468"/>
        <item m="1" x="4319"/>
        <item m="1" x="4668"/>
        <item m="1" x="4279"/>
        <item m="1" x="4506"/>
        <item m="1" x="4460"/>
        <item m="1" x="4569"/>
        <item m="1" x="4466"/>
        <item m="1" x="4331"/>
        <item m="1" x="4326"/>
        <item m="1" x="4318"/>
        <item m="1" x="4282"/>
        <item m="1" x="4527"/>
        <item m="1" x="4304"/>
        <item m="1" x="4577"/>
        <item m="1" x="4636"/>
        <item m="1" x="4640"/>
        <item m="1" x="4477"/>
        <item m="1" x="4436"/>
        <item m="1" x="4329"/>
        <item m="1" x="4491"/>
        <item m="1" x="4422"/>
        <item m="1" x="4301"/>
        <item m="1" x="4288"/>
        <item m="1" x="4462"/>
        <item m="1" x="4324"/>
        <item m="1" x="4459"/>
        <item m="1" x="4327"/>
        <item m="1" x="4285"/>
        <item m="1" x="4723"/>
        <item m="1" x="4565"/>
        <item m="1" x="4325"/>
        <item m="1" x="4332"/>
        <item m="1" x="4330"/>
        <item m="1" x="4303"/>
        <item m="1" x="4277"/>
        <item m="1" x="4465"/>
        <item m="1" x="4578"/>
        <item m="1" x="4438"/>
        <item m="1" x="4328"/>
        <item m="1" x="4669"/>
        <item m="1" x="4667"/>
        <item m="1" x="4429"/>
        <item m="1" x="4435"/>
        <item m="1" x="4290"/>
        <item m="1" x="4286"/>
        <item m="1" x="4294"/>
        <item m="1" x="4283"/>
        <item m="1" x="4280"/>
        <item m="1" x="4430"/>
        <item m="1" x="4442"/>
        <item m="1" x="4424"/>
        <item m="1" x="4670"/>
        <item m="1" x="4441"/>
        <item m="1" x="4278"/>
        <item m="1" x="4423"/>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h="1" m="1" x="3918"/>
        <item h="1" m="1" x="3919"/>
        <item h="1" m="1" x="3920"/>
        <item h="1" m="1" x="3921"/>
        <item h="1" m="1" x="3922"/>
        <item h="1" m="1" x="3923"/>
        <item h="1" m="1" x="3924"/>
        <item h="1" m="1" x="3925"/>
        <item h="1" m="1" x="3926"/>
        <item h="1" m="1" x="3927"/>
        <item h="1" m="1" x="3928"/>
        <item h="1" m="1" x="3929"/>
        <item h="1" m="1" x="3930"/>
        <item h="1" m="1" x="3931"/>
        <item h="1" m="1" x="3932"/>
        <item h="1" m="1" x="3933"/>
        <item h="1" m="1" x="3934"/>
        <item h="1" m="1" x="3935"/>
        <item h="1" m="1" x="3936"/>
        <item h="1" m="1" x="3937"/>
        <item h="1" m="1" x="3938"/>
        <item h="1" m="1" x="3939"/>
        <item h="1" m="1" x="3940"/>
        <item h="1" m="1" x="3941"/>
        <item h="1" m="1" x="3942"/>
        <item h="1" m="1" x="3943"/>
        <item h="1" m="1" x="3944"/>
        <item h="1" m="1" x="3945"/>
        <item h="1" m="1" x="3946"/>
        <item h="1" m="1" x="3947"/>
        <item h="1" m="1" x="3948"/>
        <item h="1" m="1" x="3949"/>
        <item h="1" m="1" x="3950"/>
        <item h="1" m="1" x="3951"/>
        <item h="1" m="1" x="3952"/>
        <item h="1" m="1" x="3953"/>
        <item h="1" m="1" x="3954"/>
        <item h="1" m="1" x="3955"/>
        <item h="1" m="1" x="3956"/>
        <item h="1" m="1" x="3957"/>
        <item h="1" m="1" x="3958"/>
        <item h="1" m="1" x="3959"/>
        <item h="1" m="1" x="3960"/>
        <item h="1" m="1" x="3961"/>
        <item h="1" m="1" x="3962"/>
        <item h="1" m="1" x="3963"/>
        <item h="1" m="1" x="3964"/>
        <item h="1" m="1" x="3965"/>
        <item h="1" m="1" x="3966"/>
        <item h="1" m="1" x="3967"/>
        <item h="1" m="1" x="3968"/>
        <item h="1" m="1" x="3969"/>
        <item h="1" m="1" x="3970"/>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h="1" m="1" x="3046"/>
        <item h="1" m="1" x="3047"/>
        <item h="1" m="1" x="3048"/>
        <item h="1" m="1" x="3049"/>
        <item h="1" m="1" x="3050"/>
        <item h="1" m="1" x="3051"/>
        <item h="1" m="1" x="3052"/>
        <item h="1" m="1" x="3053"/>
        <item h="1" m="1" x="3054"/>
        <item h="1" m="1" x="3055"/>
        <item h="1" m="1" x="3056"/>
        <item h="1" m="1" x="3057"/>
        <item h="1" m="1" x="3058"/>
        <item h="1" m="1" x="3059"/>
        <item h="1" m="1" x="3060"/>
        <item h="1" m="1" x="3061"/>
        <item h="1" m="1" x="3062"/>
        <item h="1" m="1" x="3063"/>
        <item h="1" m="1" x="3064"/>
        <item h="1" m="1" x="3065"/>
        <item h="1" m="1" x="3066"/>
        <item h="1" m="1" x="3067"/>
        <item h="1" m="1" x="3068"/>
        <item h="1" m="1" x="3069"/>
        <item h="1" m="1" x="3070"/>
        <item h="1" m="1" x="3071"/>
        <item h="1" m="1" x="3072"/>
        <item h="1" m="1" x="3073"/>
        <item h="1" m="1" x="3074"/>
        <item h="1" m="1" x="3075"/>
        <item h="1" m="1" x="3076"/>
        <item h="1" m="1" x="3077"/>
        <item h="1" m="1" x="3078"/>
        <item h="1" m="1" x="3079"/>
        <item h="1" m="1" x="3080"/>
        <item h="1" m="1" x="3081"/>
        <item h="1" m="1" x="3082"/>
        <item h="1" m="1" x="3083"/>
        <item h="1" m="1" x="3084"/>
        <item h="1" m="1" x="3085"/>
        <item h="1" m="1" x="3086"/>
        <item h="1" m="1" x="3087"/>
        <item h="1" m="1" x="3088"/>
        <item h="1" m="1" x="3089"/>
        <item h="1" m="1" x="3090"/>
        <item h="1" m="1" x="3091"/>
        <item h="1" m="1" x="3092"/>
        <item h="1" m="1" x="3093"/>
        <item h="1" m="1" x="3094"/>
        <item h="1" m="1" x="3095"/>
        <item h="1" m="1" x="3096"/>
        <item h="1" m="1" x="3097"/>
        <item h="1" m="1" x="3098"/>
        <item h="1" m="1" x="3099"/>
        <item h="1" m="1" x="3100"/>
        <item h="1" m="1" x="3101"/>
        <item h="1" m="1" x="3102"/>
        <item h="1" m="1" x="3103"/>
        <item h="1" m="1" x="3104"/>
        <item h="1" m="1" x="3105"/>
        <item h="1" m="1" x="3106"/>
        <item h="1" m="1" x="3107"/>
        <item h="1" m="1" x="3108"/>
        <item h="1" m="1" x="3109"/>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143"/>
        <item h="1" m="1" x="3144"/>
        <item h="1" m="1" x="3145"/>
        <item h="1" m="1" x="3146"/>
        <item h="1" m="1" x="3147"/>
        <item h="1" m="1" x="3148"/>
        <item h="1" m="1" x="3149"/>
        <item h="1" m="1" x="3150"/>
        <item h="1" m="1" x="3151"/>
        <item h="1" m="1" x="3152"/>
        <item h="1" m="1" x="3153"/>
        <item h="1" m="1" x="3154"/>
        <item h="1" m="1" x="3155"/>
        <item h="1" m="1" x="3156"/>
        <item h="1" m="1" x="3157"/>
        <item h="1" m="1" x="3158"/>
        <item h="1" m="1" x="3159"/>
        <item h="1" m="1" x="3160"/>
        <item h="1" m="1" x="3161"/>
        <item h="1" m="1" x="3162"/>
        <item h="1" m="1" x="3163"/>
        <item h="1" m="1" x="3164"/>
        <item h="1" m="1" x="3165"/>
        <item h="1" m="1" x="3166"/>
        <item h="1" m="1" x="3167"/>
        <item h="1" m="1" x="3168"/>
        <item h="1" m="1" x="3169"/>
        <item h="1" m="1" x="3170"/>
        <item h="1" m="1" x="3171"/>
        <item h="1" m="1" x="3172"/>
        <item h="1" m="1" x="3173"/>
        <item h="1" m="1" x="3174"/>
        <item h="1" m="1" x="3175"/>
        <item h="1" m="1" x="3176"/>
        <item h="1" m="1" x="3177"/>
        <item h="1" m="1" x="3178"/>
        <item h="1" m="1" x="3179"/>
        <item h="1" m="1" x="3180"/>
        <item h="1" m="1" x="3181"/>
        <item h="1" m="1" x="3182"/>
        <item h="1" m="1" x="3183"/>
        <item h="1" m="1" x="3184"/>
        <item h="1" m="1" x="3185"/>
        <item h="1" m="1" x="3186"/>
        <item h="1" m="1" x="3187"/>
        <item h="1" m="1" x="3188"/>
        <item h="1" m="1" x="3189"/>
        <item h="1" m="1" x="3190"/>
        <item h="1" m="1" x="3191"/>
        <item h="1" m="1" x="3192"/>
        <item h="1" m="1" x="3193"/>
        <item h="1" m="1" x="3194"/>
        <item h="1" m="1" x="3195"/>
        <item h="1" m="1" x="3196"/>
        <item h="1" m="1" x="3197"/>
        <item h="1" m="1" x="3198"/>
        <item h="1" m="1" x="3199"/>
        <item h="1" m="1" x="3200"/>
        <item h="1" m="1" x="3201"/>
        <item h="1" m="1" x="3202"/>
        <item h="1" m="1" x="3203"/>
        <item h="1" m="1" x="3204"/>
        <item h="1" m="1" x="3205"/>
        <item h="1" m="1" x="3206"/>
        <item h="1" m="1" x="3207"/>
        <item h="1" m="1" x="3208"/>
        <item h="1" m="1" x="3209"/>
        <item h="1" m="1" x="3210"/>
        <item h="1" m="1" x="3211"/>
        <item h="1" m="1" x="3212"/>
        <item h="1" m="1" x="3213"/>
        <item h="1" m="1" x="3214"/>
        <item h="1" m="1" x="3215"/>
        <item h="1" m="1" x="3216"/>
        <item h="1" m="1" x="3217"/>
        <item h="1" m="1" x="3218"/>
        <item h="1" m="1" x="3219"/>
        <item h="1" m="1" x="3220"/>
        <item h="1" m="1" x="3221"/>
        <item h="1" m="1" x="3222"/>
        <item h="1" m="1" x="3223"/>
        <item h="1" m="1" x="3224"/>
        <item h="1" m="1" x="3225"/>
        <item h="1" m="1" x="3226"/>
        <item h="1" m="1" x="3227"/>
        <item h="1" m="1" x="3228"/>
        <item h="1" m="1" x="3229"/>
        <item h="1" m="1" x="3230"/>
        <item h="1" m="1" x="3231"/>
        <item h="1" m="1" x="3232"/>
        <item h="1" m="1" x="3233"/>
        <item h="1" m="1" x="3234"/>
        <item h="1" m="1" x="3235"/>
        <item h="1" m="1" x="3236"/>
        <item h="1" m="1" x="3237"/>
        <item h="1" m="1" x="3238"/>
        <item h="1" m="1" x="3239"/>
        <item h="1" m="1" x="3240"/>
        <item h="1" m="1" x="3241"/>
        <item h="1" m="1" x="3242"/>
        <item h="1" m="1" x="3243"/>
        <item h="1" m="1" x="3244"/>
        <item h="1" m="1" x="3245"/>
        <item h="1" m="1" x="3246"/>
        <item h="1" m="1" x="3247"/>
        <item h="1" m="1" x="3248"/>
        <item h="1" m="1" x="3249"/>
        <item h="1" m="1" x="3250"/>
        <item h="1" m="1" x="3251"/>
        <item h="1" m="1" x="3252"/>
        <item h="1" m="1" x="3253"/>
        <item h="1" m="1" x="3254"/>
        <item h="1" m="1" x="3255"/>
        <item h="1" m="1" x="3256"/>
        <item h="1" m="1" x="3257"/>
        <item h="1" m="1" x="3258"/>
        <item h="1" m="1" x="3259"/>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h="1" m="1" x="3313"/>
        <item h="1" m="1" x="3314"/>
        <item h="1" m="1" x="3315"/>
        <item h="1" m="1" x="3316"/>
        <item h="1" m="1" x="3317"/>
        <item h="1" m="1" x="3318"/>
        <item h="1" m="1" x="3319"/>
        <item h="1" m="1" x="3320"/>
        <item h="1" m="1" x="3321"/>
        <item h="1" m="1" x="3322"/>
        <item h="1" m="1" x="3323"/>
        <item h="1" m="1" x="3324"/>
        <item h="1" m="1" x="3325"/>
        <item h="1" m="1" x="3326"/>
        <item h="1" m="1" x="3327"/>
        <item h="1" m="1" x="3328"/>
        <item h="1" m="1" x="3329"/>
        <item h="1" m="1" x="3330"/>
        <item h="1" m="1" x="3331"/>
        <item h="1" m="1" x="3332"/>
        <item h="1" m="1" x="3333"/>
        <item h="1" m="1" x="3334"/>
        <item h="1" m="1" x="3335"/>
        <item h="1" m="1" x="3336"/>
        <item h="1" m="1" x="3337"/>
        <item h="1" m="1" x="3338"/>
        <item h="1" m="1" x="3339"/>
        <item h="1" m="1" x="3340"/>
        <item h="1" m="1" x="3341"/>
        <item h="1" m="1" x="3342"/>
        <item h="1" m="1" x="3343"/>
        <item h="1" m="1" x="3344"/>
        <item h="1" m="1" x="3345"/>
        <item m="1" x="2758"/>
        <item m="1" x="2769"/>
        <item m="1" x="2763"/>
        <item m="1" x="2753"/>
        <item m="1" x="2773"/>
        <item m="1" x="2755"/>
        <item m="1" x="2771"/>
        <item m="1" x="2767"/>
        <item m="1" x="2765"/>
        <item m="1" x="2760"/>
        <item m="1" x="2759"/>
        <item m="1" x="2764"/>
        <item m="1" x="2754"/>
        <item m="1" x="2770"/>
        <item m="1" x="2756"/>
        <item m="1" x="2774"/>
        <item m="1" x="2768"/>
        <item m="1" x="2766"/>
        <item m="1" x="2761"/>
        <item m="1" x="2772"/>
        <item m="1" x="2757"/>
        <item m="1" x="2762"/>
        <item m="1" x="2777"/>
        <item m="1" x="2779"/>
        <item m="1" x="2776"/>
        <item m="1" x="2778"/>
        <item m="1" x="2775"/>
        <item m="1" x="2780"/>
        <item m="1" x="2782"/>
        <item m="1" x="2783"/>
        <item m="1" x="2781"/>
        <item m="1" x="2784"/>
        <item m="1" x="2785"/>
        <item m="1" x="2788"/>
        <item m="1" x="2787"/>
        <item m="1" x="2786"/>
        <item m="1" x="2799"/>
        <item m="1" x="2797"/>
        <item m="1" x="2791"/>
        <item m="1" x="2789"/>
        <item m="1" x="2794"/>
        <item m="1" x="2798"/>
        <item m="1" x="2800"/>
        <item m="1" x="2792"/>
        <item m="1" x="2795"/>
        <item m="1" x="2790"/>
        <item m="1" x="2796"/>
        <item m="1" x="2793"/>
        <item m="1" x="2805"/>
        <item m="1" x="2802"/>
        <item m="1" x="2803"/>
        <item m="1" x="2804"/>
        <item m="1" x="2806"/>
        <item m="1" x="2801"/>
        <item m="1" x="2807"/>
        <item m="1" x="2809"/>
        <item m="1" x="2808"/>
        <item m="1" x="2810"/>
        <item m="1" x="2811"/>
        <item m="1" x="2812"/>
        <item m="1" x="3006"/>
        <item m="1" x="3005"/>
        <item m="1" x="2813"/>
        <item m="1" x="2814"/>
        <item m="1" x="2816"/>
        <item m="1" x="2815"/>
        <item m="1" x="2817"/>
        <item m="1" x="2818"/>
        <item m="1" x="3007"/>
        <item m="1" x="3008"/>
        <item m="1" x="2819"/>
        <item m="1" x="3009"/>
        <item m="1" x="3010"/>
        <item m="1" x="2821"/>
        <item m="1" x="2820"/>
        <item m="1" x="3012"/>
        <item m="1" x="3011"/>
        <item m="1" x="3013"/>
        <item m="1" x="3014"/>
        <item m="1" x="3015"/>
        <item m="1" x="3017"/>
        <item m="1" x="3016"/>
        <item m="1" x="3018"/>
        <item m="1" x="2822"/>
        <item m="1" x="2823"/>
        <item m="1" x="3021"/>
        <item m="1" x="3025"/>
        <item m="1" x="3020"/>
        <item m="1" x="3022"/>
        <item m="1" x="3019"/>
        <item m="1" x="3024"/>
        <item m="1" x="3023"/>
        <item m="1" x="3026"/>
        <item m="1" x="3027"/>
        <item m="1" x="2825"/>
        <item m="1" x="2824"/>
        <item m="1" x="3028"/>
        <item m="1" x="3029"/>
        <item m="1" x="2826"/>
        <item m="1" x="2829"/>
        <item m="1" x="2827"/>
        <item m="1" x="2828"/>
        <item m="1" x="2831"/>
        <item m="1" x="2833"/>
        <item m="1" x="2830"/>
        <item m="1" x="2832"/>
        <item m="1" x="2836"/>
        <item m="1" x="2834"/>
        <item m="1" x="2835"/>
        <item m="1" x="2837"/>
        <item m="1" x="2838"/>
        <item m="1" x="3031"/>
        <item m="1" x="3030"/>
        <item m="1" x="2839"/>
        <item m="1" x="2840"/>
        <item m="1" x="2841"/>
        <item m="1" x="3034"/>
        <item m="1" x="3033"/>
        <item m="1" x="3032"/>
        <item m="1" x="3037"/>
        <item m="1" x="3036"/>
        <item m="1" x="3035"/>
        <item m="1" x="2842"/>
        <item m="1" x="3039"/>
        <item m="1" x="3040"/>
        <item m="1" x="3038"/>
        <item m="1" x="2843"/>
        <item m="1" x="2845"/>
        <item m="1" x="2844"/>
        <item m="1" x="2847"/>
        <item m="1" x="2848"/>
        <item m="1" x="2846"/>
        <item m="1" x="2849"/>
        <item m="1" x="2851"/>
        <item m="1" x="2850"/>
        <item m="1" x="2853"/>
        <item m="1" x="2854"/>
        <item m="1" x="2852"/>
        <item m="1" x="2856"/>
        <item m="1" x="2857"/>
        <item m="1" x="2855"/>
        <item m="1" x="2858"/>
        <item m="1" x="2860"/>
        <item m="1" x="2859"/>
        <item m="1" x="3042"/>
        <item m="1" x="3043"/>
        <item m="1" x="3041"/>
        <item m="1" x="2861"/>
        <item m="1" x="2863"/>
        <item m="1" x="2862"/>
        <item m="1" x="2865"/>
        <item m="1" x="2866"/>
        <item m="1" x="2864"/>
        <item m="1" x="2867"/>
        <item m="1" x="2870"/>
        <item m="1" x="2869"/>
        <item m="1" x="2872"/>
        <item m="1" x="2868"/>
        <item m="1" x="2871"/>
        <item m="1" x="2873"/>
        <item m="1" x="2875"/>
        <item m="1" x="2874"/>
        <item m="1" x="2876"/>
        <item m="1" x="2878"/>
        <item m="1" x="2877"/>
        <item m="1" x="2880"/>
        <item m="1" x="2881"/>
        <item m="1" x="2879"/>
        <item m="1" x="2882"/>
        <item m="1" x="2884"/>
        <item m="1" x="2883"/>
        <item m="1" x="2887"/>
        <item m="1" x="2885"/>
        <item m="1" x="2889"/>
        <item m="1" x="2888"/>
        <item m="1" x="2886"/>
        <item m="1" x="2890"/>
        <item m="1" x="2891"/>
        <item m="1" x="2892"/>
        <item m="1" x="2895"/>
        <item m="1" x="2893"/>
        <item m="1" x="2894"/>
        <item m="1" x="2896"/>
        <item m="1" x="2897"/>
        <item m="1" x="2919"/>
        <item m="1" x="2916"/>
        <item m="1" x="2913"/>
        <item m="1" x="2922"/>
        <item m="1" x="2905"/>
        <item m="1" x="2902"/>
        <item m="1" x="2899"/>
        <item m="1" x="2906"/>
        <item m="1" x="2907"/>
        <item m="1" x="2918"/>
        <item m="1" x="2912"/>
        <item m="1" x="2910"/>
        <item m="1" x="2904"/>
        <item m="1" x="2921"/>
        <item m="1" x="2915"/>
        <item m="1" x="2901"/>
        <item m="1" x="2909"/>
        <item m="1" x="2920"/>
        <item m="1" x="2900"/>
        <item m="1" x="2898"/>
        <item m="1" x="2914"/>
        <item m="1" x="2911"/>
        <item m="1" x="2917"/>
        <item m="1" x="2908"/>
        <item m="1" x="2903"/>
        <item m="1" x="2923"/>
        <item m="1" x="2924"/>
        <item m="1" x="2926"/>
        <item m="1" x="2925"/>
        <item m="1" x="2928"/>
        <item m="1" x="2927"/>
        <item m="1" x="2929"/>
        <item m="1" x="2930"/>
        <item m="1" x="2931"/>
        <item m="1" x="2934"/>
        <item m="1" x="2933"/>
        <item m="1" x="2932"/>
        <item m="1" x="2938"/>
        <item m="1" x="2937"/>
        <item m="1" x="2939"/>
        <item m="1" x="2935"/>
        <item m="1" x="2936"/>
        <item m="1" x="2940"/>
        <item m="1" x="2941"/>
        <item m="1" x="2942"/>
        <item m="1" x="2943"/>
        <item m="1" x="2944"/>
        <item m="1" x="2946"/>
        <item m="1" x="2945"/>
        <item m="1" x="2947"/>
        <item m="1" x="2949"/>
        <item m="1" x="2948"/>
        <item m="1" x="2951"/>
        <item m="1" x="2952"/>
        <item m="1" x="2950"/>
        <item m="1" x="2953"/>
        <item m="1" x="2954"/>
        <item m="1" x="2955"/>
        <item m="1" x="2958"/>
        <item m="1" x="2957"/>
        <item m="1" x="2956"/>
        <item m="1" x="2959"/>
        <item m="1" x="2960"/>
        <item m="1" x="2963"/>
        <item m="1" x="2962"/>
        <item m="1" x="2961"/>
        <item m="1" x="2966"/>
        <item m="1" x="2967"/>
        <item m="1" x="2965"/>
        <item m="1" x="2964"/>
        <item m="1" x="2968"/>
        <item m="1" x="2969"/>
        <item m="1" x="2972"/>
        <item m="1" x="2971"/>
        <item m="1" x="2970"/>
        <item m="1" x="2973"/>
        <item m="1" x="2974"/>
        <item m="1" x="2975"/>
        <item m="1" x="2976"/>
        <item m="1" x="2978"/>
        <item m="1" x="2977"/>
        <item m="1" x="2979"/>
        <item m="1" x="2980"/>
        <item m="1" x="2981"/>
        <item m="1" x="2982"/>
        <item m="1" x="2984"/>
        <item m="1" x="2985"/>
        <item m="1" x="2983"/>
        <item m="1" x="2986"/>
        <item m="1" x="2989"/>
        <item m="1" x="2988"/>
        <item m="1" x="2987"/>
        <item m="1" x="2993"/>
        <item m="1" x="2990"/>
        <item m="1" x="2992"/>
        <item m="1" x="2994"/>
        <item m="1" x="2991"/>
        <item m="1" x="2995"/>
        <item m="1" x="2996"/>
        <item m="1" x="3002"/>
        <item m="1" x="3004"/>
        <item m="1" x="2998"/>
        <item m="1" x="3000"/>
        <item m="1" x="3001"/>
        <item m="1" x="3003"/>
        <item m="1" x="2997"/>
        <item m="1" x="2999"/>
        <item m="1" x="3044"/>
        <item m="1" x="3045"/>
        <item m="1" x="2342"/>
        <item m="1" x="2347"/>
        <item m="1" x="2343"/>
        <item m="1" x="2350"/>
        <item m="1" x="2340"/>
        <item m="1" x="2345"/>
        <item m="1" x="2351"/>
        <item m="1" x="2344"/>
        <item m="1" x="2352"/>
        <item m="1" x="2341"/>
        <item m="1" x="2348"/>
        <item m="1" x="2346"/>
        <item m="1" x="2353"/>
        <item m="1" x="2339"/>
        <item m="1" x="2349"/>
        <item m="1" x="2354"/>
        <item m="1" x="2355"/>
        <item m="1" x="2356"/>
        <item m="1" x="2357"/>
        <item m="1" x="2358"/>
        <item m="1" x="2359"/>
        <item m="1" x="2360"/>
        <item m="1" x="2365"/>
        <item m="1" x="2361"/>
        <item m="1" x="2362"/>
        <item m="1" x="2363"/>
        <item m="1" x="2364"/>
        <item m="1" x="2366"/>
        <item m="1" x="2368"/>
        <item m="1" x="2367"/>
        <item m="1" x="2369"/>
        <item m="1" x="2370"/>
        <item m="1" x="2371"/>
        <item m="1" x="2372"/>
        <item m="1" x="2376"/>
        <item m="1" x="2375"/>
        <item m="1" x="2378"/>
        <item m="1" x="2373"/>
        <item m="1" x="2377"/>
        <item m="1" x="2374"/>
        <item m="1" x="2379"/>
        <item m="1" x="2380"/>
        <item m="1" x="2382"/>
        <item m="1" x="2381"/>
        <item m="1" x="2389"/>
        <item m="1" x="2388"/>
        <item m="1" x="2390"/>
        <item m="1" x="2393"/>
        <item m="1" x="2394"/>
        <item m="1" x="2421"/>
        <item m="1" x="2422"/>
        <item m="1" x="2433"/>
        <item m="1" x="2432"/>
        <item m="1" x="2434"/>
        <item m="1" x="2435"/>
        <item m="1" x="2749"/>
        <item m="1" x="2750"/>
        <item m="1" x="2751"/>
        <item m="1" x="2752"/>
        <item m="1" x="2440"/>
        <item m="1" x="2441"/>
        <item m="1" x="2442"/>
        <item m="1" x="2458"/>
        <item m="1" x="2457"/>
        <item m="1" x="2459"/>
        <item m="1" x="2472"/>
        <item m="1" x="2478"/>
        <item m="1" x="2477"/>
        <item m="1" x="2476"/>
        <item m="1" x="2481"/>
        <item m="1" x="2479"/>
        <item m="1" x="2480"/>
        <item m="1" x="2484"/>
        <item m="1" x="2483"/>
        <item m="1" x="2482"/>
        <item m="1" x="2487"/>
        <item m="1" x="2485"/>
        <item m="1" x="2486"/>
        <item m="1" x="2491"/>
        <item m="1" x="2492"/>
        <item m="1" x="2493"/>
        <item m="1" x="2496"/>
        <item m="1" x="2495"/>
        <item m="1" x="2494"/>
        <item m="1" x="2500"/>
        <item m="1" x="2502"/>
        <item m="1" x="2501"/>
        <item m="1" x="2504"/>
        <item m="1" x="2503"/>
        <item m="1" x="2505"/>
        <item m="1" x="2507"/>
        <item m="1" x="2510"/>
        <item m="1" x="2508"/>
        <item m="1" x="2509"/>
        <item m="1" x="2511"/>
        <item m="1" x="2506"/>
        <item m="1" x="2516"/>
        <item m="1" x="2517"/>
        <item m="1" x="2515"/>
        <item m="1" x="2522"/>
        <item m="1" x="2523"/>
        <item m="1" x="2521"/>
        <item m="1" x="2525"/>
        <item m="1" x="2524"/>
        <item m="1" x="2526"/>
        <item m="1" x="2534"/>
        <item m="1" x="2535"/>
        <item m="1" x="2533"/>
        <item m="1" x="2536"/>
        <item m="1" x="2537"/>
        <item m="1" x="2571"/>
        <item m="1" x="2573"/>
        <item m="1" x="2572"/>
        <item m="1" x="2575"/>
        <item m="1" x="2574"/>
        <item m="1" x="2576"/>
        <item m="1" x="2578"/>
        <item m="1" x="2577"/>
        <item m="1" x="2592"/>
        <item m="1" x="2584"/>
        <item m="1" x="2581"/>
        <item m="1" x="2585"/>
        <item m="1" x="2591"/>
        <item m="1" x="2583"/>
        <item m="1" x="2588"/>
        <item m="1" x="2595"/>
        <item m="1" x="2580"/>
        <item m="1" x="2586"/>
        <item m="1" x="2596"/>
        <item m="1" x="2582"/>
        <item m="1" x="2589"/>
        <item m="1" x="2587"/>
        <item m="1" x="2593"/>
        <item m="1" x="2597"/>
        <item m="1" x="2579"/>
        <item m="1" x="2590"/>
        <item m="1" x="2594"/>
        <item m="1" x="2598"/>
        <item m="1" x="2600"/>
        <item m="1" x="2599"/>
        <item m="1" x="2601"/>
        <item m="1" x="2602"/>
        <item m="1" x="2604"/>
        <item m="1" x="2603"/>
        <item m="1" x="2605"/>
        <item m="1" x="2606"/>
        <item m="1" x="2607"/>
        <item m="1" x="2609"/>
        <item m="1" x="2610"/>
        <item m="1" x="2608"/>
        <item m="1" x="2617"/>
        <item m="1" x="2611"/>
        <item m="1" x="2614"/>
        <item m="1" x="2615"/>
        <item m="1" x="2612"/>
        <item m="1" x="2613"/>
        <item m="1" x="2616"/>
        <item m="1" x="2619"/>
        <item m="1" x="2618"/>
        <item m="1" x="2620"/>
        <item m="1" x="2622"/>
        <item m="1" x="2621"/>
        <item m="1" x="2624"/>
        <item m="1" x="2623"/>
        <item m="1" x="2625"/>
        <item m="1" x="2626"/>
        <item m="1" x="2627"/>
        <item m="1" x="2632"/>
        <item m="1" x="2633"/>
        <item m="1" x="2635"/>
        <item m="1" x="2634"/>
        <item m="1" x="2636"/>
        <item m="1" x="2637"/>
        <item m="1" x="2639"/>
        <item m="1" x="2640"/>
        <item m="1" x="2638"/>
        <item m="1" x="2641"/>
        <item m="1" x="2642"/>
        <item m="1" x="2644"/>
        <item m="1" x="2645"/>
        <item m="1" x="2643"/>
        <item m="1" x="2650"/>
        <item m="1" x="2649"/>
        <item m="1" x="2654"/>
        <item m="1" x="2651"/>
        <item m="1" x="2653"/>
        <item m="1" x="2652"/>
        <item m="1" x="2656"/>
        <item m="1" x="2655"/>
        <item m="1" x="2657"/>
        <item m="1" x="2658"/>
        <item m="1" x="2659"/>
        <item m="1" x="2660"/>
        <item m="1" x="2661"/>
        <item m="1" x="2662"/>
        <item m="1" x="2664"/>
        <item m="1" x="2663"/>
        <item m="1" x="2666"/>
        <item m="1" x="2665"/>
        <item m="1" x="2668"/>
        <item m="1" x="2667"/>
        <item m="1" x="2670"/>
        <item m="1" x="2674"/>
        <item m="1" x="2675"/>
        <item m="1" x="2669"/>
        <item m="1" x="2672"/>
        <item m="1" x="2671"/>
        <item m="1" x="2673"/>
        <item m="1" x="2676"/>
        <item m="1" x="2680"/>
        <item m="1" x="2678"/>
        <item m="1" x="2679"/>
        <item m="1" x="2677"/>
        <item m="1" x="2682"/>
        <item m="1" x="2683"/>
        <item m="1" x="2681"/>
        <item m="1" x="2687"/>
        <item m="1" x="2685"/>
        <item m="1" x="2684"/>
        <item m="1" x="2686"/>
        <item m="1" x="2741"/>
        <item m="1" x="2743"/>
        <item m="1" x="2746"/>
        <item m="1" x="2744"/>
        <item m="1" x="2745"/>
        <item m="1" x="2742"/>
        <item m="1" x="2748"/>
        <item m="1" x="2747"/>
        <item h="1" m="1" x="2383"/>
        <item h="1" m="1" x="2384"/>
        <item h="1" m="1" x="2385"/>
        <item h="1" m="1" x="2386"/>
        <item h="1" m="1" x="2387"/>
        <item h="1" m="1" x="2391"/>
        <item h="1" m="1" x="2392"/>
        <item h="1" m="1" x="2395"/>
        <item h="1" m="1" x="2396"/>
        <item h="1" m="1" x="2397"/>
        <item h="1" m="1" x="2398"/>
        <item h="1" m="1" x="2399"/>
        <item h="1" m="1" x="2400"/>
        <item h="1" m="1" x="2401"/>
        <item h="1" m="1" x="2402"/>
        <item h="1" m="1" x="2403"/>
        <item h="1" m="1" x="2404"/>
        <item h="1" m="1" x="2405"/>
        <item h="1" m="1" x="2406"/>
        <item h="1" m="1" x="2407"/>
        <item h="1" m="1" x="2408"/>
        <item h="1" m="1" x="2409"/>
        <item h="1" m="1" x="2410"/>
        <item h="1" m="1" x="2411"/>
        <item h="1" m="1" x="2412"/>
        <item h="1" m="1" x="2413"/>
        <item h="1" m="1" x="2414"/>
        <item h="1" m="1" x="2415"/>
        <item h="1" m="1" x="2416"/>
        <item h="1" m="1" x="2417"/>
        <item h="1" m="1" x="2418"/>
        <item h="1" m="1" x="2419"/>
        <item h="1" m="1" x="2420"/>
        <item h="1" m="1" x="2423"/>
        <item h="1" m="1" x="2424"/>
        <item h="1" m="1" x="2425"/>
        <item h="1" m="1" x="2426"/>
        <item h="1" m="1" x="2427"/>
        <item h="1" m="1" x="2428"/>
        <item h="1" m="1" x="2429"/>
        <item h="1" m="1" x="2430"/>
        <item h="1" m="1" x="2431"/>
        <item h="1" m="1" x="2436"/>
        <item h="1" m="1" x="2437"/>
        <item h="1" m="1" x="2438"/>
        <item h="1" m="1" x="2439"/>
        <item h="1" m="1" x="2443"/>
        <item h="1" m="1" x="2444"/>
        <item h="1" m="1" x="2445"/>
        <item h="1" m="1" x="2446"/>
        <item h="1" m="1" x="2447"/>
        <item h="1" m="1" x="2448"/>
        <item h="1" m="1" x="2449"/>
        <item h="1" m="1" x="2450"/>
        <item h="1" m="1" x="2451"/>
        <item h="1" m="1" x="2452"/>
        <item h="1" m="1" x="2453"/>
        <item h="1" m="1" x="2454"/>
        <item h="1" m="1" x="2455"/>
        <item h="1" m="1" x="2456"/>
        <item h="1" m="1" x="2460"/>
        <item h="1" m="1" x="2461"/>
        <item h="1" m="1" x="2462"/>
        <item h="1" m="1" x="2463"/>
        <item h="1" m="1" x="2464"/>
        <item h="1" m="1" x="2465"/>
        <item h="1" m="1" x="2466"/>
        <item h="1" m="1" x="2467"/>
        <item h="1" m="1" x="2468"/>
        <item h="1" m="1" x="2469"/>
        <item h="1" m="1" x="2470"/>
        <item h="1" m="1" x="2471"/>
        <item h="1" m="1" x="2473"/>
        <item h="1" m="1" x="2474"/>
        <item h="1" m="1" x="2475"/>
        <item h="1" m="1" x="2488"/>
        <item h="1" m="1" x="2489"/>
        <item h="1" m="1" x="2490"/>
        <item h="1" m="1" x="2497"/>
        <item h="1" m="1" x="2498"/>
        <item h="1" m="1" x="2499"/>
        <item h="1" m="1" x="2512"/>
        <item h="1" m="1" x="2513"/>
        <item h="1" m="1" x="2514"/>
        <item h="1" m="1" x="2518"/>
        <item h="1" m="1" x="2519"/>
        <item h="1" m="1" x="2520"/>
        <item h="1" m="1" x="2527"/>
        <item h="1" m="1" x="2528"/>
        <item h="1" m="1" x="2529"/>
        <item h="1" m="1" x="2530"/>
        <item h="1" m="1" x="2531"/>
        <item h="1" m="1" x="2532"/>
        <item h="1" m="1" x="2538"/>
        <item h="1" m="1" x="2539"/>
        <item h="1" m="1" x="2540"/>
        <item h="1" m="1" x="2541"/>
        <item h="1" m="1" x="2542"/>
        <item h="1" m="1" x="2543"/>
        <item h="1" m="1" x="2544"/>
        <item h="1" m="1" x="2545"/>
        <item h="1" m="1" x="2546"/>
        <item h="1" m="1" x="2547"/>
        <item h="1" m="1" x="2548"/>
        <item h="1" m="1" x="2549"/>
        <item h="1" m="1" x="2550"/>
        <item h="1" m="1" x="2551"/>
        <item h="1" m="1" x="2552"/>
        <item h="1" m="1" x="2553"/>
        <item h="1" m="1" x="2554"/>
        <item h="1" m="1" x="2555"/>
        <item h="1" m="1" x="2556"/>
        <item h="1" m="1" x="2557"/>
        <item h="1" m="1" x="2558"/>
        <item h="1" m="1" x="2559"/>
        <item h="1" m="1" x="2560"/>
        <item h="1" m="1" x="2561"/>
        <item h="1" m="1" x="2562"/>
        <item h="1" m="1" x="2563"/>
        <item h="1" m="1" x="2564"/>
        <item h="1" m="1" x="2565"/>
        <item h="1" m="1" x="2566"/>
        <item h="1" m="1" x="2567"/>
        <item h="1" m="1" x="2568"/>
        <item h="1" m="1" x="2569"/>
        <item h="1" m="1" x="2570"/>
        <item h="1" m="1" x="2628"/>
        <item h="1" m="1" x="2629"/>
        <item h="1" m="1" x="2630"/>
        <item h="1" m="1" x="2631"/>
        <item h="1" m="1" x="2646"/>
        <item h="1" m="1" x="2647"/>
        <item h="1" m="1" x="2648"/>
        <item h="1" m="1" x="2688"/>
        <item h="1" m="1" x="2689"/>
        <item h="1" m="1" x="2690"/>
        <item h="1" m="1" x="2691"/>
        <item h="1" m="1" x="2692"/>
        <item h="1" m="1" x="2693"/>
        <item h="1" m="1" x="2694"/>
        <item h="1" m="1" x="2695"/>
        <item h="1" m="1" x="2696"/>
        <item h="1" m="1" x="2697"/>
        <item h="1" m="1" x="2698"/>
        <item h="1" m="1" x="2699"/>
        <item h="1" m="1" x="2700"/>
        <item h="1" m="1" x="2701"/>
        <item h="1" m="1" x="2702"/>
        <item h="1" m="1" x="2703"/>
        <item h="1" m="1" x="2704"/>
        <item h="1" m="1" x="2705"/>
        <item h="1" m="1" x="2706"/>
        <item h="1" m="1" x="2707"/>
        <item h="1" m="1" x="2708"/>
        <item h="1" m="1" x="2709"/>
        <item h="1" m="1" x="2710"/>
        <item h="1" m="1" x="2711"/>
        <item h="1" m="1" x="2712"/>
        <item h="1" m="1" x="2713"/>
        <item h="1" m="1" x="2714"/>
        <item h="1" m="1" x="2715"/>
        <item h="1" m="1" x="2716"/>
        <item h="1" m="1" x="2717"/>
        <item h="1" m="1" x="2718"/>
        <item h="1" m="1" x="2719"/>
        <item h="1" m="1" x="2720"/>
        <item h="1" m="1" x="2721"/>
        <item h="1" m="1" x="2722"/>
        <item h="1" m="1" x="2723"/>
        <item h="1" m="1" x="2724"/>
        <item h="1" m="1" x="2725"/>
        <item h="1" m="1" x="2726"/>
        <item h="1" m="1" x="2727"/>
        <item h="1" m="1" x="2728"/>
        <item h="1" m="1" x="2729"/>
        <item h="1" m="1" x="2730"/>
        <item h="1" m="1" x="2731"/>
        <item h="1" m="1" x="2732"/>
        <item h="1" m="1" x="2733"/>
        <item h="1" m="1" x="2734"/>
        <item h="1" m="1" x="2735"/>
        <item h="1" m="1" x="2736"/>
        <item h="1" m="1" x="2737"/>
        <item h="1" m="1" x="2738"/>
        <item h="1" m="1" x="2739"/>
        <item h="1" m="1" x="2740"/>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095"/>
        <item m="1" x="1096"/>
        <item m="1" x="1097"/>
        <item m="1" x="1098"/>
        <item m="1" x="1099"/>
        <item m="1" x="1100"/>
        <item m="1" x="1107"/>
        <item m="1" x="1108"/>
        <item m="1" x="1109"/>
        <item m="1" x="1110"/>
        <item m="1" x="1111"/>
        <item m="1" x="1112"/>
        <item m="1" x="1101"/>
        <item m="1" x="1102"/>
        <item m="1" x="1103"/>
        <item m="1" x="1104"/>
        <item m="1" x="1105"/>
        <item m="1" x="1106"/>
        <item m="1" x="1113"/>
        <item m="1" x="1114"/>
        <item m="1" x="1115"/>
        <item m="1" x="1116"/>
        <item m="1" x="1117"/>
        <item m="1" x="1118"/>
        <item m="1" x="1119"/>
        <item m="1" x="1121"/>
        <item m="1" x="1122"/>
        <item m="1" x="1120"/>
        <item m="1" x="1123"/>
        <item m="1" x="1124"/>
        <item m="1" x="1127"/>
        <item m="1" x="1128"/>
        <item m="1" x="1125"/>
        <item m="1" x="1126"/>
        <item m="1" x="1133"/>
        <item m="1" x="1134"/>
        <item m="1" x="1129"/>
        <item m="1" x="1130"/>
        <item m="1" x="1131"/>
        <item m="1" x="1132"/>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6"/>
        <item m="1" x="1185"/>
        <item m="1" x="1187"/>
        <item m="1" x="1192"/>
        <item m="1" x="1193"/>
        <item m="1" x="1190"/>
        <item m="1" x="1191"/>
        <item m="1" x="1188"/>
        <item m="1" x="1189"/>
        <item m="1" x="1194"/>
        <item m="1" x="1195"/>
        <item m="1" x="1196"/>
        <item m="1" x="1197"/>
        <item m="1" x="1198"/>
        <item m="1" x="1201"/>
        <item m="1" x="1202"/>
        <item m="1" x="1199"/>
        <item m="1" x="1200"/>
        <item m="1" x="1203"/>
        <item m="1" x="1204"/>
        <item m="1" x="1205"/>
        <item m="1" x="1206"/>
        <item m="1" x="1207"/>
        <item m="1" x="1208"/>
        <item m="1" x="1211"/>
        <item m="1" x="1212"/>
        <item m="1" x="1209"/>
        <item m="1" x="1210"/>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5"/>
        <item m="1" x="1276"/>
        <item m="1" x="1274"/>
        <item m="1" x="1279"/>
        <item m="1" x="1277"/>
        <item m="1" x="1278"/>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9"/>
        <item m="1" x="1308"/>
        <item m="1" x="1310"/>
        <item m="1" x="1311"/>
        <item m="1" x="1312"/>
        <item m="1" x="1313"/>
        <item m="1" x="1314"/>
        <item m="1" x="1315"/>
        <item m="1" x="1316"/>
        <item m="1" x="1317"/>
        <item m="1" x="1318"/>
        <item m="1" x="1319"/>
        <item m="1" x="1320"/>
        <item m="1" x="1321"/>
        <item m="1" x="1322"/>
        <item m="1" x="1323"/>
        <item m="1" x="1324"/>
        <item m="1" x="1325"/>
        <item m="1" x="1328"/>
        <item m="1" x="1326"/>
        <item m="1" x="1327"/>
        <item m="1" x="1329"/>
        <item m="1" x="1330"/>
        <item m="1" x="1332"/>
        <item m="1" x="1331"/>
        <item m="1" x="1335"/>
        <item m="1" x="1333"/>
        <item m="1" x="1334"/>
        <item m="1" x="1336"/>
        <item m="1" x="1337"/>
        <item m="1" x="1338"/>
        <item m="1" x="1339"/>
        <item m="1" x="1340"/>
        <item m="1" x="1341"/>
        <item m="1" x="1343"/>
        <item m="1" x="1354"/>
        <item m="1" x="1352"/>
        <item m="1" x="1353"/>
        <item m="1" x="1350"/>
        <item m="1" x="1351"/>
        <item m="1" x="1344"/>
        <item m="1" x="1345"/>
        <item m="1" x="1346"/>
        <item m="1" x="1347"/>
        <item m="1" x="1348"/>
        <item m="1" x="1349"/>
        <item m="1" x="1342"/>
        <item m="1" x="1355"/>
        <item m="1" x="1356"/>
        <item m="1" x="1357"/>
        <item m="1" x="1358"/>
        <item m="1" x="1359"/>
        <item m="1" x="1360"/>
        <item m="1" x="1361"/>
        <item m="1" x="1362"/>
        <item m="1" x="1363"/>
        <item m="1" x="1364"/>
        <item m="1" x="1365"/>
        <item m="1" x="1366"/>
        <item m="1" x="1367"/>
        <item m="1" x="1369"/>
        <item m="1" x="1368"/>
        <item m="1" x="1371"/>
        <item m="1" x="1372"/>
        <item m="1" x="1370"/>
        <item m="1" x="1373"/>
        <item m="1" x="1374"/>
        <item m="1" x="1375"/>
        <item m="1" x="1376"/>
        <item m="1" x="1377"/>
        <item m="1" x="1378"/>
        <item m="1" x="1379"/>
        <item m="1" x="1380"/>
        <item m="1" x="1381"/>
        <item m="1" x="1384"/>
        <item m="1" x="1385"/>
        <item m="1" x="1382"/>
        <item m="1" x="1383"/>
        <item m="1" x="1387"/>
        <item m="1" x="1386"/>
        <item m="1" x="1390"/>
        <item m="1" x="1391"/>
        <item m="1" x="1392"/>
        <item m="1" x="1393"/>
        <item m="1" x="1395"/>
        <item m="1" x="1396"/>
        <item m="1" x="1394"/>
        <item m="1" x="1399"/>
        <item m="1" x="1397"/>
        <item m="1" x="1398"/>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7"/>
        <item m="1" x="1428"/>
        <item m="1" x="1426"/>
        <item m="1" x="1429"/>
        <item m="1" x="1430"/>
        <item m="1" x="1431"/>
        <item m="1" x="1432"/>
        <item m="1" x="1433"/>
        <item m="1" x="1434"/>
        <item m="1" x="1435"/>
        <item m="1" x="1437"/>
        <item m="1" x="1438"/>
        <item m="1" x="1436"/>
        <item m="1" x="1440"/>
        <item m="1" x="1441"/>
        <item m="1" x="1439"/>
        <item m="1" x="1442"/>
        <item m="1" x="1443"/>
        <item m="1" x="1444"/>
        <item m="1" x="1445"/>
        <item m="1" x="1446"/>
        <item m="1" x="1447"/>
        <item m="1" x="1448"/>
        <item m="1" x="1451"/>
        <item m="1" x="1449"/>
        <item m="1" x="1450"/>
        <item m="1" x="1452"/>
        <item m="1" x="1456"/>
        <item m="1" x="1453"/>
        <item m="1" x="1454"/>
        <item m="1" x="1455"/>
        <item m="1" x="1463"/>
        <item m="1" x="1464"/>
        <item m="1" x="1462"/>
        <item m="1" x="1459"/>
        <item m="1" x="1460"/>
        <item m="1" x="1461"/>
        <item m="1" x="1457"/>
        <item m="1" x="1458"/>
        <item m="1" x="1465"/>
        <item m="1" x="1466"/>
        <item m="1" x="1467"/>
        <item m="1" x="1468"/>
        <item m="1" x="1469"/>
        <item m="1" x="1470"/>
        <item m="1" x="1471"/>
        <item m="1" x="1472"/>
        <item m="1" x="1473"/>
        <item m="1" x="1474"/>
        <item m="1" x="1475"/>
        <item m="1" x="1476"/>
        <item m="1" x="1477"/>
        <item m="1" x="1478"/>
        <item m="1" x="1479"/>
        <item m="1" x="1480"/>
        <item m="1" x="1481"/>
        <item m="1" x="1482"/>
        <item m="1" x="1483"/>
        <item m="1" x="1062"/>
        <item m="1" x="1484"/>
        <item m="1" x="1485"/>
        <item m="1" x="1486"/>
        <item m="1" x="1488"/>
        <item m="1" x="1487"/>
        <item m="1" x="1489"/>
        <item m="1" x="1490"/>
        <item m="1" x="1491"/>
        <item m="1" x="1492"/>
        <item m="1" x="1493"/>
        <item m="1" x="1494"/>
        <item m="1" x="1496"/>
        <item m="1" x="1495"/>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23"/>
        <item m="1" x="1524"/>
        <item m="1" x="1525"/>
        <item m="1" x="1521"/>
        <item m="1" x="1522"/>
        <item m="1" x="1517"/>
        <item m="1" x="1518"/>
        <item m="1" x="1519"/>
        <item m="1" x="1520"/>
        <item m="1" x="1526"/>
        <item m="1" x="1527"/>
        <item m="1" x="1388"/>
        <item m="1" x="1389"/>
        <item h="1" m="1" x="451"/>
        <item h="1" m="1" x="452"/>
        <item h="1" m="1" x="453"/>
        <item h="1" m="1" x="454"/>
        <item h="1" m="1" x="455"/>
        <item h="1" m="1" x="456"/>
        <item h="1" m="1" x="457"/>
        <item h="1" m="1" x="458"/>
        <item h="1" m="1" x="459"/>
        <item h="1" m="1" x="460"/>
        <item h="1" m="1" x="461"/>
        <item h="1" m="1" x="462"/>
        <item h="1" m="1" x="463"/>
        <item h="1" m="1" x="464"/>
        <item h="1" m="1" x="465"/>
        <item h="1" m="1" x="466"/>
        <item h="1" m="1" x="467"/>
        <item h="1" m="1" x="468"/>
        <item h="1" m="1" x="469"/>
        <item h="1" m="1" x="470"/>
        <item h="1" m="1" x="471"/>
        <item h="1" m="1" x="472"/>
        <item h="1" m="1" x="473"/>
        <item h="1" m="1" x="474"/>
        <item h="1" m="1" x="475"/>
        <item h="1" m="1" x="476"/>
        <item h="1" m="1" x="477"/>
        <item h="1" m="1" x="478"/>
        <item h="1" m="1" x="479"/>
        <item h="1" m="1" x="480"/>
        <item h="1" m="1" x="481"/>
        <item h="1" m="1" x="482"/>
        <item h="1" m="1" x="483"/>
        <item h="1" m="1" x="484"/>
        <item h="1" m="1" x="485"/>
        <item h="1" m="1" x="486"/>
        <item h="1" m="1" x="487"/>
        <item h="1" m="1" x="488"/>
        <item h="1" m="1" x="489"/>
        <item h="1" m="1" x="490"/>
        <item h="1" m="1" x="491"/>
        <item h="1" m="1" x="492"/>
        <item h="1" m="1" x="493"/>
        <item h="1" m="1" x="494"/>
        <item h="1" m="1" x="924"/>
        <item h="1" m="1" x="925"/>
        <item h="1" m="1" x="926"/>
        <item h="1" m="1" x="927"/>
        <item h="1" m="1" x="928"/>
        <item h="1" m="1" x="500"/>
        <item h="1" m="1" x="501"/>
        <item h="1" m="1" x="502"/>
        <item h="1" m="1" x="503"/>
        <item h="1" m="1" x="504"/>
        <item h="1" m="1" x="505"/>
        <item h="1" m="1" x="929"/>
        <item h="1" m="1" x="930"/>
        <item h="1" m="1" x="508"/>
        <item h="1" m="1" x="509"/>
        <item h="1" m="1" x="931"/>
        <item h="1" m="1" x="932"/>
        <item h="1" m="1" x="933"/>
        <item h="1" m="1" x="934"/>
        <item h="1" m="1" x="935"/>
        <item h="1" m="1" x="936"/>
        <item h="1" m="1" x="937"/>
        <item h="1" m="1" x="938"/>
        <item h="1" m="1" x="939"/>
        <item h="1" m="1" x="940"/>
        <item h="1" m="1" x="941"/>
        <item h="1" m="1" x="942"/>
        <item h="1" m="1" x="943"/>
        <item h="1" m="1" x="944"/>
        <item h="1" m="1" x="945"/>
        <item h="1" m="1" x="946"/>
        <item h="1" m="1" x="947"/>
        <item h="1" m="1" x="948"/>
        <item h="1" m="1" x="949"/>
        <item h="1" m="1" x="950"/>
        <item h="1" m="1" x="530"/>
        <item h="1" m="1" x="531"/>
        <item h="1" m="1" x="532"/>
        <item h="1" m="1" x="533"/>
        <item h="1" m="1" x="951"/>
        <item h="1" m="1" x="535"/>
        <item h="1" m="1" x="536"/>
        <item h="1" m="1" x="537"/>
        <item h="1" m="1" x="538"/>
        <item h="1" m="1" x="539"/>
        <item h="1" m="1" x="952"/>
        <item h="1" m="1" x="953"/>
        <item h="1" m="1" x="542"/>
        <item h="1" m="1" x="543"/>
        <item h="1" m="1" x="906"/>
        <item h="1" m="1" x="954"/>
        <item h="1" m="1" x="955"/>
        <item h="1" m="1" x="956"/>
        <item h="1" m="1" x="957"/>
        <item h="1" m="1" x="958"/>
        <item h="1" m="1" x="959"/>
        <item h="1" m="1" x="551"/>
        <item h="1" m="1" x="552"/>
        <item h="1" m="1" x="907"/>
        <item h="1" m="1" x="908"/>
        <item h="1" m="1" x="909"/>
        <item h="1" m="1" x="910"/>
        <item h="1" m="1" x="557"/>
        <item h="1" m="1" x="558"/>
        <item h="1" m="1" x="911"/>
        <item h="1" m="1" x="912"/>
        <item h="1" m="1" x="913"/>
        <item h="1" m="1" x="914"/>
        <item h="1" m="1" x="960"/>
        <item h="1" m="1" x="961"/>
        <item h="1" m="1" x="962"/>
        <item h="1" m="1" x="963"/>
        <item h="1" m="1" x="964"/>
        <item h="1" m="1" x="965"/>
        <item h="1" m="1" x="966"/>
        <item h="1" m="1" x="967"/>
        <item h="1" m="1" x="968"/>
        <item h="1" m="1" x="969"/>
        <item h="1" m="1" x="970"/>
        <item h="1" m="1" x="574"/>
        <item h="1" m="1" x="575"/>
        <item h="1" m="1" x="576"/>
        <item h="1" m="1" x="971"/>
        <item h="1" m="1" x="972"/>
        <item h="1" m="1" x="973"/>
        <item h="1" m="1" x="974"/>
        <item h="1" m="1" x="975"/>
        <item h="1" m="1" x="976"/>
        <item h="1" m="1" x="977"/>
        <item h="1" m="1" x="978"/>
        <item h="1" m="1" x="979"/>
        <item h="1" m="1" x="586"/>
        <item h="1" m="1" x="587"/>
        <item h="1" m="1" x="588"/>
        <item h="1" m="1" x="980"/>
        <item h="1" m="1" x="981"/>
        <item h="1" m="1" x="982"/>
        <item h="1" m="1" x="915"/>
        <item h="1" m="1" x="916"/>
        <item h="1" m="1" x="917"/>
        <item h="1" m="1" x="595"/>
        <item h="1" m="1" x="596"/>
        <item h="1" m="1" x="597"/>
        <item h="1" m="1" x="598"/>
        <item h="1" m="1" x="599"/>
        <item h="1" m="1" x="600"/>
        <item h="1" m="1" x="601"/>
        <item h="1" m="1" x="602"/>
        <item h="1" m="1" x="603"/>
        <item h="1" m="1" x="983"/>
        <item h="1" m="1" x="984"/>
        <item h="1" m="1" x="985"/>
        <item h="1" m="1" x="986"/>
        <item h="1" m="1" x="987"/>
        <item h="1" m="1" x="988"/>
        <item h="1" m="1" x="989"/>
        <item h="1" m="1" x="990"/>
        <item h="1" m="1" x="991"/>
        <item h="1" m="1" x="613"/>
        <item h="1" m="1" x="614"/>
        <item h="1" m="1" x="615"/>
        <item h="1" m="1" x="616"/>
        <item h="1" m="1" x="617"/>
        <item h="1" m="1" x="618"/>
        <item h="1" m="1" x="619"/>
        <item h="1" m="1" x="620"/>
        <item h="1" m="1" x="621"/>
        <item h="1" m="1" x="622"/>
        <item h="1" m="1" x="626"/>
        <item h="1" m="1" x="627"/>
        <item h="1" m="1" x="628"/>
        <item h="1" m="1" x="992"/>
        <item h="1" m="1" x="993"/>
        <item h="1" m="1" x="994"/>
        <item h="1" m="1" x="632"/>
        <item h="1" m="1" x="633"/>
        <item h="1" m="1" x="634"/>
        <item h="1" m="1" x="995"/>
        <item h="1" m="1" x="996"/>
        <item h="1" m="1" x="997"/>
        <item h="1" m="1" x="638"/>
        <item h="1" m="1" x="639"/>
        <item h="1" m="1" x="640"/>
        <item h="1" m="1" x="641"/>
        <item h="1" m="1" x="642"/>
        <item h="1" m="1" x="643"/>
        <item h="1" m="1" x="998"/>
        <item h="1" m="1" x="999"/>
        <item h="1" m="1" x="1000"/>
        <item h="1" m="1" x="1001"/>
        <item h="1" m="1" x="1002"/>
        <item h="1" m="1" x="1003"/>
        <item h="1" m="1" x="650"/>
        <item h="1" m="1" x="651"/>
        <item h="1" m="1" x="652"/>
        <item h="1" m="1" x="653"/>
        <item h="1" m="1" x="654"/>
        <item h="1" m="1" x="1004"/>
        <item h="1" m="1" x="1005"/>
        <item h="1" m="1" x="1006"/>
        <item h="1" m="1" x="1007"/>
        <item h="1" m="1" x="1008"/>
        <item h="1" m="1" x="1009"/>
        <item h="1" m="1" x="1010"/>
        <item h="1" m="1" x="1011"/>
        <item h="1" m="1" x="1012"/>
        <item h="1" m="1" x="1013"/>
        <item h="1" m="1" x="1014"/>
        <item h="1" m="1" x="1015"/>
        <item h="1" m="1" x="1016"/>
        <item h="1" m="1" x="1017"/>
        <item h="1" m="1" x="1018"/>
        <item h="1" m="1" x="1019"/>
        <item h="1" m="1" x="1020"/>
        <item h="1" m="1" x="1021"/>
        <item h="1" m="1" x="1022"/>
        <item h="1" m="1" x="1023"/>
        <item h="1" m="1" x="1024"/>
        <item h="1" m="1" x="1025"/>
        <item h="1" m="1" x="1026"/>
        <item h="1" m="1" x="1027"/>
        <item h="1" m="1" x="1028"/>
        <item h="1" m="1" x="1029"/>
        <item h="1" m="1" x="1030"/>
        <item h="1" m="1" x="1031"/>
        <item h="1" m="1" x="1032"/>
        <item h="1" m="1" x="1033"/>
        <item h="1" m="1" x="1034"/>
        <item h="1" m="1" x="686"/>
        <item h="1" m="1" x="687"/>
        <item h="1" m="1" x="688"/>
        <item h="1" m="1" x="689"/>
        <item h="1" m="1" x="690"/>
        <item h="1" m="1" x="691"/>
        <item h="1" m="1" x="692"/>
        <item h="1" m="1" x="693"/>
        <item h="1" m="1" x="696"/>
        <item h="1" m="1" x="697"/>
        <item h="1" m="1" x="698"/>
        <item h="1" m="1" x="699"/>
        <item h="1" m="1" x="700"/>
        <item h="1" m="1" x="701"/>
        <item h="1" m="1" x="702"/>
        <item h="1" m="1" x="703"/>
        <item h="1" m="1" x="704"/>
        <item h="1" m="1" x="705"/>
        <item h="1" m="1" x="706"/>
        <item h="1" m="1" x="707"/>
        <item h="1" m="1" x="708"/>
        <item h="1" m="1" x="709"/>
        <item h="1" m="1" x="710"/>
        <item h="1" m="1" x="711"/>
        <item h="1" m="1" x="712"/>
        <item h="1" m="1" x="713"/>
        <item h="1" m="1" x="714"/>
        <item h="1" m="1" x="715"/>
        <item h="1" m="1" x="716"/>
        <item h="1" m="1" x="717"/>
        <item h="1" m="1" x="718"/>
        <item h="1" m="1" x="719"/>
        <item h="1" m="1" x="720"/>
        <item h="1" m="1" x="721"/>
        <item h="1" m="1" x="722"/>
        <item h="1" m="1" x="723"/>
        <item h="1" m="1" x="724"/>
        <item h="1" m="1" x="725"/>
        <item h="1" m="1" x="726"/>
        <item h="1" m="1" x="727"/>
        <item h="1" m="1" x="728"/>
        <item h="1" m="1" x="729"/>
        <item h="1" m="1" x="730"/>
        <item h="1" m="1" x="731"/>
        <item h="1" m="1" x="732"/>
        <item h="1" m="1" x="733"/>
        <item h="1" m="1" x="734"/>
        <item h="1" m="1" x="735"/>
        <item h="1" m="1" x="736"/>
        <item h="1" m="1" x="737"/>
        <item h="1" m="1" x="738"/>
        <item h="1" m="1" x="739"/>
        <item h="1" m="1" x="740"/>
        <item h="1" m="1" x="741"/>
        <item h="1" m="1" x="742"/>
        <item h="1" m="1" x="743"/>
        <item h="1" m="1" x="744"/>
        <item h="1" m="1" x="745"/>
        <item h="1" m="1" x="746"/>
        <item h="1" m="1" x="747"/>
        <item h="1" m="1" x="748"/>
        <item h="1" m="1" x="749"/>
        <item h="1" m="1" x="750"/>
        <item h="1" m="1" x="751"/>
        <item h="1" m="1" x="752"/>
        <item h="1" m="1" x="753"/>
        <item h="1" m="1" x="1035"/>
        <item h="1" m="1" x="1036"/>
        <item h="1" m="1" x="756"/>
        <item h="1" m="1" x="757"/>
        <item h="1" m="1" x="758"/>
        <item h="1" m="1" x="759"/>
        <item h="1" m="1" x="760"/>
        <item h="1" m="1" x="761"/>
        <item h="1" m="1" x="762"/>
        <item h="1" m="1" x="763"/>
        <item h="1" m="1" x="764"/>
        <item h="1" m="1" x="765"/>
        <item h="1" m="1" x="1037"/>
        <item h="1" m="1" x="1038"/>
        <item h="1" m="1" x="768"/>
        <item h="1" m="1" x="769"/>
        <item h="1" m="1" x="770"/>
        <item h="1" m="1" x="771"/>
        <item h="1" m="1" x="772"/>
        <item h="1" m="1" x="773"/>
        <item h="1" m="1" x="774"/>
        <item h="1" m="1" x="775"/>
        <item h="1" m="1" x="776"/>
        <item h="1" m="1" x="777"/>
        <item h="1" m="1" x="778"/>
        <item h="1" m="1" x="779"/>
        <item h="1" m="1" x="780"/>
        <item h="1" m="1" x="781"/>
        <item h="1" m="1" x="782"/>
        <item h="1" m="1" x="783"/>
        <item h="1" m="1" x="784"/>
        <item h="1" m="1" x="785"/>
        <item h="1" m="1" x="786"/>
        <item h="1" m="1" x="787"/>
        <item h="1" m="1" x="788"/>
        <item h="1" m="1" x="789"/>
        <item h="1" m="1" x="790"/>
        <item h="1" m="1" x="791"/>
        <item h="1" m="1" x="1039"/>
        <item h="1" m="1" x="1040"/>
        <item h="1" m="1" x="1041"/>
        <item h="1" m="1" x="795"/>
        <item h="1" m="1" x="796"/>
        <item h="1" m="1" x="797"/>
        <item h="1" m="1" x="798"/>
        <item h="1" m="1" x="799"/>
        <item h="1" m="1" x="800"/>
        <item h="1" m="1" x="801"/>
        <item h="1" m="1" x="802"/>
        <item h="1" m="1" x="803"/>
        <item h="1" m="1" x="804"/>
        <item h="1" m="1" x="808"/>
        <item h="1" m="1" x="809"/>
        <item h="1" m="1" x="810"/>
        <item h="1" m="1" x="811"/>
        <item h="1" m="1" x="812"/>
        <item h="1" m="1" x="813"/>
        <item h="1" m="1" x="814"/>
        <item h="1" m="1" x="815"/>
        <item h="1" m="1" x="816"/>
        <item h="1" m="1" x="817"/>
        <item h="1" m="1" x="818"/>
        <item h="1" m="1" x="819"/>
        <item h="1" m="1" x="820"/>
        <item h="1" m="1" x="821"/>
        <item h="1" m="1" x="822"/>
        <item h="1" m="1" x="823"/>
        <item h="1" m="1" x="824"/>
        <item h="1" m="1" x="825"/>
        <item h="1" m="1" x="826"/>
        <item h="1" m="1" x="827"/>
        <item h="1" m="1" x="828"/>
        <item h="1" m="1" x="829"/>
        <item h="1" m="1" x="830"/>
        <item h="1" m="1" x="831"/>
        <item h="1" m="1" x="832"/>
        <item h="1" m="1" x="833"/>
        <item h="1" m="1" x="834"/>
        <item h="1" m="1" x="835"/>
        <item h="1" m="1" x="836"/>
        <item h="1" m="1" x="837"/>
        <item h="1" m="1" x="838"/>
        <item h="1" m="1" x="839"/>
        <item h="1" m="1" x="840"/>
        <item h="1" m="1" x="1042"/>
        <item h="1" m="1" x="1043"/>
        <item h="1" m="1" x="1044"/>
        <item h="1" m="1" x="1045"/>
        <item h="1" m="1" x="1046"/>
        <item h="1" m="1" x="1047"/>
        <item h="1" m="1" x="1048"/>
        <item h="1" m="1" x="1049"/>
        <item h="1" m="1" x="1050"/>
        <item h="1" m="1" x="1051"/>
        <item h="1" m="1" x="1052"/>
        <item h="1" m="1" x="1053"/>
        <item h="1" m="1" x="1054"/>
        <item h="1" m="1" x="1055"/>
        <item h="1" m="1" x="1056"/>
        <item h="1" m="1" x="1057"/>
        <item h="1" m="1" x="1058"/>
        <item h="1" m="1" x="1059"/>
        <item h="1" m="1" x="1060"/>
        <item h="1" m="1" x="1061"/>
        <item h="1" m="1" x="1063"/>
        <item h="1" m="1" x="1064"/>
        <item h="1" m="1" x="1065"/>
        <item h="1" m="1" x="1066"/>
        <item h="1" m="1" x="1067"/>
        <item h="1" m="1" x="1068"/>
        <item h="1" m="1" x="1069"/>
        <item h="1" m="1" x="1070"/>
        <item h="1" m="1" x="1071"/>
        <item h="1" m="1" x="1072"/>
        <item h="1" m="1" x="1073"/>
        <item h="1" m="1" x="1074"/>
        <item h="1" m="1" x="1075"/>
        <item h="1" m="1" x="1076"/>
        <item h="1" m="1" x="1077"/>
        <item h="1" m="1" x="1078"/>
        <item h="1" m="1" x="1079"/>
        <item h="1" m="1" x="1080"/>
        <item h="1" m="1" x="1081"/>
        <item h="1" m="1" x="1082"/>
        <item h="1" m="1" x="1083"/>
        <item h="1" m="1" x="1084"/>
        <item h="1" m="1" x="1085"/>
        <item h="1" m="1" x="1086"/>
        <item h="1" m="1" x="1087"/>
        <item h="1" m="1" x="1088"/>
        <item h="1" m="1" x="1089"/>
        <item h="1" m="1" x="1090"/>
        <item h="1" m="1" x="1091"/>
        <item h="1" m="1" x="1092"/>
        <item h="1" m="1" x="1093"/>
        <item h="1" m="1" x="1094"/>
        <item h="1" m="1" x="894"/>
        <item h="1" m="1" x="895"/>
        <item h="1" m="1" x="896"/>
        <item h="1" m="1" x="897"/>
        <item h="1" m="1" x="898"/>
        <item h="1" m="1" x="899"/>
        <item h="1" m="1" x="900"/>
        <item h="1" m="1" x="901"/>
        <item h="1" m="1" x="902"/>
        <item h="1" m="1" x="903"/>
        <item h="1" m="1" x="904"/>
        <item h="1" m="1" x="905"/>
        <item h="1" m="1" x="623"/>
        <item h="1" m="1" x="624"/>
        <item h="1" m="1" x="625"/>
        <item h="1" m="1" x="805"/>
        <item h="1" m="1" x="806"/>
        <item h="1" m="1" x="807"/>
        <item h="1" m="1" x="495"/>
        <item h="1" m="1" x="496"/>
        <item h="1" m="1" x="497"/>
        <item h="1" m="1" x="498"/>
        <item h="1" m="1" x="499"/>
        <item h="1" m="1" x="506"/>
        <item h="1" m="1" x="507"/>
        <item h="1" m="1" x="510"/>
        <item h="1" m="1" x="511"/>
        <item h="1" m="1" x="512"/>
        <item h="1" m="1" x="513"/>
        <item h="1" m="1" x="514"/>
        <item h="1" m="1" x="515"/>
        <item h="1" m="1" x="516"/>
        <item h="1" m="1" x="517"/>
        <item h="1" m="1" x="518"/>
        <item h="1" m="1" x="519"/>
        <item h="1" m="1" x="520"/>
        <item h="1" m="1" x="521"/>
        <item h="1" m="1" x="522"/>
        <item h="1" m="1" x="523"/>
        <item h="1" m="1" x="524"/>
        <item h="1" m="1" x="525"/>
        <item h="1" m="1" x="526"/>
        <item h="1" m="1" x="527"/>
        <item h="1" m="1" x="528"/>
        <item h="1" m="1" x="529"/>
        <item h="1" m="1" x="534"/>
        <item h="1" m="1" x="540"/>
        <item h="1" m="1" x="541"/>
        <item h="1" m="1" x="545"/>
        <item h="1" m="1" x="546"/>
        <item h="1" m="1" x="547"/>
        <item h="1" m="1" x="548"/>
        <item h="1" m="1" x="549"/>
        <item h="1" m="1" x="550"/>
        <item h="1" m="1" x="563"/>
        <item h="1" m="1" x="564"/>
        <item h="1" m="1" x="565"/>
        <item h="1" m="1" x="566"/>
        <item h="1" m="1" x="567"/>
        <item h="1" m="1" x="568"/>
        <item h="1" m="1" x="569"/>
        <item h="1" m="1" x="570"/>
        <item h="1" m="1" x="571"/>
        <item h="1" m="1" x="572"/>
        <item h="1" m="1" x="573"/>
        <item h="1" m="1" x="577"/>
        <item h="1" m="1" x="578"/>
        <item h="1" m="1" x="579"/>
        <item h="1" m="1" x="580"/>
        <item h="1" m="1" x="581"/>
        <item h="1" m="1" x="582"/>
        <item h="1" m="1" x="583"/>
        <item h="1" m="1" x="584"/>
        <item h="1" m="1" x="585"/>
        <item h="1" m="1" x="589"/>
        <item h="1" m="1" x="590"/>
        <item h="1" m="1" x="591"/>
        <item h="1" m="1" x="604"/>
        <item h="1" m="1" x="605"/>
        <item h="1" m="1" x="606"/>
        <item h="1" m="1" x="918"/>
        <item h="1" m="1" x="919"/>
        <item h="1" m="1" x="920"/>
        <item h="1" m="1" x="921"/>
        <item h="1" m="1" x="922"/>
        <item h="1" m="1" x="923"/>
        <item h="1" m="1" x="629"/>
        <item h="1" m="1" x="630"/>
        <item h="1" m="1" x="631"/>
        <item h="1" m="1" x="635"/>
        <item h="1" m="1" x="636"/>
        <item h="1" m="1" x="637"/>
        <item h="1" m="1" x="644"/>
        <item h="1" m="1" x="645"/>
        <item h="1" m="1" x="646"/>
        <item h="1" m="1" x="647"/>
        <item h="1" m="1" x="648"/>
        <item h="1" m="1" x="649"/>
        <item h="1" m="1" x="655"/>
        <item h="1" m="1" x="656"/>
        <item h="1" m="1" x="657"/>
        <item h="1" m="1" x="658"/>
        <item h="1" m="1" x="659"/>
        <item h="1" m="1" x="660"/>
        <item h="1" m="1" x="661"/>
        <item h="1" m="1" x="662"/>
        <item h="1" m="1" x="663"/>
        <item h="1" m="1" x="664"/>
        <item h="1" m="1" x="665"/>
        <item h="1" m="1" x="666"/>
        <item h="1" m="1" x="667"/>
        <item h="1" m="1" x="668"/>
        <item h="1" m="1" x="669"/>
        <item h="1" m="1" x="670"/>
        <item h="1" m="1" x="671"/>
        <item h="1" m="1" x="672"/>
        <item h="1" m="1" x="673"/>
        <item h="1" m="1" x="674"/>
        <item h="1" m="1" x="675"/>
        <item h="1" m="1" x="676"/>
        <item h="1" m="1" x="677"/>
        <item h="1" m="1" x="678"/>
        <item h="1" m="1" x="679"/>
        <item h="1" m="1" x="680"/>
        <item h="1" m="1" x="681"/>
        <item h="1" m="1" x="682"/>
        <item h="1" m="1" x="683"/>
        <item h="1" m="1" x="684"/>
        <item h="1" m="1" x="685"/>
        <item h="1" m="1" x="694"/>
        <item h="1" m="1" x="695"/>
        <item h="1" m="1" x="754"/>
        <item h="1" m="1" x="755"/>
        <item h="1" m="1" x="766"/>
        <item h="1" m="1" x="767"/>
        <item h="1" m="1" x="792"/>
        <item h="1" m="1" x="793"/>
        <item h="1" m="1" x="794"/>
        <item h="1" m="1" x="841"/>
        <item h="1" m="1" x="842"/>
        <item h="1" m="1" x="843"/>
        <item h="1" m="1" x="844"/>
        <item h="1" m="1" x="845"/>
        <item h="1" m="1" x="846"/>
        <item h="1" m="1" x="847"/>
        <item h="1" m="1" x="848"/>
        <item h="1" m="1" x="849"/>
        <item h="1" m="1" x="850"/>
        <item h="1" m="1" x="851"/>
        <item h="1" m="1" x="852"/>
        <item h="1" m="1" x="853"/>
        <item h="1" m="1" x="854"/>
        <item h="1" m="1" x="855"/>
        <item h="1" m="1" x="856"/>
        <item h="1" m="1" x="857"/>
        <item h="1" m="1" x="858"/>
        <item h="1" m="1" x="859"/>
        <item h="1" m="1" x="860"/>
        <item h="1" m="1" x="861"/>
        <item h="1" m="1" x="862"/>
        <item h="1" m="1" x="863"/>
        <item h="1" m="1" x="864"/>
        <item h="1" m="1" x="865"/>
        <item h="1" m="1" x="866"/>
        <item h="1" m="1" x="867"/>
        <item h="1" m="1" x="868"/>
        <item h="1" m="1" x="869"/>
        <item h="1" m="1" x="870"/>
        <item h="1" m="1" x="871"/>
        <item h="1" m="1" x="872"/>
        <item h="1" m="1" x="873"/>
        <item h="1" m="1" x="874"/>
        <item h="1" m="1" x="875"/>
        <item h="1" m="1" x="876"/>
        <item h="1" m="1" x="877"/>
        <item h="1" m="1" x="878"/>
        <item h="1" m="1" x="879"/>
        <item h="1" m="1" x="880"/>
        <item h="1" m="1" x="881"/>
        <item h="1" m="1" x="882"/>
        <item h="1" m="1" x="883"/>
        <item h="1" m="1" x="884"/>
        <item h="1" m="1" x="885"/>
        <item h="1" m="1" x="886"/>
        <item h="1" m="1" x="887"/>
        <item h="1" m="1" x="888"/>
        <item h="1" m="1" x="889"/>
        <item h="1" m="1" x="890"/>
        <item h="1" m="1" x="891"/>
        <item h="1" m="1" x="892"/>
        <item h="1" m="1" x="893"/>
        <item h="1" m="1" x="544"/>
        <item h="1" m="1" x="553"/>
        <item h="1" m="1" x="554"/>
        <item h="1" m="1" x="555"/>
        <item h="1" m="1" x="556"/>
        <item h="1" m="1" x="559"/>
        <item h="1" m="1" x="560"/>
        <item h="1" m="1" x="561"/>
        <item h="1" m="1" x="562"/>
        <item h="1" m="1" x="592"/>
        <item h="1" m="1" x="593"/>
        <item h="1" m="1" x="594"/>
        <item h="1" m="1" x="607"/>
        <item h="1" m="1" x="608"/>
        <item h="1" m="1" x="609"/>
        <item h="1" m="1" x="610"/>
        <item h="1" m="1" x="611"/>
        <item h="1" m="1" x="612"/>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228"/>
        <item h="1" x="229"/>
        <item h="1" x="230"/>
        <item h="1" x="231"/>
        <item h="1" x="232"/>
        <item h="1" x="233"/>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h="1" x="410"/>
        <item h="1" x="411"/>
        <item h="1" x="412"/>
        <item h="1" x="413"/>
        <item h="1" x="414"/>
        <item h="1" x="415"/>
        <item h="1" x="416"/>
        <item h="1" x="417"/>
        <item h="1" x="418"/>
        <item h="1" x="419"/>
        <item h="1" x="420"/>
        <item h="1" x="421"/>
        <item h="1" x="422"/>
        <item h="1" x="423"/>
        <item h="1" x="424"/>
        <item h="1" x="425"/>
        <item h="1" x="426"/>
        <item h="1" x="427"/>
        <item h="1" x="428"/>
        <item h="1" x="429"/>
        <item h="1" x="430"/>
        <item h="1" x="431"/>
        <item h="1" x="432"/>
        <item h="1" x="433"/>
        <item h="1" x="434"/>
        <item h="1" x="435"/>
        <item h="1" x="436"/>
        <item h="1" x="437"/>
        <item h="1" x="438"/>
        <item h="1" x="439"/>
        <item h="1" x="440"/>
        <item h="1" x="441"/>
        <item h="1" x="442"/>
        <item h="1" x="443"/>
        <item h="1" x="444"/>
        <item h="1" x="445"/>
        <item h="1" x="446"/>
        <item h="1" x="447"/>
        <item h="1" x="448"/>
        <item h="1" x="449"/>
        <item h="1" x="450"/>
        <item t="default"/>
      </items>
    </pivotField>
    <pivotField numFmtId="172" showAll="0"/>
    <pivotField showAll="0"/>
    <pivotField axis="axisRow" multipleItemSelectionAllowed="1" showAll="0">
      <items count="8">
        <item sd="0" x="4"/>
        <item sd="0" x="1"/>
        <item sd="0" x="2"/>
        <item sd="0" x="0"/>
        <item m="1" x="6"/>
        <item x="3"/>
        <item x="5"/>
        <item t="default"/>
      </items>
    </pivotField>
    <pivotField showAll="0"/>
    <pivotField dataField="1" numFmtId="172" showAll="0"/>
    <pivotField axis="axisPage" multipleItemSelectionAllowed="1" showAll="0">
      <items count="8">
        <item m="1" x="6"/>
        <item x="4"/>
        <item x="1"/>
        <item x="0"/>
        <item x="2"/>
        <item h="1" x="5"/>
        <item h="1" x="3"/>
        <item t="default"/>
      </items>
    </pivotField>
    <pivotField axis="axisRow" showAll="0">
      <items count="10">
        <item m="1" x="8"/>
        <item x="3"/>
        <item x="5"/>
        <item x="1"/>
        <item x="7"/>
        <item x="0"/>
        <item x="2"/>
        <item x="6"/>
        <item x="4"/>
        <item t="default"/>
      </items>
    </pivotField>
  </pivotFields>
  <rowFields count="2">
    <field x="38"/>
    <field x="42"/>
  </rowFields>
  <rowItems count="1">
    <i t="grand">
      <x/>
    </i>
  </rowItems>
  <colFields count="1">
    <field x="-2"/>
  </colFields>
  <colItems count="2">
    <i>
      <x/>
    </i>
    <i i="1">
      <x v="1"/>
    </i>
  </colItems>
  <pageFields count="3">
    <pageField fld="2" hier="-1"/>
    <pageField fld="35" hier="-1"/>
    <pageField fld="41" hier="-1"/>
  </pageFields>
  <dataFields count="2">
    <dataField name="Sum of Huella" fld="35" baseField="0" baseItem="0"/>
    <dataField name="Sum of Intensidad-M" fld="40" baseField="0" baseItem="0"/>
  </dataFields>
  <formats count="4">
    <format dxfId="9">
      <pivotArea collapsedLevelsAreSubtotals="1" fieldPosition="0">
        <references count="3">
          <reference field="4294967294" count="1" selected="0">
            <x v="0"/>
          </reference>
          <reference field="38" count="1" selected="0">
            <x v="3"/>
          </reference>
          <reference field="42" count="2">
            <x v="3"/>
            <x v="5"/>
          </reference>
        </references>
      </pivotArea>
    </format>
    <format dxfId="8">
      <pivotArea collapsedLevelsAreSubtotals="1" fieldPosition="0">
        <references count="3">
          <reference field="4294967294" count="1" selected="0">
            <x v="0"/>
          </reference>
          <reference field="38" count="1" selected="0">
            <x v="1"/>
          </reference>
          <reference field="42" count="1">
            <x v="5"/>
          </reference>
        </references>
      </pivotArea>
    </format>
    <format dxfId="7">
      <pivotArea collapsedLevelsAreSubtotals="1" fieldPosition="0">
        <references count="3">
          <reference field="4294967294" count="1" selected="0">
            <x v="0"/>
          </reference>
          <reference field="38" count="1" selected="0">
            <x v="1"/>
          </reference>
          <reference field="42" count="1">
            <x v="4"/>
          </reference>
        </references>
      </pivotArea>
    </format>
    <format dxfId="6">
      <pivotArea collapsedLevelsAreSubtotals="1" fieldPosition="0">
        <references count="3">
          <reference field="4294967294" count="1" selected="0">
            <x v="0"/>
          </reference>
          <reference field="38" count="1" selected="0">
            <x v="2"/>
          </reference>
          <reference field="42" count="1">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630B7C2-C36B-4149-9061-EDED789765F0}" name="PivotTable4"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E4:AF34" firstHeaderRow="1" firstDataRow="1" firstDataCol="1" rowPageCount="2" colPageCount="1"/>
  <pivotFields count="43">
    <pivotField showAll="0"/>
    <pivotField showAll="0"/>
    <pivotField axis="axisPage" multipleItemSelectionAllowed="1" showAll="0">
      <items count="5">
        <item h="1" x="2"/>
        <item x="1"/>
        <item x="0"/>
        <item x="3"/>
        <item t="default"/>
      </items>
    </pivotField>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numFmtId="172" multipleItemSelectionAllowed="1" showAll="0">
      <items count="4730">
        <item x="95"/>
        <item m="1" x="4539"/>
        <item m="1" x="4630"/>
        <item m="1" x="4633"/>
        <item m="1" x="4189"/>
        <item m="1" x="4513"/>
        <item m="1" x="4632"/>
        <item m="1" x="4188"/>
        <item m="1" x="4512"/>
        <item m="1" x="4557"/>
        <item m="1" x="4240"/>
        <item m="1" x="4631"/>
        <item m="1" x="4135"/>
        <item m="1" x="4561"/>
        <item m="1" x="4243"/>
        <item m="1" x="4455"/>
        <item m="1" x="4190"/>
        <item m="1" x="4194"/>
        <item m="1" x="4560"/>
        <item m="1" x="4244"/>
        <item m="1" x="4519"/>
        <item m="1" x="4207"/>
        <item m="1" x="4203"/>
        <item m="1" x="4201"/>
        <item m="1" x="4530"/>
        <item m="1" x="4554"/>
        <item m="1" x="4237"/>
        <item m="1" x="4198"/>
        <item m="1" x="4200"/>
        <item m="1" x="4525"/>
        <item m="1" x="4251"/>
        <item m="1" x="4522"/>
        <item m="1" x="4571"/>
        <item m="1" x="4607"/>
        <item m="1" x="4160"/>
        <item m="1" x="4478"/>
        <item m="1" x="4134"/>
        <item m="1" x="4138"/>
        <item m="1" x="4555"/>
        <item m="1" x="4457"/>
        <item m="1" x="4456"/>
        <item m="1" x="4238"/>
        <item m="1" x="4208"/>
        <item m="1" x="4209"/>
        <item m="1" x="4157"/>
        <item m="1" x="4679"/>
        <item m="1" x="4635"/>
        <item m="1" x="4425"/>
        <item m="1" x="4536"/>
        <item m="1" x="4108"/>
        <item m="1" x="4627"/>
        <item m="1" x="4254"/>
        <item m="1" x="4212"/>
        <item m="1" x="4256"/>
        <item m="1" x="4556"/>
        <item m="1" x="4239"/>
        <item m="1" x="4576"/>
        <item m="1" x="4575"/>
        <item m="1" x="4686"/>
        <item m="1" x="4551"/>
        <item m="1" x="4229"/>
        <item m="1" x="4480"/>
        <item m="1" x="4159"/>
        <item m="1" x="4628"/>
        <item m="1" x="4634"/>
        <item m="1" x="4210"/>
        <item m="1" x="4728"/>
        <item m="1" x="4534"/>
        <item m="1" x="4035"/>
        <item m="1" x="4348"/>
        <item m="1" x="4629"/>
        <item m="1" x="4524"/>
        <item m="1" x="4682"/>
        <item m="1" x="4596"/>
        <item m="1" x="4688"/>
        <item m="1" x="4213"/>
        <item m="1" x="4727"/>
        <item m="1" x="4619"/>
        <item m="1" x="4402"/>
        <item m="1" x="4621"/>
        <item m="1" x="4081"/>
        <item m="1" x="4535"/>
        <item m="1" x="4354"/>
        <item m="1" x="4041"/>
        <item m="1" x="4443"/>
        <item m="1" x="4690"/>
        <item m="1" x="4687"/>
        <item m="1" x="4401"/>
        <item m="1" x="4681"/>
        <item m="1" x="4037"/>
        <item m="1" x="4601"/>
        <item m="1" x="4350"/>
        <item m="1" x="4597"/>
        <item m="1" x="4685"/>
        <item m="1" x="4385"/>
        <item m="1" x="4071"/>
        <item m="1" x="4386"/>
        <item m="1" x="4684"/>
        <item m="1" x="4072"/>
        <item m="1" x="4620"/>
        <item m="1" x="4678"/>
        <item m="1" x="4126"/>
        <item m="1" x="4614"/>
        <item m="1" x="4078"/>
        <item m="1" x="4400"/>
        <item m="1" x="4616"/>
        <item m="1" x="4040"/>
        <item m="1" x="4099"/>
        <item m="1" x="4080"/>
        <item m="1" x="4397"/>
        <item m="1" x="4602"/>
        <item m="1" x="4683"/>
        <item m="1" x="4599"/>
        <item m="1" x="4046"/>
        <item m="1" x="4359"/>
        <item m="1" x="4079"/>
        <item m="1" x="4399"/>
        <item m="1" x="4060"/>
        <item m="1" x="4371"/>
        <item m="1" x="4059"/>
        <item m="1" x="4689"/>
        <item m="1" x="4370"/>
        <item m="1" x="4446"/>
        <item m="1" x="4418"/>
        <item m="1" x="4598"/>
        <item m="1" x="4600"/>
        <item m="1" x="4347"/>
        <item m="1" x="4034"/>
        <item m="1" x="4677"/>
        <item m="1" x="4036"/>
        <item m="1" x="4127"/>
        <item m="1" x="4349"/>
        <item m="1" x="4694"/>
        <item m="1" x="4696"/>
        <item m="1" x="4033"/>
        <item m="1" x="4114"/>
        <item m="1" x="4608"/>
        <item m="1" x="4444"/>
        <item m="1" x="4384"/>
        <item m="1" x="4047"/>
        <item m="1" x="4032"/>
        <item m="1" x="4353"/>
        <item m="1" x="4360"/>
        <item m="1" x="4077"/>
        <item m="1" x="4431"/>
        <item m="1" x="4343"/>
        <item m="1" x="4398"/>
        <item m="1" x="4516"/>
        <item m="1" x="4344"/>
        <item m="1" x="4039"/>
        <item m="1" x="4339"/>
        <item m="1" x="4125"/>
        <item m="1" x="4352"/>
        <item m="1" x="4546"/>
        <item m="1" x="4594"/>
        <item m="1" x="4547"/>
        <item m="1" x="4338"/>
        <item m="1" x="4311"/>
        <item m="1" x="4009"/>
        <item m="1" x="4622"/>
        <item m="1" x="4218"/>
        <item m="1" x="4056"/>
        <item m="1" x="4372"/>
        <item m="1" x="4340"/>
        <item m="1" x="4671"/>
        <item m="1" x="4663"/>
        <item m="1" x="4611"/>
        <item m="1" x="4405"/>
        <item m="1" x="4693"/>
        <item m="1" x="4086"/>
        <item m="1" x="4222"/>
        <item m="1" x="4427"/>
        <item m="1" x="4615"/>
        <item m="1" x="4708"/>
        <item m="1" x="4448"/>
        <item m="1" x="4375"/>
        <item m="1" x="4057"/>
        <item m="1" x="4106"/>
        <item m="1" x="4337"/>
        <item m="1" x="4129"/>
        <item m="1" x="4714"/>
        <item m="1" x="4672"/>
        <item m="1" x="4257"/>
        <item m="1" x="4221"/>
        <item m="1" x="4612"/>
        <item m="1" x="4518"/>
        <item m="1" x="4346"/>
        <item m="1" x="4617"/>
        <item m="1" x="4707"/>
        <item m="1" x="4276"/>
        <item m="1" x="3981"/>
        <item m="1" x="4030"/>
        <item m="1" x="4028"/>
        <item m="1" x="4604"/>
        <item m="1" x="4345"/>
        <item m="1" x="4335"/>
        <item m="1" x="4369"/>
        <item m="1" x="4062"/>
        <item m="1" x="4680"/>
        <item m="1" x="4713"/>
        <item m="1" x="4088"/>
        <item m="1" x="4695"/>
        <item m="1" x="4408"/>
        <item m="1" x="4515"/>
        <item m="1" x="4341"/>
        <item m="1" x="4342"/>
        <item m="1" x="4031"/>
        <item m="1" x="4073"/>
        <item m="1" x="4426"/>
        <item m="1" x="4605"/>
        <item m="1" x="4445"/>
        <item m="1" x="4412"/>
        <item m="1" x="4029"/>
        <item m="1" x="4065"/>
        <item m="1" x="4252"/>
        <item m="1" x="4537"/>
        <item m="1" x="4082"/>
        <item m="1" x="4404"/>
        <item m="1" x="4391"/>
        <item m="1" x="4223"/>
        <item m="1" x="4170"/>
        <item m="1" x="4249"/>
        <item m="1" x="4336"/>
        <item m="1" x="4124"/>
        <item m="1" x="4107"/>
        <item m="1" x="4113"/>
        <item m="1" x="4197"/>
        <item m="1" x="4433"/>
        <item m="1" x="4606"/>
        <item m="1" x="4662"/>
        <item m="1" x="4216"/>
        <item m="1" x="4538"/>
        <item m="1" x="4618"/>
        <item m="1" x="4275"/>
        <item m="1" x="4193"/>
        <item m="1" x="3971"/>
        <item m="1" x="4217"/>
        <item m="1" x="4613"/>
        <item m="1" x="4084"/>
        <item m="1" x="4403"/>
        <item m="1" x="4095"/>
        <item m="1" x="4171"/>
        <item m="1" x="4655"/>
        <item m="1" x="4085"/>
        <item m="1" x="4532"/>
        <item m="1" x="4704"/>
        <item m="1" x="4291"/>
        <item m="1" x="4657"/>
        <item m="1" x="4447"/>
        <item m="1" x="4083"/>
        <item m="1" x="4128"/>
        <item m="1" x="4711"/>
        <item m="1" x="4726"/>
        <item m="1" x="4183"/>
        <item m="1" x="4232"/>
        <item m="1" x="4623"/>
        <item m="1" x="4214"/>
        <item m="1" x="4517"/>
        <item m="1" x="4595"/>
        <item m="1" x="4703"/>
        <item m="1" x="4156"/>
        <item m="1" x="4192"/>
        <item m="1" x="4413"/>
        <item m="1" x="3980"/>
        <item m="1" x="4224"/>
        <item m="1" x="4626"/>
        <item m="1" x="4021"/>
        <item m="1" x="4717"/>
        <item m="1" x="4649"/>
        <item m="1" x="4199"/>
        <item m="1" x="4692"/>
        <item m="1" x="4248"/>
        <item m="1" x="4298"/>
        <item m="1" x="4475"/>
        <item m="1" x="4236"/>
        <item m="1" x="4548"/>
        <item m="1" x="4603"/>
        <item m="1" x="4093"/>
        <item m="1" x="4559"/>
        <item m="1" x="4250"/>
        <item m="1" x="4715"/>
        <item m="1" x="4414"/>
        <item m="1" x="4387"/>
        <item m="1" x="4172"/>
        <item m="1" x="4245"/>
        <item m="1" x="4287"/>
        <item m="1" x="4373"/>
        <item m="1" x="4231"/>
        <item m="1" x="4061"/>
        <item m="1" x="4625"/>
        <item m="1" x="4049"/>
        <item m="1" x="4048"/>
        <item m="1" x="4531"/>
        <item m="1" x="3972"/>
        <item m="1" x="4654"/>
        <item m="1" x="4361"/>
        <item m="1" x="4647"/>
        <item m="1" x="4094"/>
        <item m="1" x="4241"/>
        <item m="1" x="4501"/>
        <item m="1" x="4656"/>
        <item m="1" x="4233"/>
        <item m="1" x="4691"/>
        <item m="1" x="4215"/>
        <item m="1" x="4700"/>
        <item m="1" x="4529"/>
        <item m="1" x="4415"/>
        <item m="1" x="4042"/>
        <item m="1" x="4624"/>
        <item m="1" x="4356"/>
        <item m="1" x="4219"/>
        <item m="1" x="4409"/>
        <item m="1" x="4503"/>
        <item m="1" x="4043"/>
        <item m="1" x="4355"/>
        <item m="1" x="4432"/>
        <item m="1" x="4205"/>
        <item m="1" x="4710"/>
        <item m="1" x="4050"/>
        <item m="1" x="4541"/>
        <item m="1" x="4362"/>
        <item m="1" x="4563"/>
        <item m="1" x="4374"/>
        <item m="1" x="4090"/>
        <item m="1" x="4487"/>
        <item m="1" x="4058"/>
        <item m="1" x="4587"/>
        <item m="1" x="4270"/>
        <item m="1" x="4112"/>
        <item m="1" x="4609"/>
        <item m="1" x="4567"/>
        <item m="1" x="4550"/>
        <item m="1" x="4702"/>
        <item m="1" x="4096"/>
        <item m="1" x="4406"/>
        <item m="1" x="4087"/>
        <item m="1" x="4202"/>
        <item m="1" x="4186"/>
        <item m="1" x="4173"/>
        <item m="1" x="4333"/>
        <item m="1" x="4509"/>
        <item m="1" x="4185"/>
        <item m="1" x="4180"/>
        <item m="1" x="4653"/>
        <item m="1" x="4235"/>
        <item m="1" x="4001"/>
        <item m="1" x="4133"/>
        <item m="1" x="4395"/>
        <item m="1" x="4142"/>
        <item m="1" x="4230"/>
        <item m="1" x="4589"/>
        <item m="1" x="4648"/>
        <item m="1" x="4165"/>
        <item m="1" x="4486"/>
        <item m="1" x="4719"/>
        <item m="1" x="4705"/>
        <item m="1" x="4089"/>
        <item m="1" x="4452"/>
        <item m="1" x="4720"/>
        <item m="1" x="4407"/>
        <item m="1" x="4074"/>
        <item m="1" x="4473"/>
        <item m="1" x="4483"/>
        <item m="1" x="4151"/>
        <item m="1" x="4651"/>
        <item m="1" x="4592"/>
        <item m="1" x="4449"/>
        <item m="1" x="4177"/>
        <item m="1" x="4268"/>
        <item m="1" x="4307"/>
        <item m="1" x="4132"/>
        <item m="1" x="4610"/>
        <item m="1" x="4247"/>
        <item m="1" x="4051"/>
        <item m="1" x="4271"/>
        <item m="1" x="4334"/>
        <item m="1" x="4044"/>
        <item m="1" x="4568"/>
        <item m="1" x="4523"/>
        <item m="1" x="4718"/>
        <item m="1" x="4645"/>
        <item m="1" x="4187"/>
        <item m="1" x="4588"/>
        <item m="1" x="4676"/>
        <item m="1" x="4175"/>
        <item m="1" x="4504"/>
        <item m="1" x="4467"/>
        <item m="1" x="4390"/>
        <item m="1" x="4054"/>
        <item m="1" x="4698"/>
        <item m="1" x="4204"/>
        <item m="1" x="4558"/>
        <item m="1" x="4553"/>
        <item m="1" x="4461"/>
        <item m="1" x="3992"/>
        <item m="1" x="4297"/>
        <item m="1" x="4357"/>
        <item m="1" x="4722"/>
        <item m="1" x="4068"/>
        <item m="1" x="4420"/>
        <item m="1" x="4659"/>
        <item m="1" x="4382"/>
        <item m="1" x="4521"/>
        <item m="1" x="4242"/>
        <item m="1" x="4716"/>
        <item m="1" x="4246"/>
        <item m="1" x="4388"/>
        <item m="1" x="4273"/>
        <item m="1" x="4310"/>
        <item m="1" x="4646"/>
        <item m="1" x="4643"/>
        <item m="1" x="4574"/>
        <item m="1" x="4725"/>
        <item m="1" x="4474"/>
        <item m="1" x="4070"/>
        <item m="1" x="4184"/>
        <item m="1" x="4196"/>
        <item m="1" x="4174"/>
        <item m="1" x="4500"/>
        <item m="1" x="4497"/>
        <item m="1" x="4471"/>
        <item m="1" x="4155"/>
        <item m="1" x="4499"/>
        <item m="1" x="4316"/>
        <item m="1" x="4152"/>
        <item m="1" x="4706"/>
        <item m="1" x="4284"/>
        <item m="1" x="4508"/>
        <item m="1" x="4227"/>
        <item m="1" x="4302"/>
        <item m="1" x="4383"/>
        <item m="1" x="4482"/>
        <item m="1" x="4017"/>
        <item m="1" x="4488"/>
        <item m="1" x="4493"/>
        <item m="1" x="3973"/>
        <item m="1" x="4652"/>
        <item m="1" x="4314"/>
        <item m="1" x="4038"/>
        <item m="1" x="4067"/>
        <item m="1" x="4380"/>
        <item m="1" x="4000"/>
        <item m="1" x="4281"/>
        <item m="1" x="4502"/>
        <item m="1" x="4528"/>
        <item m="1" x="4485"/>
        <item m="1" x="4712"/>
        <item m="1" x="4365"/>
        <item m="1" x="4366"/>
        <item m="1" x="4234"/>
        <item m="1" x="4351"/>
        <item m="1" x="4552"/>
        <item m="1" x="4179"/>
        <item m="1" x="4419"/>
        <item m="1" x="4150"/>
        <item m="1" x="4002"/>
        <item m="1" x="4494"/>
        <item m="1" x="4490"/>
        <item m="1" x="4411"/>
        <item m="1" x="4543"/>
        <item m="1" x="4091"/>
        <item m="1" x="4178"/>
        <item m="1" x="4312"/>
        <item m="1" x="4164"/>
        <item m="1" x="4220"/>
        <item m="1" x="4005"/>
        <item m="1" x="4437"/>
        <item m="1" x="4489"/>
        <item m="1" x="4206"/>
        <item m="1" x="4505"/>
        <item m="1" x="4392"/>
        <item m="1" x="4639"/>
        <item m="1" x="4451"/>
        <item m="1" x="4130"/>
        <item m="1" x="4265"/>
        <item m="1" x="4545"/>
        <item m="1" x="4540"/>
        <item m="1" x="4006"/>
        <item m="1" x="4010"/>
        <item m="1" x="4507"/>
        <item m="1" x="4439"/>
        <item m="1" x="4376"/>
        <item m="1" x="4572"/>
        <item m="1" x="4666"/>
        <item m="1" x="4063"/>
        <item m="1" x="4514"/>
        <item m="1" x="4641"/>
        <item m="1" x="4263"/>
        <item m="1" x="4191"/>
        <item m="1" x="4102"/>
        <item m="1" x="4511"/>
        <item m="1" x="4642"/>
        <item m="1" x="4484"/>
        <item m="1" x="4069"/>
        <item m="1" x="4018"/>
        <item m="1" x="4564"/>
        <item m="1" x="4389"/>
        <item m="1" x="4182"/>
        <item m="1" x="4593"/>
        <item m="1" x="4394"/>
        <item m="1" x="4045"/>
        <item m="1" x="4320"/>
        <item m="1" x="4315"/>
        <item m="1" x="4381"/>
        <item m="1" x="4101"/>
        <item m="1" x="4709"/>
        <item m="1" x="4562"/>
        <item m="1" x="4255"/>
        <item m="1" x="3982"/>
        <item m="1" x="4274"/>
        <item m="1" x="4644"/>
        <item m="1" x="4379"/>
        <item m="1" x="4417"/>
        <item m="1" x="4097"/>
        <item m="1" x="4549"/>
        <item m="1" x="4118"/>
        <item m="1" x="4011"/>
        <item m="1" x="4120"/>
        <item m="1" x="4226"/>
        <item m="1" x="4724"/>
        <item m="1" x="4721"/>
        <item m="1" x="4323"/>
        <item m="1" x="3991"/>
        <item m="1" x="4701"/>
        <item m="1" x="4313"/>
        <item m="1" x="4137"/>
        <item m="1" x="4453"/>
        <item m="1" x="4066"/>
        <item m="1" x="4264"/>
        <item m="1" x="4464"/>
        <item m="1" x="4699"/>
        <item m="1" x="4136"/>
        <item m="1" x="4454"/>
        <item m="1" x="4358"/>
        <item m="1" x="4228"/>
        <item m="1" x="4176"/>
        <item m="1" x="4697"/>
        <item m="1" x="4410"/>
        <item m="1" x="4664"/>
        <item m="1" x="4658"/>
        <item m="1" x="4115"/>
        <item m="1" x="4364"/>
        <item m="1" x="4092"/>
        <item m="1" x="4581"/>
        <item m="1" x="4492"/>
        <item m="1" x="4146"/>
        <item m="1" x="4363"/>
        <item m="1" x="4295"/>
        <item m="1" x="4053"/>
        <item m="1" x="4007"/>
        <item m="1" x="4143"/>
        <item m="1" x="4052"/>
        <item m="1" x="4003"/>
        <item m="1" x="4673"/>
        <item m="1" x="4579"/>
        <item m="1" x="4650"/>
        <item m="1" x="4055"/>
        <item m="1" x="4162"/>
        <item m="1" x="4262"/>
        <item m="1" x="4675"/>
        <item m="1" x="3993"/>
        <item m="1" x="4434"/>
        <item m="1" x="4570"/>
        <item m="1" x="4321"/>
        <item m="1" x="4496"/>
        <item m="1" x="4266"/>
        <item m="1" x="4472"/>
        <item m="1" x="4665"/>
        <item m="1" x="4526"/>
        <item m="1" x="4396"/>
        <item m="1" x="4416"/>
        <item m="1" x="4153"/>
        <item m="1" x="4660"/>
        <item m="1" x="4098"/>
        <item m="1" x="3995"/>
        <item m="1" x="4520"/>
        <item m="1" x="4299"/>
        <item m="1" x="4169"/>
        <item m="1" x="4458"/>
        <item m="1" x="4469"/>
        <item m="1" x="4377"/>
        <item m="1" x="4008"/>
        <item m="1" x="4075"/>
        <item m="1" x="4064"/>
        <item m="1" x="4586"/>
        <item m="1" x="4149"/>
        <item m="1" x="4378"/>
        <item m="1" x="4583"/>
        <item m="1" x="4590"/>
        <item m="1" x="4495"/>
        <item m="1" x="4544"/>
        <item m="1" x="4195"/>
        <item m="1" x="4591"/>
        <item m="1" x="4470"/>
        <item m="1" x="4498"/>
        <item m="1" x="4269"/>
        <item m="1" x="4584"/>
        <item m="1" x="4154"/>
        <item m="1" x="4267"/>
        <item m="1" x="4450"/>
        <item m="1" x="4272"/>
        <item m="1" x="4139"/>
        <item m="1" x="4580"/>
        <item m="1" x="4542"/>
        <item m="1" x="4296"/>
        <item m="1" x="4131"/>
        <item m="1" x="3983"/>
        <item m="1" x="4638"/>
        <item m="1" x="4260"/>
        <item m="1" x="4393"/>
        <item m="1" x="4259"/>
        <item m="1" x="4306"/>
        <item m="1" x="4476"/>
        <item m="1" x="4309"/>
        <item m="1" x="4585"/>
        <item m="1" x="3974"/>
        <item m="1" x="4076"/>
        <item m="1" x="4305"/>
        <item m="1" x="4293"/>
        <item m="1" x="4463"/>
        <item m="1" x="4261"/>
        <item m="1" x="4582"/>
        <item m="1" x="4566"/>
        <item m="1" x="4367"/>
        <item m="1" x="4020"/>
        <item m="1" x="4481"/>
        <item m="1" x="4368"/>
        <item m="1" x="4510"/>
        <item m="1" x="4479"/>
        <item m="1" x="4161"/>
        <item m="1" x="4317"/>
        <item m="1" x="4421"/>
        <item m="1" x="4674"/>
        <item m="1" x="4167"/>
        <item m="1" x="4440"/>
        <item m="1" x="4637"/>
        <item m="1" x="4100"/>
        <item m="1" x="4014"/>
        <item m="1" x="4308"/>
        <item m="1" x="4121"/>
        <item m="1" x="4292"/>
        <item m="1" x="4573"/>
        <item m="1" x="4661"/>
        <item m="1" x="4322"/>
        <item m="1" x="4428"/>
        <item m="1" x="4300"/>
        <item m="1" x="4533"/>
        <item m="1" x="4289"/>
        <item m="1" x="4468"/>
        <item m="1" x="3975"/>
        <item m="1" x="4158"/>
        <item m="1" x="4225"/>
        <item m="1" x="4144"/>
        <item m="1" x="4148"/>
        <item m="1" x="4319"/>
        <item m="1" x="4016"/>
        <item m="1" x="4004"/>
        <item m="1" x="4668"/>
        <item m="1" x="4279"/>
        <item m="1" x="4506"/>
        <item m="1" x="3998"/>
        <item m="1" x="4460"/>
        <item m="1" x="3976"/>
        <item m="1" x="4569"/>
        <item m="1" x="4253"/>
        <item m="1" x="4117"/>
        <item m="1" x="4466"/>
        <item m="1" x="4022"/>
        <item m="1" x="4331"/>
        <item m="1" x="4326"/>
        <item m="1" x="4318"/>
        <item m="1" x="4282"/>
        <item m="1" x="4527"/>
        <item m="1" x="4304"/>
        <item m="1" x="4027"/>
        <item m="1" x="4577"/>
        <item m="1" x="4166"/>
        <item m="1" x="4636"/>
        <item m="1" x="4640"/>
        <item m="1" x="4019"/>
        <item m="1" x="4023"/>
        <item m="1" x="4147"/>
        <item m="1" x="3994"/>
        <item m="1" x="4141"/>
        <item m="1" x="4477"/>
        <item m="1" x="4015"/>
        <item m="1" x="4436"/>
        <item m="1" x="4103"/>
        <item m="1" x="4329"/>
        <item m="1" x="4491"/>
        <item m="1" x="4422"/>
        <item m="1" x="4012"/>
        <item m="1" x="4301"/>
        <item m="1" x="4168"/>
        <item m="1" x="3977"/>
        <item m="1" x="4163"/>
        <item m="1" x="4109"/>
        <item m="1" x="4024"/>
        <item m="1" x="4288"/>
        <item m="1" x="4462"/>
        <item m="1" x="3984"/>
        <item m="1" x="3999"/>
        <item m="1" x="4324"/>
        <item m="1" x="4013"/>
        <item m="1" x="4459"/>
        <item m="1" x="3978"/>
        <item m="1" x="3979"/>
        <item m="1" x="4211"/>
        <item m="1" x="4327"/>
        <item m="1" x="4285"/>
        <item m="1" x="4025"/>
        <item m="1" x="4181"/>
        <item m="1" x="4723"/>
        <item m="1" x="4565"/>
        <item m="1" x="3985"/>
        <item m="1" x="4325"/>
        <item m="1" x="4026"/>
        <item m="1" x="4332"/>
        <item m="1" x="4330"/>
        <item m="1" x="4303"/>
        <item m="1" x="4277"/>
        <item m="1" x="4140"/>
        <item m="1" x="4258"/>
        <item m="1" x="4465"/>
        <item m="1" x="3997"/>
        <item m="1" x="4578"/>
        <item m="1" x="3996"/>
        <item m="1" x="4438"/>
        <item m="1" x="4145"/>
        <item m="1" x="4116"/>
        <item m="1" x="4119"/>
        <item m="1" x="4328"/>
        <item m="1" x="4669"/>
        <item m="1" x="4667"/>
        <item m="1" x="4429"/>
        <item m="1" x="4435"/>
        <item m="1" x="4290"/>
        <item m="1" x="4286"/>
        <item m="1" x="4294"/>
        <item m="1" x="4283"/>
        <item m="1" x="4280"/>
        <item m="1" x="4430"/>
        <item m="1" x="4442"/>
        <item m="1" x="3989"/>
        <item m="1" x="4110"/>
        <item m="1" x="4123"/>
        <item m="1" x="3986"/>
        <item m="1" x="3988"/>
        <item m="1" x="3987"/>
        <item m="1" x="4111"/>
        <item m="1" x="4105"/>
        <item m="1" x="4424"/>
        <item m="1" x="4670"/>
        <item m="1" x="4441"/>
        <item m="1" x="4122"/>
        <item m="1" x="3990"/>
        <item m="1" x="4278"/>
        <item m="1" x="4104"/>
        <item m="1" x="4423"/>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5"/>
        <item m="1" x="3196"/>
        <item m="1" x="3197"/>
        <item m="1" x="3198"/>
        <item m="1" x="3199"/>
        <item m="1" x="3200"/>
        <item m="1" x="3201"/>
        <item m="1" x="3202"/>
        <item m="1" x="3203"/>
        <item m="1" x="3204"/>
        <item m="1" x="3205"/>
        <item m="1" x="3206"/>
        <item m="1" x="3207"/>
        <item m="1" x="3208"/>
        <item m="1" x="3209"/>
        <item m="1" x="3210"/>
        <item m="1" x="3211"/>
        <item m="1" x="3212"/>
        <item m="1" x="3213"/>
        <item m="1" x="3214"/>
        <item m="1" x="3215"/>
        <item m="1" x="3216"/>
        <item m="1" x="3217"/>
        <item m="1" x="3218"/>
        <item m="1" x="3219"/>
        <item m="1" x="3220"/>
        <item m="1" x="3221"/>
        <item m="1" x="3222"/>
        <item m="1" x="3223"/>
        <item m="1" x="3224"/>
        <item m="1" x="3225"/>
        <item m="1" x="3226"/>
        <item m="1" x="3227"/>
        <item m="1" x="3228"/>
        <item m="1" x="3229"/>
        <item m="1" x="3230"/>
        <item m="1" x="3231"/>
        <item m="1" x="3232"/>
        <item m="1" x="3233"/>
        <item m="1" x="3234"/>
        <item m="1" x="3235"/>
        <item m="1" x="3236"/>
        <item m="1" x="3237"/>
        <item m="1" x="3238"/>
        <item m="1" x="3239"/>
        <item m="1" x="3240"/>
        <item m="1" x="3241"/>
        <item m="1" x="3242"/>
        <item m="1" x="3243"/>
        <item m="1" x="3244"/>
        <item m="1" x="3245"/>
        <item m="1" x="3246"/>
        <item m="1" x="3247"/>
        <item m="1" x="3248"/>
        <item m="1" x="3249"/>
        <item m="1" x="3250"/>
        <item m="1" x="3251"/>
        <item m="1" x="3252"/>
        <item m="1" x="3253"/>
        <item m="1" x="3254"/>
        <item m="1" x="3255"/>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2758"/>
        <item m="1" x="2769"/>
        <item m="1" x="2763"/>
        <item m="1" x="2753"/>
        <item m="1" x="2773"/>
        <item m="1" x="2755"/>
        <item m="1" x="2771"/>
        <item m="1" x="2767"/>
        <item m="1" x="2765"/>
        <item m="1" x="2760"/>
        <item m="1" x="2759"/>
        <item m="1" x="2764"/>
        <item m="1" x="2754"/>
        <item m="1" x="2770"/>
        <item m="1" x="2756"/>
        <item m="1" x="2774"/>
        <item m="1" x="2768"/>
        <item m="1" x="2766"/>
        <item m="1" x="2761"/>
        <item m="1" x="2772"/>
        <item m="1" x="2757"/>
        <item m="1" x="2762"/>
        <item m="1" x="2777"/>
        <item m="1" x="2779"/>
        <item m="1" x="2776"/>
        <item m="1" x="2778"/>
        <item m="1" x="2775"/>
        <item m="1" x="2780"/>
        <item m="1" x="2782"/>
        <item m="1" x="2783"/>
        <item m="1" x="2781"/>
        <item m="1" x="2784"/>
        <item m="1" x="2785"/>
        <item m="1" x="2788"/>
        <item m="1" x="2787"/>
        <item m="1" x="2786"/>
        <item m="1" x="2799"/>
        <item m="1" x="2797"/>
        <item m="1" x="2791"/>
        <item m="1" x="2789"/>
        <item m="1" x="2794"/>
        <item m="1" x="2798"/>
        <item m="1" x="2800"/>
        <item m="1" x="2792"/>
        <item m="1" x="2795"/>
        <item m="1" x="2790"/>
        <item m="1" x="2796"/>
        <item m="1" x="2793"/>
        <item m="1" x="2805"/>
        <item m="1" x="2802"/>
        <item m="1" x="2803"/>
        <item m="1" x="2804"/>
        <item m="1" x="2806"/>
        <item m="1" x="2801"/>
        <item m="1" x="2807"/>
        <item m="1" x="2809"/>
        <item m="1" x="2808"/>
        <item m="1" x="2810"/>
        <item m="1" x="2811"/>
        <item m="1" x="2812"/>
        <item m="1" x="3006"/>
        <item m="1" x="3005"/>
        <item m="1" x="2813"/>
        <item m="1" x="2814"/>
        <item m="1" x="2816"/>
        <item m="1" x="2815"/>
        <item m="1" x="2817"/>
        <item m="1" x="2818"/>
        <item m="1" x="3007"/>
        <item m="1" x="3008"/>
        <item m="1" x="2819"/>
        <item m="1" x="3009"/>
        <item m="1" x="3010"/>
        <item m="1" x="2821"/>
        <item m="1" x="2820"/>
        <item m="1" x="3012"/>
        <item m="1" x="3011"/>
        <item m="1" x="3013"/>
        <item m="1" x="3014"/>
        <item m="1" x="3015"/>
        <item m="1" x="3017"/>
        <item m="1" x="3016"/>
        <item m="1" x="3018"/>
        <item m="1" x="2822"/>
        <item m="1" x="2823"/>
        <item m="1" x="3021"/>
        <item m="1" x="3025"/>
        <item m="1" x="3020"/>
        <item m="1" x="3022"/>
        <item m="1" x="3019"/>
        <item m="1" x="3024"/>
        <item m="1" x="3023"/>
        <item m="1" x="3026"/>
        <item m="1" x="3027"/>
        <item m="1" x="2825"/>
        <item m="1" x="2824"/>
        <item m="1" x="3028"/>
        <item m="1" x="3029"/>
        <item m="1" x="2826"/>
        <item m="1" x="2829"/>
        <item m="1" x="2827"/>
        <item m="1" x="2828"/>
        <item m="1" x="2831"/>
        <item m="1" x="2833"/>
        <item m="1" x="2830"/>
        <item m="1" x="2832"/>
        <item m="1" x="2836"/>
        <item m="1" x="2834"/>
        <item m="1" x="2835"/>
        <item m="1" x="2837"/>
        <item m="1" x="2838"/>
        <item m="1" x="3031"/>
        <item m="1" x="3030"/>
        <item m="1" x="2839"/>
        <item m="1" x="2840"/>
        <item m="1" x="2841"/>
        <item m="1" x="3034"/>
        <item m="1" x="3033"/>
        <item m="1" x="3032"/>
        <item m="1" x="3037"/>
        <item m="1" x="3036"/>
        <item m="1" x="3035"/>
        <item m="1" x="2842"/>
        <item m="1" x="3039"/>
        <item m="1" x="3040"/>
        <item m="1" x="3038"/>
        <item m="1" x="2843"/>
        <item m="1" x="2845"/>
        <item m="1" x="2844"/>
        <item m="1" x="2847"/>
        <item m="1" x="2848"/>
        <item m="1" x="2846"/>
        <item m="1" x="2849"/>
        <item m="1" x="2851"/>
        <item m="1" x="2850"/>
        <item m="1" x="2853"/>
        <item m="1" x="2854"/>
        <item m="1" x="2852"/>
        <item m="1" x="2856"/>
        <item m="1" x="2857"/>
        <item m="1" x="2855"/>
        <item m="1" x="2858"/>
        <item m="1" x="2860"/>
        <item m="1" x="2859"/>
        <item m="1" x="3042"/>
        <item m="1" x="3043"/>
        <item m="1" x="3041"/>
        <item m="1" x="2861"/>
        <item m="1" x="2863"/>
        <item m="1" x="2862"/>
        <item m="1" x="2865"/>
        <item m="1" x="2866"/>
        <item m="1" x="2864"/>
        <item m="1" x="2867"/>
        <item m="1" x="2870"/>
        <item m="1" x="2869"/>
        <item m="1" x="2872"/>
        <item m="1" x="2868"/>
        <item m="1" x="2871"/>
        <item m="1" x="2873"/>
        <item m="1" x="2875"/>
        <item m="1" x="2874"/>
        <item m="1" x="2876"/>
        <item m="1" x="2878"/>
        <item m="1" x="2877"/>
        <item m="1" x="2880"/>
        <item m="1" x="2881"/>
        <item m="1" x="2879"/>
        <item m="1" x="2882"/>
        <item m="1" x="2884"/>
        <item m="1" x="2883"/>
        <item m="1" x="2887"/>
        <item m="1" x="2885"/>
        <item m="1" x="2889"/>
        <item m="1" x="2888"/>
        <item m="1" x="2886"/>
        <item m="1" x="2890"/>
        <item m="1" x="2891"/>
        <item m="1" x="2892"/>
        <item m="1" x="2895"/>
        <item m="1" x="2893"/>
        <item m="1" x="2894"/>
        <item m="1" x="2896"/>
        <item m="1" x="2897"/>
        <item m="1" x="2919"/>
        <item m="1" x="2916"/>
        <item m="1" x="2913"/>
        <item m="1" x="2922"/>
        <item m="1" x="2905"/>
        <item m="1" x="2902"/>
        <item m="1" x="2899"/>
        <item m="1" x="2906"/>
        <item m="1" x="2907"/>
        <item m="1" x="2918"/>
        <item m="1" x="2912"/>
        <item m="1" x="2910"/>
        <item m="1" x="2904"/>
        <item m="1" x="2921"/>
        <item m="1" x="2915"/>
        <item m="1" x="2901"/>
        <item m="1" x="2909"/>
        <item m="1" x="2920"/>
        <item m="1" x="2900"/>
        <item m="1" x="2898"/>
        <item m="1" x="2914"/>
        <item m="1" x="2911"/>
        <item m="1" x="2917"/>
        <item m="1" x="2908"/>
        <item m="1" x="2903"/>
        <item m="1" x="2923"/>
        <item m="1" x="2924"/>
        <item m="1" x="2926"/>
        <item m="1" x="2925"/>
        <item m="1" x="2928"/>
        <item m="1" x="2927"/>
        <item m="1" x="2929"/>
        <item m="1" x="2930"/>
        <item m="1" x="2931"/>
        <item m="1" x="2934"/>
        <item m="1" x="2933"/>
        <item m="1" x="2932"/>
        <item m="1" x="2938"/>
        <item m="1" x="2937"/>
        <item m="1" x="2939"/>
        <item m="1" x="2935"/>
        <item m="1" x="2936"/>
        <item m="1" x="2940"/>
        <item m="1" x="2941"/>
        <item m="1" x="2942"/>
        <item m="1" x="2943"/>
        <item m="1" x="2944"/>
        <item m="1" x="2946"/>
        <item m="1" x="2945"/>
        <item m="1" x="2947"/>
        <item m="1" x="2949"/>
        <item m="1" x="2948"/>
        <item m="1" x="2951"/>
        <item m="1" x="2952"/>
        <item m="1" x="2950"/>
        <item m="1" x="2953"/>
        <item m="1" x="2954"/>
        <item m="1" x="2955"/>
        <item m="1" x="2958"/>
        <item m="1" x="2957"/>
        <item m="1" x="2956"/>
        <item m="1" x="2959"/>
        <item m="1" x="2960"/>
        <item m="1" x="2963"/>
        <item m="1" x="2962"/>
        <item m="1" x="2961"/>
        <item m="1" x="2966"/>
        <item m="1" x="2967"/>
        <item m="1" x="2965"/>
        <item m="1" x="2964"/>
        <item m="1" x="2968"/>
        <item m="1" x="2969"/>
        <item m="1" x="2972"/>
        <item m="1" x="2971"/>
        <item m="1" x="2970"/>
        <item m="1" x="2973"/>
        <item m="1" x="2974"/>
        <item m="1" x="2975"/>
        <item m="1" x="2976"/>
        <item m="1" x="2978"/>
        <item m="1" x="2977"/>
        <item m="1" x="2979"/>
        <item m="1" x="2980"/>
        <item m="1" x="2981"/>
        <item m="1" x="2982"/>
        <item m="1" x="2984"/>
        <item m="1" x="2985"/>
        <item m="1" x="2983"/>
        <item m="1" x="2986"/>
        <item m="1" x="2989"/>
        <item m="1" x="2988"/>
        <item m="1" x="2987"/>
        <item m="1" x="2993"/>
        <item m="1" x="2990"/>
        <item m="1" x="2992"/>
        <item m="1" x="2994"/>
        <item m="1" x="2991"/>
        <item m="1" x="2995"/>
        <item m="1" x="2996"/>
        <item m="1" x="3002"/>
        <item m="1" x="3004"/>
        <item m="1" x="2998"/>
        <item m="1" x="3000"/>
        <item m="1" x="3001"/>
        <item m="1" x="3003"/>
        <item m="1" x="2997"/>
        <item m="1" x="2999"/>
        <item m="1" x="3044"/>
        <item m="1" x="3045"/>
        <item m="1" x="2342"/>
        <item m="1" x="2347"/>
        <item m="1" x="2343"/>
        <item m="1" x="2350"/>
        <item m="1" x="2340"/>
        <item m="1" x="2345"/>
        <item m="1" x="2351"/>
        <item m="1" x="2344"/>
        <item m="1" x="2352"/>
        <item m="1" x="2341"/>
        <item m="1" x="2348"/>
        <item m="1" x="2346"/>
        <item m="1" x="2353"/>
        <item m="1" x="2339"/>
        <item m="1" x="2349"/>
        <item m="1" x="2354"/>
        <item m="1" x="2355"/>
        <item m="1" x="2356"/>
        <item m="1" x="2357"/>
        <item m="1" x="2358"/>
        <item m="1" x="2359"/>
        <item m="1" x="2360"/>
        <item m="1" x="2365"/>
        <item m="1" x="2361"/>
        <item m="1" x="2362"/>
        <item m="1" x="2363"/>
        <item m="1" x="2364"/>
        <item m="1" x="2366"/>
        <item m="1" x="2368"/>
        <item m="1" x="2367"/>
        <item m="1" x="2369"/>
        <item m="1" x="2370"/>
        <item m="1" x="2371"/>
        <item m="1" x="2372"/>
        <item m="1" x="2376"/>
        <item m="1" x="2375"/>
        <item m="1" x="2378"/>
        <item m="1" x="2373"/>
        <item m="1" x="2377"/>
        <item m="1" x="2374"/>
        <item m="1" x="2379"/>
        <item m="1" x="2380"/>
        <item m="1" x="2382"/>
        <item m="1" x="2381"/>
        <item m="1" x="2389"/>
        <item m="1" x="2388"/>
        <item m="1" x="2390"/>
        <item m="1" x="2393"/>
        <item m="1" x="2394"/>
        <item m="1" x="2421"/>
        <item m="1" x="2422"/>
        <item m="1" x="2433"/>
        <item m="1" x="2432"/>
        <item m="1" x="2434"/>
        <item m="1" x="2435"/>
        <item m="1" x="2749"/>
        <item m="1" x="2750"/>
        <item m="1" x="2751"/>
        <item m="1" x="2752"/>
        <item m="1" x="2440"/>
        <item m="1" x="2441"/>
        <item m="1" x="2442"/>
        <item m="1" x="2458"/>
        <item m="1" x="2457"/>
        <item m="1" x="2459"/>
        <item m="1" x="2472"/>
        <item m="1" x="2478"/>
        <item m="1" x="2477"/>
        <item m="1" x="2476"/>
        <item m="1" x="2481"/>
        <item m="1" x="2479"/>
        <item m="1" x="2480"/>
        <item m="1" x="2484"/>
        <item m="1" x="2483"/>
        <item m="1" x="2482"/>
        <item m="1" x="2487"/>
        <item m="1" x="2485"/>
        <item m="1" x="2486"/>
        <item m="1" x="2491"/>
        <item m="1" x="2492"/>
        <item m="1" x="2493"/>
        <item m="1" x="2496"/>
        <item m="1" x="2495"/>
        <item m="1" x="2494"/>
        <item m="1" x="2500"/>
        <item m="1" x="2502"/>
        <item m="1" x="2501"/>
        <item m="1" x="2504"/>
        <item m="1" x="2503"/>
        <item m="1" x="2505"/>
        <item m="1" x="2507"/>
        <item m="1" x="2510"/>
        <item m="1" x="2508"/>
        <item m="1" x="2509"/>
        <item m="1" x="2511"/>
        <item m="1" x="2506"/>
        <item m="1" x="2516"/>
        <item m="1" x="2517"/>
        <item m="1" x="2515"/>
        <item m="1" x="2522"/>
        <item m="1" x="2523"/>
        <item m="1" x="2521"/>
        <item m="1" x="2525"/>
        <item m="1" x="2524"/>
        <item m="1" x="2526"/>
        <item m="1" x="2534"/>
        <item m="1" x="2535"/>
        <item m="1" x="2533"/>
        <item m="1" x="2536"/>
        <item m="1" x="2537"/>
        <item m="1" x="2571"/>
        <item m="1" x="2573"/>
        <item m="1" x="2572"/>
        <item m="1" x="2575"/>
        <item m="1" x="2574"/>
        <item m="1" x="2576"/>
        <item m="1" x="2578"/>
        <item m="1" x="2577"/>
        <item m="1" x="2592"/>
        <item m="1" x="2584"/>
        <item m="1" x="2581"/>
        <item m="1" x="2585"/>
        <item m="1" x="2591"/>
        <item m="1" x="2583"/>
        <item m="1" x="2588"/>
        <item m="1" x="2595"/>
        <item m="1" x="2580"/>
        <item m="1" x="2586"/>
        <item m="1" x="2596"/>
        <item m="1" x="2582"/>
        <item m="1" x="2589"/>
        <item m="1" x="2587"/>
        <item m="1" x="2593"/>
        <item m="1" x="2597"/>
        <item m="1" x="2579"/>
        <item m="1" x="2590"/>
        <item m="1" x="2594"/>
        <item m="1" x="2598"/>
        <item m="1" x="2600"/>
        <item m="1" x="2599"/>
        <item m="1" x="2601"/>
        <item m="1" x="2602"/>
        <item m="1" x="2604"/>
        <item m="1" x="2603"/>
        <item m="1" x="2605"/>
        <item m="1" x="2606"/>
        <item m="1" x="2607"/>
        <item m="1" x="2609"/>
        <item m="1" x="2610"/>
        <item m="1" x="2608"/>
        <item m="1" x="2617"/>
        <item m="1" x="2611"/>
        <item m="1" x="2614"/>
        <item m="1" x="2615"/>
        <item m="1" x="2612"/>
        <item m="1" x="2613"/>
        <item m="1" x="2616"/>
        <item m="1" x="2619"/>
        <item m="1" x="2618"/>
        <item m="1" x="2620"/>
        <item m="1" x="2622"/>
        <item m="1" x="2621"/>
        <item m="1" x="2624"/>
        <item m="1" x="2623"/>
        <item m="1" x="2625"/>
        <item m="1" x="2626"/>
        <item m="1" x="2627"/>
        <item m="1" x="2632"/>
        <item m="1" x="2633"/>
        <item m="1" x="2635"/>
        <item m="1" x="2634"/>
        <item m="1" x="2636"/>
        <item m="1" x="2637"/>
        <item m="1" x="2639"/>
        <item m="1" x="2640"/>
        <item m="1" x="2638"/>
        <item m="1" x="2641"/>
        <item m="1" x="2642"/>
        <item m="1" x="2644"/>
        <item m="1" x="2645"/>
        <item m="1" x="2643"/>
        <item m="1" x="2650"/>
        <item m="1" x="2649"/>
        <item m="1" x="2654"/>
        <item m="1" x="2651"/>
        <item m="1" x="2653"/>
        <item m="1" x="2652"/>
        <item m="1" x="2656"/>
        <item m="1" x="2655"/>
        <item m="1" x="2657"/>
        <item m="1" x="2658"/>
        <item m="1" x="2659"/>
        <item m="1" x="2660"/>
        <item m="1" x="2661"/>
        <item m="1" x="2662"/>
        <item m="1" x="2664"/>
        <item m="1" x="2663"/>
        <item m="1" x="2666"/>
        <item m="1" x="2665"/>
        <item m="1" x="2668"/>
        <item m="1" x="2667"/>
        <item m="1" x="2670"/>
        <item m="1" x="2674"/>
        <item m="1" x="2675"/>
        <item m="1" x="2669"/>
        <item m="1" x="2672"/>
        <item m="1" x="2671"/>
        <item m="1" x="2673"/>
        <item m="1" x="2676"/>
        <item m="1" x="2680"/>
        <item m="1" x="2678"/>
        <item m="1" x="2679"/>
        <item m="1" x="2677"/>
        <item m="1" x="2682"/>
        <item m="1" x="2683"/>
        <item m="1" x="2681"/>
        <item m="1" x="2687"/>
        <item m="1" x="2685"/>
        <item m="1" x="2684"/>
        <item m="1" x="2686"/>
        <item m="1" x="2741"/>
        <item m="1" x="2743"/>
        <item m="1" x="2746"/>
        <item m="1" x="2744"/>
        <item m="1" x="2745"/>
        <item m="1" x="2742"/>
        <item m="1" x="2748"/>
        <item m="1" x="2747"/>
        <item m="1" x="2383"/>
        <item m="1" x="2384"/>
        <item m="1" x="2385"/>
        <item m="1" x="2386"/>
        <item m="1" x="2387"/>
        <item m="1" x="2391"/>
        <item m="1" x="2392"/>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3"/>
        <item m="1" x="2424"/>
        <item m="1" x="2425"/>
        <item m="1" x="2426"/>
        <item m="1" x="2427"/>
        <item m="1" x="2428"/>
        <item m="1" x="2429"/>
        <item m="1" x="2430"/>
        <item m="1" x="2431"/>
        <item m="1" x="2436"/>
        <item m="1" x="2437"/>
        <item m="1" x="2438"/>
        <item m="1" x="2439"/>
        <item m="1" x="2443"/>
        <item m="1" x="2444"/>
        <item m="1" x="2445"/>
        <item m="1" x="2446"/>
        <item m="1" x="2447"/>
        <item m="1" x="2448"/>
        <item m="1" x="2449"/>
        <item m="1" x="2450"/>
        <item m="1" x="2451"/>
        <item m="1" x="2452"/>
        <item m="1" x="2453"/>
        <item m="1" x="2454"/>
        <item m="1" x="2455"/>
        <item m="1" x="2456"/>
        <item m="1" x="2460"/>
        <item m="1" x="2461"/>
        <item m="1" x="2462"/>
        <item m="1" x="2463"/>
        <item m="1" x="2464"/>
        <item m="1" x="2465"/>
        <item m="1" x="2466"/>
        <item m="1" x="2467"/>
        <item m="1" x="2468"/>
        <item m="1" x="2469"/>
        <item m="1" x="2470"/>
        <item m="1" x="2471"/>
        <item m="1" x="2473"/>
        <item m="1" x="2474"/>
        <item m="1" x="2475"/>
        <item m="1" x="2488"/>
        <item m="1" x="2489"/>
        <item m="1" x="2490"/>
        <item m="1" x="2497"/>
        <item m="1" x="2498"/>
        <item m="1" x="2499"/>
        <item m="1" x="2512"/>
        <item m="1" x="2513"/>
        <item m="1" x="2514"/>
        <item m="1" x="2518"/>
        <item m="1" x="2519"/>
        <item m="1" x="2520"/>
        <item m="1" x="2527"/>
        <item m="1" x="2528"/>
        <item m="1" x="2529"/>
        <item m="1" x="2530"/>
        <item m="1" x="2531"/>
        <item m="1" x="2532"/>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628"/>
        <item m="1" x="2629"/>
        <item m="1" x="2630"/>
        <item m="1" x="2631"/>
        <item m="1" x="2646"/>
        <item m="1" x="2647"/>
        <item m="1" x="2648"/>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095"/>
        <item m="1" x="1096"/>
        <item m="1" x="1097"/>
        <item m="1" x="1098"/>
        <item m="1" x="1099"/>
        <item m="1" x="1100"/>
        <item m="1" x="1107"/>
        <item m="1" x="1108"/>
        <item m="1" x="1109"/>
        <item m="1" x="1110"/>
        <item m="1" x="1111"/>
        <item m="1" x="1112"/>
        <item m="1" x="1101"/>
        <item m="1" x="1102"/>
        <item m="1" x="1103"/>
        <item m="1" x="1104"/>
        <item m="1" x="1105"/>
        <item m="1" x="1106"/>
        <item m="1" x="1113"/>
        <item m="1" x="1114"/>
        <item m="1" x="1115"/>
        <item m="1" x="1116"/>
        <item m="1" x="1117"/>
        <item m="1" x="1118"/>
        <item m="1" x="1119"/>
        <item m="1" x="1121"/>
        <item m="1" x="1122"/>
        <item m="1" x="1120"/>
        <item m="1" x="1123"/>
        <item m="1" x="1124"/>
        <item m="1" x="1127"/>
        <item m="1" x="1128"/>
        <item m="1" x="1125"/>
        <item m="1" x="1126"/>
        <item m="1" x="1133"/>
        <item m="1" x="1134"/>
        <item m="1" x="1129"/>
        <item m="1" x="1130"/>
        <item m="1" x="1131"/>
        <item m="1" x="1132"/>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6"/>
        <item m="1" x="1185"/>
        <item m="1" x="1187"/>
        <item m="1" x="1192"/>
        <item m="1" x="1193"/>
        <item m="1" x="1190"/>
        <item m="1" x="1191"/>
        <item m="1" x="1188"/>
        <item m="1" x="1189"/>
        <item m="1" x="1194"/>
        <item m="1" x="1195"/>
        <item m="1" x="1196"/>
        <item m="1" x="1197"/>
        <item m="1" x="1198"/>
        <item m="1" x="1201"/>
        <item m="1" x="1202"/>
        <item m="1" x="1199"/>
        <item m="1" x="1200"/>
        <item m="1" x="1203"/>
        <item m="1" x="1204"/>
        <item m="1" x="1205"/>
        <item m="1" x="1206"/>
        <item m="1" x="1207"/>
        <item m="1" x="1208"/>
        <item m="1" x="1211"/>
        <item m="1" x="1212"/>
        <item m="1" x="1209"/>
        <item m="1" x="1210"/>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5"/>
        <item m="1" x="1276"/>
        <item m="1" x="1274"/>
        <item m="1" x="1279"/>
        <item m="1" x="1277"/>
        <item m="1" x="1278"/>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9"/>
        <item m="1" x="1308"/>
        <item m="1" x="1310"/>
        <item m="1" x="1311"/>
        <item m="1" x="1312"/>
        <item m="1" x="1313"/>
        <item m="1" x="1314"/>
        <item m="1" x="1315"/>
        <item m="1" x="1316"/>
        <item m="1" x="1317"/>
        <item m="1" x="1318"/>
        <item m="1" x="1319"/>
        <item m="1" x="1320"/>
        <item m="1" x="1321"/>
        <item m="1" x="1322"/>
        <item m="1" x="1323"/>
        <item m="1" x="1324"/>
        <item m="1" x="1325"/>
        <item m="1" x="1328"/>
        <item m="1" x="1326"/>
        <item m="1" x="1327"/>
        <item m="1" x="1329"/>
        <item m="1" x="1330"/>
        <item m="1" x="1332"/>
        <item m="1" x="1331"/>
        <item m="1" x="1335"/>
        <item m="1" x="1333"/>
        <item m="1" x="1334"/>
        <item m="1" x="1336"/>
        <item m="1" x="1337"/>
        <item m="1" x="1338"/>
        <item m="1" x="1339"/>
        <item m="1" x="1340"/>
        <item m="1" x="1341"/>
        <item m="1" x="1343"/>
        <item m="1" x="1354"/>
        <item m="1" x="1352"/>
        <item m="1" x="1353"/>
        <item m="1" x="1350"/>
        <item m="1" x="1351"/>
        <item m="1" x="1344"/>
        <item m="1" x="1345"/>
        <item m="1" x="1346"/>
        <item m="1" x="1347"/>
        <item m="1" x="1348"/>
        <item m="1" x="1349"/>
        <item m="1" x="1342"/>
        <item m="1" x="1355"/>
        <item m="1" x="1356"/>
        <item m="1" x="1357"/>
        <item m="1" x="1358"/>
        <item m="1" x="1359"/>
        <item m="1" x="1360"/>
        <item m="1" x="1361"/>
        <item m="1" x="1362"/>
        <item m="1" x="1363"/>
        <item m="1" x="1364"/>
        <item m="1" x="1365"/>
        <item m="1" x="1366"/>
        <item m="1" x="1367"/>
        <item m="1" x="1369"/>
        <item m="1" x="1368"/>
        <item m="1" x="1371"/>
        <item m="1" x="1372"/>
        <item m="1" x="1370"/>
        <item m="1" x="1373"/>
        <item m="1" x="1374"/>
        <item m="1" x="1375"/>
        <item m="1" x="1376"/>
        <item m="1" x="1377"/>
        <item m="1" x="1378"/>
        <item m="1" x="1379"/>
        <item m="1" x="1380"/>
        <item m="1" x="1381"/>
        <item m="1" x="1384"/>
        <item m="1" x="1385"/>
        <item m="1" x="1382"/>
        <item m="1" x="1383"/>
        <item m="1" x="1387"/>
        <item m="1" x="1386"/>
        <item m="1" x="1390"/>
        <item m="1" x="1391"/>
        <item m="1" x="1392"/>
        <item m="1" x="1393"/>
        <item m="1" x="1395"/>
        <item m="1" x="1396"/>
        <item m="1" x="1394"/>
        <item m="1" x="1399"/>
        <item m="1" x="1397"/>
        <item m="1" x="1398"/>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7"/>
        <item m="1" x="1428"/>
        <item m="1" x="1426"/>
        <item m="1" x="1429"/>
        <item m="1" x="1430"/>
        <item m="1" x="1431"/>
        <item m="1" x="1432"/>
        <item m="1" x="1433"/>
        <item m="1" x="1434"/>
        <item m="1" x="1435"/>
        <item m="1" x="1437"/>
        <item m="1" x="1438"/>
        <item m="1" x="1436"/>
        <item m="1" x="1440"/>
        <item m="1" x="1441"/>
        <item m="1" x="1439"/>
        <item m="1" x="1442"/>
        <item m="1" x="1443"/>
        <item m="1" x="1444"/>
        <item m="1" x="1445"/>
        <item m="1" x="1446"/>
        <item m="1" x="1447"/>
        <item m="1" x="1448"/>
        <item m="1" x="1451"/>
        <item m="1" x="1449"/>
        <item m="1" x="1450"/>
        <item m="1" x="1452"/>
        <item m="1" x="1456"/>
        <item m="1" x="1453"/>
        <item m="1" x="1454"/>
        <item m="1" x="1455"/>
        <item m="1" x="1463"/>
        <item m="1" x="1464"/>
        <item m="1" x="1462"/>
        <item m="1" x="1459"/>
        <item m="1" x="1460"/>
        <item m="1" x="1461"/>
        <item m="1" x="1457"/>
        <item m="1" x="1458"/>
        <item m="1" x="1465"/>
        <item m="1" x="1466"/>
        <item m="1" x="1467"/>
        <item m="1" x="1468"/>
        <item m="1" x="1469"/>
        <item m="1" x="1470"/>
        <item m="1" x="1471"/>
        <item m="1" x="1472"/>
        <item m="1" x="1473"/>
        <item m="1" x="1474"/>
        <item m="1" x="1475"/>
        <item m="1" x="1476"/>
        <item m="1" x="1477"/>
        <item m="1" x="1478"/>
        <item m="1" x="1479"/>
        <item m="1" x="1480"/>
        <item m="1" x="1481"/>
        <item m="1" x="1482"/>
        <item m="1" x="1483"/>
        <item m="1" x="1062"/>
        <item m="1" x="1484"/>
        <item m="1" x="1485"/>
        <item m="1" x="1486"/>
        <item m="1" x="1488"/>
        <item m="1" x="1487"/>
        <item m="1" x="1489"/>
        <item m="1" x="1490"/>
        <item m="1" x="1491"/>
        <item m="1" x="1492"/>
        <item m="1" x="1493"/>
        <item m="1" x="1494"/>
        <item m="1" x="1496"/>
        <item m="1" x="1495"/>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23"/>
        <item m="1" x="1524"/>
        <item m="1" x="1525"/>
        <item m="1" x="1521"/>
        <item m="1" x="1522"/>
        <item m="1" x="1517"/>
        <item m="1" x="1518"/>
        <item m="1" x="1519"/>
        <item m="1" x="1520"/>
        <item m="1" x="1526"/>
        <item m="1" x="1527"/>
        <item m="1" x="1388"/>
        <item m="1" x="1389"/>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924"/>
        <item m="1" x="925"/>
        <item m="1" x="926"/>
        <item m="1" x="927"/>
        <item m="1" x="928"/>
        <item m="1" x="500"/>
        <item m="1" x="501"/>
        <item m="1" x="502"/>
        <item m="1" x="503"/>
        <item m="1" x="504"/>
        <item m="1" x="505"/>
        <item m="1" x="929"/>
        <item m="1" x="930"/>
        <item m="1" x="508"/>
        <item m="1" x="509"/>
        <item m="1" x="931"/>
        <item m="1" x="932"/>
        <item m="1" x="933"/>
        <item m="1" x="934"/>
        <item m="1" x="935"/>
        <item m="1" x="936"/>
        <item m="1" x="937"/>
        <item m="1" x="938"/>
        <item m="1" x="939"/>
        <item m="1" x="940"/>
        <item m="1" x="941"/>
        <item m="1" x="942"/>
        <item m="1" x="943"/>
        <item m="1" x="944"/>
        <item m="1" x="945"/>
        <item m="1" x="946"/>
        <item m="1" x="947"/>
        <item m="1" x="948"/>
        <item m="1" x="949"/>
        <item m="1" x="950"/>
        <item m="1" x="530"/>
        <item m="1" x="531"/>
        <item m="1" x="532"/>
        <item m="1" x="533"/>
        <item m="1" x="951"/>
        <item m="1" x="535"/>
        <item m="1" x="536"/>
        <item m="1" x="537"/>
        <item m="1" x="538"/>
        <item m="1" x="539"/>
        <item m="1" x="952"/>
        <item m="1" x="953"/>
        <item m="1" x="542"/>
        <item m="1" x="543"/>
        <item m="1" x="906"/>
        <item m="1" x="954"/>
        <item m="1" x="955"/>
        <item m="1" x="956"/>
        <item m="1" x="957"/>
        <item m="1" x="958"/>
        <item m="1" x="959"/>
        <item m="1" x="551"/>
        <item m="1" x="552"/>
        <item m="1" x="907"/>
        <item m="1" x="908"/>
        <item m="1" x="909"/>
        <item m="1" x="910"/>
        <item m="1" x="557"/>
        <item m="1" x="558"/>
        <item m="1" x="911"/>
        <item m="1" x="912"/>
        <item m="1" x="913"/>
        <item m="1" x="914"/>
        <item m="1" x="960"/>
        <item m="1" x="961"/>
        <item m="1" x="962"/>
        <item m="1" x="963"/>
        <item m="1" x="964"/>
        <item m="1" x="965"/>
        <item m="1" x="966"/>
        <item m="1" x="967"/>
        <item m="1" x="968"/>
        <item m="1" x="969"/>
        <item m="1" x="970"/>
        <item m="1" x="574"/>
        <item m="1" x="575"/>
        <item m="1" x="576"/>
        <item m="1" x="971"/>
        <item m="1" x="972"/>
        <item m="1" x="973"/>
        <item m="1" x="974"/>
        <item m="1" x="975"/>
        <item m="1" x="976"/>
        <item m="1" x="977"/>
        <item m="1" x="978"/>
        <item m="1" x="979"/>
        <item m="1" x="586"/>
        <item m="1" x="587"/>
        <item m="1" x="588"/>
        <item m="1" x="980"/>
        <item m="1" x="981"/>
        <item m="1" x="982"/>
        <item m="1" x="915"/>
        <item m="1" x="916"/>
        <item m="1" x="917"/>
        <item m="1" x="595"/>
        <item m="1" x="596"/>
        <item m="1" x="597"/>
        <item m="1" x="598"/>
        <item m="1" x="599"/>
        <item m="1" x="600"/>
        <item m="1" x="601"/>
        <item m="1" x="602"/>
        <item m="1" x="603"/>
        <item m="1" x="983"/>
        <item m="1" x="984"/>
        <item m="1" x="985"/>
        <item m="1" x="986"/>
        <item m="1" x="987"/>
        <item m="1" x="988"/>
        <item m="1" x="989"/>
        <item m="1" x="990"/>
        <item m="1" x="991"/>
        <item m="1" x="613"/>
        <item m="1" x="614"/>
        <item m="1" x="615"/>
        <item m="1" x="616"/>
        <item m="1" x="617"/>
        <item m="1" x="618"/>
        <item m="1" x="619"/>
        <item m="1" x="620"/>
        <item m="1" x="621"/>
        <item m="1" x="622"/>
        <item m="1" x="626"/>
        <item m="1" x="627"/>
        <item m="1" x="628"/>
        <item m="1" x="992"/>
        <item m="1" x="993"/>
        <item m="1" x="994"/>
        <item m="1" x="632"/>
        <item m="1" x="633"/>
        <item m="1" x="634"/>
        <item m="1" x="995"/>
        <item m="1" x="996"/>
        <item m="1" x="997"/>
        <item m="1" x="638"/>
        <item m="1" x="639"/>
        <item m="1" x="640"/>
        <item m="1" x="641"/>
        <item m="1" x="642"/>
        <item m="1" x="643"/>
        <item m="1" x="998"/>
        <item m="1" x="999"/>
        <item m="1" x="1000"/>
        <item m="1" x="1001"/>
        <item m="1" x="1002"/>
        <item m="1" x="1003"/>
        <item m="1" x="650"/>
        <item m="1" x="651"/>
        <item m="1" x="652"/>
        <item m="1" x="653"/>
        <item m="1" x="654"/>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686"/>
        <item m="1" x="687"/>
        <item m="1" x="688"/>
        <item m="1" x="689"/>
        <item m="1" x="690"/>
        <item m="1" x="691"/>
        <item m="1" x="692"/>
        <item m="1" x="693"/>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1035"/>
        <item m="1" x="1036"/>
        <item m="1" x="756"/>
        <item m="1" x="757"/>
        <item m="1" x="758"/>
        <item m="1" x="759"/>
        <item m="1" x="760"/>
        <item m="1" x="761"/>
        <item m="1" x="762"/>
        <item m="1" x="763"/>
        <item m="1" x="764"/>
        <item m="1" x="765"/>
        <item m="1" x="1037"/>
        <item m="1" x="1038"/>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1039"/>
        <item m="1" x="1040"/>
        <item m="1" x="1041"/>
        <item m="1" x="795"/>
        <item m="1" x="796"/>
        <item m="1" x="797"/>
        <item m="1" x="798"/>
        <item m="1" x="799"/>
        <item m="1" x="800"/>
        <item m="1" x="801"/>
        <item m="1" x="802"/>
        <item m="1" x="803"/>
        <item m="1" x="804"/>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894"/>
        <item m="1" x="895"/>
        <item m="1" x="896"/>
        <item m="1" x="897"/>
        <item m="1" x="898"/>
        <item m="1" x="899"/>
        <item m="1" x="900"/>
        <item m="1" x="901"/>
        <item m="1" x="902"/>
        <item m="1" x="903"/>
        <item m="1" x="904"/>
        <item m="1" x="905"/>
        <item m="1" x="623"/>
        <item m="1" x="624"/>
        <item m="1" x="625"/>
        <item m="1" x="805"/>
        <item m="1" x="806"/>
        <item m="1" x="807"/>
        <item m="1" x="495"/>
        <item m="1" x="496"/>
        <item m="1" x="497"/>
        <item m="1" x="498"/>
        <item m="1" x="499"/>
        <item m="1" x="506"/>
        <item m="1" x="507"/>
        <item m="1" x="510"/>
        <item m="1" x="511"/>
        <item m="1" x="512"/>
        <item m="1" x="513"/>
        <item m="1" x="514"/>
        <item m="1" x="515"/>
        <item m="1" x="516"/>
        <item m="1" x="517"/>
        <item m="1" x="518"/>
        <item m="1" x="519"/>
        <item m="1" x="520"/>
        <item m="1" x="521"/>
        <item m="1" x="522"/>
        <item m="1" x="523"/>
        <item m="1" x="524"/>
        <item m="1" x="525"/>
        <item m="1" x="526"/>
        <item m="1" x="527"/>
        <item m="1" x="528"/>
        <item m="1" x="529"/>
        <item m="1" x="534"/>
        <item m="1" x="540"/>
        <item m="1" x="541"/>
        <item m="1" x="545"/>
        <item m="1" x="546"/>
        <item m="1" x="547"/>
        <item m="1" x="548"/>
        <item m="1" x="549"/>
        <item m="1" x="550"/>
        <item m="1" x="563"/>
        <item m="1" x="564"/>
        <item m="1" x="565"/>
        <item m="1" x="566"/>
        <item m="1" x="567"/>
        <item m="1" x="568"/>
        <item m="1" x="569"/>
        <item m="1" x="570"/>
        <item m="1" x="571"/>
        <item m="1" x="572"/>
        <item m="1" x="573"/>
        <item m="1" x="577"/>
        <item m="1" x="578"/>
        <item m="1" x="579"/>
        <item m="1" x="580"/>
        <item m="1" x="581"/>
        <item m="1" x="582"/>
        <item m="1" x="583"/>
        <item m="1" x="584"/>
        <item m="1" x="585"/>
        <item m="1" x="589"/>
        <item m="1" x="590"/>
        <item m="1" x="591"/>
        <item m="1" x="604"/>
        <item m="1" x="605"/>
        <item m="1" x="606"/>
        <item m="1" x="918"/>
        <item m="1" x="919"/>
        <item m="1" x="920"/>
        <item m="1" x="921"/>
        <item m="1" x="922"/>
        <item m="1" x="923"/>
        <item m="1" x="629"/>
        <item m="1" x="630"/>
        <item m="1" x="631"/>
        <item m="1" x="635"/>
        <item m="1" x="636"/>
        <item m="1" x="637"/>
        <item m="1" x="644"/>
        <item m="1" x="645"/>
        <item m="1" x="646"/>
        <item m="1" x="647"/>
        <item m="1" x="648"/>
        <item m="1" x="649"/>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94"/>
        <item m="1" x="695"/>
        <item m="1" x="754"/>
        <item m="1" x="755"/>
        <item m="1" x="766"/>
        <item m="1" x="767"/>
        <item m="1" x="792"/>
        <item m="1" x="793"/>
        <item m="1" x="794"/>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544"/>
        <item m="1" x="553"/>
        <item m="1" x="554"/>
        <item m="1" x="555"/>
        <item m="1" x="556"/>
        <item m="1" x="559"/>
        <item m="1" x="560"/>
        <item m="1" x="561"/>
        <item m="1" x="562"/>
        <item m="1" x="592"/>
        <item m="1" x="593"/>
        <item m="1" x="594"/>
        <item m="1" x="607"/>
        <item m="1" x="608"/>
        <item m="1" x="609"/>
        <item m="1" x="610"/>
        <item m="1" x="611"/>
        <item m="1" x="6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t="default"/>
      </items>
    </pivotField>
    <pivotField numFmtId="172" showAll="0"/>
    <pivotField showAll="0"/>
    <pivotField showAll="0"/>
    <pivotField axis="axisRow" showAll="0">
      <items count="13">
        <item x="0"/>
        <item x="4"/>
        <item x="2"/>
        <item x="3"/>
        <item x="1"/>
        <item x="6"/>
        <item x="8"/>
        <item x="7"/>
        <item m="1" x="11"/>
        <item x="5"/>
        <item x="10"/>
        <item x="9"/>
        <item t="default"/>
      </items>
    </pivotField>
    <pivotField numFmtId="172" showAll="0"/>
    <pivotField showAll="0"/>
    <pivotField axis="axisRow" showAll="0">
      <items count="10">
        <item m="1" x="8"/>
        <item x="3"/>
        <item x="5"/>
        <item x="1"/>
        <item x="7"/>
        <item x="0"/>
        <item x="2"/>
        <item x="6"/>
        <item x="4"/>
        <item t="default"/>
      </items>
    </pivotField>
  </pivotFields>
  <rowFields count="2">
    <field x="39"/>
    <field x="42"/>
  </rowFields>
  <rowItems count="30">
    <i>
      <x/>
    </i>
    <i r="1">
      <x v="5"/>
    </i>
    <i>
      <x v="1"/>
    </i>
    <i r="1">
      <x v="3"/>
    </i>
    <i r="1">
      <x v="6"/>
    </i>
    <i>
      <x v="2"/>
    </i>
    <i r="1">
      <x v="3"/>
    </i>
    <i r="1">
      <x v="5"/>
    </i>
    <i>
      <x v="3"/>
    </i>
    <i r="1">
      <x v="3"/>
    </i>
    <i r="1">
      <x v="6"/>
    </i>
    <i>
      <x v="4"/>
    </i>
    <i r="1">
      <x v="2"/>
    </i>
    <i r="1">
      <x v="4"/>
    </i>
    <i r="1">
      <x v="5"/>
    </i>
    <i r="1">
      <x v="7"/>
    </i>
    <i>
      <x v="5"/>
    </i>
    <i r="1">
      <x v="2"/>
    </i>
    <i r="1">
      <x v="3"/>
    </i>
    <i r="1">
      <x v="6"/>
    </i>
    <i>
      <x v="6"/>
    </i>
    <i r="1">
      <x v="2"/>
    </i>
    <i r="1">
      <x v="7"/>
    </i>
    <i>
      <x v="7"/>
    </i>
    <i r="1">
      <x v="8"/>
    </i>
    <i>
      <x v="10"/>
    </i>
    <i r="1">
      <x v="1"/>
    </i>
    <i>
      <x v="11"/>
    </i>
    <i r="1">
      <x v="7"/>
    </i>
    <i t="grand">
      <x/>
    </i>
  </rowItems>
  <colItems count="1">
    <i/>
  </colItems>
  <pageFields count="2">
    <pageField fld="2" hier="-1"/>
    <pageField fld="35" hier="-1"/>
  </pageFields>
  <dataFields count="1">
    <dataField name="Sum of Inv MM$" fld="28" baseField="0" baseItem="0" numFmtId="43"/>
  </dataFields>
  <formats count="2">
    <format dxfId="11">
      <pivotArea outline="0" collapsedLevelsAreSubtotals="1" fieldPosition="0"/>
    </format>
    <format dxfId="10">
      <pivotArea dataOnly="0" labelOnly="1" fieldPosition="0">
        <references count="2">
          <reference field="39" count="1" selected="0">
            <x v="0"/>
          </reference>
          <reference field="42" count="1">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6C8152A-A18A-4A9B-B26E-5E861C23BC5E}" name="PivotTable5"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9">
  <location ref="Z80:AC87" firstHeaderRow="0" firstDataRow="1" firstDataCol="1" rowPageCount="4" colPageCount="1"/>
  <pivotFields count="43">
    <pivotField showAll="0"/>
    <pivotField showAll="0"/>
    <pivotField axis="axisPage" multipleItemSelectionAllowed="1" showAll="0">
      <items count="5">
        <item h="1" x="2"/>
        <item x="1"/>
        <item x="0"/>
        <item x="3"/>
        <item t="default"/>
      </items>
    </pivotField>
    <pivotField showAll="0"/>
    <pivotField showAll="0"/>
    <pivotField axis="axisRow" showAll="0" sortType="ascending">
      <items count="203">
        <item x="201"/>
        <item x="84"/>
        <item x="83"/>
        <item x="82"/>
        <item x="69"/>
        <item x="41"/>
        <item x="113"/>
        <item x="27"/>
        <item x="49"/>
        <item x="145"/>
        <item x="146"/>
        <item x="181"/>
        <item x="173"/>
        <item x="193"/>
        <item x="175"/>
        <item x="99"/>
        <item x="98"/>
        <item x="170"/>
        <item x="196"/>
        <item x="166"/>
        <item x="178"/>
        <item x="68"/>
        <item x="179"/>
        <item x="92"/>
        <item x="137"/>
        <item x="52"/>
        <item x="10"/>
        <item x="12"/>
        <item x="16"/>
        <item x="11"/>
        <item x="15"/>
        <item x="14"/>
        <item x="17"/>
        <item x="96"/>
        <item x="97"/>
        <item x="8"/>
        <item x="85"/>
        <item x="75"/>
        <item x="105"/>
        <item x="106"/>
        <item x="107"/>
        <item x="102"/>
        <item x="198"/>
        <item x="104"/>
        <item x="103"/>
        <item x="195"/>
        <item x="130"/>
        <item x="147"/>
        <item x="149"/>
        <item x="28"/>
        <item x="66"/>
        <item x="186"/>
        <item x="73"/>
        <item x="185"/>
        <item x="44"/>
        <item x="67"/>
        <item x="53"/>
        <item x="188"/>
        <item x="43"/>
        <item x="180"/>
        <item x="171"/>
        <item x="191"/>
        <item x="54"/>
        <item x="184"/>
        <item x="125"/>
        <item x="148"/>
        <item x="144"/>
        <item x="115"/>
        <item x="199"/>
        <item x="55"/>
        <item x="56"/>
        <item x="63"/>
        <item x="200"/>
        <item x="57"/>
        <item x="86"/>
        <item x="87"/>
        <item x="88"/>
        <item x="46"/>
        <item x="109"/>
        <item x="35"/>
        <item x="65"/>
        <item x="123"/>
        <item x="194"/>
        <item x="136"/>
        <item x="133"/>
        <item x="134"/>
        <item x="135"/>
        <item x="0"/>
        <item x="2"/>
        <item x="1"/>
        <item x="3"/>
        <item x="4"/>
        <item x="150"/>
        <item x="151"/>
        <item x="58"/>
        <item x="116"/>
        <item x="9"/>
        <item x="7"/>
        <item x="5"/>
        <item x="183"/>
        <item x="190"/>
        <item x="21"/>
        <item x="72"/>
        <item x="40"/>
        <item x="70"/>
        <item x="23"/>
        <item x="22"/>
        <item x="45"/>
        <item x="37"/>
        <item x="36"/>
        <item x="59"/>
        <item x="42"/>
        <item x="24"/>
        <item x="114"/>
        <item x="131"/>
        <item x="122"/>
        <item x="19"/>
        <item x="138"/>
        <item x="152"/>
        <item x="100"/>
        <item x="78"/>
        <item x="182"/>
        <item x="128"/>
        <item x="197"/>
        <item x="90"/>
        <item x="89"/>
        <item x="127"/>
        <item x="153"/>
        <item x="126"/>
        <item x="174"/>
        <item x="13"/>
        <item x="140"/>
        <item x="32"/>
        <item x="79"/>
        <item x="74"/>
        <item x="121"/>
        <item x="33"/>
        <item x="64"/>
        <item x="129"/>
        <item x="141"/>
        <item x="142"/>
        <item x="71"/>
        <item x="60"/>
        <item x="6"/>
        <item x="108"/>
        <item x="177"/>
        <item x="31"/>
        <item x="187"/>
        <item x="169"/>
        <item x="172"/>
        <item x="176"/>
        <item x="168"/>
        <item x="154"/>
        <item x="118"/>
        <item x="120"/>
        <item x="119"/>
        <item x="117"/>
        <item x="101"/>
        <item x="30"/>
        <item x="143"/>
        <item x="20"/>
        <item x="189"/>
        <item x="48"/>
        <item x="47"/>
        <item x="110"/>
        <item x="111"/>
        <item x="18"/>
        <item x="132"/>
        <item x="155"/>
        <item x="76"/>
        <item x="91"/>
        <item x="39"/>
        <item x="26"/>
        <item x="139"/>
        <item x="50"/>
        <item x="112"/>
        <item x="156"/>
        <item x="157"/>
        <item x="158"/>
        <item x="81"/>
        <item x="25"/>
        <item x="29"/>
        <item x="38"/>
        <item x="167"/>
        <item x="159"/>
        <item x="51"/>
        <item x="77"/>
        <item x="161"/>
        <item x="162"/>
        <item x="160"/>
        <item x="163"/>
        <item x="164"/>
        <item x="165"/>
        <item x="124"/>
        <item x="192"/>
        <item x="62"/>
        <item x="61"/>
        <item x="93"/>
        <item x="94"/>
        <item x="95"/>
        <item x="80"/>
        <item x="34"/>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multipleItemSelectionAllowed="1" showAll="0"/>
    <pivotField axis="axisPage" dataField="1" numFmtId="172" multipleItemSelectionAllowed="1" showAll="0">
      <items count="4730">
        <item h="1" x="95"/>
        <item m="1" x="4539"/>
        <item m="1" x="4630"/>
        <item m="1" x="4633"/>
        <item m="1" x="4513"/>
        <item m="1" x="4632"/>
        <item m="1" x="4512"/>
        <item m="1" x="4557"/>
        <item m="1" x="4631"/>
        <item m="1" x="4561"/>
        <item m="1" x="4455"/>
        <item m="1" x="4560"/>
        <item m="1" x="4519"/>
        <item m="1" x="4530"/>
        <item m="1" x="4554"/>
        <item m="1" x="4525"/>
        <item m="1" x="4522"/>
        <item m="1" x="4571"/>
        <item m="1" x="4607"/>
        <item m="1" x="4478"/>
        <item m="1" x="4555"/>
        <item m="1" x="4457"/>
        <item m="1" x="4456"/>
        <item m="1" x="4679"/>
        <item m="1" x="4635"/>
        <item m="1" x="4425"/>
        <item m="1" x="4536"/>
        <item m="1" x="4627"/>
        <item m="1" x="4556"/>
        <item m="1" x="4576"/>
        <item m="1" x="4575"/>
        <item m="1" x="4686"/>
        <item m="1" x="4551"/>
        <item m="1" x="4480"/>
        <item m="1" x="4628"/>
        <item m="1" x="4634"/>
        <item m="1" x="4728"/>
        <item m="1" x="4534"/>
        <item m="1" x="4348"/>
        <item m="1" x="4629"/>
        <item m="1" x="4524"/>
        <item m="1" x="4682"/>
        <item m="1" x="4596"/>
        <item m="1" x="4688"/>
        <item m="1" x="4727"/>
        <item m="1" x="4619"/>
        <item m="1" x="4402"/>
        <item m="1" x="4621"/>
        <item m="1" x="4535"/>
        <item m="1" x="4354"/>
        <item m="1" x="4443"/>
        <item m="1" x="4690"/>
        <item m="1" x="4687"/>
        <item m="1" x="4401"/>
        <item m="1" x="4681"/>
        <item m="1" x="4601"/>
        <item m="1" x="4350"/>
        <item m="1" x="4597"/>
        <item m="1" x="4685"/>
        <item m="1" x="4385"/>
        <item m="1" x="4386"/>
        <item m="1" x="4684"/>
        <item m="1" x="4620"/>
        <item m="1" x="4678"/>
        <item m="1" x="4614"/>
        <item m="1" x="4400"/>
        <item m="1" x="4616"/>
        <item m="1" x="4397"/>
        <item m="1" x="4602"/>
        <item m="1" x="4683"/>
        <item m="1" x="4599"/>
        <item m="1" x="4359"/>
        <item m="1" x="4399"/>
        <item m="1" x="4371"/>
        <item m="1" x="4689"/>
        <item m="1" x="4370"/>
        <item m="1" x="4446"/>
        <item m="1" x="4418"/>
        <item m="1" x="4598"/>
        <item m="1" x="4600"/>
        <item m="1" x="4347"/>
        <item m="1" x="4677"/>
        <item m="1" x="4349"/>
        <item m="1" x="4694"/>
        <item m="1" x="4696"/>
        <item m="1" x="4608"/>
        <item m="1" x="4444"/>
        <item m="1" x="4384"/>
        <item m="1" x="4353"/>
        <item m="1" x="4360"/>
        <item m="1" x="4431"/>
        <item m="1" x="4343"/>
        <item m="1" x="4398"/>
        <item m="1" x="4516"/>
        <item m="1" x="4344"/>
        <item m="1" x="4339"/>
        <item m="1" x="4352"/>
        <item m="1" x="4546"/>
        <item m="1" x="4594"/>
        <item m="1" x="4547"/>
        <item m="1" x="4338"/>
        <item m="1" x="4311"/>
        <item m="1" x="4622"/>
        <item m="1" x="4372"/>
        <item m="1" x="4340"/>
        <item m="1" x="4671"/>
        <item m="1" x="4663"/>
        <item m="1" x="4611"/>
        <item m="1" x="4405"/>
        <item m="1" x="4693"/>
        <item m="1" x="4427"/>
        <item m="1" x="4615"/>
        <item m="1" x="4708"/>
        <item m="1" x="4448"/>
        <item m="1" x="4375"/>
        <item m="1" x="4337"/>
        <item m="1" x="4714"/>
        <item m="1" x="4672"/>
        <item m="1" x="4612"/>
        <item m="1" x="4518"/>
        <item m="1" x="4346"/>
        <item m="1" x="4617"/>
        <item m="1" x="4707"/>
        <item m="1" x="4276"/>
        <item m="1" x="4604"/>
        <item m="1" x="4345"/>
        <item m="1" x="4335"/>
        <item m="1" x="4369"/>
        <item m="1" x="4680"/>
        <item m="1" x="4713"/>
        <item m="1" x="4695"/>
        <item m="1" x="4408"/>
        <item m="1" x="4515"/>
        <item m="1" x="4341"/>
        <item m="1" x="4342"/>
        <item m="1" x="4426"/>
        <item m="1" x="4605"/>
        <item m="1" x="4445"/>
        <item m="1" x="4412"/>
        <item m="1" x="4537"/>
        <item m="1" x="4404"/>
        <item m="1" x="4391"/>
        <item m="1" x="4336"/>
        <item m="1" x="4433"/>
        <item m="1" x="4606"/>
        <item m="1" x="4662"/>
        <item m="1" x="4538"/>
        <item m="1" x="4618"/>
        <item m="1" x="4275"/>
        <item m="1" x="4613"/>
        <item m="1" x="4403"/>
        <item m="1" x="4655"/>
        <item m="1" x="4532"/>
        <item m="1" x="4704"/>
        <item m="1" x="4291"/>
        <item m="1" x="4657"/>
        <item m="1" x="4447"/>
        <item m="1" x="4711"/>
        <item m="1" x="4726"/>
        <item m="1" x="4623"/>
        <item m="1" x="4517"/>
        <item m="1" x="4595"/>
        <item m="1" x="4703"/>
        <item m="1" x="4413"/>
        <item m="1" x="4626"/>
        <item m="1" x="4717"/>
        <item m="1" x="4649"/>
        <item m="1" x="4692"/>
        <item m="1" x="4298"/>
        <item m="1" x="4475"/>
        <item m="1" x="4548"/>
        <item m="1" x="4603"/>
        <item m="1" x="4559"/>
        <item m="1" x="4715"/>
        <item m="1" x="4414"/>
        <item m="1" x="4387"/>
        <item m="1" x="4287"/>
        <item m="1" x="4373"/>
        <item m="1" x="4625"/>
        <item m="1" x="4531"/>
        <item m="1" x="4654"/>
        <item m="1" x="4361"/>
        <item m="1" x="4647"/>
        <item m="1" x="4501"/>
        <item m="1" x="4656"/>
        <item m="1" x="4691"/>
        <item m="1" x="4700"/>
        <item m="1" x="4529"/>
        <item m="1" x="4415"/>
        <item m="1" x="4624"/>
        <item m="1" x="4356"/>
        <item m="1" x="4409"/>
        <item m="1" x="4503"/>
        <item m="1" x="4355"/>
        <item m="1" x="4432"/>
        <item m="1" x="4710"/>
        <item m="1" x="4541"/>
        <item m="1" x="4362"/>
        <item m="1" x="4563"/>
        <item m="1" x="4374"/>
        <item m="1" x="4487"/>
        <item m="1" x="4587"/>
        <item m="1" x="4609"/>
        <item m="1" x="4567"/>
        <item m="1" x="4550"/>
        <item m="1" x="4702"/>
        <item m="1" x="4406"/>
        <item m="1" x="4333"/>
        <item m="1" x="4509"/>
        <item m="1" x="4653"/>
        <item m="1" x="4395"/>
        <item m="1" x="4589"/>
        <item m="1" x="4648"/>
        <item m="1" x="4486"/>
        <item m="1" x="4719"/>
        <item m="1" x="4705"/>
        <item m="1" x="4452"/>
        <item m="1" x="4720"/>
        <item m="1" x="4407"/>
        <item m="1" x="4473"/>
        <item m="1" x="4483"/>
        <item m="1" x="4651"/>
        <item m="1" x="4592"/>
        <item m="1" x="4449"/>
        <item m="1" x="4307"/>
        <item m="1" x="4610"/>
        <item m="1" x="4334"/>
        <item m="1" x="4568"/>
        <item m="1" x="4523"/>
        <item m="1" x="4718"/>
        <item m="1" x="4645"/>
        <item m="1" x="4588"/>
        <item m="1" x="4676"/>
        <item m="1" x="4504"/>
        <item m="1" x="4467"/>
        <item m="1" x="4390"/>
        <item m="1" x="4698"/>
        <item m="1" x="4558"/>
        <item m="1" x="4553"/>
        <item m="1" x="4461"/>
        <item m="1" x="4297"/>
        <item m="1" x="4357"/>
        <item m="1" x="4722"/>
        <item m="1" x="4420"/>
        <item m="1" x="4659"/>
        <item m="1" x="4382"/>
        <item m="1" x="4521"/>
        <item m="1" x="4716"/>
        <item m="1" x="4388"/>
        <item m="1" x="4273"/>
        <item m="1" x="4310"/>
        <item m="1" x="4646"/>
        <item m="1" x="4643"/>
        <item m="1" x="4574"/>
        <item m="1" x="4725"/>
        <item m="1" x="4474"/>
        <item m="1" x="4500"/>
        <item m="1" x="4497"/>
        <item m="1" x="4471"/>
        <item m="1" x="4499"/>
        <item m="1" x="4316"/>
        <item m="1" x="4706"/>
        <item m="1" x="4284"/>
        <item m="1" x="4508"/>
        <item m="1" x="4302"/>
        <item m="1" x="4383"/>
        <item m="1" x="4482"/>
        <item m="1" x="4488"/>
        <item m="1" x="4493"/>
        <item m="1" x="4652"/>
        <item m="1" x="4314"/>
        <item m="1" x="4380"/>
        <item m="1" x="4281"/>
        <item m="1" x="4502"/>
        <item m="1" x="4528"/>
        <item m="1" x="4485"/>
        <item m="1" x="4712"/>
        <item m="1" x="4365"/>
        <item m="1" x="4366"/>
        <item m="1" x="4351"/>
        <item m="1" x="4552"/>
        <item m="1" x="4419"/>
        <item m="1" x="4494"/>
        <item m="1" x="4490"/>
        <item m="1" x="4411"/>
        <item m="1" x="4543"/>
        <item m="1" x="4312"/>
        <item m="1" x="4437"/>
        <item m="1" x="4489"/>
        <item m="1" x="4505"/>
        <item m="1" x="4392"/>
        <item m="1" x="4639"/>
        <item m="1" x="4451"/>
        <item m="1" x="4545"/>
        <item m="1" x="4540"/>
        <item m="1" x="4507"/>
        <item m="1" x="4439"/>
        <item m="1" x="4376"/>
        <item m="1" x="4572"/>
        <item m="1" x="4666"/>
        <item m="1" x="4514"/>
        <item m="1" x="4641"/>
        <item m="1" x="4511"/>
        <item m="1" x="4642"/>
        <item m="1" x="4484"/>
        <item m="1" x="4564"/>
        <item m="1" x="4389"/>
        <item m="1" x="4593"/>
        <item m="1" x="4394"/>
        <item m="1" x="4320"/>
        <item m="1" x="4315"/>
        <item m="1" x="4381"/>
        <item m="1" x="4709"/>
        <item m="1" x="4562"/>
        <item m="1" x="4274"/>
        <item m="1" x="4644"/>
        <item m="1" x="4379"/>
        <item m="1" x="4417"/>
        <item m="1" x="4549"/>
        <item m="1" x="4724"/>
        <item m="1" x="4721"/>
        <item m="1" x="4323"/>
        <item m="1" x="4701"/>
        <item m="1" x="4313"/>
        <item m="1" x="4453"/>
        <item m="1" x="4464"/>
        <item m="1" x="4699"/>
        <item m="1" x="4454"/>
        <item m="1" x="4358"/>
        <item m="1" x="4697"/>
        <item m="1" x="4410"/>
        <item m="1" x="4664"/>
        <item m="1" x="4658"/>
        <item m="1" x="4364"/>
        <item m="1" x="4581"/>
        <item m="1" x="4492"/>
        <item m="1" x="4363"/>
        <item m="1" x="4295"/>
        <item m="1" x="4673"/>
        <item m="1" x="4579"/>
        <item m="1" x="4650"/>
        <item m="1" x="4675"/>
        <item m="1" x="4434"/>
        <item m="1" x="4570"/>
        <item m="1" x="4321"/>
        <item m="1" x="4496"/>
        <item m="1" x="4472"/>
        <item m="1" x="4665"/>
        <item m="1" x="4526"/>
        <item m="1" x="4396"/>
        <item m="1" x="4416"/>
        <item m="1" x="4660"/>
        <item m="1" x="4520"/>
        <item m="1" x="4299"/>
        <item m="1" x="4458"/>
        <item m="1" x="4469"/>
        <item m="1" x="4377"/>
        <item m="1" x="4586"/>
        <item m="1" x="4378"/>
        <item m="1" x="4583"/>
        <item m="1" x="4590"/>
        <item m="1" x="4495"/>
        <item m="1" x="4544"/>
        <item m="1" x="4591"/>
        <item m="1" x="4470"/>
        <item m="1" x="4498"/>
        <item m="1" x="4584"/>
        <item m="1" x="4450"/>
        <item m="1" x="4580"/>
        <item m="1" x="4542"/>
        <item m="1" x="4296"/>
        <item m="1" x="4638"/>
        <item m="1" x="4393"/>
        <item m="1" x="4306"/>
        <item m="1" x="4476"/>
        <item m="1" x="4309"/>
        <item m="1" x="4585"/>
        <item m="1" x="4305"/>
        <item m="1" x="4293"/>
        <item m="1" x="4463"/>
        <item m="1" x="4582"/>
        <item m="1" x="4566"/>
        <item m="1" x="4367"/>
        <item m="1" x="4481"/>
        <item m="1" x="4368"/>
        <item m="1" x="4510"/>
        <item m="1" x="4479"/>
        <item m="1" x="4317"/>
        <item m="1" x="4421"/>
        <item m="1" x="4674"/>
        <item m="1" x="4440"/>
        <item m="1" x="4637"/>
        <item m="1" x="4308"/>
        <item m="1" x="4292"/>
        <item m="1" x="4573"/>
        <item m="1" x="4661"/>
        <item m="1" x="4322"/>
        <item m="1" x="4428"/>
        <item m="1" x="4300"/>
        <item m="1" x="4533"/>
        <item m="1" x="4289"/>
        <item m="1" x="4468"/>
        <item m="1" x="4319"/>
        <item m="1" x="4668"/>
        <item m="1" x="4279"/>
        <item m="1" x="4506"/>
        <item m="1" x="4460"/>
        <item m="1" x="4569"/>
        <item m="1" x="4466"/>
        <item m="1" x="4331"/>
        <item m="1" x="4326"/>
        <item m="1" x="4318"/>
        <item m="1" x="4282"/>
        <item m="1" x="4527"/>
        <item m="1" x="4304"/>
        <item m="1" x="4577"/>
        <item m="1" x="4636"/>
        <item m="1" x="4640"/>
        <item m="1" x="4477"/>
        <item m="1" x="4436"/>
        <item m="1" x="4329"/>
        <item m="1" x="4491"/>
        <item m="1" x="4422"/>
        <item m="1" x="4301"/>
        <item m="1" x="4288"/>
        <item m="1" x="4462"/>
        <item m="1" x="4324"/>
        <item m="1" x="4459"/>
        <item m="1" x="4327"/>
        <item m="1" x="4285"/>
        <item m="1" x="4723"/>
        <item m="1" x="4565"/>
        <item m="1" x="4325"/>
        <item m="1" x="4332"/>
        <item m="1" x="4330"/>
        <item m="1" x="4303"/>
        <item m="1" x="4277"/>
        <item m="1" x="4465"/>
        <item m="1" x="4578"/>
        <item m="1" x="4438"/>
        <item m="1" x="4328"/>
        <item m="1" x="4669"/>
        <item m="1" x="4667"/>
        <item m="1" x="4429"/>
        <item m="1" x="4435"/>
        <item m="1" x="4290"/>
        <item m="1" x="4286"/>
        <item m="1" x="4294"/>
        <item m="1" x="4283"/>
        <item m="1" x="4280"/>
        <item m="1" x="4430"/>
        <item m="1" x="4442"/>
        <item m="1" x="4424"/>
        <item m="1" x="4670"/>
        <item m="1" x="4441"/>
        <item m="1" x="4278"/>
        <item m="1" x="4423"/>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5"/>
        <item m="1" x="3196"/>
        <item m="1" x="3197"/>
        <item m="1" x="3198"/>
        <item m="1" x="3199"/>
        <item m="1" x="3200"/>
        <item m="1" x="3201"/>
        <item m="1" x="3202"/>
        <item m="1" x="3203"/>
        <item m="1" x="3204"/>
        <item m="1" x="3205"/>
        <item m="1" x="3206"/>
        <item m="1" x="3207"/>
        <item m="1" x="3208"/>
        <item m="1" x="3209"/>
        <item m="1" x="3210"/>
        <item m="1" x="3211"/>
        <item m="1" x="3212"/>
        <item m="1" x="3213"/>
        <item m="1" x="3214"/>
        <item m="1" x="3215"/>
        <item m="1" x="3216"/>
        <item m="1" x="3217"/>
        <item m="1" x="3218"/>
        <item m="1" x="3219"/>
        <item m="1" x="3220"/>
        <item m="1" x="3221"/>
        <item m="1" x="3222"/>
        <item m="1" x="3223"/>
        <item m="1" x="3224"/>
        <item m="1" x="3225"/>
        <item m="1" x="3226"/>
        <item m="1" x="3227"/>
        <item m="1" x="3228"/>
        <item m="1" x="3229"/>
        <item m="1" x="3230"/>
        <item m="1" x="3231"/>
        <item m="1" x="3232"/>
        <item m="1" x="3233"/>
        <item m="1" x="3234"/>
        <item m="1" x="3235"/>
        <item m="1" x="3236"/>
        <item m="1" x="3237"/>
        <item m="1" x="3238"/>
        <item m="1" x="3239"/>
        <item m="1" x="3240"/>
        <item m="1" x="3241"/>
        <item m="1" x="3242"/>
        <item m="1" x="3243"/>
        <item m="1" x="3244"/>
        <item m="1" x="3245"/>
        <item m="1" x="3246"/>
        <item m="1" x="3247"/>
        <item m="1" x="3248"/>
        <item m="1" x="3249"/>
        <item m="1" x="3250"/>
        <item m="1" x="3251"/>
        <item m="1" x="3252"/>
        <item m="1" x="3253"/>
        <item m="1" x="3254"/>
        <item m="1" x="3255"/>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2758"/>
        <item m="1" x="2769"/>
        <item m="1" x="2763"/>
        <item m="1" x="2753"/>
        <item m="1" x="2773"/>
        <item m="1" x="2755"/>
        <item m="1" x="2771"/>
        <item m="1" x="2767"/>
        <item m="1" x="2765"/>
        <item m="1" x="2760"/>
        <item m="1" x="2759"/>
        <item m="1" x="2764"/>
        <item m="1" x="2754"/>
        <item m="1" x="2770"/>
        <item m="1" x="2756"/>
        <item m="1" x="2774"/>
        <item m="1" x="2768"/>
        <item m="1" x="2766"/>
        <item m="1" x="2761"/>
        <item m="1" x="2772"/>
        <item m="1" x="2757"/>
        <item m="1" x="2762"/>
        <item m="1" x="2777"/>
        <item m="1" x="2779"/>
        <item m="1" x="2776"/>
        <item m="1" x="2778"/>
        <item m="1" x="2775"/>
        <item m="1" x="2780"/>
        <item m="1" x="2782"/>
        <item m="1" x="2783"/>
        <item m="1" x="2781"/>
        <item m="1" x="2784"/>
        <item m="1" x="2785"/>
        <item m="1" x="2788"/>
        <item m="1" x="2787"/>
        <item m="1" x="2786"/>
        <item m="1" x="2799"/>
        <item m="1" x="2797"/>
        <item m="1" x="2791"/>
        <item m="1" x="2789"/>
        <item m="1" x="2794"/>
        <item m="1" x="2798"/>
        <item m="1" x="2800"/>
        <item m="1" x="2792"/>
        <item m="1" x="2795"/>
        <item m="1" x="2790"/>
        <item m="1" x="2796"/>
        <item m="1" x="2793"/>
        <item m="1" x="2805"/>
        <item m="1" x="2802"/>
        <item m="1" x="2803"/>
        <item m="1" x="2804"/>
        <item m="1" x="2806"/>
        <item m="1" x="2801"/>
        <item m="1" x="2807"/>
        <item m="1" x="2809"/>
        <item m="1" x="2808"/>
        <item m="1" x="2810"/>
        <item m="1" x="2811"/>
        <item m="1" x="2812"/>
        <item m="1" x="3006"/>
        <item m="1" x="3005"/>
        <item m="1" x="2813"/>
        <item m="1" x="2814"/>
        <item m="1" x="2816"/>
        <item m="1" x="2815"/>
        <item m="1" x="2817"/>
        <item m="1" x="2818"/>
        <item m="1" x="3007"/>
        <item m="1" x="3008"/>
        <item m="1" x="2819"/>
        <item m="1" x="3009"/>
        <item m="1" x="3010"/>
        <item m="1" x="2821"/>
        <item m="1" x="2820"/>
        <item m="1" x="3012"/>
        <item m="1" x="3011"/>
        <item m="1" x="3013"/>
        <item m="1" x="3014"/>
        <item m="1" x="3015"/>
        <item m="1" x="3017"/>
        <item m="1" x="3016"/>
        <item m="1" x="3018"/>
        <item m="1" x="2822"/>
        <item m="1" x="2823"/>
        <item m="1" x="3021"/>
        <item m="1" x="3025"/>
        <item m="1" x="3020"/>
        <item m="1" x="3022"/>
        <item m="1" x="3019"/>
        <item m="1" x="3024"/>
        <item m="1" x="3023"/>
        <item m="1" x="3026"/>
        <item m="1" x="3027"/>
        <item m="1" x="2825"/>
        <item m="1" x="2824"/>
        <item m="1" x="3028"/>
        <item m="1" x="3029"/>
        <item m="1" x="2826"/>
        <item m="1" x="2829"/>
        <item m="1" x="2827"/>
        <item m="1" x="2828"/>
        <item m="1" x="2831"/>
        <item m="1" x="2833"/>
        <item m="1" x="2830"/>
        <item m="1" x="2832"/>
        <item m="1" x="2836"/>
        <item m="1" x="2834"/>
        <item m="1" x="2835"/>
        <item m="1" x="2837"/>
        <item m="1" x="2838"/>
        <item m="1" x="3031"/>
        <item m="1" x="3030"/>
        <item m="1" x="2839"/>
        <item m="1" x="2840"/>
        <item m="1" x="2841"/>
        <item m="1" x="3034"/>
        <item m="1" x="3033"/>
        <item m="1" x="3032"/>
        <item m="1" x="3037"/>
        <item m="1" x="3036"/>
        <item m="1" x="3035"/>
        <item m="1" x="2842"/>
        <item m="1" x="3039"/>
        <item m="1" x="3040"/>
        <item m="1" x="3038"/>
        <item m="1" x="2843"/>
        <item m="1" x="2845"/>
        <item m="1" x="2844"/>
        <item m="1" x="2847"/>
        <item m="1" x="2848"/>
        <item m="1" x="2846"/>
        <item m="1" x="2849"/>
        <item m="1" x="2851"/>
        <item m="1" x="2850"/>
        <item m="1" x="2853"/>
        <item m="1" x="2854"/>
        <item m="1" x="2852"/>
        <item m="1" x="2856"/>
        <item m="1" x="2857"/>
        <item m="1" x="2855"/>
        <item m="1" x="2858"/>
        <item m="1" x="2860"/>
        <item m="1" x="2859"/>
        <item m="1" x="3042"/>
        <item m="1" x="3043"/>
        <item m="1" x="3041"/>
        <item m="1" x="2861"/>
        <item m="1" x="2863"/>
        <item m="1" x="2862"/>
        <item m="1" x="2865"/>
        <item m="1" x="2866"/>
        <item m="1" x="2864"/>
        <item m="1" x="2867"/>
        <item m="1" x="2870"/>
        <item m="1" x="2869"/>
        <item m="1" x="2872"/>
        <item m="1" x="2868"/>
        <item m="1" x="2871"/>
        <item m="1" x="2873"/>
        <item m="1" x="2875"/>
        <item m="1" x="2874"/>
        <item m="1" x="2876"/>
        <item m="1" x="2878"/>
        <item m="1" x="2877"/>
        <item m="1" x="2880"/>
        <item m="1" x="2881"/>
        <item m="1" x="2879"/>
        <item m="1" x="2882"/>
        <item m="1" x="2884"/>
        <item m="1" x="2883"/>
        <item m="1" x="2887"/>
        <item m="1" x="2885"/>
        <item m="1" x="2889"/>
        <item m="1" x="2888"/>
        <item m="1" x="2886"/>
        <item m="1" x="2890"/>
        <item m="1" x="2891"/>
        <item m="1" x="2892"/>
        <item m="1" x="2895"/>
        <item m="1" x="2893"/>
        <item m="1" x="2894"/>
        <item m="1" x="2896"/>
        <item m="1" x="2897"/>
        <item m="1" x="2919"/>
        <item m="1" x="2916"/>
        <item m="1" x="2913"/>
        <item m="1" x="2922"/>
        <item m="1" x="2905"/>
        <item m="1" x="2902"/>
        <item m="1" x="2899"/>
        <item m="1" x="2906"/>
        <item m="1" x="2907"/>
        <item m="1" x="2918"/>
        <item m="1" x="2912"/>
        <item m="1" x="2910"/>
        <item m="1" x="2904"/>
        <item m="1" x="2921"/>
        <item m="1" x="2915"/>
        <item m="1" x="2901"/>
        <item m="1" x="2909"/>
        <item m="1" x="2920"/>
        <item m="1" x="2900"/>
        <item m="1" x="2898"/>
        <item m="1" x="2914"/>
        <item m="1" x="2911"/>
        <item m="1" x="2917"/>
        <item m="1" x="2908"/>
        <item m="1" x="2903"/>
        <item m="1" x="2923"/>
        <item m="1" x="2924"/>
        <item m="1" x="2926"/>
        <item m="1" x="2925"/>
        <item m="1" x="2928"/>
        <item m="1" x="2927"/>
        <item m="1" x="2929"/>
        <item m="1" x="2930"/>
        <item m="1" x="2931"/>
        <item m="1" x="2934"/>
        <item m="1" x="2933"/>
        <item m="1" x="2932"/>
        <item m="1" x="2938"/>
        <item m="1" x="2937"/>
        <item m="1" x="2939"/>
        <item m="1" x="2935"/>
        <item m="1" x="2936"/>
        <item m="1" x="2940"/>
        <item m="1" x="2941"/>
        <item m="1" x="2942"/>
        <item m="1" x="2943"/>
        <item m="1" x="2944"/>
        <item m="1" x="2946"/>
        <item m="1" x="2945"/>
        <item m="1" x="2947"/>
        <item m="1" x="2949"/>
        <item m="1" x="2948"/>
        <item m="1" x="2951"/>
        <item m="1" x="2952"/>
        <item m="1" x="2950"/>
        <item m="1" x="2953"/>
        <item m="1" x="2954"/>
        <item m="1" x="2955"/>
        <item m="1" x="2958"/>
        <item m="1" x="2957"/>
        <item m="1" x="2956"/>
        <item m="1" x="2959"/>
        <item m="1" x="2960"/>
        <item m="1" x="2963"/>
        <item m="1" x="2962"/>
        <item m="1" x="2961"/>
        <item m="1" x="2966"/>
        <item m="1" x="2967"/>
        <item m="1" x="2965"/>
        <item m="1" x="2964"/>
        <item m="1" x="2968"/>
        <item m="1" x="2969"/>
        <item m="1" x="2972"/>
        <item m="1" x="2971"/>
        <item m="1" x="2970"/>
        <item m="1" x="2973"/>
        <item m="1" x="2974"/>
        <item m="1" x="2975"/>
        <item m="1" x="2976"/>
        <item m="1" x="2978"/>
        <item m="1" x="2977"/>
        <item m="1" x="2979"/>
        <item m="1" x="2980"/>
        <item m="1" x="2981"/>
        <item m="1" x="2982"/>
        <item m="1" x="2984"/>
        <item m="1" x="2985"/>
        <item m="1" x="2983"/>
        <item m="1" x="2986"/>
        <item m="1" x="2989"/>
        <item m="1" x="2988"/>
        <item m="1" x="2987"/>
        <item m="1" x="2993"/>
        <item m="1" x="2990"/>
        <item m="1" x="2992"/>
        <item m="1" x="2994"/>
        <item m="1" x="2991"/>
        <item m="1" x="2995"/>
        <item m="1" x="2996"/>
        <item m="1" x="3002"/>
        <item m="1" x="3004"/>
        <item m="1" x="2998"/>
        <item m="1" x="3000"/>
        <item m="1" x="3001"/>
        <item m="1" x="3003"/>
        <item m="1" x="2997"/>
        <item m="1" x="2999"/>
        <item m="1" x="3044"/>
        <item m="1" x="3045"/>
        <item m="1" x="2342"/>
        <item m="1" x="2347"/>
        <item m="1" x="2343"/>
        <item m="1" x="2350"/>
        <item m="1" x="2340"/>
        <item m="1" x="2345"/>
        <item m="1" x="2351"/>
        <item m="1" x="2344"/>
        <item m="1" x="2352"/>
        <item m="1" x="2341"/>
        <item m="1" x="2348"/>
        <item m="1" x="2346"/>
        <item m="1" x="2353"/>
        <item m="1" x="2339"/>
        <item m="1" x="2349"/>
        <item m="1" x="2354"/>
        <item m="1" x="2355"/>
        <item m="1" x="2356"/>
        <item m="1" x="2357"/>
        <item m="1" x="2358"/>
        <item m="1" x="2359"/>
        <item m="1" x="2360"/>
        <item m="1" x="2365"/>
        <item m="1" x="2361"/>
        <item m="1" x="2362"/>
        <item m="1" x="2363"/>
        <item m="1" x="2364"/>
        <item m="1" x="2366"/>
        <item m="1" x="2368"/>
        <item m="1" x="2367"/>
        <item m="1" x="2369"/>
        <item m="1" x="2370"/>
        <item m="1" x="2371"/>
        <item m="1" x="2372"/>
        <item m="1" x="2376"/>
        <item m="1" x="2375"/>
        <item m="1" x="2378"/>
        <item m="1" x="2373"/>
        <item m="1" x="2377"/>
        <item m="1" x="2374"/>
        <item m="1" x="2379"/>
        <item m="1" x="2380"/>
        <item m="1" x="2382"/>
        <item m="1" x="2381"/>
        <item m="1" x="2389"/>
        <item m="1" x="2388"/>
        <item m="1" x="2390"/>
        <item m="1" x="2393"/>
        <item m="1" x="2394"/>
        <item m="1" x="2421"/>
        <item m="1" x="2422"/>
        <item m="1" x="2433"/>
        <item m="1" x="2432"/>
        <item m="1" x="2434"/>
        <item m="1" x="2435"/>
        <item m="1" x="2749"/>
        <item m="1" x="2750"/>
        <item m="1" x="2751"/>
        <item m="1" x="2752"/>
        <item m="1" x="2440"/>
        <item m="1" x="2441"/>
        <item m="1" x="2442"/>
        <item m="1" x="2458"/>
        <item m="1" x="2457"/>
        <item m="1" x="2459"/>
        <item m="1" x="2472"/>
        <item m="1" x="2478"/>
        <item m="1" x="2477"/>
        <item m="1" x="2476"/>
        <item m="1" x="2481"/>
        <item m="1" x="2479"/>
        <item m="1" x="2480"/>
        <item m="1" x="2484"/>
        <item m="1" x="2483"/>
        <item m="1" x="2482"/>
        <item m="1" x="2487"/>
        <item m="1" x="2485"/>
        <item m="1" x="2486"/>
        <item m="1" x="2491"/>
        <item m="1" x="2492"/>
        <item m="1" x="2493"/>
        <item m="1" x="2496"/>
        <item m="1" x="2495"/>
        <item m="1" x="2494"/>
        <item m="1" x="2500"/>
        <item m="1" x="2502"/>
        <item m="1" x="2501"/>
        <item m="1" x="2504"/>
        <item m="1" x="2503"/>
        <item m="1" x="2505"/>
        <item m="1" x="2507"/>
        <item m="1" x="2510"/>
        <item m="1" x="2508"/>
        <item m="1" x="2509"/>
        <item m="1" x="2511"/>
        <item m="1" x="2506"/>
        <item m="1" x="2516"/>
        <item m="1" x="2517"/>
        <item m="1" x="2515"/>
        <item m="1" x="2522"/>
        <item m="1" x="2523"/>
        <item m="1" x="2521"/>
        <item m="1" x="2525"/>
        <item m="1" x="2524"/>
        <item m="1" x="2526"/>
        <item m="1" x="2534"/>
        <item m="1" x="2535"/>
        <item m="1" x="2533"/>
        <item m="1" x="2536"/>
        <item m="1" x="2537"/>
        <item m="1" x="2571"/>
        <item m="1" x="2573"/>
        <item m="1" x="2572"/>
        <item m="1" x="2575"/>
        <item m="1" x="2574"/>
        <item m="1" x="2576"/>
        <item m="1" x="2578"/>
        <item m="1" x="2577"/>
        <item m="1" x="2592"/>
        <item m="1" x="2584"/>
        <item m="1" x="2581"/>
        <item m="1" x="2585"/>
        <item m="1" x="2591"/>
        <item m="1" x="2583"/>
        <item m="1" x="2588"/>
        <item m="1" x="2595"/>
        <item m="1" x="2580"/>
        <item m="1" x="2586"/>
        <item m="1" x="2596"/>
        <item m="1" x="2582"/>
        <item m="1" x="2589"/>
        <item m="1" x="2587"/>
        <item m="1" x="2593"/>
        <item m="1" x="2597"/>
        <item m="1" x="2579"/>
        <item m="1" x="2590"/>
        <item m="1" x="2594"/>
        <item m="1" x="2598"/>
        <item m="1" x="2600"/>
        <item m="1" x="2599"/>
        <item m="1" x="2601"/>
        <item m="1" x="2602"/>
        <item m="1" x="2604"/>
        <item m="1" x="2603"/>
        <item m="1" x="2605"/>
        <item m="1" x="2606"/>
        <item m="1" x="2607"/>
        <item m="1" x="2609"/>
        <item m="1" x="2610"/>
        <item m="1" x="2608"/>
        <item m="1" x="2617"/>
        <item m="1" x="2611"/>
        <item m="1" x="2614"/>
        <item m="1" x="2615"/>
        <item m="1" x="2612"/>
        <item m="1" x="2613"/>
        <item m="1" x="2616"/>
        <item m="1" x="2619"/>
        <item m="1" x="2618"/>
        <item m="1" x="2620"/>
        <item m="1" x="2622"/>
        <item m="1" x="2621"/>
        <item m="1" x="2624"/>
        <item m="1" x="2623"/>
        <item m="1" x="2625"/>
        <item m="1" x="2626"/>
        <item m="1" x="2627"/>
        <item m="1" x="2632"/>
        <item m="1" x="2633"/>
        <item m="1" x="2635"/>
        <item m="1" x="2634"/>
        <item m="1" x="2636"/>
        <item m="1" x="2637"/>
        <item m="1" x="2639"/>
        <item m="1" x="2640"/>
        <item m="1" x="2638"/>
        <item m="1" x="2641"/>
        <item m="1" x="2642"/>
        <item m="1" x="2644"/>
        <item m="1" x="2645"/>
        <item m="1" x="2643"/>
        <item m="1" x="2650"/>
        <item m="1" x="2649"/>
        <item m="1" x="2654"/>
        <item m="1" x="2651"/>
        <item m="1" x="2653"/>
        <item m="1" x="2652"/>
        <item m="1" x="2656"/>
        <item m="1" x="2655"/>
        <item m="1" x="2657"/>
        <item m="1" x="2658"/>
        <item m="1" x="2659"/>
        <item m="1" x="2660"/>
        <item m="1" x="2661"/>
        <item m="1" x="2662"/>
        <item m="1" x="2664"/>
        <item m="1" x="2663"/>
        <item m="1" x="2666"/>
        <item m="1" x="2665"/>
        <item m="1" x="2668"/>
        <item m="1" x="2667"/>
        <item m="1" x="2670"/>
        <item m="1" x="2674"/>
        <item m="1" x="2675"/>
        <item m="1" x="2669"/>
        <item m="1" x="2672"/>
        <item m="1" x="2671"/>
        <item m="1" x="2673"/>
        <item m="1" x="2676"/>
        <item m="1" x="2680"/>
        <item m="1" x="2678"/>
        <item m="1" x="2679"/>
        <item m="1" x="2677"/>
        <item m="1" x="2682"/>
        <item m="1" x="2683"/>
        <item m="1" x="2681"/>
        <item m="1" x="2687"/>
        <item m="1" x="2685"/>
        <item m="1" x="2684"/>
        <item m="1" x="2686"/>
        <item m="1" x="2741"/>
        <item m="1" x="2743"/>
        <item m="1" x="2746"/>
        <item m="1" x="2744"/>
        <item m="1" x="2745"/>
        <item m="1" x="2742"/>
        <item m="1" x="2748"/>
        <item m="1" x="2747"/>
        <item m="1" x="2383"/>
        <item m="1" x="2384"/>
        <item m="1" x="2385"/>
        <item m="1" x="2386"/>
        <item m="1" x="2387"/>
        <item m="1" x="2391"/>
        <item m="1" x="2392"/>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3"/>
        <item m="1" x="2424"/>
        <item m="1" x="2425"/>
        <item m="1" x="2426"/>
        <item m="1" x="2427"/>
        <item m="1" x="2428"/>
        <item m="1" x="2429"/>
        <item m="1" x="2430"/>
        <item m="1" x="2431"/>
        <item m="1" x="2436"/>
        <item m="1" x="2437"/>
        <item m="1" x="2438"/>
        <item m="1" x="2439"/>
        <item m="1" x="2443"/>
        <item m="1" x="2444"/>
        <item m="1" x="2445"/>
        <item m="1" x="2446"/>
        <item m="1" x="2447"/>
        <item m="1" x="2448"/>
        <item m="1" x="2449"/>
        <item m="1" x="2450"/>
        <item m="1" x="2451"/>
        <item m="1" x="2452"/>
        <item m="1" x="2453"/>
        <item m="1" x="2454"/>
        <item m="1" x="2455"/>
        <item m="1" x="2456"/>
        <item m="1" x="2460"/>
        <item m="1" x="2461"/>
        <item m="1" x="2462"/>
        <item m="1" x="2463"/>
        <item m="1" x="2464"/>
        <item m="1" x="2465"/>
        <item m="1" x="2466"/>
        <item m="1" x="2467"/>
        <item m="1" x="2468"/>
        <item m="1" x="2469"/>
        <item m="1" x="2470"/>
        <item m="1" x="2471"/>
        <item m="1" x="2473"/>
        <item m="1" x="2474"/>
        <item m="1" x="2475"/>
        <item m="1" x="2488"/>
        <item m="1" x="2489"/>
        <item m="1" x="2490"/>
        <item m="1" x="2497"/>
        <item m="1" x="2498"/>
        <item m="1" x="2499"/>
        <item m="1" x="2512"/>
        <item m="1" x="2513"/>
        <item m="1" x="2514"/>
        <item m="1" x="2518"/>
        <item m="1" x="2519"/>
        <item m="1" x="2520"/>
        <item m="1" x="2527"/>
        <item m="1" x="2528"/>
        <item m="1" x="2529"/>
        <item m="1" x="2530"/>
        <item m="1" x="2531"/>
        <item m="1" x="2532"/>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628"/>
        <item m="1" x="2629"/>
        <item m="1" x="2630"/>
        <item m="1" x="2631"/>
        <item m="1" x="2646"/>
        <item m="1" x="2647"/>
        <item m="1" x="2648"/>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095"/>
        <item m="1" x="1096"/>
        <item m="1" x="1097"/>
        <item m="1" x="1098"/>
        <item m="1" x="1099"/>
        <item m="1" x="1100"/>
        <item m="1" x="1107"/>
        <item m="1" x="1108"/>
        <item m="1" x="1109"/>
        <item m="1" x="1110"/>
        <item m="1" x="1111"/>
        <item m="1" x="1112"/>
        <item m="1" x="1101"/>
        <item m="1" x="1102"/>
        <item m="1" x="1103"/>
        <item m="1" x="1104"/>
        <item m="1" x="1105"/>
        <item m="1" x="1106"/>
        <item m="1" x="1113"/>
        <item m="1" x="1114"/>
        <item m="1" x="1115"/>
        <item m="1" x="1116"/>
        <item m="1" x="1117"/>
        <item m="1" x="1118"/>
        <item m="1" x="1119"/>
        <item m="1" x="1121"/>
        <item m="1" x="1122"/>
        <item m="1" x="1120"/>
        <item m="1" x="1123"/>
        <item m="1" x="1124"/>
        <item m="1" x="1127"/>
        <item m="1" x="1128"/>
        <item m="1" x="1125"/>
        <item m="1" x="1126"/>
        <item m="1" x="1133"/>
        <item m="1" x="1134"/>
        <item m="1" x="1129"/>
        <item m="1" x="1130"/>
        <item m="1" x="1131"/>
        <item m="1" x="1132"/>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6"/>
        <item m="1" x="1185"/>
        <item m="1" x="1187"/>
        <item m="1" x="1192"/>
        <item m="1" x="1193"/>
        <item m="1" x="1190"/>
        <item m="1" x="1191"/>
        <item m="1" x="1188"/>
        <item m="1" x="1189"/>
        <item m="1" x="1194"/>
        <item m="1" x="1195"/>
        <item m="1" x="1196"/>
        <item m="1" x="1197"/>
        <item m="1" x="1198"/>
        <item m="1" x="1201"/>
        <item m="1" x="1202"/>
        <item m="1" x="1199"/>
        <item m="1" x="1200"/>
        <item m="1" x="1203"/>
        <item m="1" x="1204"/>
        <item m="1" x="1205"/>
        <item m="1" x="1206"/>
        <item m="1" x="1207"/>
        <item m="1" x="1208"/>
        <item m="1" x="1211"/>
        <item m="1" x="1212"/>
        <item m="1" x="1209"/>
        <item m="1" x="1210"/>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5"/>
        <item m="1" x="1276"/>
        <item m="1" x="1274"/>
        <item m="1" x="1279"/>
        <item m="1" x="1277"/>
        <item m="1" x="1278"/>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9"/>
        <item m="1" x="1308"/>
        <item m="1" x="1310"/>
        <item m="1" x="1311"/>
        <item m="1" x="1312"/>
        <item m="1" x="1313"/>
        <item m="1" x="1314"/>
        <item m="1" x="1315"/>
        <item m="1" x="1316"/>
        <item m="1" x="1317"/>
        <item m="1" x="1318"/>
        <item m="1" x="1319"/>
        <item m="1" x="1320"/>
        <item m="1" x="1321"/>
        <item m="1" x="1322"/>
        <item m="1" x="1323"/>
        <item m="1" x="1324"/>
        <item m="1" x="1325"/>
        <item m="1" x="1328"/>
        <item m="1" x="1326"/>
        <item m="1" x="1327"/>
        <item m="1" x="1329"/>
        <item m="1" x="1330"/>
        <item m="1" x="1332"/>
        <item m="1" x="1331"/>
        <item m="1" x="1335"/>
        <item m="1" x="1333"/>
        <item m="1" x="1334"/>
        <item m="1" x="1336"/>
        <item m="1" x="1337"/>
        <item m="1" x="1338"/>
        <item m="1" x="1339"/>
        <item m="1" x="1340"/>
        <item m="1" x="1341"/>
        <item m="1" x="1343"/>
        <item m="1" x="1354"/>
        <item m="1" x="1352"/>
        <item m="1" x="1353"/>
        <item m="1" x="1350"/>
        <item m="1" x="1351"/>
        <item m="1" x="1344"/>
        <item m="1" x="1345"/>
        <item m="1" x="1346"/>
        <item m="1" x="1347"/>
        <item m="1" x="1348"/>
        <item m="1" x="1349"/>
        <item m="1" x="1342"/>
        <item m="1" x="1355"/>
        <item m="1" x="1356"/>
        <item m="1" x="1357"/>
        <item m="1" x="1358"/>
        <item m="1" x="1359"/>
        <item m="1" x="1360"/>
        <item m="1" x="1361"/>
        <item m="1" x="1362"/>
        <item m="1" x="1363"/>
        <item m="1" x="1364"/>
        <item m="1" x="1365"/>
        <item m="1" x="1366"/>
        <item m="1" x="1367"/>
        <item m="1" x="1369"/>
        <item m="1" x="1368"/>
        <item m="1" x="1371"/>
        <item m="1" x="1372"/>
        <item m="1" x="1370"/>
        <item m="1" x="1373"/>
        <item m="1" x="1374"/>
        <item m="1" x="1375"/>
        <item m="1" x="1376"/>
        <item m="1" x="1377"/>
        <item m="1" x="1378"/>
        <item m="1" x="1379"/>
        <item m="1" x="1380"/>
        <item m="1" x="1381"/>
        <item m="1" x="1384"/>
        <item m="1" x="1385"/>
        <item m="1" x="1382"/>
        <item m="1" x="1383"/>
        <item m="1" x="1387"/>
        <item m="1" x="1386"/>
        <item m="1" x="1390"/>
        <item m="1" x="1391"/>
        <item m="1" x="1392"/>
        <item m="1" x="1393"/>
        <item m="1" x="1395"/>
        <item m="1" x="1396"/>
        <item m="1" x="1394"/>
        <item m="1" x="1399"/>
        <item m="1" x="1397"/>
        <item m="1" x="1398"/>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7"/>
        <item m="1" x="1428"/>
        <item m="1" x="1426"/>
        <item m="1" x="1429"/>
        <item m="1" x="1430"/>
        <item m="1" x="1431"/>
        <item m="1" x="1432"/>
        <item m="1" x="1433"/>
        <item m="1" x="1434"/>
        <item m="1" x="1435"/>
        <item m="1" x="1437"/>
        <item m="1" x="1438"/>
        <item m="1" x="1436"/>
        <item m="1" x="1440"/>
        <item m="1" x="1441"/>
        <item m="1" x="1439"/>
        <item m="1" x="1442"/>
        <item m="1" x="1443"/>
        <item m="1" x="1444"/>
        <item m="1" x="1445"/>
        <item m="1" x="1446"/>
        <item m="1" x="1447"/>
        <item m="1" x="1448"/>
        <item m="1" x="1451"/>
        <item m="1" x="1449"/>
        <item m="1" x="1450"/>
        <item m="1" x="1452"/>
        <item m="1" x="1456"/>
        <item m="1" x="1453"/>
        <item m="1" x="1454"/>
        <item m="1" x="1455"/>
        <item m="1" x="1463"/>
        <item m="1" x="1464"/>
        <item m="1" x="1462"/>
        <item m="1" x="1459"/>
        <item m="1" x="1460"/>
        <item m="1" x="1461"/>
        <item m="1" x="1457"/>
        <item m="1" x="1458"/>
        <item m="1" x="1465"/>
        <item m="1" x="1466"/>
        <item m="1" x="1467"/>
        <item m="1" x="1468"/>
        <item m="1" x="1469"/>
        <item m="1" x="1470"/>
        <item m="1" x="1471"/>
        <item m="1" x="1472"/>
        <item m="1" x="1473"/>
        <item m="1" x="1474"/>
        <item m="1" x="1475"/>
        <item m="1" x="1476"/>
        <item m="1" x="1477"/>
        <item m="1" x="1478"/>
        <item m="1" x="1479"/>
        <item m="1" x="1480"/>
        <item m="1" x="1481"/>
        <item m="1" x="1482"/>
        <item m="1" x="1483"/>
        <item m="1" x="1062"/>
        <item m="1" x="1484"/>
        <item m="1" x="1485"/>
        <item m="1" x="1486"/>
        <item m="1" x="1488"/>
        <item m="1" x="1487"/>
        <item m="1" x="1489"/>
        <item m="1" x="1490"/>
        <item m="1" x="1491"/>
        <item m="1" x="1492"/>
        <item m="1" x="1493"/>
        <item m="1" x="1494"/>
        <item m="1" x="1496"/>
        <item m="1" x="1495"/>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23"/>
        <item m="1" x="1524"/>
        <item m="1" x="1525"/>
        <item m="1" x="1521"/>
        <item m="1" x="1522"/>
        <item m="1" x="1517"/>
        <item m="1" x="1518"/>
        <item m="1" x="1519"/>
        <item m="1" x="1520"/>
        <item m="1" x="1526"/>
        <item m="1" x="1527"/>
        <item m="1" x="1388"/>
        <item m="1" x="1389"/>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924"/>
        <item m="1" x="925"/>
        <item m="1" x="926"/>
        <item m="1" x="927"/>
        <item m="1" x="928"/>
        <item m="1" x="500"/>
        <item m="1" x="501"/>
        <item m="1" x="502"/>
        <item m="1" x="503"/>
        <item m="1" x="504"/>
        <item m="1" x="505"/>
        <item m="1" x="929"/>
        <item m="1" x="930"/>
        <item m="1" x="508"/>
        <item m="1" x="509"/>
        <item m="1" x="931"/>
        <item m="1" x="932"/>
        <item m="1" x="933"/>
        <item m="1" x="934"/>
        <item m="1" x="935"/>
        <item m="1" x="936"/>
        <item m="1" x="937"/>
        <item m="1" x="938"/>
        <item m="1" x="939"/>
        <item m="1" x="940"/>
        <item m="1" x="941"/>
        <item m="1" x="942"/>
        <item m="1" x="943"/>
        <item m="1" x="944"/>
        <item m="1" x="945"/>
        <item m="1" x="946"/>
        <item m="1" x="947"/>
        <item m="1" x="948"/>
        <item m="1" x="949"/>
        <item m="1" x="950"/>
        <item m="1" x="530"/>
        <item m="1" x="531"/>
        <item m="1" x="532"/>
        <item m="1" x="533"/>
        <item m="1" x="951"/>
        <item m="1" x="535"/>
        <item m="1" x="536"/>
        <item m="1" x="537"/>
        <item m="1" x="538"/>
        <item m="1" x="539"/>
        <item m="1" x="952"/>
        <item m="1" x="953"/>
        <item m="1" x="542"/>
        <item m="1" x="543"/>
        <item m="1" x="906"/>
        <item m="1" x="954"/>
        <item m="1" x="955"/>
        <item m="1" x="956"/>
        <item m="1" x="957"/>
        <item m="1" x="958"/>
        <item m="1" x="959"/>
        <item m="1" x="551"/>
        <item m="1" x="552"/>
        <item m="1" x="907"/>
        <item m="1" x="908"/>
        <item m="1" x="909"/>
        <item m="1" x="910"/>
        <item m="1" x="557"/>
        <item m="1" x="558"/>
        <item m="1" x="911"/>
        <item m="1" x="912"/>
        <item m="1" x="913"/>
        <item m="1" x="914"/>
        <item m="1" x="960"/>
        <item m="1" x="961"/>
        <item m="1" x="962"/>
        <item m="1" x="963"/>
        <item m="1" x="964"/>
        <item m="1" x="965"/>
        <item m="1" x="966"/>
        <item m="1" x="967"/>
        <item m="1" x="968"/>
        <item m="1" x="969"/>
        <item m="1" x="970"/>
        <item m="1" x="574"/>
        <item m="1" x="575"/>
        <item m="1" x="576"/>
        <item m="1" x="971"/>
        <item m="1" x="972"/>
        <item m="1" x="973"/>
        <item m="1" x="974"/>
        <item m="1" x="975"/>
        <item m="1" x="976"/>
        <item m="1" x="977"/>
        <item m="1" x="978"/>
        <item m="1" x="979"/>
        <item m="1" x="586"/>
        <item m="1" x="587"/>
        <item m="1" x="588"/>
        <item m="1" x="980"/>
        <item m="1" x="981"/>
        <item m="1" x="982"/>
        <item m="1" x="915"/>
        <item m="1" x="916"/>
        <item m="1" x="917"/>
        <item m="1" x="595"/>
        <item m="1" x="596"/>
        <item m="1" x="597"/>
        <item m="1" x="598"/>
        <item m="1" x="599"/>
        <item m="1" x="600"/>
        <item m="1" x="601"/>
        <item m="1" x="602"/>
        <item m="1" x="603"/>
        <item m="1" x="983"/>
        <item m="1" x="984"/>
        <item m="1" x="985"/>
        <item m="1" x="986"/>
        <item m="1" x="987"/>
        <item m="1" x="988"/>
        <item m="1" x="989"/>
        <item m="1" x="990"/>
        <item m="1" x="991"/>
        <item m="1" x="613"/>
        <item m="1" x="614"/>
        <item m="1" x="615"/>
        <item m="1" x="616"/>
        <item m="1" x="617"/>
        <item m="1" x="618"/>
        <item m="1" x="619"/>
        <item m="1" x="620"/>
        <item m="1" x="621"/>
        <item m="1" x="622"/>
        <item m="1" x="626"/>
        <item m="1" x="627"/>
        <item m="1" x="628"/>
        <item m="1" x="992"/>
        <item m="1" x="993"/>
        <item m="1" x="994"/>
        <item m="1" x="632"/>
        <item m="1" x="633"/>
        <item m="1" x="634"/>
        <item m="1" x="995"/>
        <item m="1" x="996"/>
        <item m="1" x="997"/>
        <item m="1" x="638"/>
        <item m="1" x="639"/>
        <item m="1" x="640"/>
        <item m="1" x="641"/>
        <item m="1" x="642"/>
        <item m="1" x="643"/>
        <item m="1" x="998"/>
        <item m="1" x="999"/>
        <item m="1" x="1000"/>
        <item m="1" x="1001"/>
        <item m="1" x="1002"/>
        <item m="1" x="1003"/>
        <item m="1" x="650"/>
        <item m="1" x="651"/>
        <item m="1" x="652"/>
        <item m="1" x="653"/>
        <item m="1" x="654"/>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686"/>
        <item m="1" x="687"/>
        <item m="1" x="688"/>
        <item m="1" x="689"/>
        <item m="1" x="690"/>
        <item m="1" x="691"/>
        <item m="1" x="692"/>
        <item m="1" x="693"/>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1035"/>
        <item m="1" x="1036"/>
        <item m="1" x="756"/>
        <item m="1" x="757"/>
        <item m="1" x="758"/>
        <item m="1" x="759"/>
        <item m="1" x="760"/>
        <item m="1" x="761"/>
        <item m="1" x="762"/>
        <item m="1" x="763"/>
        <item m="1" x="764"/>
        <item m="1" x="765"/>
        <item m="1" x="1037"/>
        <item m="1" x="1038"/>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1039"/>
        <item m="1" x="1040"/>
        <item m="1" x="1041"/>
        <item m="1" x="795"/>
        <item m="1" x="796"/>
        <item m="1" x="797"/>
        <item m="1" x="798"/>
        <item m="1" x="799"/>
        <item m="1" x="800"/>
        <item m="1" x="801"/>
        <item m="1" x="802"/>
        <item m="1" x="803"/>
        <item m="1" x="804"/>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894"/>
        <item m="1" x="895"/>
        <item m="1" x="896"/>
        <item m="1" x="897"/>
        <item m="1" x="898"/>
        <item m="1" x="899"/>
        <item m="1" x="900"/>
        <item m="1" x="901"/>
        <item m="1" x="902"/>
        <item m="1" x="903"/>
        <item m="1" x="904"/>
        <item m="1" x="905"/>
        <item m="1" x="623"/>
        <item m="1" x="624"/>
        <item m="1" x="625"/>
        <item m="1" x="805"/>
        <item m="1" x="806"/>
        <item m="1" x="807"/>
        <item m="1" x="495"/>
        <item m="1" x="496"/>
        <item m="1" x="497"/>
        <item m="1" x="498"/>
        <item m="1" x="499"/>
        <item m="1" x="506"/>
        <item m="1" x="507"/>
        <item m="1" x="510"/>
        <item m="1" x="511"/>
        <item m="1" x="512"/>
        <item m="1" x="513"/>
        <item m="1" x="514"/>
        <item m="1" x="515"/>
        <item m="1" x="516"/>
        <item m="1" x="517"/>
        <item m="1" x="518"/>
        <item m="1" x="519"/>
        <item m="1" x="520"/>
        <item m="1" x="521"/>
        <item m="1" x="522"/>
        <item m="1" x="523"/>
        <item m="1" x="524"/>
        <item m="1" x="525"/>
        <item m="1" x="526"/>
        <item m="1" x="527"/>
        <item m="1" x="528"/>
        <item m="1" x="529"/>
        <item m="1" x="534"/>
        <item m="1" x="540"/>
        <item m="1" x="541"/>
        <item m="1" x="545"/>
        <item m="1" x="546"/>
        <item m="1" x="547"/>
        <item m="1" x="548"/>
        <item m="1" x="549"/>
        <item m="1" x="550"/>
        <item m="1" x="563"/>
        <item m="1" x="564"/>
        <item m="1" x="565"/>
        <item m="1" x="566"/>
        <item m="1" x="567"/>
        <item m="1" x="568"/>
        <item m="1" x="569"/>
        <item m="1" x="570"/>
        <item m="1" x="571"/>
        <item m="1" x="572"/>
        <item m="1" x="573"/>
        <item m="1" x="577"/>
        <item m="1" x="578"/>
        <item m="1" x="579"/>
        <item m="1" x="580"/>
        <item m="1" x="581"/>
        <item m="1" x="582"/>
        <item m="1" x="583"/>
        <item m="1" x="584"/>
        <item m="1" x="585"/>
        <item m="1" x="589"/>
        <item m="1" x="590"/>
        <item m="1" x="591"/>
        <item m="1" x="604"/>
        <item m="1" x="605"/>
        <item m="1" x="606"/>
        <item m="1" x="918"/>
        <item m="1" x="919"/>
        <item m="1" x="920"/>
        <item m="1" x="921"/>
        <item m="1" x="922"/>
        <item m="1" x="923"/>
        <item m="1" x="629"/>
        <item m="1" x="630"/>
        <item m="1" x="631"/>
        <item m="1" x="635"/>
        <item m="1" x="636"/>
        <item m="1" x="637"/>
        <item m="1" x="644"/>
        <item m="1" x="645"/>
        <item m="1" x="646"/>
        <item m="1" x="647"/>
        <item m="1" x="648"/>
        <item m="1" x="649"/>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94"/>
        <item m="1" x="695"/>
        <item m="1" x="754"/>
        <item m="1" x="755"/>
        <item m="1" x="766"/>
        <item m="1" x="767"/>
        <item m="1" x="792"/>
        <item m="1" x="793"/>
        <item m="1" x="794"/>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544"/>
        <item m="1" x="553"/>
        <item m="1" x="554"/>
        <item m="1" x="555"/>
        <item m="1" x="556"/>
        <item m="1" x="559"/>
        <item m="1" x="560"/>
        <item m="1" x="561"/>
        <item m="1" x="562"/>
        <item m="1" x="592"/>
        <item m="1" x="593"/>
        <item m="1" x="594"/>
        <item m="1" x="607"/>
        <item m="1" x="608"/>
        <item m="1" x="609"/>
        <item m="1" x="610"/>
        <item m="1" x="611"/>
        <item m="1" x="6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t="default"/>
      </items>
    </pivotField>
    <pivotField numFmtId="172" showAll="0"/>
    <pivotField showAll="0"/>
    <pivotField multipleItemSelectionAllowed="1" showAll="0"/>
    <pivotField showAll="0"/>
    <pivotField dataField="1" numFmtId="172" showAll="0"/>
    <pivotField axis="axisPage" multipleItemSelectionAllowed="1" showAll="0">
      <items count="8">
        <item m="1" x="6"/>
        <item x="4"/>
        <item h="1" x="1"/>
        <item x="0"/>
        <item h="1" x="2"/>
        <item h="1" x="5"/>
        <item h="1" x="3"/>
        <item t="default"/>
      </items>
    </pivotField>
    <pivotField axis="axisPage" multipleItemSelectionAllowed="1" showAll="0">
      <items count="10">
        <item m="1" x="8"/>
        <item h="1" x="3"/>
        <item h="1" x="5"/>
        <item h="1" x="1"/>
        <item x="7"/>
        <item x="0"/>
        <item h="1" x="2"/>
        <item h="1" x="6"/>
        <item h="1" x="4"/>
        <item t="default"/>
      </items>
    </pivotField>
  </pivotFields>
  <rowFields count="1">
    <field x="5"/>
  </rowFields>
  <rowItems count="7">
    <i>
      <x v="38"/>
    </i>
    <i>
      <x v="87"/>
    </i>
    <i>
      <x v="88"/>
    </i>
    <i>
      <x v="89"/>
    </i>
    <i>
      <x v="90"/>
    </i>
    <i>
      <x v="91"/>
    </i>
    <i t="grand">
      <x/>
    </i>
  </rowItems>
  <colFields count="1">
    <field x="-2"/>
  </colFields>
  <colItems count="3">
    <i>
      <x/>
    </i>
    <i i="1">
      <x v="1"/>
    </i>
    <i i="2">
      <x v="2"/>
    </i>
  </colItems>
  <pageFields count="4">
    <pageField fld="2" hier="-1"/>
    <pageField fld="35" hier="-1"/>
    <pageField fld="41" hier="-1"/>
    <pageField fld="42" hier="-1"/>
  </pageFields>
  <dataFields count="3">
    <dataField name="Sum of Huella" fld="35" baseField="0" baseItem="0"/>
    <dataField name="Sum of Intensidad-M" fld="40" baseField="0" baseItem="0"/>
    <dataField name="Sum of Inv MM$" fld="2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77EE913-225A-4847-8F0A-E5F83A7F5D2A}" name="PivotTable16"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Z60:CC70" firstHeaderRow="0" firstDataRow="1" firstDataCol="1" rowPageCount="5" colPageCount="1"/>
  <pivotFields count="43">
    <pivotField showAll="0"/>
    <pivotField showAll="0"/>
    <pivotField axis="axisPage" multipleItemSelectionAllowed="1" showAll="0">
      <items count="5">
        <item h="1" x="2"/>
        <item x="1"/>
        <item x="0"/>
        <item x="3"/>
        <item t="default"/>
      </items>
    </pivotField>
    <pivotField showAll="0"/>
    <pivotField showAll="0"/>
    <pivotField axis="axisRow" showAll="0">
      <items count="203">
        <item x="84"/>
        <item x="83"/>
        <item x="82"/>
        <item x="69"/>
        <item x="41"/>
        <item x="27"/>
        <item x="49"/>
        <item x="145"/>
        <item x="146"/>
        <item x="181"/>
        <item x="173"/>
        <item x="193"/>
        <item x="175"/>
        <item x="170"/>
        <item x="196"/>
        <item x="166"/>
        <item x="178"/>
        <item x="179"/>
        <item x="52"/>
        <item x="12"/>
        <item x="16"/>
        <item x="15"/>
        <item x="14"/>
        <item x="17"/>
        <item x="96"/>
        <item x="97"/>
        <item x="8"/>
        <item x="85"/>
        <item x="75"/>
        <item x="105"/>
        <item x="102"/>
        <item x="198"/>
        <item x="104"/>
        <item x="103"/>
        <item x="195"/>
        <item x="130"/>
        <item x="147"/>
        <item x="149"/>
        <item x="28"/>
        <item x="66"/>
        <item x="186"/>
        <item x="73"/>
        <item x="185"/>
        <item x="44"/>
        <item x="67"/>
        <item x="53"/>
        <item x="188"/>
        <item x="43"/>
        <item x="180"/>
        <item x="171"/>
        <item x="191"/>
        <item x="54"/>
        <item x="184"/>
        <item x="125"/>
        <item x="148"/>
        <item x="115"/>
        <item x="199"/>
        <item x="55"/>
        <item x="56"/>
        <item x="63"/>
        <item x="200"/>
        <item x="57"/>
        <item x="86"/>
        <item x="87"/>
        <item x="88"/>
        <item x="46"/>
        <item x="109"/>
        <item x="35"/>
        <item x="65"/>
        <item x="194"/>
        <item x="133"/>
        <item x="0"/>
        <item x="2"/>
        <item x="1"/>
        <item x="3"/>
        <item x="4"/>
        <item x="150"/>
        <item x="58"/>
        <item x="116"/>
        <item x="9"/>
        <item x="7"/>
        <item x="183"/>
        <item x="190"/>
        <item x="21"/>
        <item x="40"/>
        <item x="23"/>
        <item x="22"/>
        <item x="45"/>
        <item x="37"/>
        <item x="36"/>
        <item x="59"/>
        <item x="42"/>
        <item x="24"/>
        <item x="114"/>
        <item x="131"/>
        <item x="122"/>
        <item x="19"/>
        <item x="152"/>
        <item x="78"/>
        <item x="182"/>
        <item x="128"/>
        <item x="197"/>
        <item x="90"/>
        <item x="89"/>
        <item x="127"/>
        <item x="126"/>
        <item x="174"/>
        <item x="13"/>
        <item x="32"/>
        <item x="79"/>
        <item x="74"/>
        <item x="121"/>
        <item x="33"/>
        <item x="64"/>
        <item x="129"/>
        <item x="141"/>
        <item x="71"/>
        <item x="60"/>
        <item x="177"/>
        <item x="31"/>
        <item x="187"/>
        <item x="169"/>
        <item x="172"/>
        <item x="176"/>
        <item x="168"/>
        <item x="154"/>
        <item x="118"/>
        <item x="120"/>
        <item x="117"/>
        <item x="101"/>
        <item x="20"/>
        <item x="189"/>
        <item x="110"/>
        <item x="111"/>
        <item x="18"/>
        <item x="132"/>
        <item x="155"/>
        <item x="76"/>
        <item x="91"/>
        <item x="39"/>
        <item x="26"/>
        <item x="139"/>
        <item x="50"/>
        <item x="112"/>
        <item x="156"/>
        <item x="158"/>
        <item x="81"/>
        <item x="25"/>
        <item x="29"/>
        <item x="38"/>
        <item x="167"/>
        <item x="159"/>
        <item x="51"/>
        <item x="77"/>
        <item x="161"/>
        <item x="162"/>
        <item x="163"/>
        <item x="164"/>
        <item x="165"/>
        <item x="124"/>
        <item x="192"/>
        <item x="62"/>
        <item x="61"/>
        <item x="94"/>
        <item x="95"/>
        <item x="80"/>
        <item x="34"/>
        <item x="119"/>
        <item x="138"/>
        <item x="143"/>
        <item x="137"/>
        <item x="142"/>
        <item x="108"/>
        <item x="160"/>
        <item x="92"/>
        <item x="151"/>
        <item x="107"/>
        <item x="123"/>
        <item x="6"/>
        <item x="72"/>
        <item x="98"/>
        <item x="113"/>
        <item x="5"/>
        <item x="10"/>
        <item x="11"/>
        <item x="30"/>
        <item x="47"/>
        <item x="48"/>
        <item x="68"/>
        <item x="70"/>
        <item x="93"/>
        <item x="99"/>
        <item x="100"/>
        <item x="106"/>
        <item x="134"/>
        <item x="135"/>
        <item x="136"/>
        <item x="140"/>
        <item x="144"/>
        <item x="153"/>
        <item x="157"/>
        <item x="201"/>
        <item t="default"/>
      </items>
    </pivotField>
    <pivotField showAll="0"/>
    <pivotField showAll="0"/>
    <pivotField showAll="0"/>
    <pivotField showAll="0"/>
    <pivotField showAll="0"/>
    <pivotField numFmtId="164" showAll="0"/>
    <pivotField showAll="0"/>
    <pivotField showAll="0"/>
    <pivotField showAll="0"/>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4730">
        <item h="1" x="95"/>
        <item m="1" x="4539"/>
        <item m="1" x="4630"/>
        <item m="1" x="4633"/>
        <item m="1" x="4513"/>
        <item m="1" x="4632"/>
        <item m="1" x="4512"/>
        <item m="1" x="4557"/>
        <item m="1" x="4631"/>
        <item m="1" x="4561"/>
        <item m="1" x="4455"/>
        <item m="1" x="4560"/>
        <item m="1" x="4519"/>
        <item m="1" x="4530"/>
        <item m="1" x="4554"/>
        <item m="1" x="4525"/>
        <item m="1" x="4522"/>
        <item m="1" x="4571"/>
        <item m="1" x="4607"/>
        <item m="1" x="4478"/>
        <item m="1" x="4555"/>
        <item m="1" x="4457"/>
        <item m="1" x="4456"/>
        <item m="1" x="4679"/>
        <item m="1" x="4635"/>
        <item m="1" x="4425"/>
        <item m="1" x="4536"/>
        <item m="1" x="4627"/>
        <item m="1" x="4556"/>
        <item m="1" x="4576"/>
        <item m="1" x="4575"/>
        <item m="1" x="4686"/>
        <item m="1" x="4551"/>
        <item m="1" x="4480"/>
        <item m="1" x="4628"/>
        <item m="1" x="4634"/>
        <item m="1" x="4728"/>
        <item m="1" x="4534"/>
        <item m="1" x="4348"/>
        <item m="1" x="4629"/>
        <item m="1" x="4524"/>
        <item m="1" x="4682"/>
        <item m="1" x="4596"/>
        <item m="1" x="4688"/>
        <item m="1" x="4727"/>
        <item m="1" x="4619"/>
        <item m="1" x="4402"/>
        <item m="1" x="4621"/>
        <item m="1" x="4535"/>
        <item m="1" x="4354"/>
        <item m="1" x="4443"/>
        <item m="1" x="4690"/>
        <item m="1" x="4687"/>
        <item m="1" x="4401"/>
        <item m="1" x="4681"/>
        <item m="1" x="4601"/>
        <item m="1" x="4350"/>
        <item m="1" x="4597"/>
        <item m="1" x="4685"/>
        <item m="1" x="4385"/>
        <item m="1" x="4386"/>
        <item m="1" x="4684"/>
        <item m="1" x="4620"/>
        <item m="1" x="4678"/>
        <item m="1" x="4614"/>
        <item m="1" x="4400"/>
        <item m="1" x="4616"/>
        <item m="1" x="4397"/>
        <item m="1" x="4602"/>
        <item m="1" x="4683"/>
        <item m="1" x="4599"/>
        <item m="1" x="4359"/>
        <item m="1" x="4399"/>
        <item m="1" x="4371"/>
        <item m="1" x="4689"/>
        <item m="1" x="4370"/>
        <item m="1" x="4446"/>
        <item m="1" x="4418"/>
        <item m="1" x="4598"/>
        <item m="1" x="4600"/>
        <item m="1" x="4347"/>
        <item m="1" x="4677"/>
        <item m="1" x="4349"/>
        <item m="1" x="4694"/>
        <item m="1" x="4696"/>
        <item m="1" x="4608"/>
        <item m="1" x="4444"/>
        <item m="1" x="4384"/>
        <item m="1" x="4353"/>
        <item m="1" x="4360"/>
        <item m="1" x="4431"/>
        <item m="1" x="4343"/>
        <item m="1" x="4398"/>
        <item m="1" x="4516"/>
        <item m="1" x="4344"/>
        <item m="1" x="4339"/>
        <item m="1" x="4352"/>
        <item m="1" x="4546"/>
        <item m="1" x="4594"/>
        <item m="1" x="4547"/>
        <item m="1" x="4338"/>
        <item m="1" x="4311"/>
        <item m="1" x="4622"/>
        <item m="1" x="4372"/>
        <item m="1" x="4340"/>
        <item m="1" x="4671"/>
        <item m="1" x="4663"/>
        <item m="1" x="4611"/>
        <item m="1" x="4405"/>
        <item m="1" x="4693"/>
        <item m="1" x="4427"/>
        <item m="1" x="4615"/>
        <item m="1" x="4708"/>
        <item m="1" x="4448"/>
        <item m="1" x="4375"/>
        <item m="1" x="4337"/>
        <item m="1" x="4714"/>
        <item m="1" x="4672"/>
        <item m="1" x="4612"/>
        <item m="1" x="4518"/>
        <item m="1" x="4346"/>
        <item m="1" x="4617"/>
        <item m="1" x="4707"/>
        <item m="1" x="4276"/>
        <item m="1" x="4604"/>
        <item m="1" x="4345"/>
        <item m="1" x="4335"/>
        <item m="1" x="4369"/>
        <item m="1" x="4680"/>
        <item m="1" x="4713"/>
        <item m="1" x="4695"/>
        <item m="1" x="4408"/>
        <item m="1" x="4515"/>
        <item m="1" x="4341"/>
        <item m="1" x="4342"/>
        <item m="1" x="4426"/>
        <item m="1" x="4605"/>
        <item m="1" x="4445"/>
        <item m="1" x="4412"/>
        <item m="1" x="4537"/>
        <item m="1" x="4404"/>
        <item m="1" x="4391"/>
        <item m="1" x="4336"/>
        <item m="1" x="4433"/>
        <item m="1" x="4606"/>
        <item m="1" x="4662"/>
        <item m="1" x="4538"/>
        <item m="1" x="4618"/>
        <item m="1" x="4275"/>
        <item m="1" x="4613"/>
        <item m="1" x="4403"/>
        <item m="1" x="4655"/>
        <item m="1" x="4532"/>
        <item m="1" x="4704"/>
        <item m="1" x="4291"/>
        <item m="1" x="4657"/>
        <item m="1" x="4447"/>
        <item m="1" x="4711"/>
        <item m="1" x="4726"/>
        <item m="1" x="4623"/>
        <item m="1" x="4517"/>
        <item m="1" x="4595"/>
        <item m="1" x="4703"/>
        <item m="1" x="4413"/>
        <item m="1" x="4626"/>
        <item m="1" x="4717"/>
        <item m="1" x="4649"/>
        <item m="1" x="4692"/>
        <item m="1" x="4298"/>
        <item m="1" x="4475"/>
        <item m="1" x="4548"/>
        <item m="1" x="4603"/>
        <item m="1" x="4559"/>
        <item m="1" x="4715"/>
        <item m="1" x="4414"/>
        <item m="1" x="4387"/>
        <item m="1" x="4287"/>
        <item m="1" x="4373"/>
        <item m="1" x="4625"/>
        <item m="1" x="4531"/>
        <item m="1" x="4654"/>
        <item m="1" x="4361"/>
        <item m="1" x="4647"/>
        <item m="1" x="4501"/>
        <item m="1" x="4656"/>
        <item m="1" x="4691"/>
        <item m="1" x="4700"/>
        <item m="1" x="4529"/>
        <item m="1" x="4415"/>
        <item m="1" x="4624"/>
        <item m="1" x="4356"/>
        <item m="1" x="4409"/>
        <item m="1" x="4503"/>
        <item m="1" x="4355"/>
        <item m="1" x="4432"/>
        <item m="1" x="4710"/>
        <item m="1" x="4541"/>
        <item m="1" x="4362"/>
        <item m="1" x="4563"/>
        <item m="1" x="4374"/>
        <item m="1" x="4487"/>
        <item m="1" x="4587"/>
        <item m="1" x="4609"/>
        <item m="1" x="4567"/>
        <item m="1" x="4550"/>
        <item m="1" x="4702"/>
        <item m="1" x="4406"/>
        <item m="1" x="4333"/>
        <item m="1" x="4509"/>
        <item m="1" x="4653"/>
        <item m="1" x="4395"/>
        <item m="1" x="4589"/>
        <item m="1" x="4648"/>
        <item m="1" x="4486"/>
        <item m="1" x="4719"/>
        <item m="1" x="4705"/>
        <item m="1" x="4452"/>
        <item m="1" x="4720"/>
        <item m="1" x="4407"/>
        <item m="1" x="4473"/>
        <item m="1" x="4483"/>
        <item m="1" x="4651"/>
        <item m="1" x="4592"/>
        <item m="1" x="4449"/>
        <item m="1" x="4307"/>
        <item m="1" x="4610"/>
        <item m="1" x="4334"/>
        <item m="1" x="4568"/>
        <item m="1" x="4523"/>
        <item m="1" x="4718"/>
        <item m="1" x="4645"/>
        <item m="1" x="4588"/>
        <item m="1" x="4676"/>
        <item m="1" x="4504"/>
        <item m="1" x="4467"/>
        <item m="1" x="4390"/>
        <item m="1" x="4698"/>
        <item m="1" x="4558"/>
        <item m="1" x="4553"/>
        <item m="1" x="4461"/>
        <item m="1" x="4297"/>
        <item m="1" x="4357"/>
        <item m="1" x="4722"/>
        <item m="1" x="4420"/>
        <item m="1" x="4659"/>
        <item m="1" x="4382"/>
        <item m="1" x="4521"/>
        <item m="1" x="4716"/>
        <item m="1" x="4388"/>
        <item m="1" x="4273"/>
        <item m="1" x="4310"/>
        <item m="1" x="4646"/>
        <item m="1" x="4643"/>
        <item m="1" x="4574"/>
        <item m="1" x="4725"/>
        <item m="1" x="4474"/>
        <item m="1" x="4500"/>
        <item m="1" x="4497"/>
        <item m="1" x="4471"/>
        <item m="1" x="4499"/>
        <item m="1" x="4316"/>
        <item m="1" x="4706"/>
        <item m="1" x="4284"/>
        <item m="1" x="4508"/>
        <item m="1" x="4302"/>
        <item m="1" x="4383"/>
        <item m="1" x="4482"/>
        <item m="1" x="4488"/>
        <item m="1" x="4493"/>
        <item m="1" x="4652"/>
        <item m="1" x="4314"/>
        <item m="1" x="4380"/>
        <item m="1" x="4281"/>
        <item m="1" x="4502"/>
        <item m="1" x="4528"/>
        <item m="1" x="4485"/>
        <item m="1" x="4712"/>
        <item m="1" x="4365"/>
        <item m="1" x="4366"/>
        <item m="1" x="4351"/>
        <item m="1" x="4552"/>
        <item m="1" x="4419"/>
        <item m="1" x="4494"/>
        <item m="1" x="4490"/>
        <item m="1" x="4411"/>
        <item m="1" x="4543"/>
        <item m="1" x="4312"/>
        <item m="1" x="4437"/>
        <item m="1" x="4489"/>
        <item m="1" x="4505"/>
        <item m="1" x="4392"/>
        <item m="1" x="4639"/>
        <item m="1" x="4451"/>
        <item m="1" x="4545"/>
        <item m="1" x="4540"/>
        <item m="1" x="4507"/>
        <item m="1" x="4439"/>
        <item m="1" x="4376"/>
        <item m="1" x="4572"/>
        <item m="1" x="4666"/>
        <item m="1" x="4514"/>
        <item m="1" x="4641"/>
        <item m="1" x="4511"/>
        <item m="1" x="4642"/>
        <item m="1" x="4484"/>
        <item m="1" x="4564"/>
        <item m="1" x="4389"/>
        <item m="1" x="4593"/>
        <item m="1" x="4394"/>
        <item m="1" x="4320"/>
        <item m="1" x="4315"/>
        <item m="1" x="4381"/>
        <item m="1" x="4709"/>
        <item m="1" x="4562"/>
        <item m="1" x="4274"/>
        <item m="1" x="4644"/>
        <item m="1" x="4379"/>
        <item m="1" x="4417"/>
        <item m="1" x="4549"/>
        <item m="1" x="4724"/>
        <item m="1" x="4721"/>
        <item m="1" x="4323"/>
        <item m="1" x="4701"/>
        <item m="1" x="4313"/>
        <item m="1" x="4453"/>
        <item m="1" x="4464"/>
        <item m="1" x="4699"/>
        <item m="1" x="4454"/>
        <item m="1" x="4358"/>
        <item m="1" x="4697"/>
        <item m="1" x="4410"/>
        <item m="1" x="4664"/>
        <item m="1" x="4658"/>
        <item m="1" x="4364"/>
        <item m="1" x="4581"/>
        <item m="1" x="4492"/>
        <item m="1" x="4363"/>
        <item m="1" x="4295"/>
        <item m="1" x="4673"/>
        <item m="1" x="4579"/>
        <item m="1" x="4650"/>
        <item m="1" x="4675"/>
        <item m="1" x="4434"/>
        <item m="1" x="4570"/>
        <item m="1" x="4321"/>
        <item m="1" x="4496"/>
        <item m="1" x="4472"/>
        <item m="1" x="4665"/>
        <item m="1" x="4526"/>
        <item m="1" x="4396"/>
        <item m="1" x="4416"/>
        <item m="1" x="4660"/>
        <item m="1" x="4520"/>
        <item m="1" x="4299"/>
        <item m="1" x="4458"/>
        <item m="1" x="4469"/>
        <item m="1" x="4377"/>
        <item m="1" x="4586"/>
        <item m="1" x="4378"/>
        <item m="1" x="4583"/>
        <item m="1" x="4590"/>
        <item m="1" x="4495"/>
        <item m="1" x="4544"/>
        <item m="1" x="4591"/>
        <item m="1" x="4470"/>
        <item m="1" x="4498"/>
        <item m="1" x="4584"/>
        <item m="1" x="4450"/>
        <item m="1" x="4580"/>
        <item m="1" x="4542"/>
        <item m="1" x="4296"/>
        <item m="1" x="4638"/>
        <item m="1" x="4393"/>
        <item m="1" x="4306"/>
        <item m="1" x="4476"/>
        <item m="1" x="4309"/>
        <item m="1" x="4585"/>
        <item m="1" x="4305"/>
        <item m="1" x="4293"/>
        <item m="1" x="4463"/>
        <item m="1" x="4582"/>
        <item m="1" x="4566"/>
        <item m="1" x="4367"/>
        <item m="1" x="4481"/>
        <item m="1" x="4368"/>
        <item m="1" x="4510"/>
        <item m="1" x="4479"/>
        <item m="1" x="4317"/>
        <item m="1" x="4421"/>
        <item m="1" x="4674"/>
        <item m="1" x="4440"/>
        <item m="1" x="4637"/>
        <item m="1" x="4308"/>
        <item m="1" x="4292"/>
        <item m="1" x="4573"/>
        <item m="1" x="4661"/>
        <item m="1" x="4322"/>
        <item m="1" x="4428"/>
        <item m="1" x="4300"/>
        <item m="1" x="4533"/>
        <item m="1" x="4289"/>
        <item m="1" x="4468"/>
        <item m="1" x="4319"/>
        <item m="1" x="4668"/>
        <item m="1" x="4279"/>
        <item m="1" x="4506"/>
        <item m="1" x="4460"/>
        <item m="1" x="4569"/>
        <item m="1" x="4466"/>
        <item m="1" x="4331"/>
        <item m="1" x="4326"/>
        <item m="1" x="4318"/>
        <item m="1" x="4282"/>
        <item m="1" x="4527"/>
        <item m="1" x="4304"/>
        <item m="1" x="4577"/>
        <item m="1" x="4636"/>
        <item m="1" x="4640"/>
        <item m="1" x="4477"/>
        <item m="1" x="4436"/>
        <item m="1" x="4329"/>
        <item m="1" x="4491"/>
        <item m="1" x="4422"/>
        <item m="1" x="4301"/>
        <item m="1" x="4288"/>
        <item m="1" x="4462"/>
        <item m="1" x="4324"/>
        <item m="1" x="4459"/>
        <item m="1" x="4327"/>
        <item m="1" x="4285"/>
        <item m="1" x="4723"/>
        <item m="1" x="4565"/>
        <item m="1" x="4325"/>
        <item m="1" x="4332"/>
        <item m="1" x="4330"/>
        <item m="1" x="4303"/>
        <item m="1" x="4277"/>
        <item m="1" x="4465"/>
        <item m="1" x="4578"/>
        <item m="1" x="4438"/>
        <item m="1" x="4328"/>
        <item m="1" x="4669"/>
        <item m="1" x="4667"/>
        <item m="1" x="4429"/>
        <item m="1" x="4435"/>
        <item m="1" x="4290"/>
        <item m="1" x="4286"/>
        <item m="1" x="4294"/>
        <item m="1" x="4283"/>
        <item m="1" x="4280"/>
        <item m="1" x="4430"/>
        <item m="1" x="4442"/>
        <item m="1" x="4424"/>
        <item m="1" x="4670"/>
        <item m="1" x="4441"/>
        <item m="1" x="4278"/>
        <item m="1" x="4423"/>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h="1" m="1" x="3918"/>
        <item h="1" m="1" x="3919"/>
        <item h="1" m="1" x="3920"/>
        <item h="1" m="1" x="3921"/>
        <item h="1" m="1" x="3922"/>
        <item h="1" m="1" x="3923"/>
        <item h="1" m="1" x="3924"/>
        <item h="1" m="1" x="3925"/>
        <item h="1" m="1" x="3926"/>
        <item h="1" m="1" x="3927"/>
        <item h="1" m="1" x="3928"/>
        <item h="1" m="1" x="3929"/>
        <item h="1" m="1" x="3930"/>
        <item h="1" m="1" x="3931"/>
        <item h="1" m="1" x="3932"/>
        <item h="1" m="1" x="3933"/>
        <item h="1" m="1" x="3934"/>
        <item h="1" m="1" x="3935"/>
        <item h="1" m="1" x="3936"/>
        <item h="1" m="1" x="3937"/>
        <item h="1" m="1" x="3938"/>
        <item h="1" m="1" x="3939"/>
        <item h="1" m="1" x="3940"/>
        <item h="1" m="1" x="3941"/>
        <item h="1" m="1" x="3942"/>
        <item h="1" m="1" x="3943"/>
        <item h="1" m="1" x="3944"/>
        <item h="1" m="1" x="3945"/>
        <item h="1" m="1" x="3946"/>
        <item h="1" m="1" x="3947"/>
        <item h="1" m="1" x="3948"/>
        <item h="1" m="1" x="3949"/>
        <item h="1" m="1" x="3950"/>
        <item h="1" m="1" x="3951"/>
        <item h="1" m="1" x="3952"/>
        <item h="1" m="1" x="3953"/>
        <item h="1" m="1" x="3954"/>
        <item h="1" m="1" x="3955"/>
        <item h="1" m="1" x="3956"/>
        <item h="1" m="1" x="3957"/>
        <item h="1" m="1" x="3958"/>
        <item h="1" m="1" x="3959"/>
        <item h="1" m="1" x="3960"/>
        <item h="1" m="1" x="3961"/>
        <item h="1" m="1" x="3962"/>
        <item h="1" m="1" x="3963"/>
        <item h="1" m="1" x="3964"/>
        <item h="1" m="1" x="3965"/>
        <item h="1" m="1" x="3966"/>
        <item h="1" m="1" x="3967"/>
        <item h="1" m="1" x="3968"/>
        <item h="1" m="1" x="3969"/>
        <item h="1" m="1" x="3970"/>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h="1" m="1" x="3046"/>
        <item h="1" m="1" x="3047"/>
        <item h="1" m="1" x="3048"/>
        <item h="1" m="1" x="3049"/>
        <item h="1" m="1" x="3050"/>
        <item h="1" m="1" x="3051"/>
        <item h="1" m="1" x="3052"/>
        <item h="1" m="1" x="3053"/>
        <item h="1" m="1" x="3054"/>
        <item h="1" m="1" x="3055"/>
        <item h="1" m="1" x="3056"/>
        <item h="1" m="1" x="3057"/>
        <item h="1" m="1" x="3058"/>
        <item h="1" m="1" x="3059"/>
        <item h="1" m="1" x="3060"/>
        <item h="1" m="1" x="3061"/>
        <item h="1" m="1" x="3062"/>
        <item h="1" m="1" x="3063"/>
        <item h="1" m="1" x="3064"/>
        <item h="1" m="1" x="3065"/>
        <item h="1" m="1" x="3066"/>
        <item h="1" m="1" x="3067"/>
        <item h="1" m="1" x="3068"/>
        <item h="1" m="1" x="3069"/>
        <item h="1" m="1" x="3070"/>
        <item h="1" m="1" x="3071"/>
        <item h="1" m="1" x="3072"/>
        <item h="1" m="1" x="3073"/>
        <item h="1" m="1" x="3074"/>
        <item h="1" m="1" x="3075"/>
        <item h="1" m="1" x="3076"/>
        <item h="1" m="1" x="3077"/>
        <item h="1" m="1" x="3078"/>
        <item h="1" m="1" x="3079"/>
        <item h="1" m="1" x="3080"/>
        <item h="1" m="1" x="3081"/>
        <item h="1" m="1" x="3082"/>
        <item h="1" m="1" x="3083"/>
        <item h="1" m="1" x="3084"/>
        <item h="1" m="1" x="3085"/>
        <item h="1" m="1" x="3086"/>
        <item h="1" m="1" x="3087"/>
        <item h="1" m="1" x="3088"/>
        <item h="1" m="1" x="3089"/>
        <item h="1" m="1" x="3090"/>
        <item h="1" m="1" x="3091"/>
        <item h="1" m="1" x="3092"/>
        <item h="1" m="1" x="3093"/>
        <item h="1" m="1" x="3094"/>
        <item h="1" m="1" x="3095"/>
        <item h="1" m="1" x="3096"/>
        <item h="1" m="1" x="3097"/>
        <item h="1" m="1" x="3098"/>
        <item h="1" m="1" x="3099"/>
        <item h="1" m="1" x="3100"/>
        <item h="1" m="1" x="3101"/>
        <item h="1" m="1" x="3102"/>
        <item h="1" m="1" x="3103"/>
        <item h="1" m="1" x="3104"/>
        <item h="1" m="1" x="3105"/>
        <item h="1" m="1" x="3106"/>
        <item h="1" m="1" x="3107"/>
        <item h="1" m="1" x="3108"/>
        <item h="1" m="1" x="3109"/>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143"/>
        <item h="1" m="1" x="3144"/>
        <item h="1" m="1" x="3145"/>
        <item h="1" m="1" x="3146"/>
        <item h="1" m="1" x="3147"/>
        <item h="1" m="1" x="3148"/>
        <item h="1" m="1" x="3149"/>
        <item h="1" m="1" x="3150"/>
        <item h="1" m="1" x="3151"/>
        <item h="1" m="1" x="3152"/>
        <item h="1" m="1" x="3153"/>
        <item h="1" m="1" x="3154"/>
        <item h="1" m="1" x="3155"/>
        <item h="1" m="1" x="3156"/>
        <item h="1" m="1" x="3157"/>
        <item h="1" m="1" x="3158"/>
        <item h="1" m="1" x="3159"/>
        <item h="1" m="1" x="3160"/>
        <item h="1" m="1" x="3161"/>
        <item h="1" m="1" x="3162"/>
        <item h="1" m="1" x="3163"/>
        <item h="1" m="1" x="3164"/>
        <item h="1" m="1" x="3165"/>
        <item h="1" m="1" x="3166"/>
        <item h="1" m="1" x="3167"/>
        <item h="1" m="1" x="3168"/>
        <item h="1" m="1" x="3169"/>
        <item h="1" m="1" x="3170"/>
        <item h="1" m="1" x="3171"/>
        <item h="1" m="1" x="3172"/>
        <item h="1" m="1" x="3173"/>
        <item h="1" m="1" x="3174"/>
        <item h="1" m="1" x="3175"/>
        <item h="1" m="1" x="3176"/>
        <item h="1" m="1" x="3177"/>
        <item h="1" m="1" x="3178"/>
        <item h="1" m="1" x="3179"/>
        <item h="1" m="1" x="3180"/>
        <item h="1" m="1" x="3181"/>
        <item h="1" m="1" x="3182"/>
        <item h="1" m="1" x="3183"/>
        <item h="1" m="1" x="3184"/>
        <item h="1" m="1" x="3185"/>
        <item h="1" m="1" x="3186"/>
        <item h="1" m="1" x="3187"/>
        <item h="1" m="1" x="3188"/>
        <item h="1" m="1" x="3189"/>
        <item h="1" m="1" x="3190"/>
        <item h="1" m="1" x="3191"/>
        <item h="1" m="1" x="3192"/>
        <item h="1" m="1" x="3193"/>
        <item h="1" m="1" x="3194"/>
        <item h="1" m="1" x="3195"/>
        <item h="1" m="1" x="3196"/>
        <item h="1" m="1" x="3197"/>
        <item h="1" m="1" x="3198"/>
        <item h="1" m="1" x="3199"/>
        <item h="1" m="1" x="3200"/>
        <item h="1" m="1" x="3201"/>
        <item h="1" m="1" x="3202"/>
        <item h="1" m="1" x="3203"/>
        <item h="1" m="1" x="3204"/>
        <item h="1" m="1" x="3205"/>
        <item h="1" m="1" x="3206"/>
        <item h="1" m="1" x="3207"/>
        <item h="1" m="1" x="3208"/>
        <item h="1" m="1" x="3209"/>
        <item h="1" m="1" x="3210"/>
        <item h="1" m="1" x="3211"/>
        <item h="1" m="1" x="3212"/>
        <item h="1" m="1" x="3213"/>
        <item h="1" m="1" x="3214"/>
        <item h="1" m="1" x="3215"/>
        <item h="1" m="1" x="3216"/>
        <item h="1" m="1" x="3217"/>
        <item h="1" m="1" x="3218"/>
        <item h="1" m="1" x="3219"/>
        <item h="1" m="1" x="3220"/>
        <item h="1" m="1" x="3221"/>
        <item h="1" m="1" x="3222"/>
        <item h="1" m="1" x="3223"/>
        <item h="1" m="1" x="3224"/>
        <item h="1" m="1" x="3225"/>
        <item h="1" m="1" x="3226"/>
        <item h="1" m="1" x="3227"/>
        <item h="1" m="1" x="3228"/>
        <item h="1" m="1" x="3229"/>
        <item h="1" m="1" x="3230"/>
        <item h="1" m="1" x="3231"/>
        <item h="1" m="1" x="3232"/>
        <item h="1" m="1" x="3233"/>
        <item h="1" m="1" x="3234"/>
        <item h="1" m="1" x="3235"/>
        <item h="1" m="1" x="3236"/>
        <item h="1" m="1" x="3237"/>
        <item h="1" m="1" x="3238"/>
        <item h="1" m="1" x="3239"/>
        <item h="1" m="1" x="3240"/>
        <item h="1" m="1" x="3241"/>
        <item h="1" m="1" x="3242"/>
        <item h="1" m="1" x="3243"/>
        <item h="1" m="1" x="3244"/>
        <item h="1" m="1" x="3245"/>
        <item h="1" m="1" x="3246"/>
        <item h="1" m="1" x="3247"/>
        <item h="1" m="1" x="3248"/>
        <item h="1" m="1" x="3249"/>
        <item h="1" m="1" x="3250"/>
        <item h="1" m="1" x="3251"/>
        <item h="1" m="1" x="3252"/>
        <item h="1" m="1" x="3253"/>
        <item h="1" m="1" x="3254"/>
        <item h="1" m="1" x="3255"/>
        <item h="1" m="1" x="3256"/>
        <item h="1" m="1" x="3257"/>
        <item h="1" m="1" x="3258"/>
        <item h="1" m="1" x="3259"/>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h="1" m="1" x="3313"/>
        <item h="1" m="1" x="3314"/>
        <item h="1" m="1" x="3315"/>
        <item h="1" m="1" x="3316"/>
        <item h="1" m="1" x="3317"/>
        <item h="1" m="1" x="3318"/>
        <item h="1" m="1" x="3319"/>
        <item h="1" m="1" x="3320"/>
        <item h="1" m="1" x="3321"/>
        <item h="1" m="1" x="3322"/>
        <item h="1" m="1" x="3323"/>
        <item h="1" m="1" x="3324"/>
        <item h="1" m="1" x="3325"/>
        <item h="1" m="1" x="3326"/>
        <item h="1" m="1" x="3327"/>
        <item h="1" m="1" x="3328"/>
        <item h="1" m="1" x="3329"/>
        <item h="1" m="1" x="3330"/>
        <item h="1" m="1" x="3331"/>
        <item h="1" m="1" x="3332"/>
        <item h="1" m="1" x="3333"/>
        <item h="1" m="1" x="3334"/>
        <item h="1" m="1" x="3335"/>
        <item h="1" m="1" x="3336"/>
        <item h="1" m="1" x="3337"/>
        <item h="1" m="1" x="3338"/>
        <item h="1" m="1" x="3339"/>
        <item h="1" m="1" x="3340"/>
        <item h="1" m="1" x="3341"/>
        <item h="1" m="1" x="3342"/>
        <item h="1" m="1" x="3343"/>
        <item h="1" m="1" x="3344"/>
        <item h="1" m="1" x="3345"/>
        <item m="1" x="2758"/>
        <item m="1" x="2769"/>
        <item m="1" x="2763"/>
        <item m="1" x="2753"/>
        <item m="1" x="2773"/>
        <item m="1" x="2755"/>
        <item m="1" x="2771"/>
        <item m="1" x="2767"/>
        <item m="1" x="2765"/>
        <item m="1" x="2760"/>
        <item m="1" x="2759"/>
        <item m="1" x="2764"/>
        <item m="1" x="2754"/>
        <item m="1" x="2770"/>
        <item m="1" x="2756"/>
        <item m="1" x="2774"/>
        <item m="1" x="2768"/>
        <item m="1" x="2766"/>
        <item m="1" x="2761"/>
        <item m="1" x="2772"/>
        <item m="1" x="2757"/>
        <item m="1" x="2762"/>
        <item m="1" x="2777"/>
        <item m="1" x="2779"/>
        <item m="1" x="2776"/>
        <item m="1" x="2778"/>
        <item m="1" x="2775"/>
        <item m="1" x="2780"/>
        <item m="1" x="2782"/>
        <item m="1" x="2783"/>
        <item m="1" x="2781"/>
        <item m="1" x="2784"/>
        <item m="1" x="2785"/>
        <item m="1" x="2788"/>
        <item m="1" x="2787"/>
        <item m="1" x="2786"/>
        <item m="1" x="2799"/>
        <item m="1" x="2797"/>
        <item m="1" x="2791"/>
        <item m="1" x="2789"/>
        <item m="1" x="2794"/>
        <item m="1" x="2798"/>
        <item m="1" x="2800"/>
        <item m="1" x="2792"/>
        <item m="1" x="2795"/>
        <item m="1" x="2790"/>
        <item m="1" x="2796"/>
        <item m="1" x="2793"/>
        <item m="1" x="2805"/>
        <item m="1" x="2802"/>
        <item m="1" x="2803"/>
        <item m="1" x="2804"/>
        <item m="1" x="2806"/>
        <item m="1" x="2801"/>
        <item m="1" x="2807"/>
        <item m="1" x="2809"/>
        <item m="1" x="2808"/>
        <item m="1" x="2810"/>
        <item m="1" x="2811"/>
        <item m="1" x="2812"/>
        <item m="1" x="3006"/>
        <item m="1" x="3005"/>
        <item m="1" x="2813"/>
        <item m="1" x="2814"/>
        <item m="1" x="2816"/>
        <item m="1" x="2815"/>
        <item m="1" x="2817"/>
        <item m="1" x="2818"/>
        <item m="1" x="3007"/>
        <item m="1" x="3008"/>
        <item m="1" x="2819"/>
        <item m="1" x="3009"/>
        <item m="1" x="3010"/>
        <item m="1" x="2821"/>
        <item m="1" x="2820"/>
        <item m="1" x="3012"/>
        <item m="1" x="3011"/>
        <item m="1" x="3013"/>
        <item m="1" x="3014"/>
        <item m="1" x="3015"/>
        <item m="1" x="3017"/>
        <item m="1" x="3016"/>
        <item m="1" x="3018"/>
        <item m="1" x="2822"/>
        <item m="1" x="2823"/>
        <item m="1" x="3021"/>
        <item m="1" x="3025"/>
        <item m="1" x="3020"/>
        <item m="1" x="3022"/>
        <item m="1" x="3019"/>
        <item m="1" x="3024"/>
        <item m="1" x="3023"/>
        <item m="1" x="3026"/>
        <item m="1" x="3027"/>
        <item m="1" x="2825"/>
        <item m="1" x="2824"/>
        <item m="1" x="3028"/>
        <item m="1" x="3029"/>
        <item m="1" x="2826"/>
        <item m="1" x="2829"/>
        <item m="1" x="2827"/>
        <item m="1" x="2828"/>
        <item m="1" x="2831"/>
        <item m="1" x="2833"/>
        <item m="1" x="2830"/>
        <item m="1" x="2832"/>
        <item m="1" x="2836"/>
        <item m="1" x="2834"/>
        <item m="1" x="2835"/>
        <item m="1" x="2837"/>
        <item m="1" x="2838"/>
        <item m="1" x="3031"/>
        <item m="1" x="3030"/>
        <item m="1" x="2839"/>
        <item m="1" x="2840"/>
        <item m="1" x="2841"/>
        <item m="1" x="3034"/>
        <item m="1" x="3033"/>
        <item m="1" x="3032"/>
        <item m="1" x="3037"/>
        <item m="1" x="3036"/>
        <item m="1" x="3035"/>
        <item m="1" x="2842"/>
        <item m="1" x="3039"/>
        <item m="1" x="3040"/>
        <item m="1" x="3038"/>
        <item m="1" x="2843"/>
        <item m="1" x="2845"/>
        <item m="1" x="2844"/>
        <item m="1" x="2847"/>
        <item m="1" x="2848"/>
        <item m="1" x="2846"/>
        <item m="1" x="2849"/>
        <item m="1" x="2851"/>
        <item m="1" x="2850"/>
        <item m="1" x="2853"/>
        <item m="1" x="2854"/>
        <item m="1" x="2852"/>
        <item m="1" x="2856"/>
        <item m="1" x="2857"/>
        <item m="1" x="2855"/>
        <item m="1" x="2858"/>
        <item m="1" x="2860"/>
        <item m="1" x="2859"/>
        <item m="1" x="3042"/>
        <item m="1" x="3043"/>
        <item m="1" x="3041"/>
        <item m="1" x="2861"/>
        <item m="1" x="2863"/>
        <item m="1" x="2862"/>
        <item m="1" x="2865"/>
        <item m="1" x="2866"/>
        <item m="1" x="2864"/>
        <item m="1" x="2867"/>
        <item m="1" x="2870"/>
        <item m="1" x="2869"/>
        <item m="1" x="2872"/>
        <item m="1" x="2868"/>
        <item m="1" x="2871"/>
        <item m="1" x="2873"/>
        <item m="1" x="2875"/>
        <item m="1" x="2874"/>
        <item m="1" x="2876"/>
        <item m="1" x="2878"/>
        <item m="1" x="2877"/>
        <item m="1" x="2880"/>
        <item m="1" x="2881"/>
        <item m="1" x="2879"/>
        <item m="1" x="2882"/>
        <item m="1" x="2884"/>
        <item m="1" x="2883"/>
        <item m="1" x="2887"/>
        <item m="1" x="2885"/>
        <item m="1" x="2889"/>
        <item m="1" x="2888"/>
        <item m="1" x="2886"/>
        <item m="1" x="2890"/>
        <item m="1" x="2891"/>
        <item m="1" x="2892"/>
        <item m="1" x="2895"/>
        <item m="1" x="2893"/>
        <item m="1" x="2894"/>
        <item m="1" x="2896"/>
        <item m="1" x="2897"/>
        <item m="1" x="2919"/>
        <item m="1" x="2916"/>
        <item m="1" x="2913"/>
        <item m="1" x="2922"/>
        <item m="1" x="2905"/>
        <item m="1" x="2902"/>
        <item m="1" x="2899"/>
        <item m="1" x="2906"/>
        <item m="1" x="2907"/>
        <item m="1" x="2918"/>
        <item m="1" x="2912"/>
        <item m="1" x="2910"/>
        <item m="1" x="2904"/>
        <item m="1" x="2921"/>
        <item m="1" x="2915"/>
        <item m="1" x="2901"/>
        <item m="1" x="2909"/>
        <item m="1" x="2920"/>
        <item m="1" x="2900"/>
        <item m="1" x="2898"/>
        <item m="1" x="2914"/>
        <item m="1" x="2911"/>
        <item m="1" x="2917"/>
        <item m="1" x="2908"/>
        <item m="1" x="2903"/>
        <item m="1" x="2923"/>
        <item m="1" x="2924"/>
        <item m="1" x="2926"/>
        <item m="1" x="2925"/>
        <item m="1" x="2928"/>
        <item m="1" x="2927"/>
        <item m="1" x="2929"/>
        <item m="1" x="2930"/>
        <item m="1" x="2931"/>
        <item m="1" x="2934"/>
        <item m="1" x="2933"/>
        <item m="1" x="2932"/>
        <item m="1" x="2938"/>
        <item m="1" x="2937"/>
        <item m="1" x="2939"/>
        <item m="1" x="2935"/>
        <item m="1" x="2936"/>
        <item m="1" x="2940"/>
        <item m="1" x="2941"/>
        <item m="1" x="2942"/>
        <item m="1" x="2943"/>
        <item m="1" x="2944"/>
        <item m="1" x="2946"/>
        <item m="1" x="2945"/>
        <item m="1" x="2947"/>
        <item m="1" x="2949"/>
        <item m="1" x="2948"/>
        <item m="1" x="2951"/>
        <item m="1" x="2952"/>
        <item m="1" x="2950"/>
        <item m="1" x="2953"/>
        <item m="1" x="2954"/>
        <item m="1" x="2955"/>
        <item m="1" x="2958"/>
        <item m="1" x="2957"/>
        <item m="1" x="2956"/>
        <item m="1" x="2959"/>
        <item m="1" x="2960"/>
        <item m="1" x="2963"/>
        <item m="1" x="2962"/>
        <item m="1" x="2961"/>
        <item m="1" x="2966"/>
        <item m="1" x="2967"/>
        <item m="1" x="2965"/>
        <item m="1" x="2964"/>
        <item m="1" x="2968"/>
        <item m="1" x="2969"/>
        <item m="1" x="2972"/>
        <item m="1" x="2971"/>
        <item m="1" x="2970"/>
        <item m="1" x="2973"/>
        <item m="1" x="2974"/>
        <item m="1" x="2975"/>
        <item m="1" x="2976"/>
        <item m="1" x="2978"/>
        <item m="1" x="2977"/>
        <item m="1" x="2979"/>
        <item m="1" x="2980"/>
        <item m="1" x="2981"/>
        <item m="1" x="2982"/>
        <item m="1" x="2984"/>
        <item m="1" x="2985"/>
        <item m="1" x="2983"/>
        <item m="1" x="2986"/>
        <item m="1" x="2989"/>
        <item m="1" x="2988"/>
        <item m="1" x="2987"/>
        <item m="1" x="2993"/>
        <item m="1" x="2990"/>
        <item m="1" x="2992"/>
        <item m="1" x="2994"/>
        <item m="1" x="2991"/>
        <item m="1" x="2995"/>
        <item m="1" x="2996"/>
        <item m="1" x="3002"/>
        <item m="1" x="3004"/>
        <item m="1" x="2998"/>
        <item m="1" x="3000"/>
        <item m="1" x="3001"/>
        <item m="1" x="3003"/>
        <item m="1" x="2997"/>
        <item m="1" x="2999"/>
        <item m="1" x="3044"/>
        <item m="1" x="3045"/>
        <item m="1" x="2342"/>
        <item m="1" x="2347"/>
        <item m="1" x="2343"/>
        <item m="1" x="2350"/>
        <item m="1" x="2340"/>
        <item m="1" x="2345"/>
        <item m="1" x="2351"/>
        <item m="1" x="2344"/>
        <item m="1" x="2352"/>
        <item m="1" x="2341"/>
        <item m="1" x="2348"/>
        <item m="1" x="2346"/>
        <item m="1" x="2353"/>
        <item m="1" x="2339"/>
        <item m="1" x="2349"/>
        <item m="1" x="2354"/>
        <item m="1" x="2355"/>
        <item m="1" x="2356"/>
        <item m="1" x="2357"/>
        <item m="1" x="2358"/>
        <item m="1" x="2359"/>
        <item m="1" x="2360"/>
        <item m="1" x="2365"/>
        <item m="1" x="2361"/>
        <item m="1" x="2362"/>
        <item m="1" x="2363"/>
        <item m="1" x="2364"/>
        <item m="1" x="2366"/>
        <item m="1" x="2368"/>
        <item m="1" x="2367"/>
        <item m="1" x="2369"/>
        <item m="1" x="2370"/>
        <item m="1" x="2371"/>
        <item m="1" x="2372"/>
        <item m="1" x="2376"/>
        <item m="1" x="2375"/>
        <item m="1" x="2378"/>
        <item m="1" x="2373"/>
        <item m="1" x="2377"/>
        <item m="1" x="2374"/>
        <item m="1" x="2379"/>
        <item m="1" x="2380"/>
        <item m="1" x="2382"/>
        <item m="1" x="2381"/>
        <item m="1" x="2389"/>
        <item m="1" x="2388"/>
        <item m="1" x="2390"/>
        <item m="1" x="2393"/>
        <item m="1" x="2394"/>
        <item m="1" x="2421"/>
        <item m="1" x="2422"/>
        <item m="1" x="2433"/>
        <item m="1" x="2432"/>
        <item m="1" x="2434"/>
        <item m="1" x="2435"/>
        <item m="1" x="2749"/>
        <item m="1" x="2750"/>
        <item m="1" x="2751"/>
        <item m="1" x="2752"/>
        <item m="1" x="2440"/>
        <item m="1" x="2441"/>
        <item m="1" x="2442"/>
        <item m="1" x="2458"/>
        <item m="1" x="2457"/>
        <item m="1" x="2459"/>
        <item m="1" x="2472"/>
        <item m="1" x="2478"/>
        <item m="1" x="2477"/>
        <item m="1" x="2476"/>
        <item m="1" x="2481"/>
        <item m="1" x="2479"/>
        <item m="1" x="2480"/>
        <item m="1" x="2484"/>
        <item m="1" x="2483"/>
        <item m="1" x="2482"/>
        <item m="1" x="2487"/>
        <item m="1" x="2485"/>
        <item m="1" x="2486"/>
        <item m="1" x="2491"/>
        <item m="1" x="2492"/>
        <item m="1" x="2493"/>
        <item m="1" x="2496"/>
        <item m="1" x="2495"/>
        <item m="1" x="2494"/>
        <item m="1" x="2500"/>
        <item m="1" x="2502"/>
        <item m="1" x="2501"/>
        <item m="1" x="2504"/>
        <item m="1" x="2503"/>
        <item m="1" x="2505"/>
        <item m="1" x="2507"/>
        <item m="1" x="2510"/>
        <item m="1" x="2508"/>
        <item m="1" x="2509"/>
        <item m="1" x="2511"/>
        <item m="1" x="2506"/>
        <item m="1" x="2516"/>
        <item m="1" x="2517"/>
        <item m="1" x="2515"/>
        <item m="1" x="2522"/>
        <item m="1" x="2523"/>
        <item m="1" x="2521"/>
        <item m="1" x="2525"/>
        <item m="1" x="2524"/>
        <item m="1" x="2526"/>
        <item m="1" x="2534"/>
        <item m="1" x="2535"/>
        <item m="1" x="2533"/>
        <item m="1" x="2536"/>
        <item m="1" x="2537"/>
        <item m="1" x="2571"/>
        <item m="1" x="2573"/>
        <item m="1" x="2572"/>
        <item m="1" x="2575"/>
        <item m="1" x="2574"/>
        <item m="1" x="2576"/>
        <item m="1" x="2578"/>
        <item m="1" x="2577"/>
        <item m="1" x="2592"/>
        <item m="1" x="2584"/>
        <item m="1" x="2581"/>
        <item m="1" x="2585"/>
        <item m="1" x="2591"/>
        <item m="1" x="2583"/>
        <item m="1" x="2588"/>
        <item m="1" x="2595"/>
        <item m="1" x="2580"/>
        <item m="1" x="2586"/>
        <item m="1" x="2596"/>
        <item m="1" x="2582"/>
        <item m="1" x="2589"/>
        <item m="1" x="2587"/>
        <item m="1" x="2593"/>
        <item m="1" x="2597"/>
        <item m="1" x="2579"/>
        <item m="1" x="2590"/>
        <item m="1" x="2594"/>
        <item m="1" x="2598"/>
        <item m="1" x="2600"/>
        <item m="1" x="2599"/>
        <item m="1" x="2601"/>
        <item m="1" x="2602"/>
        <item m="1" x="2604"/>
        <item m="1" x="2603"/>
        <item m="1" x="2605"/>
        <item m="1" x="2606"/>
        <item m="1" x="2607"/>
        <item m="1" x="2609"/>
        <item m="1" x="2610"/>
        <item m="1" x="2608"/>
        <item m="1" x="2617"/>
        <item m="1" x="2611"/>
        <item m="1" x="2614"/>
        <item m="1" x="2615"/>
        <item m="1" x="2612"/>
        <item m="1" x="2613"/>
        <item m="1" x="2616"/>
        <item m="1" x="2619"/>
        <item m="1" x="2618"/>
        <item m="1" x="2620"/>
        <item m="1" x="2622"/>
        <item m="1" x="2621"/>
        <item m="1" x="2624"/>
        <item m="1" x="2623"/>
        <item m="1" x="2625"/>
        <item m="1" x="2626"/>
        <item m="1" x="2627"/>
        <item m="1" x="2632"/>
        <item m="1" x="2633"/>
        <item m="1" x="2635"/>
        <item m="1" x="2634"/>
        <item m="1" x="2636"/>
        <item m="1" x="2637"/>
        <item m="1" x="2639"/>
        <item m="1" x="2640"/>
        <item m="1" x="2638"/>
        <item m="1" x="2641"/>
        <item m="1" x="2642"/>
        <item m="1" x="2644"/>
        <item m="1" x="2645"/>
        <item m="1" x="2643"/>
        <item m="1" x="2650"/>
        <item m="1" x="2649"/>
        <item m="1" x="2654"/>
        <item m="1" x="2651"/>
        <item m="1" x="2653"/>
        <item m="1" x="2652"/>
        <item m="1" x="2656"/>
        <item m="1" x="2655"/>
        <item m="1" x="2657"/>
        <item m="1" x="2658"/>
        <item m="1" x="2659"/>
        <item m="1" x="2660"/>
        <item m="1" x="2661"/>
        <item m="1" x="2662"/>
        <item m="1" x="2664"/>
        <item m="1" x="2663"/>
        <item m="1" x="2666"/>
        <item m="1" x="2665"/>
        <item m="1" x="2668"/>
        <item m="1" x="2667"/>
        <item m="1" x="2670"/>
        <item m="1" x="2674"/>
        <item m="1" x="2675"/>
        <item m="1" x="2669"/>
        <item m="1" x="2672"/>
        <item m="1" x="2671"/>
        <item m="1" x="2673"/>
        <item m="1" x="2676"/>
        <item m="1" x="2680"/>
        <item m="1" x="2678"/>
        <item m="1" x="2679"/>
        <item m="1" x="2677"/>
        <item m="1" x="2682"/>
        <item m="1" x="2683"/>
        <item m="1" x="2681"/>
        <item m="1" x="2687"/>
        <item m="1" x="2685"/>
        <item m="1" x="2684"/>
        <item m="1" x="2686"/>
        <item m="1" x="2741"/>
        <item m="1" x="2743"/>
        <item m="1" x="2746"/>
        <item m="1" x="2744"/>
        <item m="1" x="2745"/>
        <item m="1" x="2742"/>
        <item m="1" x="2748"/>
        <item m="1" x="2747"/>
        <item h="1" m="1" x="2383"/>
        <item h="1" m="1" x="2384"/>
        <item h="1" m="1" x="2385"/>
        <item h="1" m="1" x="2386"/>
        <item h="1" m="1" x="2387"/>
        <item h="1" m="1" x="2391"/>
        <item h="1" m="1" x="2392"/>
        <item h="1" m="1" x="2395"/>
        <item h="1" m="1" x="2396"/>
        <item h="1" m="1" x="2397"/>
        <item h="1" m="1" x="2398"/>
        <item h="1" m="1" x="2399"/>
        <item h="1" m="1" x="2400"/>
        <item h="1" m="1" x="2401"/>
        <item h="1" m="1" x="2402"/>
        <item h="1" m="1" x="2403"/>
        <item h="1" m="1" x="2404"/>
        <item h="1" m="1" x="2405"/>
        <item h="1" m="1" x="2406"/>
        <item h="1" m="1" x="2407"/>
        <item h="1" m="1" x="2408"/>
        <item h="1" m="1" x="2409"/>
        <item h="1" m="1" x="2410"/>
        <item h="1" m="1" x="2411"/>
        <item h="1" m="1" x="2412"/>
        <item h="1" m="1" x="2413"/>
        <item h="1" m="1" x="2414"/>
        <item h="1" m="1" x="2415"/>
        <item h="1" m="1" x="2416"/>
        <item h="1" m="1" x="2417"/>
        <item h="1" m="1" x="2418"/>
        <item h="1" m="1" x="2419"/>
        <item h="1" m="1" x="2420"/>
        <item h="1" m="1" x="2423"/>
        <item h="1" m="1" x="2424"/>
        <item h="1" m="1" x="2425"/>
        <item h="1" m="1" x="2426"/>
        <item h="1" m="1" x="2427"/>
        <item h="1" m="1" x="2428"/>
        <item h="1" m="1" x="2429"/>
        <item h="1" m="1" x="2430"/>
        <item h="1" m="1" x="2431"/>
        <item h="1" m="1" x="2436"/>
        <item h="1" m="1" x="2437"/>
        <item h="1" m="1" x="2438"/>
        <item h="1" m="1" x="2439"/>
        <item h="1" m="1" x="2443"/>
        <item h="1" m="1" x="2444"/>
        <item h="1" m="1" x="2445"/>
        <item h="1" m="1" x="2446"/>
        <item h="1" m="1" x="2447"/>
        <item h="1" m="1" x="2448"/>
        <item h="1" m="1" x="2449"/>
        <item h="1" m="1" x="2450"/>
        <item h="1" m="1" x="2451"/>
        <item h="1" m="1" x="2452"/>
        <item h="1" m="1" x="2453"/>
        <item h="1" m="1" x="2454"/>
        <item h="1" m="1" x="2455"/>
        <item h="1" m="1" x="2456"/>
        <item h="1" m="1" x="2460"/>
        <item h="1" m="1" x="2461"/>
        <item h="1" m="1" x="2462"/>
        <item h="1" m="1" x="2463"/>
        <item h="1" m="1" x="2464"/>
        <item h="1" m="1" x="2465"/>
        <item h="1" m="1" x="2466"/>
        <item h="1" m="1" x="2467"/>
        <item h="1" m="1" x="2468"/>
        <item h="1" m="1" x="2469"/>
        <item h="1" m="1" x="2470"/>
        <item h="1" m="1" x="2471"/>
        <item h="1" m="1" x="2473"/>
        <item h="1" m="1" x="2474"/>
        <item h="1" m="1" x="2475"/>
        <item h="1" m="1" x="2488"/>
        <item h="1" m="1" x="2489"/>
        <item h="1" m="1" x="2490"/>
        <item h="1" m="1" x="2497"/>
        <item h="1" m="1" x="2498"/>
        <item h="1" m="1" x="2499"/>
        <item h="1" m="1" x="2512"/>
        <item h="1" m="1" x="2513"/>
        <item h="1" m="1" x="2514"/>
        <item h="1" m="1" x="2518"/>
        <item h="1" m="1" x="2519"/>
        <item h="1" m="1" x="2520"/>
        <item h="1" m="1" x="2527"/>
        <item h="1" m="1" x="2528"/>
        <item h="1" m="1" x="2529"/>
        <item h="1" m="1" x="2530"/>
        <item h="1" m="1" x="2531"/>
        <item h="1" m="1" x="2532"/>
        <item h="1" m="1" x="2538"/>
        <item h="1" m="1" x="2539"/>
        <item h="1" m="1" x="2540"/>
        <item h="1" m="1" x="2541"/>
        <item h="1" m="1" x="2542"/>
        <item h="1" m="1" x="2543"/>
        <item h="1" m="1" x="2544"/>
        <item h="1" m="1" x="2545"/>
        <item h="1" m="1" x="2546"/>
        <item h="1" m="1" x="2547"/>
        <item h="1" m="1" x="2548"/>
        <item h="1" m="1" x="2549"/>
        <item h="1" m="1" x="2550"/>
        <item h="1" m="1" x="2551"/>
        <item h="1" m="1" x="2552"/>
        <item h="1" m="1" x="2553"/>
        <item h="1" m="1" x="2554"/>
        <item h="1" m="1" x="2555"/>
        <item h="1" m="1" x="2556"/>
        <item h="1" m="1" x="2557"/>
        <item h="1" m="1" x="2558"/>
        <item h="1" m="1" x="2559"/>
        <item h="1" m="1" x="2560"/>
        <item h="1" m="1" x="2561"/>
        <item h="1" m="1" x="2562"/>
        <item h="1" m="1" x="2563"/>
        <item h="1" m="1" x="2564"/>
        <item h="1" m="1" x="2565"/>
        <item h="1" m="1" x="2566"/>
        <item h="1" m="1" x="2567"/>
        <item h="1" m="1" x="2568"/>
        <item h="1" m="1" x="2569"/>
        <item h="1" m="1" x="2570"/>
        <item h="1" m="1" x="2628"/>
        <item h="1" m="1" x="2629"/>
        <item h="1" m="1" x="2630"/>
        <item h="1" m="1" x="2631"/>
        <item h="1" m="1" x="2646"/>
        <item h="1" m="1" x="2647"/>
        <item h="1" m="1" x="2648"/>
        <item h="1" m="1" x="2688"/>
        <item h="1" m="1" x="2689"/>
        <item h="1" m="1" x="2690"/>
        <item h="1" m="1" x="2691"/>
        <item h="1" m="1" x="2692"/>
        <item h="1" m="1" x="2693"/>
        <item h="1" m="1" x="2694"/>
        <item h="1" m="1" x="2695"/>
        <item h="1" m="1" x="2696"/>
        <item h="1" m="1" x="2697"/>
        <item h="1" m="1" x="2698"/>
        <item h="1" m="1" x="2699"/>
        <item h="1" m="1" x="2700"/>
        <item h="1" m="1" x="2701"/>
        <item h="1" m="1" x="2702"/>
        <item h="1" m="1" x="2703"/>
        <item h="1" m="1" x="2704"/>
        <item h="1" m="1" x="2705"/>
        <item h="1" m="1" x="2706"/>
        <item h="1" m="1" x="2707"/>
        <item h="1" m="1" x="2708"/>
        <item h="1" m="1" x="2709"/>
        <item h="1" m="1" x="2710"/>
        <item h="1" m="1" x="2711"/>
        <item h="1" m="1" x="2712"/>
        <item h="1" m="1" x="2713"/>
        <item h="1" m="1" x="2714"/>
        <item h="1" m="1" x="2715"/>
        <item h="1" m="1" x="2716"/>
        <item h="1" m="1" x="2717"/>
        <item h="1" m="1" x="2718"/>
        <item h="1" m="1" x="2719"/>
        <item h="1" m="1" x="2720"/>
        <item h="1" m="1" x="2721"/>
        <item h="1" m="1" x="2722"/>
        <item h="1" m="1" x="2723"/>
        <item h="1" m="1" x="2724"/>
        <item h="1" m="1" x="2725"/>
        <item h="1" m="1" x="2726"/>
        <item h="1" m="1" x="2727"/>
        <item h="1" m="1" x="2728"/>
        <item h="1" m="1" x="2729"/>
        <item h="1" m="1" x="2730"/>
        <item h="1" m="1" x="2731"/>
        <item h="1" m="1" x="2732"/>
        <item h="1" m="1" x="2733"/>
        <item h="1" m="1" x="2734"/>
        <item h="1" m="1" x="2735"/>
        <item h="1" m="1" x="2736"/>
        <item h="1" m="1" x="2737"/>
        <item h="1" m="1" x="2738"/>
        <item h="1" m="1" x="2739"/>
        <item h="1" m="1" x="2740"/>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095"/>
        <item m="1" x="1096"/>
        <item m="1" x="1097"/>
        <item m="1" x="1098"/>
        <item m="1" x="1099"/>
        <item m="1" x="1100"/>
        <item m="1" x="1107"/>
        <item m="1" x="1108"/>
        <item m="1" x="1109"/>
        <item m="1" x="1110"/>
        <item m="1" x="1111"/>
        <item m="1" x="1112"/>
        <item m="1" x="1101"/>
        <item m="1" x="1102"/>
        <item m="1" x="1103"/>
        <item m="1" x="1104"/>
        <item m="1" x="1105"/>
        <item m="1" x="1106"/>
        <item m="1" x="1113"/>
        <item m="1" x="1114"/>
        <item m="1" x="1115"/>
        <item m="1" x="1116"/>
        <item m="1" x="1117"/>
        <item m="1" x="1118"/>
        <item m="1" x="1119"/>
        <item m="1" x="1121"/>
        <item m="1" x="1122"/>
        <item m="1" x="1120"/>
        <item m="1" x="1123"/>
        <item m="1" x="1124"/>
        <item m="1" x="1127"/>
        <item m="1" x="1128"/>
        <item m="1" x="1125"/>
        <item m="1" x="1126"/>
        <item m="1" x="1133"/>
        <item m="1" x="1134"/>
        <item m="1" x="1129"/>
        <item m="1" x="1130"/>
        <item m="1" x="1131"/>
        <item m="1" x="1132"/>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6"/>
        <item m="1" x="1185"/>
        <item m="1" x="1187"/>
        <item m="1" x="1192"/>
        <item m="1" x="1193"/>
        <item m="1" x="1190"/>
        <item m="1" x="1191"/>
        <item m="1" x="1188"/>
        <item m="1" x="1189"/>
        <item m="1" x="1194"/>
        <item m="1" x="1195"/>
        <item m="1" x="1196"/>
        <item m="1" x="1197"/>
        <item m="1" x="1198"/>
        <item m="1" x="1201"/>
        <item m="1" x="1202"/>
        <item m="1" x="1199"/>
        <item m="1" x="1200"/>
        <item m="1" x="1203"/>
        <item m="1" x="1204"/>
        <item m="1" x="1205"/>
        <item m="1" x="1206"/>
        <item m="1" x="1207"/>
        <item m="1" x="1208"/>
        <item m="1" x="1211"/>
        <item m="1" x="1212"/>
        <item m="1" x="1209"/>
        <item m="1" x="1210"/>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5"/>
        <item m="1" x="1276"/>
        <item m="1" x="1274"/>
        <item m="1" x="1279"/>
        <item m="1" x="1277"/>
        <item m="1" x="1278"/>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9"/>
        <item m="1" x="1308"/>
        <item m="1" x="1310"/>
        <item m="1" x="1311"/>
        <item m="1" x="1312"/>
        <item m="1" x="1313"/>
        <item m="1" x="1314"/>
        <item m="1" x="1315"/>
        <item m="1" x="1316"/>
        <item m="1" x="1317"/>
        <item m="1" x="1318"/>
        <item m="1" x="1319"/>
        <item m="1" x="1320"/>
        <item m="1" x="1321"/>
        <item m="1" x="1322"/>
        <item m="1" x="1323"/>
        <item m="1" x="1324"/>
        <item m="1" x="1325"/>
        <item m="1" x="1328"/>
        <item m="1" x="1326"/>
        <item m="1" x="1327"/>
        <item m="1" x="1329"/>
        <item m="1" x="1330"/>
        <item m="1" x="1332"/>
        <item m="1" x="1331"/>
        <item m="1" x="1335"/>
        <item m="1" x="1333"/>
        <item m="1" x="1334"/>
        <item m="1" x="1336"/>
        <item m="1" x="1337"/>
        <item m="1" x="1338"/>
        <item m="1" x="1339"/>
        <item m="1" x="1340"/>
        <item m="1" x="1341"/>
        <item m="1" x="1343"/>
        <item m="1" x="1354"/>
        <item m="1" x="1352"/>
        <item m="1" x="1353"/>
        <item m="1" x="1350"/>
        <item m="1" x="1351"/>
        <item m="1" x="1344"/>
        <item m="1" x="1345"/>
        <item m="1" x="1346"/>
        <item m="1" x="1347"/>
        <item m="1" x="1348"/>
        <item m="1" x="1349"/>
        <item m="1" x="1342"/>
        <item m="1" x="1355"/>
        <item m="1" x="1356"/>
        <item m="1" x="1357"/>
        <item m="1" x="1358"/>
        <item m="1" x="1359"/>
        <item m="1" x="1360"/>
        <item m="1" x="1361"/>
        <item m="1" x="1362"/>
        <item m="1" x="1363"/>
        <item m="1" x="1364"/>
        <item m="1" x="1365"/>
        <item m="1" x="1366"/>
        <item m="1" x="1367"/>
        <item m="1" x="1369"/>
        <item m="1" x="1368"/>
        <item m="1" x="1371"/>
        <item m="1" x="1372"/>
        <item m="1" x="1370"/>
        <item m="1" x="1373"/>
        <item m="1" x="1374"/>
        <item m="1" x="1375"/>
        <item m="1" x="1376"/>
        <item m="1" x="1377"/>
        <item m="1" x="1378"/>
        <item m="1" x="1379"/>
        <item m="1" x="1380"/>
        <item m="1" x="1381"/>
        <item m="1" x="1384"/>
        <item m="1" x="1385"/>
        <item m="1" x="1382"/>
        <item m="1" x="1383"/>
        <item m="1" x="1387"/>
        <item m="1" x="1386"/>
        <item m="1" x="1390"/>
        <item m="1" x="1391"/>
        <item m="1" x="1392"/>
        <item m="1" x="1393"/>
        <item m="1" x="1395"/>
        <item m="1" x="1396"/>
        <item m="1" x="1394"/>
        <item m="1" x="1399"/>
        <item m="1" x="1397"/>
        <item m="1" x="1398"/>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7"/>
        <item m="1" x="1428"/>
        <item m="1" x="1426"/>
        <item m="1" x="1429"/>
        <item m="1" x="1430"/>
        <item m="1" x="1431"/>
        <item m="1" x="1432"/>
        <item m="1" x="1433"/>
        <item m="1" x="1434"/>
        <item m="1" x="1435"/>
        <item m="1" x="1437"/>
        <item m="1" x="1438"/>
        <item m="1" x="1436"/>
        <item m="1" x="1440"/>
        <item m="1" x="1441"/>
        <item m="1" x="1439"/>
        <item m="1" x="1442"/>
        <item m="1" x="1443"/>
        <item m="1" x="1444"/>
        <item m="1" x="1445"/>
        <item m="1" x="1446"/>
        <item m="1" x="1447"/>
        <item m="1" x="1448"/>
        <item m="1" x="1451"/>
        <item m="1" x="1449"/>
        <item m="1" x="1450"/>
        <item m="1" x="1452"/>
        <item m="1" x="1456"/>
        <item m="1" x="1453"/>
        <item m="1" x="1454"/>
        <item m="1" x="1455"/>
        <item m="1" x="1463"/>
        <item m="1" x="1464"/>
        <item m="1" x="1462"/>
        <item m="1" x="1459"/>
        <item m="1" x="1460"/>
        <item m="1" x="1461"/>
        <item m="1" x="1457"/>
        <item m="1" x="1458"/>
        <item m="1" x="1465"/>
        <item m="1" x="1466"/>
        <item m="1" x="1467"/>
        <item m="1" x="1468"/>
        <item m="1" x="1469"/>
        <item m="1" x="1470"/>
        <item m="1" x="1471"/>
        <item m="1" x="1472"/>
        <item m="1" x="1473"/>
        <item m="1" x="1474"/>
        <item m="1" x="1475"/>
        <item m="1" x="1476"/>
        <item m="1" x="1477"/>
        <item m="1" x="1478"/>
        <item m="1" x="1479"/>
        <item m="1" x="1480"/>
        <item m="1" x="1481"/>
        <item m="1" x="1482"/>
        <item m="1" x="1483"/>
        <item m="1" x="1062"/>
        <item m="1" x="1484"/>
        <item m="1" x="1485"/>
        <item m="1" x="1486"/>
        <item m="1" x="1488"/>
        <item m="1" x="1487"/>
        <item m="1" x="1489"/>
        <item m="1" x="1490"/>
        <item m="1" x="1491"/>
        <item m="1" x="1492"/>
        <item m="1" x="1493"/>
        <item m="1" x="1494"/>
        <item m="1" x="1496"/>
        <item m="1" x="1495"/>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23"/>
        <item m="1" x="1524"/>
        <item m="1" x="1525"/>
        <item m="1" x="1521"/>
        <item m="1" x="1522"/>
        <item m="1" x="1517"/>
        <item m="1" x="1518"/>
        <item m="1" x="1519"/>
        <item m="1" x="1520"/>
        <item m="1" x="1526"/>
        <item m="1" x="1527"/>
        <item m="1" x="1388"/>
        <item m="1" x="1389"/>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h="1" m="1" x="924"/>
        <item h="1" m="1" x="925"/>
        <item h="1" m="1" x="926"/>
        <item h="1" m="1" x="927"/>
        <item h="1" m="1" x="928"/>
        <item m="1" x="500"/>
        <item m="1" x="501"/>
        <item m="1" x="502"/>
        <item m="1" x="503"/>
        <item m="1" x="504"/>
        <item m="1" x="505"/>
        <item h="1" m="1" x="929"/>
        <item h="1" m="1" x="930"/>
        <item m="1" x="508"/>
        <item m="1" x="509"/>
        <item h="1" m="1" x="931"/>
        <item h="1" m="1" x="932"/>
        <item h="1" m="1" x="933"/>
        <item h="1" m="1" x="934"/>
        <item h="1" m="1" x="935"/>
        <item h="1" m="1" x="936"/>
        <item h="1" m="1" x="937"/>
        <item h="1" m="1" x="938"/>
        <item h="1" m="1" x="939"/>
        <item h="1" m="1" x="940"/>
        <item h="1" m="1" x="941"/>
        <item h="1" m="1" x="942"/>
        <item h="1" m="1" x="943"/>
        <item h="1" m="1" x="944"/>
        <item h="1" m="1" x="945"/>
        <item h="1" m="1" x="946"/>
        <item h="1" m="1" x="947"/>
        <item h="1" m="1" x="948"/>
        <item h="1" m="1" x="949"/>
        <item h="1" m="1" x="950"/>
        <item m="1" x="530"/>
        <item m="1" x="531"/>
        <item m="1" x="532"/>
        <item m="1" x="533"/>
        <item h="1" m="1" x="951"/>
        <item m="1" x="535"/>
        <item m="1" x="536"/>
        <item m="1" x="537"/>
        <item m="1" x="538"/>
        <item m="1" x="539"/>
        <item h="1" m="1" x="952"/>
        <item h="1" m="1" x="953"/>
        <item m="1" x="542"/>
        <item m="1" x="543"/>
        <item m="1" x="906"/>
        <item h="1" m="1" x="954"/>
        <item h="1" m="1" x="955"/>
        <item h="1" m="1" x="956"/>
        <item h="1" m="1" x="957"/>
        <item h="1" m="1" x="958"/>
        <item h="1" m="1" x="959"/>
        <item m="1" x="551"/>
        <item m="1" x="552"/>
        <item m="1" x="907"/>
        <item m="1" x="908"/>
        <item m="1" x="909"/>
        <item m="1" x="910"/>
        <item m="1" x="557"/>
        <item m="1" x="558"/>
        <item m="1" x="911"/>
        <item m="1" x="912"/>
        <item m="1" x="913"/>
        <item m="1" x="914"/>
        <item h="1" m="1" x="960"/>
        <item h="1" m="1" x="961"/>
        <item h="1" m="1" x="962"/>
        <item h="1" m="1" x="963"/>
        <item h="1" m="1" x="964"/>
        <item h="1" m="1" x="965"/>
        <item h="1" m="1" x="966"/>
        <item h="1" m="1" x="967"/>
        <item h="1" m="1" x="968"/>
        <item h="1" m="1" x="969"/>
        <item h="1" m="1" x="970"/>
        <item m="1" x="574"/>
        <item m="1" x="575"/>
        <item m="1" x="576"/>
        <item h="1" m="1" x="971"/>
        <item h="1" m="1" x="972"/>
        <item h="1" m="1" x="973"/>
        <item h="1" m="1" x="974"/>
        <item h="1" m="1" x="975"/>
        <item h="1" m="1" x="976"/>
        <item h="1" m="1" x="977"/>
        <item h="1" m="1" x="978"/>
        <item h="1" m="1" x="979"/>
        <item m="1" x="586"/>
        <item m="1" x="587"/>
        <item m="1" x="588"/>
        <item h="1" m="1" x="980"/>
        <item h="1" m="1" x="981"/>
        <item h="1" m="1" x="982"/>
        <item m="1" x="915"/>
        <item m="1" x="916"/>
        <item m="1" x="917"/>
        <item m="1" x="595"/>
        <item m="1" x="596"/>
        <item m="1" x="597"/>
        <item m="1" x="598"/>
        <item m="1" x="599"/>
        <item m="1" x="600"/>
        <item m="1" x="601"/>
        <item m="1" x="602"/>
        <item m="1" x="603"/>
        <item h="1" m="1" x="983"/>
        <item h="1" m="1" x="984"/>
        <item h="1" m="1" x="985"/>
        <item h="1" m="1" x="986"/>
        <item h="1" m="1" x="987"/>
        <item h="1" m="1" x="988"/>
        <item h="1" m="1" x="989"/>
        <item h="1" m="1" x="990"/>
        <item h="1" m="1" x="991"/>
        <item m="1" x="613"/>
        <item m="1" x="614"/>
        <item m="1" x="615"/>
        <item m="1" x="616"/>
        <item m="1" x="617"/>
        <item m="1" x="618"/>
        <item m="1" x="619"/>
        <item m="1" x="620"/>
        <item m="1" x="621"/>
        <item m="1" x="622"/>
        <item m="1" x="626"/>
        <item m="1" x="627"/>
        <item m="1" x="628"/>
        <item h="1" m="1" x="992"/>
        <item h="1" m="1" x="993"/>
        <item h="1" m="1" x="994"/>
        <item m="1" x="632"/>
        <item m="1" x="633"/>
        <item m="1" x="634"/>
        <item h="1" m="1" x="995"/>
        <item h="1" m="1" x="996"/>
        <item h="1" m="1" x="997"/>
        <item m="1" x="638"/>
        <item m="1" x="639"/>
        <item m="1" x="640"/>
        <item m="1" x="641"/>
        <item m="1" x="642"/>
        <item m="1" x="643"/>
        <item h="1" m="1" x="998"/>
        <item h="1" m="1" x="999"/>
        <item h="1" m="1" x="1000"/>
        <item h="1" m="1" x="1001"/>
        <item h="1" m="1" x="1002"/>
        <item h="1" m="1" x="1003"/>
        <item m="1" x="650"/>
        <item m="1" x="651"/>
        <item m="1" x="652"/>
        <item m="1" x="653"/>
        <item m="1" x="654"/>
        <item h="1" m="1" x="1004"/>
        <item h="1" m="1" x="1005"/>
        <item h="1" m="1" x="1006"/>
        <item h="1" m="1" x="1007"/>
        <item h="1" m="1" x="1008"/>
        <item h="1" m="1" x="1009"/>
        <item h="1" m="1" x="1010"/>
        <item h="1" m="1" x="1011"/>
        <item h="1" m="1" x="1012"/>
        <item h="1" m="1" x="1013"/>
        <item h="1" m="1" x="1014"/>
        <item h="1" m="1" x="1015"/>
        <item h="1" m="1" x="1016"/>
        <item h="1" m="1" x="1017"/>
        <item h="1" m="1" x="1018"/>
        <item h="1" m="1" x="1019"/>
        <item h="1" m="1" x="1020"/>
        <item h="1" m="1" x="1021"/>
        <item h="1" m="1" x="1022"/>
        <item h="1" m="1" x="1023"/>
        <item h="1" m="1" x="1024"/>
        <item h="1" m="1" x="1025"/>
        <item h="1" m="1" x="1026"/>
        <item h="1" m="1" x="1027"/>
        <item h="1" m="1" x="1028"/>
        <item h="1" m="1" x="1029"/>
        <item h="1" m="1" x="1030"/>
        <item h="1" m="1" x="1031"/>
        <item h="1" m="1" x="1032"/>
        <item h="1" m="1" x="1033"/>
        <item h="1" m="1" x="1034"/>
        <item m="1" x="686"/>
        <item m="1" x="687"/>
        <item m="1" x="688"/>
        <item m="1" x="689"/>
        <item m="1" x="690"/>
        <item m="1" x="691"/>
        <item m="1" x="692"/>
        <item m="1" x="693"/>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h="1" m="1" x="1035"/>
        <item h="1" m="1" x="1036"/>
        <item m="1" x="756"/>
        <item m="1" x="757"/>
        <item m="1" x="758"/>
        <item m="1" x="759"/>
        <item m="1" x="760"/>
        <item m="1" x="761"/>
        <item m="1" x="762"/>
        <item m="1" x="763"/>
        <item m="1" x="764"/>
        <item m="1" x="765"/>
        <item h="1" m="1" x="1037"/>
        <item h="1" m="1" x="1038"/>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h="1" m="1" x="1039"/>
        <item h="1" m="1" x="1040"/>
        <item h="1" m="1" x="1041"/>
        <item m="1" x="795"/>
        <item m="1" x="796"/>
        <item m="1" x="797"/>
        <item m="1" x="798"/>
        <item m="1" x="799"/>
        <item m="1" x="800"/>
        <item m="1" x="801"/>
        <item m="1" x="802"/>
        <item m="1" x="803"/>
        <item m="1" x="804"/>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h="1" m="1" x="1042"/>
        <item h="1" m="1" x="1043"/>
        <item h="1" m="1" x="1044"/>
        <item h="1" m="1" x="1045"/>
        <item h="1" m="1" x="1046"/>
        <item h="1" m="1" x="1047"/>
        <item h="1" m="1" x="1048"/>
        <item h="1" m="1" x="1049"/>
        <item h="1" m="1" x="1050"/>
        <item h="1" m="1" x="1051"/>
        <item h="1" m="1" x="1052"/>
        <item h="1" m="1" x="1053"/>
        <item h="1" m="1" x="1054"/>
        <item h="1" m="1" x="1055"/>
        <item h="1" m="1" x="1056"/>
        <item h="1" m="1" x="1057"/>
        <item h="1" m="1" x="1058"/>
        <item h="1" m="1" x="1059"/>
        <item h="1" m="1" x="1060"/>
        <item h="1" m="1" x="1061"/>
        <item h="1" m="1" x="1063"/>
        <item h="1" m="1" x="1064"/>
        <item h="1" m="1" x="1065"/>
        <item h="1" m="1" x="1066"/>
        <item h="1" m="1" x="1067"/>
        <item h="1" m="1" x="1068"/>
        <item h="1" m="1" x="1069"/>
        <item h="1" m="1" x="1070"/>
        <item h="1" m="1" x="1071"/>
        <item h="1" m="1" x="1072"/>
        <item h="1" m="1" x="1073"/>
        <item h="1" m="1" x="1074"/>
        <item h="1" m="1" x="1075"/>
        <item h="1" m="1" x="1076"/>
        <item h="1" m="1" x="1077"/>
        <item h="1" m="1" x="1078"/>
        <item h="1" m="1" x="1079"/>
        <item h="1" m="1" x="1080"/>
        <item h="1" m="1" x="1081"/>
        <item h="1" m="1" x="1082"/>
        <item h="1" m="1" x="1083"/>
        <item h="1" m="1" x="1084"/>
        <item h="1" m="1" x="1085"/>
        <item h="1" m="1" x="1086"/>
        <item h="1" m="1" x="1087"/>
        <item h="1" m="1" x="1088"/>
        <item h="1" m="1" x="1089"/>
        <item h="1" m="1" x="1090"/>
        <item h="1" m="1" x="1091"/>
        <item h="1" m="1" x="1092"/>
        <item h="1" m="1" x="1093"/>
        <item h="1" m="1" x="1094"/>
        <item m="1" x="894"/>
        <item m="1" x="895"/>
        <item m="1" x="896"/>
        <item m="1" x="897"/>
        <item m="1" x="898"/>
        <item m="1" x="899"/>
        <item m="1" x="900"/>
        <item m="1" x="901"/>
        <item m="1" x="902"/>
        <item m="1" x="903"/>
        <item m="1" x="904"/>
        <item m="1" x="905"/>
        <item m="1" x="623"/>
        <item m="1" x="624"/>
        <item m="1" x="625"/>
        <item m="1" x="805"/>
        <item m="1" x="806"/>
        <item m="1" x="807"/>
        <item m="1" x="495"/>
        <item m="1" x="496"/>
        <item m="1" x="497"/>
        <item m="1" x="498"/>
        <item m="1" x="499"/>
        <item m="1" x="506"/>
        <item m="1" x="507"/>
        <item m="1" x="510"/>
        <item m="1" x="511"/>
        <item m="1" x="512"/>
        <item m="1" x="513"/>
        <item m="1" x="514"/>
        <item m="1" x="515"/>
        <item m="1" x="516"/>
        <item m="1" x="517"/>
        <item m="1" x="518"/>
        <item m="1" x="519"/>
        <item m="1" x="520"/>
        <item m="1" x="521"/>
        <item m="1" x="522"/>
        <item m="1" x="523"/>
        <item m="1" x="524"/>
        <item m="1" x="525"/>
        <item m="1" x="526"/>
        <item m="1" x="527"/>
        <item m="1" x="528"/>
        <item m="1" x="529"/>
        <item m="1" x="534"/>
        <item m="1" x="540"/>
        <item m="1" x="541"/>
        <item m="1" x="545"/>
        <item m="1" x="546"/>
        <item m="1" x="547"/>
        <item m="1" x="548"/>
        <item m="1" x="549"/>
        <item m="1" x="550"/>
        <item m="1" x="563"/>
        <item m="1" x="564"/>
        <item m="1" x="565"/>
        <item m="1" x="566"/>
        <item m="1" x="567"/>
        <item m="1" x="568"/>
        <item m="1" x="569"/>
        <item m="1" x="570"/>
        <item m="1" x="571"/>
        <item m="1" x="572"/>
        <item m="1" x="573"/>
        <item m="1" x="577"/>
        <item m="1" x="578"/>
        <item m="1" x="579"/>
        <item m="1" x="580"/>
        <item m="1" x="581"/>
        <item m="1" x="582"/>
        <item m="1" x="583"/>
        <item m="1" x="584"/>
        <item m="1" x="585"/>
        <item m="1" x="589"/>
        <item m="1" x="590"/>
        <item m="1" x="591"/>
        <item m="1" x="604"/>
        <item m="1" x="605"/>
        <item m="1" x="606"/>
        <item m="1" x="918"/>
        <item m="1" x="919"/>
        <item m="1" x="920"/>
        <item m="1" x="921"/>
        <item m="1" x="922"/>
        <item m="1" x="923"/>
        <item m="1" x="629"/>
        <item m="1" x="630"/>
        <item m="1" x="631"/>
        <item m="1" x="635"/>
        <item m="1" x="636"/>
        <item m="1" x="637"/>
        <item m="1" x="644"/>
        <item m="1" x="645"/>
        <item m="1" x="646"/>
        <item m="1" x="647"/>
        <item m="1" x="648"/>
        <item m="1" x="649"/>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94"/>
        <item m="1" x="695"/>
        <item m="1" x="754"/>
        <item m="1" x="755"/>
        <item m="1" x="766"/>
        <item m="1" x="767"/>
        <item m="1" x="792"/>
        <item m="1" x="793"/>
        <item m="1" x="794"/>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544"/>
        <item m="1" x="553"/>
        <item m="1" x="554"/>
        <item m="1" x="555"/>
        <item m="1" x="556"/>
        <item m="1" x="559"/>
        <item m="1" x="560"/>
        <item m="1" x="561"/>
        <item m="1" x="562"/>
        <item m="1" x="592"/>
        <item m="1" x="593"/>
        <item m="1" x="594"/>
        <item m="1" x="607"/>
        <item m="1" x="608"/>
        <item m="1" x="609"/>
        <item m="1" x="610"/>
        <item m="1" x="611"/>
        <item m="1" x="6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t="default"/>
      </items>
    </pivotField>
    <pivotField numFmtId="172" showAll="0"/>
    <pivotField showAll="0"/>
    <pivotField axis="axisPage" multipleItemSelectionAllowed="1" showAll="0">
      <items count="8">
        <item h="1" x="4"/>
        <item h="1" x="2"/>
        <item h="1" x="0"/>
        <item x="1"/>
        <item h="1" m="1" x="6"/>
        <item h="1" x="3"/>
        <item h="1" x="5"/>
        <item t="default"/>
      </items>
    </pivotField>
    <pivotField showAll="0"/>
    <pivotField dataField="1" numFmtId="172" showAll="0"/>
    <pivotField axis="axisPage" multipleItemSelectionAllowed="1" showAll="0">
      <items count="8">
        <item m="1" x="6"/>
        <item h="1" x="4"/>
        <item h="1" x="1"/>
        <item h="1" x="0"/>
        <item x="2"/>
        <item h="1" x="5"/>
        <item h="1" x="3"/>
        <item t="default"/>
      </items>
    </pivotField>
    <pivotField axis="axisPage" multipleItemSelectionAllowed="1" showAll="0">
      <items count="10">
        <item m="1" x="8"/>
        <item h="1" x="2"/>
        <item x="3"/>
        <item x="5"/>
        <item x="1"/>
        <item h="1" x="7"/>
        <item x="0"/>
        <item x="6"/>
        <item h="1" x="4"/>
        <item t="default"/>
      </items>
    </pivotField>
  </pivotFields>
  <rowFields count="2">
    <field x="17"/>
    <field x="5"/>
  </rowFields>
  <rowItems count="10">
    <i>
      <x/>
    </i>
    <i r="1">
      <x v="114"/>
    </i>
    <i r="1">
      <x v="115"/>
    </i>
    <i r="1">
      <x v="171"/>
    </i>
    <i r="1">
      <x v="180"/>
    </i>
    <i r="1">
      <x v="191"/>
    </i>
    <i>
      <x v="1"/>
    </i>
    <i r="1">
      <x v="95"/>
    </i>
    <i r="1">
      <x v="159"/>
    </i>
    <i t="grand">
      <x/>
    </i>
  </rowItems>
  <colFields count="1">
    <field x="-2"/>
  </colFields>
  <colItems count="3">
    <i>
      <x/>
    </i>
    <i i="1">
      <x v="1"/>
    </i>
    <i i="2">
      <x v="2"/>
    </i>
  </colItems>
  <pageFields count="5">
    <pageField fld="2" hier="-1"/>
    <pageField fld="35" hier="-1"/>
    <pageField fld="38" hier="-1"/>
    <pageField fld="41" hier="-1"/>
    <pageField fld="42" hier="-1"/>
  </pageFields>
  <dataFields count="3">
    <dataField name="Sum of Huella" fld="35" baseField="0" baseItem="0"/>
    <dataField name="Sum of Intensidad-M" fld="40" baseField="0" baseItem="0"/>
    <dataField name="Sum of Inv MM$" fld="28" baseField="0" baseItem="0"/>
  </dataFields>
  <formats count="4">
    <format dxfId="15">
      <pivotArea field="17" grandRow="1" outline="0" collapsedLevelsAreSubtotals="1" axis="axisRow" fieldPosition="0">
        <references count="1">
          <reference field="4294967294" count="1" selected="0">
            <x v="2"/>
          </reference>
        </references>
      </pivotArea>
    </format>
    <format dxfId="14">
      <pivotArea collapsedLevelsAreSubtotals="1" fieldPosition="0">
        <references count="2">
          <reference field="4294967294" count="1" selected="0">
            <x v="0"/>
          </reference>
          <reference field="17" count="1">
            <x v="0"/>
          </reference>
        </references>
      </pivotArea>
    </format>
    <format dxfId="13">
      <pivotArea collapsedLevelsAreSubtotals="1" fieldPosition="0">
        <references count="2">
          <reference field="4294967294" count="1" selected="0">
            <x v="2"/>
          </reference>
          <reference field="17" count="1">
            <x v="0"/>
          </reference>
        </references>
      </pivotArea>
    </format>
    <format dxfId="12">
      <pivotArea collapsedLevelsAreSubtotals="1" fieldPosition="0">
        <references count="2">
          <reference field="4294967294" count="1" selected="0">
            <x v="2"/>
          </reference>
          <reference field="17"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DAB71AA-E7F3-4B04-9D2D-FE104FD2752D}" name="PivotTable3"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Q52:AS199" firstHeaderRow="0" firstDataRow="1" firstDataCol="1" rowPageCount="5" colPageCount="1"/>
  <pivotFields count="43">
    <pivotField showAll="0"/>
    <pivotField showAll="0"/>
    <pivotField axis="axisPage" multipleItemSelectionAllowed="1" showAll="0">
      <items count="5">
        <item h="1" x="2"/>
        <item x="1"/>
        <item x="0"/>
        <item x="3"/>
        <item t="default"/>
      </items>
    </pivotField>
    <pivotField showAll="0"/>
    <pivotField showAll="0"/>
    <pivotField axis="axisRow" showAll="0">
      <items count="203">
        <item x="84"/>
        <item x="83"/>
        <item x="82"/>
        <item x="69"/>
        <item x="41"/>
        <item x="27"/>
        <item x="49"/>
        <item x="145"/>
        <item x="146"/>
        <item x="181"/>
        <item x="173"/>
        <item x="193"/>
        <item x="175"/>
        <item x="170"/>
        <item x="196"/>
        <item x="166"/>
        <item x="178"/>
        <item x="179"/>
        <item x="52"/>
        <item x="12"/>
        <item x="16"/>
        <item x="15"/>
        <item x="14"/>
        <item x="17"/>
        <item x="96"/>
        <item x="97"/>
        <item x="8"/>
        <item x="85"/>
        <item x="75"/>
        <item x="105"/>
        <item x="102"/>
        <item x="198"/>
        <item x="103"/>
        <item x="195"/>
        <item x="130"/>
        <item x="147"/>
        <item x="149"/>
        <item x="28"/>
        <item x="66"/>
        <item x="186"/>
        <item x="73"/>
        <item x="185"/>
        <item x="44"/>
        <item x="67"/>
        <item x="53"/>
        <item x="188"/>
        <item x="43"/>
        <item x="180"/>
        <item x="171"/>
        <item x="191"/>
        <item x="54"/>
        <item x="184"/>
        <item x="125"/>
        <item x="148"/>
        <item x="115"/>
        <item x="199"/>
        <item x="55"/>
        <item x="56"/>
        <item x="63"/>
        <item x="200"/>
        <item x="57"/>
        <item x="86"/>
        <item x="87"/>
        <item x="88"/>
        <item x="46"/>
        <item x="109"/>
        <item x="35"/>
        <item x="65"/>
        <item x="194"/>
        <item x="133"/>
        <item x="0"/>
        <item x="2"/>
        <item x="1"/>
        <item x="3"/>
        <item x="4"/>
        <item x="150"/>
        <item x="58"/>
        <item x="116"/>
        <item x="7"/>
        <item x="183"/>
        <item x="190"/>
        <item x="21"/>
        <item x="40"/>
        <item x="22"/>
        <item x="45"/>
        <item x="37"/>
        <item x="36"/>
        <item x="59"/>
        <item x="42"/>
        <item x="24"/>
        <item x="114"/>
        <item x="122"/>
        <item x="19"/>
        <item x="152"/>
        <item x="78"/>
        <item x="182"/>
        <item x="128"/>
        <item x="197"/>
        <item x="90"/>
        <item x="89"/>
        <item x="127"/>
        <item x="126"/>
        <item x="174"/>
        <item x="13"/>
        <item x="79"/>
        <item x="74"/>
        <item x="121"/>
        <item x="33"/>
        <item x="64"/>
        <item x="129"/>
        <item x="141"/>
        <item x="71"/>
        <item x="60"/>
        <item x="177"/>
        <item x="31"/>
        <item x="187"/>
        <item x="169"/>
        <item x="172"/>
        <item x="176"/>
        <item x="168"/>
        <item x="154"/>
        <item x="118"/>
        <item x="120"/>
        <item x="117"/>
        <item x="101"/>
        <item x="20"/>
        <item x="189"/>
        <item x="110"/>
        <item x="111"/>
        <item x="18"/>
        <item x="132"/>
        <item x="155"/>
        <item x="76"/>
        <item x="91"/>
        <item x="39"/>
        <item x="26"/>
        <item x="50"/>
        <item x="156"/>
        <item x="81"/>
        <item x="25"/>
        <item x="29"/>
        <item x="38"/>
        <item x="167"/>
        <item x="159"/>
        <item x="51"/>
        <item x="77"/>
        <item x="161"/>
        <item x="163"/>
        <item x="164"/>
        <item x="124"/>
        <item x="192"/>
        <item x="62"/>
        <item x="61"/>
        <item x="94"/>
        <item x="95"/>
        <item x="80"/>
        <item x="34"/>
        <item x="32"/>
        <item x="104"/>
        <item x="139"/>
        <item x="131"/>
        <item x="158"/>
        <item x="162"/>
        <item x="9"/>
        <item x="23"/>
        <item x="165"/>
        <item x="112"/>
        <item x="119"/>
        <item x="138"/>
        <item x="143"/>
        <item x="137"/>
        <item x="142"/>
        <item x="108"/>
        <item x="160"/>
        <item x="92"/>
        <item x="151"/>
        <item x="107"/>
        <item x="123"/>
        <item x="6"/>
        <item x="72"/>
        <item x="98"/>
        <item x="113"/>
        <item x="5"/>
        <item x="10"/>
        <item x="11"/>
        <item x="30"/>
        <item x="47"/>
        <item x="48"/>
        <item x="68"/>
        <item x="70"/>
        <item x="93"/>
        <item x="99"/>
        <item x="100"/>
        <item x="106"/>
        <item x="134"/>
        <item x="135"/>
        <item x="136"/>
        <item x="140"/>
        <item x="144"/>
        <item x="153"/>
        <item x="157"/>
        <item x="201"/>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4730">
        <item h="1" x="95"/>
        <item m="1" x="4539"/>
        <item m="1" x="4630"/>
        <item m="1" x="4633"/>
        <item m="1" x="4513"/>
        <item m="1" x="4632"/>
        <item m="1" x="4512"/>
        <item m="1" x="4557"/>
        <item m="1" x="4631"/>
        <item m="1" x="4561"/>
        <item m="1" x="4455"/>
        <item m="1" x="4560"/>
        <item m="1" x="4519"/>
        <item m="1" x="4530"/>
        <item m="1" x="4554"/>
        <item m="1" x="4525"/>
        <item m="1" x="4522"/>
        <item m="1" x="4571"/>
        <item m="1" x="4607"/>
        <item m="1" x="4478"/>
        <item m="1" x="4555"/>
        <item m="1" x="4457"/>
        <item m="1" x="4456"/>
        <item m="1" x="4679"/>
        <item m="1" x="4635"/>
        <item m="1" x="4425"/>
        <item m="1" x="4536"/>
        <item m="1" x="4627"/>
        <item m="1" x="4556"/>
        <item m="1" x="4576"/>
        <item m="1" x="4575"/>
        <item m="1" x="4686"/>
        <item m="1" x="4551"/>
        <item m="1" x="4480"/>
        <item m="1" x="4628"/>
        <item m="1" x="4634"/>
        <item m="1" x="4728"/>
        <item m="1" x="4534"/>
        <item m="1" x="4348"/>
        <item m="1" x="4629"/>
        <item m="1" x="4524"/>
        <item m="1" x="4682"/>
        <item m="1" x="4596"/>
        <item m="1" x="4688"/>
        <item m="1" x="4727"/>
        <item m="1" x="4619"/>
        <item m="1" x="4402"/>
        <item m="1" x="4621"/>
        <item m="1" x="4535"/>
        <item m="1" x="4354"/>
        <item m="1" x="4443"/>
        <item m="1" x="4690"/>
        <item m="1" x="4687"/>
        <item m="1" x="4401"/>
        <item m="1" x="4681"/>
        <item m="1" x="4601"/>
        <item m="1" x="4350"/>
        <item m="1" x="4597"/>
        <item m="1" x="4685"/>
        <item m="1" x="4385"/>
        <item m="1" x="4386"/>
        <item m="1" x="4684"/>
        <item m="1" x="4620"/>
        <item m="1" x="4678"/>
        <item m="1" x="4614"/>
        <item m="1" x="4400"/>
        <item m="1" x="4616"/>
        <item m="1" x="4397"/>
        <item m="1" x="4602"/>
        <item m="1" x="4683"/>
        <item m="1" x="4599"/>
        <item m="1" x="4359"/>
        <item m="1" x="4399"/>
        <item m="1" x="4371"/>
        <item m="1" x="4689"/>
        <item m="1" x="4370"/>
        <item m="1" x="4446"/>
        <item m="1" x="4418"/>
        <item m="1" x="4598"/>
        <item m="1" x="4600"/>
        <item m="1" x="4347"/>
        <item m="1" x="4677"/>
        <item m="1" x="4349"/>
        <item m="1" x="4694"/>
        <item m="1" x="4696"/>
        <item m="1" x="4608"/>
        <item m="1" x="4444"/>
        <item m="1" x="4384"/>
        <item m="1" x="4353"/>
        <item m="1" x="4360"/>
        <item m="1" x="4431"/>
        <item m="1" x="4343"/>
        <item m="1" x="4398"/>
        <item m="1" x="4516"/>
        <item m="1" x="4344"/>
        <item m="1" x="4339"/>
        <item m="1" x="4352"/>
        <item m="1" x="4546"/>
        <item m="1" x="4594"/>
        <item m="1" x="4547"/>
        <item m="1" x="4338"/>
        <item m="1" x="4311"/>
        <item m="1" x="4622"/>
        <item m="1" x="4372"/>
        <item m="1" x="4340"/>
        <item m="1" x="4671"/>
        <item m="1" x="4663"/>
        <item m="1" x="4611"/>
        <item m="1" x="4405"/>
        <item m="1" x="4693"/>
        <item m="1" x="4427"/>
        <item m="1" x="4615"/>
        <item m="1" x="4708"/>
        <item m="1" x="4448"/>
        <item m="1" x="4375"/>
        <item m="1" x="4337"/>
        <item m="1" x="4714"/>
        <item m="1" x="4672"/>
        <item m="1" x="4612"/>
        <item m="1" x="4518"/>
        <item m="1" x="4346"/>
        <item m="1" x="4617"/>
        <item m="1" x="4707"/>
        <item m="1" x="4276"/>
        <item m="1" x="4604"/>
        <item m="1" x="4345"/>
        <item m="1" x="4335"/>
        <item m="1" x="4369"/>
        <item m="1" x="4680"/>
        <item m="1" x="4713"/>
        <item m="1" x="4695"/>
        <item m="1" x="4408"/>
        <item m="1" x="4515"/>
        <item m="1" x="4341"/>
        <item m="1" x="4342"/>
        <item m="1" x="4426"/>
        <item m="1" x="4605"/>
        <item m="1" x="4445"/>
        <item m="1" x="4412"/>
        <item m="1" x="4537"/>
        <item m="1" x="4404"/>
        <item m="1" x="4391"/>
        <item m="1" x="4336"/>
        <item m="1" x="4433"/>
        <item m="1" x="4606"/>
        <item m="1" x="4662"/>
        <item m="1" x="4538"/>
        <item m="1" x="4618"/>
        <item m="1" x="4275"/>
        <item m="1" x="4613"/>
        <item m="1" x="4403"/>
        <item m="1" x="4655"/>
        <item m="1" x="4532"/>
        <item m="1" x="4704"/>
        <item m="1" x="4291"/>
        <item m="1" x="4657"/>
        <item m="1" x="4447"/>
        <item m="1" x="4711"/>
        <item m="1" x="4726"/>
        <item m="1" x="4623"/>
        <item m="1" x="4517"/>
        <item m="1" x="4595"/>
        <item m="1" x="4703"/>
        <item m="1" x="4413"/>
        <item m="1" x="4626"/>
        <item m="1" x="4717"/>
        <item m="1" x="4649"/>
        <item m="1" x="4692"/>
        <item m="1" x="4298"/>
        <item m="1" x="4475"/>
        <item m="1" x="4548"/>
        <item m="1" x="4603"/>
        <item m="1" x="4559"/>
        <item m="1" x="4715"/>
        <item m="1" x="4414"/>
        <item m="1" x="4387"/>
        <item m="1" x="4287"/>
        <item m="1" x="4373"/>
        <item m="1" x="4625"/>
        <item m="1" x="4531"/>
        <item m="1" x="4654"/>
        <item m="1" x="4361"/>
        <item m="1" x="4647"/>
        <item m="1" x="4501"/>
        <item m="1" x="4656"/>
        <item m="1" x="4691"/>
        <item m="1" x="4700"/>
        <item m="1" x="4529"/>
        <item m="1" x="4415"/>
        <item m="1" x="4624"/>
        <item m="1" x="4356"/>
        <item m="1" x="4409"/>
        <item m="1" x="4503"/>
        <item m="1" x="4355"/>
        <item m="1" x="4432"/>
        <item m="1" x="4710"/>
        <item m="1" x="4541"/>
        <item m="1" x="4362"/>
        <item m="1" x="4563"/>
        <item m="1" x="4374"/>
        <item m="1" x="4487"/>
        <item m="1" x="4587"/>
        <item m="1" x="4609"/>
        <item m="1" x="4567"/>
        <item m="1" x="4550"/>
        <item m="1" x="4702"/>
        <item m="1" x="4406"/>
        <item m="1" x="4333"/>
        <item m="1" x="4509"/>
        <item m="1" x="4653"/>
        <item m="1" x="4395"/>
        <item m="1" x="4589"/>
        <item m="1" x="4648"/>
        <item m="1" x="4486"/>
        <item m="1" x="4719"/>
        <item m="1" x="4705"/>
        <item m="1" x="4452"/>
        <item m="1" x="4720"/>
        <item m="1" x="4407"/>
        <item m="1" x="4473"/>
        <item m="1" x="4483"/>
        <item m="1" x="4651"/>
        <item m="1" x="4592"/>
        <item m="1" x="4449"/>
        <item m="1" x="4307"/>
        <item m="1" x="4610"/>
        <item m="1" x="4334"/>
        <item m="1" x="4568"/>
        <item m="1" x="4523"/>
        <item m="1" x="4718"/>
        <item m="1" x="4645"/>
        <item m="1" x="4588"/>
        <item m="1" x="4676"/>
        <item m="1" x="4504"/>
        <item m="1" x="4467"/>
        <item m="1" x="4390"/>
        <item m="1" x="4698"/>
        <item m="1" x="4558"/>
        <item m="1" x="4553"/>
        <item m="1" x="4461"/>
        <item m="1" x="4297"/>
        <item m="1" x="4357"/>
        <item m="1" x="4722"/>
        <item m="1" x="4420"/>
        <item m="1" x="4659"/>
        <item m="1" x="4382"/>
        <item m="1" x="4521"/>
        <item m="1" x="4716"/>
        <item m="1" x="4388"/>
        <item m="1" x="4273"/>
        <item m="1" x="4310"/>
        <item m="1" x="4646"/>
        <item m="1" x="4643"/>
        <item m="1" x="4574"/>
        <item m="1" x="4725"/>
        <item m="1" x="4474"/>
        <item m="1" x="4500"/>
        <item m="1" x="4497"/>
        <item m="1" x="4471"/>
        <item m="1" x="4499"/>
        <item m="1" x="4316"/>
        <item m="1" x="4706"/>
        <item m="1" x="4284"/>
        <item m="1" x="4508"/>
        <item m="1" x="4302"/>
        <item m="1" x="4383"/>
        <item m="1" x="4482"/>
        <item m="1" x="4488"/>
        <item m="1" x="4493"/>
        <item m="1" x="4652"/>
        <item m="1" x="4314"/>
        <item m="1" x="4380"/>
        <item m="1" x="4281"/>
        <item m="1" x="4502"/>
        <item m="1" x="4528"/>
        <item m="1" x="4485"/>
        <item m="1" x="4712"/>
        <item m="1" x="4365"/>
        <item m="1" x="4366"/>
        <item m="1" x="4351"/>
        <item m="1" x="4552"/>
        <item m="1" x="4419"/>
        <item m="1" x="4494"/>
        <item m="1" x="4490"/>
        <item m="1" x="4411"/>
        <item m="1" x="4543"/>
        <item m="1" x="4312"/>
        <item m="1" x="4437"/>
        <item m="1" x="4489"/>
        <item m="1" x="4505"/>
        <item m="1" x="4392"/>
        <item m="1" x="4639"/>
        <item m="1" x="4451"/>
        <item m="1" x="4545"/>
        <item m="1" x="4540"/>
        <item m="1" x="4507"/>
        <item m="1" x="4439"/>
        <item m="1" x="4376"/>
        <item m="1" x="4572"/>
        <item m="1" x="4666"/>
        <item m="1" x="4514"/>
        <item m="1" x="4641"/>
        <item m="1" x="4511"/>
        <item m="1" x="4642"/>
        <item m="1" x="4484"/>
        <item m="1" x="4564"/>
        <item m="1" x="4389"/>
        <item m="1" x="4593"/>
        <item m="1" x="4394"/>
        <item m="1" x="4320"/>
        <item m="1" x="4315"/>
        <item m="1" x="4381"/>
        <item m="1" x="4709"/>
        <item m="1" x="4562"/>
        <item m="1" x="4274"/>
        <item m="1" x="4644"/>
        <item m="1" x="4379"/>
        <item m="1" x="4417"/>
        <item m="1" x="4549"/>
        <item m="1" x="4724"/>
        <item m="1" x="4721"/>
        <item m="1" x="4323"/>
        <item m="1" x="4701"/>
        <item m="1" x="4313"/>
        <item m="1" x="4453"/>
        <item m="1" x="4464"/>
        <item m="1" x="4699"/>
        <item m="1" x="4454"/>
        <item m="1" x="4358"/>
        <item m="1" x="4697"/>
        <item m="1" x="4410"/>
        <item m="1" x="4664"/>
        <item m="1" x="4658"/>
        <item m="1" x="4364"/>
        <item m="1" x="4581"/>
        <item m="1" x="4492"/>
        <item m="1" x="4363"/>
        <item m="1" x="4295"/>
        <item m="1" x="4673"/>
        <item m="1" x="4579"/>
        <item m="1" x="4650"/>
        <item m="1" x="4675"/>
        <item m="1" x="4434"/>
        <item m="1" x="4570"/>
        <item m="1" x="4321"/>
        <item m="1" x="4496"/>
        <item m="1" x="4472"/>
        <item m="1" x="4665"/>
        <item m="1" x="4526"/>
        <item m="1" x="4396"/>
        <item m="1" x="4416"/>
        <item m="1" x="4660"/>
        <item m="1" x="4520"/>
        <item m="1" x="4299"/>
        <item m="1" x="4458"/>
        <item m="1" x="4469"/>
        <item m="1" x="4377"/>
        <item m="1" x="4586"/>
        <item m="1" x="4378"/>
        <item m="1" x="4583"/>
        <item m="1" x="4590"/>
        <item m="1" x="4495"/>
        <item m="1" x="4544"/>
        <item m="1" x="4591"/>
        <item m="1" x="4470"/>
        <item m="1" x="4498"/>
        <item m="1" x="4584"/>
        <item m="1" x="4450"/>
        <item m="1" x="4580"/>
        <item m="1" x="4542"/>
        <item m="1" x="4296"/>
        <item m="1" x="4638"/>
        <item m="1" x="4393"/>
        <item m="1" x="4306"/>
        <item m="1" x="4476"/>
        <item m="1" x="4309"/>
        <item m="1" x="4585"/>
        <item m="1" x="4305"/>
        <item m="1" x="4293"/>
        <item m="1" x="4463"/>
        <item m="1" x="4582"/>
        <item m="1" x="4566"/>
        <item m="1" x="4367"/>
        <item m="1" x="4481"/>
        <item m="1" x="4368"/>
        <item m="1" x="4510"/>
        <item m="1" x="4479"/>
        <item m="1" x="4317"/>
        <item m="1" x="4421"/>
        <item m="1" x="4674"/>
        <item m="1" x="4440"/>
        <item m="1" x="4637"/>
        <item m="1" x="4308"/>
        <item m="1" x="4292"/>
        <item m="1" x="4573"/>
        <item m="1" x="4661"/>
        <item m="1" x="4322"/>
        <item m="1" x="4428"/>
        <item m="1" x="4300"/>
        <item m="1" x="4533"/>
        <item m="1" x="4289"/>
        <item m="1" x="4468"/>
        <item m="1" x="4319"/>
        <item m="1" x="4668"/>
        <item m="1" x="4279"/>
        <item m="1" x="4506"/>
        <item m="1" x="4460"/>
        <item m="1" x="4569"/>
        <item m="1" x="4466"/>
        <item m="1" x="4331"/>
        <item m="1" x="4326"/>
        <item m="1" x="4318"/>
        <item m="1" x="4282"/>
        <item m="1" x="4527"/>
        <item m="1" x="4304"/>
        <item m="1" x="4577"/>
        <item m="1" x="4636"/>
        <item m="1" x="4640"/>
        <item m="1" x="4477"/>
        <item m="1" x="4436"/>
        <item m="1" x="4329"/>
        <item m="1" x="4491"/>
        <item m="1" x="4422"/>
        <item m="1" x="4301"/>
        <item m="1" x="4288"/>
        <item m="1" x="4462"/>
        <item m="1" x="4324"/>
        <item m="1" x="4459"/>
        <item m="1" x="4327"/>
        <item m="1" x="4285"/>
        <item m="1" x="4723"/>
        <item m="1" x="4565"/>
        <item m="1" x="4325"/>
        <item m="1" x="4332"/>
        <item m="1" x="4330"/>
        <item m="1" x="4303"/>
        <item m="1" x="4277"/>
        <item m="1" x="4465"/>
        <item m="1" x="4578"/>
        <item m="1" x="4438"/>
        <item m="1" x="4328"/>
        <item m="1" x="4669"/>
        <item m="1" x="4667"/>
        <item m="1" x="4429"/>
        <item m="1" x="4435"/>
        <item m="1" x="4290"/>
        <item m="1" x="4286"/>
        <item m="1" x="4294"/>
        <item m="1" x="4283"/>
        <item m="1" x="4280"/>
        <item m="1" x="4430"/>
        <item m="1" x="4442"/>
        <item m="1" x="4424"/>
        <item m="1" x="4670"/>
        <item m="1" x="4441"/>
        <item m="1" x="4278"/>
        <item m="1" x="4423"/>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h="1" m="1" x="3918"/>
        <item h="1" m="1" x="3919"/>
        <item h="1" m="1" x="3920"/>
        <item h="1" m="1" x="3921"/>
        <item h="1" m="1" x="3922"/>
        <item h="1" m="1" x="3923"/>
        <item h="1" m="1" x="3924"/>
        <item h="1" m="1" x="3925"/>
        <item h="1" m="1" x="3926"/>
        <item h="1" m="1" x="3927"/>
        <item h="1" m="1" x="3928"/>
        <item h="1" m="1" x="3929"/>
        <item h="1" m="1" x="3930"/>
        <item h="1" m="1" x="3931"/>
        <item h="1" m="1" x="3932"/>
        <item h="1" m="1" x="3933"/>
        <item h="1" m="1" x="3934"/>
        <item h="1" m="1" x="3935"/>
        <item h="1" m="1" x="3936"/>
        <item h="1" m="1" x="3937"/>
        <item h="1" m="1" x="3938"/>
        <item h="1" m="1" x="3939"/>
        <item h="1" m="1" x="3940"/>
        <item h="1" m="1" x="3941"/>
        <item h="1" m="1" x="3942"/>
        <item h="1" m="1" x="3943"/>
        <item h="1" m="1" x="3944"/>
        <item h="1" m="1" x="3945"/>
        <item h="1" m="1" x="3946"/>
        <item h="1" m="1" x="3947"/>
        <item h="1" m="1" x="3948"/>
        <item h="1" m="1" x="3949"/>
        <item h="1" m="1" x="3950"/>
        <item h="1" m="1" x="3951"/>
        <item h="1" m="1" x="3952"/>
        <item h="1" m="1" x="3953"/>
        <item h="1" m="1" x="3954"/>
        <item h="1" m="1" x="3955"/>
        <item h="1" m="1" x="3956"/>
        <item h="1" m="1" x="3957"/>
        <item h="1" m="1" x="3958"/>
        <item h="1" m="1" x="3959"/>
        <item h="1" m="1" x="3960"/>
        <item h="1" m="1" x="3961"/>
        <item h="1" m="1" x="3962"/>
        <item h="1" m="1" x="3963"/>
        <item h="1" m="1" x="3964"/>
        <item h="1" m="1" x="3965"/>
        <item h="1" m="1" x="3966"/>
        <item h="1" m="1" x="3967"/>
        <item h="1" m="1" x="3968"/>
        <item h="1" m="1" x="3969"/>
        <item h="1" m="1" x="3970"/>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h="1" m="1" x="3046"/>
        <item h="1" m="1" x="3047"/>
        <item h="1" m="1" x="3048"/>
        <item h="1" m="1" x="3049"/>
        <item h="1" m="1" x="3050"/>
        <item h="1" m="1" x="3051"/>
        <item h="1" m="1" x="3052"/>
        <item h="1" m="1" x="3053"/>
        <item h="1" m="1" x="3054"/>
        <item h="1" m="1" x="3055"/>
        <item h="1" m="1" x="3056"/>
        <item h="1" m="1" x="3057"/>
        <item h="1" m="1" x="3058"/>
        <item h="1" m="1" x="3059"/>
        <item h="1" m="1" x="3060"/>
        <item h="1" m="1" x="3061"/>
        <item h="1" m="1" x="3062"/>
        <item h="1" m="1" x="3063"/>
        <item h="1" m="1" x="3064"/>
        <item h="1" m="1" x="3065"/>
        <item h="1" m="1" x="3066"/>
        <item h="1" m="1" x="3067"/>
        <item h="1" m="1" x="3068"/>
        <item h="1" m="1" x="3069"/>
        <item h="1" m="1" x="3070"/>
        <item h="1" m="1" x="3071"/>
        <item h="1" m="1" x="3072"/>
        <item h="1" m="1" x="3073"/>
        <item h="1" m="1" x="3074"/>
        <item h="1" m="1" x="3075"/>
        <item h="1" m="1" x="3076"/>
        <item h="1" m="1" x="3077"/>
        <item h="1" m="1" x="3078"/>
        <item h="1" m="1" x="3079"/>
        <item h="1" m="1" x="3080"/>
        <item h="1" m="1" x="3081"/>
        <item h="1" m="1" x="3082"/>
        <item h="1" m="1" x="3083"/>
        <item h="1" m="1" x="3084"/>
        <item h="1" m="1" x="3085"/>
        <item h="1" m="1" x="3086"/>
        <item h="1" m="1" x="3087"/>
        <item h="1" m="1" x="3088"/>
        <item h="1" m="1" x="3089"/>
        <item h="1" m="1" x="3090"/>
        <item h="1" m="1" x="3091"/>
        <item h="1" m="1" x="3092"/>
        <item h="1" m="1" x="3093"/>
        <item h="1" m="1" x="3094"/>
        <item h="1" m="1" x="3095"/>
        <item h="1" m="1" x="3096"/>
        <item h="1" m="1" x="3097"/>
        <item h="1" m="1" x="3098"/>
        <item h="1" m="1" x="3099"/>
        <item h="1" m="1" x="3100"/>
        <item h="1" m="1" x="3101"/>
        <item h="1" m="1" x="3102"/>
        <item h="1" m="1" x="3103"/>
        <item h="1" m="1" x="3104"/>
        <item h="1" m="1" x="3105"/>
        <item h="1" m="1" x="3106"/>
        <item h="1" m="1" x="3107"/>
        <item h="1" m="1" x="3108"/>
        <item h="1" m="1" x="3109"/>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143"/>
        <item h="1" m="1" x="3144"/>
        <item h="1" m="1" x="3145"/>
        <item h="1" m="1" x="3146"/>
        <item h="1" m="1" x="3147"/>
        <item h="1" m="1" x="3148"/>
        <item h="1" m="1" x="3149"/>
        <item h="1" m="1" x="3150"/>
        <item h="1" m="1" x="3151"/>
        <item h="1" m="1" x="3152"/>
        <item h="1" m="1" x="3153"/>
        <item h="1" m="1" x="3154"/>
        <item h="1" m="1" x="3155"/>
        <item h="1" m="1" x="3156"/>
        <item h="1" m="1" x="3157"/>
        <item h="1" m="1" x="3158"/>
        <item h="1" m="1" x="3159"/>
        <item h="1" m="1" x="3160"/>
        <item h="1" m="1" x="3161"/>
        <item h="1" m="1" x="3162"/>
        <item h="1" m="1" x="3163"/>
        <item h="1" m="1" x="3164"/>
        <item h="1" m="1" x="3165"/>
        <item h="1" m="1" x="3166"/>
        <item h="1" m="1" x="3167"/>
        <item h="1" m="1" x="3168"/>
        <item h="1" m="1" x="3169"/>
        <item h="1" m="1" x="3170"/>
        <item h="1" m="1" x="3171"/>
        <item h="1" m="1" x="3172"/>
        <item h="1" m="1" x="3173"/>
        <item h="1" m="1" x="3174"/>
        <item h="1" m="1" x="3175"/>
        <item h="1" m="1" x="3176"/>
        <item h="1" m="1" x="3177"/>
        <item h="1" m="1" x="3178"/>
        <item h="1" m="1" x="3179"/>
        <item h="1" m="1" x="3180"/>
        <item h="1" m="1" x="3181"/>
        <item h="1" m="1" x="3182"/>
        <item h="1" m="1" x="3183"/>
        <item h="1" m="1" x="3184"/>
        <item h="1" m="1" x="3185"/>
        <item h="1" m="1" x="3186"/>
        <item h="1" m="1" x="3187"/>
        <item h="1" m="1" x="3188"/>
        <item h="1" m="1" x="3189"/>
        <item h="1" m="1" x="3190"/>
        <item h="1" m="1" x="3191"/>
        <item h="1" m="1" x="3192"/>
        <item h="1" m="1" x="3193"/>
        <item h="1" m="1" x="3194"/>
        <item h="1" m="1" x="3195"/>
        <item h="1" m="1" x="3196"/>
        <item h="1" m="1" x="3197"/>
        <item h="1" m="1" x="3198"/>
        <item h="1" m="1" x="3199"/>
        <item h="1" m="1" x="3200"/>
        <item h="1" m="1" x="3201"/>
        <item h="1" m="1" x="3202"/>
        <item h="1" m="1" x="3203"/>
        <item h="1" m="1" x="3204"/>
        <item h="1" m="1" x="3205"/>
        <item h="1" m="1" x="3206"/>
        <item h="1" m="1" x="3207"/>
        <item h="1" m="1" x="3208"/>
        <item h="1" m="1" x="3209"/>
        <item h="1" m="1" x="3210"/>
        <item h="1" m="1" x="3211"/>
        <item h="1" m="1" x="3212"/>
        <item h="1" m="1" x="3213"/>
        <item h="1" m="1" x="3214"/>
        <item h="1" m="1" x="3215"/>
        <item h="1" m="1" x="3216"/>
        <item h="1" m="1" x="3217"/>
        <item h="1" m="1" x="3218"/>
        <item h="1" m="1" x="3219"/>
        <item h="1" m="1" x="3220"/>
        <item h="1" m="1" x="3221"/>
        <item h="1" m="1" x="3222"/>
        <item h="1" m="1" x="3223"/>
        <item h="1" m="1" x="3224"/>
        <item h="1" m="1" x="3225"/>
        <item h="1" m="1" x="3226"/>
        <item h="1" m="1" x="3227"/>
        <item h="1" m="1" x="3228"/>
        <item h="1" m="1" x="3229"/>
        <item h="1" m="1" x="3230"/>
        <item h="1" m="1" x="3231"/>
        <item h="1" m="1" x="3232"/>
        <item h="1" m="1" x="3233"/>
        <item h="1" m="1" x="3234"/>
        <item h="1" m="1" x="3235"/>
        <item h="1" m="1" x="3236"/>
        <item h="1" m="1" x="3237"/>
        <item h="1" m="1" x="3238"/>
        <item h="1" m="1" x="3239"/>
        <item h="1" m="1" x="3240"/>
        <item h="1" m="1" x="3241"/>
        <item h="1" m="1" x="3242"/>
        <item h="1" m="1" x="3243"/>
        <item h="1" m="1" x="3244"/>
        <item h="1" m="1" x="3245"/>
        <item h="1" m="1" x="3246"/>
        <item h="1" m="1" x="3247"/>
        <item h="1" m="1" x="3248"/>
        <item h="1" m="1" x="3249"/>
        <item h="1" m="1" x="3250"/>
        <item h="1" m="1" x="3251"/>
        <item h="1" m="1" x="3252"/>
        <item h="1" m="1" x="3253"/>
        <item h="1" m="1" x="3254"/>
        <item h="1" m="1" x="3255"/>
        <item h="1" m="1" x="3256"/>
        <item h="1" m="1" x="3257"/>
        <item h="1" m="1" x="3258"/>
        <item h="1" m="1" x="3259"/>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h="1" m="1" x="3313"/>
        <item h="1" m="1" x="3314"/>
        <item h="1" m="1" x="3315"/>
        <item h="1" m="1" x="3316"/>
        <item h="1" m="1" x="3317"/>
        <item h="1" m="1" x="3318"/>
        <item h="1" m="1" x="3319"/>
        <item h="1" m="1" x="3320"/>
        <item h="1" m="1" x="3321"/>
        <item h="1" m="1" x="3322"/>
        <item h="1" m="1" x="3323"/>
        <item h="1" m="1" x="3324"/>
        <item h="1" m="1" x="3325"/>
        <item h="1" m="1" x="3326"/>
        <item h="1" m="1" x="3327"/>
        <item h="1" m="1" x="3328"/>
        <item h="1" m="1" x="3329"/>
        <item h="1" m="1" x="3330"/>
        <item h="1" m="1" x="3331"/>
        <item h="1" m="1" x="3332"/>
        <item h="1" m="1" x="3333"/>
        <item h="1" m="1" x="3334"/>
        <item h="1" m="1" x="3335"/>
        <item h="1" m="1" x="3336"/>
        <item h="1" m="1" x="3337"/>
        <item h="1" m="1" x="3338"/>
        <item h="1" m="1" x="3339"/>
        <item h="1" m="1" x="3340"/>
        <item h="1" m="1" x="3341"/>
        <item h="1" m="1" x="3342"/>
        <item h="1" m="1" x="3343"/>
        <item h="1" m="1" x="3344"/>
        <item h="1" m="1" x="3345"/>
        <item m="1" x="2758"/>
        <item m="1" x="2769"/>
        <item m="1" x="2763"/>
        <item m="1" x="2753"/>
        <item m="1" x="2773"/>
        <item m="1" x="2755"/>
        <item m="1" x="2771"/>
        <item m="1" x="2767"/>
        <item m="1" x="2765"/>
        <item m="1" x="2760"/>
        <item m="1" x="2759"/>
        <item m="1" x="2764"/>
        <item m="1" x="2754"/>
        <item m="1" x="2770"/>
        <item m="1" x="2756"/>
        <item m="1" x="2774"/>
        <item m="1" x="2768"/>
        <item m="1" x="2766"/>
        <item m="1" x="2761"/>
        <item m="1" x="2772"/>
        <item m="1" x="2757"/>
        <item m="1" x="2762"/>
        <item m="1" x="2777"/>
        <item m="1" x="2779"/>
        <item m="1" x="2776"/>
        <item m="1" x="2778"/>
        <item m="1" x="2775"/>
        <item m="1" x="2780"/>
        <item m="1" x="2782"/>
        <item m="1" x="2783"/>
        <item m="1" x="2781"/>
        <item m="1" x="2784"/>
        <item m="1" x="2785"/>
        <item m="1" x="2788"/>
        <item m="1" x="2787"/>
        <item m="1" x="2786"/>
        <item m="1" x="2799"/>
        <item m="1" x="2797"/>
        <item m="1" x="2791"/>
        <item m="1" x="2789"/>
        <item m="1" x="2794"/>
        <item m="1" x="2798"/>
        <item m="1" x="2800"/>
        <item m="1" x="2792"/>
        <item m="1" x="2795"/>
        <item m="1" x="2790"/>
        <item m="1" x="2796"/>
        <item m="1" x="2793"/>
        <item m="1" x="2805"/>
        <item m="1" x="2802"/>
        <item m="1" x="2803"/>
        <item m="1" x="2804"/>
        <item m="1" x="2806"/>
        <item m="1" x="2801"/>
        <item m="1" x="2807"/>
        <item m="1" x="2809"/>
        <item m="1" x="2808"/>
        <item m="1" x="2810"/>
        <item m="1" x="2811"/>
        <item m="1" x="2812"/>
        <item h="1" m="1" x="3006"/>
        <item h="1" m="1" x="3005"/>
        <item m="1" x="2813"/>
        <item m="1" x="2814"/>
        <item m="1" x="2816"/>
        <item m="1" x="2815"/>
        <item m="1" x="2817"/>
        <item m="1" x="2818"/>
        <item h="1" m="1" x="3007"/>
        <item h="1" m="1" x="3008"/>
        <item m="1" x="2819"/>
        <item h="1" m="1" x="3009"/>
        <item h="1" m="1" x="3010"/>
        <item m="1" x="2821"/>
        <item m="1" x="2820"/>
        <item h="1" m="1" x="3012"/>
        <item h="1" m="1" x="3011"/>
        <item h="1" m="1" x="3013"/>
        <item h="1" m="1" x="3014"/>
        <item h="1" m="1" x="3015"/>
        <item h="1" m="1" x="3017"/>
        <item h="1" m="1" x="3016"/>
        <item h="1" m="1" x="3018"/>
        <item m="1" x="2822"/>
        <item m="1" x="2823"/>
        <item h="1" m="1" x="3021"/>
        <item h="1" m="1" x="3025"/>
        <item h="1" m="1" x="3020"/>
        <item h="1" m="1" x="3022"/>
        <item h="1" m="1" x="3019"/>
        <item h="1" m="1" x="3024"/>
        <item h="1" m="1" x="3023"/>
        <item h="1" m="1" x="3026"/>
        <item h="1" m="1" x="3027"/>
        <item m="1" x="2825"/>
        <item m="1" x="2824"/>
        <item h="1" m="1" x="3028"/>
        <item h="1" m="1" x="3029"/>
        <item m="1" x="2826"/>
        <item m="1" x="2829"/>
        <item m="1" x="2827"/>
        <item m="1" x="2828"/>
        <item m="1" x="2831"/>
        <item m="1" x="2833"/>
        <item m="1" x="2830"/>
        <item m="1" x="2832"/>
        <item m="1" x="2836"/>
        <item m="1" x="2834"/>
        <item m="1" x="2835"/>
        <item m="1" x="2837"/>
        <item m="1" x="2838"/>
        <item h="1" m="1" x="3031"/>
        <item h="1" m="1" x="3030"/>
        <item m="1" x="2839"/>
        <item m="1" x="2840"/>
        <item m="1" x="2841"/>
        <item h="1" m="1" x="3034"/>
        <item h="1" m="1" x="3033"/>
        <item h="1" m="1" x="3032"/>
        <item h="1" m="1" x="3037"/>
        <item h="1" m="1" x="3036"/>
        <item h="1" m="1" x="3035"/>
        <item m="1" x="2842"/>
        <item h="1" m="1" x="3039"/>
        <item h="1" m="1" x="3040"/>
        <item h="1" m="1" x="3038"/>
        <item m="1" x="2843"/>
        <item m="1" x="2845"/>
        <item m="1" x="2844"/>
        <item m="1" x="2847"/>
        <item m="1" x="2848"/>
        <item m="1" x="2846"/>
        <item m="1" x="2849"/>
        <item m="1" x="2851"/>
        <item m="1" x="2850"/>
        <item m="1" x="2853"/>
        <item m="1" x="2854"/>
        <item m="1" x="2852"/>
        <item m="1" x="2856"/>
        <item m="1" x="2857"/>
        <item m="1" x="2855"/>
        <item m="1" x="2858"/>
        <item m="1" x="2860"/>
        <item m="1" x="2859"/>
        <item h="1" m="1" x="3042"/>
        <item h="1" m="1" x="3043"/>
        <item h="1" m="1" x="3041"/>
        <item m="1" x="2861"/>
        <item m="1" x="2863"/>
        <item m="1" x="2862"/>
        <item m="1" x="2865"/>
        <item m="1" x="2866"/>
        <item m="1" x="2864"/>
        <item m="1" x="2867"/>
        <item m="1" x="2870"/>
        <item m="1" x="2869"/>
        <item m="1" x="2872"/>
        <item m="1" x="2868"/>
        <item m="1" x="2871"/>
        <item m="1" x="2873"/>
        <item m="1" x="2875"/>
        <item m="1" x="2874"/>
        <item m="1" x="2876"/>
        <item m="1" x="2878"/>
        <item m="1" x="2877"/>
        <item m="1" x="2880"/>
        <item m="1" x="2881"/>
        <item m="1" x="2879"/>
        <item m="1" x="2882"/>
        <item m="1" x="2884"/>
        <item m="1" x="2883"/>
        <item m="1" x="2887"/>
        <item m="1" x="2885"/>
        <item m="1" x="2889"/>
        <item m="1" x="2888"/>
        <item m="1" x="2886"/>
        <item m="1" x="2890"/>
        <item m="1" x="2891"/>
        <item m="1" x="2892"/>
        <item m="1" x="2895"/>
        <item m="1" x="2893"/>
        <item m="1" x="2894"/>
        <item m="1" x="2896"/>
        <item m="1" x="2897"/>
        <item m="1" x="2919"/>
        <item m="1" x="2916"/>
        <item m="1" x="2913"/>
        <item m="1" x="2922"/>
        <item m="1" x="2905"/>
        <item m="1" x="2902"/>
        <item m="1" x="2899"/>
        <item m="1" x="2906"/>
        <item m="1" x="2907"/>
        <item m="1" x="2918"/>
        <item m="1" x="2912"/>
        <item m="1" x="2910"/>
        <item m="1" x="2904"/>
        <item m="1" x="2921"/>
        <item m="1" x="2915"/>
        <item m="1" x="2901"/>
        <item m="1" x="2909"/>
        <item m="1" x="2920"/>
        <item m="1" x="2900"/>
        <item m="1" x="2898"/>
        <item m="1" x="2914"/>
        <item m="1" x="2911"/>
        <item m="1" x="2917"/>
        <item m="1" x="2908"/>
        <item m="1" x="2903"/>
        <item m="1" x="2923"/>
        <item m="1" x="2924"/>
        <item m="1" x="2926"/>
        <item m="1" x="2925"/>
        <item m="1" x="2928"/>
        <item m="1" x="2927"/>
        <item m="1" x="2929"/>
        <item m="1" x="2930"/>
        <item m="1" x="2931"/>
        <item m="1" x="2934"/>
        <item m="1" x="2933"/>
        <item m="1" x="2932"/>
        <item m="1" x="2938"/>
        <item m="1" x="2937"/>
        <item m="1" x="2939"/>
        <item m="1" x="2935"/>
        <item m="1" x="2936"/>
        <item m="1" x="2940"/>
        <item m="1" x="2941"/>
        <item m="1" x="2942"/>
        <item m="1" x="2943"/>
        <item m="1" x="2944"/>
        <item m="1" x="2946"/>
        <item m="1" x="2945"/>
        <item m="1" x="2947"/>
        <item m="1" x="2949"/>
        <item m="1" x="2948"/>
        <item m="1" x="2951"/>
        <item m="1" x="2952"/>
        <item m="1" x="2950"/>
        <item m="1" x="2953"/>
        <item m="1" x="2954"/>
        <item m="1" x="2955"/>
        <item m="1" x="2958"/>
        <item m="1" x="2957"/>
        <item m="1" x="2956"/>
        <item m="1" x="2959"/>
        <item m="1" x="2960"/>
        <item m="1" x="2963"/>
        <item m="1" x="2962"/>
        <item m="1" x="2961"/>
        <item m="1" x="2966"/>
        <item m="1" x="2967"/>
        <item m="1" x="2965"/>
        <item m="1" x="2964"/>
        <item m="1" x="2968"/>
        <item m="1" x="2969"/>
        <item m="1" x="2972"/>
        <item m="1" x="2971"/>
        <item m="1" x="2970"/>
        <item m="1" x="2973"/>
        <item m="1" x="2974"/>
        <item m="1" x="2975"/>
        <item m="1" x="2976"/>
        <item m="1" x="2978"/>
        <item m="1" x="2977"/>
        <item m="1" x="2979"/>
        <item m="1" x="2980"/>
        <item m="1" x="2981"/>
        <item m="1" x="2982"/>
        <item m="1" x="2984"/>
        <item m="1" x="2985"/>
        <item m="1" x="2983"/>
        <item m="1" x="2986"/>
        <item m="1" x="2989"/>
        <item m="1" x="2988"/>
        <item m="1" x="2987"/>
        <item m="1" x="2993"/>
        <item m="1" x="2990"/>
        <item m="1" x="2992"/>
        <item m="1" x="2994"/>
        <item m="1" x="2991"/>
        <item m="1" x="2995"/>
        <item m="1" x="2996"/>
        <item m="1" x="3002"/>
        <item m="1" x="3004"/>
        <item m="1" x="2998"/>
        <item m="1" x="3000"/>
        <item m="1" x="3001"/>
        <item m="1" x="3003"/>
        <item m="1" x="2997"/>
        <item m="1" x="2999"/>
        <item h="1" m="1" x="3044"/>
        <item h="1" m="1" x="3045"/>
        <item m="1" x="2342"/>
        <item m="1" x="2347"/>
        <item m="1" x="2343"/>
        <item m="1" x="2350"/>
        <item m="1" x="2340"/>
        <item m="1" x="2345"/>
        <item m="1" x="2351"/>
        <item m="1" x="2344"/>
        <item m="1" x="2352"/>
        <item m="1" x="2341"/>
        <item m="1" x="2348"/>
        <item m="1" x="2346"/>
        <item m="1" x="2353"/>
        <item m="1" x="2339"/>
        <item m="1" x="2349"/>
        <item m="1" x="2354"/>
        <item m="1" x="2355"/>
        <item m="1" x="2356"/>
        <item m="1" x="2357"/>
        <item m="1" x="2358"/>
        <item m="1" x="2359"/>
        <item m="1" x="2360"/>
        <item m="1" x="2365"/>
        <item m="1" x="2361"/>
        <item m="1" x="2362"/>
        <item m="1" x="2363"/>
        <item m="1" x="2364"/>
        <item m="1" x="2366"/>
        <item m="1" x="2368"/>
        <item m="1" x="2367"/>
        <item m="1" x="2369"/>
        <item m="1" x="2370"/>
        <item m="1" x="2371"/>
        <item m="1" x="2372"/>
        <item m="1" x="2376"/>
        <item m="1" x="2375"/>
        <item m="1" x="2378"/>
        <item m="1" x="2373"/>
        <item m="1" x="2377"/>
        <item m="1" x="2374"/>
        <item m="1" x="2379"/>
        <item m="1" x="2380"/>
        <item m="1" x="2382"/>
        <item m="1" x="2381"/>
        <item m="1" x="2389"/>
        <item m="1" x="2388"/>
        <item m="1" x="2390"/>
        <item m="1" x="2393"/>
        <item m="1" x="2394"/>
        <item m="1" x="2421"/>
        <item m="1" x="2422"/>
        <item m="1" x="2433"/>
        <item m="1" x="2432"/>
        <item m="1" x="2434"/>
        <item m="1" x="2435"/>
        <item m="1" x="2749"/>
        <item m="1" x="2750"/>
        <item m="1" x="2751"/>
        <item m="1" x="2752"/>
        <item m="1" x="2440"/>
        <item m="1" x="2441"/>
        <item m="1" x="2442"/>
        <item m="1" x="2458"/>
        <item m="1" x="2457"/>
        <item m="1" x="2459"/>
        <item m="1" x="2472"/>
        <item m="1" x="2478"/>
        <item m="1" x="2477"/>
        <item m="1" x="2476"/>
        <item m="1" x="2481"/>
        <item m="1" x="2479"/>
        <item m="1" x="2480"/>
        <item m="1" x="2484"/>
        <item m="1" x="2483"/>
        <item m="1" x="2482"/>
        <item m="1" x="2487"/>
        <item m="1" x="2485"/>
        <item m="1" x="2486"/>
        <item m="1" x="2491"/>
        <item m="1" x="2492"/>
        <item m="1" x="2493"/>
        <item m="1" x="2496"/>
        <item m="1" x="2495"/>
        <item m="1" x="2494"/>
        <item m="1" x="2500"/>
        <item m="1" x="2502"/>
        <item m="1" x="2501"/>
        <item m="1" x="2504"/>
        <item m="1" x="2503"/>
        <item m="1" x="2505"/>
        <item m="1" x="2507"/>
        <item m="1" x="2510"/>
        <item m="1" x="2508"/>
        <item m="1" x="2509"/>
        <item m="1" x="2511"/>
        <item m="1" x="2506"/>
        <item m="1" x="2516"/>
        <item m="1" x="2517"/>
        <item m="1" x="2515"/>
        <item m="1" x="2522"/>
        <item m="1" x="2523"/>
        <item m="1" x="2521"/>
        <item m="1" x="2525"/>
        <item m="1" x="2524"/>
        <item m="1" x="2526"/>
        <item m="1" x="2534"/>
        <item m="1" x="2535"/>
        <item m="1" x="2533"/>
        <item m="1" x="2536"/>
        <item m="1" x="2537"/>
        <item m="1" x="2571"/>
        <item m="1" x="2573"/>
        <item m="1" x="2572"/>
        <item m="1" x="2575"/>
        <item m="1" x="2574"/>
        <item m="1" x="2576"/>
        <item m="1" x="2578"/>
        <item m="1" x="2577"/>
        <item m="1" x="2592"/>
        <item m="1" x="2584"/>
        <item m="1" x="2581"/>
        <item m="1" x="2585"/>
        <item m="1" x="2591"/>
        <item m="1" x="2583"/>
        <item m="1" x="2588"/>
        <item m="1" x="2595"/>
        <item m="1" x="2580"/>
        <item m="1" x="2586"/>
        <item m="1" x="2596"/>
        <item m="1" x="2582"/>
        <item m="1" x="2589"/>
        <item m="1" x="2587"/>
        <item m="1" x="2593"/>
        <item m="1" x="2597"/>
        <item m="1" x="2579"/>
        <item m="1" x="2590"/>
        <item m="1" x="2594"/>
        <item m="1" x="2598"/>
        <item m="1" x="2600"/>
        <item m="1" x="2599"/>
        <item m="1" x="2601"/>
        <item m="1" x="2602"/>
        <item m="1" x="2604"/>
        <item m="1" x="2603"/>
        <item m="1" x="2605"/>
        <item m="1" x="2606"/>
        <item m="1" x="2607"/>
        <item m="1" x="2609"/>
        <item m="1" x="2610"/>
        <item m="1" x="2608"/>
        <item m="1" x="2617"/>
        <item m="1" x="2611"/>
        <item m="1" x="2614"/>
        <item m="1" x="2615"/>
        <item m="1" x="2612"/>
        <item m="1" x="2613"/>
        <item m="1" x="2616"/>
        <item m="1" x="2619"/>
        <item m="1" x="2618"/>
        <item m="1" x="2620"/>
        <item m="1" x="2622"/>
        <item m="1" x="2621"/>
        <item m="1" x="2624"/>
        <item m="1" x="2623"/>
        <item m="1" x="2625"/>
        <item m="1" x="2626"/>
        <item m="1" x="2627"/>
        <item m="1" x="2632"/>
        <item m="1" x="2633"/>
        <item m="1" x="2635"/>
        <item m="1" x="2634"/>
        <item m="1" x="2636"/>
        <item m="1" x="2637"/>
        <item m="1" x="2639"/>
        <item m="1" x="2640"/>
        <item m="1" x="2638"/>
        <item m="1" x="2641"/>
        <item m="1" x="2642"/>
        <item m="1" x="2644"/>
        <item m="1" x="2645"/>
        <item m="1" x="2643"/>
        <item m="1" x="2650"/>
        <item m="1" x="2649"/>
        <item m="1" x="2654"/>
        <item m="1" x="2651"/>
        <item m="1" x="2653"/>
        <item m="1" x="2652"/>
        <item m="1" x="2656"/>
        <item m="1" x="2655"/>
        <item m="1" x="2657"/>
        <item m="1" x="2658"/>
        <item m="1" x="2659"/>
        <item m="1" x="2660"/>
        <item m="1" x="2661"/>
        <item m="1" x="2662"/>
        <item m="1" x="2664"/>
        <item m="1" x="2663"/>
        <item m="1" x="2666"/>
        <item m="1" x="2665"/>
        <item m="1" x="2668"/>
        <item m="1" x="2667"/>
        <item m="1" x="2670"/>
        <item m="1" x="2674"/>
        <item m="1" x="2675"/>
        <item m="1" x="2669"/>
        <item m="1" x="2672"/>
        <item m="1" x="2671"/>
        <item m="1" x="2673"/>
        <item m="1" x="2676"/>
        <item m="1" x="2680"/>
        <item m="1" x="2678"/>
        <item m="1" x="2679"/>
        <item m="1" x="2677"/>
        <item m="1" x="2682"/>
        <item m="1" x="2683"/>
        <item m="1" x="2681"/>
        <item m="1" x="2687"/>
        <item m="1" x="2685"/>
        <item m="1" x="2684"/>
        <item m="1" x="2686"/>
        <item m="1" x="2741"/>
        <item m="1" x="2743"/>
        <item m="1" x="2746"/>
        <item m="1" x="2744"/>
        <item m="1" x="2745"/>
        <item m="1" x="2742"/>
        <item m="1" x="2748"/>
        <item m="1" x="2747"/>
        <item h="1" m="1" x="2383"/>
        <item h="1" m="1" x="2384"/>
        <item h="1" m="1" x="2385"/>
        <item h="1" m="1" x="2386"/>
        <item h="1" m="1" x="2387"/>
        <item h="1" m="1" x="2391"/>
        <item h="1" m="1" x="2392"/>
        <item h="1" m="1" x="2395"/>
        <item h="1" m="1" x="2396"/>
        <item h="1" m="1" x="2397"/>
        <item h="1" m="1" x="2398"/>
        <item h="1" m="1" x="2399"/>
        <item h="1" m="1" x="2400"/>
        <item h="1" m="1" x="2401"/>
        <item h="1" m="1" x="2402"/>
        <item h="1" m="1" x="2403"/>
        <item h="1" m="1" x="2404"/>
        <item h="1" m="1" x="2405"/>
        <item h="1" m="1" x="2406"/>
        <item h="1" m="1" x="2407"/>
        <item h="1" m="1" x="2408"/>
        <item h="1" m="1" x="2409"/>
        <item h="1" m="1" x="2410"/>
        <item h="1" m="1" x="2411"/>
        <item h="1" m="1" x="2412"/>
        <item h="1" m="1" x="2413"/>
        <item h="1" m="1" x="2414"/>
        <item h="1" m="1" x="2415"/>
        <item h="1" m="1" x="2416"/>
        <item h="1" m="1" x="2417"/>
        <item h="1" m="1" x="2418"/>
        <item h="1" m="1" x="2419"/>
        <item h="1" m="1" x="2420"/>
        <item h="1" m="1" x="2423"/>
        <item h="1" m="1" x="2424"/>
        <item h="1" m="1" x="2425"/>
        <item h="1" m="1" x="2426"/>
        <item h="1" m="1" x="2427"/>
        <item h="1" m="1" x="2428"/>
        <item h="1" m="1" x="2429"/>
        <item h="1" m="1" x="2430"/>
        <item h="1" m="1" x="2431"/>
        <item h="1" m="1" x="2436"/>
        <item h="1" m="1" x="2437"/>
        <item h="1" m="1" x="2438"/>
        <item h="1" m="1" x="2439"/>
        <item h="1" m="1" x="2443"/>
        <item h="1" m="1" x="2444"/>
        <item h="1" m="1" x="2445"/>
        <item h="1" m="1" x="2446"/>
        <item h="1" m="1" x="2447"/>
        <item h="1" m="1" x="2448"/>
        <item h="1" m="1" x="2449"/>
        <item h="1" m="1" x="2450"/>
        <item h="1" m="1" x="2451"/>
        <item h="1" m="1" x="2452"/>
        <item h="1" m="1" x="2453"/>
        <item h="1" m="1" x="2454"/>
        <item h="1" m="1" x="2455"/>
        <item h="1" m="1" x="2456"/>
        <item h="1" m="1" x="2460"/>
        <item h="1" m="1" x="2461"/>
        <item h="1" m="1" x="2462"/>
        <item h="1" m="1" x="2463"/>
        <item h="1" m="1" x="2464"/>
        <item h="1" m="1" x="2465"/>
        <item h="1" m="1" x="2466"/>
        <item h="1" m="1" x="2467"/>
        <item h="1" m="1" x="2468"/>
        <item h="1" m="1" x="2469"/>
        <item h="1" m="1" x="2470"/>
        <item h="1" m="1" x="2471"/>
        <item h="1" m="1" x="2473"/>
        <item h="1" m="1" x="2474"/>
        <item h="1" m="1" x="2475"/>
        <item h="1" m="1" x="2488"/>
        <item h="1" m="1" x="2489"/>
        <item h="1" m="1" x="2490"/>
        <item h="1" m="1" x="2497"/>
        <item h="1" m="1" x="2498"/>
        <item h="1" m="1" x="2499"/>
        <item h="1" m="1" x="2512"/>
        <item h="1" m="1" x="2513"/>
        <item h="1" m="1" x="2514"/>
        <item h="1" m="1" x="2518"/>
        <item h="1" m="1" x="2519"/>
        <item h="1" m="1" x="2520"/>
        <item h="1" m="1" x="2527"/>
        <item h="1" m="1" x="2528"/>
        <item h="1" m="1" x="2529"/>
        <item h="1" m="1" x="2530"/>
        <item h="1" m="1" x="2531"/>
        <item h="1" m="1" x="2532"/>
        <item h="1" m="1" x="2538"/>
        <item h="1" m="1" x="2539"/>
        <item h="1" m="1" x="2540"/>
        <item h="1" m="1" x="2541"/>
        <item h="1" m="1" x="2542"/>
        <item h="1" m="1" x="2543"/>
        <item h="1" m="1" x="2544"/>
        <item h="1" m="1" x="2545"/>
        <item h="1" m="1" x="2546"/>
        <item h="1" m="1" x="2547"/>
        <item h="1" m="1" x="2548"/>
        <item h="1" m="1" x="2549"/>
        <item h="1" m="1" x="2550"/>
        <item h="1" m="1" x="2551"/>
        <item h="1" m="1" x="2552"/>
        <item h="1" m="1" x="2553"/>
        <item h="1" m="1" x="2554"/>
        <item h="1" m="1" x="2555"/>
        <item h="1" m="1" x="2556"/>
        <item h="1" m="1" x="2557"/>
        <item h="1" m="1" x="2558"/>
        <item h="1" m="1" x="2559"/>
        <item h="1" m="1" x="2560"/>
        <item h="1" m="1" x="2561"/>
        <item h="1" m="1" x="2562"/>
        <item h="1" m="1" x="2563"/>
        <item h="1" m="1" x="2564"/>
        <item h="1" m="1" x="2565"/>
        <item h="1" m="1" x="2566"/>
        <item h="1" m="1" x="2567"/>
        <item h="1" m="1" x="2568"/>
        <item h="1" m="1" x="2569"/>
        <item h="1" m="1" x="2570"/>
        <item h="1" m="1" x="2628"/>
        <item h="1" m="1" x="2629"/>
        <item h="1" m="1" x="2630"/>
        <item h="1" m="1" x="2631"/>
        <item h="1" m="1" x="2646"/>
        <item h="1" m="1" x="2647"/>
        <item h="1" m="1" x="2648"/>
        <item h="1" m="1" x="2688"/>
        <item h="1" m="1" x="2689"/>
        <item h="1" m="1" x="2690"/>
        <item h="1" m="1" x="2691"/>
        <item h="1" m="1" x="2692"/>
        <item h="1" m="1" x="2693"/>
        <item h="1" m="1" x="2694"/>
        <item h="1" m="1" x="2695"/>
        <item h="1" m="1" x="2696"/>
        <item h="1" m="1" x="2697"/>
        <item h="1" m="1" x="2698"/>
        <item h="1" m="1" x="2699"/>
        <item h="1" m="1" x="2700"/>
        <item h="1" m="1" x="2701"/>
        <item h="1" m="1" x="2702"/>
        <item h="1" m="1" x="2703"/>
        <item h="1" m="1" x="2704"/>
        <item h="1" m="1" x="2705"/>
        <item h="1" m="1" x="2706"/>
        <item h="1" m="1" x="2707"/>
        <item h="1" m="1" x="2708"/>
        <item h="1" m="1" x="2709"/>
        <item h="1" m="1" x="2710"/>
        <item h="1" m="1" x="2711"/>
        <item h="1" m="1" x="2712"/>
        <item h="1" m="1" x="2713"/>
        <item h="1" m="1" x="2714"/>
        <item h="1" m="1" x="2715"/>
        <item h="1" m="1" x="2716"/>
        <item h="1" m="1" x="2717"/>
        <item h="1" m="1" x="2718"/>
        <item h="1" m="1" x="2719"/>
        <item h="1" m="1" x="2720"/>
        <item h="1" m="1" x="2721"/>
        <item h="1" m="1" x="2722"/>
        <item h="1" m="1" x="2723"/>
        <item h="1" m="1" x="2724"/>
        <item h="1" m="1" x="2725"/>
        <item h="1" m="1" x="2726"/>
        <item h="1" m="1" x="2727"/>
        <item h="1" m="1" x="2728"/>
        <item h="1" m="1" x="2729"/>
        <item h="1" m="1" x="2730"/>
        <item h="1" m="1" x="2731"/>
        <item h="1" m="1" x="2732"/>
        <item h="1" m="1" x="2733"/>
        <item h="1" m="1" x="2734"/>
        <item h="1" m="1" x="2735"/>
        <item h="1" m="1" x="2736"/>
        <item h="1" m="1" x="2737"/>
        <item h="1" m="1" x="2738"/>
        <item h="1" m="1" x="2739"/>
        <item h="1" m="1" x="2740"/>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h="1" m="1" x="1095"/>
        <item h="1" m="1" x="1096"/>
        <item h="1" m="1" x="1097"/>
        <item h="1" m="1" x="1098"/>
        <item h="1" m="1" x="1099"/>
        <item h="1" m="1" x="1100"/>
        <item h="1" m="1" x="1107"/>
        <item h="1" m="1" x="1108"/>
        <item h="1" m="1" x="1109"/>
        <item h="1" m="1" x="1110"/>
        <item h="1" m="1" x="1111"/>
        <item h="1" m="1" x="1112"/>
        <item h="1" m="1" x="1101"/>
        <item h="1" m="1" x="1102"/>
        <item h="1" m="1" x="1103"/>
        <item h="1" m="1" x="1104"/>
        <item h="1" m="1" x="1105"/>
        <item h="1" m="1" x="1106"/>
        <item h="1" m="1" x="1113"/>
        <item h="1" m="1" x="1114"/>
        <item h="1" m="1" x="1115"/>
        <item h="1" m="1" x="1116"/>
        <item h="1" m="1" x="1117"/>
        <item h="1" m="1" x="1118"/>
        <item h="1" m="1" x="1119"/>
        <item h="1" m="1" x="1121"/>
        <item h="1" m="1" x="1122"/>
        <item h="1" m="1" x="1120"/>
        <item h="1" m="1" x="1123"/>
        <item h="1" m="1" x="1124"/>
        <item h="1" m="1" x="1127"/>
        <item h="1" m="1" x="1128"/>
        <item h="1" m="1" x="1125"/>
        <item h="1" m="1" x="1126"/>
        <item h="1" m="1" x="1133"/>
        <item h="1" m="1" x="1134"/>
        <item h="1" m="1" x="1129"/>
        <item h="1" m="1" x="1130"/>
        <item h="1" m="1" x="1131"/>
        <item h="1" m="1" x="1132"/>
        <item h="1" m="1" x="1135"/>
        <item h="1" m="1" x="1136"/>
        <item h="1" m="1" x="1137"/>
        <item h="1" m="1" x="1138"/>
        <item h="1" m="1" x="1139"/>
        <item h="1" m="1" x="1140"/>
        <item h="1" m="1" x="1141"/>
        <item h="1" m="1" x="1142"/>
        <item h="1" m="1" x="1143"/>
        <item h="1" m="1" x="1144"/>
        <item h="1" m="1" x="1145"/>
        <item h="1" m="1" x="1146"/>
        <item h="1" m="1" x="1147"/>
        <item h="1" m="1" x="1148"/>
        <item h="1" m="1" x="1149"/>
        <item h="1" m="1" x="1150"/>
        <item h="1" m="1" x="1151"/>
        <item h="1" m="1" x="1152"/>
        <item h="1" m="1" x="1153"/>
        <item h="1" m="1" x="1154"/>
        <item h="1" m="1" x="1155"/>
        <item h="1" m="1" x="1156"/>
        <item h="1" m="1" x="1157"/>
        <item h="1" m="1" x="1158"/>
        <item h="1" m="1" x="1159"/>
        <item h="1" m="1" x="1160"/>
        <item h="1" m="1" x="1161"/>
        <item h="1" m="1" x="1162"/>
        <item h="1" m="1" x="1163"/>
        <item h="1" m="1" x="1164"/>
        <item h="1" m="1" x="1165"/>
        <item h="1" m="1" x="1166"/>
        <item h="1" m="1" x="1167"/>
        <item h="1" m="1" x="1168"/>
        <item h="1" m="1" x="1169"/>
        <item h="1" m="1" x="1170"/>
        <item h="1" m="1" x="1171"/>
        <item h="1" m="1" x="1172"/>
        <item h="1" m="1" x="1173"/>
        <item h="1" m="1" x="1174"/>
        <item h="1" m="1" x="1175"/>
        <item h="1" m="1" x="1176"/>
        <item h="1" m="1" x="1177"/>
        <item h="1" m="1" x="1178"/>
        <item h="1" m="1" x="1179"/>
        <item h="1" m="1" x="1180"/>
        <item h="1" m="1" x="1181"/>
        <item h="1" m="1" x="1182"/>
        <item h="1" m="1" x="1183"/>
        <item h="1" m="1" x="1184"/>
        <item h="1" m="1" x="1186"/>
        <item h="1" m="1" x="1185"/>
        <item h="1" m="1" x="1187"/>
        <item h="1" m="1" x="1192"/>
        <item h="1" m="1" x="1193"/>
        <item h="1" m="1" x="1190"/>
        <item h="1" m="1" x="1191"/>
        <item h="1" m="1" x="1188"/>
        <item h="1" m="1" x="1189"/>
        <item h="1" m="1" x="1194"/>
        <item h="1" m="1" x="1195"/>
        <item h="1" m="1" x="1196"/>
        <item h="1" m="1" x="1197"/>
        <item h="1" m="1" x="1198"/>
        <item h="1" m="1" x="1201"/>
        <item h="1" m="1" x="1202"/>
        <item h="1" m="1" x="1199"/>
        <item h="1" m="1" x="1200"/>
        <item h="1" m="1" x="1203"/>
        <item h="1" m="1" x="1204"/>
        <item h="1" m="1" x="1205"/>
        <item h="1" m="1" x="1206"/>
        <item h="1" m="1" x="1207"/>
        <item h="1" m="1" x="1208"/>
        <item h="1" m="1" x="1211"/>
        <item h="1" m="1" x="1212"/>
        <item h="1" m="1" x="1209"/>
        <item h="1" m="1" x="1210"/>
        <item h="1" m="1" x="1213"/>
        <item h="1" m="1" x="1214"/>
        <item h="1" m="1" x="1215"/>
        <item h="1" m="1" x="1216"/>
        <item h="1" m="1" x="1217"/>
        <item h="1" m="1" x="1218"/>
        <item h="1" m="1" x="1219"/>
        <item h="1" m="1" x="1220"/>
        <item h="1" m="1" x="1221"/>
        <item h="1" m="1" x="1222"/>
        <item h="1" m="1" x="1223"/>
        <item h="1" m="1" x="1224"/>
        <item h="1" m="1" x="1225"/>
        <item h="1" m="1" x="1226"/>
        <item h="1" m="1" x="1227"/>
        <item h="1" m="1" x="1228"/>
        <item h="1" m="1" x="1229"/>
        <item h="1" m="1" x="1230"/>
        <item h="1" m="1" x="1231"/>
        <item h="1" m="1" x="1232"/>
        <item h="1" m="1" x="1233"/>
        <item h="1" m="1" x="1234"/>
        <item h="1" m="1" x="1235"/>
        <item h="1" m="1" x="1236"/>
        <item h="1" m="1" x="1237"/>
        <item h="1" m="1" x="1238"/>
        <item h="1" m="1" x="1239"/>
        <item h="1" m="1" x="1240"/>
        <item h="1" m="1" x="1241"/>
        <item h="1" m="1" x="1242"/>
        <item h="1" m="1" x="1243"/>
        <item h="1" m="1" x="1244"/>
        <item h="1" m="1" x="1245"/>
        <item h="1" m="1" x="1246"/>
        <item h="1" m="1" x="1247"/>
        <item h="1" m="1" x="1248"/>
        <item h="1" m="1" x="1249"/>
        <item h="1" m="1" x="1250"/>
        <item h="1" m="1" x="1251"/>
        <item h="1" m="1" x="1252"/>
        <item h="1" m="1" x="1253"/>
        <item h="1" m="1" x="1254"/>
        <item h="1" m="1" x="1255"/>
        <item h="1" m="1" x="1256"/>
        <item h="1" m="1" x="1257"/>
        <item h="1" m="1" x="1258"/>
        <item h="1" m="1" x="1259"/>
        <item h="1" m="1" x="1260"/>
        <item h="1" m="1" x="1261"/>
        <item h="1" m="1" x="1262"/>
        <item h="1" m="1" x="1263"/>
        <item h="1" m="1" x="1264"/>
        <item h="1" m="1" x="1265"/>
        <item h="1" m="1" x="1266"/>
        <item h="1" m="1" x="1267"/>
        <item h="1" m="1" x="1268"/>
        <item h="1" m="1" x="1269"/>
        <item h="1" m="1" x="1270"/>
        <item h="1" m="1" x="1271"/>
        <item h="1" m="1" x="1272"/>
        <item h="1" m="1" x="1273"/>
        <item h="1" m="1" x="1275"/>
        <item h="1" m="1" x="1276"/>
        <item h="1" m="1" x="1274"/>
        <item h="1" m="1" x="1279"/>
        <item h="1" m="1" x="1277"/>
        <item h="1" m="1" x="1278"/>
        <item h="1" m="1" x="1280"/>
        <item h="1" m="1" x="1281"/>
        <item h="1" m="1" x="1282"/>
        <item h="1" m="1" x="1283"/>
        <item h="1" m="1" x="1284"/>
        <item h="1" m="1" x="1285"/>
        <item h="1" m="1" x="1286"/>
        <item h="1" m="1" x="1287"/>
        <item h="1" m="1" x="1288"/>
        <item h="1" m="1" x="1289"/>
        <item h="1" m="1" x="1290"/>
        <item h="1" m="1" x="1291"/>
        <item h="1" m="1" x="1292"/>
        <item h="1" m="1" x="1293"/>
        <item h="1" m="1" x="1294"/>
        <item h="1" m="1" x="1295"/>
        <item h="1" m="1" x="1296"/>
        <item h="1" m="1" x="1297"/>
        <item h="1" m="1" x="1298"/>
        <item h="1" m="1" x="1299"/>
        <item h="1" m="1" x="1300"/>
        <item h="1" m="1" x="1301"/>
        <item h="1" m="1" x="1302"/>
        <item h="1" m="1" x="1303"/>
        <item h="1" m="1" x="1304"/>
        <item h="1" m="1" x="1305"/>
        <item h="1" m="1" x="1306"/>
        <item h="1" m="1" x="1307"/>
        <item h="1" m="1" x="1309"/>
        <item h="1" m="1" x="1308"/>
        <item h="1" m="1" x="1310"/>
        <item h="1" m="1" x="1311"/>
        <item h="1" m="1" x="1312"/>
        <item h="1" m="1" x="1313"/>
        <item h="1" m="1" x="1314"/>
        <item h="1" m="1" x="1315"/>
        <item h="1" m="1" x="1316"/>
        <item h="1" m="1" x="1317"/>
        <item h="1" m="1" x="1318"/>
        <item h="1" m="1" x="1319"/>
        <item h="1" m="1" x="1320"/>
        <item h="1" m="1" x="1321"/>
        <item h="1" m="1" x="1322"/>
        <item h="1" m="1" x="1323"/>
        <item h="1" m="1" x="1324"/>
        <item h="1" m="1" x="1325"/>
        <item h="1" m="1" x="1328"/>
        <item h="1" m="1" x="1326"/>
        <item h="1" m="1" x="1327"/>
        <item h="1" m="1" x="1329"/>
        <item h="1" m="1" x="1330"/>
        <item h="1" m="1" x="1332"/>
        <item h="1" m="1" x="1331"/>
        <item h="1" m="1" x="1335"/>
        <item h="1" m="1" x="1333"/>
        <item h="1" m="1" x="1334"/>
        <item h="1" m="1" x="1336"/>
        <item h="1" m="1" x="1337"/>
        <item h="1" m="1" x="1338"/>
        <item h="1" m="1" x="1339"/>
        <item h="1" m="1" x="1340"/>
        <item h="1" m="1" x="1341"/>
        <item h="1" m="1" x="1343"/>
        <item h="1" m="1" x="1354"/>
        <item h="1" m="1" x="1352"/>
        <item h="1" m="1" x="1353"/>
        <item h="1" m="1" x="1350"/>
        <item h="1" m="1" x="1351"/>
        <item h="1" m="1" x="1344"/>
        <item h="1" m="1" x="1345"/>
        <item h="1" m="1" x="1346"/>
        <item h="1" m="1" x="1347"/>
        <item h="1" m="1" x="1348"/>
        <item h="1" m="1" x="1349"/>
        <item h="1" m="1" x="1342"/>
        <item h="1" m="1" x="1355"/>
        <item h="1" m="1" x="1356"/>
        <item h="1" m="1" x="1357"/>
        <item h="1" m="1" x="1358"/>
        <item h="1" m="1" x="1359"/>
        <item h="1" m="1" x="1360"/>
        <item h="1" m="1" x="1361"/>
        <item h="1" m="1" x="1362"/>
        <item h="1" m="1" x="1363"/>
        <item h="1" m="1" x="1364"/>
        <item h="1" m="1" x="1365"/>
        <item h="1" m="1" x="1366"/>
        <item h="1" m="1" x="1367"/>
        <item h="1" m="1" x="1369"/>
        <item h="1" m="1" x="1368"/>
        <item h="1" m="1" x="1371"/>
        <item h="1" m="1" x="1372"/>
        <item h="1" m="1" x="1370"/>
        <item h="1" m="1" x="1373"/>
        <item h="1" m="1" x="1374"/>
        <item h="1" m="1" x="1375"/>
        <item h="1" m="1" x="1376"/>
        <item h="1" m="1" x="1377"/>
        <item h="1" m="1" x="1378"/>
        <item h="1" m="1" x="1379"/>
        <item h="1" m="1" x="1380"/>
        <item h="1" m="1" x="1381"/>
        <item h="1" m="1" x="1384"/>
        <item h="1" m="1" x="1385"/>
        <item h="1" m="1" x="1382"/>
        <item h="1" m="1" x="1383"/>
        <item h="1" m="1" x="1387"/>
        <item h="1" m="1" x="1386"/>
        <item h="1" m="1" x="1390"/>
        <item h="1" m="1" x="1391"/>
        <item h="1" m="1" x="1392"/>
        <item h="1" m="1" x="1393"/>
        <item h="1" m="1" x="1395"/>
        <item h="1" m="1" x="1396"/>
        <item h="1" m="1" x="1394"/>
        <item h="1" m="1" x="1399"/>
        <item h="1" m="1" x="1397"/>
        <item h="1" m="1" x="1398"/>
        <item h="1" m="1" x="1400"/>
        <item h="1" m="1" x="1401"/>
        <item h="1" m="1" x="1402"/>
        <item h="1" m="1" x="1403"/>
        <item h="1" m="1" x="1404"/>
        <item h="1" m="1" x="1405"/>
        <item h="1" m="1" x="1406"/>
        <item h="1" m="1" x="1407"/>
        <item h="1" m="1" x="1408"/>
        <item h="1" m="1" x="1409"/>
        <item h="1" m="1" x="1410"/>
        <item h="1" m="1" x="1411"/>
        <item h="1" m="1" x="1412"/>
        <item h="1" m="1" x="1413"/>
        <item h="1" m="1" x="1414"/>
        <item h="1" m="1" x="1415"/>
        <item h="1" m="1" x="1416"/>
        <item h="1" m="1" x="1417"/>
        <item h="1" m="1" x="1418"/>
        <item h="1" m="1" x="1419"/>
        <item h="1" m="1" x="1420"/>
        <item h="1" m="1" x="1421"/>
        <item h="1" m="1" x="1422"/>
        <item h="1" m="1" x="1423"/>
        <item h="1" m="1" x="1424"/>
        <item h="1" m="1" x="1425"/>
        <item h="1" m="1" x="1427"/>
        <item h="1" m="1" x="1428"/>
        <item h="1" m="1" x="1426"/>
        <item h="1" m="1" x="1429"/>
        <item h="1" m="1" x="1430"/>
        <item h="1" m="1" x="1431"/>
        <item h="1" m="1" x="1432"/>
        <item h="1" m="1" x="1433"/>
        <item h="1" m="1" x="1434"/>
        <item h="1" m="1" x="1435"/>
        <item h="1" m="1" x="1437"/>
        <item h="1" m="1" x="1438"/>
        <item h="1" m="1" x="1436"/>
        <item h="1" m="1" x="1440"/>
        <item h="1" m="1" x="1441"/>
        <item h="1" m="1" x="1439"/>
        <item h="1" m="1" x="1442"/>
        <item h="1" m="1" x="1443"/>
        <item h="1" m="1" x="1444"/>
        <item h="1" m="1" x="1445"/>
        <item h="1" m="1" x="1446"/>
        <item h="1" m="1" x="1447"/>
        <item h="1" m="1" x="1448"/>
        <item h="1" m="1" x="1451"/>
        <item h="1" m="1" x="1449"/>
        <item h="1" m="1" x="1450"/>
        <item h="1" m="1" x="1452"/>
        <item h="1" m="1" x="1456"/>
        <item h="1" m="1" x="1453"/>
        <item h="1" m="1" x="1454"/>
        <item h="1" m="1" x="1455"/>
        <item h="1" m="1" x="1463"/>
        <item h="1" m="1" x="1464"/>
        <item h="1" m="1" x="1462"/>
        <item h="1" m="1" x="1459"/>
        <item h="1" m="1" x="1460"/>
        <item h="1" m="1" x="1461"/>
        <item h="1" m="1" x="1457"/>
        <item h="1" m="1" x="1458"/>
        <item h="1" m="1" x="1465"/>
        <item h="1" m="1" x="1466"/>
        <item h="1" m="1" x="1467"/>
        <item h="1" m="1" x="1468"/>
        <item h="1" m="1" x="1469"/>
        <item h="1" m="1" x="1470"/>
        <item h="1" m="1" x="1471"/>
        <item h="1" m="1" x="1472"/>
        <item h="1" m="1" x="1473"/>
        <item h="1" m="1" x="1474"/>
        <item h="1" m="1" x="1475"/>
        <item h="1" m="1" x="1476"/>
        <item h="1" m="1" x="1477"/>
        <item h="1" m="1" x="1478"/>
        <item h="1" m="1" x="1479"/>
        <item h="1" m="1" x="1480"/>
        <item h="1" m="1" x="1481"/>
        <item h="1" m="1" x="1482"/>
        <item h="1" m="1" x="1483"/>
        <item h="1" m="1" x="1062"/>
        <item h="1" m="1" x="1484"/>
        <item h="1" m="1" x="1485"/>
        <item h="1" m="1" x="1486"/>
        <item h="1" m="1" x="1488"/>
        <item h="1" m="1" x="1487"/>
        <item h="1" m="1" x="1489"/>
        <item h="1" m="1" x="1490"/>
        <item h="1" m="1" x="1491"/>
        <item h="1" m="1" x="1492"/>
        <item h="1" m="1" x="1493"/>
        <item h="1" m="1" x="1494"/>
        <item h="1" m="1" x="1496"/>
        <item h="1" m="1" x="1495"/>
        <item h="1" m="1" x="1497"/>
        <item h="1" m="1" x="1498"/>
        <item h="1" m="1" x="1499"/>
        <item h="1" m="1" x="1500"/>
        <item h="1" m="1" x="1501"/>
        <item h="1" m="1" x="1502"/>
        <item h="1" m="1" x="1503"/>
        <item h="1" m="1" x="1504"/>
        <item h="1" m="1" x="1505"/>
        <item h="1" m="1" x="1506"/>
        <item h="1" m="1" x="1507"/>
        <item h="1" m="1" x="1508"/>
        <item h="1" m="1" x="1509"/>
        <item h="1" m="1" x="1510"/>
        <item h="1" m="1" x="1511"/>
        <item h="1" m="1" x="1512"/>
        <item h="1" m="1" x="1513"/>
        <item h="1" m="1" x="1514"/>
        <item h="1" m="1" x="1515"/>
        <item h="1" m="1" x="1516"/>
        <item h="1" m="1" x="1523"/>
        <item h="1" m="1" x="1524"/>
        <item h="1" m="1" x="1525"/>
        <item h="1" m="1" x="1521"/>
        <item h="1" m="1" x="1522"/>
        <item h="1" m="1" x="1517"/>
        <item h="1" m="1" x="1518"/>
        <item h="1" m="1" x="1519"/>
        <item h="1" m="1" x="1520"/>
        <item h="1" m="1" x="1526"/>
        <item h="1" m="1" x="1527"/>
        <item h="1" m="1" x="1388"/>
        <item h="1" m="1" x="1389"/>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h="1" m="1" x="924"/>
        <item h="1" m="1" x="925"/>
        <item h="1" m="1" x="926"/>
        <item h="1" m="1" x="927"/>
        <item h="1" m="1" x="928"/>
        <item m="1" x="500"/>
        <item m="1" x="501"/>
        <item m="1" x="502"/>
        <item m="1" x="503"/>
        <item m="1" x="504"/>
        <item m="1" x="505"/>
        <item h="1" m="1" x="929"/>
        <item h="1" m="1" x="930"/>
        <item m="1" x="508"/>
        <item m="1" x="509"/>
        <item h="1" m="1" x="931"/>
        <item h="1" m="1" x="932"/>
        <item h="1" m="1" x="933"/>
        <item h="1" m="1" x="934"/>
        <item h="1" m="1" x="935"/>
        <item h="1" m="1" x="936"/>
        <item h="1" m="1" x="937"/>
        <item h="1" m="1" x="938"/>
        <item h="1" m="1" x="939"/>
        <item h="1" m="1" x="940"/>
        <item h="1" m="1" x="941"/>
        <item h="1" m="1" x="942"/>
        <item h="1" m="1" x="943"/>
        <item h="1" m="1" x="944"/>
        <item h="1" m="1" x="945"/>
        <item h="1" m="1" x="946"/>
        <item h="1" m="1" x="947"/>
        <item h="1" m="1" x="948"/>
        <item h="1" m="1" x="949"/>
        <item h="1" m="1" x="950"/>
        <item m="1" x="530"/>
        <item m="1" x="531"/>
        <item m="1" x="532"/>
        <item m="1" x="533"/>
        <item h="1" m="1" x="951"/>
        <item m="1" x="535"/>
        <item m="1" x="536"/>
        <item m="1" x="537"/>
        <item m="1" x="538"/>
        <item m="1" x="539"/>
        <item h="1" m="1" x="952"/>
        <item h="1" m="1" x="953"/>
        <item m="1" x="542"/>
        <item m="1" x="543"/>
        <item m="1" x="906"/>
        <item h="1" m="1" x="954"/>
        <item h="1" m="1" x="955"/>
        <item h="1" m="1" x="956"/>
        <item h="1" m="1" x="957"/>
        <item h="1" m="1" x="958"/>
        <item h="1" m="1" x="959"/>
        <item m="1" x="551"/>
        <item m="1" x="552"/>
        <item m="1" x="907"/>
        <item m="1" x="908"/>
        <item m="1" x="909"/>
        <item m="1" x="910"/>
        <item m="1" x="557"/>
        <item m="1" x="558"/>
        <item m="1" x="911"/>
        <item m="1" x="912"/>
        <item m="1" x="913"/>
        <item m="1" x="914"/>
        <item h="1" m="1" x="960"/>
        <item h="1" m="1" x="961"/>
        <item h="1" m="1" x="962"/>
        <item h="1" m="1" x="963"/>
        <item h="1" m="1" x="964"/>
        <item h="1" m="1" x="965"/>
        <item h="1" m="1" x="966"/>
        <item h="1" m="1" x="967"/>
        <item h="1" m="1" x="968"/>
        <item h="1" m="1" x="969"/>
        <item h="1" m="1" x="970"/>
        <item m="1" x="574"/>
        <item m="1" x="575"/>
        <item m="1" x="576"/>
        <item h="1" m="1" x="971"/>
        <item h="1" m="1" x="972"/>
        <item h="1" m="1" x="973"/>
        <item h="1" m="1" x="974"/>
        <item h="1" m="1" x="975"/>
        <item h="1" m="1" x="976"/>
        <item h="1" m="1" x="977"/>
        <item h="1" m="1" x="978"/>
        <item h="1" m="1" x="979"/>
        <item m="1" x="586"/>
        <item m="1" x="587"/>
        <item m="1" x="588"/>
        <item h="1" m="1" x="980"/>
        <item h="1" m="1" x="981"/>
        <item h="1" m="1" x="982"/>
        <item m="1" x="915"/>
        <item m="1" x="916"/>
        <item m="1" x="917"/>
        <item m="1" x="595"/>
        <item m="1" x="596"/>
        <item m="1" x="597"/>
        <item m="1" x="598"/>
        <item m="1" x="599"/>
        <item m="1" x="600"/>
        <item m="1" x="601"/>
        <item m="1" x="602"/>
        <item m="1" x="603"/>
        <item h="1" m="1" x="983"/>
        <item h="1" m="1" x="984"/>
        <item h="1" m="1" x="985"/>
        <item h="1" m="1" x="986"/>
        <item h="1" m="1" x="987"/>
        <item h="1" m="1" x="988"/>
        <item h="1" m="1" x="989"/>
        <item h="1" m="1" x="990"/>
        <item h="1" m="1" x="991"/>
        <item m="1" x="613"/>
        <item m="1" x="614"/>
        <item m="1" x="615"/>
        <item m="1" x="616"/>
        <item m="1" x="617"/>
        <item m="1" x="618"/>
        <item m="1" x="619"/>
        <item m="1" x="620"/>
        <item m="1" x="621"/>
        <item m="1" x="622"/>
        <item m="1" x="626"/>
        <item m="1" x="627"/>
        <item m="1" x="628"/>
        <item h="1" m="1" x="992"/>
        <item h="1" m="1" x="993"/>
        <item h="1" m="1" x="994"/>
        <item m="1" x="632"/>
        <item m="1" x="633"/>
        <item m="1" x="634"/>
        <item h="1" m="1" x="995"/>
        <item h="1" m="1" x="996"/>
        <item h="1" m="1" x="997"/>
        <item m="1" x="638"/>
        <item m="1" x="639"/>
        <item m="1" x="640"/>
        <item m="1" x="641"/>
        <item m="1" x="642"/>
        <item m="1" x="643"/>
        <item h="1" m="1" x="998"/>
        <item h="1" m="1" x="999"/>
        <item h="1" m="1" x="1000"/>
        <item h="1" m="1" x="1001"/>
        <item h="1" m="1" x="1002"/>
        <item h="1" m="1" x="1003"/>
        <item m="1" x="650"/>
        <item m="1" x="651"/>
        <item m="1" x="652"/>
        <item m="1" x="653"/>
        <item m="1" x="654"/>
        <item h="1" m="1" x="1004"/>
        <item h="1" m="1" x="1005"/>
        <item h="1" m="1" x="1006"/>
        <item h="1" m="1" x="1007"/>
        <item h="1" m="1" x="1008"/>
        <item h="1" m="1" x="1009"/>
        <item h="1" m="1" x="1010"/>
        <item h="1" m="1" x="1011"/>
        <item h="1" m="1" x="1012"/>
        <item h="1" m="1" x="1013"/>
        <item h="1" m="1" x="1014"/>
        <item h="1" m="1" x="1015"/>
        <item h="1" m="1" x="1016"/>
        <item h="1" m="1" x="1017"/>
        <item h="1" m="1" x="1018"/>
        <item h="1" m="1" x="1019"/>
        <item h="1" m="1" x="1020"/>
        <item h="1" m="1" x="1021"/>
        <item h="1" m="1" x="1022"/>
        <item h="1" m="1" x="1023"/>
        <item h="1" m="1" x="1024"/>
        <item h="1" m="1" x="1025"/>
        <item h="1" m="1" x="1026"/>
        <item h="1" m="1" x="1027"/>
        <item h="1" m="1" x="1028"/>
        <item h="1" m="1" x="1029"/>
        <item h="1" m="1" x="1030"/>
        <item h="1" m="1" x="1031"/>
        <item h="1" m="1" x="1032"/>
        <item h="1" m="1" x="1033"/>
        <item h="1" m="1" x="1034"/>
        <item m="1" x="686"/>
        <item m="1" x="687"/>
        <item m="1" x="688"/>
        <item m="1" x="689"/>
        <item m="1" x="690"/>
        <item m="1" x="691"/>
        <item m="1" x="692"/>
        <item m="1" x="693"/>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h="1" m="1" x="1035"/>
        <item h="1" m="1" x="1036"/>
        <item m="1" x="756"/>
        <item m="1" x="757"/>
        <item m="1" x="758"/>
        <item m="1" x="759"/>
        <item m="1" x="760"/>
        <item m="1" x="761"/>
        <item m="1" x="762"/>
        <item m="1" x="763"/>
        <item m="1" x="764"/>
        <item m="1" x="765"/>
        <item h="1" m="1" x="1037"/>
        <item h="1" m="1" x="1038"/>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h="1" m="1" x="1039"/>
        <item h="1" m="1" x="1040"/>
        <item h="1" m="1" x="1041"/>
        <item m="1" x="795"/>
        <item m="1" x="796"/>
        <item m="1" x="797"/>
        <item m="1" x="798"/>
        <item m="1" x="799"/>
        <item m="1" x="800"/>
        <item m="1" x="801"/>
        <item m="1" x="802"/>
        <item m="1" x="803"/>
        <item m="1" x="804"/>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h="1" m="1" x="1042"/>
        <item h="1" m="1" x="1043"/>
        <item h="1" m="1" x="1044"/>
        <item h="1" m="1" x="1045"/>
        <item h="1" m="1" x="1046"/>
        <item h="1" m="1" x="1047"/>
        <item h="1" m="1" x="1048"/>
        <item h="1" m="1" x="1049"/>
        <item h="1" m="1" x="1050"/>
        <item h="1" m="1" x="1051"/>
        <item h="1" m="1" x="1052"/>
        <item h="1" m="1" x="1053"/>
        <item h="1" m="1" x="1054"/>
        <item h="1" m="1" x="1055"/>
        <item h="1" m="1" x="1056"/>
        <item h="1" m="1" x="1057"/>
        <item h="1" m="1" x="1058"/>
        <item h="1" m="1" x="1059"/>
        <item h="1" m="1" x="1060"/>
        <item h="1" m="1" x="1061"/>
        <item h="1" m="1" x="1063"/>
        <item h="1" m="1" x="1064"/>
        <item h="1" m="1" x="1065"/>
        <item h="1" m="1" x="1066"/>
        <item h="1" m="1" x="1067"/>
        <item h="1" m="1" x="1068"/>
        <item h="1" m="1" x="1069"/>
        <item h="1" m="1" x="1070"/>
        <item h="1" m="1" x="1071"/>
        <item h="1" m="1" x="1072"/>
        <item h="1" m="1" x="1073"/>
        <item h="1" m="1" x="1074"/>
        <item h="1" m="1" x="1075"/>
        <item h="1" m="1" x="1076"/>
        <item h="1" m="1" x="1077"/>
        <item h="1" m="1" x="1078"/>
        <item h="1" m="1" x="1079"/>
        <item h="1" m="1" x="1080"/>
        <item h="1" m="1" x="1081"/>
        <item h="1" m="1" x="1082"/>
        <item h="1" m="1" x="1083"/>
        <item h="1" m="1" x="1084"/>
        <item h="1" m="1" x="1085"/>
        <item h="1" m="1" x="1086"/>
        <item h="1" m="1" x="1087"/>
        <item h="1" m="1" x="1088"/>
        <item h="1" m="1" x="1089"/>
        <item h="1" m="1" x="1090"/>
        <item h="1" m="1" x="1091"/>
        <item h="1" m="1" x="1092"/>
        <item h="1" m="1" x="1093"/>
        <item h="1" m="1" x="1094"/>
        <item m="1" x="894"/>
        <item m="1" x="895"/>
        <item m="1" x="896"/>
        <item m="1" x="897"/>
        <item m="1" x="898"/>
        <item m="1" x="899"/>
        <item m="1" x="900"/>
        <item m="1" x="901"/>
        <item m="1" x="902"/>
        <item m="1" x="903"/>
        <item m="1" x="904"/>
        <item m="1" x="905"/>
        <item m="1" x="623"/>
        <item m="1" x="624"/>
        <item m="1" x="625"/>
        <item m="1" x="805"/>
        <item m="1" x="806"/>
        <item m="1" x="807"/>
        <item m="1" x="495"/>
        <item m="1" x="496"/>
        <item m="1" x="497"/>
        <item m="1" x="498"/>
        <item m="1" x="499"/>
        <item m="1" x="506"/>
        <item m="1" x="507"/>
        <item m="1" x="510"/>
        <item m="1" x="511"/>
        <item m="1" x="512"/>
        <item m="1" x="513"/>
        <item m="1" x="514"/>
        <item m="1" x="515"/>
        <item m="1" x="516"/>
        <item m="1" x="517"/>
        <item m="1" x="518"/>
        <item m="1" x="519"/>
        <item m="1" x="520"/>
        <item m="1" x="521"/>
        <item m="1" x="522"/>
        <item m="1" x="523"/>
        <item m="1" x="524"/>
        <item m="1" x="525"/>
        <item m="1" x="526"/>
        <item m="1" x="527"/>
        <item m="1" x="528"/>
        <item m="1" x="529"/>
        <item m="1" x="534"/>
        <item m="1" x="540"/>
        <item m="1" x="541"/>
        <item m="1" x="545"/>
        <item m="1" x="546"/>
        <item m="1" x="547"/>
        <item m="1" x="548"/>
        <item m="1" x="549"/>
        <item m="1" x="550"/>
        <item m="1" x="563"/>
        <item m="1" x="564"/>
        <item m="1" x="565"/>
        <item m="1" x="566"/>
        <item m="1" x="567"/>
        <item m="1" x="568"/>
        <item m="1" x="569"/>
        <item m="1" x="570"/>
        <item m="1" x="571"/>
        <item m="1" x="572"/>
        <item m="1" x="573"/>
        <item m="1" x="577"/>
        <item m="1" x="578"/>
        <item m="1" x="579"/>
        <item m="1" x="580"/>
        <item m="1" x="581"/>
        <item m="1" x="582"/>
        <item m="1" x="583"/>
        <item m="1" x="584"/>
        <item m="1" x="585"/>
        <item m="1" x="589"/>
        <item m="1" x="590"/>
        <item m="1" x="591"/>
        <item m="1" x="604"/>
        <item m="1" x="605"/>
        <item m="1" x="606"/>
        <item m="1" x="918"/>
        <item m="1" x="919"/>
        <item m="1" x="920"/>
        <item m="1" x="921"/>
        <item m="1" x="922"/>
        <item m="1" x="923"/>
        <item m="1" x="629"/>
        <item m="1" x="630"/>
        <item m="1" x="631"/>
        <item m="1" x="635"/>
        <item m="1" x="636"/>
        <item m="1" x="637"/>
        <item m="1" x="644"/>
        <item m="1" x="645"/>
        <item m="1" x="646"/>
        <item m="1" x="647"/>
        <item m="1" x="648"/>
        <item m="1" x="649"/>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94"/>
        <item m="1" x="695"/>
        <item m="1" x="754"/>
        <item m="1" x="755"/>
        <item m="1" x="766"/>
        <item m="1" x="767"/>
        <item m="1" x="792"/>
        <item m="1" x="793"/>
        <item m="1" x="794"/>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544"/>
        <item m="1" x="553"/>
        <item m="1" x="554"/>
        <item m="1" x="555"/>
        <item m="1" x="556"/>
        <item m="1" x="559"/>
        <item m="1" x="560"/>
        <item m="1" x="561"/>
        <item m="1" x="562"/>
        <item m="1" x="592"/>
        <item m="1" x="593"/>
        <item m="1" x="594"/>
        <item m="1" x="607"/>
        <item m="1" x="608"/>
        <item m="1" x="609"/>
        <item m="1" x="610"/>
        <item m="1" x="611"/>
        <item m="1" x="6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t="default"/>
      </items>
    </pivotField>
    <pivotField numFmtId="172" showAll="0"/>
    <pivotField showAll="0"/>
    <pivotField axis="axisPage" multipleItemSelectionAllowed="1" showAll="0">
      <items count="8">
        <item m="1" x="6"/>
        <item h="1" x="4"/>
        <item x="2"/>
        <item h="1" x="0"/>
        <item x="1"/>
        <item h="1" x="3"/>
        <item h="1" x="5"/>
        <item t="default"/>
      </items>
    </pivotField>
    <pivotField showAll="0"/>
    <pivotField dataField="1" numFmtId="172" showAll="0"/>
    <pivotField axis="axisPage" multipleItemSelectionAllowed="1" showAll="0">
      <items count="8">
        <item m="1" x="6"/>
        <item x="4"/>
        <item x="1"/>
        <item x="0"/>
        <item x="2"/>
        <item x="5"/>
        <item x="3"/>
        <item t="default"/>
      </items>
    </pivotField>
    <pivotField axis="axisPage" multipleItemSelectionAllowed="1" showAll="0">
      <items count="10">
        <item m="1" x="8"/>
        <item x="2"/>
        <item x="3"/>
        <item x="5"/>
        <item x="1"/>
        <item h="1" x="7"/>
        <item h="1" x="0"/>
        <item x="6"/>
        <item h="1" x="4"/>
        <item t="default"/>
      </items>
    </pivotField>
  </pivotFields>
  <rowFields count="1">
    <field x="5"/>
  </rowFields>
  <rowItems count="147">
    <i>
      <x v="3"/>
    </i>
    <i>
      <x v="4"/>
    </i>
    <i>
      <x v="5"/>
    </i>
    <i>
      <x v="6"/>
    </i>
    <i>
      <x v="7"/>
    </i>
    <i>
      <x v="8"/>
    </i>
    <i>
      <x v="18"/>
    </i>
    <i>
      <x v="20"/>
    </i>
    <i>
      <x v="21"/>
    </i>
    <i>
      <x v="22"/>
    </i>
    <i>
      <x v="23"/>
    </i>
    <i>
      <x v="24"/>
    </i>
    <i>
      <x v="25"/>
    </i>
    <i>
      <x v="26"/>
    </i>
    <i>
      <x v="28"/>
    </i>
    <i>
      <x v="30"/>
    </i>
    <i>
      <x v="31"/>
    </i>
    <i>
      <x v="32"/>
    </i>
    <i>
      <x v="34"/>
    </i>
    <i>
      <x v="35"/>
    </i>
    <i>
      <x v="36"/>
    </i>
    <i>
      <x v="37"/>
    </i>
    <i>
      <x v="38"/>
    </i>
    <i>
      <x v="42"/>
    </i>
    <i>
      <x v="43"/>
    </i>
    <i>
      <x v="44"/>
    </i>
    <i>
      <x v="46"/>
    </i>
    <i>
      <x v="50"/>
    </i>
    <i>
      <x v="52"/>
    </i>
    <i>
      <x v="53"/>
    </i>
    <i>
      <x v="54"/>
    </i>
    <i>
      <x v="55"/>
    </i>
    <i>
      <x v="56"/>
    </i>
    <i>
      <x v="57"/>
    </i>
    <i>
      <x v="58"/>
    </i>
    <i>
      <x v="59"/>
    </i>
    <i>
      <x v="60"/>
    </i>
    <i>
      <x v="64"/>
    </i>
    <i>
      <x v="65"/>
    </i>
    <i>
      <x v="66"/>
    </i>
    <i>
      <x v="67"/>
    </i>
    <i>
      <x v="69"/>
    </i>
    <i>
      <x v="75"/>
    </i>
    <i>
      <x v="76"/>
    </i>
    <i>
      <x v="77"/>
    </i>
    <i>
      <x v="78"/>
    </i>
    <i>
      <x v="81"/>
    </i>
    <i>
      <x v="82"/>
    </i>
    <i>
      <x v="83"/>
    </i>
    <i>
      <x v="84"/>
    </i>
    <i>
      <x v="85"/>
    </i>
    <i>
      <x v="86"/>
    </i>
    <i>
      <x v="87"/>
    </i>
    <i>
      <x v="88"/>
    </i>
    <i>
      <x v="89"/>
    </i>
    <i>
      <x v="90"/>
    </i>
    <i>
      <x v="91"/>
    </i>
    <i>
      <x v="92"/>
    </i>
    <i>
      <x v="93"/>
    </i>
    <i>
      <x v="96"/>
    </i>
    <i>
      <x v="100"/>
    </i>
    <i>
      <x v="101"/>
    </i>
    <i>
      <x v="103"/>
    </i>
    <i>
      <x v="105"/>
    </i>
    <i>
      <x v="106"/>
    </i>
    <i>
      <x v="107"/>
    </i>
    <i>
      <x v="108"/>
    </i>
    <i>
      <x v="109"/>
    </i>
    <i>
      <x v="110"/>
    </i>
    <i>
      <x v="111"/>
    </i>
    <i>
      <x v="112"/>
    </i>
    <i>
      <x v="114"/>
    </i>
    <i>
      <x v="120"/>
    </i>
    <i>
      <x v="121"/>
    </i>
    <i>
      <x v="122"/>
    </i>
    <i>
      <x v="123"/>
    </i>
    <i>
      <x v="124"/>
    </i>
    <i>
      <x v="125"/>
    </i>
    <i>
      <x v="127"/>
    </i>
    <i>
      <x v="128"/>
    </i>
    <i>
      <x v="129"/>
    </i>
    <i>
      <x v="130"/>
    </i>
    <i>
      <x v="131"/>
    </i>
    <i>
      <x v="132"/>
    </i>
    <i>
      <x v="134"/>
    </i>
    <i>
      <x v="135"/>
    </i>
    <i>
      <x v="136"/>
    </i>
    <i>
      <x v="137"/>
    </i>
    <i>
      <x v="139"/>
    </i>
    <i>
      <x v="140"/>
    </i>
    <i>
      <x v="141"/>
    </i>
    <i>
      <x v="143"/>
    </i>
    <i>
      <x v="144"/>
    </i>
    <i>
      <x v="145"/>
    </i>
    <i>
      <x v="146"/>
    </i>
    <i>
      <x v="147"/>
    </i>
    <i>
      <x v="148"/>
    </i>
    <i>
      <x v="149"/>
    </i>
    <i>
      <x v="151"/>
    </i>
    <i>
      <x v="152"/>
    </i>
    <i>
      <x v="153"/>
    </i>
    <i>
      <x v="154"/>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t="grand">
      <x/>
    </i>
  </rowItems>
  <colFields count="1">
    <field x="-2"/>
  </colFields>
  <colItems count="2">
    <i>
      <x/>
    </i>
    <i i="1">
      <x v="1"/>
    </i>
  </colItems>
  <pageFields count="5">
    <pageField fld="2" hier="-1"/>
    <pageField fld="35" hier="-1"/>
    <pageField fld="41" hier="-1"/>
    <pageField fld="38" hier="-1"/>
    <pageField fld="42" hier="-1"/>
  </pageFields>
  <dataFields count="2">
    <dataField name="Sum of Huella" fld="35" baseField="0" baseItem="0"/>
    <dataField name="Sum of Intensidad-M" fld="4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EC1E829-2547-43CA-8BB0-2408A179E198}" name="PivotTable17"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F61:CI63" firstHeaderRow="0" firstDataRow="1" firstDataCol="1" rowPageCount="5" colPageCount="1"/>
  <pivotFields count="43">
    <pivotField showAll="0"/>
    <pivotField showAll="0"/>
    <pivotField axis="axisPage" multipleItemSelectionAllowed="1" showAll="0">
      <items count="5">
        <item h="1" x="2"/>
        <item x="1"/>
        <item x="0"/>
        <item x="3"/>
        <item t="default"/>
      </items>
    </pivotField>
    <pivotField showAll="0"/>
    <pivotField showAll="0"/>
    <pivotField axis="axisRow" showAll="0">
      <items count="203">
        <item x="84"/>
        <item x="83"/>
        <item x="82"/>
        <item x="69"/>
        <item x="41"/>
        <item x="27"/>
        <item x="49"/>
        <item x="145"/>
        <item x="146"/>
        <item x="181"/>
        <item x="173"/>
        <item x="193"/>
        <item x="175"/>
        <item x="170"/>
        <item x="196"/>
        <item x="166"/>
        <item x="178"/>
        <item x="179"/>
        <item x="52"/>
        <item x="12"/>
        <item x="16"/>
        <item x="15"/>
        <item x="14"/>
        <item x="17"/>
        <item x="96"/>
        <item x="97"/>
        <item x="8"/>
        <item x="85"/>
        <item x="75"/>
        <item x="105"/>
        <item x="102"/>
        <item x="198"/>
        <item x="104"/>
        <item x="103"/>
        <item x="195"/>
        <item x="130"/>
        <item x="147"/>
        <item x="149"/>
        <item x="28"/>
        <item x="66"/>
        <item x="186"/>
        <item x="73"/>
        <item x="185"/>
        <item x="44"/>
        <item x="67"/>
        <item x="53"/>
        <item x="188"/>
        <item x="43"/>
        <item x="180"/>
        <item x="171"/>
        <item x="191"/>
        <item x="54"/>
        <item x="184"/>
        <item x="125"/>
        <item x="148"/>
        <item x="115"/>
        <item x="199"/>
        <item x="55"/>
        <item x="56"/>
        <item x="63"/>
        <item x="200"/>
        <item x="57"/>
        <item x="86"/>
        <item x="87"/>
        <item x="88"/>
        <item x="46"/>
        <item x="109"/>
        <item x="35"/>
        <item x="65"/>
        <item x="194"/>
        <item x="133"/>
        <item x="0"/>
        <item x="2"/>
        <item x="1"/>
        <item x="3"/>
        <item x="4"/>
        <item x="150"/>
        <item x="58"/>
        <item x="116"/>
        <item x="9"/>
        <item x="7"/>
        <item x="183"/>
        <item x="190"/>
        <item x="21"/>
        <item x="40"/>
        <item x="23"/>
        <item x="22"/>
        <item x="45"/>
        <item x="37"/>
        <item x="36"/>
        <item x="59"/>
        <item x="42"/>
        <item x="24"/>
        <item x="114"/>
        <item x="131"/>
        <item x="122"/>
        <item x="19"/>
        <item x="152"/>
        <item x="78"/>
        <item x="182"/>
        <item x="128"/>
        <item x="197"/>
        <item x="90"/>
        <item x="89"/>
        <item x="127"/>
        <item x="126"/>
        <item x="174"/>
        <item x="13"/>
        <item x="32"/>
        <item x="79"/>
        <item x="74"/>
        <item x="121"/>
        <item x="33"/>
        <item x="64"/>
        <item x="129"/>
        <item x="141"/>
        <item x="71"/>
        <item x="60"/>
        <item x="177"/>
        <item x="31"/>
        <item x="187"/>
        <item x="169"/>
        <item x="172"/>
        <item x="176"/>
        <item x="168"/>
        <item x="154"/>
        <item x="118"/>
        <item x="120"/>
        <item x="117"/>
        <item x="101"/>
        <item x="20"/>
        <item x="189"/>
        <item x="110"/>
        <item x="111"/>
        <item x="18"/>
        <item x="132"/>
        <item x="155"/>
        <item x="76"/>
        <item x="91"/>
        <item x="39"/>
        <item x="26"/>
        <item x="139"/>
        <item x="50"/>
        <item x="112"/>
        <item x="156"/>
        <item x="158"/>
        <item x="81"/>
        <item x="25"/>
        <item x="29"/>
        <item x="38"/>
        <item x="167"/>
        <item x="159"/>
        <item x="51"/>
        <item x="77"/>
        <item x="161"/>
        <item x="162"/>
        <item x="163"/>
        <item x="164"/>
        <item x="165"/>
        <item x="124"/>
        <item x="192"/>
        <item x="62"/>
        <item x="61"/>
        <item x="94"/>
        <item x="95"/>
        <item x="80"/>
        <item x="34"/>
        <item x="119"/>
        <item x="138"/>
        <item x="143"/>
        <item x="137"/>
        <item x="142"/>
        <item x="108"/>
        <item x="160"/>
        <item x="92"/>
        <item x="151"/>
        <item x="107"/>
        <item x="123"/>
        <item x="6"/>
        <item x="72"/>
        <item x="98"/>
        <item x="113"/>
        <item x="5"/>
        <item x="10"/>
        <item x="11"/>
        <item x="30"/>
        <item x="47"/>
        <item x="48"/>
        <item x="68"/>
        <item x="70"/>
        <item x="93"/>
        <item x="99"/>
        <item x="100"/>
        <item x="106"/>
        <item x="134"/>
        <item x="135"/>
        <item x="136"/>
        <item x="140"/>
        <item x="144"/>
        <item x="153"/>
        <item x="157"/>
        <item x="201"/>
        <item t="default"/>
      </items>
    </pivotField>
    <pivotField showAll="0"/>
    <pivotField showAll="0"/>
    <pivotField showAll="0"/>
    <pivotField showAll="0"/>
    <pivotField showAll="0"/>
    <pivotField numFmtId="164" showAll="0"/>
    <pivotField showAll="0"/>
    <pivotField showAll="0"/>
    <pivotField showAll="0"/>
    <pivotField showAll="0"/>
    <pivotField showAll="0"/>
    <pivotField axis="axisRow" showAll="0">
      <items count="3">
        <item x="0"/>
        <item sd="0" x="1"/>
        <item t="default"/>
      </items>
    </pivotField>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4730">
        <item h="1" x="95"/>
        <item m="1" x="4539"/>
        <item m="1" x="4630"/>
        <item m="1" x="4633"/>
        <item m="1" x="4513"/>
        <item m="1" x="4632"/>
        <item m="1" x="4512"/>
        <item m="1" x="4557"/>
        <item m="1" x="4631"/>
        <item m="1" x="4561"/>
        <item m="1" x="4455"/>
        <item m="1" x="4560"/>
        <item m="1" x="4519"/>
        <item m="1" x="4530"/>
        <item m="1" x="4554"/>
        <item m="1" x="4525"/>
        <item m="1" x="4522"/>
        <item m="1" x="4571"/>
        <item m="1" x="4607"/>
        <item m="1" x="4478"/>
        <item m="1" x="4555"/>
        <item m="1" x="4457"/>
        <item m="1" x="4456"/>
        <item m="1" x="4679"/>
        <item m="1" x="4635"/>
        <item m="1" x="4425"/>
        <item m="1" x="4536"/>
        <item m="1" x="4627"/>
        <item m="1" x="4556"/>
        <item m="1" x="4576"/>
        <item m="1" x="4575"/>
        <item m="1" x="4686"/>
        <item m="1" x="4551"/>
        <item m="1" x="4480"/>
        <item m="1" x="4628"/>
        <item m="1" x="4634"/>
        <item m="1" x="4728"/>
        <item m="1" x="4534"/>
        <item m="1" x="4348"/>
        <item m="1" x="4629"/>
        <item m="1" x="4524"/>
        <item m="1" x="4682"/>
        <item m="1" x="4596"/>
        <item m="1" x="4688"/>
        <item m="1" x="4727"/>
        <item m="1" x="4619"/>
        <item m="1" x="4402"/>
        <item m="1" x="4621"/>
        <item m="1" x="4535"/>
        <item m="1" x="4354"/>
        <item m="1" x="4443"/>
        <item m="1" x="4690"/>
        <item m="1" x="4687"/>
        <item m="1" x="4401"/>
        <item m="1" x="4681"/>
        <item m="1" x="4601"/>
        <item m="1" x="4350"/>
        <item m="1" x="4597"/>
        <item m="1" x="4685"/>
        <item m="1" x="4385"/>
        <item m="1" x="4386"/>
        <item m="1" x="4684"/>
        <item m="1" x="4620"/>
        <item m="1" x="4678"/>
        <item m="1" x="4614"/>
        <item m="1" x="4400"/>
        <item m="1" x="4616"/>
        <item m="1" x="4397"/>
        <item m="1" x="4602"/>
        <item m="1" x="4683"/>
        <item m="1" x="4599"/>
        <item m="1" x="4359"/>
        <item m="1" x="4399"/>
        <item m="1" x="4371"/>
        <item m="1" x="4689"/>
        <item m="1" x="4370"/>
        <item m="1" x="4446"/>
        <item m="1" x="4418"/>
        <item m="1" x="4598"/>
        <item m="1" x="4600"/>
        <item m="1" x="4347"/>
        <item m="1" x="4677"/>
        <item m="1" x="4349"/>
        <item m="1" x="4694"/>
        <item m="1" x="4696"/>
        <item m="1" x="4608"/>
        <item m="1" x="4444"/>
        <item m="1" x="4384"/>
        <item m="1" x="4353"/>
        <item m="1" x="4360"/>
        <item m="1" x="4431"/>
        <item m="1" x="4343"/>
        <item m="1" x="4398"/>
        <item m="1" x="4516"/>
        <item m="1" x="4344"/>
        <item m="1" x="4339"/>
        <item m="1" x="4352"/>
        <item m="1" x="4546"/>
        <item m="1" x="4594"/>
        <item m="1" x="4547"/>
        <item m="1" x="4338"/>
        <item m="1" x="4311"/>
        <item m="1" x="4622"/>
        <item m="1" x="4372"/>
        <item m="1" x="4340"/>
        <item m="1" x="4671"/>
        <item m="1" x="4663"/>
        <item m="1" x="4611"/>
        <item m="1" x="4405"/>
        <item m="1" x="4693"/>
        <item m="1" x="4427"/>
        <item m="1" x="4615"/>
        <item m="1" x="4708"/>
        <item m="1" x="4448"/>
        <item m="1" x="4375"/>
        <item m="1" x="4337"/>
        <item m="1" x="4714"/>
        <item m="1" x="4672"/>
        <item m="1" x="4612"/>
        <item m="1" x="4518"/>
        <item m="1" x="4346"/>
        <item m="1" x="4617"/>
        <item m="1" x="4707"/>
        <item m="1" x="4276"/>
        <item m="1" x="4604"/>
        <item m="1" x="4345"/>
        <item m="1" x="4335"/>
        <item m="1" x="4369"/>
        <item m="1" x="4680"/>
        <item m="1" x="4713"/>
        <item m="1" x="4695"/>
        <item m="1" x="4408"/>
        <item m="1" x="4515"/>
        <item m="1" x="4341"/>
        <item m="1" x="4342"/>
        <item m="1" x="4426"/>
        <item m="1" x="4605"/>
        <item m="1" x="4445"/>
        <item m="1" x="4412"/>
        <item m="1" x="4537"/>
        <item m="1" x="4404"/>
        <item m="1" x="4391"/>
        <item m="1" x="4336"/>
        <item m="1" x="4433"/>
        <item m="1" x="4606"/>
        <item m="1" x="4662"/>
        <item m="1" x="4538"/>
        <item m="1" x="4618"/>
        <item m="1" x="4275"/>
        <item m="1" x="4613"/>
        <item m="1" x="4403"/>
        <item m="1" x="4655"/>
        <item m="1" x="4532"/>
        <item m="1" x="4704"/>
        <item m="1" x="4291"/>
        <item m="1" x="4657"/>
        <item m="1" x="4447"/>
        <item m="1" x="4711"/>
        <item m="1" x="4726"/>
        <item m="1" x="4623"/>
        <item m="1" x="4517"/>
        <item m="1" x="4595"/>
        <item m="1" x="4703"/>
        <item m="1" x="4413"/>
        <item m="1" x="4626"/>
        <item m="1" x="4717"/>
        <item m="1" x="4649"/>
        <item m="1" x="4692"/>
        <item m="1" x="4298"/>
        <item m="1" x="4475"/>
        <item m="1" x="4548"/>
        <item m="1" x="4603"/>
        <item m="1" x="4559"/>
        <item m="1" x="4715"/>
        <item m="1" x="4414"/>
        <item m="1" x="4387"/>
        <item m="1" x="4287"/>
        <item m="1" x="4373"/>
        <item m="1" x="4625"/>
        <item m="1" x="4531"/>
        <item m="1" x="4654"/>
        <item m="1" x="4361"/>
        <item m="1" x="4647"/>
        <item m="1" x="4501"/>
        <item m="1" x="4656"/>
        <item m="1" x="4691"/>
        <item m="1" x="4700"/>
        <item m="1" x="4529"/>
        <item m="1" x="4415"/>
        <item m="1" x="4624"/>
        <item m="1" x="4356"/>
        <item m="1" x="4409"/>
        <item m="1" x="4503"/>
        <item m="1" x="4355"/>
        <item m="1" x="4432"/>
        <item m="1" x="4710"/>
        <item m="1" x="4541"/>
        <item m="1" x="4362"/>
        <item m="1" x="4563"/>
        <item m="1" x="4374"/>
        <item m="1" x="4487"/>
        <item m="1" x="4587"/>
        <item m="1" x="4609"/>
        <item m="1" x="4567"/>
        <item m="1" x="4550"/>
        <item m="1" x="4702"/>
        <item m="1" x="4406"/>
        <item m="1" x="4333"/>
        <item m="1" x="4509"/>
        <item m="1" x="4653"/>
        <item m="1" x="4395"/>
        <item m="1" x="4589"/>
        <item m="1" x="4648"/>
        <item m="1" x="4486"/>
        <item m="1" x="4719"/>
        <item m="1" x="4705"/>
        <item m="1" x="4452"/>
        <item m="1" x="4720"/>
        <item m="1" x="4407"/>
        <item m="1" x="4473"/>
        <item m="1" x="4483"/>
        <item m="1" x="4651"/>
        <item m="1" x="4592"/>
        <item m="1" x="4449"/>
        <item m="1" x="4307"/>
        <item m="1" x="4610"/>
        <item m="1" x="4334"/>
        <item m="1" x="4568"/>
        <item m="1" x="4523"/>
        <item m="1" x="4718"/>
        <item m="1" x="4645"/>
        <item m="1" x="4588"/>
        <item m="1" x="4676"/>
        <item m="1" x="4504"/>
        <item m="1" x="4467"/>
        <item m="1" x="4390"/>
        <item m="1" x="4698"/>
        <item m="1" x="4558"/>
        <item m="1" x="4553"/>
        <item m="1" x="4461"/>
        <item m="1" x="4297"/>
        <item m="1" x="4357"/>
        <item m="1" x="4722"/>
        <item m="1" x="4420"/>
        <item m="1" x="4659"/>
        <item m="1" x="4382"/>
        <item m="1" x="4521"/>
        <item m="1" x="4716"/>
        <item m="1" x="4388"/>
        <item m="1" x="4273"/>
        <item m="1" x="4310"/>
        <item m="1" x="4646"/>
        <item m="1" x="4643"/>
        <item m="1" x="4574"/>
        <item m="1" x="4725"/>
        <item m="1" x="4474"/>
        <item m="1" x="4500"/>
        <item m="1" x="4497"/>
        <item m="1" x="4471"/>
        <item m="1" x="4499"/>
        <item m="1" x="4316"/>
        <item m="1" x="4706"/>
        <item m="1" x="4284"/>
        <item m="1" x="4508"/>
        <item m="1" x="4302"/>
        <item m="1" x="4383"/>
        <item m="1" x="4482"/>
        <item m="1" x="4488"/>
        <item m="1" x="4493"/>
        <item m="1" x="4652"/>
        <item m="1" x="4314"/>
        <item m="1" x="4380"/>
        <item m="1" x="4281"/>
        <item m="1" x="4502"/>
        <item m="1" x="4528"/>
        <item m="1" x="4485"/>
        <item m="1" x="4712"/>
        <item m="1" x="4365"/>
        <item m="1" x="4366"/>
        <item m="1" x="4351"/>
        <item m="1" x="4552"/>
        <item m="1" x="4419"/>
        <item m="1" x="4494"/>
        <item m="1" x="4490"/>
        <item m="1" x="4411"/>
        <item m="1" x="4543"/>
        <item m="1" x="4312"/>
        <item m="1" x="4437"/>
        <item m="1" x="4489"/>
        <item m="1" x="4505"/>
        <item m="1" x="4392"/>
        <item m="1" x="4639"/>
        <item m="1" x="4451"/>
        <item m="1" x="4545"/>
        <item m="1" x="4540"/>
        <item m="1" x="4507"/>
        <item m="1" x="4439"/>
        <item m="1" x="4376"/>
        <item m="1" x="4572"/>
        <item m="1" x="4666"/>
        <item m="1" x="4514"/>
        <item m="1" x="4641"/>
        <item m="1" x="4511"/>
        <item m="1" x="4642"/>
        <item m="1" x="4484"/>
        <item m="1" x="4564"/>
        <item m="1" x="4389"/>
        <item m="1" x="4593"/>
        <item m="1" x="4394"/>
        <item m="1" x="4320"/>
        <item m="1" x="4315"/>
        <item m="1" x="4381"/>
        <item m="1" x="4709"/>
        <item m="1" x="4562"/>
        <item m="1" x="4274"/>
        <item m="1" x="4644"/>
        <item m="1" x="4379"/>
        <item m="1" x="4417"/>
        <item m="1" x="4549"/>
        <item m="1" x="4724"/>
        <item m="1" x="4721"/>
        <item m="1" x="4323"/>
        <item m="1" x="4701"/>
        <item m="1" x="4313"/>
        <item m="1" x="4453"/>
        <item m="1" x="4464"/>
        <item m="1" x="4699"/>
        <item m="1" x="4454"/>
        <item m="1" x="4358"/>
        <item m="1" x="4697"/>
        <item m="1" x="4410"/>
        <item m="1" x="4664"/>
        <item m="1" x="4658"/>
        <item m="1" x="4364"/>
        <item m="1" x="4581"/>
        <item m="1" x="4492"/>
        <item m="1" x="4363"/>
        <item m="1" x="4295"/>
        <item m="1" x="4673"/>
        <item m="1" x="4579"/>
        <item m="1" x="4650"/>
        <item m="1" x="4675"/>
        <item m="1" x="4434"/>
        <item m="1" x="4570"/>
        <item m="1" x="4321"/>
        <item m="1" x="4496"/>
        <item m="1" x="4472"/>
        <item m="1" x="4665"/>
        <item m="1" x="4526"/>
        <item m="1" x="4396"/>
        <item m="1" x="4416"/>
        <item m="1" x="4660"/>
        <item m="1" x="4520"/>
        <item m="1" x="4299"/>
        <item m="1" x="4458"/>
        <item m="1" x="4469"/>
        <item m="1" x="4377"/>
        <item m="1" x="4586"/>
        <item m="1" x="4378"/>
        <item m="1" x="4583"/>
        <item m="1" x="4590"/>
        <item m="1" x="4495"/>
        <item m="1" x="4544"/>
        <item m="1" x="4591"/>
        <item m="1" x="4470"/>
        <item m="1" x="4498"/>
        <item m="1" x="4584"/>
        <item m="1" x="4450"/>
        <item m="1" x="4580"/>
        <item m="1" x="4542"/>
        <item m="1" x="4296"/>
        <item m="1" x="4638"/>
        <item m="1" x="4393"/>
        <item m="1" x="4306"/>
        <item m="1" x="4476"/>
        <item m="1" x="4309"/>
        <item m="1" x="4585"/>
        <item m="1" x="4305"/>
        <item m="1" x="4293"/>
        <item m="1" x="4463"/>
        <item m="1" x="4582"/>
        <item m="1" x="4566"/>
        <item m="1" x="4367"/>
        <item m="1" x="4481"/>
        <item m="1" x="4368"/>
        <item m="1" x="4510"/>
        <item m="1" x="4479"/>
        <item m="1" x="4317"/>
        <item m="1" x="4421"/>
        <item m="1" x="4674"/>
        <item m="1" x="4440"/>
        <item m="1" x="4637"/>
        <item m="1" x="4308"/>
        <item m="1" x="4292"/>
        <item m="1" x="4573"/>
        <item m="1" x="4661"/>
        <item m="1" x="4322"/>
        <item m="1" x="4428"/>
        <item m="1" x="4300"/>
        <item m="1" x="4533"/>
        <item m="1" x="4289"/>
        <item m="1" x="4468"/>
        <item m="1" x="4319"/>
        <item m="1" x="4668"/>
        <item m="1" x="4279"/>
        <item m="1" x="4506"/>
        <item m="1" x="4460"/>
        <item m="1" x="4569"/>
        <item m="1" x="4466"/>
        <item m="1" x="4331"/>
        <item m="1" x="4326"/>
        <item m="1" x="4318"/>
        <item m="1" x="4282"/>
        <item m="1" x="4527"/>
        <item m="1" x="4304"/>
        <item m="1" x="4577"/>
        <item m="1" x="4636"/>
        <item m="1" x="4640"/>
        <item m="1" x="4477"/>
        <item m="1" x="4436"/>
        <item m="1" x="4329"/>
        <item m="1" x="4491"/>
        <item m="1" x="4422"/>
        <item m="1" x="4301"/>
        <item m="1" x="4288"/>
        <item m="1" x="4462"/>
        <item m="1" x="4324"/>
        <item m="1" x="4459"/>
        <item m="1" x="4327"/>
        <item m="1" x="4285"/>
        <item m="1" x="4723"/>
        <item m="1" x="4565"/>
        <item m="1" x="4325"/>
        <item m="1" x="4332"/>
        <item m="1" x="4330"/>
        <item m="1" x="4303"/>
        <item m="1" x="4277"/>
        <item m="1" x="4465"/>
        <item m="1" x="4578"/>
        <item m="1" x="4438"/>
        <item m="1" x="4328"/>
        <item m="1" x="4669"/>
        <item m="1" x="4667"/>
        <item m="1" x="4429"/>
        <item m="1" x="4435"/>
        <item m="1" x="4290"/>
        <item m="1" x="4286"/>
        <item m="1" x="4294"/>
        <item m="1" x="4283"/>
        <item m="1" x="4280"/>
        <item m="1" x="4430"/>
        <item m="1" x="4442"/>
        <item m="1" x="4424"/>
        <item m="1" x="4670"/>
        <item m="1" x="4441"/>
        <item m="1" x="4278"/>
        <item m="1" x="4423"/>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h="1" m="1" x="3918"/>
        <item h="1" m="1" x="3919"/>
        <item h="1" m="1" x="3920"/>
        <item h="1" m="1" x="3921"/>
        <item h="1" m="1" x="3922"/>
        <item h="1" m="1" x="3923"/>
        <item h="1" m="1" x="3924"/>
        <item h="1" m="1" x="3925"/>
        <item h="1" m="1" x="3926"/>
        <item h="1" m="1" x="3927"/>
        <item h="1" m="1" x="3928"/>
        <item h="1" m="1" x="3929"/>
        <item h="1" m="1" x="3930"/>
        <item h="1" m="1" x="3931"/>
        <item h="1" m="1" x="3932"/>
        <item h="1" m="1" x="3933"/>
        <item h="1" m="1" x="3934"/>
        <item h="1" m="1" x="3935"/>
        <item h="1" m="1" x="3936"/>
        <item h="1" m="1" x="3937"/>
        <item h="1" m="1" x="3938"/>
        <item h="1" m="1" x="3939"/>
        <item h="1" m="1" x="3940"/>
        <item h="1" m="1" x="3941"/>
        <item h="1" m="1" x="3942"/>
        <item h="1" m="1" x="3943"/>
        <item h="1" m="1" x="3944"/>
        <item h="1" m="1" x="3945"/>
        <item h="1" m="1" x="3946"/>
        <item h="1" m="1" x="3947"/>
        <item h="1" m="1" x="3948"/>
        <item h="1" m="1" x="3949"/>
        <item h="1" m="1" x="3950"/>
        <item h="1" m="1" x="3951"/>
        <item h="1" m="1" x="3952"/>
        <item h="1" m="1" x="3953"/>
        <item h="1" m="1" x="3954"/>
        <item h="1" m="1" x="3955"/>
        <item h="1" m="1" x="3956"/>
        <item h="1" m="1" x="3957"/>
        <item h="1" m="1" x="3958"/>
        <item h="1" m="1" x="3959"/>
        <item h="1" m="1" x="3960"/>
        <item h="1" m="1" x="3961"/>
        <item h="1" m="1" x="3962"/>
        <item h="1" m="1" x="3963"/>
        <item h="1" m="1" x="3964"/>
        <item h="1" m="1" x="3965"/>
        <item h="1" m="1" x="3966"/>
        <item h="1" m="1" x="3967"/>
        <item h="1" m="1" x="3968"/>
        <item h="1" m="1" x="3969"/>
        <item h="1" m="1" x="3970"/>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h="1" m="1" x="3046"/>
        <item h="1" m="1" x="3047"/>
        <item h="1" m="1" x="3048"/>
        <item h="1" m="1" x="3049"/>
        <item h="1" m="1" x="3050"/>
        <item h="1" m="1" x="3051"/>
        <item h="1" m="1" x="3052"/>
        <item h="1" m="1" x="3053"/>
        <item h="1" m="1" x="3054"/>
        <item h="1" m="1" x="3055"/>
        <item h="1" m="1" x="3056"/>
        <item h="1" m="1" x="3057"/>
        <item h="1" m="1" x="3058"/>
        <item h="1" m="1" x="3059"/>
        <item h="1" m="1" x="3060"/>
        <item h="1" m="1" x="3061"/>
        <item h="1" m="1" x="3062"/>
        <item h="1" m="1" x="3063"/>
        <item h="1" m="1" x="3064"/>
        <item h="1" m="1" x="3065"/>
        <item h="1" m="1" x="3066"/>
        <item h="1" m="1" x="3067"/>
        <item h="1" m="1" x="3068"/>
        <item h="1" m="1" x="3069"/>
        <item h="1" m="1" x="3070"/>
        <item h="1" m="1" x="3071"/>
        <item h="1" m="1" x="3072"/>
        <item h="1" m="1" x="3073"/>
        <item h="1" m="1" x="3074"/>
        <item h="1" m="1" x="3075"/>
        <item h="1" m="1" x="3076"/>
        <item h="1" m="1" x="3077"/>
        <item h="1" m="1" x="3078"/>
        <item h="1" m="1" x="3079"/>
        <item h="1" m="1" x="3080"/>
        <item h="1" m="1" x="3081"/>
        <item h="1" m="1" x="3082"/>
        <item h="1" m="1" x="3083"/>
        <item h="1" m="1" x="3084"/>
        <item h="1" m="1" x="3085"/>
        <item h="1" m="1" x="3086"/>
        <item h="1" m="1" x="3087"/>
        <item h="1" m="1" x="3088"/>
        <item h="1" m="1" x="3089"/>
        <item h="1" m="1" x="3090"/>
        <item h="1" m="1" x="3091"/>
        <item h="1" m="1" x="3092"/>
        <item h="1" m="1" x="3093"/>
        <item h="1" m="1" x="3094"/>
        <item h="1" m="1" x="3095"/>
        <item h="1" m="1" x="3096"/>
        <item h="1" m="1" x="3097"/>
        <item h="1" m="1" x="3098"/>
        <item h="1" m="1" x="3099"/>
        <item h="1" m="1" x="3100"/>
        <item h="1" m="1" x="3101"/>
        <item h="1" m="1" x="3102"/>
        <item h="1" m="1" x="3103"/>
        <item h="1" m="1" x="3104"/>
        <item h="1" m="1" x="3105"/>
        <item h="1" m="1" x="3106"/>
        <item h="1" m="1" x="3107"/>
        <item h="1" m="1" x="3108"/>
        <item h="1" m="1" x="3109"/>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143"/>
        <item h="1" m="1" x="3144"/>
        <item h="1" m="1" x="3145"/>
        <item h="1" m="1" x="3146"/>
        <item h="1" m="1" x="3147"/>
        <item h="1" m="1" x="3148"/>
        <item h="1" m="1" x="3149"/>
        <item h="1" m="1" x="3150"/>
        <item h="1" m="1" x="3151"/>
        <item h="1" m="1" x="3152"/>
        <item h="1" m="1" x="3153"/>
        <item h="1" m="1" x="3154"/>
        <item h="1" m="1" x="3155"/>
        <item h="1" m="1" x="3156"/>
        <item h="1" m="1" x="3157"/>
        <item h="1" m="1" x="3158"/>
        <item h="1" m="1" x="3159"/>
        <item h="1" m="1" x="3160"/>
        <item h="1" m="1" x="3161"/>
        <item h="1" m="1" x="3162"/>
        <item h="1" m="1" x="3163"/>
        <item h="1" m="1" x="3164"/>
        <item h="1" m="1" x="3165"/>
        <item h="1" m="1" x="3166"/>
        <item h="1" m="1" x="3167"/>
        <item h="1" m="1" x="3168"/>
        <item h="1" m="1" x="3169"/>
        <item h="1" m="1" x="3170"/>
        <item h="1" m="1" x="3171"/>
        <item h="1" m="1" x="3172"/>
        <item h="1" m="1" x="3173"/>
        <item h="1" m="1" x="3174"/>
        <item h="1" m="1" x="3175"/>
        <item h="1" m="1" x="3176"/>
        <item h="1" m="1" x="3177"/>
        <item h="1" m="1" x="3178"/>
        <item h="1" m="1" x="3179"/>
        <item h="1" m="1" x="3180"/>
        <item h="1" m="1" x="3181"/>
        <item h="1" m="1" x="3182"/>
        <item h="1" m="1" x="3183"/>
        <item h="1" m="1" x="3184"/>
        <item h="1" m="1" x="3185"/>
        <item h="1" m="1" x="3186"/>
        <item h="1" m="1" x="3187"/>
        <item h="1" m="1" x="3188"/>
        <item h="1" m="1" x="3189"/>
        <item h="1" m="1" x="3190"/>
        <item h="1" m="1" x="3191"/>
        <item h="1" m="1" x="3192"/>
        <item h="1" m="1" x="3193"/>
        <item h="1" m="1" x="3194"/>
        <item h="1" m="1" x="3195"/>
        <item h="1" m="1" x="3196"/>
        <item h="1" m="1" x="3197"/>
        <item h="1" m="1" x="3198"/>
        <item h="1" m="1" x="3199"/>
        <item h="1" m="1" x="3200"/>
        <item h="1" m="1" x="3201"/>
        <item h="1" m="1" x="3202"/>
        <item h="1" m="1" x="3203"/>
        <item h="1" m="1" x="3204"/>
        <item h="1" m="1" x="3205"/>
        <item h="1" m="1" x="3206"/>
        <item h="1" m="1" x="3207"/>
        <item h="1" m="1" x="3208"/>
        <item h="1" m="1" x="3209"/>
        <item h="1" m="1" x="3210"/>
        <item h="1" m="1" x="3211"/>
        <item h="1" m="1" x="3212"/>
        <item h="1" m="1" x="3213"/>
        <item h="1" m="1" x="3214"/>
        <item h="1" m="1" x="3215"/>
        <item h="1" m="1" x="3216"/>
        <item h="1" m="1" x="3217"/>
        <item h="1" m="1" x="3218"/>
        <item h="1" m="1" x="3219"/>
        <item h="1" m="1" x="3220"/>
        <item h="1" m="1" x="3221"/>
        <item h="1" m="1" x="3222"/>
        <item h="1" m="1" x="3223"/>
        <item h="1" m="1" x="3224"/>
        <item h="1" m="1" x="3225"/>
        <item h="1" m="1" x="3226"/>
        <item h="1" m="1" x="3227"/>
        <item h="1" m="1" x="3228"/>
        <item h="1" m="1" x="3229"/>
        <item h="1" m="1" x="3230"/>
        <item h="1" m="1" x="3231"/>
        <item h="1" m="1" x="3232"/>
        <item h="1" m="1" x="3233"/>
        <item h="1" m="1" x="3234"/>
        <item h="1" m="1" x="3235"/>
        <item h="1" m="1" x="3236"/>
        <item h="1" m="1" x="3237"/>
        <item h="1" m="1" x="3238"/>
        <item h="1" m="1" x="3239"/>
        <item h="1" m="1" x="3240"/>
        <item h="1" m="1" x="3241"/>
        <item h="1" m="1" x="3242"/>
        <item h="1" m="1" x="3243"/>
        <item h="1" m="1" x="3244"/>
        <item h="1" m="1" x="3245"/>
        <item h="1" m="1" x="3246"/>
        <item h="1" m="1" x="3247"/>
        <item h="1" m="1" x="3248"/>
        <item h="1" m="1" x="3249"/>
        <item h="1" m="1" x="3250"/>
        <item h="1" m="1" x="3251"/>
        <item h="1" m="1" x="3252"/>
        <item h="1" m="1" x="3253"/>
        <item h="1" m="1" x="3254"/>
        <item h="1" m="1" x="3255"/>
        <item h="1" m="1" x="3256"/>
        <item h="1" m="1" x="3257"/>
        <item h="1" m="1" x="3258"/>
        <item h="1" m="1" x="3259"/>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h="1" m="1" x="3313"/>
        <item h="1" m="1" x="3314"/>
        <item h="1" m="1" x="3315"/>
        <item h="1" m="1" x="3316"/>
        <item h="1" m="1" x="3317"/>
        <item h="1" m="1" x="3318"/>
        <item h="1" m="1" x="3319"/>
        <item h="1" m="1" x="3320"/>
        <item h="1" m="1" x="3321"/>
        <item h="1" m="1" x="3322"/>
        <item h="1" m="1" x="3323"/>
        <item h="1" m="1" x="3324"/>
        <item h="1" m="1" x="3325"/>
        <item h="1" m="1" x="3326"/>
        <item h="1" m="1" x="3327"/>
        <item h="1" m="1" x="3328"/>
        <item h="1" m="1" x="3329"/>
        <item h="1" m="1" x="3330"/>
        <item h="1" m="1" x="3331"/>
        <item h="1" m="1" x="3332"/>
        <item h="1" m="1" x="3333"/>
        <item h="1" m="1" x="3334"/>
        <item h="1" m="1" x="3335"/>
        <item h="1" m="1" x="3336"/>
        <item h="1" m="1" x="3337"/>
        <item h="1" m="1" x="3338"/>
        <item h="1" m="1" x="3339"/>
        <item h="1" m="1" x="3340"/>
        <item h="1" m="1" x="3341"/>
        <item h="1" m="1" x="3342"/>
        <item h="1" m="1" x="3343"/>
        <item h="1" m="1" x="3344"/>
        <item h="1" m="1" x="3345"/>
        <item m="1" x="2758"/>
        <item m="1" x="2769"/>
        <item m="1" x="2763"/>
        <item m="1" x="2753"/>
        <item m="1" x="2773"/>
        <item m="1" x="2755"/>
        <item m="1" x="2771"/>
        <item m="1" x="2767"/>
        <item m="1" x="2765"/>
        <item m="1" x="2760"/>
        <item m="1" x="2759"/>
        <item m="1" x="2764"/>
        <item m="1" x="2754"/>
        <item m="1" x="2770"/>
        <item m="1" x="2756"/>
        <item m="1" x="2774"/>
        <item m="1" x="2768"/>
        <item m="1" x="2766"/>
        <item m="1" x="2761"/>
        <item m="1" x="2772"/>
        <item m="1" x="2757"/>
        <item m="1" x="2762"/>
        <item m="1" x="2777"/>
        <item m="1" x="2779"/>
        <item m="1" x="2776"/>
        <item m="1" x="2778"/>
        <item m="1" x="2775"/>
        <item m="1" x="2780"/>
        <item m="1" x="2782"/>
        <item m="1" x="2783"/>
        <item m="1" x="2781"/>
        <item m="1" x="2784"/>
        <item m="1" x="2785"/>
        <item m="1" x="2788"/>
        <item m="1" x="2787"/>
        <item m="1" x="2786"/>
        <item m="1" x="2799"/>
        <item m="1" x="2797"/>
        <item m="1" x="2791"/>
        <item m="1" x="2789"/>
        <item m="1" x="2794"/>
        <item m="1" x="2798"/>
        <item m="1" x="2800"/>
        <item m="1" x="2792"/>
        <item m="1" x="2795"/>
        <item m="1" x="2790"/>
        <item m="1" x="2796"/>
        <item m="1" x="2793"/>
        <item m="1" x="2805"/>
        <item m="1" x="2802"/>
        <item m="1" x="2803"/>
        <item m="1" x="2804"/>
        <item m="1" x="2806"/>
        <item m="1" x="2801"/>
        <item m="1" x="2807"/>
        <item m="1" x="2809"/>
        <item m="1" x="2808"/>
        <item m="1" x="2810"/>
        <item m="1" x="2811"/>
        <item m="1" x="2812"/>
        <item m="1" x="3006"/>
        <item m="1" x="3005"/>
        <item m="1" x="2813"/>
        <item m="1" x="2814"/>
        <item m="1" x="2816"/>
        <item m="1" x="2815"/>
        <item m="1" x="2817"/>
        <item m="1" x="2818"/>
        <item m="1" x="3007"/>
        <item m="1" x="3008"/>
        <item m="1" x="2819"/>
        <item m="1" x="3009"/>
        <item m="1" x="3010"/>
        <item m="1" x="2821"/>
        <item m="1" x="2820"/>
        <item m="1" x="3012"/>
        <item m="1" x="3011"/>
        <item m="1" x="3013"/>
        <item m="1" x="3014"/>
        <item m="1" x="3015"/>
        <item m="1" x="3017"/>
        <item m="1" x="3016"/>
        <item m="1" x="3018"/>
        <item m="1" x="2822"/>
        <item m="1" x="2823"/>
        <item m="1" x="3021"/>
        <item m="1" x="3025"/>
        <item m="1" x="3020"/>
        <item m="1" x="3022"/>
        <item m="1" x="3019"/>
        <item m="1" x="3024"/>
        <item m="1" x="3023"/>
        <item m="1" x="3026"/>
        <item m="1" x="3027"/>
        <item m="1" x="2825"/>
        <item m="1" x="2824"/>
        <item m="1" x="3028"/>
        <item m="1" x="3029"/>
        <item m="1" x="2826"/>
        <item m="1" x="2829"/>
        <item m="1" x="2827"/>
        <item m="1" x="2828"/>
        <item m="1" x="2831"/>
        <item m="1" x="2833"/>
        <item m="1" x="2830"/>
        <item m="1" x="2832"/>
        <item m="1" x="2836"/>
        <item m="1" x="2834"/>
        <item m="1" x="2835"/>
        <item m="1" x="2837"/>
        <item m="1" x="2838"/>
        <item m="1" x="3031"/>
        <item m="1" x="3030"/>
        <item m="1" x="2839"/>
        <item m="1" x="2840"/>
        <item m="1" x="2841"/>
        <item m="1" x="3034"/>
        <item m="1" x="3033"/>
        <item m="1" x="3032"/>
        <item m="1" x="3037"/>
        <item m="1" x="3036"/>
        <item m="1" x="3035"/>
        <item m="1" x="2842"/>
        <item m="1" x="3039"/>
        <item m="1" x="3040"/>
        <item m="1" x="3038"/>
        <item m="1" x="2843"/>
        <item m="1" x="2845"/>
        <item m="1" x="2844"/>
        <item m="1" x="2847"/>
        <item m="1" x="2848"/>
        <item m="1" x="2846"/>
        <item m="1" x="2849"/>
        <item m="1" x="2851"/>
        <item m="1" x="2850"/>
        <item m="1" x="2853"/>
        <item m="1" x="2854"/>
        <item m="1" x="2852"/>
        <item m="1" x="2856"/>
        <item m="1" x="2857"/>
        <item m="1" x="2855"/>
        <item m="1" x="2858"/>
        <item m="1" x="2860"/>
        <item m="1" x="2859"/>
        <item m="1" x="3042"/>
        <item m="1" x="3043"/>
        <item m="1" x="3041"/>
        <item m="1" x="2861"/>
        <item m="1" x="2863"/>
        <item m="1" x="2862"/>
        <item m="1" x="2865"/>
        <item m="1" x="2866"/>
        <item m="1" x="2864"/>
        <item m="1" x="2867"/>
        <item m="1" x="2870"/>
        <item m="1" x="2869"/>
        <item m="1" x="2872"/>
        <item m="1" x="2868"/>
        <item m="1" x="2871"/>
        <item m="1" x="2873"/>
        <item m="1" x="2875"/>
        <item m="1" x="2874"/>
        <item m="1" x="2876"/>
        <item m="1" x="2878"/>
        <item m="1" x="2877"/>
        <item m="1" x="2880"/>
        <item m="1" x="2881"/>
        <item m="1" x="2879"/>
        <item m="1" x="2882"/>
        <item m="1" x="2884"/>
        <item m="1" x="2883"/>
        <item m="1" x="2887"/>
        <item m="1" x="2885"/>
        <item m="1" x="2889"/>
        <item m="1" x="2888"/>
        <item m="1" x="2886"/>
        <item m="1" x="2890"/>
        <item m="1" x="2891"/>
        <item m="1" x="2892"/>
        <item m="1" x="2895"/>
        <item m="1" x="2893"/>
        <item m="1" x="2894"/>
        <item m="1" x="2896"/>
        <item m="1" x="2897"/>
        <item m="1" x="2919"/>
        <item m="1" x="2916"/>
        <item m="1" x="2913"/>
        <item m="1" x="2922"/>
        <item m="1" x="2905"/>
        <item m="1" x="2902"/>
        <item m="1" x="2899"/>
        <item m="1" x="2906"/>
        <item m="1" x="2907"/>
        <item m="1" x="2918"/>
        <item m="1" x="2912"/>
        <item m="1" x="2910"/>
        <item m="1" x="2904"/>
        <item m="1" x="2921"/>
        <item m="1" x="2915"/>
        <item m="1" x="2901"/>
        <item m="1" x="2909"/>
        <item m="1" x="2920"/>
        <item m="1" x="2900"/>
        <item m="1" x="2898"/>
        <item m="1" x="2914"/>
        <item m="1" x="2911"/>
        <item m="1" x="2917"/>
        <item m="1" x="2908"/>
        <item m="1" x="2903"/>
        <item m="1" x="2923"/>
        <item m="1" x="2924"/>
        <item m="1" x="2926"/>
        <item m="1" x="2925"/>
        <item m="1" x="2928"/>
        <item m="1" x="2927"/>
        <item m="1" x="2929"/>
        <item m="1" x="2930"/>
        <item m="1" x="2931"/>
        <item m="1" x="2934"/>
        <item m="1" x="2933"/>
        <item m="1" x="2932"/>
        <item m="1" x="2938"/>
        <item m="1" x="2937"/>
        <item m="1" x="2939"/>
        <item m="1" x="2935"/>
        <item m="1" x="2936"/>
        <item m="1" x="2940"/>
        <item m="1" x="2941"/>
        <item m="1" x="2942"/>
        <item m="1" x="2943"/>
        <item m="1" x="2944"/>
        <item m="1" x="2946"/>
        <item m="1" x="2945"/>
        <item m="1" x="2947"/>
        <item m="1" x="2949"/>
        <item m="1" x="2948"/>
        <item m="1" x="2951"/>
        <item m="1" x="2952"/>
        <item m="1" x="2950"/>
        <item m="1" x="2953"/>
        <item m="1" x="2954"/>
        <item m="1" x="2955"/>
        <item m="1" x="2958"/>
        <item m="1" x="2957"/>
        <item m="1" x="2956"/>
        <item m="1" x="2959"/>
        <item m="1" x="2960"/>
        <item m="1" x="2963"/>
        <item m="1" x="2962"/>
        <item m="1" x="2961"/>
        <item m="1" x="2966"/>
        <item m="1" x="2967"/>
        <item m="1" x="2965"/>
        <item m="1" x="2964"/>
        <item m="1" x="2968"/>
        <item m="1" x="2969"/>
        <item m="1" x="2972"/>
        <item m="1" x="2971"/>
        <item m="1" x="2970"/>
        <item m="1" x="2973"/>
        <item m="1" x="2974"/>
        <item m="1" x="2975"/>
        <item m="1" x="2976"/>
        <item m="1" x="2978"/>
        <item m="1" x="2977"/>
        <item m="1" x="2979"/>
        <item m="1" x="2980"/>
        <item m="1" x="2981"/>
        <item m="1" x="2982"/>
        <item m="1" x="2984"/>
        <item m="1" x="2985"/>
        <item m="1" x="2983"/>
        <item m="1" x="2986"/>
        <item m="1" x="2989"/>
        <item m="1" x="2988"/>
        <item m="1" x="2987"/>
        <item m="1" x="2993"/>
        <item m="1" x="2990"/>
        <item m="1" x="2992"/>
        <item m="1" x="2994"/>
        <item m="1" x="2991"/>
        <item m="1" x="2995"/>
        <item m="1" x="2996"/>
        <item m="1" x="3002"/>
        <item m="1" x="3004"/>
        <item m="1" x="2998"/>
        <item m="1" x="3000"/>
        <item m="1" x="3001"/>
        <item m="1" x="3003"/>
        <item m="1" x="2997"/>
        <item m="1" x="2999"/>
        <item m="1" x="3044"/>
        <item m="1" x="3045"/>
        <item m="1" x="2342"/>
        <item m="1" x="2347"/>
        <item m="1" x="2343"/>
        <item m="1" x="2350"/>
        <item m="1" x="2340"/>
        <item m="1" x="2345"/>
        <item m="1" x="2351"/>
        <item m="1" x="2344"/>
        <item m="1" x="2352"/>
        <item m="1" x="2341"/>
        <item m="1" x="2348"/>
        <item m="1" x="2346"/>
        <item m="1" x="2353"/>
        <item m="1" x="2339"/>
        <item m="1" x="2349"/>
        <item m="1" x="2354"/>
        <item m="1" x="2355"/>
        <item m="1" x="2356"/>
        <item m="1" x="2357"/>
        <item m="1" x="2358"/>
        <item m="1" x="2359"/>
        <item m="1" x="2360"/>
        <item m="1" x="2365"/>
        <item m="1" x="2361"/>
        <item m="1" x="2362"/>
        <item m="1" x="2363"/>
        <item m="1" x="2364"/>
        <item m="1" x="2366"/>
        <item m="1" x="2368"/>
        <item m="1" x="2367"/>
        <item m="1" x="2369"/>
        <item m="1" x="2370"/>
        <item m="1" x="2371"/>
        <item m="1" x="2372"/>
        <item m="1" x="2376"/>
        <item m="1" x="2375"/>
        <item m="1" x="2378"/>
        <item m="1" x="2373"/>
        <item m="1" x="2377"/>
        <item m="1" x="2374"/>
        <item m="1" x="2379"/>
        <item m="1" x="2380"/>
        <item m="1" x="2382"/>
        <item m="1" x="2381"/>
        <item m="1" x="2389"/>
        <item m="1" x="2388"/>
        <item m="1" x="2390"/>
        <item m="1" x="2393"/>
        <item m="1" x="2394"/>
        <item m="1" x="2421"/>
        <item m="1" x="2422"/>
        <item m="1" x="2433"/>
        <item m="1" x="2432"/>
        <item m="1" x="2434"/>
        <item m="1" x="2435"/>
        <item m="1" x="2749"/>
        <item m="1" x="2750"/>
        <item m="1" x="2751"/>
        <item m="1" x="2752"/>
        <item m="1" x="2440"/>
        <item m="1" x="2441"/>
        <item m="1" x="2442"/>
        <item m="1" x="2458"/>
        <item m="1" x="2457"/>
        <item m="1" x="2459"/>
        <item m="1" x="2472"/>
        <item m="1" x="2478"/>
        <item m="1" x="2477"/>
        <item m="1" x="2476"/>
        <item m="1" x="2481"/>
        <item m="1" x="2479"/>
        <item m="1" x="2480"/>
        <item m="1" x="2484"/>
        <item m="1" x="2483"/>
        <item m="1" x="2482"/>
        <item m="1" x="2487"/>
        <item m="1" x="2485"/>
        <item m="1" x="2486"/>
        <item m="1" x="2491"/>
        <item m="1" x="2492"/>
        <item m="1" x="2493"/>
        <item m="1" x="2496"/>
        <item m="1" x="2495"/>
        <item m="1" x="2494"/>
        <item m="1" x="2500"/>
        <item m="1" x="2502"/>
        <item m="1" x="2501"/>
        <item m="1" x="2504"/>
        <item m="1" x="2503"/>
        <item m="1" x="2505"/>
        <item m="1" x="2507"/>
        <item m="1" x="2510"/>
        <item m="1" x="2508"/>
        <item m="1" x="2509"/>
        <item m="1" x="2511"/>
        <item m="1" x="2506"/>
        <item m="1" x="2516"/>
        <item m="1" x="2517"/>
        <item m="1" x="2515"/>
        <item m="1" x="2522"/>
        <item m="1" x="2523"/>
        <item m="1" x="2521"/>
        <item m="1" x="2525"/>
        <item m="1" x="2524"/>
        <item m="1" x="2526"/>
        <item m="1" x="2534"/>
        <item m="1" x="2535"/>
        <item m="1" x="2533"/>
        <item m="1" x="2536"/>
        <item m="1" x="2537"/>
        <item m="1" x="2571"/>
        <item m="1" x="2573"/>
        <item m="1" x="2572"/>
        <item m="1" x="2575"/>
        <item m="1" x="2574"/>
        <item m="1" x="2576"/>
        <item m="1" x="2578"/>
        <item m="1" x="2577"/>
        <item m="1" x="2592"/>
        <item m="1" x="2584"/>
        <item m="1" x="2581"/>
        <item m="1" x="2585"/>
        <item m="1" x="2591"/>
        <item m="1" x="2583"/>
        <item m="1" x="2588"/>
        <item m="1" x="2595"/>
        <item m="1" x="2580"/>
        <item m="1" x="2586"/>
        <item m="1" x="2596"/>
        <item m="1" x="2582"/>
        <item m="1" x="2589"/>
        <item m="1" x="2587"/>
        <item m="1" x="2593"/>
        <item m="1" x="2597"/>
        <item m="1" x="2579"/>
        <item m="1" x="2590"/>
        <item m="1" x="2594"/>
        <item m="1" x="2598"/>
        <item m="1" x="2600"/>
        <item m="1" x="2599"/>
        <item m="1" x="2601"/>
        <item m="1" x="2602"/>
        <item m="1" x="2604"/>
        <item m="1" x="2603"/>
        <item m="1" x="2605"/>
        <item m="1" x="2606"/>
        <item m="1" x="2607"/>
        <item m="1" x="2609"/>
        <item m="1" x="2610"/>
        <item m="1" x="2608"/>
        <item m="1" x="2617"/>
        <item m="1" x="2611"/>
        <item m="1" x="2614"/>
        <item m="1" x="2615"/>
        <item m="1" x="2612"/>
        <item m="1" x="2613"/>
        <item m="1" x="2616"/>
        <item m="1" x="2619"/>
        <item m="1" x="2618"/>
        <item m="1" x="2620"/>
        <item m="1" x="2622"/>
        <item m="1" x="2621"/>
        <item m="1" x="2624"/>
        <item m="1" x="2623"/>
        <item m="1" x="2625"/>
        <item m="1" x="2626"/>
        <item m="1" x="2627"/>
        <item m="1" x="2632"/>
        <item m="1" x="2633"/>
        <item m="1" x="2635"/>
        <item m="1" x="2634"/>
        <item m="1" x="2636"/>
        <item m="1" x="2637"/>
        <item m="1" x="2639"/>
        <item m="1" x="2640"/>
        <item m="1" x="2638"/>
        <item m="1" x="2641"/>
        <item m="1" x="2642"/>
        <item m="1" x="2644"/>
        <item m="1" x="2645"/>
        <item m="1" x="2643"/>
        <item m="1" x="2650"/>
        <item m="1" x="2649"/>
        <item m="1" x="2654"/>
        <item m="1" x="2651"/>
        <item m="1" x="2653"/>
        <item m="1" x="2652"/>
        <item m="1" x="2656"/>
        <item m="1" x="2655"/>
        <item m="1" x="2657"/>
        <item m="1" x="2658"/>
        <item m="1" x="2659"/>
        <item m="1" x="2660"/>
        <item m="1" x="2661"/>
        <item m="1" x="2662"/>
        <item m="1" x="2664"/>
        <item m="1" x="2663"/>
        <item m="1" x="2666"/>
        <item m="1" x="2665"/>
        <item m="1" x="2668"/>
        <item m="1" x="2667"/>
        <item m="1" x="2670"/>
        <item m="1" x="2674"/>
        <item m="1" x="2675"/>
        <item m="1" x="2669"/>
        <item m="1" x="2672"/>
        <item m="1" x="2671"/>
        <item m="1" x="2673"/>
        <item m="1" x="2676"/>
        <item m="1" x="2680"/>
        <item m="1" x="2678"/>
        <item m="1" x="2679"/>
        <item m="1" x="2677"/>
        <item m="1" x="2682"/>
        <item m="1" x="2683"/>
        <item m="1" x="2681"/>
        <item m="1" x="2687"/>
        <item m="1" x="2685"/>
        <item m="1" x="2684"/>
        <item m="1" x="2686"/>
        <item m="1" x="2741"/>
        <item m="1" x="2743"/>
        <item m="1" x="2746"/>
        <item m="1" x="2744"/>
        <item m="1" x="2745"/>
        <item m="1" x="2742"/>
        <item m="1" x="2748"/>
        <item m="1" x="2747"/>
        <item h="1" m="1" x="2383"/>
        <item h="1" m="1" x="2384"/>
        <item h="1" m="1" x="2385"/>
        <item h="1" m="1" x="2386"/>
        <item h="1" m="1" x="2387"/>
        <item h="1" m="1" x="2391"/>
        <item h="1" m="1" x="2392"/>
        <item h="1" m="1" x="2395"/>
        <item h="1" m="1" x="2396"/>
        <item h="1" m="1" x="2397"/>
        <item h="1" m="1" x="2398"/>
        <item h="1" m="1" x="2399"/>
        <item h="1" m="1" x="2400"/>
        <item h="1" m="1" x="2401"/>
        <item h="1" m="1" x="2402"/>
        <item h="1" m="1" x="2403"/>
        <item h="1" m="1" x="2404"/>
        <item h="1" m="1" x="2405"/>
        <item h="1" m="1" x="2406"/>
        <item h="1" m="1" x="2407"/>
        <item h="1" m="1" x="2408"/>
        <item h="1" m="1" x="2409"/>
        <item h="1" m="1" x="2410"/>
        <item h="1" m="1" x="2411"/>
        <item h="1" m="1" x="2412"/>
        <item h="1" m="1" x="2413"/>
        <item h="1" m="1" x="2414"/>
        <item h="1" m="1" x="2415"/>
        <item h="1" m="1" x="2416"/>
        <item h="1" m="1" x="2417"/>
        <item h="1" m="1" x="2418"/>
        <item h="1" m="1" x="2419"/>
        <item h="1" m="1" x="2420"/>
        <item h="1" m="1" x="2423"/>
        <item h="1" m="1" x="2424"/>
        <item h="1" m="1" x="2425"/>
        <item h="1" m="1" x="2426"/>
        <item h="1" m="1" x="2427"/>
        <item h="1" m="1" x="2428"/>
        <item h="1" m="1" x="2429"/>
        <item h="1" m="1" x="2430"/>
        <item h="1" m="1" x="2431"/>
        <item h="1" m="1" x="2436"/>
        <item h="1" m="1" x="2437"/>
        <item h="1" m="1" x="2438"/>
        <item h="1" m="1" x="2439"/>
        <item h="1" m="1" x="2443"/>
        <item h="1" m="1" x="2444"/>
        <item h="1" m="1" x="2445"/>
        <item h="1" m="1" x="2446"/>
        <item h="1" m="1" x="2447"/>
        <item h="1" m="1" x="2448"/>
        <item h="1" m="1" x="2449"/>
        <item h="1" m="1" x="2450"/>
        <item h="1" m="1" x="2451"/>
        <item h="1" m="1" x="2452"/>
        <item h="1" m="1" x="2453"/>
        <item h="1" m="1" x="2454"/>
        <item h="1" m="1" x="2455"/>
        <item h="1" m="1" x="2456"/>
        <item h="1" m="1" x="2460"/>
        <item h="1" m="1" x="2461"/>
        <item h="1" m="1" x="2462"/>
        <item h="1" m="1" x="2463"/>
        <item h="1" m="1" x="2464"/>
        <item h="1" m="1" x="2465"/>
        <item h="1" m="1" x="2466"/>
        <item h="1" m="1" x="2467"/>
        <item h="1" m="1" x="2468"/>
        <item h="1" m="1" x="2469"/>
        <item h="1" m="1" x="2470"/>
        <item h="1" m="1" x="2471"/>
        <item h="1" m="1" x="2473"/>
        <item h="1" m="1" x="2474"/>
        <item h="1" m="1" x="2475"/>
        <item h="1" m="1" x="2488"/>
        <item h="1" m="1" x="2489"/>
        <item h="1" m="1" x="2490"/>
        <item h="1" m="1" x="2497"/>
        <item h="1" m="1" x="2498"/>
        <item h="1" m="1" x="2499"/>
        <item h="1" m="1" x="2512"/>
        <item h="1" m="1" x="2513"/>
        <item h="1" m="1" x="2514"/>
        <item h="1" m="1" x="2518"/>
        <item h="1" m="1" x="2519"/>
        <item h="1" m="1" x="2520"/>
        <item h="1" m="1" x="2527"/>
        <item h="1" m="1" x="2528"/>
        <item h="1" m="1" x="2529"/>
        <item h="1" m="1" x="2530"/>
        <item h="1" m="1" x="2531"/>
        <item h="1" m="1" x="2532"/>
        <item h="1" m="1" x="2538"/>
        <item h="1" m="1" x="2539"/>
        <item h="1" m="1" x="2540"/>
        <item h="1" m="1" x="2541"/>
        <item h="1" m="1" x="2542"/>
        <item h="1" m="1" x="2543"/>
        <item h="1" m="1" x="2544"/>
        <item h="1" m="1" x="2545"/>
        <item h="1" m="1" x="2546"/>
        <item h="1" m="1" x="2547"/>
        <item h="1" m="1" x="2548"/>
        <item h="1" m="1" x="2549"/>
        <item h="1" m="1" x="2550"/>
        <item h="1" m="1" x="2551"/>
        <item h="1" m="1" x="2552"/>
        <item h="1" m="1" x="2553"/>
        <item h="1" m="1" x="2554"/>
        <item h="1" m="1" x="2555"/>
        <item h="1" m="1" x="2556"/>
        <item h="1" m="1" x="2557"/>
        <item h="1" m="1" x="2558"/>
        <item h="1" m="1" x="2559"/>
        <item h="1" m="1" x="2560"/>
        <item h="1" m="1" x="2561"/>
        <item h="1" m="1" x="2562"/>
        <item h="1" m="1" x="2563"/>
        <item h="1" m="1" x="2564"/>
        <item h="1" m="1" x="2565"/>
        <item h="1" m="1" x="2566"/>
        <item h="1" m="1" x="2567"/>
        <item h="1" m="1" x="2568"/>
        <item h="1" m="1" x="2569"/>
        <item h="1" m="1" x="2570"/>
        <item h="1" m="1" x="2628"/>
        <item h="1" m="1" x="2629"/>
        <item h="1" m="1" x="2630"/>
        <item h="1" m="1" x="2631"/>
        <item h="1" m="1" x="2646"/>
        <item h="1" m="1" x="2647"/>
        <item h="1" m="1" x="2648"/>
        <item h="1" m="1" x="2688"/>
        <item h="1" m="1" x="2689"/>
        <item h="1" m="1" x="2690"/>
        <item h="1" m="1" x="2691"/>
        <item h="1" m="1" x="2692"/>
        <item h="1" m="1" x="2693"/>
        <item h="1" m="1" x="2694"/>
        <item h="1" m="1" x="2695"/>
        <item h="1" m="1" x="2696"/>
        <item h="1" m="1" x="2697"/>
        <item h="1" m="1" x="2698"/>
        <item h="1" m="1" x="2699"/>
        <item h="1" m="1" x="2700"/>
        <item h="1" m="1" x="2701"/>
        <item h="1" m="1" x="2702"/>
        <item h="1" m="1" x="2703"/>
        <item h="1" m="1" x="2704"/>
        <item h="1" m="1" x="2705"/>
        <item h="1" m="1" x="2706"/>
        <item h="1" m="1" x="2707"/>
        <item h="1" m="1" x="2708"/>
        <item h="1" m="1" x="2709"/>
        <item h="1" m="1" x="2710"/>
        <item h="1" m="1" x="2711"/>
        <item h="1" m="1" x="2712"/>
        <item h="1" m="1" x="2713"/>
        <item h="1" m="1" x="2714"/>
        <item h="1" m="1" x="2715"/>
        <item h="1" m="1" x="2716"/>
        <item h="1" m="1" x="2717"/>
        <item h="1" m="1" x="2718"/>
        <item h="1" m="1" x="2719"/>
        <item h="1" m="1" x="2720"/>
        <item h="1" m="1" x="2721"/>
        <item h="1" m="1" x="2722"/>
        <item h="1" m="1" x="2723"/>
        <item h="1" m="1" x="2724"/>
        <item h="1" m="1" x="2725"/>
        <item h="1" m="1" x="2726"/>
        <item h="1" m="1" x="2727"/>
        <item h="1" m="1" x="2728"/>
        <item h="1" m="1" x="2729"/>
        <item h="1" m="1" x="2730"/>
        <item h="1" m="1" x="2731"/>
        <item h="1" m="1" x="2732"/>
        <item h="1" m="1" x="2733"/>
        <item h="1" m="1" x="2734"/>
        <item h="1" m="1" x="2735"/>
        <item h="1" m="1" x="2736"/>
        <item h="1" m="1" x="2737"/>
        <item h="1" m="1" x="2738"/>
        <item h="1" m="1" x="2739"/>
        <item h="1" m="1" x="2740"/>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095"/>
        <item m="1" x="1096"/>
        <item m="1" x="1097"/>
        <item m="1" x="1098"/>
        <item m="1" x="1099"/>
        <item m="1" x="1100"/>
        <item m="1" x="1107"/>
        <item m="1" x="1108"/>
        <item m="1" x="1109"/>
        <item m="1" x="1110"/>
        <item m="1" x="1111"/>
        <item m="1" x="1112"/>
        <item m="1" x="1101"/>
        <item m="1" x="1102"/>
        <item m="1" x="1103"/>
        <item m="1" x="1104"/>
        <item m="1" x="1105"/>
        <item m="1" x="1106"/>
        <item m="1" x="1113"/>
        <item m="1" x="1114"/>
        <item m="1" x="1115"/>
        <item m="1" x="1116"/>
        <item m="1" x="1117"/>
        <item m="1" x="1118"/>
        <item m="1" x="1119"/>
        <item m="1" x="1121"/>
        <item m="1" x="1122"/>
        <item m="1" x="1120"/>
        <item m="1" x="1123"/>
        <item m="1" x="1124"/>
        <item m="1" x="1127"/>
        <item m="1" x="1128"/>
        <item m="1" x="1125"/>
        <item m="1" x="1126"/>
        <item m="1" x="1133"/>
        <item m="1" x="1134"/>
        <item m="1" x="1129"/>
        <item m="1" x="1130"/>
        <item m="1" x="1131"/>
        <item m="1" x="1132"/>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6"/>
        <item m="1" x="1185"/>
        <item m="1" x="1187"/>
        <item m="1" x="1192"/>
        <item m="1" x="1193"/>
        <item m="1" x="1190"/>
        <item m="1" x="1191"/>
        <item m="1" x="1188"/>
        <item m="1" x="1189"/>
        <item m="1" x="1194"/>
        <item m="1" x="1195"/>
        <item m="1" x="1196"/>
        <item m="1" x="1197"/>
        <item m="1" x="1198"/>
        <item m="1" x="1201"/>
        <item m="1" x="1202"/>
        <item m="1" x="1199"/>
        <item m="1" x="1200"/>
        <item m="1" x="1203"/>
        <item m="1" x="1204"/>
        <item m="1" x="1205"/>
        <item m="1" x="1206"/>
        <item m="1" x="1207"/>
        <item m="1" x="1208"/>
        <item m="1" x="1211"/>
        <item m="1" x="1212"/>
        <item m="1" x="1209"/>
        <item m="1" x="1210"/>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5"/>
        <item m="1" x="1276"/>
        <item m="1" x="1274"/>
        <item m="1" x="1279"/>
        <item m="1" x="1277"/>
        <item m="1" x="1278"/>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9"/>
        <item m="1" x="1308"/>
        <item m="1" x="1310"/>
        <item m="1" x="1311"/>
        <item m="1" x="1312"/>
        <item m="1" x="1313"/>
        <item m="1" x="1314"/>
        <item m="1" x="1315"/>
        <item m="1" x="1316"/>
        <item m="1" x="1317"/>
        <item m="1" x="1318"/>
        <item m="1" x="1319"/>
        <item m="1" x="1320"/>
        <item m="1" x="1321"/>
        <item m="1" x="1322"/>
        <item m="1" x="1323"/>
        <item m="1" x="1324"/>
        <item m="1" x="1325"/>
        <item m="1" x="1328"/>
        <item m="1" x="1326"/>
        <item m="1" x="1327"/>
        <item m="1" x="1329"/>
        <item m="1" x="1330"/>
        <item m="1" x="1332"/>
        <item m="1" x="1331"/>
        <item m="1" x="1335"/>
        <item m="1" x="1333"/>
        <item m="1" x="1334"/>
        <item m="1" x="1336"/>
        <item m="1" x="1337"/>
        <item m="1" x="1338"/>
        <item m="1" x="1339"/>
        <item m="1" x="1340"/>
        <item m="1" x="1341"/>
        <item m="1" x="1343"/>
        <item m="1" x="1354"/>
        <item m="1" x="1352"/>
        <item m="1" x="1353"/>
        <item m="1" x="1350"/>
        <item m="1" x="1351"/>
        <item m="1" x="1344"/>
        <item m="1" x="1345"/>
        <item m="1" x="1346"/>
        <item m="1" x="1347"/>
        <item m="1" x="1348"/>
        <item m="1" x="1349"/>
        <item m="1" x="1342"/>
        <item m="1" x="1355"/>
        <item m="1" x="1356"/>
        <item m="1" x="1357"/>
        <item m="1" x="1358"/>
        <item m="1" x="1359"/>
        <item m="1" x="1360"/>
        <item m="1" x="1361"/>
        <item m="1" x="1362"/>
        <item m="1" x="1363"/>
        <item m="1" x="1364"/>
        <item m="1" x="1365"/>
        <item m="1" x="1366"/>
        <item m="1" x="1367"/>
        <item m="1" x="1369"/>
        <item m="1" x="1368"/>
        <item m="1" x="1371"/>
        <item m="1" x="1372"/>
        <item m="1" x="1370"/>
        <item m="1" x="1373"/>
        <item m="1" x="1374"/>
        <item m="1" x="1375"/>
        <item m="1" x="1376"/>
        <item m="1" x="1377"/>
        <item m="1" x="1378"/>
        <item m="1" x="1379"/>
        <item m="1" x="1380"/>
        <item m="1" x="1381"/>
        <item m="1" x="1384"/>
        <item m="1" x="1385"/>
        <item m="1" x="1382"/>
        <item m="1" x="1383"/>
        <item m="1" x="1387"/>
        <item m="1" x="1386"/>
        <item m="1" x="1390"/>
        <item m="1" x="1391"/>
        <item m="1" x="1392"/>
        <item m="1" x="1393"/>
        <item m="1" x="1395"/>
        <item m="1" x="1396"/>
        <item m="1" x="1394"/>
        <item m="1" x="1399"/>
        <item m="1" x="1397"/>
        <item m="1" x="1398"/>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7"/>
        <item m="1" x="1428"/>
        <item m="1" x="1426"/>
        <item m="1" x="1429"/>
        <item m="1" x="1430"/>
        <item m="1" x="1431"/>
        <item m="1" x="1432"/>
        <item m="1" x="1433"/>
        <item m="1" x="1434"/>
        <item m="1" x="1435"/>
        <item m="1" x="1437"/>
        <item m="1" x="1438"/>
        <item m="1" x="1436"/>
        <item m="1" x="1440"/>
        <item m="1" x="1441"/>
        <item m="1" x="1439"/>
        <item m="1" x="1442"/>
        <item m="1" x="1443"/>
        <item m="1" x="1444"/>
        <item m="1" x="1445"/>
        <item m="1" x="1446"/>
        <item m="1" x="1447"/>
        <item m="1" x="1448"/>
        <item m="1" x="1451"/>
        <item m="1" x="1449"/>
        <item m="1" x="1450"/>
        <item m="1" x="1452"/>
        <item m="1" x="1456"/>
        <item m="1" x="1453"/>
        <item m="1" x="1454"/>
        <item m="1" x="1455"/>
        <item m="1" x="1463"/>
        <item m="1" x="1464"/>
        <item m="1" x="1462"/>
        <item m="1" x="1459"/>
        <item m="1" x="1460"/>
        <item m="1" x="1461"/>
        <item m="1" x="1457"/>
        <item m="1" x="1458"/>
        <item m="1" x="1465"/>
        <item m="1" x="1466"/>
        <item m="1" x="1467"/>
        <item m="1" x="1468"/>
        <item m="1" x="1469"/>
        <item m="1" x="1470"/>
        <item m="1" x="1471"/>
        <item m="1" x="1472"/>
        <item m="1" x="1473"/>
        <item m="1" x="1474"/>
        <item m="1" x="1475"/>
        <item m="1" x="1476"/>
        <item m="1" x="1477"/>
        <item m="1" x="1478"/>
        <item m="1" x="1479"/>
        <item m="1" x="1480"/>
        <item m="1" x="1481"/>
        <item m="1" x="1482"/>
        <item m="1" x="1483"/>
        <item m="1" x="1062"/>
        <item m="1" x="1484"/>
        <item m="1" x="1485"/>
        <item m="1" x="1486"/>
        <item m="1" x="1488"/>
        <item m="1" x="1487"/>
        <item m="1" x="1489"/>
        <item m="1" x="1490"/>
        <item m="1" x="1491"/>
        <item m="1" x="1492"/>
        <item m="1" x="1493"/>
        <item m="1" x="1494"/>
        <item m="1" x="1496"/>
        <item m="1" x="1495"/>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23"/>
        <item m="1" x="1524"/>
        <item m="1" x="1525"/>
        <item m="1" x="1521"/>
        <item m="1" x="1522"/>
        <item m="1" x="1517"/>
        <item m="1" x="1518"/>
        <item m="1" x="1519"/>
        <item m="1" x="1520"/>
        <item m="1" x="1526"/>
        <item m="1" x="1527"/>
        <item m="1" x="1388"/>
        <item m="1" x="1389"/>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h="1" m="1" x="924"/>
        <item h="1" m="1" x="925"/>
        <item h="1" m="1" x="926"/>
        <item h="1" m="1" x="927"/>
        <item h="1" m="1" x="928"/>
        <item m="1" x="500"/>
        <item m="1" x="501"/>
        <item m="1" x="502"/>
        <item m="1" x="503"/>
        <item m="1" x="504"/>
        <item m="1" x="505"/>
        <item h="1" m="1" x="929"/>
        <item h="1" m="1" x="930"/>
        <item m="1" x="508"/>
        <item m="1" x="509"/>
        <item h="1" m="1" x="931"/>
        <item h="1" m="1" x="932"/>
        <item h="1" m="1" x="933"/>
        <item h="1" m="1" x="934"/>
        <item h="1" m="1" x="935"/>
        <item h="1" m="1" x="936"/>
        <item h="1" m="1" x="937"/>
        <item h="1" m="1" x="938"/>
        <item h="1" m="1" x="939"/>
        <item h="1" m="1" x="940"/>
        <item h="1" m="1" x="941"/>
        <item h="1" m="1" x="942"/>
        <item h="1" m="1" x="943"/>
        <item h="1" m="1" x="944"/>
        <item h="1" m="1" x="945"/>
        <item h="1" m="1" x="946"/>
        <item h="1" m="1" x="947"/>
        <item h="1" m="1" x="948"/>
        <item h="1" m="1" x="949"/>
        <item h="1" m="1" x="950"/>
        <item m="1" x="530"/>
        <item m="1" x="531"/>
        <item m="1" x="532"/>
        <item m="1" x="533"/>
        <item h="1" m="1" x="951"/>
        <item m="1" x="535"/>
        <item m="1" x="536"/>
        <item m="1" x="537"/>
        <item m="1" x="538"/>
        <item m="1" x="539"/>
        <item h="1" m="1" x="952"/>
        <item h="1" m="1" x="953"/>
        <item m="1" x="542"/>
        <item m="1" x="543"/>
        <item m="1" x="906"/>
        <item h="1" m="1" x="954"/>
        <item h="1" m="1" x="955"/>
        <item h="1" m="1" x="956"/>
        <item h="1" m="1" x="957"/>
        <item h="1" m="1" x="958"/>
        <item h="1" m="1" x="959"/>
        <item m="1" x="551"/>
        <item m="1" x="552"/>
        <item m="1" x="907"/>
        <item m="1" x="908"/>
        <item m="1" x="909"/>
        <item m="1" x="910"/>
        <item m="1" x="557"/>
        <item m="1" x="558"/>
        <item m="1" x="911"/>
        <item m="1" x="912"/>
        <item m="1" x="913"/>
        <item m="1" x="914"/>
        <item h="1" m="1" x="960"/>
        <item h="1" m="1" x="961"/>
        <item h="1" m="1" x="962"/>
        <item h="1" m="1" x="963"/>
        <item h="1" m="1" x="964"/>
        <item h="1" m="1" x="965"/>
        <item h="1" m="1" x="966"/>
        <item h="1" m="1" x="967"/>
        <item h="1" m="1" x="968"/>
        <item h="1" m="1" x="969"/>
        <item h="1" m="1" x="970"/>
        <item m="1" x="574"/>
        <item m="1" x="575"/>
        <item m="1" x="576"/>
        <item h="1" m="1" x="971"/>
        <item h="1" m="1" x="972"/>
        <item h="1" m="1" x="973"/>
        <item h="1" m="1" x="974"/>
        <item h="1" m="1" x="975"/>
        <item h="1" m="1" x="976"/>
        <item h="1" m="1" x="977"/>
        <item h="1" m="1" x="978"/>
        <item h="1" m="1" x="979"/>
        <item m="1" x="586"/>
        <item m="1" x="587"/>
        <item m="1" x="588"/>
        <item h="1" m="1" x="980"/>
        <item h="1" m="1" x="981"/>
        <item h="1" m="1" x="982"/>
        <item m="1" x="915"/>
        <item m="1" x="916"/>
        <item m="1" x="917"/>
        <item m="1" x="595"/>
        <item m="1" x="596"/>
        <item m="1" x="597"/>
        <item m="1" x="598"/>
        <item m="1" x="599"/>
        <item m="1" x="600"/>
        <item m="1" x="601"/>
        <item m="1" x="602"/>
        <item m="1" x="603"/>
        <item h="1" m="1" x="983"/>
        <item h="1" m="1" x="984"/>
        <item h="1" m="1" x="985"/>
        <item h="1" m="1" x="986"/>
        <item h="1" m="1" x="987"/>
        <item h="1" m="1" x="988"/>
        <item h="1" m="1" x="989"/>
        <item h="1" m="1" x="990"/>
        <item h="1" m="1" x="991"/>
        <item m="1" x="613"/>
        <item m="1" x="614"/>
        <item m="1" x="615"/>
        <item m="1" x="616"/>
        <item m="1" x="617"/>
        <item m="1" x="618"/>
        <item m="1" x="619"/>
        <item m="1" x="620"/>
        <item m="1" x="621"/>
        <item m="1" x="622"/>
        <item m="1" x="626"/>
        <item m="1" x="627"/>
        <item m="1" x="628"/>
        <item h="1" m="1" x="992"/>
        <item h="1" m="1" x="993"/>
        <item h="1" m="1" x="994"/>
        <item m="1" x="632"/>
        <item m="1" x="633"/>
        <item m="1" x="634"/>
        <item h="1" m="1" x="995"/>
        <item h="1" m="1" x="996"/>
        <item h="1" m="1" x="997"/>
        <item m="1" x="638"/>
        <item m="1" x="639"/>
        <item m="1" x="640"/>
        <item m="1" x="641"/>
        <item m="1" x="642"/>
        <item m="1" x="643"/>
        <item h="1" m="1" x="998"/>
        <item h="1" m="1" x="999"/>
        <item h="1" m="1" x="1000"/>
        <item h="1" m="1" x="1001"/>
        <item h="1" m="1" x="1002"/>
        <item h="1" m="1" x="1003"/>
        <item m="1" x="650"/>
        <item m="1" x="651"/>
        <item m="1" x="652"/>
        <item m="1" x="653"/>
        <item m="1" x="654"/>
        <item h="1" m="1" x="1004"/>
        <item h="1" m="1" x="1005"/>
        <item h="1" m="1" x="1006"/>
        <item h="1" m="1" x="1007"/>
        <item h="1" m="1" x="1008"/>
        <item h="1" m="1" x="1009"/>
        <item h="1" m="1" x="1010"/>
        <item h="1" m="1" x="1011"/>
        <item h="1" m="1" x="1012"/>
        <item h="1" m="1" x="1013"/>
        <item h="1" m="1" x="1014"/>
        <item h="1" m="1" x="1015"/>
        <item h="1" m="1" x="1016"/>
        <item h="1" m="1" x="1017"/>
        <item h="1" m="1" x="1018"/>
        <item h="1" m="1" x="1019"/>
        <item h="1" m="1" x="1020"/>
        <item h="1" m="1" x="1021"/>
        <item h="1" m="1" x="1022"/>
        <item h="1" m="1" x="1023"/>
        <item h="1" m="1" x="1024"/>
        <item h="1" m="1" x="1025"/>
        <item h="1" m="1" x="1026"/>
        <item h="1" m="1" x="1027"/>
        <item h="1" m="1" x="1028"/>
        <item h="1" m="1" x="1029"/>
        <item h="1" m="1" x="1030"/>
        <item h="1" m="1" x="1031"/>
        <item h="1" m="1" x="1032"/>
        <item h="1" m="1" x="1033"/>
        <item h="1" m="1" x="1034"/>
        <item m="1" x="686"/>
        <item m="1" x="687"/>
        <item m="1" x="688"/>
        <item m="1" x="689"/>
        <item m="1" x="690"/>
        <item m="1" x="691"/>
        <item m="1" x="692"/>
        <item m="1" x="693"/>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h="1" m="1" x="1035"/>
        <item h="1" m="1" x="1036"/>
        <item m="1" x="756"/>
        <item m="1" x="757"/>
        <item m="1" x="758"/>
        <item m="1" x="759"/>
        <item m="1" x="760"/>
        <item m="1" x="761"/>
        <item m="1" x="762"/>
        <item m="1" x="763"/>
        <item m="1" x="764"/>
        <item m="1" x="765"/>
        <item h="1" m="1" x="1037"/>
        <item h="1" m="1" x="1038"/>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h="1" m="1" x="1039"/>
        <item h="1" m="1" x="1040"/>
        <item h="1" m="1" x="1041"/>
        <item m="1" x="795"/>
        <item m="1" x="796"/>
        <item m="1" x="797"/>
        <item m="1" x="798"/>
        <item m="1" x="799"/>
        <item m="1" x="800"/>
        <item m="1" x="801"/>
        <item m="1" x="802"/>
        <item m="1" x="803"/>
        <item m="1" x="804"/>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h="1" m="1" x="1042"/>
        <item h="1" m="1" x="1043"/>
        <item h="1" m="1" x="1044"/>
        <item h="1" m="1" x="1045"/>
        <item h="1" m="1" x="1046"/>
        <item h="1" m="1" x="1047"/>
        <item h="1" m="1" x="1048"/>
        <item h="1" m="1" x="1049"/>
        <item h="1" m="1" x="1050"/>
        <item h="1" m="1" x="1051"/>
        <item h="1" m="1" x="1052"/>
        <item h="1" m="1" x="1053"/>
        <item h="1" m="1" x="1054"/>
        <item h="1" m="1" x="1055"/>
        <item h="1" m="1" x="1056"/>
        <item h="1" m="1" x="1057"/>
        <item h="1" m="1" x="1058"/>
        <item h="1" m="1" x="1059"/>
        <item h="1" m="1" x="1060"/>
        <item h="1" m="1" x="1061"/>
        <item h="1" m="1" x="1063"/>
        <item h="1" m="1" x="1064"/>
        <item h="1" m="1" x="1065"/>
        <item h="1" m="1" x="1066"/>
        <item h="1" m="1" x="1067"/>
        <item h="1" m="1" x="1068"/>
        <item h="1" m="1" x="1069"/>
        <item h="1" m="1" x="1070"/>
        <item h="1" m="1" x="1071"/>
        <item h="1" m="1" x="1072"/>
        <item h="1" m="1" x="1073"/>
        <item h="1" m="1" x="1074"/>
        <item h="1" m="1" x="1075"/>
        <item h="1" m="1" x="1076"/>
        <item h="1" m="1" x="1077"/>
        <item h="1" m="1" x="1078"/>
        <item h="1" m="1" x="1079"/>
        <item h="1" m="1" x="1080"/>
        <item h="1" m="1" x="1081"/>
        <item h="1" m="1" x="1082"/>
        <item h="1" m="1" x="1083"/>
        <item h="1" m="1" x="1084"/>
        <item h="1" m="1" x="1085"/>
        <item h="1" m="1" x="1086"/>
        <item h="1" m="1" x="1087"/>
        <item h="1" m="1" x="1088"/>
        <item h="1" m="1" x="1089"/>
        <item h="1" m="1" x="1090"/>
        <item h="1" m="1" x="1091"/>
        <item h="1" m="1" x="1092"/>
        <item h="1" m="1" x="1093"/>
        <item h="1" m="1" x="1094"/>
        <item m="1" x="894"/>
        <item m="1" x="895"/>
        <item m="1" x="896"/>
        <item m="1" x="897"/>
        <item m="1" x="898"/>
        <item m="1" x="899"/>
        <item m="1" x="900"/>
        <item m="1" x="901"/>
        <item m="1" x="902"/>
        <item m="1" x="903"/>
        <item m="1" x="904"/>
        <item m="1" x="905"/>
        <item m="1" x="623"/>
        <item m="1" x="624"/>
        <item m="1" x="625"/>
        <item m="1" x="805"/>
        <item m="1" x="806"/>
        <item m="1" x="807"/>
        <item m="1" x="495"/>
        <item m="1" x="496"/>
        <item m="1" x="497"/>
        <item m="1" x="498"/>
        <item m="1" x="499"/>
        <item m="1" x="506"/>
        <item m="1" x="507"/>
        <item m="1" x="510"/>
        <item m="1" x="511"/>
        <item m="1" x="512"/>
        <item m="1" x="513"/>
        <item m="1" x="514"/>
        <item m="1" x="515"/>
        <item m="1" x="516"/>
        <item m="1" x="517"/>
        <item m="1" x="518"/>
        <item m="1" x="519"/>
        <item m="1" x="520"/>
        <item m="1" x="521"/>
        <item m="1" x="522"/>
        <item m="1" x="523"/>
        <item m="1" x="524"/>
        <item m="1" x="525"/>
        <item m="1" x="526"/>
        <item m="1" x="527"/>
        <item m="1" x="528"/>
        <item m="1" x="529"/>
        <item m="1" x="534"/>
        <item m="1" x="540"/>
        <item m="1" x="541"/>
        <item m="1" x="545"/>
        <item m="1" x="546"/>
        <item m="1" x="547"/>
        <item m="1" x="548"/>
        <item m="1" x="549"/>
        <item m="1" x="550"/>
        <item m="1" x="563"/>
        <item m="1" x="564"/>
        <item m="1" x="565"/>
        <item m="1" x="566"/>
        <item m="1" x="567"/>
        <item m="1" x="568"/>
        <item m="1" x="569"/>
        <item m="1" x="570"/>
        <item m="1" x="571"/>
        <item m="1" x="572"/>
        <item m="1" x="573"/>
        <item m="1" x="577"/>
        <item m="1" x="578"/>
        <item m="1" x="579"/>
        <item m="1" x="580"/>
        <item m="1" x="581"/>
        <item m="1" x="582"/>
        <item m="1" x="583"/>
        <item m="1" x="584"/>
        <item m="1" x="585"/>
        <item m="1" x="589"/>
        <item m="1" x="590"/>
        <item m="1" x="591"/>
        <item m="1" x="604"/>
        <item m="1" x="605"/>
        <item m="1" x="606"/>
        <item m="1" x="918"/>
        <item m="1" x="919"/>
        <item m="1" x="920"/>
        <item m="1" x="921"/>
        <item m="1" x="922"/>
        <item m="1" x="923"/>
        <item m="1" x="629"/>
        <item m="1" x="630"/>
        <item m="1" x="631"/>
        <item m="1" x="635"/>
        <item m="1" x="636"/>
        <item m="1" x="637"/>
        <item m="1" x="644"/>
        <item m="1" x="645"/>
        <item m="1" x="646"/>
        <item m="1" x="647"/>
        <item m="1" x="648"/>
        <item m="1" x="649"/>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94"/>
        <item m="1" x="695"/>
        <item m="1" x="754"/>
        <item m="1" x="755"/>
        <item m="1" x="766"/>
        <item m="1" x="767"/>
        <item m="1" x="792"/>
        <item m="1" x="793"/>
        <item m="1" x="794"/>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544"/>
        <item m="1" x="553"/>
        <item m="1" x="554"/>
        <item m="1" x="555"/>
        <item m="1" x="556"/>
        <item m="1" x="559"/>
        <item m="1" x="560"/>
        <item m="1" x="561"/>
        <item m="1" x="562"/>
        <item m="1" x="592"/>
        <item m="1" x="593"/>
        <item m="1" x="594"/>
        <item m="1" x="607"/>
        <item m="1" x="608"/>
        <item m="1" x="609"/>
        <item m="1" x="610"/>
        <item m="1" x="611"/>
        <item m="1" x="6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t="default"/>
      </items>
    </pivotField>
    <pivotField numFmtId="172" showAll="0"/>
    <pivotField showAll="0"/>
    <pivotField axis="axisPage" multipleItemSelectionAllowed="1" showAll="0">
      <items count="8">
        <item x="4"/>
        <item h="1" x="2"/>
        <item h="1" x="0"/>
        <item h="1" x="1"/>
        <item h="1" m="1" x="6"/>
        <item h="1" x="3"/>
        <item h="1" x="5"/>
        <item t="default"/>
      </items>
    </pivotField>
    <pivotField showAll="0"/>
    <pivotField dataField="1" numFmtId="172" showAll="0"/>
    <pivotField axis="axisPage" multipleItemSelectionAllowed="1" showAll="0">
      <items count="8">
        <item m="1" x="6"/>
        <item x="4"/>
        <item x="1"/>
        <item h="1" x="0"/>
        <item x="2"/>
        <item h="1" x="5"/>
        <item h="1" x="3"/>
        <item t="default"/>
      </items>
    </pivotField>
    <pivotField axis="axisPage" multipleItemSelectionAllowed="1" showAll="0">
      <items count="10">
        <item m="1" x="8"/>
        <item x="2"/>
        <item x="3"/>
        <item x="5"/>
        <item x="1"/>
        <item h="1" x="7"/>
        <item h="1" x="0"/>
        <item x="6"/>
        <item x="4"/>
        <item t="default"/>
      </items>
    </pivotField>
  </pivotFields>
  <rowFields count="2">
    <field x="17"/>
    <field x="5"/>
  </rowFields>
  <rowItems count="2">
    <i>
      <x v="1"/>
    </i>
    <i t="grand">
      <x/>
    </i>
  </rowItems>
  <colFields count="1">
    <field x="-2"/>
  </colFields>
  <colItems count="3">
    <i>
      <x/>
    </i>
    <i i="1">
      <x v="1"/>
    </i>
    <i i="2">
      <x v="2"/>
    </i>
  </colItems>
  <pageFields count="5">
    <pageField fld="2" hier="-1"/>
    <pageField fld="35" hier="-1"/>
    <pageField fld="41" hier="-1"/>
    <pageField fld="42" hier="-1"/>
    <pageField fld="38" hier="-1"/>
  </pageFields>
  <dataFields count="3">
    <dataField name="Sum of Huella" fld="35" baseField="0" baseItem="0"/>
    <dataField name="Sum of Intensidad-M" fld="40" baseField="0" baseItem="0"/>
    <dataField name="Sum of Inv MM$" fld="28" baseField="0" baseItem="0"/>
  </dataFields>
  <formats count="5">
    <format dxfId="20">
      <pivotArea field="17" grandRow="1" outline="0" collapsedLevelsAreSubtotals="1" axis="axisRow" fieldPosition="0">
        <references count="1">
          <reference field="4294967294" count="1" selected="0">
            <x v="2"/>
          </reference>
        </references>
      </pivotArea>
    </format>
    <format dxfId="19">
      <pivotArea collapsedLevelsAreSubtotals="1" fieldPosition="0">
        <references count="2">
          <reference field="4294967294" count="1" selected="0">
            <x v="0"/>
          </reference>
          <reference field="17" count="1">
            <x v="0"/>
          </reference>
        </references>
      </pivotArea>
    </format>
    <format dxfId="18">
      <pivotArea collapsedLevelsAreSubtotals="1" fieldPosition="0">
        <references count="2">
          <reference field="4294967294" count="1" selected="0">
            <x v="2"/>
          </reference>
          <reference field="17" count="1">
            <x v="0"/>
          </reference>
        </references>
      </pivotArea>
    </format>
    <format dxfId="17">
      <pivotArea collapsedLevelsAreSubtotals="1" fieldPosition="0">
        <references count="2">
          <reference field="4294967294" count="1" selected="0">
            <x v="2"/>
          </reference>
          <reference field="17" count="1">
            <x v="1"/>
          </reference>
        </references>
      </pivotArea>
    </format>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DCFFB0A-6507-46CB-BF5E-D76D9C7F23A4}"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D50:EG251" firstHeaderRow="0" firstDataRow="1" firstDataCol="1" rowPageCount="3" colPageCount="1"/>
  <pivotFields count="43">
    <pivotField showAll="0"/>
    <pivotField showAll="0"/>
    <pivotField axis="axisPage" multipleItemSelectionAllowed="1" showAll="0">
      <items count="5">
        <item h="1" x="2"/>
        <item x="1"/>
        <item x="0"/>
        <item x="3"/>
        <item t="default"/>
      </items>
    </pivotField>
    <pivotField showAll="0"/>
    <pivotField showAll="0"/>
    <pivotField axis="axisRow" showAll="0">
      <items count="203">
        <item x="84"/>
        <item x="83"/>
        <item x="82"/>
        <item x="69"/>
        <item x="41"/>
        <item x="27"/>
        <item x="49"/>
        <item x="145"/>
        <item x="146"/>
        <item x="181"/>
        <item x="173"/>
        <item x="193"/>
        <item x="175"/>
        <item x="170"/>
        <item x="196"/>
        <item x="166"/>
        <item x="178"/>
        <item x="179"/>
        <item x="52"/>
        <item x="12"/>
        <item x="16"/>
        <item x="15"/>
        <item x="14"/>
        <item x="17"/>
        <item x="96"/>
        <item x="97"/>
        <item x="8"/>
        <item x="85"/>
        <item x="75"/>
        <item x="105"/>
        <item x="102"/>
        <item x="198"/>
        <item x="103"/>
        <item x="195"/>
        <item x="130"/>
        <item x="147"/>
        <item x="149"/>
        <item x="28"/>
        <item x="66"/>
        <item x="186"/>
        <item x="73"/>
        <item x="185"/>
        <item x="44"/>
        <item x="67"/>
        <item x="53"/>
        <item x="188"/>
        <item x="43"/>
        <item x="180"/>
        <item x="171"/>
        <item x="191"/>
        <item x="54"/>
        <item x="184"/>
        <item x="125"/>
        <item x="148"/>
        <item x="115"/>
        <item x="199"/>
        <item x="55"/>
        <item x="56"/>
        <item x="63"/>
        <item x="200"/>
        <item x="57"/>
        <item x="86"/>
        <item x="87"/>
        <item x="88"/>
        <item x="46"/>
        <item x="109"/>
        <item x="35"/>
        <item x="65"/>
        <item x="194"/>
        <item x="133"/>
        <item x="0"/>
        <item x="2"/>
        <item x="1"/>
        <item x="3"/>
        <item x="4"/>
        <item x="150"/>
        <item x="58"/>
        <item x="116"/>
        <item x="7"/>
        <item x="183"/>
        <item x="190"/>
        <item x="21"/>
        <item x="40"/>
        <item x="22"/>
        <item x="45"/>
        <item x="37"/>
        <item x="36"/>
        <item x="59"/>
        <item x="42"/>
        <item x="24"/>
        <item x="114"/>
        <item x="122"/>
        <item x="19"/>
        <item x="152"/>
        <item x="78"/>
        <item x="182"/>
        <item x="128"/>
        <item x="197"/>
        <item x="90"/>
        <item x="89"/>
        <item x="127"/>
        <item x="126"/>
        <item x="174"/>
        <item x="13"/>
        <item x="79"/>
        <item x="74"/>
        <item x="121"/>
        <item x="33"/>
        <item x="64"/>
        <item x="129"/>
        <item x="141"/>
        <item x="71"/>
        <item x="60"/>
        <item x="177"/>
        <item x="31"/>
        <item x="187"/>
        <item x="169"/>
        <item x="172"/>
        <item x="176"/>
        <item x="168"/>
        <item x="154"/>
        <item x="118"/>
        <item x="120"/>
        <item x="117"/>
        <item x="101"/>
        <item x="20"/>
        <item x="189"/>
        <item x="110"/>
        <item x="111"/>
        <item x="18"/>
        <item x="132"/>
        <item x="155"/>
        <item x="76"/>
        <item x="91"/>
        <item x="39"/>
        <item x="26"/>
        <item x="50"/>
        <item x="156"/>
        <item x="81"/>
        <item x="25"/>
        <item x="29"/>
        <item x="38"/>
        <item x="167"/>
        <item x="159"/>
        <item x="51"/>
        <item x="77"/>
        <item x="161"/>
        <item x="163"/>
        <item x="164"/>
        <item x="124"/>
        <item x="192"/>
        <item x="62"/>
        <item x="61"/>
        <item x="94"/>
        <item x="95"/>
        <item x="80"/>
        <item x="34"/>
        <item x="32"/>
        <item x="104"/>
        <item x="139"/>
        <item x="131"/>
        <item x="158"/>
        <item x="162"/>
        <item x="9"/>
        <item x="23"/>
        <item x="165"/>
        <item x="112"/>
        <item x="119"/>
        <item x="138"/>
        <item x="143"/>
        <item x="137"/>
        <item x="142"/>
        <item x="108"/>
        <item x="160"/>
        <item x="92"/>
        <item x="151"/>
        <item x="107"/>
        <item x="123"/>
        <item x="6"/>
        <item x="72"/>
        <item x="98"/>
        <item x="113"/>
        <item x="5"/>
        <item x="10"/>
        <item x="11"/>
        <item x="30"/>
        <item x="47"/>
        <item x="48"/>
        <item x="68"/>
        <item x="70"/>
        <item x="93"/>
        <item x="99"/>
        <item x="100"/>
        <item x="106"/>
        <item x="134"/>
        <item x="135"/>
        <item x="136"/>
        <item x="140"/>
        <item x="144"/>
        <item x="153"/>
        <item x="157"/>
        <item x="201"/>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axis="axisPage" dataField="1" numFmtId="172" multipleItemSelectionAllowed="1" showAll="0">
      <items count="751">
        <item h="1" x="27"/>
        <item m="1" x="640"/>
        <item m="1" x="647"/>
        <item m="1" x="693"/>
        <item m="1" x="694"/>
        <item m="1" x="695"/>
        <item m="1" x="632"/>
        <item m="1" x="727"/>
        <item m="1" x="634"/>
        <item m="1" x="261"/>
        <item x="34"/>
        <item m="1" x="506"/>
        <item m="1" x="414"/>
        <item m="1" x="645"/>
        <item m="1" x="493"/>
        <item m="1" x="494"/>
        <item m="1" x="642"/>
        <item m="1" x="726"/>
        <item m="1" x="741"/>
        <item m="1" x="638"/>
        <item m="1" x="729"/>
        <item m="1" x="714"/>
        <item m="1" x="636"/>
        <item m="1" x="717"/>
        <item m="1" x="633"/>
        <item m="1" x="504"/>
        <item m="1" x="739"/>
        <item m="1" x="706"/>
        <item m="1" x="734"/>
        <item m="1" x="713"/>
        <item m="1" x="718"/>
        <item m="1" x="492"/>
        <item m="1" x="711"/>
        <item m="1" x="732"/>
        <item m="1" x="635"/>
        <item m="1" x="643"/>
        <item m="1" x="723"/>
        <item m="1" x="742"/>
        <item m="1" x="703"/>
        <item m="1" x="747"/>
        <item m="1" x="334"/>
        <item m="1" x="641"/>
        <item m="1" x="738"/>
        <item m="1" x="721"/>
        <item m="1" x="733"/>
        <item m="1" x="637"/>
        <item m="1" x="740"/>
        <item m="1" x="748"/>
        <item m="1" x="730"/>
        <item m="1" x="422"/>
        <item m="1" x="728"/>
        <item m="1" x="708"/>
        <item m="1" x="646"/>
        <item m="1" x="704"/>
        <item m="1" x="735"/>
        <item m="1" x="715"/>
        <item m="1" x="736"/>
        <item m="1" x="639"/>
        <item m="1" x="700"/>
        <item m="1" x="749"/>
        <item m="1" x="697"/>
        <item m="1" x="707"/>
        <item m="1" x="744"/>
        <item m="1" x="258"/>
        <item x="24"/>
        <item m="1" x="126"/>
        <item m="1" x="745"/>
        <item m="1" x="719"/>
        <item m="1" x="712"/>
        <item m="1" x="716"/>
        <item m="1" x="709"/>
        <item m="1" x="725"/>
        <item m="1" x="644"/>
        <item m="1" x="722"/>
        <item m="1" x="123"/>
        <item m="1" x="125"/>
        <item m="1" x="502"/>
        <item m="1" x="705"/>
        <item x="39"/>
        <item m="1" x="731"/>
        <item m="1" x="710"/>
        <item m="1" x="124"/>
        <item m="1" x="127"/>
        <item m="1" x="743"/>
        <item m="1" x="145"/>
        <item m="1" x="329"/>
        <item m="1" x="265"/>
        <item m="1" x="698"/>
        <item m="1" x="572"/>
        <item m="1" x="485"/>
        <item m="1" x="746"/>
        <item m="1" x="737"/>
        <item m="1" x="720"/>
        <item m="1" x="699"/>
        <item m="1" x="328"/>
        <item m="1" x="702"/>
        <item m="1" x="696"/>
        <item m="1" x="701"/>
        <item m="1" x="724"/>
        <item m="1" x="631"/>
        <item m="1" x="146"/>
        <item m="1" x="574"/>
        <item m="1" x="575"/>
        <item x="35"/>
        <item x="28"/>
        <item x="15"/>
        <item m="1" x="236"/>
        <item m="1" x="576"/>
        <item h="1" m="1" x="648"/>
        <item h="1" m="1" x="649"/>
        <item m="1" x="580"/>
        <item m="1" x="579"/>
        <item h="1" m="1" x="650"/>
        <item h="1" m="1" x="651"/>
        <item h="1" m="1" x="652"/>
        <item h="1" m="1" x="653"/>
        <item h="1" m="1" x="654"/>
        <item h="1" m="1" x="655"/>
        <item h="1" m="1" x="656"/>
        <item m="1" x="588"/>
        <item h="1" m="1" x="657"/>
        <item h="1" m="1" x="658"/>
        <item h="1" m="1" x="659"/>
        <item h="1" m="1" x="660"/>
        <item h="1" m="1" x="661"/>
        <item h="1" m="1" x="662"/>
        <item h="1" m="1" x="663"/>
        <item h="1" m="1" x="664"/>
        <item h="1" m="1" x="665"/>
        <item h="1" m="1" x="666"/>
        <item h="1" m="1" x="667"/>
        <item h="1" m="1" x="668"/>
        <item h="1" m="1" x="669"/>
        <item h="1" m="1" x="670"/>
        <item h="1" m="1" x="671"/>
        <item h="1" m="1" x="672"/>
        <item m="1" x="604"/>
        <item h="1" m="1" x="673"/>
        <item h="1" m="1" x="674"/>
        <item h="1" m="1" x="675"/>
        <item m="1" x="609"/>
        <item h="1" m="1" x="676"/>
        <item h="1" m="1" x="677"/>
        <item h="1" m="1" x="678"/>
        <item h="1" m="1" x="679"/>
        <item h="1" m="1" x="680"/>
        <item h="1" m="1" x="681"/>
        <item h="1" m="1" x="682"/>
        <item h="1" m="1" x="683"/>
        <item h="1" m="1" x="684"/>
        <item h="1" m="1" x="685"/>
        <item h="1" m="1" x="686"/>
        <item h="1" m="1" x="687"/>
        <item m="1" x="622"/>
        <item h="1" m="1" x="688"/>
        <item h="1" m="1" x="689"/>
        <item h="1" m="1" x="690"/>
        <item m="1" x="626"/>
        <item m="1" x="627"/>
        <item h="1" m="1" x="691"/>
        <item h="1" m="1" x="692"/>
        <item m="1" x="630"/>
        <item m="1" x="497"/>
        <item m="1" x="577"/>
        <item m="1" x="578"/>
        <item m="1" x="581"/>
        <item m="1" x="590"/>
        <item m="1" x="589"/>
        <item m="1" x="591"/>
        <item m="1" x="584"/>
        <item m="1" x="583"/>
        <item m="1" x="582"/>
        <item m="1" x="585"/>
        <item m="1" x="586"/>
        <item m="1" x="587"/>
        <item m="1" x="592"/>
        <item m="1" x="594"/>
        <item m="1" x="593"/>
        <item m="1" x="595"/>
        <item m="1" x="596"/>
        <item m="1" x="597"/>
        <item m="1" x="598"/>
        <item m="1" x="601"/>
        <item m="1" x="600"/>
        <item m="1" x="599"/>
        <item m="1" x="602"/>
        <item m="1" x="603"/>
        <item m="1" x="605"/>
        <item m="1" x="606"/>
        <item m="1" x="607"/>
        <item m="1" x="608"/>
        <item m="1" x="610"/>
        <item m="1" x="611"/>
        <item m="1" x="612"/>
        <item m="1" x="613"/>
        <item m="1" x="614"/>
        <item m="1" x="615"/>
        <item m="1" x="616"/>
        <item m="1" x="617"/>
        <item m="1" x="618"/>
        <item m="1" x="619"/>
        <item m="1" x="620"/>
        <item m="1" x="621"/>
        <item m="1" x="623"/>
        <item m="1" x="624"/>
        <item m="1" x="625"/>
        <item m="1" x="628"/>
        <item m="1" x="629"/>
        <item m="1" x="129"/>
        <item m="1" x="234"/>
        <item x="33"/>
        <item m="1" x="340"/>
        <item m="1" x="507"/>
        <item m="1" x="510"/>
        <item m="1" x="511"/>
        <item m="1" x="512"/>
        <item m="1" x="513"/>
        <item m="1" x="514"/>
        <item m="1" x="520"/>
        <item m="1" x="517"/>
        <item m="1" x="519"/>
        <item m="1" x="516"/>
        <item m="1" x="518"/>
        <item m="1" x="521"/>
        <item m="1" x="522"/>
        <item m="1" x="515"/>
        <item m="1" x="523"/>
        <item m="1" x="524"/>
        <item m="1" x="525"/>
        <item m="1" x="527"/>
        <item m="1" x="526"/>
        <item m="1" x="528"/>
        <item m="1" x="529"/>
        <item m="1" x="530"/>
        <item m="1" x="531"/>
        <item m="1" x="534"/>
        <item m="1" x="532"/>
        <item m="1" x="533"/>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9"/>
        <item m="1" x="558"/>
        <item m="1" x="560"/>
        <item m="1" x="561"/>
        <item m="1" x="563"/>
        <item m="1" x="562"/>
        <item m="1" x="565"/>
        <item m="1" x="564"/>
        <item m="1" x="573"/>
        <item h="1" m="1" x="495"/>
        <item h="1" m="1" x="496"/>
        <item h="1" m="1" x="498"/>
        <item h="1" m="1" x="499"/>
        <item h="1" m="1" x="500"/>
        <item h="1" m="1" x="501"/>
        <item h="1" m="1" x="503"/>
        <item h="1" m="1" x="505"/>
        <item h="1" m="1" x="508"/>
        <item h="1" m="1" x="509"/>
        <item h="1" m="1" x="458"/>
        <item h="1" m="1" x="566"/>
        <item h="1" m="1" x="567"/>
        <item h="1" m="1" x="568"/>
        <item h="1" m="1" x="569"/>
        <item h="1" m="1" x="570"/>
        <item h="1" m="1" x="571"/>
        <item h="1" m="1" x="330"/>
        <item h="1" m="1" x="331"/>
        <item h="1" m="1" x="260"/>
        <item h="1" m="1" x="415"/>
        <item h="1" m="1" x="416"/>
        <item h="1" m="1" x="417"/>
        <item h="1" m="1" x="418"/>
        <item h="1" m="1" x="419"/>
        <item h="1" m="1" x="420"/>
        <item h="1" m="1" x="263"/>
        <item h="1" m="1" x="339"/>
        <item h="1" m="1" x="421"/>
        <item m="1" x="237"/>
        <item h="1" m="1" x="423"/>
        <item h="1" m="1" x="264"/>
        <item x="38"/>
        <item h="1" m="1" x="424"/>
        <item h="1" m="1" x="425"/>
        <item h="1" m="1" x="426"/>
        <item h="1" m="1" x="427"/>
        <item h="1" m="1" x="428"/>
        <item h="1" m="1" x="429"/>
        <item h="1" m="1" x="430"/>
        <item h="1" m="1" x="431"/>
        <item h="1" m="1" x="432"/>
        <item h="1" m="1" x="433"/>
        <item h="1" m="1" x="434"/>
        <item h="1" m="1" x="435"/>
        <item h="1" m="1" x="436"/>
        <item h="1" m="1" x="437"/>
        <item h="1" m="1" x="438"/>
        <item h="1" m="1" x="439"/>
        <item h="1" m="1" x="440"/>
        <item h="1" m="1" x="441"/>
        <item h="1" m="1" x="442"/>
        <item h="1" m="1" x="443"/>
        <item h="1" m="1" x="444"/>
        <item h="1" m="1" x="445"/>
        <item h="1" m="1" x="446"/>
        <item h="1" m="1" x="447"/>
        <item h="1" m="1" x="448"/>
        <item h="1" m="1" x="449"/>
        <item h="1" m="1" x="450"/>
        <item h="1" m="1" x="451"/>
        <item h="1" m="1" x="452"/>
        <item h="1" m="1" x="453"/>
        <item h="1" m="1" x="454"/>
        <item h="1" m="1" x="455"/>
        <item h="1" m="1" x="456"/>
        <item h="1" m="1" x="457"/>
        <item h="1" m="1" x="459"/>
        <item h="1" m="1" x="460"/>
        <item h="1" m="1" x="461"/>
        <item h="1" m="1" x="462"/>
        <item h="1" m="1" x="463"/>
        <item h="1" m="1" x="464"/>
        <item h="1" m="1" x="465"/>
        <item h="1" m="1" x="466"/>
        <item h="1" m="1" x="467"/>
        <item h="1" m="1" x="468"/>
        <item h="1" m="1" x="469"/>
        <item h="1" m="1" x="470"/>
        <item h="1" m="1" x="471"/>
        <item h="1" m="1" x="472"/>
        <item h="1" m="1" x="473"/>
        <item h="1" m="1" x="474"/>
        <item h="1" m="1" x="475"/>
        <item h="1" m="1" x="476"/>
        <item h="1" m="1" x="477"/>
        <item h="1" m="1" x="478"/>
        <item h="1" m="1" x="479"/>
        <item h="1" m="1" x="480"/>
        <item h="1" m="1" x="481"/>
        <item h="1" m="1" x="482"/>
        <item h="1" m="1" x="483"/>
        <item h="1" m="1" x="484"/>
        <item h="1" m="1" x="486"/>
        <item h="1" m="1" x="487"/>
        <item h="1" m="1" x="488"/>
        <item h="1" m="1" x="489"/>
        <item h="1" m="1" x="490"/>
        <item h="1" m="1" x="491"/>
        <item h="1" m="1" x="327"/>
        <item m="1" x="233"/>
        <item h="1" m="1" x="259"/>
        <item h="1" m="1" x="332"/>
        <item h="1" m="1" x="333"/>
        <item h="1" m="1" x="335"/>
        <item h="1" m="1" x="336"/>
        <item h="1" m="1" x="337"/>
        <item h="1" m="1" x="338"/>
        <item h="1" m="1" x="341"/>
        <item h="1" m="1" x="342"/>
        <item h="1" m="1" x="343"/>
        <item h="1" m="1" x="344"/>
        <item h="1" m="1" x="345"/>
        <item h="1" m="1" x="346"/>
        <item h="1" m="1" x="347"/>
        <item h="1" m="1" x="348"/>
        <item h="1" m="1" x="349"/>
        <item h="1" m="1" x="350"/>
        <item h="1" m="1" x="351"/>
        <item h="1" m="1" x="352"/>
        <item h="1" m="1" x="353"/>
        <item h="1" m="1" x="354"/>
        <item h="1" m="1" x="355"/>
        <item h="1" m="1" x="356"/>
        <item m="1" x="167"/>
        <item h="1" m="1" x="357"/>
        <item h="1" m="1" x="358"/>
        <item h="1" m="1" x="359"/>
        <item h="1" m="1" x="360"/>
        <item h="1" m="1" x="361"/>
        <item h="1" m="1" x="362"/>
        <item h="1" m="1" x="363"/>
        <item h="1" m="1" x="364"/>
        <item h="1" m="1" x="365"/>
        <item h="1" m="1" x="366"/>
        <item h="1" m="1" x="367"/>
        <item h="1" m="1" x="368"/>
        <item h="1" m="1" x="369"/>
        <item h="1" m="1" x="370"/>
        <item h="1" m="1" x="371"/>
        <item h="1" m="1" x="372"/>
        <item h="1" m="1" x="373"/>
        <item h="1" m="1" x="374"/>
        <item h="1" m="1" x="375"/>
        <item h="1" m="1" x="376"/>
        <item h="1" m="1" x="377"/>
        <item h="1" m="1" x="378"/>
        <item h="1" m="1" x="379"/>
        <item h="1" m="1" x="380"/>
        <item h="1" m="1" x="381"/>
        <item h="1" m="1" x="382"/>
        <item h="1" m="1" x="383"/>
        <item h="1" m="1" x="384"/>
        <item h="1" m="1" x="385"/>
        <item h="1" m="1" x="386"/>
        <item h="1" m="1" x="387"/>
        <item h="1" m="1" x="388"/>
        <item h="1" m="1" x="389"/>
        <item h="1" m="1" x="390"/>
        <item h="1" m="1" x="391"/>
        <item h="1" m="1" x="392"/>
        <item h="1" m="1" x="393"/>
        <item h="1" m="1" x="394"/>
        <item h="1" m="1" x="395"/>
        <item h="1" m="1" x="396"/>
        <item h="1" m="1" x="397"/>
        <item h="1" m="1" x="398"/>
        <item h="1" m="1" x="399"/>
        <item h="1" m="1" x="400"/>
        <item h="1" m="1" x="401"/>
        <item h="1" m="1" x="402"/>
        <item h="1" m="1" x="403"/>
        <item h="1" m="1" x="404"/>
        <item h="1" m="1" x="405"/>
        <item h="1" m="1" x="406"/>
        <item h="1" m="1" x="407"/>
        <item h="1" m="1" x="408"/>
        <item h="1" m="1" x="409"/>
        <item h="1" m="1" x="410"/>
        <item h="1" m="1" x="411"/>
        <item h="1" m="1" x="412"/>
        <item h="1" m="1" x="413"/>
        <item m="1" x="128"/>
        <item h="1" m="1" x="239"/>
        <item h="1" m="1" x="240"/>
        <item h="1" m="1" x="262"/>
        <item h="1" m="1" x="241"/>
        <item h="1" m="1" x="242"/>
        <item h="1" m="1" x="243"/>
        <item h="1" m="1" x="244"/>
        <item x="21"/>
        <item m="1" x="139"/>
        <item m="1" x="140"/>
        <item m="1" x="235"/>
        <item h="1" m="1" x="245"/>
        <item h="1" m="1" x="246"/>
        <item m="1" x="238"/>
        <item h="1" m="1" x="247"/>
        <item h="1" m="1" x="248"/>
        <item h="1" m="1" x="266"/>
        <item h="1" m="1" x="268"/>
        <item h="1" m="1" x="267"/>
        <item h="1" m="1" x="269"/>
        <item h="1" m="1" x="270"/>
        <item h="1" m="1" x="271"/>
        <item h="1" m="1" x="272"/>
        <item h="1" m="1" x="277"/>
        <item h="1" m="1" x="276"/>
        <item h="1" m="1" x="273"/>
        <item h="1" m="1" x="274"/>
        <item h="1" m="1" x="275"/>
        <item h="1" m="1" x="278"/>
        <item h="1" m="1" x="279"/>
        <item h="1" m="1" x="280"/>
        <item h="1" m="1" x="281"/>
        <item h="1" m="1" x="282"/>
        <item h="1" m="1" x="283"/>
        <item h="1" m="1" x="285"/>
        <item h="1" m="1" x="284"/>
        <item h="1" m="1" x="286"/>
        <item h="1" m="1" x="287"/>
        <item h="1" m="1" x="288"/>
        <item h="1" m="1" x="289"/>
        <item h="1" m="1" x="290"/>
        <item h="1" m="1" x="291"/>
        <item h="1" m="1" x="293"/>
        <item h="1" m="1" x="292"/>
        <item h="1" m="1" x="294"/>
        <item h="1" m="1" x="295"/>
        <item h="1" m="1" x="296"/>
        <item h="1" m="1" x="298"/>
        <item h="1" m="1" x="297"/>
        <item h="1" m="1" x="299"/>
        <item h="1" m="1" x="251"/>
        <item h="1" m="1" x="300"/>
        <item h="1" m="1" x="301"/>
        <item h="1" m="1" x="302"/>
        <item h="1" m="1" x="303"/>
        <item h="1" m="1" x="304"/>
        <item h="1" m="1" x="305"/>
        <item m="1" x="205"/>
        <item h="1" m="1" x="306"/>
        <item h="1" m="1" x="307"/>
        <item h="1" m="1" x="308"/>
        <item h="1" m="1" x="309"/>
        <item h="1" m="1" x="310"/>
        <item h="1" m="1" x="311"/>
        <item h="1" m="1" x="312"/>
        <item h="1" m="1" x="313"/>
        <item h="1" m="1" x="315"/>
        <item h="1" m="1" x="314"/>
        <item h="1" m="1" x="316"/>
        <item h="1" m="1" x="317"/>
        <item h="1" m="1" x="318"/>
        <item h="1" m="1" x="319"/>
        <item h="1" m="1" x="321"/>
        <item h="1" m="1" x="320"/>
        <item h="1" m="1" x="322"/>
        <item h="1" m="1" x="324"/>
        <item h="1" m="1" x="323"/>
        <item h="1" m="1" x="325"/>
        <item h="1" m="1" x="326"/>
        <item h="1" m="1" x="252"/>
        <item h="1" m="1" x="253"/>
        <item h="1" m="1" x="254"/>
        <item h="1" m="1" x="255"/>
        <item h="1" m="1" x="256"/>
        <item h="1" m="1" x="257"/>
        <item h="1" m="1" x="249"/>
        <item h="1" m="1" x="250"/>
        <item x="6"/>
        <item x="7"/>
        <item x="12"/>
        <item m="1" x="132"/>
        <item m="1" x="133"/>
        <item m="1" x="134"/>
        <item x="20"/>
        <item m="1" x="141"/>
        <item m="1" x="144"/>
        <item x="37"/>
        <item m="1" x="147"/>
        <item x="29"/>
        <item m="1" x="150"/>
        <item m="1" x="151"/>
        <item m="1" x="152"/>
        <item m="1" x="153"/>
        <item m="1" x="154"/>
        <item m="1" x="156"/>
        <item m="1" x="157"/>
        <item m="1" x="158"/>
        <item m="1" x="159"/>
        <item m="1" x="160"/>
        <item m="1" x="161"/>
        <item m="1" x="162"/>
        <item m="1" x="163"/>
        <item m="1" x="164"/>
        <item m="1" x="165"/>
        <item m="1" x="166"/>
        <item m="1" x="168"/>
        <item m="1" x="169"/>
        <item m="1" x="170"/>
        <item m="1" x="171"/>
        <item m="1" x="172"/>
        <item m="1" x="173"/>
        <item m="1" x="174"/>
        <item m="1" x="175"/>
        <item m="1" x="176"/>
        <item m="1" x="177"/>
        <item m="1" x="178"/>
        <item m="1" x="179"/>
        <item m="1" x="180"/>
        <item m="1" x="181"/>
        <item m="1" x="182"/>
        <item m="1" x="183"/>
        <item m="1" x="184"/>
        <item m="1" x="185"/>
        <item m="1" x="186"/>
        <item m="1" x="189"/>
        <item m="1" x="190"/>
        <item m="1" x="191"/>
        <item m="1" x="192"/>
        <item m="1" x="193"/>
        <item m="1" x="195"/>
        <item m="1" x="196"/>
        <item m="1" x="197"/>
        <item m="1" x="198"/>
        <item m="1" x="199"/>
        <item m="1" x="200"/>
        <item m="1" x="201"/>
        <item m="1" x="202"/>
        <item m="1" x="203"/>
        <item m="1" x="204"/>
        <item m="1" x="206"/>
        <item m="1" x="207"/>
        <item m="1" x="208"/>
        <item m="1" x="209"/>
        <item m="1" x="211"/>
        <item m="1" x="212"/>
        <item m="1" x="213"/>
        <item m="1" x="214"/>
        <item m="1" x="215"/>
        <item m="1" x="216"/>
        <item m="1" x="217"/>
        <item m="1" x="218"/>
        <item m="1" x="219"/>
        <item m="1" x="220"/>
        <item m="1" x="221"/>
        <item m="1" x="222"/>
        <item m="1" x="223"/>
        <item m="1" x="224"/>
        <item m="1" x="225"/>
        <item m="1" x="232"/>
        <item m="1" x="210"/>
        <item m="1" x="130"/>
        <item m="1" x="131"/>
        <item m="1" x="135"/>
        <item m="1" x="136"/>
        <item m="1" x="137"/>
        <item m="1" x="138"/>
        <item m="1" x="142"/>
        <item m="1" x="143"/>
        <item m="1" x="148"/>
        <item m="1" x="149"/>
        <item m="1" x="155"/>
        <item m="1" x="187"/>
        <item m="1" x="188"/>
        <item m="1" x="194"/>
        <item m="1" x="226"/>
        <item m="1" x="227"/>
        <item m="1" x="228"/>
        <item m="1" x="229"/>
        <item m="1" x="230"/>
        <item m="1" x="231"/>
        <item x="0"/>
        <item x="1"/>
        <item x="2"/>
        <item x="3"/>
        <item x="4"/>
        <item x="5"/>
        <item x="8"/>
        <item x="9"/>
        <item x="10"/>
        <item x="11"/>
        <item x="13"/>
        <item x="14"/>
        <item x="16"/>
        <item x="17"/>
        <item x="18"/>
        <item x="19"/>
        <item x="22"/>
        <item x="23"/>
        <item x="25"/>
        <item x="26"/>
        <item x="30"/>
        <item x="31"/>
        <item x="32"/>
        <item x="36"/>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dataField="1" numFmtId="172" multipleItemSelectionAllowed="1" showAll="0"/>
    <pivotField numFmtId="172" showAll="0"/>
    <pivotField showAll="0"/>
    <pivotField showAll="0"/>
    <pivotField showAll="0"/>
    <pivotField numFmtId="172" showAll="0"/>
    <pivotField axis="axisPage" multipleItemSelectionAllowed="1" showAll="0">
      <items count="8">
        <item m="1" x="6"/>
        <item x="4"/>
        <item x="1"/>
        <item x="0"/>
        <item x="2"/>
        <item h="1" x="5"/>
        <item x="3"/>
        <item t="default"/>
      </items>
    </pivotField>
    <pivotField showAll="0"/>
  </pivotFields>
  <rowFields count="1">
    <field x="5"/>
  </rowFields>
  <rowItems count="2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t="grand">
      <x/>
    </i>
  </rowItems>
  <colFields count="1">
    <field x="-2"/>
  </colFields>
  <colItems count="3">
    <i>
      <x/>
    </i>
    <i i="1">
      <x v="1"/>
    </i>
    <i i="2">
      <x v="2"/>
    </i>
  </colItems>
  <pageFields count="3">
    <pageField fld="2" hier="-1"/>
    <pageField fld="41" hier="-1"/>
    <pageField fld="34" hier="-1"/>
  </pageFields>
  <dataFields count="3">
    <dataField name="Sum of Huella" fld="35" baseField="0" baseItem="0"/>
    <dataField name="Sum of Inv MM$" fld="28" baseField="0" baseItem="0"/>
    <dataField name="Average of C02-H" fld="34" subtotal="average" baseField="5" baseItem="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43B900A-4168-4D57-AEE8-CE493F90A504}" name="PivotTable13"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N60:BQ94" firstHeaderRow="0" firstDataRow="1" firstDataCol="1" rowPageCount="4" colPageCount="1"/>
  <pivotFields count="43">
    <pivotField showAll="0"/>
    <pivotField showAll="0"/>
    <pivotField axis="axisPage" multipleItemSelectionAllowed="1" showAll="0">
      <items count="5">
        <item h="1" x="2"/>
        <item x="1"/>
        <item x="0"/>
        <item x="3"/>
        <item t="default"/>
      </items>
    </pivotField>
    <pivotField showAll="0"/>
    <pivotField showAll="0"/>
    <pivotField axis="axisRow" showAll="0">
      <items count="203">
        <item x="84"/>
        <item x="83"/>
        <item x="82"/>
        <item x="69"/>
        <item x="41"/>
        <item x="27"/>
        <item x="49"/>
        <item x="145"/>
        <item x="146"/>
        <item x="181"/>
        <item x="173"/>
        <item x="193"/>
        <item x="175"/>
        <item x="170"/>
        <item x="196"/>
        <item x="166"/>
        <item x="178"/>
        <item x="179"/>
        <item x="52"/>
        <item x="12"/>
        <item x="16"/>
        <item x="15"/>
        <item x="14"/>
        <item x="17"/>
        <item x="96"/>
        <item x="97"/>
        <item x="8"/>
        <item x="85"/>
        <item x="75"/>
        <item x="105"/>
        <item x="102"/>
        <item x="198"/>
        <item x="103"/>
        <item x="195"/>
        <item x="130"/>
        <item x="147"/>
        <item x="149"/>
        <item x="28"/>
        <item x="66"/>
        <item x="186"/>
        <item x="73"/>
        <item x="185"/>
        <item x="44"/>
        <item x="67"/>
        <item x="53"/>
        <item x="188"/>
        <item x="43"/>
        <item x="180"/>
        <item x="171"/>
        <item x="191"/>
        <item x="54"/>
        <item x="184"/>
        <item x="125"/>
        <item x="148"/>
        <item x="115"/>
        <item x="199"/>
        <item x="55"/>
        <item x="56"/>
        <item x="63"/>
        <item x="200"/>
        <item x="57"/>
        <item x="86"/>
        <item x="87"/>
        <item x="88"/>
        <item x="46"/>
        <item x="109"/>
        <item x="35"/>
        <item x="65"/>
        <item x="194"/>
        <item x="133"/>
        <item x="0"/>
        <item x="2"/>
        <item x="1"/>
        <item x="3"/>
        <item x="4"/>
        <item x="150"/>
        <item x="58"/>
        <item x="116"/>
        <item x="7"/>
        <item x="183"/>
        <item x="190"/>
        <item x="21"/>
        <item x="40"/>
        <item x="22"/>
        <item x="45"/>
        <item x="37"/>
        <item x="36"/>
        <item x="59"/>
        <item x="42"/>
        <item x="24"/>
        <item x="114"/>
        <item x="122"/>
        <item x="19"/>
        <item x="152"/>
        <item x="78"/>
        <item x="182"/>
        <item x="128"/>
        <item x="197"/>
        <item x="90"/>
        <item x="89"/>
        <item x="127"/>
        <item x="126"/>
        <item x="174"/>
        <item x="13"/>
        <item x="79"/>
        <item x="74"/>
        <item x="121"/>
        <item x="33"/>
        <item x="64"/>
        <item x="129"/>
        <item x="141"/>
        <item x="71"/>
        <item x="60"/>
        <item x="177"/>
        <item x="31"/>
        <item x="187"/>
        <item x="169"/>
        <item x="172"/>
        <item x="176"/>
        <item x="168"/>
        <item x="154"/>
        <item x="118"/>
        <item x="120"/>
        <item x="117"/>
        <item x="101"/>
        <item x="20"/>
        <item x="189"/>
        <item x="110"/>
        <item x="111"/>
        <item x="18"/>
        <item x="132"/>
        <item x="155"/>
        <item x="76"/>
        <item x="91"/>
        <item x="39"/>
        <item x="26"/>
        <item x="50"/>
        <item x="156"/>
        <item x="81"/>
        <item x="25"/>
        <item x="29"/>
        <item x="38"/>
        <item x="167"/>
        <item x="159"/>
        <item x="51"/>
        <item x="77"/>
        <item x="161"/>
        <item x="163"/>
        <item x="164"/>
        <item x="124"/>
        <item x="192"/>
        <item x="62"/>
        <item x="61"/>
        <item x="94"/>
        <item x="95"/>
        <item x="80"/>
        <item x="34"/>
        <item x="32"/>
        <item x="104"/>
        <item x="139"/>
        <item x="131"/>
        <item x="158"/>
        <item x="162"/>
        <item x="9"/>
        <item x="23"/>
        <item x="165"/>
        <item x="112"/>
        <item x="119"/>
        <item x="138"/>
        <item x="143"/>
        <item x="137"/>
        <item x="142"/>
        <item x="108"/>
        <item x="160"/>
        <item x="92"/>
        <item x="151"/>
        <item x="107"/>
        <item x="123"/>
        <item x="6"/>
        <item x="72"/>
        <item x="98"/>
        <item x="113"/>
        <item x="5"/>
        <item x="10"/>
        <item x="11"/>
        <item x="30"/>
        <item x="47"/>
        <item x="48"/>
        <item x="68"/>
        <item x="70"/>
        <item x="93"/>
        <item x="99"/>
        <item x="100"/>
        <item x="106"/>
        <item x="134"/>
        <item x="135"/>
        <item x="136"/>
        <item x="140"/>
        <item x="144"/>
        <item x="153"/>
        <item x="157"/>
        <item x="201"/>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4730">
        <item h="1" x="95"/>
        <item m="1" x="4539"/>
        <item m="1" x="4630"/>
        <item m="1" x="4633"/>
        <item m="1" x="4513"/>
        <item m="1" x="4632"/>
        <item m="1" x="4512"/>
        <item m="1" x="4557"/>
        <item m="1" x="4631"/>
        <item m="1" x="4561"/>
        <item m="1" x="4455"/>
        <item m="1" x="4560"/>
        <item m="1" x="4519"/>
        <item m="1" x="4530"/>
        <item m="1" x="4554"/>
        <item m="1" x="4525"/>
        <item m="1" x="4522"/>
        <item m="1" x="4571"/>
        <item m="1" x="4607"/>
        <item m="1" x="4478"/>
        <item m="1" x="4555"/>
        <item m="1" x="4457"/>
        <item m="1" x="4456"/>
        <item m="1" x="4679"/>
        <item m="1" x="4635"/>
        <item m="1" x="4425"/>
        <item m="1" x="4536"/>
        <item m="1" x="4627"/>
        <item m="1" x="4556"/>
        <item m="1" x="4576"/>
        <item m="1" x="4575"/>
        <item m="1" x="4686"/>
        <item m="1" x="4551"/>
        <item m="1" x="4480"/>
        <item m="1" x="4628"/>
        <item m="1" x="4634"/>
        <item m="1" x="4728"/>
        <item m="1" x="4534"/>
        <item m="1" x="4348"/>
        <item m="1" x="4629"/>
        <item m="1" x="4524"/>
        <item m="1" x="4682"/>
        <item m="1" x="4596"/>
        <item m="1" x="4688"/>
        <item m="1" x="4727"/>
        <item m="1" x="4619"/>
        <item m="1" x="4402"/>
        <item m="1" x="4621"/>
        <item m="1" x="4535"/>
        <item m="1" x="4354"/>
        <item m="1" x="4443"/>
        <item m="1" x="4690"/>
        <item m="1" x="4687"/>
        <item m="1" x="4401"/>
        <item m="1" x="4681"/>
        <item m="1" x="4601"/>
        <item m="1" x="4350"/>
        <item m="1" x="4597"/>
        <item m="1" x="4685"/>
        <item m="1" x="4385"/>
        <item m="1" x="4386"/>
        <item m="1" x="4684"/>
        <item m="1" x="4620"/>
        <item m="1" x="4678"/>
        <item m="1" x="4614"/>
        <item m="1" x="4400"/>
        <item m="1" x="4616"/>
        <item m="1" x="4397"/>
        <item m="1" x="4602"/>
        <item m="1" x="4683"/>
        <item m="1" x="4599"/>
        <item m="1" x="4359"/>
        <item m="1" x="4399"/>
        <item m="1" x="4371"/>
        <item m="1" x="4689"/>
        <item m="1" x="4370"/>
        <item m="1" x="4446"/>
        <item m="1" x="4418"/>
        <item m="1" x="4598"/>
        <item m="1" x="4600"/>
        <item m="1" x="4347"/>
        <item m="1" x="4677"/>
        <item m="1" x="4349"/>
        <item m="1" x="4694"/>
        <item m="1" x="4696"/>
        <item m="1" x="4608"/>
        <item m="1" x="4444"/>
        <item m="1" x="4384"/>
        <item m="1" x="4353"/>
        <item m="1" x="4360"/>
        <item m="1" x="4431"/>
        <item m="1" x="4343"/>
        <item m="1" x="4398"/>
        <item m="1" x="4516"/>
        <item m="1" x="4344"/>
        <item m="1" x="4339"/>
        <item m="1" x="4352"/>
        <item m="1" x="4546"/>
        <item m="1" x="4594"/>
        <item m="1" x="4547"/>
        <item m="1" x="4338"/>
        <item m="1" x="4311"/>
        <item m="1" x="4622"/>
        <item m="1" x="4372"/>
        <item m="1" x="4340"/>
        <item m="1" x="4671"/>
        <item m="1" x="4663"/>
        <item m="1" x="4611"/>
        <item m="1" x="4405"/>
        <item m="1" x="4693"/>
        <item m="1" x="4427"/>
        <item m="1" x="4615"/>
        <item m="1" x="4708"/>
        <item m="1" x="4448"/>
        <item m="1" x="4375"/>
        <item m="1" x="4337"/>
        <item m="1" x="4714"/>
        <item m="1" x="4672"/>
        <item m="1" x="4612"/>
        <item m="1" x="4518"/>
        <item m="1" x="4346"/>
        <item m="1" x="4617"/>
        <item m="1" x="4707"/>
        <item m="1" x="4276"/>
        <item m="1" x="4604"/>
        <item m="1" x="4345"/>
        <item m="1" x="4335"/>
        <item m="1" x="4369"/>
        <item m="1" x="4680"/>
        <item m="1" x="4713"/>
        <item m="1" x="4695"/>
        <item m="1" x="4408"/>
        <item m="1" x="4515"/>
        <item m="1" x="4341"/>
        <item m="1" x="4342"/>
        <item m="1" x="4426"/>
        <item m="1" x="4605"/>
        <item m="1" x="4445"/>
        <item m="1" x="4412"/>
        <item m="1" x="4537"/>
        <item m="1" x="4404"/>
        <item m="1" x="4391"/>
        <item m="1" x="4336"/>
        <item m="1" x="4433"/>
        <item m="1" x="4606"/>
        <item m="1" x="4662"/>
        <item m="1" x="4538"/>
        <item m="1" x="4618"/>
        <item m="1" x="4275"/>
        <item m="1" x="4613"/>
        <item m="1" x="4403"/>
        <item m="1" x="4655"/>
        <item m="1" x="4532"/>
        <item m="1" x="4704"/>
        <item m="1" x="4291"/>
        <item m="1" x="4657"/>
        <item m="1" x="4447"/>
        <item m="1" x="4711"/>
        <item m="1" x="4726"/>
        <item m="1" x="4623"/>
        <item m="1" x="4517"/>
        <item m="1" x="4595"/>
        <item m="1" x="4703"/>
        <item m="1" x="4413"/>
        <item m="1" x="4626"/>
        <item m="1" x="4717"/>
        <item m="1" x="4649"/>
        <item m="1" x="4692"/>
        <item m="1" x="4298"/>
        <item m="1" x="4475"/>
        <item m="1" x="4548"/>
        <item m="1" x="4603"/>
        <item m="1" x="4559"/>
        <item m="1" x="4715"/>
        <item m="1" x="4414"/>
        <item m="1" x="4387"/>
        <item m="1" x="4287"/>
        <item m="1" x="4373"/>
        <item m="1" x="4625"/>
        <item m="1" x="4531"/>
        <item m="1" x="4654"/>
        <item m="1" x="4361"/>
        <item m="1" x="4647"/>
        <item m="1" x="4501"/>
        <item m="1" x="4656"/>
        <item m="1" x="4691"/>
        <item m="1" x="4700"/>
        <item m="1" x="4529"/>
        <item m="1" x="4415"/>
        <item m="1" x="4624"/>
        <item m="1" x="4356"/>
        <item m="1" x="4409"/>
        <item m="1" x="4503"/>
        <item m="1" x="4355"/>
        <item m="1" x="4432"/>
        <item m="1" x="4710"/>
        <item m="1" x="4541"/>
        <item m="1" x="4362"/>
        <item m="1" x="4563"/>
        <item m="1" x="4374"/>
        <item m="1" x="4487"/>
        <item m="1" x="4587"/>
        <item m="1" x="4609"/>
        <item m="1" x="4567"/>
        <item m="1" x="4550"/>
        <item m="1" x="4702"/>
        <item m="1" x="4406"/>
        <item m="1" x="4333"/>
        <item m="1" x="4509"/>
        <item m="1" x="4653"/>
        <item m="1" x="4395"/>
        <item m="1" x="4589"/>
        <item m="1" x="4648"/>
        <item m="1" x="4486"/>
        <item m="1" x="4719"/>
        <item m="1" x="4705"/>
        <item m="1" x="4452"/>
        <item m="1" x="4720"/>
        <item m="1" x="4407"/>
        <item m="1" x="4473"/>
        <item m="1" x="4483"/>
        <item m="1" x="4651"/>
        <item m="1" x="4592"/>
        <item m="1" x="4449"/>
        <item m="1" x="4307"/>
        <item m="1" x="4610"/>
        <item m="1" x="4334"/>
        <item m="1" x="4568"/>
        <item m="1" x="4523"/>
        <item m="1" x="4718"/>
        <item m="1" x="4645"/>
        <item m="1" x="4588"/>
        <item m="1" x="4676"/>
        <item m="1" x="4504"/>
        <item m="1" x="4467"/>
        <item m="1" x="4390"/>
        <item m="1" x="4698"/>
        <item m="1" x="4558"/>
        <item m="1" x="4553"/>
        <item m="1" x="4461"/>
        <item m="1" x="4297"/>
        <item m="1" x="4357"/>
        <item m="1" x="4722"/>
        <item m="1" x="4420"/>
        <item m="1" x="4659"/>
        <item m="1" x="4382"/>
        <item m="1" x="4521"/>
        <item m="1" x="4716"/>
        <item m="1" x="4388"/>
        <item m="1" x="4273"/>
        <item m="1" x="4310"/>
        <item m="1" x="4646"/>
        <item m="1" x="4643"/>
        <item m="1" x="4574"/>
        <item m="1" x="4725"/>
        <item m="1" x="4474"/>
        <item m="1" x="4500"/>
        <item m="1" x="4497"/>
        <item m="1" x="4471"/>
        <item m="1" x="4499"/>
        <item m="1" x="4316"/>
        <item m="1" x="4706"/>
        <item m="1" x="4284"/>
        <item m="1" x="4508"/>
        <item m="1" x="4302"/>
        <item m="1" x="4383"/>
        <item m="1" x="4482"/>
        <item m="1" x="4488"/>
        <item m="1" x="4493"/>
        <item m="1" x="4652"/>
        <item m="1" x="4314"/>
        <item m="1" x="4380"/>
        <item m="1" x="4281"/>
        <item m="1" x="4502"/>
        <item m="1" x="4528"/>
        <item m="1" x="4485"/>
        <item m="1" x="4712"/>
        <item m="1" x="4365"/>
        <item m="1" x="4366"/>
        <item m="1" x="4351"/>
        <item m="1" x="4552"/>
        <item m="1" x="4419"/>
        <item m="1" x="4494"/>
        <item m="1" x="4490"/>
        <item m="1" x="4411"/>
        <item m="1" x="4543"/>
        <item m="1" x="4312"/>
        <item m="1" x="4437"/>
        <item m="1" x="4489"/>
        <item m="1" x="4505"/>
        <item m="1" x="4392"/>
        <item m="1" x="4639"/>
        <item m="1" x="4451"/>
        <item m="1" x="4545"/>
        <item m="1" x="4540"/>
        <item m="1" x="4507"/>
        <item m="1" x="4439"/>
        <item m="1" x="4376"/>
        <item m="1" x="4572"/>
        <item m="1" x="4666"/>
        <item m="1" x="4514"/>
        <item m="1" x="4641"/>
        <item m="1" x="4511"/>
        <item m="1" x="4642"/>
        <item m="1" x="4484"/>
        <item m="1" x="4564"/>
        <item m="1" x="4389"/>
        <item m="1" x="4593"/>
        <item m="1" x="4394"/>
        <item m="1" x="4320"/>
        <item m="1" x="4315"/>
        <item m="1" x="4381"/>
        <item m="1" x="4709"/>
        <item m="1" x="4562"/>
        <item m="1" x="4274"/>
        <item m="1" x="4644"/>
        <item m="1" x="4379"/>
        <item m="1" x="4417"/>
        <item m="1" x="4549"/>
        <item m="1" x="4724"/>
        <item m="1" x="4721"/>
        <item m="1" x="4323"/>
        <item m="1" x="4701"/>
        <item m="1" x="4313"/>
        <item m="1" x="4453"/>
        <item m="1" x="4464"/>
        <item m="1" x="4699"/>
        <item m="1" x="4454"/>
        <item m="1" x="4358"/>
        <item m="1" x="4697"/>
        <item m="1" x="4410"/>
        <item m="1" x="4664"/>
        <item m="1" x="4658"/>
        <item m="1" x="4364"/>
        <item m="1" x="4581"/>
        <item m="1" x="4492"/>
        <item m="1" x="4363"/>
        <item m="1" x="4295"/>
        <item m="1" x="4673"/>
        <item m="1" x="4579"/>
        <item m="1" x="4650"/>
        <item m="1" x="4675"/>
        <item m="1" x="4434"/>
        <item m="1" x="4570"/>
        <item m="1" x="4321"/>
        <item m="1" x="4496"/>
        <item m="1" x="4472"/>
        <item m="1" x="4665"/>
        <item m="1" x="4526"/>
        <item m="1" x="4396"/>
        <item m="1" x="4416"/>
        <item m="1" x="4660"/>
        <item m="1" x="4520"/>
        <item m="1" x="4299"/>
        <item m="1" x="4458"/>
        <item m="1" x="4469"/>
        <item m="1" x="4377"/>
        <item m="1" x="4586"/>
        <item m="1" x="4378"/>
        <item m="1" x="4583"/>
        <item m="1" x="4590"/>
        <item m="1" x="4495"/>
        <item m="1" x="4544"/>
        <item m="1" x="4591"/>
        <item m="1" x="4470"/>
        <item m="1" x="4498"/>
        <item m="1" x="4584"/>
        <item m="1" x="4450"/>
        <item m="1" x="4580"/>
        <item m="1" x="4542"/>
        <item m="1" x="4296"/>
        <item m="1" x="4638"/>
        <item m="1" x="4393"/>
        <item m="1" x="4306"/>
        <item m="1" x="4476"/>
        <item m="1" x="4309"/>
        <item m="1" x="4585"/>
        <item m="1" x="4305"/>
        <item m="1" x="4293"/>
        <item m="1" x="4463"/>
        <item m="1" x="4582"/>
        <item m="1" x="4566"/>
        <item m="1" x="4367"/>
        <item m="1" x="4481"/>
        <item m="1" x="4368"/>
        <item m="1" x="4510"/>
        <item m="1" x="4479"/>
        <item m="1" x="4317"/>
        <item m="1" x="4421"/>
        <item m="1" x="4674"/>
        <item m="1" x="4440"/>
        <item m="1" x="4637"/>
        <item m="1" x="4308"/>
        <item m="1" x="4292"/>
        <item m="1" x="4573"/>
        <item m="1" x="4661"/>
        <item m="1" x="4322"/>
        <item m="1" x="4428"/>
        <item m="1" x="4300"/>
        <item m="1" x="4533"/>
        <item m="1" x="4289"/>
        <item m="1" x="4468"/>
        <item m="1" x="4319"/>
        <item m="1" x="4668"/>
        <item m="1" x="4279"/>
        <item m="1" x="4506"/>
        <item m="1" x="4460"/>
        <item m="1" x="4569"/>
        <item m="1" x="4466"/>
        <item m="1" x="4331"/>
        <item m="1" x="4326"/>
        <item m="1" x="4318"/>
        <item m="1" x="4282"/>
        <item m="1" x="4527"/>
        <item m="1" x="4304"/>
        <item m="1" x="4577"/>
        <item m="1" x="4636"/>
        <item m="1" x="4640"/>
        <item m="1" x="4477"/>
        <item m="1" x="4436"/>
        <item m="1" x="4329"/>
        <item m="1" x="4491"/>
        <item m="1" x="4422"/>
        <item m="1" x="4301"/>
        <item m="1" x="4288"/>
        <item m="1" x="4462"/>
        <item m="1" x="4324"/>
        <item m="1" x="4459"/>
        <item m="1" x="4327"/>
        <item m="1" x="4285"/>
        <item m="1" x="4723"/>
        <item m="1" x="4565"/>
        <item m="1" x="4325"/>
        <item m="1" x="4332"/>
        <item m="1" x="4330"/>
        <item m="1" x="4303"/>
        <item m="1" x="4277"/>
        <item m="1" x="4465"/>
        <item m="1" x="4578"/>
        <item m="1" x="4438"/>
        <item m="1" x="4328"/>
        <item m="1" x="4669"/>
        <item m="1" x="4667"/>
        <item m="1" x="4429"/>
        <item m="1" x="4435"/>
        <item m="1" x="4290"/>
        <item m="1" x="4286"/>
        <item m="1" x="4294"/>
        <item m="1" x="4283"/>
        <item m="1" x="4280"/>
        <item m="1" x="4430"/>
        <item m="1" x="4442"/>
        <item m="1" x="4424"/>
        <item m="1" x="4670"/>
        <item m="1" x="4441"/>
        <item m="1" x="4278"/>
        <item m="1" x="4423"/>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h="1" m="1" x="3918"/>
        <item h="1" m="1" x="3919"/>
        <item h="1" m="1" x="3920"/>
        <item h="1" m="1" x="3921"/>
        <item h="1" m="1" x="3922"/>
        <item h="1" m="1" x="3923"/>
        <item h="1" m="1" x="3924"/>
        <item h="1" m="1" x="3925"/>
        <item h="1" m="1" x="3926"/>
        <item h="1" m="1" x="3927"/>
        <item h="1" m="1" x="3928"/>
        <item h="1" m="1" x="3929"/>
        <item h="1" m="1" x="3930"/>
        <item h="1" m="1" x="3931"/>
        <item h="1" m="1" x="3932"/>
        <item h="1" m="1" x="3933"/>
        <item h="1" m="1" x="3934"/>
        <item h="1" m="1" x="3935"/>
        <item h="1" m="1" x="3936"/>
        <item h="1" m="1" x="3937"/>
        <item h="1" m="1" x="3938"/>
        <item h="1" m="1" x="3939"/>
        <item h="1" m="1" x="3940"/>
        <item h="1" m="1" x="3941"/>
        <item h="1" m="1" x="3942"/>
        <item h="1" m="1" x="3943"/>
        <item h="1" m="1" x="3944"/>
        <item h="1" m="1" x="3945"/>
        <item h="1" m="1" x="3946"/>
        <item h="1" m="1" x="3947"/>
        <item h="1" m="1" x="3948"/>
        <item h="1" m="1" x="3949"/>
        <item h="1" m="1" x="3950"/>
        <item h="1" m="1" x="3951"/>
        <item h="1" m="1" x="3952"/>
        <item h="1" m="1" x="3953"/>
        <item h="1" m="1" x="3954"/>
        <item h="1" m="1" x="3955"/>
        <item h="1" m="1" x="3956"/>
        <item h="1" m="1" x="3957"/>
        <item h="1" m="1" x="3958"/>
        <item h="1" m="1" x="3959"/>
        <item h="1" m="1" x="3960"/>
        <item h="1" m="1" x="3961"/>
        <item h="1" m="1" x="3962"/>
        <item h="1" m="1" x="3963"/>
        <item h="1" m="1" x="3964"/>
        <item h="1" m="1" x="3965"/>
        <item h="1" m="1" x="3966"/>
        <item h="1" m="1" x="3967"/>
        <item h="1" m="1" x="3968"/>
        <item h="1" m="1" x="3969"/>
        <item h="1" m="1" x="3970"/>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h="1" m="1" x="3046"/>
        <item h="1" m="1" x="3047"/>
        <item h="1" m="1" x="3048"/>
        <item h="1" m="1" x="3049"/>
        <item h="1" m="1" x="3050"/>
        <item h="1" m="1" x="3051"/>
        <item h="1" m="1" x="3052"/>
        <item h="1" m="1" x="3053"/>
        <item h="1" m="1" x="3054"/>
        <item h="1" m="1" x="3055"/>
        <item h="1" m="1" x="3056"/>
        <item h="1" m="1" x="3057"/>
        <item h="1" m="1" x="3058"/>
        <item h="1" m="1" x="3059"/>
        <item h="1" m="1" x="3060"/>
        <item h="1" m="1" x="3061"/>
        <item h="1" m="1" x="3062"/>
        <item h="1" m="1" x="3063"/>
        <item h="1" m="1" x="3064"/>
        <item h="1" m="1" x="3065"/>
        <item h="1" m="1" x="3066"/>
        <item h="1" m="1" x="3067"/>
        <item h="1" m="1" x="3068"/>
        <item h="1" m="1" x="3069"/>
        <item h="1" m="1" x="3070"/>
        <item h="1" m="1" x="3071"/>
        <item h="1" m="1" x="3072"/>
        <item h="1" m="1" x="3073"/>
        <item h="1" m="1" x="3074"/>
        <item h="1" m="1" x="3075"/>
        <item h="1" m="1" x="3076"/>
        <item h="1" m="1" x="3077"/>
        <item h="1" m="1" x="3078"/>
        <item h="1" m="1" x="3079"/>
        <item h="1" m="1" x="3080"/>
        <item h="1" m="1" x="3081"/>
        <item h="1" m="1" x="3082"/>
        <item h="1" m="1" x="3083"/>
        <item h="1" m="1" x="3084"/>
        <item h="1" m="1" x="3085"/>
        <item h="1" m="1" x="3086"/>
        <item h="1" m="1" x="3087"/>
        <item h="1" m="1" x="3088"/>
        <item h="1" m="1" x="3089"/>
        <item h="1" m="1" x="3090"/>
        <item h="1" m="1" x="3091"/>
        <item h="1" m="1" x="3092"/>
        <item h="1" m="1" x="3093"/>
        <item h="1" m="1" x="3094"/>
        <item h="1" m="1" x="3095"/>
        <item h="1" m="1" x="3096"/>
        <item h="1" m="1" x="3097"/>
        <item h="1" m="1" x="3098"/>
        <item h="1" m="1" x="3099"/>
        <item h="1" m="1" x="3100"/>
        <item h="1" m="1" x="3101"/>
        <item h="1" m="1" x="3102"/>
        <item h="1" m="1" x="3103"/>
        <item h="1" m="1" x="3104"/>
        <item h="1" m="1" x="3105"/>
        <item h="1" m="1" x="3106"/>
        <item h="1" m="1" x="3107"/>
        <item h="1" m="1" x="3108"/>
        <item h="1" m="1" x="3109"/>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143"/>
        <item h="1" m="1" x="3144"/>
        <item h="1" m="1" x="3145"/>
        <item h="1" m="1" x="3146"/>
        <item h="1" m="1" x="3147"/>
        <item h="1" m="1" x="3148"/>
        <item h="1" m="1" x="3149"/>
        <item h="1" m="1" x="3150"/>
        <item h="1" m="1" x="3151"/>
        <item h="1" m="1" x="3152"/>
        <item h="1" m="1" x="3153"/>
        <item h="1" m="1" x="3154"/>
        <item h="1" m="1" x="3155"/>
        <item h="1" m="1" x="3156"/>
        <item h="1" m="1" x="3157"/>
        <item h="1" m="1" x="3158"/>
        <item h="1" m="1" x="3159"/>
        <item h="1" m="1" x="3160"/>
        <item h="1" m="1" x="3161"/>
        <item h="1" m="1" x="3162"/>
        <item h="1" m="1" x="3163"/>
        <item h="1" m="1" x="3164"/>
        <item h="1" m="1" x="3165"/>
        <item h="1" m="1" x="3166"/>
        <item h="1" m="1" x="3167"/>
        <item h="1" m="1" x="3168"/>
        <item h="1" m="1" x="3169"/>
        <item h="1" m="1" x="3170"/>
        <item h="1" m="1" x="3171"/>
        <item h="1" m="1" x="3172"/>
        <item h="1" m="1" x="3173"/>
        <item h="1" m="1" x="3174"/>
        <item h="1" m="1" x="3175"/>
        <item h="1" m="1" x="3176"/>
        <item h="1" m="1" x="3177"/>
        <item h="1" m="1" x="3178"/>
        <item h="1" m="1" x="3179"/>
        <item h="1" m="1" x="3180"/>
        <item h="1" m="1" x="3181"/>
        <item h="1" m="1" x="3182"/>
        <item h="1" m="1" x="3183"/>
        <item h="1" m="1" x="3184"/>
        <item h="1" m="1" x="3185"/>
        <item h="1" m="1" x="3186"/>
        <item h="1" m="1" x="3187"/>
        <item h="1" m="1" x="3188"/>
        <item h="1" m="1" x="3189"/>
        <item h="1" m="1" x="3190"/>
        <item h="1" m="1" x="3191"/>
        <item h="1" m="1" x="3192"/>
        <item h="1" m="1" x="3193"/>
        <item h="1" m="1" x="3194"/>
        <item h="1" m="1" x="3195"/>
        <item h="1" m="1" x="3196"/>
        <item h="1" m="1" x="3197"/>
        <item h="1" m="1" x="3198"/>
        <item h="1" m="1" x="3199"/>
        <item h="1" m="1" x="3200"/>
        <item h="1" m="1" x="3201"/>
        <item h="1" m="1" x="3202"/>
        <item h="1" m="1" x="3203"/>
        <item h="1" m="1" x="3204"/>
        <item h="1" m="1" x="3205"/>
        <item h="1" m="1" x="3206"/>
        <item h="1" m="1" x="3207"/>
        <item h="1" m="1" x="3208"/>
        <item h="1" m="1" x="3209"/>
        <item h="1" m="1" x="3210"/>
        <item h="1" m="1" x="3211"/>
        <item h="1" m="1" x="3212"/>
        <item h="1" m="1" x="3213"/>
        <item h="1" m="1" x="3214"/>
        <item h="1" m="1" x="3215"/>
        <item h="1" m="1" x="3216"/>
        <item h="1" m="1" x="3217"/>
        <item h="1" m="1" x="3218"/>
        <item h="1" m="1" x="3219"/>
        <item h="1" m="1" x="3220"/>
        <item h="1" m="1" x="3221"/>
        <item h="1" m="1" x="3222"/>
        <item h="1" m="1" x="3223"/>
        <item h="1" m="1" x="3224"/>
        <item h="1" m="1" x="3225"/>
        <item h="1" m="1" x="3226"/>
        <item h="1" m="1" x="3227"/>
        <item h="1" m="1" x="3228"/>
        <item h="1" m="1" x="3229"/>
        <item h="1" m="1" x="3230"/>
        <item h="1" m="1" x="3231"/>
        <item h="1" m="1" x="3232"/>
        <item h="1" m="1" x="3233"/>
        <item h="1" m="1" x="3234"/>
        <item h="1" m="1" x="3235"/>
        <item h="1" m="1" x="3236"/>
        <item h="1" m="1" x="3237"/>
        <item h="1" m="1" x="3238"/>
        <item h="1" m="1" x="3239"/>
        <item h="1" m="1" x="3240"/>
        <item h="1" m="1" x="3241"/>
        <item h="1" m="1" x="3242"/>
        <item h="1" m="1" x="3243"/>
        <item h="1" m="1" x="3244"/>
        <item h="1" m="1" x="3245"/>
        <item h="1" m="1" x="3246"/>
        <item h="1" m="1" x="3247"/>
        <item h="1" m="1" x="3248"/>
        <item h="1" m="1" x="3249"/>
        <item h="1" m="1" x="3250"/>
        <item h="1" m="1" x="3251"/>
        <item h="1" m="1" x="3252"/>
        <item h="1" m="1" x="3253"/>
        <item h="1" m="1" x="3254"/>
        <item h="1" m="1" x="3255"/>
        <item h="1" m="1" x="3256"/>
        <item h="1" m="1" x="3257"/>
        <item h="1" m="1" x="3258"/>
        <item h="1" m="1" x="3259"/>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h="1" m="1" x="3313"/>
        <item h="1" m="1" x="3314"/>
        <item h="1" m="1" x="3315"/>
        <item h="1" m="1" x="3316"/>
        <item h="1" m="1" x="3317"/>
        <item h="1" m="1" x="3318"/>
        <item h="1" m="1" x="3319"/>
        <item h="1" m="1" x="3320"/>
        <item h="1" m="1" x="3321"/>
        <item h="1" m="1" x="3322"/>
        <item h="1" m="1" x="3323"/>
        <item h="1" m="1" x="3324"/>
        <item h="1" m="1" x="3325"/>
        <item h="1" m="1" x="3326"/>
        <item h="1" m="1" x="3327"/>
        <item h="1" m="1" x="3328"/>
        <item h="1" m="1" x="3329"/>
        <item h="1" m="1" x="3330"/>
        <item h="1" m="1" x="3331"/>
        <item h="1" m="1" x="3332"/>
        <item h="1" m="1" x="3333"/>
        <item h="1" m="1" x="3334"/>
        <item h="1" m="1" x="3335"/>
        <item h="1" m="1" x="3336"/>
        <item h="1" m="1" x="3337"/>
        <item h="1" m="1" x="3338"/>
        <item h="1" m="1" x="3339"/>
        <item h="1" m="1" x="3340"/>
        <item h="1" m="1" x="3341"/>
        <item h="1" m="1" x="3342"/>
        <item h="1" m="1" x="3343"/>
        <item h="1" m="1" x="3344"/>
        <item h="1" m="1" x="3345"/>
        <item m="1" x="2758"/>
        <item m="1" x="2769"/>
        <item m="1" x="2763"/>
        <item m="1" x="2753"/>
        <item m="1" x="2773"/>
        <item m="1" x="2755"/>
        <item m="1" x="2771"/>
        <item m="1" x="2767"/>
        <item m="1" x="2765"/>
        <item m="1" x="2760"/>
        <item m="1" x="2759"/>
        <item m="1" x="2764"/>
        <item m="1" x="2754"/>
        <item m="1" x="2770"/>
        <item m="1" x="2756"/>
        <item m="1" x="2774"/>
        <item m="1" x="2768"/>
        <item m="1" x="2766"/>
        <item m="1" x="2761"/>
        <item m="1" x="2772"/>
        <item m="1" x="2757"/>
        <item m="1" x="2762"/>
        <item m="1" x="2777"/>
        <item m="1" x="2779"/>
        <item m="1" x="2776"/>
        <item m="1" x="2778"/>
        <item m="1" x="2775"/>
        <item m="1" x="2780"/>
        <item m="1" x="2782"/>
        <item m="1" x="2783"/>
        <item m="1" x="2781"/>
        <item m="1" x="2784"/>
        <item m="1" x="2785"/>
        <item m="1" x="2788"/>
        <item m="1" x="2787"/>
        <item m="1" x="2786"/>
        <item m="1" x="2799"/>
        <item m="1" x="2797"/>
        <item m="1" x="2791"/>
        <item m="1" x="2789"/>
        <item m="1" x="2794"/>
        <item m="1" x="2798"/>
        <item m="1" x="2800"/>
        <item m="1" x="2792"/>
        <item m="1" x="2795"/>
        <item m="1" x="2790"/>
        <item m="1" x="2796"/>
        <item m="1" x="2793"/>
        <item m="1" x="2805"/>
        <item m="1" x="2802"/>
        <item m="1" x="2803"/>
        <item m="1" x="2804"/>
        <item m="1" x="2806"/>
        <item m="1" x="2801"/>
        <item m="1" x="2807"/>
        <item m="1" x="2809"/>
        <item m="1" x="2808"/>
        <item m="1" x="2810"/>
        <item m="1" x="2811"/>
        <item m="1" x="2812"/>
        <item m="1" x="3006"/>
        <item m="1" x="3005"/>
        <item m="1" x="2813"/>
        <item m="1" x="2814"/>
        <item m="1" x="2816"/>
        <item m="1" x="2815"/>
        <item m="1" x="2817"/>
        <item m="1" x="2818"/>
        <item m="1" x="3007"/>
        <item m="1" x="3008"/>
        <item m="1" x="2819"/>
        <item m="1" x="3009"/>
        <item m="1" x="3010"/>
        <item m="1" x="2821"/>
        <item m="1" x="2820"/>
        <item m="1" x="3012"/>
        <item m="1" x="3011"/>
        <item m="1" x="3013"/>
        <item m="1" x="3014"/>
        <item m="1" x="3015"/>
        <item m="1" x="3017"/>
        <item m="1" x="3016"/>
        <item m="1" x="3018"/>
        <item m="1" x="2822"/>
        <item m="1" x="2823"/>
        <item m="1" x="3021"/>
        <item m="1" x="3025"/>
        <item m="1" x="3020"/>
        <item m="1" x="3022"/>
        <item m="1" x="3019"/>
        <item m="1" x="3024"/>
        <item m="1" x="3023"/>
        <item m="1" x="3026"/>
        <item m="1" x="3027"/>
        <item m="1" x="2825"/>
        <item m="1" x="2824"/>
        <item m="1" x="3028"/>
        <item m="1" x="3029"/>
        <item m="1" x="2826"/>
        <item m="1" x="2829"/>
        <item m="1" x="2827"/>
        <item m="1" x="2828"/>
        <item m="1" x="2831"/>
        <item m="1" x="2833"/>
        <item m="1" x="2830"/>
        <item m="1" x="2832"/>
        <item m="1" x="2836"/>
        <item m="1" x="2834"/>
        <item m="1" x="2835"/>
        <item m="1" x="2837"/>
        <item m="1" x="2838"/>
        <item m="1" x="3031"/>
        <item m="1" x="3030"/>
        <item m="1" x="2839"/>
        <item m="1" x="2840"/>
        <item m="1" x="2841"/>
        <item m="1" x="3034"/>
        <item m="1" x="3033"/>
        <item m="1" x="3032"/>
        <item m="1" x="3037"/>
        <item m="1" x="3036"/>
        <item m="1" x="3035"/>
        <item m="1" x="2842"/>
        <item m="1" x="3039"/>
        <item m="1" x="3040"/>
        <item m="1" x="3038"/>
        <item m="1" x="2843"/>
        <item m="1" x="2845"/>
        <item m="1" x="2844"/>
        <item m="1" x="2847"/>
        <item m="1" x="2848"/>
        <item m="1" x="2846"/>
        <item m="1" x="2849"/>
        <item m="1" x="2851"/>
        <item m="1" x="2850"/>
        <item m="1" x="2853"/>
        <item m="1" x="2854"/>
        <item m="1" x="2852"/>
        <item m="1" x="2856"/>
        <item m="1" x="2857"/>
        <item m="1" x="2855"/>
        <item m="1" x="2858"/>
        <item m="1" x="2860"/>
        <item m="1" x="2859"/>
        <item m="1" x="3042"/>
        <item m="1" x="3043"/>
        <item m="1" x="3041"/>
        <item m="1" x="2861"/>
        <item m="1" x="2863"/>
        <item m="1" x="2862"/>
        <item m="1" x="2865"/>
        <item m="1" x="2866"/>
        <item m="1" x="2864"/>
        <item m="1" x="2867"/>
        <item m="1" x="2870"/>
        <item m="1" x="2869"/>
        <item m="1" x="2872"/>
        <item m="1" x="2868"/>
        <item m="1" x="2871"/>
        <item m="1" x="2873"/>
        <item m="1" x="2875"/>
        <item m="1" x="2874"/>
        <item m="1" x="2876"/>
        <item m="1" x="2878"/>
        <item m="1" x="2877"/>
        <item m="1" x="2880"/>
        <item m="1" x="2881"/>
        <item m="1" x="2879"/>
        <item m="1" x="2882"/>
        <item m="1" x="2884"/>
        <item m="1" x="2883"/>
        <item m="1" x="2887"/>
        <item m="1" x="2885"/>
        <item m="1" x="2889"/>
        <item m="1" x="2888"/>
        <item m="1" x="2886"/>
        <item m="1" x="2890"/>
        <item m="1" x="2891"/>
        <item m="1" x="2892"/>
        <item m="1" x="2895"/>
        <item m="1" x="2893"/>
        <item m="1" x="2894"/>
        <item m="1" x="2896"/>
        <item m="1" x="2897"/>
        <item m="1" x="2919"/>
        <item m="1" x="2916"/>
        <item m="1" x="2913"/>
        <item m="1" x="2922"/>
        <item m="1" x="2905"/>
        <item m="1" x="2902"/>
        <item m="1" x="2899"/>
        <item m="1" x="2906"/>
        <item m="1" x="2907"/>
        <item m="1" x="2918"/>
        <item m="1" x="2912"/>
        <item m="1" x="2910"/>
        <item m="1" x="2904"/>
        <item m="1" x="2921"/>
        <item m="1" x="2915"/>
        <item m="1" x="2901"/>
        <item m="1" x="2909"/>
        <item m="1" x="2920"/>
        <item m="1" x="2900"/>
        <item m="1" x="2898"/>
        <item m="1" x="2914"/>
        <item m="1" x="2911"/>
        <item m="1" x="2917"/>
        <item m="1" x="2908"/>
        <item m="1" x="2903"/>
        <item m="1" x="2923"/>
        <item m="1" x="2924"/>
        <item m="1" x="2926"/>
        <item m="1" x="2925"/>
        <item m="1" x="2928"/>
        <item m="1" x="2927"/>
        <item m="1" x="2929"/>
        <item m="1" x="2930"/>
        <item m="1" x="2931"/>
        <item m="1" x="2934"/>
        <item m="1" x="2933"/>
        <item m="1" x="2932"/>
        <item m="1" x="2938"/>
        <item m="1" x="2937"/>
        <item m="1" x="2939"/>
        <item m="1" x="2935"/>
        <item m="1" x="2936"/>
        <item m="1" x="2940"/>
        <item m="1" x="2941"/>
        <item m="1" x="2942"/>
        <item m="1" x="2943"/>
        <item m="1" x="2944"/>
        <item m="1" x="2946"/>
        <item m="1" x="2945"/>
        <item m="1" x="2947"/>
        <item m="1" x="2949"/>
        <item m="1" x="2948"/>
        <item m="1" x="2951"/>
        <item m="1" x="2952"/>
        <item m="1" x="2950"/>
        <item m="1" x="2953"/>
        <item m="1" x="2954"/>
        <item m="1" x="2955"/>
        <item m="1" x="2958"/>
        <item m="1" x="2957"/>
        <item m="1" x="2956"/>
        <item m="1" x="2959"/>
        <item m="1" x="2960"/>
        <item m="1" x="2963"/>
        <item m="1" x="2962"/>
        <item m="1" x="2961"/>
        <item m="1" x="2966"/>
        <item m="1" x="2967"/>
        <item m="1" x="2965"/>
        <item m="1" x="2964"/>
        <item m="1" x="2968"/>
        <item m="1" x="2969"/>
        <item m="1" x="2972"/>
        <item m="1" x="2971"/>
        <item m="1" x="2970"/>
        <item m="1" x="2973"/>
        <item m="1" x="2974"/>
        <item m="1" x="2975"/>
        <item m="1" x="2976"/>
        <item m="1" x="2978"/>
        <item m="1" x="2977"/>
        <item m="1" x="2979"/>
        <item m="1" x="2980"/>
        <item m="1" x="2981"/>
        <item m="1" x="2982"/>
        <item m="1" x="2984"/>
        <item m="1" x="2985"/>
        <item m="1" x="2983"/>
        <item m="1" x="2986"/>
        <item m="1" x="2989"/>
        <item m="1" x="2988"/>
        <item m="1" x="2987"/>
        <item m="1" x="2993"/>
        <item m="1" x="2990"/>
        <item m="1" x="2992"/>
        <item m="1" x="2994"/>
        <item m="1" x="2991"/>
        <item m="1" x="2995"/>
        <item m="1" x="2996"/>
        <item m="1" x="3002"/>
        <item m="1" x="3004"/>
        <item m="1" x="2998"/>
        <item m="1" x="3000"/>
        <item m="1" x="3001"/>
        <item m="1" x="3003"/>
        <item m="1" x="2997"/>
        <item m="1" x="2999"/>
        <item m="1" x="3044"/>
        <item m="1" x="3045"/>
        <item m="1" x="2342"/>
        <item m="1" x="2347"/>
        <item m="1" x="2343"/>
        <item m="1" x="2350"/>
        <item m="1" x="2340"/>
        <item m="1" x="2345"/>
        <item m="1" x="2351"/>
        <item m="1" x="2344"/>
        <item m="1" x="2352"/>
        <item m="1" x="2341"/>
        <item m="1" x="2348"/>
        <item m="1" x="2346"/>
        <item m="1" x="2353"/>
        <item m="1" x="2339"/>
        <item m="1" x="2349"/>
        <item m="1" x="2354"/>
        <item m="1" x="2355"/>
        <item m="1" x="2356"/>
        <item m="1" x="2357"/>
        <item m="1" x="2358"/>
        <item m="1" x="2359"/>
        <item m="1" x="2360"/>
        <item m="1" x="2365"/>
        <item m="1" x="2361"/>
        <item m="1" x="2362"/>
        <item m="1" x="2363"/>
        <item m="1" x="2364"/>
        <item m="1" x="2366"/>
        <item m="1" x="2368"/>
        <item m="1" x="2367"/>
        <item m="1" x="2369"/>
        <item m="1" x="2370"/>
        <item m="1" x="2371"/>
        <item m="1" x="2372"/>
        <item m="1" x="2376"/>
        <item m="1" x="2375"/>
        <item m="1" x="2378"/>
        <item m="1" x="2373"/>
        <item m="1" x="2377"/>
        <item m="1" x="2374"/>
        <item m="1" x="2379"/>
        <item m="1" x="2380"/>
        <item m="1" x="2382"/>
        <item m="1" x="2381"/>
        <item m="1" x="2389"/>
        <item m="1" x="2388"/>
        <item m="1" x="2390"/>
        <item m="1" x="2393"/>
        <item m="1" x="2394"/>
        <item m="1" x="2421"/>
        <item m="1" x="2422"/>
        <item m="1" x="2433"/>
        <item m="1" x="2432"/>
        <item m="1" x="2434"/>
        <item m="1" x="2435"/>
        <item m="1" x="2749"/>
        <item m="1" x="2750"/>
        <item m="1" x="2751"/>
        <item m="1" x="2752"/>
        <item m="1" x="2440"/>
        <item m="1" x="2441"/>
        <item m="1" x="2442"/>
        <item m="1" x="2458"/>
        <item m="1" x="2457"/>
        <item m="1" x="2459"/>
        <item m="1" x="2472"/>
        <item m="1" x="2478"/>
        <item m="1" x="2477"/>
        <item m="1" x="2476"/>
        <item m="1" x="2481"/>
        <item m="1" x="2479"/>
        <item m="1" x="2480"/>
        <item m="1" x="2484"/>
        <item m="1" x="2483"/>
        <item m="1" x="2482"/>
        <item m="1" x="2487"/>
        <item m="1" x="2485"/>
        <item m="1" x="2486"/>
        <item m="1" x="2491"/>
        <item m="1" x="2492"/>
        <item m="1" x="2493"/>
        <item m="1" x="2496"/>
        <item m="1" x="2495"/>
        <item m="1" x="2494"/>
        <item m="1" x="2500"/>
        <item m="1" x="2502"/>
        <item m="1" x="2501"/>
        <item m="1" x="2504"/>
        <item m="1" x="2503"/>
        <item m="1" x="2505"/>
        <item m="1" x="2507"/>
        <item m="1" x="2510"/>
        <item m="1" x="2508"/>
        <item m="1" x="2509"/>
        <item m="1" x="2511"/>
        <item m="1" x="2506"/>
        <item m="1" x="2516"/>
        <item m="1" x="2517"/>
        <item m="1" x="2515"/>
        <item m="1" x="2522"/>
        <item m="1" x="2523"/>
        <item m="1" x="2521"/>
        <item m="1" x="2525"/>
        <item m="1" x="2524"/>
        <item m="1" x="2526"/>
        <item m="1" x="2534"/>
        <item m="1" x="2535"/>
        <item m="1" x="2533"/>
        <item m="1" x="2536"/>
        <item m="1" x="2537"/>
        <item m="1" x="2571"/>
        <item m="1" x="2573"/>
        <item m="1" x="2572"/>
        <item m="1" x="2575"/>
        <item m="1" x="2574"/>
        <item m="1" x="2576"/>
        <item m="1" x="2578"/>
        <item m="1" x="2577"/>
        <item m="1" x="2592"/>
        <item m="1" x="2584"/>
        <item m="1" x="2581"/>
        <item m="1" x="2585"/>
        <item m="1" x="2591"/>
        <item m="1" x="2583"/>
        <item m="1" x="2588"/>
        <item m="1" x="2595"/>
        <item m="1" x="2580"/>
        <item m="1" x="2586"/>
        <item m="1" x="2596"/>
        <item m="1" x="2582"/>
        <item m="1" x="2589"/>
        <item m="1" x="2587"/>
        <item m="1" x="2593"/>
        <item m="1" x="2597"/>
        <item m="1" x="2579"/>
        <item m="1" x="2590"/>
        <item m="1" x="2594"/>
        <item m="1" x="2598"/>
        <item m="1" x="2600"/>
        <item m="1" x="2599"/>
        <item m="1" x="2601"/>
        <item m="1" x="2602"/>
        <item m="1" x="2604"/>
        <item m="1" x="2603"/>
        <item m="1" x="2605"/>
        <item m="1" x="2606"/>
        <item m="1" x="2607"/>
        <item m="1" x="2609"/>
        <item m="1" x="2610"/>
        <item m="1" x="2608"/>
        <item m="1" x="2617"/>
        <item m="1" x="2611"/>
        <item m="1" x="2614"/>
        <item m="1" x="2615"/>
        <item m="1" x="2612"/>
        <item m="1" x="2613"/>
        <item m="1" x="2616"/>
        <item m="1" x="2619"/>
        <item m="1" x="2618"/>
        <item m="1" x="2620"/>
        <item m="1" x="2622"/>
        <item m="1" x="2621"/>
        <item m="1" x="2624"/>
        <item m="1" x="2623"/>
        <item m="1" x="2625"/>
        <item m="1" x="2626"/>
        <item m="1" x="2627"/>
        <item m="1" x="2632"/>
        <item m="1" x="2633"/>
        <item m="1" x="2635"/>
        <item m="1" x="2634"/>
        <item m="1" x="2636"/>
        <item m="1" x="2637"/>
        <item m="1" x="2639"/>
        <item m="1" x="2640"/>
        <item m="1" x="2638"/>
        <item m="1" x="2641"/>
        <item m="1" x="2642"/>
        <item m="1" x="2644"/>
        <item m="1" x="2645"/>
        <item m="1" x="2643"/>
        <item m="1" x="2650"/>
        <item m="1" x="2649"/>
        <item m="1" x="2654"/>
        <item m="1" x="2651"/>
        <item m="1" x="2653"/>
        <item m="1" x="2652"/>
        <item m="1" x="2656"/>
        <item m="1" x="2655"/>
        <item m="1" x="2657"/>
        <item m="1" x="2658"/>
        <item m="1" x="2659"/>
        <item m="1" x="2660"/>
        <item m="1" x="2661"/>
        <item m="1" x="2662"/>
        <item m="1" x="2664"/>
        <item m="1" x="2663"/>
        <item m="1" x="2666"/>
        <item m="1" x="2665"/>
        <item m="1" x="2668"/>
        <item m="1" x="2667"/>
        <item m="1" x="2670"/>
        <item m="1" x="2674"/>
        <item m="1" x="2675"/>
        <item m="1" x="2669"/>
        <item m="1" x="2672"/>
        <item m="1" x="2671"/>
        <item m="1" x="2673"/>
        <item m="1" x="2676"/>
        <item m="1" x="2680"/>
        <item m="1" x="2678"/>
        <item m="1" x="2679"/>
        <item m="1" x="2677"/>
        <item m="1" x="2682"/>
        <item m="1" x="2683"/>
        <item m="1" x="2681"/>
        <item m="1" x="2687"/>
        <item m="1" x="2685"/>
        <item m="1" x="2684"/>
        <item m="1" x="2686"/>
        <item m="1" x="2741"/>
        <item m="1" x="2743"/>
        <item m="1" x="2746"/>
        <item m="1" x="2744"/>
        <item m="1" x="2745"/>
        <item m="1" x="2742"/>
        <item m="1" x="2748"/>
        <item m="1" x="2747"/>
        <item h="1" m="1" x="2383"/>
        <item h="1" m="1" x="2384"/>
        <item h="1" m="1" x="2385"/>
        <item h="1" m="1" x="2386"/>
        <item h="1" m="1" x="2387"/>
        <item h="1" m="1" x="2391"/>
        <item h="1" m="1" x="2392"/>
        <item h="1" m="1" x="2395"/>
        <item h="1" m="1" x="2396"/>
        <item h="1" m="1" x="2397"/>
        <item h="1" m="1" x="2398"/>
        <item h="1" m="1" x="2399"/>
        <item h="1" m="1" x="2400"/>
        <item h="1" m="1" x="2401"/>
        <item h="1" m="1" x="2402"/>
        <item h="1" m="1" x="2403"/>
        <item h="1" m="1" x="2404"/>
        <item h="1" m="1" x="2405"/>
        <item h="1" m="1" x="2406"/>
        <item h="1" m="1" x="2407"/>
        <item h="1" m="1" x="2408"/>
        <item h="1" m="1" x="2409"/>
        <item h="1" m="1" x="2410"/>
        <item h="1" m="1" x="2411"/>
        <item h="1" m="1" x="2412"/>
        <item h="1" m="1" x="2413"/>
        <item h="1" m="1" x="2414"/>
        <item h="1" m="1" x="2415"/>
        <item h="1" m="1" x="2416"/>
        <item h="1" m="1" x="2417"/>
        <item h="1" m="1" x="2418"/>
        <item h="1" m="1" x="2419"/>
        <item h="1" m="1" x="2420"/>
        <item h="1" m="1" x="2423"/>
        <item h="1" m="1" x="2424"/>
        <item h="1" m="1" x="2425"/>
        <item h="1" m="1" x="2426"/>
        <item h="1" m="1" x="2427"/>
        <item h="1" m="1" x="2428"/>
        <item h="1" m="1" x="2429"/>
        <item h="1" m="1" x="2430"/>
        <item h="1" m="1" x="2431"/>
        <item h="1" m="1" x="2436"/>
        <item h="1" m="1" x="2437"/>
        <item h="1" m="1" x="2438"/>
        <item h="1" m="1" x="2439"/>
        <item h="1" m="1" x="2443"/>
        <item h="1" m="1" x="2444"/>
        <item h="1" m="1" x="2445"/>
        <item h="1" m="1" x="2446"/>
        <item h="1" m="1" x="2447"/>
        <item h="1" m="1" x="2448"/>
        <item h="1" m="1" x="2449"/>
        <item h="1" m="1" x="2450"/>
        <item h="1" m="1" x="2451"/>
        <item h="1" m="1" x="2452"/>
        <item h="1" m="1" x="2453"/>
        <item h="1" m="1" x="2454"/>
        <item h="1" m="1" x="2455"/>
        <item h="1" m="1" x="2456"/>
        <item h="1" m="1" x="2460"/>
        <item h="1" m="1" x="2461"/>
        <item h="1" m="1" x="2462"/>
        <item h="1" m="1" x="2463"/>
        <item h="1" m="1" x="2464"/>
        <item h="1" m="1" x="2465"/>
        <item h="1" m="1" x="2466"/>
        <item h="1" m="1" x="2467"/>
        <item h="1" m="1" x="2468"/>
        <item h="1" m="1" x="2469"/>
        <item h="1" m="1" x="2470"/>
        <item h="1" m="1" x="2471"/>
        <item h="1" m="1" x="2473"/>
        <item h="1" m="1" x="2474"/>
        <item h="1" m="1" x="2475"/>
        <item h="1" m="1" x="2488"/>
        <item h="1" m="1" x="2489"/>
        <item h="1" m="1" x="2490"/>
        <item h="1" m="1" x="2497"/>
        <item h="1" m="1" x="2498"/>
        <item h="1" m="1" x="2499"/>
        <item h="1" m="1" x="2512"/>
        <item h="1" m="1" x="2513"/>
        <item h="1" m="1" x="2514"/>
        <item h="1" m="1" x="2518"/>
        <item h="1" m="1" x="2519"/>
        <item h="1" m="1" x="2520"/>
        <item h="1" m="1" x="2527"/>
        <item h="1" m="1" x="2528"/>
        <item h="1" m="1" x="2529"/>
        <item h="1" m="1" x="2530"/>
        <item h="1" m="1" x="2531"/>
        <item h="1" m="1" x="2532"/>
        <item h="1" m="1" x="2538"/>
        <item h="1" m="1" x="2539"/>
        <item h="1" m="1" x="2540"/>
        <item h="1" m="1" x="2541"/>
        <item h="1" m="1" x="2542"/>
        <item h="1" m="1" x="2543"/>
        <item h="1" m="1" x="2544"/>
        <item h="1" m="1" x="2545"/>
        <item h="1" m="1" x="2546"/>
        <item h="1" m="1" x="2547"/>
        <item h="1" m="1" x="2548"/>
        <item h="1" m="1" x="2549"/>
        <item h="1" m="1" x="2550"/>
        <item h="1" m="1" x="2551"/>
        <item h="1" m="1" x="2552"/>
        <item h="1" m="1" x="2553"/>
        <item h="1" m="1" x="2554"/>
        <item h="1" m="1" x="2555"/>
        <item h="1" m="1" x="2556"/>
        <item h="1" m="1" x="2557"/>
        <item h="1" m="1" x="2558"/>
        <item h="1" m="1" x="2559"/>
        <item h="1" m="1" x="2560"/>
        <item h="1" m="1" x="2561"/>
        <item h="1" m="1" x="2562"/>
        <item h="1" m="1" x="2563"/>
        <item h="1" m="1" x="2564"/>
        <item h="1" m="1" x="2565"/>
        <item h="1" m="1" x="2566"/>
        <item h="1" m="1" x="2567"/>
        <item h="1" m="1" x="2568"/>
        <item h="1" m="1" x="2569"/>
        <item h="1" m="1" x="2570"/>
        <item h="1" m="1" x="2628"/>
        <item h="1" m="1" x="2629"/>
        <item h="1" m="1" x="2630"/>
        <item h="1" m="1" x="2631"/>
        <item h="1" m="1" x="2646"/>
        <item h="1" m="1" x="2647"/>
        <item h="1" m="1" x="2648"/>
        <item h="1" m="1" x="2688"/>
        <item h="1" m="1" x="2689"/>
        <item h="1" m="1" x="2690"/>
        <item h="1" m="1" x="2691"/>
        <item h="1" m="1" x="2692"/>
        <item h="1" m="1" x="2693"/>
        <item h="1" m="1" x="2694"/>
        <item h="1" m="1" x="2695"/>
        <item h="1" m="1" x="2696"/>
        <item h="1" m="1" x="2697"/>
        <item h="1" m="1" x="2698"/>
        <item h="1" m="1" x="2699"/>
        <item h="1" m="1" x="2700"/>
        <item h="1" m="1" x="2701"/>
        <item h="1" m="1" x="2702"/>
        <item h="1" m="1" x="2703"/>
        <item h="1" m="1" x="2704"/>
        <item h="1" m="1" x="2705"/>
        <item h="1" m="1" x="2706"/>
        <item h="1" m="1" x="2707"/>
        <item h="1" m="1" x="2708"/>
        <item h="1" m="1" x="2709"/>
        <item h="1" m="1" x="2710"/>
        <item h="1" m="1" x="2711"/>
        <item h="1" m="1" x="2712"/>
        <item h="1" m="1" x="2713"/>
        <item h="1" m="1" x="2714"/>
        <item h="1" m="1" x="2715"/>
        <item h="1" m="1" x="2716"/>
        <item h="1" m="1" x="2717"/>
        <item h="1" m="1" x="2718"/>
        <item h="1" m="1" x="2719"/>
        <item h="1" m="1" x="2720"/>
        <item h="1" m="1" x="2721"/>
        <item h="1" m="1" x="2722"/>
        <item h="1" m="1" x="2723"/>
        <item h="1" m="1" x="2724"/>
        <item h="1" m="1" x="2725"/>
        <item h="1" m="1" x="2726"/>
        <item h="1" m="1" x="2727"/>
        <item h="1" m="1" x="2728"/>
        <item h="1" m="1" x="2729"/>
        <item h="1" m="1" x="2730"/>
        <item h="1" m="1" x="2731"/>
        <item h="1" m="1" x="2732"/>
        <item h="1" m="1" x="2733"/>
        <item h="1" m="1" x="2734"/>
        <item h="1" m="1" x="2735"/>
        <item h="1" m="1" x="2736"/>
        <item h="1" m="1" x="2737"/>
        <item h="1" m="1" x="2738"/>
        <item h="1" m="1" x="2739"/>
        <item h="1" m="1" x="2740"/>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095"/>
        <item m="1" x="1096"/>
        <item m="1" x="1097"/>
        <item m="1" x="1098"/>
        <item m="1" x="1099"/>
        <item m="1" x="1100"/>
        <item m="1" x="1107"/>
        <item m="1" x="1108"/>
        <item m="1" x="1109"/>
        <item m="1" x="1110"/>
        <item m="1" x="1111"/>
        <item m="1" x="1112"/>
        <item m="1" x="1101"/>
        <item m="1" x="1102"/>
        <item m="1" x="1103"/>
        <item m="1" x="1104"/>
        <item m="1" x="1105"/>
        <item m="1" x="1106"/>
        <item m="1" x="1113"/>
        <item m="1" x="1114"/>
        <item m="1" x="1115"/>
        <item m="1" x="1116"/>
        <item m="1" x="1117"/>
        <item m="1" x="1118"/>
        <item m="1" x="1119"/>
        <item m="1" x="1121"/>
        <item m="1" x="1122"/>
        <item m="1" x="1120"/>
        <item m="1" x="1123"/>
        <item m="1" x="1124"/>
        <item m="1" x="1127"/>
        <item m="1" x="1128"/>
        <item m="1" x="1125"/>
        <item m="1" x="1126"/>
        <item m="1" x="1133"/>
        <item m="1" x="1134"/>
        <item m="1" x="1129"/>
        <item m="1" x="1130"/>
        <item m="1" x="1131"/>
        <item m="1" x="1132"/>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6"/>
        <item m="1" x="1185"/>
        <item m="1" x="1187"/>
        <item m="1" x="1192"/>
        <item m="1" x="1193"/>
        <item m="1" x="1190"/>
        <item m="1" x="1191"/>
        <item m="1" x="1188"/>
        <item m="1" x="1189"/>
        <item m="1" x="1194"/>
        <item m="1" x="1195"/>
        <item m="1" x="1196"/>
        <item m="1" x="1197"/>
        <item m="1" x="1198"/>
        <item m="1" x="1201"/>
        <item m="1" x="1202"/>
        <item m="1" x="1199"/>
        <item m="1" x="1200"/>
        <item m="1" x="1203"/>
        <item m="1" x="1204"/>
        <item m="1" x="1205"/>
        <item m="1" x="1206"/>
        <item m="1" x="1207"/>
        <item m="1" x="1208"/>
        <item m="1" x="1211"/>
        <item m="1" x="1212"/>
        <item m="1" x="1209"/>
        <item m="1" x="1210"/>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5"/>
        <item m="1" x="1276"/>
        <item m="1" x="1274"/>
        <item m="1" x="1279"/>
        <item m="1" x="1277"/>
        <item m="1" x="1278"/>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9"/>
        <item m="1" x="1308"/>
        <item m="1" x="1310"/>
        <item m="1" x="1311"/>
        <item m="1" x="1312"/>
        <item m="1" x="1313"/>
        <item m="1" x="1314"/>
        <item m="1" x="1315"/>
        <item m="1" x="1316"/>
        <item m="1" x="1317"/>
        <item m="1" x="1318"/>
        <item m="1" x="1319"/>
        <item m="1" x="1320"/>
        <item m="1" x="1321"/>
        <item m="1" x="1322"/>
        <item m="1" x="1323"/>
        <item m="1" x="1324"/>
        <item m="1" x="1325"/>
        <item m="1" x="1328"/>
        <item m="1" x="1326"/>
        <item m="1" x="1327"/>
        <item m="1" x="1329"/>
        <item m="1" x="1330"/>
        <item m="1" x="1332"/>
        <item m="1" x="1331"/>
        <item m="1" x="1335"/>
        <item m="1" x="1333"/>
        <item m="1" x="1334"/>
        <item m="1" x="1336"/>
        <item m="1" x="1337"/>
        <item m="1" x="1338"/>
        <item m="1" x="1339"/>
        <item m="1" x="1340"/>
        <item m="1" x="1341"/>
        <item m="1" x="1343"/>
        <item m="1" x="1354"/>
        <item m="1" x="1352"/>
        <item m="1" x="1353"/>
        <item m="1" x="1350"/>
        <item m="1" x="1351"/>
        <item m="1" x="1344"/>
        <item m="1" x="1345"/>
        <item m="1" x="1346"/>
        <item m="1" x="1347"/>
        <item m="1" x="1348"/>
        <item m="1" x="1349"/>
        <item m="1" x="1342"/>
        <item m="1" x="1355"/>
        <item m="1" x="1356"/>
        <item m="1" x="1357"/>
        <item m="1" x="1358"/>
        <item m="1" x="1359"/>
        <item m="1" x="1360"/>
        <item m="1" x="1361"/>
        <item m="1" x="1362"/>
        <item m="1" x="1363"/>
        <item m="1" x="1364"/>
        <item m="1" x="1365"/>
        <item m="1" x="1366"/>
        <item m="1" x="1367"/>
        <item m="1" x="1369"/>
        <item m="1" x="1368"/>
        <item m="1" x="1371"/>
        <item m="1" x="1372"/>
        <item m="1" x="1370"/>
        <item m="1" x="1373"/>
        <item m="1" x="1374"/>
        <item m="1" x="1375"/>
        <item m="1" x="1376"/>
        <item m="1" x="1377"/>
        <item m="1" x="1378"/>
        <item m="1" x="1379"/>
        <item m="1" x="1380"/>
        <item m="1" x="1381"/>
        <item m="1" x="1384"/>
        <item m="1" x="1385"/>
        <item m="1" x="1382"/>
        <item m="1" x="1383"/>
        <item m="1" x="1387"/>
        <item m="1" x="1386"/>
        <item m="1" x="1390"/>
        <item m="1" x="1391"/>
        <item m="1" x="1392"/>
        <item m="1" x="1393"/>
        <item m="1" x="1395"/>
        <item m="1" x="1396"/>
        <item m="1" x="1394"/>
        <item m="1" x="1399"/>
        <item m="1" x="1397"/>
        <item m="1" x="1398"/>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7"/>
        <item m="1" x="1428"/>
        <item m="1" x="1426"/>
        <item m="1" x="1429"/>
        <item m="1" x="1430"/>
        <item m="1" x="1431"/>
        <item m="1" x="1432"/>
        <item m="1" x="1433"/>
        <item m="1" x="1434"/>
        <item m="1" x="1435"/>
        <item m="1" x="1437"/>
        <item m="1" x="1438"/>
        <item m="1" x="1436"/>
        <item m="1" x="1440"/>
        <item m="1" x="1441"/>
        <item m="1" x="1439"/>
        <item m="1" x="1442"/>
        <item m="1" x="1443"/>
        <item m="1" x="1444"/>
        <item m="1" x="1445"/>
        <item m="1" x="1446"/>
        <item m="1" x="1447"/>
        <item m="1" x="1448"/>
        <item m="1" x="1451"/>
        <item m="1" x="1449"/>
        <item m="1" x="1450"/>
        <item m="1" x="1452"/>
        <item m="1" x="1456"/>
        <item m="1" x="1453"/>
        <item m="1" x="1454"/>
        <item m="1" x="1455"/>
        <item m="1" x="1463"/>
        <item m="1" x="1464"/>
        <item m="1" x="1462"/>
        <item m="1" x="1459"/>
        <item m="1" x="1460"/>
        <item m="1" x="1461"/>
        <item m="1" x="1457"/>
        <item m="1" x="1458"/>
        <item m="1" x="1465"/>
        <item m="1" x="1466"/>
        <item m="1" x="1467"/>
        <item m="1" x="1468"/>
        <item m="1" x="1469"/>
        <item m="1" x="1470"/>
        <item m="1" x="1471"/>
        <item m="1" x="1472"/>
        <item m="1" x="1473"/>
        <item m="1" x="1474"/>
        <item m="1" x="1475"/>
        <item m="1" x="1476"/>
        <item m="1" x="1477"/>
        <item m="1" x="1478"/>
        <item m="1" x="1479"/>
        <item m="1" x="1480"/>
        <item m="1" x="1481"/>
        <item m="1" x="1482"/>
        <item m="1" x="1483"/>
        <item m="1" x="1062"/>
        <item m="1" x="1484"/>
        <item m="1" x="1485"/>
        <item m="1" x="1486"/>
        <item m="1" x="1488"/>
        <item m="1" x="1487"/>
        <item m="1" x="1489"/>
        <item m="1" x="1490"/>
        <item m="1" x="1491"/>
        <item m="1" x="1492"/>
        <item m="1" x="1493"/>
        <item m="1" x="1494"/>
        <item m="1" x="1496"/>
        <item m="1" x="1495"/>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23"/>
        <item m="1" x="1524"/>
        <item m="1" x="1525"/>
        <item m="1" x="1521"/>
        <item m="1" x="1522"/>
        <item m="1" x="1517"/>
        <item m="1" x="1518"/>
        <item m="1" x="1519"/>
        <item m="1" x="1520"/>
        <item m="1" x="1526"/>
        <item m="1" x="1527"/>
        <item m="1" x="1388"/>
        <item m="1" x="1389"/>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h="1" m="1" x="924"/>
        <item h="1" m="1" x="925"/>
        <item h="1" m="1" x="926"/>
        <item h="1" m="1" x="927"/>
        <item h="1" m="1" x="928"/>
        <item m="1" x="500"/>
        <item m="1" x="501"/>
        <item m="1" x="502"/>
        <item m="1" x="503"/>
        <item m="1" x="504"/>
        <item m="1" x="505"/>
        <item h="1" m="1" x="929"/>
        <item h="1" m="1" x="930"/>
        <item m="1" x="508"/>
        <item m="1" x="509"/>
        <item h="1" m="1" x="931"/>
        <item h="1" m="1" x="932"/>
        <item h="1" m="1" x="933"/>
        <item h="1" m="1" x="934"/>
        <item h="1" m="1" x="935"/>
        <item h="1" m="1" x="936"/>
        <item h="1" m="1" x="937"/>
        <item h="1" m="1" x="938"/>
        <item h="1" m="1" x="939"/>
        <item h="1" m="1" x="940"/>
        <item h="1" m="1" x="941"/>
        <item h="1" m="1" x="942"/>
        <item h="1" m="1" x="943"/>
        <item h="1" m="1" x="944"/>
        <item h="1" m="1" x="945"/>
        <item h="1" m="1" x="946"/>
        <item h="1" m="1" x="947"/>
        <item h="1" m="1" x="948"/>
        <item h="1" m="1" x="949"/>
        <item h="1" m="1" x="950"/>
        <item m="1" x="530"/>
        <item m="1" x="531"/>
        <item m="1" x="532"/>
        <item m="1" x="533"/>
        <item h="1" m="1" x="951"/>
        <item m="1" x="535"/>
        <item m="1" x="536"/>
        <item m="1" x="537"/>
        <item m="1" x="538"/>
        <item m="1" x="539"/>
        <item h="1" m="1" x="952"/>
        <item h="1" m="1" x="953"/>
        <item m="1" x="542"/>
        <item m="1" x="543"/>
        <item m="1" x="906"/>
        <item h="1" m="1" x="954"/>
        <item h="1" m="1" x="955"/>
        <item h="1" m="1" x="956"/>
        <item h="1" m="1" x="957"/>
        <item h="1" m="1" x="958"/>
        <item h="1" m="1" x="959"/>
        <item m="1" x="551"/>
        <item m="1" x="552"/>
        <item m="1" x="907"/>
        <item m="1" x="908"/>
        <item m="1" x="909"/>
        <item m="1" x="910"/>
        <item m="1" x="557"/>
        <item m="1" x="558"/>
        <item m="1" x="911"/>
        <item m="1" x="912"/>
        <item m="1" x="913"/>
        <item m="1" x="914"/>
        <item h="1" m="1" x="960"/>
        <item h="1" m="1" x="961"/>
        <item h="1" m="1" x="962"/>
        <item h="1" m="1" x="963"/>
        <item h="1" m="1" x="964"/>
        <item h="1" m="1" x="965"/>
        <item h="1" m="1" x="966"/>
        <item h="1" m="1" x="967"/>
        <item h="1" m="1" x="968"/>
        <item h="1" m="1" x="969"/>
        <item h="1" m="1" x="970"/>
        <item m="1" x="574"/>
        <item m="1" x="575"/>
        <item m="1" x="576"/>
        <item h="1" m="1" x="971"/>
        <item h="1" m="1" x="972"/>
        <item h="1" m="1" x="973"/>
        <item h="1" m="1" x="974"/>
        <item h="1" m="1" x="975"/>
        <item h="1" m="1" x="976"/>
        <item h="1" m="1" x="977"/>
        <item h="1" m="1" x="978"/>
        <item h="1" m="1" x="979"/>
        <item m="1" x="586"/>
        <item m="1" x="587"/>
        <item m="1" x="588"/>
        <item h="1" m="1" x="980"/>
        <item h="1" m="1" x="981"/>
        <item h="1" m="1" x="982"/>
        <item m="1" x="915"/>
        <item m="1" x="916"/>
        <item m="1" x="917"/>
        <item m="1" x="595"/>
        <item m="1" x="596"/>
        <item m="1" x="597"/>
        <item m="1" x="598"/>
        <item m="1" x="599"/>
        <item m="1" x="600"/>
        <item m="1" x="601"/>
        <item m="1" x="602"/>
        <item m="1" x="603"/>
        <item h="1" m="1" x="983"/>
        <item h="1" m="1" x="984"/>
        <item h="1" m="1" x="985"/>
        <item h="1" m="1" x="986"/>
        <item h="1" m="1" x="987"/>
        <item h="1" m="1" x="988"/>
        <item h="1" m="1" x="989"/>
        <item h="1" m="1" x="990"/>
        <item h="1" m="1" x="991"/>
        <item m="1" x="613"/>
        <item m="1" x="614"/>
        <item m="1" x="615"/>
        <item m="1" x="616"/>
        <item m="1" x="617"/>
        <item m="1" x="618"/>
        <item m="1" x="619"/>
        <item m="1" x="620"/>
        <item m="1" x="621"/>
        <item m="1" x="622"/>
        <item m="1" x="626"/>
        <item m="1" x="627"/>
        <item m="1" x="628"/>
        <item h="1" m="1" x="992"/>
        <item h="1" m="1" x="993"/>
        <item h="1" m="1" x="994"/>
        <item m="1" x="632"/>
        <item m="1" x="633"/>
        <item m="1" x="634"/>
        <item h="1" m="1" x="995"/>
        <item h="1" m="1" x="996"/>
        <item h="1" m="1" x="997"/>
        <item m="1" x="638"/>
        <item m="1" x="639"/>
        <item m="1" x="640"/>
        <item m="1" x="641"/>
        <item m="1" x="642"/>
        <item m="1" x="643"/>
        <item h="1" m="1" x="998"/>
        <item h="1" m="1" x="999"/>
        <item h="1" m="1" x="1000"/>
        <item h="1" m="1" x="1001"/>
        <item h="1" m="1" x="1002"/>
        <item h="1" m="1" x="1003"/>
        <item m="1" x="650"/>
        <item m="1" x="651"/>
        <item m="1" x="652"/>
        <item m="1" x="653"/>
        <item m="1" x="654"/>
        <item h="1" m="1" x="1004"/>
        <item h="1" m="1" x="1005"/>
        <item h="1" m="1" x="1006"/>
        <item h="1" m="1" x="1007"/>
        <item h="1" m="1" x="1008"/>
        <item h="1" m="1" x="1009"/>
        <item h="1" m="1" x="1010"/>
        <item h="1" m="1" x="1011"/>
        <item h="1" m="1" x="1012"/>
        <item h="1" m="1" x="1013"/>
        <item h="1" m="1" x="1014"/>
        <item h="1" m="1" x="1015"/>
        <item h="1" m="1" x="1016"/>
        <item h="1" m="1" x="1017"/>
        <item h="1" m="1" x="1018"/>
        <item h="1" m="1" x="1019"/>
        <item h="1" m="1" x="1020"/>
        <item h="1" m="1" x="1021"/>
        <item h="1" m="1" x="1022"/>
        <item h="1" m="1" x="1023"/>
        <item h="1" m="1" x="1024"/>
        <item h="1" m="1" x="1025"/>
        <item h="1" m="1" x="1026"/>
        <item h="1" m="1" x="1027"/>
        <item h="1" m="1" x="1028"/>
        <item h="1" m="1" x="1029"/>
        <item h="1" m="1" x="1030"/>
        <item h="1" m="1" x="1031"/>
        <item h="1" m="1" x="1032"/>
        <item h="1" m="1" x="1033"/>
        <item h="1" m="1" x="1034"/>
        <item m="1" x="686"/>
        <item m="1" x="687"/>
        <item m="1" x="688"/>
        <item m="1" x="689"/>
        <item m="1" x="690"/>
        <item m="1" x="691"/>
        <item m="1" x="692"/>
        <item m="1" x="693"/>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h="1" m="1" x="1035"/>
        <item h="1" m="1" x="1036"/>
        <item m="1" x="756"/>
        <item m="1" x="757"/>
        <item m="1" x="758"/>
        <item m="1" x="759"/>
        <item m="1" x="760"/>
        <item m="1" x="761"/>
        <item m="1" x="762"/>
        <item m="1" x="763"/>
        <item m="1" x="764"/>
        <item m="1" x="765"/>
        <item h="1" m="1" x="1037"/>
        <item h="1" m="1" x="1038"/>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h="1" m="1" x="1039"/>
        <item h="1" m="1" x="1040"/>
        <item h="1" m="1" x="1041"/>
        <item m="1" x="795"/>
        <item m="1" x="796"/>
        <item m="1" x="797"/>
        <item m="1" x="798"/>
        <item m="1" x="799"/>
        <item m="1" x="800"/>
        <item m="1" x="801"/>
        <item m="1" x="802"/>
        <item m="1" x="803"/>
        <item m="1" x="804"/>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h="1" m="1" x="1042"/>
        <item h="1" m="1" x="1043"/>
        <item h="1" m="1" x="1044"/>
        <item h="1" m="1" x="1045"/>
        <item h="1" m="1" x="1046"/>
        <item h="1" m="1" x="1047"/>
        <item h="1" m="1" x="1048"/>
        <item h="1" m="1" x="1049"/>
        <item h="1" m="1" x="1050"/>
        <item h="1" m="1" x="1051"/>
        <item h="1" m="1" x="1052"/>
        <item h="1" m="1" x="1053"/>
        <item h="1" m="1" x="1054"/>
        <item h="1" m="1" x="1055"/>
        <item h="1" m="1" x="1056"/>
        <item h="1" m="1" x="1057"/>
        <item h="1" m="1" x="1058"/>
        <item h="1" m="1" x="1059"/>
        <item h="1" m="1" x="1060"/>
        <item h="1" m="1" x="1061"/>
        <item h="1" m="1" x="1063"/>
        <item h="1" m="1" x="1064"/>
        <item h="1" m="1" x="1065"/>
        <item h="1" m="1" x="1066"/>
        <item h="1" m="1" x="1067"/>
        <item h="1" m="1" x="1068"/>
        <item h="1" m="1" x="1069"/>
        <item h="1" m="1" x="1070"/>
        <item h="1" m="1" x="1071"/>
        <item h="1" m="1" x="1072"/>
        <item h="1" m="1" x="1073"/>
        <item h="1" m="1" x="1074"/>
        <item h="1" m="1" x="1075"/>
        <item h="1" m="1" x="1076"/>
        <item h="1" m="1" x="1077"/>
        <item h="1" m="1" x="1078"/>
        <item h="1" m="1" x="1079"/>
        <item h="1" m="1" x="1080"/>
        <item h="1" m="1" x="1081"/>
        <item h="1" m="1" x="1082"/>
        <item h="1" m="1" x="1083"/>
        <item h="1" m="1" x="1084"/>
        <item h="1" m="1" x="1085"/>
        <item h="1" m="1" x="1086"/>
        <item h="1" m="1" x="1087"/>
        <item h="1" m="1" x="1088"/>
        <item h="1" m="1" x="1089"/>
        <item h="1" m="1" x="1090"/>
        <item h="1" m="1" x="1091"/>
        <item h="1" m="1" x="1092"/>
        <item h="1" m="1" x="1093"/>
        <item h="1" m="1" x="1094"/>
        <item m="1" x="894"/>
        <item m="1" x="895"/>
        <item m="1" x="896"/>
        <item m="1" x="897"/>
        <item m="1" x="898"/>
        <item m="1" x="899"/>
        <item m="1" x="900"/>
        <item m="1" x="901"/>
        <item m="1" x="902"/>
        <item m="1" x="903"/>
        <item m="1" x="904"/>
        <item m="1" x="905"/>
        <item m="1" x="623"/>
        <item m="1" x="624"/>
        <item m="1" x="625"/>
        <item m="1" x="805"/>
        <item m="1" x="806"/>
        <item m="1" x="807"/>
        <item m="1" x="495"/>
        <item m="1" x="496"/>
        <item m="1" x="497"/>
        <item m="1" x="498"/>
        <item m="1" x="499"/>
        <item m="1" x="506"/>
        <item m="1" x="507"/>
        <item m="1" x="510"/>
        <item m="1" x="511"/>
        <item m="1" x="512"/>
        <item m="1" x="513"/>
        <item m="1" x="514"/>
        <item m="1" x="515"/>
        <item m="1" x="516"/>
        <item m="1" x="517"/>
        <item m="1" x="518"/>
        <item m="1" x="519"/>
        <item m="1" x="520"/>
        <item m="1" x="521"/>
        <item m="1" x="522"/>
        <item m="1" x="523"/>
        <item m="1" x="524"/>
        <item m="1" x="525"/>
        <item m="1" x="526"/>
        <item m="1" x="527"/>
        <item m="1" x="528"/>
        <item m="1" x="529"/>
        <item m="1" x="534"/>
        <item m="1" x="540"/>
        <item m="1" x="541"/>
        <item m="1" x="545"/>
        <item m="1" x="546"/>
        <item m="1" x="547"/>
        <item m="1" x="548"/>
        <item m="1" x="549"/>
        <item m="1" x="550"/>
        <item m="1" x="563"/>
        <item m="1" x="564"/>
        <item m="1" x="565"/>
        <item m="1" x="566"/>
        <item m="1" x="567"/>
        <item m="1" x="568"/>
        <item m="1" x="569"/>
        <item m="1" x="570"/>
        <item m="1" x="571"/>
        <item m="1" x="572"/>
        <item m="1" x="573"/>
        <item m="1" x="577"/>
        <item m="1" x="578"/>
        <item m="1" x="579"/>
        <item m="1" x="580"/>
        <item m="1" x="581"/>
        <item m="1" x="582"/>
        <item m="1" x="583"/>
        <item m="1" x="584"/>
        <item m="1" x="585"/>
        <item m="1" x="589"/>
        <item m="1" x="590"/>
        <item m="1" x="591"/>
        <item m="1" x="604"/>
        <item m="1" x="605"/>
        <item m="1" x="606"/>
        <item m="1" x="918"/>
        <item m="1" x="919"/>
        <item m="1" x="920"/>
        <item m="1" x="921"/>
        <item m="1" x="922"/>
        <item m="1" x="923"/>
        <item m="1" x="629"/>
        <item m="1" x="630"/>
        <item m="1" x="631"/>
        <item m="1" x="635"/>
        <item m="1" x="636"/>
        <item m="1" x="637"/>
        <item m="1" x="644"/>
        <item m="1" x="645"/>
        <item m="1" x="646"/>
        <item m="1" x="647"/>
        <item m="1" x="648"/>
        <item m="1" x="649"/>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94"/>
        <item m="1" x="695"/>
        <item m="1" x="754"/>
        <item m="1" x="755"/>
        <item m="1" x="766"/>
        <item m="1" x="767"/>
        <item m="1" x="792"/>
        <item m="1" x="793"/>
        <item m="1" x="794"/>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h="1" m="1" x="544"/>
        <item h="1" m="1" x="553"/>
        <item h="1" m="1" x="554"/>
        <item h="1" m="1" x="555"/>
        <item h="1" m="1" x="556"/>
        <item h="1" m="1" x="559"/>
        <item h="1" m="1" x="560"/>
        <item h="1" m="1" x="561"/>
        <item h="1" m="1" x="562"/>
        <item h="1" m="1" x="592"/>
        <item h="1" m="1" x="593"/>
        <item h="1" m="1" x="594"/>
        <item h="1" m="1" x="607"/>
        <item h="1" m="1" x="608"/>
        <item h="1" m="1" x="609"/>
        <item h="1" m="1" x="610"/>
        <item h="1" m="1" x="611"/>
        <item h="1" m="1" x="6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t="default"/>
      </items>
    </pivotField>
    <pivotField numFmtId="172" showAll="0"/>
    <pivotField showAll="0"/>
    <pivotField axis="axisPage" multipleItemSelectionAllowed="1" showAll="0">
      <items count="8">
        <item h="1" x="4"/>
        <item x="2"/>
        <item h="1" x="0"/>
        <item h="1" x="1"/>
        <item h="1" m="1" x="6"/>
        <item h="1" x="3"/>
        <item h="1" x="5"/>
        <item t="default"/>
      </items>
    </pivotField>
    <pivotField showAll="0"/>
    <pivotField dataField="1" numFmtId="172" showAll="0"/>
    <pivotField axis="axisPage" multipleItemSelectionAllowed="1" showAll="0">
      <items count="8">
        <item m="1" x="6"/>
        <item h="1" x="4"/>
        <item h="1" x="1"/>
        <item h="1" x="0"/>
        <item x="2"/>
        <item h="1" x="5"/>
        <item h="1" x="3"/>
        <item t="default"/>
      </items>
    </pivotField>
    <pivotField multipleItemSelectionAllowed="1" showAll="0"/>
  </pivotFields>
  <rowFields count="1">
    <field x="5"/>
  </rowFields>
  <rowItems count="34">
    <i>
      <x v="3"/>
    </i>
    <i>
      <x v="4"/>
    </i>
    <i>
      <x v="21"/>
    </i>
    <i>
      <x v="22"/>
    </i>
    <i>
      <x v="28"/>
    </i>
    <i>
      <x v="42"/>
    </i>
    <i>
      <x v="46"/>
    </i>
    <i>
      <x v="56"/>
    </i>
    <i>
      <x v="57"/>
    </i>
    <i>
      <x v="58"/>
    </i>
    <i>
      <x v="60"/>
    </i>
    <i>
      <x v="67"/>
    </i>
    <i>
      <x v="81"/>
    </i>
    <i>
      <x v="82"/>
    </i>
    <i>
      <x v="83"/>
    </i>
    <i>
      <x v="88"/>
    </i>
    <i>
      <x v="89"/>
    </i>
    <i>
      <x v="92"/>
    </i>
    <i>
      <x v="103"/>
    </i>
    <i>
      <x v="105"/>
    </i>
    <i>
      <x v="114"/>
    </i>
    <i>
      <x v="125"/>
    </i>
    <i>
      <x v="132"/>
    </i>
    <i>
      <x v="135"/>
    </i>
    <i>
      <x v="136"/>
    </i>
    <i>
      <x v="139"/>
    </i>
    <i>
      <x v="145"/>
    </i>
    <i>
      <x v="164"/>
    </i>
    <i>
      <x v="183"/>
    </i>
    <i>
      <x v="185"/>
    </i>
    <i>
      <x v="186"/>
    </i>
    <i>
      <x v="187"/>
    </i>
    <i>
      <x v="188"/>
    </i>
    <i t="grand">
      <x/>
    </i>
  </rowItems>
  <colFields count="1">
    <field x="-2"/>
  </colFields>
  <colItems count="3">
    <i>
      <x/>
    </i>
    <i i="1">
      <x v="1"/>
    </i>
    <i i="2">
      <x v="2"/>
    </i>
  </colItems>
  <pageFields count="4">
    <pageField fld="2" hier="-1"/>
    <pageField fld="35" hier="-1"/>
    <pageField fld="38" hier="-1"/>
    <pageField fld="41" hier="-1"/>
  </pageFields>
  <dataFields count="3">
    <dataField name="Sum of Huella" fld="35" baseField="0" baseItem="0"/>
    <dataField name="Sum of Intensidad-M" fld="40" baseField="0" baseItem="0"/>
    <dataField name="Sum of Inv MM$" fld="28" baseField="0" baseItem="0"/>
  </dataFields>
  <formats count="1">
    <format dxfId="21">
      <pivotArea collapsedLevelsAreSubtotals="1" fieldPosition="0">
        <references count="1">
          <reference field="5" count="30">
            <x v="3"/>
            <x v="4"/>
            <x v="21"/>
            <x v="22"/>
            <x v="28"/>
            <x v="42"/>
            <x v="46"/>
            <x v="56"/>
            <x v="57"/>
            <x v="58"/>
            <x v="64"/>
            <x v="67"/>
            <x v="76"/>
            <x v="81"/>
            <x v="82"/>
            <x v="83"/>
            <x v="88"/>
            <x v="89"/>
            <x v="92"/>
            <x v="103"/>
            <x v="105"/>
            <x v="114"/>
            <x v="125"/>
            <x v="132"/>
            <x v="135"/>
            <x v="136"/>
            <x v="139"/>
            <x v="140"/>
            <x v="145"/>
            <x v="1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6EA1C61-7386-448A-BBE0-8A3D549C53A6}" name="PivotTable1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H60:BK100" firstHeaderRow="0" firstDataRow="1" firstDataCol="1" rowPageCount="4" colPageCount="1"/>
  <pivotFields count="43">
    <pivotField showAll="0"/>
    <pivotField showAll="0"/>
    <pivotField axis="axisPage" multipleItemSelectionAllowed="1" showAll="0">
      <items count="5">
        <item h="1" x="2"/>
        <item x="1"/>
        <item x="0"/>
        <item x="3"/>
        <item t="default"/>
      </items>
    </pivotField>
    <pivotField showAll="0"/>
    <pivotField showAll="0"/>
    <pivotField axis="axisRow" showAll="0">
      <items count="203">
        <item x="84"/>
        <item x="83"/>
        <item x="82"/>
        <item x="69"/>
        <item x="41"/>
        <item x="27"/>
        <item x="49"/>
        <item x="145"/>
        <item x="146"/>
        <item x="181"/>
        <item x="173"/>
        <item x="193"/>
        <item x="175"/>
        <item x="170"/>
        <item x="196"/>
        <item x="166"/>
        <item x="178"/>
        <item x="179"/>
        <item x="52"/>
        <item x="12"/>
        <item x="16"/>
        <item x="15"/>
        <item x="14"/>
        <item x="17"/>
        <item x="96"/>
        <item x="97"/>
        <item x="8"/>
        <item x="85"/>
        <item x="75"/>
        <item x="105"/>
        <item x="102"/>
        <item x="198"/>
        <item x="103"/>
        <item x="195"/>
        <item x="130"/>
        <item x="147"/>
        <item x="149"/>
        <item x="28"/>
        <item x="66"/>
        <item x="186"/>
        <item x="73"/>
        <item x="185"/>
        <item x="44"/>
        <item x="67"/>
        <item x="53"/>
        <item x="188"/>
        <item x="43"/>
        <item x="180"/>
        <item x="171"/>
        <item x="191"/>
        <item x="54"/>
        <item x="184"/>
        <item x="125"/>
        <item x="148"/>
        <item x="115"/>
        <item x="199"/>
        <item x="55"/>
        <item x="56"/>
        <item x="63"/>
        <item x="200"/>
        <item x="57"/>
        <item x="86"/>
        <item x="87"/>
        <item x="88"/>
        <item x="46"/>
        <item x="109"/>
        <item x="35"/>
        <item x="65"/>
        <item x="194"/>
        <item x="133"/>
        <item x="0"/>
        <item x="2"/>
        <item x="1"/>
        <item x="3"/>
        <item x="4"/>
        <item x="150"/>
        <item x="58"/>
        <item x="116"/>
        <item x="7"/>
        <item x="183"/>
        <item x="190"/>
        <item x="21"/>
        <item x="40"/>
        <item x="22"/>
        <item x="45"/>
        <item x="37"/>
        <item x="36"/>
        <item x="59"/>
        <item x="42"/>
        <item x="24"/>
        <item x="114"/>
        <item x="122"/>
        <item x="19"/>
        <item x="152"/>
        <item x="78"/>
        <item x="182"/>
        <item x="128"/>
        <item x="197"/>
        <item x="90"/>
        <item x="89"/>
        <item x="127"/>
        <item x="126"/>
        <item x="174"/>
        <item x="13"/>
        <item x="79"/>
        <item x="74"/>
        <item x="121"/>
        <item x="33"/>
        <item x="64"/>
        <item x="129"/>
        <item x="141"/>
        <item x="71"/>
        <item x="60"/>
        <item x="177"/>
        <item x="31"/>
        <item x="187"/>
        <item x="169"/>
        <item x="172"/>
        <item x="176"/>
        <item x="168"/>
        <item x="154"/>
        <item x="118"/>
        <item x="120"/>
        <item x="117"/>
        <item x="101"/>
        <item x="20"/>
        <item x="189"/>
        <item x="110"/>
        <item x="111"/>
        <item x="18"/>
        <item x="132"/>
        <item x="155"/>
        <item x="76"/>
        <item x="91"/>
        <item x="39"/>
        <item x="26"/>
        <item x="50"/>
        <item x="156"/>
        <item x="81"/>
        <item x="25"/>
        <item x="29"/>
        <item x="38"/>
        <item x="167"/>
        <item x="159"/>
        <item x="51"/>
        <item x="77"/>
        <item x="161"/>
        <item x="163"/>
        <item x="164"/>
        <item x="124"/>
        <item x="192"/>
        <item x="62"/>
        <item x="61"/>
        <item x="94"/>
        <item x="95"/>
        <item x="80"/>
        <item x="34"/>
        <item x="32"/>
        <item x="104"/>
        <item x="139"/>
        <item x="131"/>
        <item x="158"/>
        <item x="162"/>
        <item x="9"/>
        <item x="23"/>
        <item x="165"/>
        <item x="112"/>
        <item x="119"/>
        <item x="138"/>
        <item x="143"/>
        <item x="137"/>
        <item x="142"/>
        <item x="108"/>
        <item x="160"/>
        <item x="92"/>
        <item x="151"/>
        <item x="107"/>
        <item x="123"/>
        <item x="6"/>
        <item x="72"/>
        <item x="98"/>
        <item x="113"/>
        <item x="5"/>
        <item x="10"/>
        <item x="11"/>
        <item x="30"/>
        <item x="47"/>
        <item x="48"/>
        <item x="68"/>
        <item x="70"/>
        <item x="93"/>
        <item x="99"/>
        <item x="100"/>
        <item x="106"/>
        <item x="134"/>
        <item x="135"/>
        <item x="136"/>
        <item x="140"/>
        <item x="144"/>
        <item x="153"/>
        <item x="157"/>
        <item x="201"/>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4730">
        <item h="1" x="95"/>
        <item m="1" x="4539"/>
        <item m="1" x="4630"/>
        <item m="1" x="4633"/>
        <item m="1" x="4513"/>
        <item m="1" x="4632"/>
        <item m="1" x="4512"/>
        <item m="1" x="4557"/>
        <item m="1" x="4631"/>
        <item m="1" x="4561"/>
        <item m="1" x="4455"/>
        <item m="1" x="4560"/>
        <item m="1" x="4519"/>
        <item m="1" x="4530"/>
        <item m="1" x="4554"/>
        <item m="1" x="4525"/>
        <item m="1" x="4522"/>
        <item m="1" x="4571"/>
        <item m="1" x="4607"/>
        <item m="1" x="4478"/>
        <item m="1" x="4555"/>
        <item m="1" x="4457"/>
        <item m="1" x="4456"/>
        <item m="1" x="4679"/>
        <item m="1" x="4635"/>
        <item m="1" x="4425"/>
        <item m="1" x="4536"/>
        <item m="1" x="4627"/>
        <item m="1" x="4556"/>
        <item m="1" x="4576"/>
        <item m="1" x="4575"/>
        <item m="1" x="4686"/>
        <item m="1" x="4551"/>
        <item m="1" x="4480"/>
        <item m="1" x="4628"/>
        <item m="1" x="4634"/>
        <item m="1" x="4728"/>
        <item m="1" x="4534"/>
        <item m="1" x="4348"/>
        <item m="1" x="4629"/>
        <item m="1" x="4524"/>
        <item m="1" x="4682"/>
        <item m="1" x="4596"/>
        <item m="1" x="4688"/>
        <item m="1" x="4727"/>
        <item m="1" x="4619"/>
        <item m="1" x="4402"/>
        <item m="1" x="4621"/>
        <item m="1" x="4535"/>
        <item m="1" x="4354"/>
        <item m="1" x="4443"/>
        <item m="1" x="4690"/>
        <item m="1" x="4687"/>
        <item m="1" x="4401"/>
        <item m="1" x="4681"/>
        <item m="1" x="4601"/>
        <item m="1" x="4350"/>
        <item m="1" x="4597"/>
        <item m="1" x="4685"/>
        <item m="1" x="4385"/>
        <item m="1" x="4386"/>
        <item m="1" x="4684"/>
        <item m="1" x="4620"/>
        <item m="1" x="4678"/>
        <item m="1" x="4614"/>
        <item m="1" x="4400"/>
        <item m="1" x="4616"/>
        <item m="1" x="4397"/>
        <item m="1" x="4602"/>
        <item m="1" x="4683"/>
        <item m="1" x="4599"/>
        <item m="1" x="4359"/>
        <item m="1" x="4399"/>
        <item m="1" x="4371"/>
        <item m="1" x="4689"/>
        <item m="1" x="4370"/>
        <item m="1" x="4446"/>
        <item m="1" x="4418"/>
        <item m="1" x="4598"/>
        <item m="1" x="4600"/>
        <item m="1" x="4347"/>
        <item m="1" x="4677"/>
        <item m="1" x="4349"/>
        <item m="1" x="4694"/>
        <item m="1" x="4696"/>
        <item m="1" x="4608"/>
        <item m="1" x="4444"/>
        <item m="1" x="4384"/>
        <item m="1" x="4353"/>
        <item m="1" x="4360"/>
        <item m="1" x="4431"/>
        <item m="1" x="4343"/>
        <item m="1" x="4398"/>
        <item m="1" x="4516"/>
        <item m="1" x="4344"/>
        <item m="1" x="4339"/>
        <item m="1" x="4352"/>
        <item m="1" x="4546"/>
        <item m="1" x="4594"/>
        <item m="1" x="4547"/>
        <item m="1" x="4338"/>
        <item m="1" x="4311"/>
        <item m="1" x="4622"/>
        <item m="1" x="4372"/>
        <item m="1" x="4340"/>
        <item m="1" x="4671"/>
        <item m="1" x="4663"/>
        <item m="1" x="4611"/>
        <item m="1" x="4405"/>
        <item m="1" x="4693"/>
        <item m="1" x="4427"/>
        <item m="1" x="4615"/>
        <item m="1" x="4708"/>
        <item m="1" x="4448"/>
        <item m="1" x="4375"/>
        <item m="1" x="4337"/>
        <item m="1" x="4714"/>
        <item m="1" x="4672"/>
        <item m="1" x="4612"/>
        <item m="1" x="4518"/>
        <item m="1" x="4346"/>
        <item m="1" x="4617"/>
        <item m="1" x="4707"/>
        <item m="1" x="4276"/>
        <item m="1" x="4604"/>
        <item m="1" x="4345"/>
        <item m="1" x="4335"/>
        <item m="1" x="4369"/>
        <item m="1" x="4680"/>
        <item m="1" x="4713"/>
        <item m="1" x="4695"/>
        <item m="1" x="4408"/>
        <item m="1" x="4515"/>
        <item m="1" x="4341"/>
        <item m="1" x="4342"/>
        <item m="1" x="4426"/>
        <item m="1" x="4605"/>
        <item m="1" x="4445"/>
        <item m="1" x="4412"/>
        <item m="1" x="4537"/>
        <item m="1" x="4404"/>
        <item m="1" x="4391"/>
        <item m="1" x="4336"/>
        <item m="1" x="4433"/>
        <item m="1" x="4606"/>
        <item m="1" x="4662"/>
        <item m="1" x="4538"/>
        <item m="1" x="4618"/>
        <item m="1" x="4275"/>
        <item m="1" x="4613"/>
        <item m="1" x="4403"/>
        <item m="1" x="4655"/>
        <item m="1" x="4532"/>
        <item m="1" x="4704"/>
        <item m="1" x="4291"/>
        <item m="1" x="4657"/>
        <item m="1" x="4447"/>
        <item m="1" x="4711"/>
        <item m="1" x="4726"/>
        <item m="1" x="4623"/>
        <item m="1" x="4517"/>
        <item m="1" x="4595"/>
        <item m="1" x="4703"/>
        <item m="1" x="4413"/>
        <item m="1" x="4626"/>
        <item m="1" x="4717"/>
        <item m="1" x="4649"/>
        <item m="1" x="4692"/>
        <item m="1" x="4298"/>
        <item m="1" x="4475"/>
        <item m="1" x="4548"/>
        <item m="1" x="4603"/>
        <item m="1" x="4559"/>
        <item m="1" x="4715"/>
        <item m="1" x="4414"/>
        <item m="1" x="4387"/>
        <item m="1" x="4287"/>
        <item m="1" x="4373"/>
        <item m="1" x="4625"/>
        <item m="1" x="4531"/>
        <item m="1" x="4654"/>
        <item m="1" x="4361"/>
        <item m="1" x="4647"/>
        <item m="1" x="4501"/>
        <item m="1" x="4656"/>
        <item m="1" x="4691"/>
        <item m="1" x="4700"/>
        <item m="1" x="4529"/>
        <item m="1" x="4415"/>
        <item m="1" x="4624"/>
        <item m="1" x="4356"/>
        <item m="1" x="4409"/>
        <item m="1" x="4503"/>
        <item m="1" x="4355"/>
        <item m="1" x="4432"/>
        <item m="1" x="4710"/>
        <item m="1" x="4541"/>
        <item m="1" x="4362"/>
        <item m="1" x="4563"/>
        <item m="1" x="4374"/>
        <item m="1" x="4487"/>
        <item m="1" x="4587"/>
        <item m="1" x="4609"/>
        <item m="1" x="4567"/>
        <item m="1" x="4550"/>
        <item m="1" x="4702"/>
        <item m="1" x="4406"/>
        <item m="1" x="4333"/>
        <item m="1" x="4509"/>
        <item m="1" x="4653"/>
        <item m="1" x="4395"/>
        <item m="1" x="4589"/>
        <item m="1" x="4648"/>
        <item m="1" x="4486"/>
        <item m="1" x="4719"/>
        <item m="1" x="4705"/>
        <item m="1" x="4452"/>
        <item m="1" x="4720"/>
        <item m="1" x="4407"/>
        <item m="1" x="4473"/>
        <item m="1" x="4483"/>
        <item m="1" x="4651"/>
        <item m="1" x="4592"/>
        <item m="1" x="4449"/>
        <item m="1" x="4307"/>
        <item m="1" x="4610"/>
        <item m="1" x="4334"/>
        <item m="1" x="4568"/>
        <item m="1" x="4523"/>
        <item m="1" x="4718"/>
        <item m="1" x="4645"/>
        <item m="1" x="4588"/>
        <item m="1" x="4676"/>
        <item m="1" x="4504"/>
        <item m="1" x="4467"/>
        <item m="1" x="4390"/>
        <item m="1" x="4698"/>
        <item m="1" x="4558"/>
        <item m="1" x="4553"/>
        <item m="1" x="4461"/>
        <item m="1" x="4297"/>
        <item m="1" x="4357"/>
        <item m="1" x="4722"/>
        <item m="1" x="4420"/>
        <item m="1" x="4659"/>
        <item m="1" x="4382"/>
        <item m="1" x="4521"/>
        <item m="1" x="4716"/>
        <item m="1" x="4388"/>
        <item m="1" x="4273"/>
        <item m="1" x="4310"/>
        <item m="1" x="4646"/>
        <item m="1" x="4643"/>
        <item m="1" x="4574"/>
        <item m="1" x="4725"/>
        <item m="1" x="4474"/>
        <item m="1" x="4500"/>
        <item m="1" x="4497"/>
        <item m="1" x="4471"/>
        <item m="1" x="4499"/>
        <item m="1" x="4316"/>
        <item m="1" x="4706"/>
        <item m="1" x="4284"/>
        <item m="1" x="4508"/>
        <item m="1" x="4302"/>
        <item m="1" x="4383"/>
        <item m="1" x="4482"/>
        <item m="1" x="4488"/>
        <item m="1" x="4493"/>
        <item m="1" x="4652"/>
        <item m="1" x="4314"/>
        <item m="1" x="4380"/>
        <item m="1" x="4281"/>
        <item m="1" x="4502"/>
        <item m="1" x="4528"/>
        <item m="1" x="4485"/>
        <item m="1" x="4712"/>
        <item m="1" x="4365"/>
        <item m="1" x="4366"/>
        <item m="1" x="4351"/>
        <item m="1" x="4552"/>
        <item m="1" x="4419"/>
        <item m="1" x="4494"/>
        <item m="1" x="4490"/>
        <item m="1" x="4411"/>
        <item m="1" x="4543"/>
        <item m="1" x="4312"/>
        <item m="1" x="4437"/>
        <item m="1" x="4489"/>
        <item m="1" x="4505"/>
        <item m="1" x="4392"/>
        <item m="1" x="4639"/>
        <item m="1" x="4451"/>
        <item m="1" x="4545"/>
        <item m="1" x="4540"/>
        <item m="1" x="4507"/>
        <item m="1" x="4439"/>
        <item m="1" x="4376"/>
        <item m="1" x="4572"/>
        <item m="1" x="4666"/>
        <item m="1" x="4514"/>
        <item m="1" x="4641"/>
        <item m="1" x="4511"/>
        <item m="1" x="4642"/>
        <item m="1" x="4484"/>
        <item m="1" x="4564"/>
        <item m="1" x="4389"/>
        <item m="1" x="4593"/>
        <item m="1" x="4394"/>
        <item m="1" x="4320"/>
        <item m="1" x="4315"/>
        <item m="1" x="4381"/>
        <item m="1" x="4709"/>
        <item m="1" x="4562"/>
        <item m="1" x="4274"/>
        <item m="1" x="4644"/>
        <item m="1" x="4379"/>
        <item m="1" x="4417"/>
        <item m="1" x="4549"/>
        <item m="1" x="4724"/>
        <item m="1" x="4721"/>
        <item m="1" x="4323"/>
        <item m="1" x="4701"/>
        <item m="1" x="4313"/>
        <item m="1" x="4453"/>
        <item m="1" x="4464"/>
        <item m="1" x="4699"/>
        <item m="1" x="4454"/>
        <item m="1" x="4358"/>
        <item m="1" x="4697"/>
        <item m="1" x="4410"/>
        <item m="1" x="4664"/>
        <item m="1" x="4658"/>
        <item m="1" x="4364"/>
        <item m="1" x="4581"/>
        <item m="1" x="4492"/>
        <item m="1" x="4363"/>
        <item m="1" x="4295"/>
        <item m="1" x="4673"/>
        <item m="1" x="4579"/>
        <item m="1" x="4650"/>
        <item m="1" x="4675"/>
        <item m="1" x="4434"/>
        <item m="1" x="4570"/>
        <item m="1" x="4321"/>
        <item m="1" x="4496"/>
        <item m="1" x="4472"/>
        <item m="1" x="4665"/>
        <item m="1" x="4526"/>
        <item m="1" x="4396"/>
        <item m="1" x="4416"/>
        <item m="1" x="4660"/>
        <item m="1" x="4520"/>
        <item m="1" x="4299"/>
        <item m="1" x="4458"/>
        <item m="1" x="4469"/>
        <item m="1" x="4377"/>
        <item m="1" x="4586"/>
        <item m="1" x="4378"/>
        <item m="1" x="4583"/>
        <item m="1" x="4590"/>
        <item m="1" x="4495"/>
        <item m="1" x="4544"/>
        <item m="1" x="4591"/>
        <item m="1" x="4470"/>
        <item m="1" x="4498"/>
        <item m="1" x="4584"/>
        <item m="1" x="4450"/>
        <item m="1" x="4580"/>
        <item m="1" x="4542"/>
        <item m="1" x="4296"/>
        <item m="1" x="4638"/>
        <item m="1" x="4393"/>
        <item m="1" x="4306"/>
        <item m="1" x="4476"/>
        <item m="1" x="4309"/>
        <item m="1" x="4585"/>
        <item m="1" x="4305"/>
        <item m="1" x="4293"/>
        <item m="1" x="4463"/>
        <item m="1" x="4582"/>
        <item m="1" x="4566"/>
        <item m="1" x="4367"/>
        <item m="1" x="4481"/>
        <item m="1" x="4368"/>
        <item m="1" x="4510"/>
        <item m="1" x="4479"/>
        <item m="1" x="4317"/>
        <item m="1" x="4421"/>
        <item m="1" x="4674"/>
        <item m="1" x="4440"/>
        <item m="1" x="4637"/>
        <item m="1" x="4308"/>
        <item m="1" x="4292"/>
        <item m="1" x="4573"/>
        <item m="1" x="4661"/>
        <item m="1" x="4322"/>
        <item m="1" x="4428"/>
        <item m="1" x="4300"/>
        <item m="1" x="4533"/>
        <item m="1" x="4289"/>
        <item m="1" x="4468"/>
        <item m="1" x="4319"/>
        <item m="1" x="4668"/>
        <item m="1" x="4279"/>
        <item m="1" x="4506"/>
        <item m="1" x="4460"/>
        <item m="1" x="4569"/>
        <item m="1" x="4466"/>
        <item m="1" x="4331"/>
        <item m="1" x="4326"/>
        <item m="1" x="4318"/>
        <item m="1" x="4282"/>
        <item m="1" x="4527"/>
        <item m="1" x="4304"/>
        <item m="1" x="4577"/>
        <item m="1" x="4636"/>
        <item m="1" x="4640"/>
        <item m="1" x="4477"/>
        <item m="1" x="4436"/>
        <item m="1" x="4329"/>
        <item m="1" x="4491"/>
        <item m="1" x="4422"/>
        <item m="1" x="4301"/>
        <item m="1" x="4288"/>
        <item m="1" x="4462"/>
        <item m="1" x="4324"/>
        <item m="1" x="4459"/>
        <item m="1" x="4327"/>
        <item m="1" x="4285"/>
        <item m="1" x="4723"/>
        <item m="1" x="4565"/>
        <item m="1" x="4325"/>
        <item m="1" x="4332"/>
        <item m="1" x="4330"/>
        <item m="1" x="4303"/>
        <item m="1" x="4277"/>
        <item m="1" x="4465"/>
        <item m="1" x="4578"/>
        <item m="1" x="4438"/>
        <item m="1" x="4328"/>
        <item m="1" x="4669"/>
        <item m="1" x="4667"/>
        <item m="1" x="4429"/>
        <item m="1" x="4435"/>
        <item m="1" x="4290"/>
        <item m="1" x="4286"/>
        <item m="1" x="4294"/>
        <item m="1" x="4283"/>
        <item m="1" x="4280"/>
        <item m="1" x="4430"/>
        <item m="1" x="4442"/>
        <item m="1" x="4424"/>
        <item m="1" x="4670"/>
        <item m="1" x="4441"/>
        <item m="1" x="4278"/>
        <item m="1" x="4423"/>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h="1" m="1" x="3918"/>
        <item h="1" m="1" x="3919"/>
        <item h="1" m="1" x="3920"/>
        <item h="1" m="1" x="3921"/>
        <item h="1" m="1" x="3922"/>
        <item h="1" m="1" x="3923"/>
        <item h="1" m="1" x="3924"/>
        <item h="1" m="1" x="3925"/>
        <item h="1" m="1" x="3926"/>
        <item h="1" m="1" x="3927"/>
        <item h="1" m="1" x="3928"/>
        <item h="1" m="1" x="3929"/>
        <item h="1" m="1" x="3930"/>
        <item h="1" m="1" x="3931"/>
        <item h="1" m="1" x="3932"/>
        <item h="1" m="1" x="3933"/>
        <item h="1" m="1" x="3934"/>
        <item h="1" m="1" x="3935"/>
        <item h="1" m="1" x="3936"/>
        <item h="1" m="1" x="3937"/>
        <item h="1" m="1" x="3938"/>
        <item h="1" m="1" x="3939"/>
        <item h="1" m="1" x="3940"/>
        <item h="1" m="1" x="3941"/>
        <item h="1" m="1" x="3942"/>
        <item h="1" m="1" x="3943"/>
        <item h="1" m="1" x="3944"/>
        <item h="1" m="1" x="3945"/>
        <item h="1" m="1" x="3946"/>
        <item h="1" m="1" x="3947"/>
        <item h="1" m="1" x="3948"/>
        <item h="1" m="1" x="3949"/>
        <item h="1" m="1" x="3950"/>
        <item h="1" m="1" x="3951"/>
        <item h="1" m="1" x="3952"/>
        <item h="1" m="1" x="3953"/>
        <item h="1" m="1" x="3954"/>
        <item h="1" m="1" x="3955"/>
        <item h="1" m="1" x="3956"/>
        <item h="1" m="1" x="3957"/>
        <item h="1" m="1" x="3958"/>
        <item h="1" m="1" x="3959"/>
        <item h="1" m="1" x="3960"/>
        <item h="1" m="1" x="3961"/>
        <item h="1" m="1" x="3962"/>
        <item h="1" m="1" x="3963"/>
        <item h="1" m="1" x="3964"/>
        <item h="1" m="1" x="3965"/>
        <item h="1" m="1" x="3966"/>
        <item h="1" m="1" x="3967"/>
        <item h="1" m="1" x="3968"/>
        <item h="1" m="1" x="3969"/>
        <item h="1" m="1" x="3970"/>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h="1" m="1" x="3046"/>
        <item h="1" m="1" x="3047"/>
        <item h="1" m="1" x="3048"/>
        <item h="1" m="1" x="3049"/>
        <item h="1" m="1" x="3050"/>
        <item h="1" m="1" x="3051"/>
        <item h="1" m="1" x="3052"/>
        <item h="1" m="1" x="3053"/>
        <item h="1" m="1" x="3054"/>
        <item h="1" m="1" x="3055"/>
        <item h="1" m="1" x="3056"/>
        <item h="1" m="1" x="3057"/>
        <item h="1" m="1" x="3058"/>
        <item h="1" m="1" x="3059"/>
        <item h="1" m="1" x="3060"/>
        <item h="1" m="1" x="3061"/>
        <item h="1" m="1" x="3062"/>
        <item h="1" m="1" x="3063"/>
        <item h="1" m="1" x="3064"/>
        <item h="1" m="1" x="3065"/>
        <item h="1" m="1" x="3066"/>
        <item h="1" m="1" x="3067"/>
        <item h="1" m="1" x="3068"/>
        <item h="1" m="1" x="3069"/>
        <item h="1" m="1" x="3070"/>
        <item h="1" m="1" x="3071"/>
        <item h="1" m="1" x="3072"/>
        <item h="1" m="1" x="3073"/>
        <item h="1" m="1" x="3074"/>
        <item h="1" m="1" x="3075"/>
        <item h="1" m="1" x="3076"/>
        <item h="1" m="1" x="3077"/>
        <item h="1" m="1" x="3078"/>
        <item h="1" m="1" x="3079"/>
        <item h="1" m="1" x="3080"/>
        <item h="1" m="1" x="3081"/>
        <item h="1" m="1" x="3082"/>
        <item h="1" m="1" x="3083"/>
        <item h="1" m="1" x="3084"/>
        <item h="1" m="1" x="3085"/>
        <item h="1" m="1" x="3086"/>
        <item h="1" m="1" x="3087"/>
        <item h="1" m="1" x="3088"/>
        <item h="1" m="1" x="3089"/>
        <item h="1" m="1" x="3090"/>
        <item h="1" m="1" x="3091"/>
        <item h="1" m="1" x="3092"/>
        <item h="1" m="1" x="3093"/>
        <item h="1" m="1" x="3094"/>
        <item h="1" m="1" x="3095"/>
        <item h="1" m="1" x="3096"/>
        <item h="1" m="1" x="3097"/>
        <item h="1" m="1" x="3098"/>
        <item h="1" m="1" x="3099"/>
        <item h="1" m="1" x="3100"/>
        <item h="1" m="1" x="3101"/>
        <item h="1" m="1" x="3102"/>
        <item h="1" m="1" x="3103"/>
        <item h="1" m="1" x="3104"/>
        <item h="1" m="1" x="3105"/>
        <item h="1" m="1" x="3106"/>
        <item h="1" m="1" x="3107"/>
        <item h="1" m="1" x="3108"/>
        <item h="1" m="1" x="3109"/>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143"/>
        <item h="1" m="1" x="3144"/>
        <item h="1" m="1" x="3145"/>
        <item h="1" m="1" x="3146"/>
        <item h="1" m="1" x="3147"/>
        <item h="1" m="1" x="3148"/>
        <item h="1" m="1" x="3149"/>
        <item h="1" m="1" x="3150"/>
        <item h="1" m="1" x="3151"/>
        <item h="1" m="1" x="3152"/>
        <item h="1" m="1" x="3153"/>
        <item h="1" m="1" x="3154"/>
        <item h="1" m="1" x="3155"/>
        <item h="1" m="1" x="3156"/>
        <item h="1" m="1" x="3157"/>
        <item h="1" m="1" x="3158"/>
        <item h="1" m="1" x="3159"/>
        <item h="1" m="1" x="3160"/>
        <item h="1" m="1" x="3161"/>
        <item h="1" m="1" x="3162"/>
        <item h="1" m="1" x="3163"/>
        <item h="1" m="1" x="3164"/>
        <item h="1" m="1" x="3165"/>
        <item h="1" m="1" x="3166"/>
        <item h="1" m="1" x="3167"/>
        <item h="1" m="1" x="3168"/>
        <item h="1" m="1" x="3169"/>
        <item h="1" m="1" x="3170"/>
        <item h="1" m="1" x="3171"/>
        <item h="1" m="1" x="3172"/>
        <item h="1" m="1" x="3173"/>
        <item h="1" m="1" x="3174"/>
        <item h="1" m="1" x="3175"/>
        <item h="1" m="1" x="3176"/>
        <item h="1" m="1" x="3177"/>
        <item h="1" m="1" x="3178"/>
        <item h="1" m="1" x="3179"/>
        <item h="1" m="1" x="3180"/>
        <item h="1" m="1" x="3181"/>
        <item h="1" m="1" x="3182"/>
        <item h="1" m="1" x="3183"/>
        <item h="1" m="1" x="3184"/>
        <item h="1" m="1" x="3185"/>
        <item h="1" m="1" x="3186"/>
        <item h="1" m="1" x="3187"/>
        <item h="1" m="1" x="3188"/>
        <item h="1" m="1" x="3189"/>
        <item h="1" m="1" x="3190"/>
        <item h="1" m="1" x="3191"/>
        <item h="1" m="1" x="3192"/>
        <item h="1" m="1" x="3193"/>
        <item h="1" m="1" x="3194"/>
        <item h="1" m="1" x="3195"/>
        <item h="1" m="1" x="3196"/>
        <item h="1" m="1" x="3197"/>
        <item h="1" m="1" x="3198"/>
        <item h="1" m="1" x="3199"/>
        <item h="1" m="1" x="3200"/>
        <item h="1" m="1" x="3201"/>
        <item h="1" m="1" x="3202"/>
        <item h="1" m="1" x="3203"/>
        <item h="1" m="1" x="3204"/>
        <item h="1" m="1" x="3205"/>
        <item h="1" m="1" x="3206"/>
        <item h="1" m="1" x="3207"/>
        <item h="1" m="1" x="3208"/>
        <item h="1" m="1" x="3209"/>
        <item h="1" m="1" x="3210"/>
        <item h="1" m="1" x="3211"/>
        <item h="1" m="1" x="3212"/>
        <item h="1" m="1" x="3213"/>
        <item h="1" m="1" x="3214"/>
        <item h="1" m="1" x="3215"/>
        <item h="1" m="1" x="3216"/>
        <item h="1" m="1" x="3217"/>
        <item h="1" m="1" x="3218"/>
        <item h="1" m="1" x="3219"/>
        <item h="1" m="1" x="3220"/>
        <item h="1" m="1" x="3221"/>
        <item h="1" m="1" x="3222"/>
        <item h="1" m="1" x="3223"/>
        <item h="1" m="1" x="3224"/>
        <item h="1" m="1" x="3225"/>
        <item h="1" m="1" x="3226"/>
        <item h="1" m="1" x="3227"/>
        <item h="1" m="1" x="3228"/>
        <item h="1" m="1" x="3229"/>
        <item h="1" m="1" x="3230"/>
        <item h="1" m="1" x="3231"/>
        <item h="1" m="1" x="3232"/>
        <item h="1" m="1" x="3233"/>
        <item h="1" m="1" x="3234"/>
        <item h="1" m="1" x="3235"/>
        <item h="1" m="1" x="3236"/>
        <item h="1" m="1" x="3237"/>
        <item h="1" m="1" x="3238"/>
        <item h="1" m="1" x="3239"/>
        <item h="1" m="1" x="3240"/>
        <item h="1" m="1" x="3241"/>
        <item h="1" m="1" x="3242"/>
        <item h="1" m="1" x="3243"/>
        <item h="1" m="1" x="3244"/>
        <item h="1" m="1" x="3245"/>
        <item h="1" m="1" x="3246"/>
        <item h="1" m="1" x="3247"/>
        <item h="1" m="1" x="3248"/>
        <item h="1" m="1" x="3249"/>
        <item h="1" m="1" x="3250"/>
        <item h="1" m="1" x="3251"/>
        <item h="1" m="1" x="3252"/>
        <item h="1" m="1" x="3253"/>
        <item h="1" m="1" x="3254"/>
        <item h="1" m="1" x="3255"/>
        <item h="1" m="1" x="3256"/>
        <item h="1" m="1" x="3257"/>
        <item h="1" m="1" x="3258"/>
        <item h="1" m="1" x="3259"/>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h="1" m="1" x="3313"/>
        <item h="1" m="1" x="3314"/>
        <item h="1" m="1" x="3315"/>
        <item h="1" m="1" x="3316"/>
        <item h="1" m="1" x="3317"/>
        <item h="1" m="1" x="3318"/>
        <item h="1" m="1" x="3319"/>
        <item h="1" m="1" x="3320"/>
        <item h="1" m="1" x="3321"/>
        <item h="1" m="1" x="3322"/>
        <item h="1" m="1" x="3323"/>
        <item h="1" m="1" x="3324"/>
        <item h="1" m="1" x="3325"/>
        <item h="1" m="1" x="3326"/>
        <item h="1" m="1" x="3327"/>
        <item h="1" m="1" x="3328"/>
        <item h="1" m="1" x="3329"/>
        <item h="1" m="1" x="3330"/>
        <item h="1" m="1" x="3331"/>
        <item h="1" m="1" x="3332"/>
        <item h="1" m="1" x="3333"/>
        <item h="1" m="1" x="3334"/>
        <item h="1" m="1" x="3335"/>
        <item h="1" m="1" x="3336"/>
        <item h="1" m="1" x="3337"/>
        <item h="1" m="1" x="3338"/>
        <item h="1" m="1" x="3339"/>
        <item h="1" m="1" x="3340"/>
        <item h="1" m="1" x="3341"/>
        <item h="1" m="1" x="3342"/>
        <item h="1" m="1" x="3343"/>
        <item h="1" m="1" x="3344"/>
        <item h="1" m="1" x="3345"/>
        <item m="1" x="2758"/>
        <item m="1" x="2769"/>
        <item m="1" x="2763"/>
        <item m="1" x="2753"/>
        <item m="1" x="2773"/>
        <item m="1" x="2755"/>
        <item m="1" x="2771"/>
        <item m="1" x="2767"/>
        <item m="1" x="2765"/>
        <item m="1" x="2760"/>
        <item m="1" x="2759"/>
        <item m="1" x="2764"/>
        <item m="1" x="2754"/>
        <item m="1" x="2770"/>
        <item m="1" x="2756"/>
        <item m="1" x="2774"/>
        <item m="1" x="2768"/>
        <item m="1" x="2766"/>
        <item m="1" x="2761"/>
        <item m="1" x="2772"/>
        <item m="1" x="2757"/>
        <item m="1" x="2762"/>
        <item m="1" x="2777"/>
        <item m="1" x="2779"/>
        <item m="1" x="2776"/>
        <item m="1" x="2778"/>
        <item m="1" x="2775"/>
        <item m="1" x="2780"/>
        <item m="1" x="2782"/>
        <item m="1" x="2783"/>
        <item m="1" x="2781"/>
        <item m="1" x="2784"/>
        <item m="1" x="2785"/>
        <item m="1" x="2788"/>
        <item m="1" x="2787"/>
        <item m="1" x="2786"/>
        <item m="1" x="2799"/>
        <item m="1" x="2797"/>
        <item m="1" x="2791"/>
        <item m="1" x="2789"/>
        <item m="1" x="2794"/>
        <item m="1" x="2798"/>
        <item m="1" x="2800"/>
        <item m="1" x="2792"/>
        <item m="1" x="2795"/>
        <item m="1" x="2790"/>
        <item m="1" x="2796"/>
        <item m="1" x="2793"/>
        <item m="1" x="2805"/>
        <item m="1" x="2802"/>
        <item m="1" x="2803"/>
        <item m="1" x="2804"/>
        <item m="1" x="2806"/>
        <item m="1" x="2801"/>
        <item m="1" x="2807"/>
        <item m="1" x="2809"/>
        <item m="1" x="2808"/>
        <item m="1" x="2810"/>
        <item m="1" x="2811"/>
        <item m="1" x="2812"/>
        <item m="1" x="3006"/>
        <item m="1" x="3005"/>
        <item m="1" x="2813"/>
        <item m="1" x="2814"/>
        <item m="1" x="2816"/>
        <item m="1" x="2815"/>
        <item m="1" x="2817"/>
        <item m="1" x="2818"/>
        <item m="1" x="3007"/>
        <item m="1" x="3008"/>
        <item m="1" x="2819"/>
        <item m="1" x="3009"/>
        <item m="1" x="3010"/>
        <item m="1" x="2821"/>
        <item m="1" x="2820"/>
        <item m="1" x="3012"/>
        <item m="1" x="3011"/>
        <item m="1" x="3013"/>
        <item m="1" x="3014"/>
        <item m="1" x="3015"/>
        <item m="1" x="3017"/>
        <item m="1" x="3016"/>
        <item m="1" x="3018"/>
        <item m="1" x="2822"/>
        <item m="1" x="2823"/>
        <item m="1" x="3021"/>
        <item m="1" x="3025"/>
        <item m="1" x="3020"/>
        <item m="1" x="3022"/>
        <item m="1" x="3019"/>
        <item m="1" x="3024"/>
        <item m="1" x="3023"/>
        <item m="1" x="3026"/>
        <item m="1" x="3027"/>
        <item m="1" x="2825"/>
        <item m="1" x="2824"/>
        <item m="1" x="3028"/>
        <item m="1" x="3029"/>
        <item m="1" x="2826"/>
        <item m="1" x="2829"/>
        <item m="1" x="2827"/>
        <item m="1" x="2828"/>
        <item m="1" x="2831"/>
        <item m="1" x="2833"/>
        <item m="1" x="2830"/>
        <item m="1" x="2832"/>
        <item m="1" x="2836"/>
        <item m="1" x="2834"/>
        <item m="1" x="2835"/>
        <item m="1" x="2837"/>
        <item m="1" x="2838"/>
        <item m="1" x="3031"/>
        <item m="1" x="3030"/>
        <item m="1" x="2839"/>
        <item m="1" x="2840"/>
        <item m="1" x="2841"/>
        <item m="1" x="3034"/>
        <item m="1" x="3033"/>
        <item m="1" x="3032"/>
        <item m="1" x="3037"/>
        <item m="1" x="3036"/>
        <item m="1" x="3035"/>
        <item m="1" x="2842"/>
        <item m="1" x="3039"/>
        <item m="1" x="3040"/>
        <item m="1" x="3038"/>
        <item m="1" x="2843"/>
        <item m="1" x="2845"/>
        <item m="1" x="2844"/>
        <item m="1" x="2847"/>
        <item m="1" x="2848"/>
        <item m="1" x="2846"/>
        <item m="1" x="2849"/>
        <item m="1" x="2851"/>
        <item m="1" x="2850"/>
        <item m="1" x="2853"/>
        <item m="1" x="2854"/>
        <item m="1" x="2852"/>
        <item m="1" x="2856"/>
        <item m="1" x="2857"/>
        <item m="1" x="2855"/>
        <item m="1" x="2858"/>
        <item m="1" x="2860"/>
        <item m="1" x="2859"/>
        <item m="1" x="3042"/>
        <item m="1" x="3043"/>
        <item m="1" x="3041"/>
        <item m="1" x="2861"/>
        <item m="1" x="2863"/>
        <item m="1" x="2862"/>
        <item m="1" x="2865"/>
        <item m="1" x="2866"/>
        <item m="1" x="2864"/>
        <item m="1" x="2867"/>
        <item m="1" x="2870"/>
        <item m="1" x="2869"/>
        <item m="1" x="2872"/>
        <item m="1" x="2868"/>
        <item m="1" x="2871"/>
        <item m="1" x="2873"/>
        <item m="1" x="2875"/>
        <item m="1" x="2874"/>
        <item m="1" x="2876"/>
        <item m="1" x="2878"/>
        <item m="1" x="2877"/>
        <item m="1" x="2880"/>
        <item m="1" x="2881"/>
        <item m="1" x="2879"/>
        <item m="1" x="2882"/>
        <item m="1" x="2884"/>
        <item m="1" x="2883"/>
        <item m="1" x="2887"/>
        <item m="1" x="2885"/>
        <item m="1" x="2889"/>
        <item m="1" x="2888"/>
        <item m="1" x="2886"/>
        <item m="1" x="2890"/>
        <item m="1" x="2891"/>
        <item m="1" x="2892"/>
        <item m="1" x="2895"/>
        <item m="1" x="2893"/>
        <item m="1" x="2894"/>
        <item m="1" x="2896"/>
        <item m="1" x="2897"/>
        <item m="1" x="2919"/>
        <item m="1" x="2916"/>
        <item m="1" x="2913"/>
        <item m="1" x="2922"/>
        <item m="1" x="2905"/>
        <item m="1" x="2902"/>
        <item m="1" x="2899"/>
        <item m="1" x="2906"/>
        <item m="1" x="2907"/>
        <item m="1" x="2918"/>
        <item m="1" x="2912"/>
        <item m="1" x="2910"/>
        <item m="1" x="2904"/>
        <item m="1" x="2921"/>
        <item m="1" x="2915"/>
        <item m="1" x="2901"/>
        <item m="1" x="2909"/>
        <item m="1" x="2920"/>
        <item m="1" x="2900"/>
        <item m="1" x="2898"/>
        <item m="1" x="2914"/>
        <item m="1" x="2911"/>
        <item m="1" x="2917"/>
        <item m="1" x="2908"/>
        <item m="1" x="2903"/>
        <item m="1" x="2923"/>
        <item m="1" x="2924"/>
        <item m="1" x="2926"/>
        <item m="1" x="2925"/>
        <item m="1" x="2928"/>
        <item m="1" x="2927"/>
        <item m="1" x="2929"/>
        <item m="1" x="2930"/>
        <item m="1" x="2931"/>
        <item m="1" x="2934"/>
        <item m="1" x="2933"/>
        <item m="1" x="2932"/>
        <item m="1" x="2938"/>
        <item m="1" x="2937"/>
        <item m="1" x="2939"/>
        <item m="1" x="2935"/>
        <item m="1" x="2936"/>
        <item m="1" x="2940"/>
        <item m="1" x="2941"/>
        <item m="1" x="2942"/>
        <item m="1" x="2943"/>
        <item m="1" x="2944"/>
        <item m="1" x="2946"/>
        <item m="1" x="2945"/>
        <item m="1" x="2947"/>
        <item m="1" x="2949"/>
        <item m="1" x="2948"/>
        <item m="1" x="2951"/>
        <item m="1" x="2952"/>
        <item m="1" x="2950"/>
        <item m="1" x="2953"/>
        <item m="1" x="2954"/>
        <item m="1" x="2955"/>
        <item m="1" x="2958"/>
        <item m="1" x="2957"/>
        <item m="1" x="2956"/>
        <item m="1" x="2959"/>
        <item m="1" x="2960"/>
        <item m="1" x="2963"/>
        <item m="1" x="2962"/>
        <item m="1" x="2961"/>
        <item m="1" x="2966"/>
        <item m="1" x="2967"/>
        <item m="1" x="2965"/>
        <item m="1" x="2964"/>
        <item m="1" x="2968"/>
        <item m="1" x="2969"/>
        <item m="1" x="2972"/>
        <item m="1" x="2971"/>
        <item m="1" x="2970"/>
        <item m="1" x="2973"/>
        <item m="1" x="2974"/>
        <item m="1" x="2975"/>
        <item m="1" x="2976"/>
        <item m="1" x="2978"/>
        <item m="1" x="2977"/>
        <item m="1" x="2979"/>
        <item m="1" x="2980"/>
        <item m="1" x="2981"/>
        <item m="1" x="2982"/>
        <item m="1" x="2984"/>
        <item m="1" x="2985"/>
        <item m="1" x="2983"/>
        <item m="1" x="2986"/>
        <item m="1" x="2989"/>
        <item m="1" x="2988"/>
        <item m="1" x="2987"/>
        <item m="1" x="2993"/>
        <item m="1" x="2990"/>
        <item m="1" x="2992"/>
        <item m="1" x="2994"/>
        <item m="1" x="2991"/>
        <item m="1" x="2995"/>
        <item m="1" x="2996"/>
        <item m="1" x="3002"/>
        <item m="1" x="3004"/>
        <item m="1" x="2998"/>
        <item m="1" x="3000"/>
        <item m="1" x="3001"/>
        <item m="1" x="3003"/>
        <item m="1" x="2997"/>
        <item m="1" x="2999"/>
        <item m="1" x="3044"/>
        <item m="1" x="3045"/>
        <item m="1" x="2342"/>
        <item m="1" x="2347"/>
        <item m="1" x="2343"/>
        <item m="1" x="2350"/>
        <item m="1" x="2340"/>
        <item m="1" x="2345"/>
        <item m="1" x="2351"/>
        <item m="1" x="2344"/>
        <item m="1" x="2352"/>
        <item m="1" x="2341"/>
        <item m="1" x="2348"/>
        <item m="1" x="2346"/>
        <item m="1" x="2353"/>
        <item m="1" x="2339"/>
        <item m="1" x="2349"/>
        <item m="1" x="2354"/>
        <item m="1" x="2355"/>
        <item m="1" x="2356"/>
        <item m="1" x="2357"/>
        <item m="1" x="2358"/>
        <item m="1" x="2359"/>
        <item m="1" x="2360"/>
        <item m="1" x="2365"/>
        <item m="1" x="2361"/>
        <item m="1" x="2362"/>
        <item m="1" x="2363"/>
        <item m="1" x="2364"/>
        <item m="1" x="2366"/>
        <item m="1" x="2368"/>
        <item m="1" x="2367"/>
        <item m="1" x="2369"/>
        <item m="1" x="2370"/>
        <item m="1" x="2371"/>
        <item m="1" x="2372"/>
        <item m="1" x="2376"/>
        <item m="1" x="2375"/>
        <item m="1" x="2378"/>
        <item m="1" x="2373"/>
        <item m="1" x="2377"/>
        <item m="1" x="2374"/>
        <item m="1" x="2379"/>
        <item m="1" x="2380"/>
        <item m="1" x="2382"/>
        <item m="1" x="2381"/>
        <item m="1" x="2389"/>
        <item m="1" x="2388"/>
        <item m="1" x="2390"/>
        <item m="1" x="2393"/>
        <item m="1" x="2394"/>
        <item m="1" x="2421"/>
        <item m="1" x="2422"/>
        <item m="1" x="2433"/>
        <item m="1" x="2432"/>
        <item m="1" x="2434"/>
        <item m="1" x="2435"/>
        <item m="1" x="2749"/>
        <item m="1" x="2750"/>
        <item m="1" x="2751"/>
        <item m="1" x="2752"/>
        <item m="1" x="2440"/>
        <item m="1" x="2441"/>
        <item m="1" x="2442"/>
        <item m="1" x="2458"/>
        <item m="1" x="2457"/>
        <item m="1" x="2459"/>
        <item m="1" x="2472"/>
        <item m="1" x="2478"/>
        <item m="1" x="2477"/>
        <item m="1" x="2476"/>
        <item m="1" x="2481"/>
        <item m="1" x="2479"/>
        <item m="1" x="2480"/>
        <item m="1" x="2484"/>
        <item m="1" x="2483"/>
        <item m="1" x="2482"/>
        <item m="1" x="2487"/>
        <item m="1" x="2485"/>
        <item m="1" x="2486"/>
        <item m="1" x="2491"/>
        <item m="1" x="2492"/>
        <item m="1" x="2493"/>
        <item m="1" x="2496"/>
        <item m="1" x="2495"/>
        <item m="1" x="2494"/>
        <item m="1" x="2500"/>
        <item m="1" x="2502"/>
        <item m="1" x="2501"/>
        <item m="1" x="2504"/>
        <item m="1" x="2503"/>
        <item m="1" x="2505"/>
        <item m="1" x="2507"/>
        <item m="1" x="2510"/>
        <item m="1" x="2508"/>
        <item m="1" x="2509"/>
        <item m="1" x="2511"/>
        <item m="1" x="2506"/>
        <item m="1" x="2516"/>
        <item m="1" x="2517"/>
        <item m="1" x="2515"/>
        <item m="1" x="2522"/>
        <item m="1" x="2523"/>
        <item m="1" x="2521"/>
        <item m="1" x="2525"/>
        <item m="1" x="2524"/>
        <item m="1" x="2526"/>
        <item m="1" x="2534"/>
        <item m="1" x="2535"/>
        <item m="1" x="2533"/>
        <item m="1" x="2536"/>
        <item m="1" x="2537"/>
        <item m="1" x="2571"/>
        <item m="1" x="2573"/>
        <item m="1" x="2572"/>
        <item m="1" x="2575"/>
        <item m="1" x="2574"/>
        <item m="1" x="2576"/>
        <item m="1" x="2578"/>
        <item m="1" x="2577"/>
        <item m="1" x="2592"/>
        <item m="1" x="2584"/>
        <item m="1" x="2581"/>
        <item m="1" x="2585"/>
        <item m="1" x="2591"/>
        <item m="1" x="2583"/>
        <item m="1" x="2588"/>
        <item m="1" x="2595"/>
        <item m="1" x="2580"/>
        <item m="1" x="2586"/>
        <item m="1" x="2596"/>
        <item m="1" x="2582"/>
        <item m="1" x="2589"/>
        <item m="1" x="2587"/>
        <item m="1" x="2593"/>
        <item m="1" x="2597"/>
        <item m="1" x="2579"/>
        <item m="1" x="2590"/>
        <item m="1" x="2594"/>
        <item m="1" x="2598"/>
        <item m="1" x="2600"/>
        <item m="1" x="2599"/>
        <item m="1" x="2601"/>
        <item m="1" x="2602"/>
        <item m="1" x="2604"/>
        <item m="1" x="2603"/>
        <item m="1" x="2605"/>
        <item m="1" x="2606"/>
        <item m="1" x="2607"/>
        <item m="1" x="2609"/>
        <item m="1" x="2610"/>
        <item m="1" x="2608"/>
        <item m="1" x="2617"/>
        <item m="1" x="2611"/>
        <item m="1" x="2614"/>
        <item m="1" x="2615"/>
        <item m="1" x="2612"/>
        <item m="1" x="2613"/>
        <item m="1" x="2616"/>
        <item m="1" x="2619"/>
        <item m="1" x="2618"/>
        <item m="1" x="2620"/>
        <item m="1" x="2622"/>
        <item m="1" x="2621"/>
        <item m="1" x="2624"/>
        <item m="1" x="2623"/>
        <item m="1" x="2625"/>
        <item m="1" x="2626"/>
        <item m="1" x="2627"/>
        <item m="1" x="2632"/>
        <item m="1" x="2633"/>
        <item m="1" x="2635"/>
        <item m="1" x="2634"/>
        <item m="1" x="2636"/>
        <item m="1" x="2637"/>
        <item m="1" x="2639"/>
        <item m="1" x="2640"/>
        <item m="1" x="2638"/>
        <item m="1" x="2641"/>
        <item m="1" x="2642"/>
        <item m="1" x="2644"/>
        <item m="1" x="2645"/>
        <item m="1" x="2643"/>
        <item m="1" x="2650"/>
        <item m="1" x="2649"/>
        <item m="1" x="2654"/>
        <item m="1" x="2651"/>
        <item m="1" x="2653"/>
        <item m="1" x="2652"/>
        <item m="1" x="2656"/>
        <item m="1" x="2655"/>
        <item m="1" x="2657"/>
        <item m="1" x="2658"/>
        <item m="1" x="2659"/>
        <item m="1" x="2660"/>
        <item m="1" x="2661"/>
        <item m="1" x="2662"/>
        <item m="1" x="2664"/>
        <item m="1" x="2663"/>
        <item m="1" x="2666"/>
        <item m="1" x="2665"/>
        <item m="1" x="2668"/>
        <item m="1" x="2667"/>
        <item m="1" x="2670"/>
        <item m="1" x="2674"/>
        <item m="1" x="2675"/>
        <item m="1" x="2669"/>
        <item m="1" x="2672"/>
        <item m="1" x="2671"/>
        <item m="1" x="2673"/>
        <item m="1" x="2676"/>
        <item m="1" x="2680"/>
        <item m="1" x="2678"/>
        <item m="1" x="2679"/>
        <item m="1" x="2677"/>
        <item m="1" x="2682"/>
        <item m="1" x="2683"/>
        <item m="1" x="2681"/>
        <item m="1" x="2687"/>
        <item m="1" x="2685"/>
        <item m="1" x="2684"/>
        <item m="1" x="2686"/>
        <item m="1" x="2741"/>
        <item m="1" x="2743"/>
        <item m="1" x="2746"/>
        <item m="1" x="2744"/>
        <item m="1" x="2745"/>
        <item m="1" x="2742"/>
        <item m="1" x="2748"/>
        <item m="1" x="2747"/>
        <item h="1" m="1" x="2383"/>
        <item h="1" m="1" x="2384"/>
        <item h="1" m="1" x="2385"/>
        <item h="1" m="1" x="2386"/>
        <item h="1" m="1" x="2387"/>
        <item h="1" m="1" x="2391"/>
        <item h="1" m="1" x="2392"/>
        <item h="1" m="1" x="2395"/>
        <item h="1" m="1" x="2396"/>
        <item h="1" m="1" x="2397"/>
        <item h="1" m="1" x="2398"/>
        <item h="1" m="1" x="2399"/>
        <item h="1" m="1" x="2400"/>
        <item h="1" m="1" x="2401"/>
        <item h="1" m="1" x="2402"/>
        <item h="1" m="1" x="2403"/>
        <item h="1" m="1" x="2404"/>
        <item h="1" m="1" x="2405"/>
        <item h="1" m="1" x="2406"/>
        <item h="1" m="1" x="2407"/>
        <item h="1" m="1" x="2408"/>
        <item h="1" m="1" x="2409"/>
        <item h="1" m="1" x="2410"/>
        <item h="1" m="1" x="2411"/>
        <item h="1" m="1" x="2412"/>
        <item h="1" m="1" x="2413"/>
        <item h="1" m="1" x="2414"/>
        <item h="1" m="1" x="2415"/>
        <item h="1" m="1" x="2416"/>
        <item h="1" m="1" x="2417"/>
        <item h="1" m="1" x="2418"/>
        <item h="1" m="1" x="2419"/>
        <item h="1" m="1" x="2420"/>
        <item h="1" m="1" x="2423"/>
        <item h="1" m="1" x="2424"/>
        <item h="1" m="1" x="2425"/>
        <item h="1" m="1" x="2426"/>
        <item h="1" m="1" x="2427"/>
        <item h="1" m="1" x="2428"/>
        <item h="1" m="1" x="2429"/>
        <item h="1" m="1" x="2430"/>
        <item h="1" m="1" x="2431"/>
        <item h="1" m="1" x="2436"/>
        <item h="1" m="1" x="2437"/>
        <item h="1" m="1" x="2438"/>
        <item h="1" m="1" x="2439"/>
        <item h="1" m="1" x="2443"/>
        <item h="1" m="1" x="2444"/>
        <item h="1" m="1" x="2445"/>
        <item h="1" m="1" x="2446"/>
        <item h="1" m="1" x="2447"/>
        <item h="1" m="1" x="2448"/>
        <item h="1" m="1" x="2449"/>
        <item h="1" m="1" x="2450"/>
        <item h="1" m="1" x="2451"/>
        <item h="1" m="1" x="2452"/>
        <item h="1" m="1" x="2453"/>
        <item h="1" m="1" x="2454"/>
        <item h="1" m="1" x="2455"/>
        <item h="1" m="1" x="2456"/>
        <item h="1" m="1" x="2460"/>
        <item h="1" m="1" x="2461"/>
        <item h="1" m="1" x="2462"/>
        <item h="1" m="1" x="2463"/>
        <item h="1" m="1" x="2464"/>
        <item h="1" m="1" x="2465"/>
        <item h="1" m="1" x="2466"/>
        <item h="1" m="1" x="2467"/>
        <item h="1" m="1" x="2468"/>
        <item h="1" m="1" x="2469"/>
        <item h="1" m="1" x="2470"/>
        <item h="1" m="1" x="2471"/>
        <item h="1" m="1" x="2473"/>
        <item h="1" m="1" x="2474"/>
        <item h="1" m="1" x="2475"/>
        <item h="1" m="1" x="2488"/>
        <item h="1" m="1" x="2489"/>
        <item h="1" m="1" x="2490"/>
        <item h="1" m="1" x="2497"/>
        <item h="1" m="1" x="2498"/>
        <item h="1" m="1" x="2499"/>
        <item h="1" m="1" x="2512"/>
        <item h="1" m="1" x="2513"/>
        <item h="1" m="1" x="2514"/>
        <item h="1" m="1" x="2518"/>
        <item h="1" m="1" x="2519"/>
        <item h="1" m="1" x="2520"/>
        <item h="1" m="1" x="2527"/>
        <item h="1" m="1" x="2528"/>
        <item h="1" m="1" x="2529"/>
        <item h="1" m="1" x="2530"/>
        <item h="1" m="1" x="2531"/>
        <item h="1" m="1" x="2532"/>
        <item h="1" m="1" x="2538"/>
        <item h="1" m="1" x="2539"/>
        <item h="1" m="1" x="2540"/>
        <item h="1" m="1" x="2541"/>
        <item h="1" m="1" x="2542"/>
        <item h="1" m="1" x="2543"/>
        <item h="1" m="1" x="2544"/>
        <item h="1" m="1" x="2545"/>
        <item h="1" m="1" x="2546"/>
        <item h="1" m="1" x="2547"/>
        <item h="1" m="1" x="2548"/>
        <item h="1" m="1" x="2549"/>
        <item h="1" m="1" x="2550"/>
        <item h="1" m="1" x="2551"/>
        <item h="1" m="1" x="2552"/>
        <item h="1" m="1" x="2553"/>
        <item h="1" m="1" x="2554"/>
        <item h="1" m="1" x="2555"/>
        <item h="1" m="1" x="2556"/>
        <item h="1" m="1" x="2557"/>
        <item h="1" m="1" x="2558"/>
        <item h="1" m="1" x="2559"/>
        <item h="1" m="1" x="2560"/>
        <item h="1" m="1" x="2561"/>
        <item h="1" m="1" x="2562"/>
        <item h="1" m="1" x="2563"/>
        <item h="1" m="1" x="2564"/>
        <item h="1" m="1" x="2565"/>
        <item h="1" m="1" x="2566"/>
        <item h="1" m="1" x="2567"/>
        <item h="1" m="1" x="2568"/>
        <item h="1" m="1" x="2569"/>
        <item h="1" m="1" x="2570"/>
        <item h="1" m="1" x="2628"/>
        <item h="1" m="1" x="2629"/>
        <item h="1" m="1" x="2630"/>
        <item h="1" m="1" x="2631"/>
        <item h="1" m="1" x="2646"/>
        <item h="1" m="1" x="2647"/>
        <item h="1" m="1" x="2648"/>
        <item h="1" m="1" x="2688"/>
        <item h="1" m="1" x="2689"/>
        <item h="1" m="1" x="2690"/>
        <item h="1" m="1" x="2691"/>
        <item h="1" m="1" x="2692"/>
        <item h="1" m="1" x="2693"/>
        <item h="1" m="1" x="2694"/>
        <item h="1" m="1" x="2695"/>
        <item h="1" m="1" x="2696"/>
        <item h="1" m="1" x="2697"/>
        <item h="1" m="1" x="2698"/>
        <item h="1" m="1" x="2699"/>
        <item h="1" m="1" x="2700"/>
        <item h="1" m="1" x="2701"/>
        <item h="1" m="1" x="2702"/>
        <item h="1" m="1" x="2703"/>
        <item h="1" m="1" x="2704"/>
        <item h="1" m="1" x="2705"/>
        <item h="1" m="1" x="2706"/>
        <item h="1" m="1" x="2707"/>
        <item h="1" m="1" x="2708"/>
        <item h="1" m="1" x="2709"/>
        <item h="1" m="1" x="2710"/>
        <item h="1" m="1" x="2711"/>
        <item h="1" m="1" x="2712"/>
        <item h="1" m="1" x="2713"/>
        <item h="1" m="1" x="2714"/>
        <item h="1" m="1" x="2715"/>
        <item h="1" m="1" x="2716"/>
        <item h="1" m="1" x="2717"/>
        <item h="1" m="1" x="2718"/>
        <item h="1" m="1" x="2719"/>
        <item h="1" m="1" x="2720"/>
        <item h="1" m="1" x="2721"/>
        <item h="1" m="1" x="2722"/>
        <item h="1" m="1" x="2723"/>
        <item h="1" m="1" x="2724"/>
        <item h="1" m="1" x="2725"/>
        <item h="1" m="1" x="2726"/>
        <item h="1" m="1" x="2727"/>
        <item h="1" m="1" x="2728"/>
        <item h="1" m="1" x="2729"/>
        <item h="1" m="1" x="2730"/>
        <item h="1" m="1" x="2731"/>
        <item h="1" m="1" x="2732"/>
        <item h="1" m="1" x="2733"/>
        <item h="1" m="1" x="2734"/>
        <item h="1" m="1" x="2735"/>
        <item h="1" m="1" x="2736"/>
        <item h="1" m="1" x="2737"/>
        <item h="1" m="1" x="2738"/>
        <item h="1" m="1" x="2739"/>
        <item h="1" m="1" x="2740"/>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095"/>
        <item m="1" x="1096"/>
        <item m="1" x="1097"/>
        <item m="1" x="1098"/>
        <item m="1" x="1099"/>
        <item m="1" x="1100"/>
        <item m="1" x="1107"/>
        <item m="1" x="1108"/>
        <item m="1" x="1109"/>
        <item m="1" x="1110"/>
        <item m="1" x="1111"/>
        <item m="1" x="1112"/>
        <item m="1" x="1101"/>
        <item m="1" x="1102"/>
        <item m="1" x="1103"/>
        <item m="1" x="1104"/>
        <item m="1" x="1105"/>
        <item m="1" x="1106"/>
        <item m="1" x="1113"/>
        <item m="1" x="1114"/>
        <item m="1" x="1115"/>
        <item m="1" x="1116"/>
        <item m="1" x="1117"/>
        <item m="1" x="1118"/>
        <item m="1" x="1119"/>
        <item m="1" x="1121"/>
        <item m="1" x="1122"/>
        <item m="1" x="1120"/>
        <item m="1" x="1123"/>
        <item m="1" x="1124"/>
        <item m="1" x="1127"/>
        <item m="1" x="1128"/>
        <item m="1" x="1125"/>
        <item m="1" x="1126"/>
        <item m="1" x="1133"/>
        <item m="1" x="1134"/>
        <item m="1" x="1129"/>
        <item m="1" x="1130"/>
        <item m="1" x="1131"/>
        <item m="1" x="1132"/>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6"/>
        <item m="1" x="1185"/>
        <item m="1" x="1187"/>
        <item m="1" x="1192"/>
        <item m="1" x="1193"/>
        <item m="1" x="1190"/>
        <item m="1" x="1191"/>
        <item m="1" x="1188"/>
        <item m="1" x="1189"/>
        <item m="1" x="1194"/>
        <item m="1" x="1195"/>
        <item m="1" x="1196"/>
        <item m="1" x="1197"/>
        <item m="1" x="1198"/>
        <item m="1" x="1201"/>
        <item m="1" x="1202"/>
        <item m="1" x="1199"/>
        <item m="1" x="1200"/>
        <item m="1" x="1203"/>
        <item m="1" x="1204"/>
        <item m="1" x="1205"/>
        <item m="1" x="1206"/>
        <item m="1" x="1207"/>
        <item m="1" x="1208"/>
        <item m="1" x="1211"/>
        <item m="1" x="1212"/>
        <item m="1" x="1209"/>
        <item m="1" x="1210"/>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5"/>
        <item m="1" x="1276"/>
        <item m="1" x="1274"/>
        <item m="1" x="1279"/>
        <item m="1" x="1277"/>
        <item m="1" x="1278"/>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9"/>
        <item m="1" x="1308"/>
        <item m="1" x="1310"/>
        <item m="1" x="1311"/>
        <item m="1" x="1312"/>
        <item m="1" x="1313"/>
        <item m="1" x="1314"/>
        <item m="1" x="1315"/>
        <item m="1" x="1316"/>
        <item m="1" x="1317"/>
        <item m="1" x="1318"/>
        <item m="1" x="1319"/>
        <item m="1" x="1320"/>
        <item m="1" x="1321"/>
        <item m="1" x="1322"/>
        <item m="1" x="1323"/>
        <item m="1" x="1324"/>
        <item m="1" x="1325"/>
        <item m="1" x="1328"/>
        <item m="1" x="1326"/>
        <item m="1" x="1327"/>
        <item m="1" x="1329"/>
        <item m="1" x="1330"/>
        <item m="1" x="1332"/>
        <item m="1" x="1331"/>
        <item m="1" x="1335"/>
        <item m="1" x="1333"/>
        <item m="1" x="1334"/>
        <item m="1" x="1336"/>
        <item m="1" x="1337"/>
        <item m="1" x="1338"/>
        <item m="1" x="1339"/>
        <item m="1" x="1340"/>
        <item m="1" x="1341"/>
        <item m="1" x="1343"/>
        <item m="1" x="1354"/>
        <item m="1" x="1352"/>
        <item m="1" x="1353"/>
        <item m="1" x="1350"/>
        <item m="1" x="1351"/>
        <item m="1" x="1344"/>
        <item m="1" x="1345"/>
        <item m="1" x="1346"/>
        <item m="1" x="1347"/>
        <item m="1" x="1348"/>
        <item m="1" x="1349"/>
        <item m="1" x="1342"/>
        <item m="1" x="1355"/>
        <item m="1" x="1356"/>
        <item m="1" x="1357"/>
        <item m="1" x="1358"/>
        <item m="1" x="1359"/>
        <item m="1" x="1360"/>
        <item m="1" x="1361"/>
        <item m="1" x="1362"/>
        <item m="1" x="1363"/>
        <item m="1" x="1364"/>
        <item m="1" x="1365"/>
        <item m="1" x="1366"/>
        <item m="1" x="1367"/>
        <item m="1" x="1369"/>
        <item m="1" x="1368"/>
        <item m="1" x="1371"/>
        <item m="1" x="1372"/>
        <item m="1" x="1370"/>
        <item m="1" x="1373"/>
        <item m="1" x="1374"/>
        <item m="1" x="1375"/>
        <item m="1" x="1376"/>
        <item m="1" x="1377"/>
        <item m="1" x="1378"/>
        <item m="1" x="1379"/>
        <item m="1" x="1380"/>
        <item m="1" x="1381"/>
        <item m="1" x="1384"/>
        <item m="1" x="1385"/>
        <item m="1" x="1382"/>
        <item m="1" x="1383"/>
        <item m="1" x="1387"/>
        <item m="1" x="1386"/>
        <item m="1" x="1390"/>
        <item m="1" x="1391"/>
        <item m="1" x="1392"/>
        <item m="1" x="1393"/>
        <item m="1" x="1395"/>
        <item m="1" x="1396"/>
        <item m="1" x="1394"/>
        <item m="1" x="1399"/>
        <item m="1" x="1397"/>
        <item m="1" x="1398"/>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7"/>
        <item m="1" x="1428"/>
        <item m="1" x="1426"/>
        <item m="1" x="1429"/>
        <item m="1" x="1430"/>
        <item m="1" x="1431"/>
        <item m="1" x="1432"/>
        <item m="1" x="1433"/>
        <item m="1" x="1434"/>
        <item m="1" x="1435"/>
        <item m="1" x="1437"/>
        <item m="1" x="1438"/>
        <item m="1" x="1436"/>
        <item m="1" x="1440"/>
        <item m="1" x="1441"/>
        <item m="1" x="1439"/>
        <item m="1" x="1442"/>
        <item m="1" x="1443"/>
        <item m="1" x="1444"/>
        <item m="1" x="1445"/>
        <item m="1" x="1446"/>
        <item m="1" x="1447"/>
        <item m="1" x="1448"/>
        <item m="1" x="1451"/>
        <item m="1" x="1449"/>
        <item m="1" x="1450"/>
        <item m="1" x="1452"/>
        <item m="1" x="1456"/>
        <item m="1" x="1453"/>
        <item m="1" x="1454"/>
        <item m="1" x="1455"/>
        <item m="1" x="1463"/>
        <item m="1" x="1464"/>
        <item m="1" x="1462"/>
        <item m="1" x="1459"/>
        <item m="1" x="1460"/>
        <item m="1" x="1461"/>
        <item m="1" x="1457"/>
        <item m="1" x="1458"/>
        <item m="1" x="1465"/>
        <item m="1" x="1466"/>
        <item m="1" x="1467"/>
        <item m="1" x="1468"/>
        <item m="1" x="1469"/>
        <item m="1" x="1470"/>
        <item m="1" x="1471"/>
        <item m="1" x="1472"/>
        <item m="1" x="1473"/>
        <item m="1" x="1474"/>
        <item m="1" x="1475"/>
        <item m="1" x="1476"/>
        <item m="1" x="1477"/>
        <item m="1" x="1478"/>
        <item m="1" x="1479"/>
        <item m="1" x="1480"/>
        <item m="1" x="1481"/>
        <item m="1" x="1482"/>
        <item m="1" x="1483"/>
        <item m="1" x="1062"/>
        <item m="1" x="1484"/>
        <item m="1" x="1485"/>
        <item m="1" x="1486"/>
        <item m="1" x="1488"/>
        <item m="1" x="1487"/>
        <item m="1" x="1489"/>
        <item m="1" x="1490"/>
        <item m="1" x="1491"/>
        <item m="1" x="1492"/>
        <item m="1" x="1493"/>
        <item m="1" x="1494"/>
        <item m="1" x="1496"/>
        <item m="1" x="1495"/>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23"/>
        <item m="1" x="1524"/>
        <item m="1" x="1525"/>
        <item m="1" x="1521"/>
        <item m="1" x="1522"/>
        <item m="1" x="1517"/>
        <item m="1" x="1518"/>
        <item m="1" x="1519"/>
        <item m="1" x="1520"/>
        <item m="1" x="1526"/>
        <item m="1" x="1527"/>
        <item m="1" x="1388"/>
        <item m="1" x="1389"/>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h="1" m="1" x="924"/>
        <item h="1" m="1" x="925"/>
        <item h="1" m="1" x="926"/>
        <item h="1" m="1" x="927"/>
        <item h="1" m="1" x="928"/>
        <item m="1" x="500"/>
        <item m="1" x="501"/>
        <item m="1" x="502"/>
        <item m="1" x="503"/>
        <item m="1" x="504"/>
        <item m="1" x="505"/>
        <item h="1" m="1" x="929"/>
        <item h="1" m="1" x="930"/>
        <item m="1" x="508"/>
        <item m="1" x="509"/>
        <item h="1" m="1" x="931"/>
        <item h="1" m="1" x="932"/>
        <item h="1" m="1" x="933"/>
        <item h="1" m="1" x="934"/>
        <item h="1" m="1" x="935"/>
        <item h="1" m="1" x="936"/>
        <item h="1" m="1" x="937"/>
        <item h="1" m="1" x="938"/>
        <item h="1" m="1" x="939"/>
        <item h="1" m="1" x="940"/>
        <item h="1" m="1" x="941"/>
        <item h="1" m="1" x="942"/>
        <item h="1" m="1" x="943"/>
        <item h="1" m="1" x="944"/>
        <item h="1" m="1" x="945"/>
        <item h="1" m="1" x="946"/>
        <item h="1" m="1" x="947"/>
        <item h="1" m="1" x="948"/>
        <item h="1" m="1" x="949"/>
        <item h="1" m="1" x="950"/>
        <item m="1" x="530"/>
        <item m="1" x="531"/>
        <item m="1" x="532"/>
        <item m="1" x="533"/>
        <item h="1" m="1" x="951"/>
        <item m="1" x="535"/>
        <item m="1" x="536"/>
        <item m="1" x="537"/>
        <item m="1" x="538"/>
        <item m="1" x="539"/>
        <item h="1" m="1" x="952"/>
        <item h="1" m="1" x="953"/>
        <item m="1" x="542"/>
        <item m="1" x="543"/>
        <item m="1" x="906"/>
        <item h="1" m="1" x="954"/>
        <item h="1" m="1" x="955"/>
        <item h="1" m="1" x="956"/>
        <item h="1" m="1" x="957"/>
        <item h="1" m="1" x="958"/>
        <item h="1" m="1" x="959"/>
        <item m="1" x="551"/>
        <item m="1" x="552"/>
        <item m="1" x="907"/>
        <item m="1" x="908"/>
        <item m="1" x="909"/>
        <item m="1" x="910"/>
        <item m="1" x="557"/>
        <item m="1" x="558"/>
        <item m="1" x="911"/>
        <item m="1" x="912"/>
        <item m="1" x="913"/>
        <item m="1" x="914"/>
        <item h="1" m="1" x="960"/>
        <item h="1" m="1" x="961"/>
        <item h="1" m="1" x="962"/>
        <item h="1" m="1" x="963"/>
        <item h="1" m="1" x="964"/>
        <item h="1" m="1" x="965"/>
        <item h="1" m="1" x="966"/>
        <item h="1" m="1" x="967"/>
        <item h="1" m="1" x="968"/>
        <item h="1" m="1" x="969"/>
        <item h="1" m="1" x="970"/>
        <item m="1" x="574"/>
        <item m="1" x="575"/>
        <item m="1" x="576"/>
        <item h="1" m="1" x="971"/>
        <item h="1" m="1" x="972"/>
        <item h="1" m="1" x="973"/>
        <item h="1" m="1" x="974"/>
        <item h="1" m="1" x="975"/>
        <item h="1" m="1" x="976"/>
        <item h="1" m="1" x="977"/>
        <item h="1" m="1" x="978"/>
        <item h="1" m="1" x="979"/>
        <item m="1" x="586"/>
        <item m="1" x="587"/>
        <item m="1" x="588"/>
        <item h="1" m="1" x="980"/>
        <item h="1" m="1" x="981"/>
        <item h="1" m="1" x="982"/>
        <item m="1" x="915"/>
        <item m="1" x="916"/>
        <item m="1" x="917"/>
        <item m="1" x="595"/>
        <item m="1" x="596"/>
        <item m="1" x="597"/>
        <item m="1" x="598"/>
        <item m="1" x="599"/>
        <item m="1" x="600"/>
        <item m="1" x="601"/>
        <item m="1" x="602"/>
        <item m="1" x="603"/>
        <item h="1" m="1" x="983"/>
        <item h="1" m="1" x="984"/>
        <item h="1" m="1" x="985"/>
        <item h="1" m="1" x="986"/>
        <item h="1" m="1" x="987"/>
        <item h="1" m="1" x="988"/>
        <item h="1" m="1" x="989"/>
        <item h="1" m="1" x="990"/>
        <item h="1" m="1" x="991"/>
        <item m="1" x="613"/>
        <item m="1" x="614"/>
        <item m="1" x="615"/>
        <item m="1" x="616"/>
        <item m="1" x="617"/>
        <item m="1" x="618"/>
        <item m="1" x="619"/>
        <item m="1" x="620"/>
        <item m="1" x="621"/>
        <item m="1" x="622"/>
        <item m="1" x="626"/>
        <item m="1" x="627"/>
        <item m="1" x="628"/>
        <item h="1" m="1" x="992"/>
        <item h="1" m="1" x="993"/>
        <item h="1" m="1" x="994"/>
        <item m="1" x="632"/>
        <item m="1" x="633"/>
        <item m="1" x="634"/>
        <item h="1" m="1" x="995"/>
        <item h="1" m="1" x="996"/>
        <item h="1" m="1" x="997"/>
        <item m="1" x="638"/>
        <item m="1" x="639"/>
        <item m="1" x="640"/>
        <item m="1" x="641"/>
        <item m="1" x="642"/>
        <item m="1" x="643"/>
        <item h="1" m="1" x="998"/>
        <item h="1" m="1" x="999"/>
        <item h="1" m="1" x="1000"/>
        <item h="1" m="1" x="1001"/>
        <item h="1" m="1" x="1002"/>
        <item h="1" m="1" x="1003"/>
        <item m="1" x="650"/>
        <item m="1" x="651"/>
        <item m="1" x="652"/>
        <item m="1" x="653"/>
        <item m="1" x="654"/>
        <item h="1" m="1" x="1004"/>
        <item h="1" m="1" x="1005"/>
        <item h="1" m="1" x="1006"/>
        <item h="1" m="1" x="1007"/>
        <item h="1" m="1" x="1008"/>
        <item h="1" m="1" x="1009"/>
        <item h="1" m="1" x="1010"/>
        <item h="1" m="1" x="1011"/>
        <item h="1" m="1" x="1012"/>
        <item h="1" m="1" x="1013"/>
        <item h="1" m="1" x="1014"/>
        <item h="1" m="1" x="1015"/>
        <item h="1" m="1" x="1016"/>
        <item h="1" m="1" x="1017"/>
        <item h="1" m="1" x="1018"/>
        <item h="1" m="1" x="1019"/>
        <item h="1" m="1" x="1020"/>
        <item h="1" m="1" x="1021"/>
        <item h="1" m="1" x="1022"/>
        <item h="1" m="1" x="1023"/>
        <item h="1" m="1" x="1024"/>
        <item h="1" m="1" x="1025"/>
        <item h="1" m="1" x="1026"/>
        <item h="1" m="1" x="1027"/>
        <item h="1" m="1" x="1028"/>
        <item h="1" m="1" x="1029"/>
        <item h="1" m="1" x="1030"/>
        <item h="1" m="1" x="1031"/>
        <item h="1" m="1" x="1032"/>
        <item h="1" m="1" x="1033"/>
        <item h="1" m="1" x="1034"/>
        <item m="1" x="686"/>
        <item m="1" x="687"/>
        <item m="1" x="688"/>
        <item m="1" x="689"/>
        <item m="1" x="690"/>
        <item m="1" x="691"/>
        <item m="1" x="692"/>
        <item m="1" x="693"/>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h="1" m="1" x="1035"/>
        <item h="1" m="1" x="1036"/>
        <item m="1" x="756"/>
        <item m="1" x="757"/>
        <item m="1" x="758"/>
        <item m="1" x="759"/>
        <item m="1" x="760"/>
        <item m="1" x="761"/>
        <item m="1" x="762"/>
        <item m="1" x="763"/>
        <item m="1" x="764"/>
        <item m="1" x="765"/>
        <item h="1" m="1" x="1037"/>
        <item h="1" m="1" x="1038"/>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h="1" m="1" x="1039"/>
        <item h="1" m="1" x="1040"/>
        <item h="1" m="1" x="1041"/>
        <item m="1" x="795"/>
        <item m="1" x="796"/>
        <item m="1" x="797"/>
        <item m="1" x="798"/>
        <item m="1" x="799"/>
        <item m="1" x="800"/>
        <item m="1" x="801"/>
        <item m="1" x="802"/>
        <item m="1" x="803"/>
        <item m="1" x="804"/>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h="1" m="1" x="1042"/>
        <item h="1" m="1" x="1043"/>
        <item h="1" m="1" x="1044"/>
        <item h="1" m="1" x="1045"/>
        <item h="1" m="1" x="1046"/>
        <item h="1" m="1" x="1047"/>
        <item h="1" m="1" x="1048"/>
        <item h="1" m="1" x="1049"/>
        <item h="1" m="1" x="1050"/>
        <item h="1" m="1" x="1051"/>
        <item h="1" m="1" x="1052"/>
        <item h="1" m="1" x="1053"/>
        <item h="1" m="1" x="1054"/>
        <item h="1" m="1" x="1055"/>
        <item h="1" m="1" x="1056"/>
        <item h="1" m="1" x="1057"/>
        <item h="1" m="1" x="1058"/>
        <item h="1" m="1" x="1059"/>
        <item h="1" m="1" x="1060"/>
        <item h="1" m="1" x="1061"/>
        <item h="1" m="1" x="1063"/>
        <item h="1" m="1" x="1064"/>
        <item h="1" m="1" x="1065"/>
        <item h="1" m="1" x="1066"/>
        <item h="1" m="1" x="1067"/>
        <item h="1" m="1" x="1068"/>
        <item h="1" m="1" x="1069"/>
        <item h="1" m="1" x="1070"/>
        <item h="1" m="1" x="1071"/>
        <item h="1" m="1" x="1072"/>
        <item h="1" m="1" x="1073"/>
        <item h="1" m="1" x="1074"/>
        <item h="1" m="1" x="1075"/>
        <item h="1" m="1" x="1076"/>
        <item h="1" m="1" x="1077"/>
        <item h="1" m="1" x="1078"/>
        <item h="1" m="1" x="1079"/>
        <item h="1" m="1" x="1080"/>
        <item h="1" m="1" x="1081"/>
        <item h="1" m="1" x="1082"/>
        <item h="1" m="1" x="1083"/>
        <item h="1" m="1" x="1084"/>
        <item h="1" m="1" x="1085"/>
        <item h="1" m="1" x="1086"/>
        <item h="1" m="1" x="1087"/>
        <item h="1" m="1" x="1088"/>
        <item h="1" m="1" x="1089"/>
        <item h="1" m="1" x="1090"/>
        <item h="1" m="1" x="1091"/>
        <item h="1" m="1" x="1092"/>
        <item h="1" m="1" x="1093"/>
        <item h="1" m="1" x="1094"/>
        <item m="1" x="894"/>
        <item m="1" x="895"/>
        <item m="1" x="896"/>
        <item m="1" x="897"/>
        <item m="1" x="898"/>
        <item m="1" x="899"/>
        <item m="1" x="900"/>
        <item m="1" x="901"/>
        <item m="1" x="902"/>
        <item m="1" x="903"/>
        <item m="1" x="904"/>
        <item m="1" x="905"/>
        <item m="1" x="623"/>
        <item m="1" x="624"/>
        <item m="1" x="625"/>
        <item m="1" x="805"/>
        <item m="1" x="806"/>
        <item m="1" x="807"/>
        <item m="1" x="495"/>
        <item m="1" x="496"/>
        <item m="1" x="497"/>
        <item m="1" x="498"/>
        <item m="1" x="499"/>
        <item m="1" x="506"/>
        <item m="1" x="507"/>
        <item m="1" x="510"/>
        <item m="1" x="511"/>
        <item m="1" x="512"/>
        <item m="1" x="513"/>
        <item m="1" x="514"/>
        <item m="1" x="515"/>
        <item m="1" x="516"/>
        <item m="1" x="517"/>
        <item m="1" x="518"/>
        <item m="1" x="519"/>
        <item m="1" x="520"/>
        <item m="1" x="521"/>
        <item m="1" x="522"/>
        <item m="1" x="523"/>
        <item m="1" x="524"/>
        <item m="1" x="525"/>
        <item m="1" x="526"/>
        <item m="1" x="527"/>
        <item m="1" x="528"/>
        <item m="1" x="529"/>
        <item m="1" x="534"/>
        <item m="1" x="540"/>
        <item m="1" x="541"/>
        <item m="1" x="545"/>
        <item m="1" x="546"/>
        <item m="1" x="547"/>
        <item m="1" x="548"/>
        <item m="1" x="549"/>
        <item m="1" x="550"/>
        <item m="1" x="563"/>
        <item m="1" x="564"/>
        <item m="1" x="565"/>
        <item m="1" x="566"/>
        <item m="1" x="567"/>
        <item m="1" x="568"/>
        <item m="1" x="569"/>
        <item m="1" x="570"/>
        <item m="1" x="571"/>
        <item m="1" x="572"/>
        <item m="1" x="573"/>
        <item m="1" x="577"/>
        <item m="1" x="578"/>
        <item m="1" x="579"/>
        <item m="1" x="580"/>
        <item m="1" x="581"/>
        <item m="1" x="582"/>
        <item m="1" x="583"/>
        <item m="1" x="584"/>
        <item m="1" x="585"/>
        <item m="1" x="589"/>
        <item m="1" x="590"/>
        <item m="1" x="591"/>
        <item m="1" x="604"/>
        <item m="1" x="605"/>
        <item m="1" x="606"/>
        <item m="1" x="918"/>
        <item m="1" x="919"/>
        <item m="1" x="920"/>
        <item m="1" x="921"/>
        <item m="1" x="922"/>
        <item m="1" x="923"/>
        <item m="1" x="629"/>
        <item m="1" x="630"/>
        <item m="1" x="631"/>
        <item m="1" x="635"/>
        <item m="1" x="636"/>
        <item m="1" x="637"/>
        <item m="1" x="644"/>
        <item m="1" x="645"/>
        <item m="1" x="646"/>
        <item m="1" x="647"/>
        <item m="1" x="648"/>
        <item m="1" x="649"/>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94"/>
        <item m="1" x="695"/>
        <item m="1" x="754"/>
        <item m="1" x="755"/>
        <item m="1" x="766"/>
        <item m="1" x="767"/>
        <item m="1" x="792"/>
        <item m="1" x="793"/>
        <item m="1" x="794"/>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544"/>
        <item m="1" x="553"/>
        <item m="1" x="554"/>
        <item m="1" x="555"/>
        <item m="1" x="556"/>
        <item m="1" x="559"/>
        <item m="1" x="560"/>
        <item m="1" x="561"/>
        <item m="1" x="562"/>
        <item m="1" x="592"/>
        <item m="1" x="593"/>
        <item m="1" x="594"/>
        <item m="1" x="607"/>
        <item m="1" x="608"/>
        <item m="1" x="609"/>
        <item m="1" x="610"/>
        <item m="1" x="611"/>
        <item m="1" x="6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t="default"/>
      </items>
    </pivotField>
    <pivotField numFmtId="172" showAll="0"/>
    <pivotField showAll="0"/>
    <pivotField axis="axisPage" multipleItemSelectionAllowed="1" showAll="0">
      <items count="8">
        <item h="1" x="4"/>
        <item x="2"/>
        <item h="1" x="0"/>
        <item h="1" x="1"/>
        <item h="1" m="1" x="6"/>
        <item h="1" x="3"/>
        <item h="1" x="5"/>
        <item t="default"/>
      </items>
    </pivotField>
    <pivotField showAll="0"/>
    <pivotField dataField="1" numFmtId="172" showAll="0"/>
    <pivotField axis="axisPage" multipleItemSelectionAllowed="1" showAll="0">
      <items count="8">
        <item m="1" x="6"/>
        <item h="1" x="4"/>
        <item x="1"/>
        <item h="1" x="0"/>
        <item h="1" x="2"/>
        <item h="1" x="5"/>
        <item h="1" x="3"/>
        <item t="default"/>
      </items>
    </pivotField>
    <pivotField multipleItemSelectionAllowed="1" showAll="0"/>
  </pivotFields>
  <rowFields count="1">
    <field x="5"/>
  </rowFields>
  <rowItems count="40">
    <i>
      <x v="5"/>
    </i>
    <i>
      <x v="6"/>
    </i>
    <i>
      <x v="18"/>
    </i>
    <i>
      <x v="20"/>
    </i>
    <i>
      <x v="23"/>
    </i>
    <i>
      <x v="26"/>
    </i>
    <i>
      <x v="37"/>
    </i>
    <i>
      <x v="38"/>
    </i>
    <i>
      <x v="43"/>
    </i>
    <i>
      <x v="44"/>
    </i>
    <i>
      <x v="50"/>
    </i>
    <i>
      <x v="55"/>
    </i>
    <i>
      <x v="59"/>
    </i>
    <i>
      <x v="64"/>
    </i>
    <i>
      <x v="66"/>
    </i>
    <i>
      <x v="76"/>
    </i>
    <i>
      <x v="78"/>
    </i>
    <i>
      <x v="84"/>
    </i>
    <i>
      <x v="85"/>
    </i>
    <i>
      <x v="86"/>
    </i>
    <i>
      <x v="87"/>
    </i>
    <i>
      <x v="107"/>
    </i>
    <i>
      <x v="108"/>
    </i>
    <i>
      <x v="111"/>
    </i>
    <i>
      <x v="112"/>
    </i>
    <i>
      <x v="129"/>
    </i>
    <i>
      <x v="134"/>
    </i>
    <i>
      <x v="140"/>
    </i>
    <i>
      <x v="141"/>
    </i>
    <i>
      <x v="144"/>
    </i>
    <i>
      <x v="151"/>
    </i>
    <i>
      <x v="152"/>
    </i>
    <i>
      <x v="157"/>
    </i>
    <i>
      <x v="163"/>
    </i>
    <i>
      <x v="178"/>
    </i>
    <i>
      <x v="179"/>
    </i>
    <i>
      <x v="182"/>
    </i>
    <i>
      <x v="184"/>
    </i>
    <i>
      <x v="189"/>
    </i>
    <i t="grand">
      <x/>
    </i>
  </rowItems>
  <colFields count="1">
    <field x="-2"/>
  </colFields>
  <colItems count="3">
    <i>
      <x/>
    </i>
    <i i="1">
      <x v="1"/>
    </i>
    <i i="2">
      <x v="2"/>
    </i>
  </colItems>
  <pageFields count="4">
    <pageField fld="2" hier="-1"/>
    <pageField fld="35" hier="-1"/>
    <pageField fld="38" hier="-1"/>
    <pageField fld="41" hier="-1"/>
  </pageFields>
  <dataFields count="3">
    <dataField name="Sum of Huella" fld="35" baseField="0" baseItem="0"/>
    <dataField name="Sum of Intensidad-M" fld="40" baseField="0" baseItem="0"/>
    <dataField name="Sum of Inv MM$" fld="28" baseField="0" baseItem="0"/>
  </dataFields>
  <formats count="1">
    <format dxfId="22">
      <pivotArea collapsedLevelsAreSubtotals="1" fieldPosition="0">
        <references count="1">
          <reference field="5" count="23">
            <x v="18"/>
            <x v="20"/>
            <x v="23"/>
            <x v="26"/>
            <x v="37"/>
            <x v="50"/>
            <x v="55"/>
            <x v="59"/>
            <x v="66"/>
            <x v="78"/>
            <x v="84"/>
            <x v="86"/>
            <x v="87"/>
            <x v="107"/>
            <x v="108"/>
            <x v="111"/>
            <x v="112"/>
            <x v="129"/>
            <x v="134"/>
            <x v="140"/>
            <x v="141"/>
            <x v="144"/>
            <x v="16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19F7481-863F-4F90-9E3A-099EB852C008}" name="PivotTable14"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T60:BW88" firstHeaderRow="0" firstDataRow="1" firstDataCol="1" rowPageCount="5" colPageCount="1"/>
  <pivotFields count="43">
    <pivotField showAll="0"/>
    <pivotField showAll="0"/>
    <pivotField axis="axisPage" multipleItemSelectionAllowed="1" showAll="0">
      <items count="5">
        <item h="1" x="2"/>
        <item x="1"/>
        <item x="0"/>
        <item x="3"/>
        <item t="default"/>
      </items>
    </pivotField>
    <pivotField showAll="0"/>
    <pivotField showAll="0"/>
    <pivotField axis="axisRow" showAll="0">
      <items count="203">
        <item x="84"/>
        <item x="83"/>
        <item x="82"/>
        <item x="69"/>
        <item x="41"/>
        <item x="27"/>
        <item x="49"/>
        <item x="145"/>
        <item x="146"/>
        <item x="181"/>
        <item x="173"/>
        <item x="193"/>
        <item x="175"/>
        <item x="170"/>
        <item x="196"/>
        <item x="166"/>
        <item x="178"/>
        <item x="179"/>
        <item x="52"/>
        <item x="12"/>
        <item x="16"/>
        <item x="15"/>
        <item x="14"/>
        <item x="17"/>
        <item x="96"/>
        <item x="97"/>
        <item x="8"/>
        <item x="85"/>
        <item x="75"/>
        <item x="105"/>
        <item x="102"/>
        <item x="198"/>
        <item x="104"/>
        <item x="103"/>
        <item x="195"/>
        <item x="130"/>
        <item x="147"/>
        <item x="149"/>
        <item x="28"/>
        <item x="66"/>
        <item x="186"/>
        <item x="73"/>
        <item x="185"/>
        <item x="44"/>
        <item x="67"/>
        <item x="53"/>
        <item x="188"/>
        <item x="43"/>
        <item x="180"/>
        <item x="171"/>
        <item x="191"/>
        <item x="54"/>
        <item x="184"/>
        <item x="125"/>
        <item x="148"/>
        <item x="115"/>
        <item x="199"/>
        <item x="55"/>
        <item x="56"/>
        <item x="63"/>
        <item x="200"/>
        <item x="57"/>
        <item x="86"/>
        <item x="87"/>
        <item x="88"/>
        <item x="46"/>
        <item x="109"/>
        <item x="35"/>
        <item x="65"/>
        <item x="194"/>
        <item x="133"/>
        <item x="0"/>
        <item x="2"/>
        <item x="1"/>
        <item x="3"/>
        <item x="4"/>
        <item x="150"/>
        <item x="58"/>
        <item x="116"/>
        <item x="9"/>
        <item x="7"/>
        <item x="183"/>
        <item x="190"/>
        <item x="21"/>
        <item x="40"/>
        <item x="23"/>
        <item x="22"/>
        <item x="45"/>
        <item x="37"/>
        <item x="36"/>
        <item x="59"/>
        <item x="42"/>
        <item x="24"/>
        <item x="114"/>
        <item x="131"/>
        <item x="122"/>
        <item x="19"/>
        <item x="152"/>
        <item x="78"/>
        <item x="182"/>
        <item x="128"/>
        <item x="197"/>
        <item x="90"/>
        <item x="89"/>
        <item x="127"/>
        <item x="126"/>
        <item x="174"/>
        <item x="13"/>
        <item x="32"/>
        <item x="79"/>
        <item x="74"/>
        <item x="121"/>
        <item x="33"/>
        <item x="64"/>
        <item x="129"/>
        <item x="141"/>
        <item x="71"/>
        <item x="60"/>
        <item x="177"/>
        <item x="31"/>
        <item x="187"/>
        <item x="169"/>
        <item x="172"/>
        <item x="176"/>
        <item x="168"/>
        <item x="154"/>
        <item x="118"/>
        <item x="120"/>
        <item x="117"/>
        <item x="101"/>
        <item x="20"/>
        <item x="189"/>
        <item x="110"/>
        <item x="111"/>
        <item x="18"/>
        <item x="132"/>
        <item x="155"/>
        <item x="76"/>
        <item x="91"/>
        <item x="39"/>
        <item x="26"/>
        <item x="139"/>
        <item x="50"/>
        <item x="112"/>
        <item x="156"/>
        <item x="158"/>
        <item x="81"/>
        <item x="25"/>
        <item x="29"/>
        <item x="38"/>
        <item x="167"/>
        <item x="159"/>
        <item x="51"/>
        <item x="77"/>
        <item x="161"/>
        <item x="162"/>
        <item x="163"/>
        <item x="164"/>
        <item x="165"/>
        <item x="124"/>
        <item x="192"/>
        <item x="62"/>
        <item x="61"/>
        <item x="94"/>
        <item x="95"/>
        <item x="80"/>
        <item x="34"/>
        <item x="119"/>
        <item x="138"/>
        <item x="143"/>
        <item x="137"/>
        <item x="142"/>
        <item x="108"/>
        <item x="160"/>
        <item x="92"/>
        <item x="151"/>
        <item x="107"/>
        <item x="123"/>
        <item x="6"/>
        <item x="72"/>
        <item x="98"/>
        <item x="113"/>
        <item x="5"/>
        <item x="10"/>
        <item x="11"/>
        <item x="30"/>
        <item x="47"/>
        <item x="48"/>
        <item x="68"/>
        <item x="70"/>
        <item x="93"/>
        <item x="99"/>
        <item x="100"/>
        <item x="106"/>
        <item x="134"/>
        <item x="135"/>
        <item x="136"/>
        <item x="140"/>
        <item x="144"/>
        <item x="153"/>
        <item x="157"/>
        <item x="201"/>
        <item t="default"/>
      </items>
    </pivotField>
    <pivotField showAll="0"/>
    <pivotField showAll="0"/>
    <pivotField showAll="0"/>
    <pivotField showAll="0"/>
    <pivotField showAll="0"/>
    <pivotField numFmtId="164" showAll="0"/>
    <pivotField showAll="0"/>
    <pivotField showAll="0"/>
    <pivotField showAll="0"/>
    <pivotField showAll="0"/>
    <pivotField showAll="0"/>
    <pivotField axis="axisRow" showAll="0">
      <items count="3">
        <item x="0"/>
        <item sd="0" x="1"/>
        <item t="default"/>
      </items>
    </pivotField>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4730">
        <item h="1" x="95"/>
        <item m="1" x="4539"/>
        <item m="1" x="4630"/>
        <item m="1" x="4633"/>
        <item m="1" x="4513"/>
        <item m="1" x="4632"/>
        <item m="1" x="4512"/>
        <item m="1" x="4557"/>
        <item m="1" x="4631"/>
        <item m="1" x="4561"/>
        <item m="1" x="4455"/>
        <item m="1" x="4560"/>
        <item m="1" x="4519"/>
        <item m="1" x="4530"/>
        <item m="1" x="4554"/>
        <item m="1" x="4525"/>
        <item m="1" x="4522"/>
        <item m="1" x="4571"/>
        <item m="1" x="4607"/>
        <item m="1" x="4478"/>
        <item m="1" x="4555"/>
        <item m="1" x="4457"/>
        <item m="1" x="4456"/>
        <item m="1" x="4679"/>
        <item m="1" x="4635"/>
        <item m="1" x="4425"/>
        <item m="1" x="4536"/>
        <item m="1" x="4627"/>
        <item m="1" x="4556"/>
        <item m="1" x="4576"/>
        <item m="1" x="4575"/>
        <item m="1" x="4686"/>
        <item m="1" x="4551"/>
        <item m="1" x="4480"/>
        <item m="1" x="4628"/>
        <item m="1" x="4634"/>
        <item m="1" x="4728"/>
        <item m="1" x="4534"/>
        <item m="1" x="4348"/>
        <item m="1" x="4629"/>
        <item m="1" x="4524"/>
        <item m="1" x="4682"/>
        <item m="1" x="4596"/>
        <item m="1" x="4688"/>
        <item m="1" x="4727"/>
        <item m="1" x="4619"/>
        <item m="1" x="4402"/>
        <item m="1" x="4621"/>
        <item m="1" x="4535"/>
        <item m="1" x="4354"/>
        <item m="1" x="4443"/>
        <item m="1" x="4690"/>
        <item m="1" x="4687"/>
        <item m="1" x="4401"/>
        <item m="1" x="4681"/>
        <item m="1" x="4601"/>
        <item m="1" x="4350"/>
        <item m="1" x="4597"/>
        <item m="1" x="4685"/>
        <item m="1" x="4385"/>
        <item m="1" x="4386"/>
        <item m="1" x="4684"/>
        <item m="1" x="4620"/>
        <item m="1" x="4678"/>
        <item m="1" x="4614"/>
        <item m="1" x="4400"/>
        <item m="1" x="4616"/>
        <item m="1" x="4397"/>
        <item m="1" x="4602"/>
        <item m="1" x="4683"/>
        <item m="1" x="4599"/>
        <item m="1" x="4359"/>
        <item m="1" x="4399"/>
        <item m="1" x="4371"/>
        <item m="1" x="4689"/>
        <item m="1" x="4370"/>
        <item m="1" x="4446"/>
        <item m="1" x="4418"/>
        <item m="1" x="4598"/>
        <item m="1" x="4600"/>
        <item m="1" x="4347"/>
        <item m="1" x="4677"/>
        <item m="1" x="4349"/>
        <item m="1" x="4694"/>
        <item m="1" x="4696"/>
        <item m="1" x="4608"/>
        <item m="1" x="4444"/>
        <item m="1" x="4384"/>
        <item m="1" x="4353"/>
        <item m="1" x="4360"/>
        <item m="1" x="4431"/>
        <item m="1" x="4343"/>
        <item m="1" x="4398"/>
        <item m="1" x="4516"/>
        <item m="1" x="4344"/>
        <item m="1" x="4339"/>
        <item m="1" x="4352"/>
        <item m="1" x="4546"/>
        <item m="1" x="4594"/>
        <item m="1" x="4547"/>
        <item m="1" x="4338"/>
        <item m="1" x="4311"/>
        <item m="1" x="4622"/>
        <item m="1" x="4372"/>
        <item m="1" x="4340"/>
        <item m="1" x="4671"/>
        <item m="1" x="4663"/>
        <item m="1" x="4611"/>
        <item m="1" x="4405"/>
        <item m="1" x="4693"/>
        <item m="1" x="4427"/>
        <item m="1" x="4615"/>
        <item m="1" x="4708"/>
        <item m="1" x="4448"/>
        <item m="1" x="4375"/>
        <item m="1" x="4337"/>
        <item m="1" x="4714"/>
        <item m="1" x="4672"/>
        <item m="1" x="4612"/>
        <item m="1" x="4518"/>
        <item m="1" x="4346"/>
        <item m="1" x="4617"/>
        <item m="1" x="4707"/>
        <item m="1" x="4276"/>
        <item m="1" x="4604"/>
        <item m="1" x="4345"/>
        <item m="1" x="4335"/>
        <item m="1" x="4369"/>
        <item m="1" x="4680"/>
        <item m="1" x="4713"/>
        <item m="1" x="4695"/>
        <item m="1" x="4408"/>
        <item m="1" x="4515"/>
        <item m="1" x="4341"/>
        <item m="1" x="4342"/>
        <item m="1" x="4426"/>
        <item m="1" x="4605"/>
        <item m="1" x="4445"/>
        <item m="1" x="4412"/>
        <item m="1" x="4537"/>
        <item m="1" x="4404"/>
        <item m="1" x="4391"/>
        <item m="1" x="4336"/>
        <item m="1" x="4433"/>
        <item m="1" x="4606"/>
        <item m="1" x="4662"/>
        <item m="1" x="4538"/>
        <item m="1" x="4618"/>
        <item m="1" x="4275"/>
        <item m="1" x="4613"/>
        <item m="1" x="4403"/>
        <item m="1" x="4655"/>
        <item m="1" x="4532"/>
        <item m="1" x="4704"/>
        <item m="1" x="4291"/>
        <item m="1" x="4657"/>
        <item m="1" x="4447"/>
        <item m="1" x="4711"/>
        <item m="1" x="4726"/>
        <item m="1" x="4623"/>
        <item m="1" x="4517"/>
        <item m="1" x="4595"/>
        <item m="1" x="4703"/>
        <item m="1" x="4413"/>
        <item m="1" x="4626"/>
        <item m="1" x="4717"/>
        <item m="1" x="4649"/>
        <item m="1" x="4692"/>
        <item m="1" x="4298"/>
        <item m="1" x="4475"/>
        <item m="1" x="4548"/>
        <item m="1" x="4603"/>
        <item m="1" x="4559"/>
        <item m="1" x="4715"/>
        <item m="1" x="4414"/>
        <item m="1" x="4387"/>
        <item m="1" x="4287"/>
        <item m="1" x="4373"/>
        <item m="1" x="4625"/>
        <item m="1" x="4531"/>
        <item m="1" x="4654"/>
        <item m="1" x="4361"/>
        <item m="1" x="4647"/>
        <item m="1" x="4501"/>
        <item m="1" x="4656"/>
        <item m="1" x="4691"/>
        <item m="1" x="4700"/>
        <item m="1" x="4529"/>
        <item m="1" x="4415"/>
        <item m="1" x="4624"/>
        <item m="1" x="4356"/>
        <item m="1" x="4409"/>
        <item m="1" x="4503"/>
        <item m="1" x="4355"/>
        <item m="1" x="4432"/>
        <item m="1" x="4710"/>
        <item m="1" x="4541"/>
        <item m="1" x="4362"/>
        <item m="1" x="4563"/>
        <item m="1" x="4374"/>
        <item m="1" x="4487"/>
        <item m="1" x="4587"/>
        <item m="1" x="4609"/>
        <item m="1" x="4567"/>
        <item m="1" x="4550"/>
        <item m="1" x="4702"/>
        <item m="1" x="4406"/>
        <item m="1" x="4333"/>
        <item m="1" x="4509"/>
        <item m="1" x="4653"/>
        <item m="1" x="4395"/>
        <item m="1" x="4589"/>
        <item m="1" x="4648"/>
        <item m="1" x="4486"/>
        <item m="1" x="4719"/>
        <item m="1" x="4705"/>
        <item m="1" x="4452"/>
        <item m="1" x="4720"/>
        <item m="1" x="4407"/>
        <item m="1" x="4473"/>
        <item m="1" x="4483"/>
        <item m="1" x="4651"/>
        <item m="1" x="4592"/>
        <item m="1" x="4449"/>
        <item m="1" x="4307"/>
        <item m="1" x="4610"/>
        <item m="1" x="4334"/>
        <item m="1" x="4568"/>
        <item m="1" x="4523"/>
        <item m="1" x="4718"/>
        <item m="1" x="4645"/>
        <item m="1" x="4588"/>
        <item m="1" x="4676"/>
        <item m="1" x="4504"/>
        <item m="1" x="4467"/>
        <item m="1" x="4390"/>
        <item m="1" x="4698"/>
        <item m="1" x="4558"/>
        <item m="1" x="4553"/>
        <item m="1" x="4461"/>
        <item m="1" x="4297"/>
        <item m="1" x="4357"/>
        <item m="1" x="4722"/>
        <item m="1" x="4420"/>
        <item m="1" x="4659"/>
        <item m="1" x="4382"/>
        <item m="1" x="4521"/>
        <item m="1" x="4716"/>
        <item m="1" x="4388"/>
        <item m="1" x="4273"/>
        <item m="1" x="4310"/>
        <item m="1" x="4646"/>
        <item m="1" x="4643"/>
        <item m="1" x="4574"/>
        <item m="1" x="4725"/>
        <item m="1" x="4474"/>
        <item m="1" x="4500"/>
        <item m="1" x="4497"/>
        <item m="1" x="4471"/>
        <item m="1" x="4499"/>
        <item m="1" x="4316"/>
        <item m="1" x="4706"/>
        <item m="1" x="4284"/>
        <item m="1" x="4508"/>
        <item m="1" x="4302"/>
        <item m="1" x="4383"/>
        <item m="1" x="4482"/>
        <item m="1" x="4488"/>
        <item m="1" x="4493"/>
        <item m="1" x="4652"/>
        <item m="1" x="4314"/>
        <item m="1" x="4380"/>
        <item m="1" x="4281"/>
        <item m="1" x="4502"/>
        <item m="1" x="4528"/>
        <item m="1" x="4485"/>
        <item m="1" x="4712"/>
        <item m="1" x="4365"/>
        <item m="1" x="4366"/>
        <item m="1" x="4351"/>
        <item m="1" x="4552"/>
        <item m="1" x="4419"/>
        <item m="1" x="4494"/>
        <item m="1" x="4490"/>
        <item m="1" x="4411"/>
        <item m="1" x="4543"/>
        <item m="1" x="4312"/>
        <item m="1" x="4437"/>
        <item m="1" x="4489"/>
        <item m="1" x="4505"/>
        <item m="1" x="4392"/>
        <item m="1" x="4639"/>
        <item m="1" x="4451"/>
        <item m="1" x="4545"/>
        <item m="1" x="4540"/>
        <item m="1" x="4507"/>
        <item m="1" x="4439"/>
        <item m="1" x="4376"/>
        <item m="1" x="4572"/>
        <item m="1" x="4666"/>
        <item m="1" x="4514"/>
        <item m="1" x="4641"/>
        <item m="1" x="4511"/>
        <item m="1" x="4642"/>
        <item m="1" x="4484"/>
        <item m="1" x="4564"/>
        <item m="1" x="4389"/>
        <item m="1" x="4593"/>
        <item m="1" x="4394"/>
        <item m="1" x="4320"/>
        <item m="1" x="4315"/>
        <item m="1" x="4381"/>
        <item m="1" x="4709"/>
        <item m="1" x="4562"/>
        <item m="1" x="4274"/>
        <item m="1" x="4644"/>
        <item m="1" x="4379"/>
        <item m="1" x="4417"/>
        <item m="1" x="4549"/>
        <item m="1" x="4724"/>
        <item m="1" x="4721"/>
        <item m="1" x="4323"/>
        <item m="1" x="4701"/>
        <item m="1" x="4313"/>
        <item m="1" x="4453"/>
        <item m="1" x="4464"/>
        <item m="1" x="4699"/>
        <item m="1" x="4454"/>
        <item m="1" x="4358"/>
        <item m="1" x="4697"/>
        <item m="1" x="4410"/>
        <item m="1" x="4664"/>
        <item m="1" x="4658"/>
        <item m="1" x="4364"/>
        <item m="1" x="4581"/>
        <item m="1" x="4492"/>
        <item m="1" x="4363"/>
        <item m="1" x="4295"/>
        <item m="1" x="4673"/>
        <item m="1" x="4579"/>
        <item m="1" x="4650"/>
        <item m="1" x="4675"/>
        <item m="1" x="4434"/>
        <item m="1" x="4570"/>
        <item m="1" x="4321"/>
        <item m="1" x="4496"/>
        <item m="1" x="4472"/>
        <item m="1" x="4665"/>
        <item m="1" x="4526"/>
        <item m="1" x="4396"/>
        <item m="1" x="4416"/>
        <item m="1" x="4660"/>
        <item m="1" x="4520"/>
        <item m="1" x="4299"/>
        <item m="1" x="4458"/>
        <item m="1" x="4469"/>
        <item m="1" x="4377"/>
        <item m="1" x="4586"/>
        <item m="1" x="4378"/>
        <item m="1" x="4583"/>
        <item m="1" x="4590"/>
        <item m="1" x="4495"/>
        <item m="1" x="4544"/>
        <item m="1" x="4591"/>
        <item m="1" x="4470"/>
        <item m="1" x="4498"/>
        <item m="1" x="4584"/>
        <item m="1" x="4450"/>
        <item m="1" x="4580"/>
        <item m="1" x="4542"/>
        <item m="1" x="4296"/>
        <item m="1" x="4638"/>
        <item m="1" x="4393"/>
        <item m="1" x="4306"/>
        <item m="1" x="4476"/>
        <item m="1" x="4309"/>
        <item m="1" x="4585"/>
        <item m="1" x="4305"/>
        <item m="1" x="4293"/>
        <item m="1" x="4463"/>
        <item m="1" x="4582"/>
        <item m="1" x="4566"/>
        <item m="1" x="4367"/>
        <item m="1" x="4481"/>
        <item m="1" x="4368"/>
        <item m="1" x="4510"/>
        <item m="1" x="4479"/>
        <item m="1" x="4317"/>
        <item m="1" x="4421"/>
        <item m="1" x="4674"/>
        <item m="1" x="4440"/>
        <item m="1" x="4637"/>
        <item m="1" x="4308"/>
        <item m="1" x="4292"/>
        <item m="1" x="4573"/>
        <item m="1" x="4661"/>
        <item m="1" x="4322"/>
        <item m="1" x="4428"/>
        <item m="1" x="4300"/>
        <item m="1" x="4533"/>
        <item m="1" x="4289"/>
        <item m="1" x="4468"/>
        <item m="1" x="4319"/>
        <item m="1" x="4668"/>
        <item m="1" x="4279"/>
        <item m="1" x="4506"/>
        <item m="1" x="4460"/>
        <item m="1" x="4569"/>
        <item m="1" x="4466"/>
        <item m="1" x="4331"/>
        <item m="1" x="4326"/>
        <item m="1" x="4318"/>
        <item m="1" x="4282"/>
        <item m="1" x="4527"/>
        <item m="1" x="4304"/>
        <item m="1" x="4577"/>
        <item m="1" x="4636"/>
        <item m="1" x="4640"/>
        <item m="1" x="4477"/>
        <item m="1" x="4436"/>
        <item m="1" x="4329"/>
        <item m="1" x="4491"/>
        <item m="1" x="4422"/>
        <item m="1" x="4301"/>
        <item m="1" x="4288"/>
        <item m="1" x="4462"/>
        <item m="1" x="4324"/>
        <item m="1" x="4459"/>
        <item m="1" x="4327"/>
        <item m="1" x="4285"/>
        <item m="1" x="4723"/>
        <item m="1" x="4565"/>
        <item m="1" x="4325"/>
        <item m="1" x="4332"/>
        <item m="1" x="4330"/>
        <item m="1" x="4303"/>
        <item m="1" x="4277"/>
        <item m="1" x="4465"/>
        <item m="1" x="4578"/>
        <item m="1" x="4438"/>
        <item m="1" x="4328"/>
        <item m="1" x="4669"/>
        <item m="1" x="4667"/>
        <item m="1" x="4429"/>
        <item m="1" x="4435"/>
        <item m="1" x="4290"/>
        <item m="1" x="4286"/>
        <item m="1" x="4294"/>
        <item m="1" x="4283"/>
        <item m="1" x="4280"/>
        <item m="1" x="4430"/>
        <item m="1" x="4442"/>
        <item m="1" x="4424"/>
        <item m="1" x="4670"/>
        <item m="1" x="4441"/>
        <item m="1" x="4278"/>
        <item m="1" x="4423"/>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h="1" m="1" x="3918"/>
        <item h="1" m="1" x="3919"/>
        <item h="1" m="1" x="3920"/>
        <item h="1" m="1" x="3921"/>
        <item h="1" m="1" x="3922"/>
        <item h="1" m="1" x="3923"/>
        <item h="1" m="1" x="3924"/>
        <item h="1" m="1" x="3925"/>
        <item h="1" m="1" x="3926"/>
        <item h="1" m="1" x="3927"/>
        <item h="1" m="1" x="3928"/>
        <item h="1" m="1" x="3929"/>
        <item h="1" m="1" x="3930"/>
        <item h="1" m="1" x="3931"/>
        <item h="1" m="1" x="3932"/>
        <item h="1" m="1" x="3933"/>
        <item h="1" m="1" x="3934"/>
        <item h="1" m="1" x="3935"/>
        <item h="1" m="1" x="3936"/>
        <item h="1" m="1" x="3937"/>
        <item h="1" m="1" x="3938"/>
        <item h="1" m="1" x="3939"/>
        <item h="1" m="1" x="3940"/>
        <item h="1" m="1" x="3941"/>
        <item h="1" m="1" x="3942"/>
        <item h="1" m="1" x="3943"/>
        <item h="1" m="1" x="3944"/>
        <item h="1" m="1" x="3945"/>
        <item h="1" m="1" x="3946"/>
        <item h="1" m="1" x="3947"/>
        <item h="1" m="1" x="3948"/>
        <item h="1" m="1" x="3949"/>
        <item h="1" m="1" x="3950"/>
        <item h="1" m="1" x="3951"/>
        <item h="1" m="1" x="3952"/>
        <item h="1" m="1" x="3953"/>
        <item h="1" m="1" x="3954"/>
        <item h="1" m="1" x="3955"/>
        <item h="1" m="1" x="3956"/>
        <item h="1" m="1" x="3957"/>
        <item h="1" m="1" x="3958"/>
        <item h="1" m="1" x="3959"/>
        <item h="1" m="1" x="3960"/>
        <item h="1" m="1" x="3961"/>
        <item h="1" m="1" x="3962"/>
        <item h="1" m="1" x="3963"/>
        <item h="1" m="1" x="3964"/>
        <item h="1" m="1" x="3965"/>
        <item h="1" m="1" x="3966"/>
        <item h="1" m="1" x="3967"/>
        <item h="1" m="1" x="3968"/>
        <item h="1" m="1" x="3969"/>
        <item h="1" m="1" x="3970"/>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h="1" m="1" x="3046"/>
        <item h="1" m="1" x="3047"/>
        <item h="1" m="1" x="3048"/>
        <item h="1" m="1" x="3049"/>
        <item h="1" m="1" x="3050"/>
        <item h="1" m="1" x="3051"/>
        <item h="1" m="1" x="3052"/>
        <item h="1" m="1" x="3053"/>
        <item h="1" m="1" x="3054"/>
        <item h="1" m="1" x="3055"/>
        <item h="1" m="1" x="3056"/>
        <item h="1" m="1" x="3057"/>
        <item h="1" m="1" x="3058"/>
        <item h="1" m="1" x="3059"/>
        <item h="1" m="1" x="3060"/>
        <item h="1" m="1" x="3061"/>
        <item h="1" m="1" x="3062"/>
        <item h="1" m="1" x="3063"/>
        <item h="1" m="1" x="3064"/>
        <item h="1" m="1" x="3065"/>
        <item h="1" m="1" x="3066"/>
        <item h="1" m="1" x="3067"/>
        <item h="1" m="1" x="3068"/>
        <item h="1" m="1" x="3069"/>
        <item h="1" m="1" x="3070"/>
        <item h="1" m="1" x="3071"/>
        <item h="1" m="1" x="3072"/>
        <item h="1" m="1" x="3073"/>
        <item h="1" m="1" x="3074"/>
        <item h="1" m="1" x="3075"/>
        <item h="1" m="1" x="3076"/>
        <item h="1" m="1" x="3077"/>
        <item h="1" m="1" x="3078"/>
        <item h="1" m="1" x="3079"/>
        <item h="1" m="1" x="3080"/>
        <item h="1" m="1" x="3081"/>
        <item h="1" m="1" x="3082"/>
        <item h="1" m="1" x="3083"/>
        <item h="1" m="1" x="3084"/>
        <item h="1" m="1" x="3085"/>
        <item h="1" m="1" x="3086"/>
        <item h="1" m="1" x="3087"/>
        <item h="1" m="1" x="3088"/>
        <item h="1" m="1" x="3089"/>
        <item h="1" m="1" x="3090"/>
        <item h="1" m="1" x="3091"/>
        <item h="1" m="1" x="3092"/>
        <item h="1" m="1" x="3093"/>
        <item h="1" m="1" x="3094"/>
        <item h="1" m="1" x="3095"/>
        <item h="1" m="1" x="3096"/>
        <item h="1" m="1" x="3097"/>
        <item h="1" m="1" x="3098"/>
        <item h="1" m="1" x="3099"/>
        <item h="1" m="1" x="3100"/>
        <item h="1" m="1" x="3101"/>
        <item h="1" m="1" x="3102"/>
        <item h="1" m="1" x="3103"/>
        <item h="1" m="1" x="3104"/>
        <item h="1" m="1" x="3105"/>
        <item h="1" m="1" x="3106"/>
        <item h="1" m="1" x="3107"/>
        <item h="1" m="1" x="3108"/>
        <item h="1" m="1" x="3109"/>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143"/>
        <item h="1" m="1" x="3144"/>
        <item h="1" m="1" x="3145"/>
        <item h="1" m="1" x="3146"/>
        <item h="1" m="1" x="3147"/>
        <item h="1" m="1" x="3148"/>
        <item h="1" m="1" x="3149"/>
        <item h="1" m="1" x="3150"/>
        <item h="1" m="1" x="3151"/>
        <item h="1" m="1" x="3152"/>
        <item h="1" m="1" x="3153"/>
        <item h="1" m="1" x="3154"/>
        <item h="1" m="1" x="3155"/>
        <item h="1" m="1" x="3156"/>
        <item h="1" m="1" x="3157"/>
        <item h="1" m="1" x="3158"/>
        <item h="1" m="1" x="3159"/>
        <item h="1" m="1" x="3160"/>
        <item h="1" m="1" x="3161"/>
        <item h="1" m="1" x="3162"/>
        <item h="1" m="1" x="3163"/>
        <item h="1" m="1" x="3164"/>
        <item h="1" m="1" x="3165"/>
        <item h="1" m="1" x="3166"/>
        <item h="1" m="1" x="3167"/>
        <item h="1" m="1" x="3168"/>
        <item h="1" m="1" x="3169"/>
        <item h="1" m="1" x="3170"/>
        <item h="1" m="1" x="3171"/>
        <item h="1" m="1" x="3172"/>
        <item h="1" m="1" x="3173"/>
        <item h="1" m="1" x="3174"/>
        <item h="1" m="1" x="3175"/>
        <item h="1" m="1" x="3176"/>
        <item h="1" m="1" x="3177"/>
        <item h="1" m="1" x="3178"/>
        <item h="1" m="1" x="3179"/>
        <item h="1" m="1" x="3180"/>
        <item h="1" m="1" x="3181"/>
        <item h="1" m="1" x="3182"/>
        <item h="1" m="1" x="3183"/>
        <item h="1" m="1" x="3184"/>
        <item h="1" m="1" x="3185"/>
        <item h="1" m="1" x="3186"/>
        <item h="1" m="1" x="3187"/>
        <item h="1" m="1" x="3188"/>
        <item h="1" m="1" x="3189"/>
        <item h="1" m="1" x="3190"/>
        <item h="1" m="1" x="3191"/>
        <item h="1" m="1" x="3192"/>
        <item h="1" m="1" x="3193"/>
        <item h="1" m="1" x="3194"/>
        <item h="1" m="1" x="3195"/>
        <item h="1" m="1" x="3196"/>
        <item h="1" m="1" x="3197"/>
        <item h="1" m="1" x="3198"/>
        <item h="1" m="1" x="3199"/>
        <item h="1" m="1" x="3200"/>
        <item h="1" m="1" x="3201"/>
        <item h="1" m="1" x="3202"/>
        <item h="1" m="1" x="3203"/>
        <item h="1" m="1" x="3204"/>
        <item h="1" m="1" x="3205"/>
        <item h="1" m="1" x="3206"/>
        <item h="1" m="1" x="3207"/>
        <item h="1" m="1" x="3208"/>
        <item h="1" m="1" x="3209"/>
        <item h="1" m="1" x="3210"/>
        <item h="1" m="1" x="3211"/>
        <item h="1" m="1" x="3212"/>
        <item h="1" m="1" x="3213"/>
        <item h="1" m="1" x="3214"/>
        <item h="1" m="1" x="3215"/>
        <item h="1" m="1" x="3216"/>
        <item h="1" m="1" x="3217"/>
        <item h="1" m="1" x="3218"/>
        <item h="1" m="1" x="3219"/>
        <item h="1" m="1" x="3220"/>
        <item h="1" m="1" x="3221"/>
        <item h="1" m="1" x="3222"/>
        <item h="1" m="1" x="3223"/>
        <item h="1" m="1" x="3224"/>
        <item h="1" m="1" x="3225"/>
        <item h="1" m="1" x="3226"/>
        <item h="1" m="1" x="3227"/>
        <item h="1" m="1" x="3228"/>
        <item h="1" m="1" x="3229"/>
        <item h="1" m="1" x="3230"/>
        <item h="1" m="1" x="3231"/>
        <item h="1" m="1" x="3232"/>
        <item h="1" m="1" x="3233"/>
        <item h="1" m="1" x="3234"/>
        <item h="1" m="1" x="3235"/>
        <item h="1" m="1" x="3236"/>
        <item h="1" m="1" x="3237"/>
        <item h="1" m="1" x="3238"/>
        <item h="1" m="1" x="3239"/>
        <item h="1" m="1" x="3240"/>
        <item h="1" m="1" x="3241"/>
        <item h="1" m="1" x="3242"/>
        <item h="1" m="1" x="3243"/>
        <item h="1" m="1" x="3244"/>
        <item h="1" m="1" x="3245"/>
        <item h="1" m="1" x="3246"/>
        <item h="1" m="1" x="3247"/>
        <item h="1" m="1" x="3248"/>
        <item h="1" m="1" x="3249"/>
        <item h="1" m="1" x="3250"/>
        <item h="1" m="1" x="3251"/>
        <item h="1" m="1" x="3252"/>
        <item h="1" m="1" x="3253"/>
        <item h="1" m="1" x="3254"/>
        <item h="1" m="1" x="3255"/>
        <item h="1" m="1" x="3256"/>
        <item h="1" m="1" x="3257"/>
        <item h="1" m="1" x="3258"/>
        <item h="1" m="1" x="3259"/>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h="1" m="1" x="3313"/>
        <item h="1" m="1" x="3314"/>
        <item h="1" m="1" x="3315"/>
        <item h="1" m="1" x="3316"/>
        <item h="1" m="1" x="3317"/>
        <item h="1" m="1" x="3318"/>
        <item h="1" m="1" x="3319"/>
        <item h="1" m="1" x="3320"/>
        <item h="1" m="1" x="3321"/>
        <item h="1" m="1" x="3322"/>
        <item h="1" m="1" x="3323"/>
        <item h="1" m="1" x="3324"/>
        <item h="1" m="1" x="3325"/>
        <item h="1" m="1" x="3326"/>
        <item h="1" m="1" x="3327"/>
        <item h="1" m="1" x="3328"/>
        <item h="1" m="1" x="3329"/>
        <item h="1" m="1" x="3330"/>
        <item h="1" m="1" x="3331"/>
        <item h="1" m="1" x="3332"/>
        <item h="1" m="1" x="3333"/>
        <item h="1" m="1" x="3334"/>
        <item h="1" m="1" x="3335"/>
        <item h="1" m="1" x="3336"/>
        <item h="1" m="1" x="3337"/>
        <item h="1" m="1" x="3338"/>
        <item h="1" m="1" x="3339"/>
        <item h="1" m="1" x="3340"/>
        <item h="1" m="1" x="3341"/>
        <item h="1" m="1" x="3342"/>
        <item h="1" m="1" x="3343"/>
        <item h="1" m="1" x="3344"/>
        <item h="1" m="1" x="3345"/>
        <item m="1" x="2758"/>
        <item m="1" x="2769"/>
        <item m="1" x="2763"/>
        <item m="1" x="2753"/>
        <item m="1" x="2773"/>
        <item m="1" x="2755"/>
        <item m="1" x="2771"/>
        <item m="1" x="2767"/>
        <item m="1" x="2765"/>
        <item m="1" x="2760"/>
        <item m="1" x="2759"/>
        <item m="1" x="2764"/>
        <item m="1" x="2754"/>
        <item m="1" x="2770"/>
        <item m="1" x="2756"/>
        <item m="1" x="2774"/>
        <item m="1" x="2768"/>
        <item m="1" x="2766"/>
        <item m="1" x="2761"/>
        <item m="1" x="2772"/>
        <item m="1" x="2757"/>
        <item m="1" x="2762"/>
        <item m="1" x="2777"/>
        <item m="1" x="2779"/>
        <item m="1" x="2776"/>
        <item m="1" x="2778"/>
        <item m="1" x="2775"/>
        <item m="1" x="2780"/>
        <item m="1" x="2782"/>
        <item m="1" x="2783"/>
        <item m="1" x="2781"/>
        <item m="1" x="2784"/>
        <item m="1" x="2785"/>
        <item m="1" x="2788"/>
        <item m="1" x="2787"/>
        <item m="1" x="2786"/>
        <item m="1" x="2799"/>
        <item m="1" x="2797"/>
        <item m="1" x="2791"/>
        <item m="1" x="2789"/>
        <item m="1" x="2794"/>
        <item m="1" x="2798"/>
        <item m="1" x="2800"/>
        <item m="1" x="2792"/>
        <item m="1" x="2795"/>
        <item m="1" x="2790"/>
        <item m="1" x="2796"/>
        <item m="1" x="2793"/>
        <item m="1" x="2805"/>
        <item m="1" x="2802"/>
        <item m="1" x="2803"/>
        <item m="1" x="2804"/>
        <item m="1" x="2806"/>
        <item m="1" x="2801"/>
        <item m="1" x="2807"/>
        <item m="1" x="2809"/>
        <item m="1" x="2808"/>
        <item m="1" x="2810"/>
        <item m="1" x="2811"/>
        <item m="1" x="2812"/>
        <item m="1" x="3006"/>
        <item m="1" x="3005"/>
        <item m="1" x="2813"/>
        <item m="1" x="2814"/>
        <item m="1" x="2816"/>
        <item m="1" x="2815"/>
        <item m="1" x="2817"/>
        <item m="1" x="2818"/>
        <item m="1" x="3007"/>
        <item m="1" x="3008"/>
        <item m="1" x="2819"/>
        <item m="1" x="3009"/>
        <item m="1" x="3010"/>
        <item m="1" x="2821"/>
        <item m="1" x="2820"/>
        <item m="1" x="3012"/>
        <item m="1" x="3011"/>
        <item m="1" x="3013"/>
        <item m="1" x="3014"/>
        <item m="1" x="3015"/>
        <item m="1" x="3017"/>
        <item m="1" x="3016"/>
        <item m="1" x="3018"/>
        <item m="1" x="2822"/>
        <item m="1" x="2823"/>
        <item m="1" x="3021"/>
        <item m="1" x="3025"/>
        <item m="1" x="3020"/>
        <item m="1" x="3022"/>
        <item m="1" x="3019"/>
        <item m="1" x="3024"/>
        <item m="1" x="3023"/>
        <item m="1" x="3026"/>
        <item m="1" x="3027"/>
        <item m="1" x="2825"/>
        <item m="1" x="2824"/>
        <item m="1" x="3028"/>
        <item m="1" x="3029"/>
        <item m="1" x="2826"/>
        <item m="1" x="2829"/>
        <item m="1" x="2827"/>
        <item m="1" x="2828"/>
        <item m="1" x="2831"/>
        <item m="1" x="2833"/>
        <item m="1" x="2830"/>
        <item m="1" x="2832"/>
        <item m="1" x="2836"/>
        <item m="1" x="2834"/>
        <item m="1" x="2835"/>
        <item m="1" x="2837"/>
        <item m="1" x="2838"/>
        <item m="1" x="3031"/>
        <item m="1" x="3030"/>
        <item m="1" x="2839"/>
        <item m="1" x="2840"/>
        <item m="1" x="2841"/>
        <item m="1" x="3034"/>
        <item m="1" x="3033"/>
        <item m="1" x="3032"/>
        <item m="1" x="3037"/>
        <item m="1" x="3036"/>
        <item m="1" x="3035"/>
        <item m="1" x="2842"/>
        <item m="1" x="3039"/>
        <item m="1" x="3040"/>
        <item m="1" x="3038"/>
        <item m="1" x="2843"/>
        <item m="1" x="2845"/>
        <item m="1" x="2844"/>
        <item m="1" x="2847"/>
        <item m="1" x="2848"/>
        <item m="1" x="2846"/>
        <item m="1" x="2849"/>
        <item m="1" x="2851"/>
        <item m="1" x="2850"/>
        <item m="1" x="2853"/>
        <item m="1" x="2854"/>
        <item m="1" x="2852"/>
        <item m="1" x="2856"/>
        <item m="1" x="2857"/>
        <item m="1" x="2855"/>
        <item m="1" x="2858"/>
        <item m="1" x="2860"/>
        <item m="1" x="2859"/>
        <item m="1" x="3042"/>
        <item m="1" x="3043"/>
        <item m="1" x="3041"/>
        <item m="1" x="2861"/>
        <item m="1" x="2863"/>
        <item m="1" x="2862"/>
        <item m="1" x="2865"/>
        <item m="1" x="2866"/>
        <item m="1" x="2864"/>
        <item m="1" x="2867"/>
        <item m="1" x="2870"/>
        <item m="1" x="2869"/>
        <item m="1" x="2872"/>
        <item m="1" x="2868"/>
        <item m="1" x="2871"/>
        <item m="1" x="2873"/>
        <item m="1" x="2875"/>
        <item m="1" x="2874"/>
        <item m="1" x="2876"/>
        <item m="1" x="2878"/>
        <item m="1" x="2877"/>
        <item m="1" x="2880"/>
        <item m="1" x="2881"/>
        <item m="1" x="2879"/>
        <item m="1" x="2882"/>
        <item m="1" x="2884"/>
        <item m="1" x="2883"/>
        <item m="1" x="2887"/>
        <item m="1" x="2885"/>
        <item m="1" x="2889"/>
        <item m="1" x="2888"/>
        <item m="1" x="2886"/>
        <item m="1" x="2890"/>
        <item m="1" x="2891"/>
        <item m="1" x="2892"/>
        <item m="1" x="2895"/>
        <item m="1" x="2893"/>
        <item m="1" x="2894"/>
        <item m="1" x="2896"/>
        <item m="1" x="2897"/>
        <item m="1" x="2919"/>
        <item m="1" x="2916"/>
        <item m="1" x="2913"/>
        <item m="1" x="2922"/>
        <item m="1" x="2905"/>
        <item m="1" x="2902"/>
        <item m="1" x="2899"/>
        <item m="1" x="2906"/>
        <item m="1" x="2907"/>
        <item m="1" x="2918"/>
        <item m="1" x="2912"/>
        <item m="1" x="2910"/>
        <item m="1" x="2904"/>
        <item m="1" x="2921"/>
        <item m="1" x="2915"/>
        <item m="1" x="2901"/>
        <item m="1" x="2909"/>
        <item m="1" x="2920"/>
        <item m="1" x="2900"/>
        <item m="1" x="2898"/>
        <item m="1" x="2914"/>
        <item m="1" x="2911"/>
        <item m="1" x="2917"/>
        <item m="1" x="2908"/>
        <item m="1" x="2903"/>
        <item m="1" x="2923"/>
        <item m="1" x="2924"/>
        <item m="1" x="2926"/>
        <item m="1" x="2925"/>
        <item m="1" x="2928"/>
        <item m="1" x="2927"/>
        <item m="1" x="2929"/>
        <item m="1" x="2930"/>
        <item m="1" x="2931"/>
        <item m="1" x="2934"/>
        <item m="1" x="2933"/>
        <item m="1" x="2932"/>
        <item m="1" x="2938"/>
        <item m="1" x="2937"/>
        <item m="1" x="2939"/>
        <item m="1" x="2935"/>
        <item m="1" x="2936"/>
        <item m="1" x="2940"/>
        <item m="1" x="2941"/>
        <item m="1" x="2942"/>
        <item m="1" x="2943"/>
        <item m="1" x="2944"/>
        <item m="1" x="2946"/>
        <item m="1" x="2945"/>
        <item m="1" x="2947"/>
        <item m="1" x="2949"/>
        <item m="1" x="2948"/>
        <item m="1" x="2951"/>
        <item m="1" x="2952"/>
        <item m="1" x="2950"/>
        <item m="1" x="2953"/>
        <item m="1" x="2954"/>
        <item m="1" x="2955"/>
        <item m="1" x="2958"/>
        <item m="1" x="2957"/>
        <item m="1" x="2956"/>
        <item m="1" x="2959"/>
        <item m="1" x="2960"/>
        <item m="1" x="2963"/>
        <item m="1" x="2962"/>
        <item m="1" x="2961"/>
        <item m="1" x="2966"/>
        <item m="1" x="2967"/>
        <item m="1" x="2965"/>
        <item m="1" x="2964"/>
        <item m="1" x="2968"/>
        <item m="1" x="2969"/>
        <item m="1" x="2972"/>
        <item m="1" x="2971"/>
        <item m="1" x="2970"/>
        <item m="1" x="2973"/>
        <item m="1" x="2974"/>
        <item m="1" x="2975"/>
        <item m="1" x="2976"/>
        <item m="1" x="2978"/>
        <item m="1" x="2977"/>
        <item m="1" x="2979"/>
        <item m="1" x="2980"/>
        <item m="1" x="2981"/>
        <item m="1" x="2982"/>
        <item m="1" x="2984"/>
        <item m="1" x="2985"/>
        <item m="1" x="2983"/>
        <item m="1" x="2986"/>
        <item m="1" x="2989"/>
        <item m="1" x="2988"/>
        <item m="1" x="2987"/>
        <item m="1" x="2993"/>
        <item m="1" x="2990"/>
        <item m="1" x="2992"/>
        <item m="1" x="2994"/>
        <item m="1" x="2991"/>
        <item m="1" x="2995"/>
        <item m="1" x="2996"/>
        <item m="1" x="3002"/>
        <item m="1" x="3004"/>
        <item m="1" x="2998"/>
        <item m="1" x="3000"/>
        <item m="1" x="3001"/>
        <item m="1" x="3003"/>
        <item m="1" x="2997"/>
        <item m="1" x="2999"/>
        <item m="1" x="3044"/>
        <item m="1" x="3045"/>
        <item m="1" x="2342"/>
        <item m="1" x="2347"/>
        <item m="1" x="2343"/>
        <item m="1" x="2350"/>
        <item m="1" x="2340"/>
        <item m="1" x="2345"/>
        <item m="1" x="2351"/>
        <item m="1" x="2344"/>
        <item m="1" x="2352"/>
        <item m="1" x="2341"/>
        <item m="1" x="2348"/>
        <item m="1" x="2346"/>
        <item m="1" x="2353"/>
        <item m="1" x="2339"/>
        <item m="1" x="2349"/>
        <item m="1" x="2354"/>
        <item m="1" x="2355"/>
        <item m="1" x="2356"/>
        <item m="1" x="2357"/>
        <item m="1" x="2358"/>
        <item m="1" x="2359"/>
        <item m="1" x="2360"/>
        <item m="1" x="2365"/>
        <item m="1" x="2361"/>
        <item m="1" x="2362"/>
        <item m="1" x="2363"/>
        <item m="1" x="2364"/>
        <item m="1" x="2366"/>
        <item m="1" x="2368"/>
        <item m="1" x="2367"/>
        <item m="1" x="2369"/>
        <item m="1" x="2370"/>
        <item m="1" x="2371"/>
        <item m="1" x="2372"/>
        <item m="1" x="2376"/>
        <item m="1" x="2375"/>
        <item m="1" x="2378"/>
        <item m="1" x="2373"/>
        <item m="1" x="2377"/>
        <item m="1" x="2374"/>
        <item m="1" x="2379"/>
        <item m="1" x="2380"/>
        <item m="1" x="2382"/>
        <item m="1" x="2381"/>
        <item m="1" x="2389"/>
        <item m="1" x="2388"/>
        <item m="1" x="2390"/>
        <item m="1" x="2393"/>
        <item m="1" x="2394"/>
        <item m="1" x="2421"/>
        <item m="1" x="2422"/>
        <item m="1" x="2433"/>
        <item m="1" x="2432"/>
        <item m="1" x="2434"/>
        <item m="1" x="2435"/>
        <item m="1" x="2749"/>
        <item m="1" x="2750"/>
        <item m="1" x="2751"/>
        <item m="1" x="2752"/>
        <item m="1" x="2440"/>
        <item m="1" x="2441"/>
        <item m="1" x="2442"/>
        <item m="1" x="2458"/>
        <item m="1" x="2457"/>
        <item m="1" x="2459"/>
        <item m="1" x="2472"/>
        <item m="1" x="2478"/>
        <item m="1" x="2477"/>
        <item m="1" x="2476"/>
        <item m="1" x="2481"/>
        <item m="1" x="2479"/>
        <item m="1" x="2480"/>
        <item m="1" x="2484"/>
        <item m="1" x="2483"/>
        <item m="1" x="2482"/>
        <item m="1" x="2487"/>
        <item m="1" x="2485"/>
        <item m="1" x="2486"/>
        <item m="1" x="2491"/>
        <item m="1" x="2492"/>
        <item m="1" x="2493"/>
        <item m="1" x="2496"/>
        <item m="1" x="2495"/>
        <item m="1" x="2494"/>
        <item m="1" x="2500"/>
        <item m="1" x="2502"/>
        <item m="1" x="2501"/>
        <item m="1" x="2504"/>
        <item m="1" x="2503"/>
        <item m="1" x="2505"/>
        <item m="1" x="2507"/>
        <item m="1" x="2510"/>
        <item m="1" x="2508"/>
        <item m="1" x="2509"/>
        <item m="1" x="2511"/>
        <item m="1" x="2506"/>
        <item m="1" x="2516"/>
        <item m="1" x="2517"/>
        <item m="1" x="2515"/>
        <item m="1" x="2522"/>
        <item m="1" x="2523"/>
        <item m="1" x="2521"/>
        <item m="1" x="2525"/>
        <item m="1" x="2524"/>
        <item m="1" x="2526"/>
        <item m="1" x="2534"/>
        <item m="1" x="2535"/>
        <item m="1" x="2533"/>
        <item m="1" x="2536"/>
        <item m="1" x="2537"/>
        <item m="1" x="2571"/>
        <item m="1" x="2573"/>
        <item m="1" x="2572"/>
        <item m="1" x="2575"/>
        <item m="1" x="2574"/>
        <item m="1" x="2576"/>
        <item m="1" x="2578"/>
        <item m="1" x="2577"/>
        <item m="1" x="2592"/>
        <item m="1" x="2584"/>
        <item m="1" x="2581"/>
        <item m="1" x="2585"/>
        <item m="1" x="2591"/>
        <item m="1" x="2583"/>
        <item m="1" x="2588"/>
        <item m="1" x="2595"/>
        <item m="1" x="2580"/>
        <item m="1" x="2586"/>
        <item m="1" x="2596"/>
        <item m="1" x="2582"/>
        <item m="1" x="2589"/>
        <item m="1" x="2587"/>
        <item m="1" x="2593"/>
        <item m="1" x="2597"/>
        <item m="1" x="2579"/>
        <item m="1" x="2590"/>
        <item m="1" x="2594"/>
        <item m="1" x="2598"/>
        <item m="1" x="2600"/>
        <item m="1" x="2599"/>
        <item m="1" x="2601"/>
        <item m="1" x="2602"/>
        <item m="1" x="2604"/>
        <item m="1" x="2603"/>
        <item m="1" x="2605"/>
        <item m="1" x="2606"/>
        <item m="1" x="2607"/>
        <item m="1" x="2609"/>
        <item m="1" x="2610"/>
        <item m="1" x="2608"/>
        <item m="1" x="2617"/>
        <item m="1" x="2611"/>
        <item m="1" x="2614"/>
        <item m="1" x="2615"/>
        <item m="1" x="2612"/>
        <item m="1" x="2613"/>
        <item m="1" x="2616"/>
        <item m="1" x="2619"/>
        <item m="1" x="2618"/>
        <item m="1" x="2620"/>
        <item m="1" x="2622"/>
        <item m="1" x="2621"/>
        <item m="1" x="2624"/>
        <item m="1" x="2623"/>
        <item m="1" x="2625"/>
        <item m="1" x="2626"/>
        <item m="1" x="2627"/>
        <item m="1" x="2632"/>
        <item m="1" x="2633"/>
        <item m="1" x="2635"/>
        <item m="1" x="2634"/>
        <item m="1" x="2636"/>
        <item m="1" x="2637"/>
        <item m="1" x="2639"/>
        <item m="1" x="2640"/>
        <item m="1" x="2638"/>
        <item m="1" x="2641"/>
        <item m="1" x="2642"/>
        <item m="1" x="2644"/>
        <item m="1" x="2645"/>
        <item m="1" x="2643"/>
        <item m="1" x="2650"/>
        <item m="1" x="2649"/>
        <item m="1" x="2654"/>
        <item m="1" x="2651"/>
        <item m="1" x="2653"/>
        <item m="1" x="2652"/>
        <item m="1" x="2656"/>
        <item m="1" x="2655"/>
        <item m="1" x="2657"/>
        <item m="1" x="2658"/>
        <item m="1" x="2659"/>
        <item m="1" x="2660"/>
        <item m="1" x="2661"/>
        <item m="1" x="2662"/>
        <item m="1" x="2664"/>
        <item m="1" x="2663"/>
        <item m="1" x="2666"/>
        <item m="1" x="2665"/>
        <item m="1" x="2668"/>
        <item m="1" x="2667"/>
        <item m="1" x="2670"/>
        <item m="1" x="2674"/>
        <item m="1" x="2675"/>
        <item m="1" x="2669"/>
        <item m="1" x="2672"/>
        <item m="1" x="2671"/>
        <item m="1" x="2673"/>
        <item m="1" x="2676"/>
        <item m="1" x="2680"/>
        <item m="1" x="2678"/>
        <item m="1" x="2679"/>
        <item m="1" x="2677"/>
        <item m="1" x="2682"/>
        <item m="1" x="2683"/>
        <item m="1" x="2681"/>
        <item m="1" x="2687"/>
        <item m="1" x="2685"/>
        <item m="1" x="2684"/>
        <item m="1" x="2686"/>
        <item m="1" x="2741"/>
        <item m="1" x="2743"/>
        <item m="1" x="2746"/>
        <item m="1" x="2744"/>
        <item m="1" x="2745"/>
        <item m="1" x="2742"/>
        <item m="1" x="2748"/>
        <item m="1" x="2747"/>
        <item h="1" m="1" x="2383"/>
        <item h="1" m="1" x="2384"/>
        <item h="1" m="1" x="2385"/>
        <item h="1" m="1" x="2386"/>
        <item h="1" m="1" x="2387"/>
        <item h="1" m="1" x="2391"/>
        <item h="1" m="1" x="2392"/>
        <item h="1" m="1" x="2395"/>
        <item h="1" m="1" x="2396"/>
        <item h="1" m="1" x="2397"/>
        <item h="1" m="1" x="2398"/>
        <item h="1" m="1" x="2399"/>
        <item h="1" m="1" x="2400"/>
        <item h="1" m="1" x="2401"/>
        <item h="1" m="1" x="2402"/>
        <item h="1" m="1" x="2403"/>
        <item h="1" m="1" x="2404"/>
        <item h="1" m="1" x="2405"/>
        <item h="1" m="1" x="2406"/>
        <item h="1" m="1" x="2407"/>
        <item h="1" m="1" x="2408"/>
        <item h="1" m="1" x="2409"/>
        <item h="1" m="1" x="2410"/>
        <item h="1" m="1" x="2411"/>
        <item h="1" m="1" x="2412"/>
        <item h="1" m="1" x="2413"/>
        <item h="1" m="1" x="2414"/>
        <item h="1" m="1" x="2415"/>
        <item h="1" m="1" x="2416"/>
        <item h="1" m="1" x="2417"/>
        <item h="1" m="1" x="2418"/>
        <item h="1" m="1" x="2419"/>
        <item h="1" m="1" x="2420"/>
        <item h="1" m="1" x="2423"/>
        <item h="1" m="1" x="2424"/>
        <item h="1" m="1" x="2425"/>
        <item h="1" m="1" x="2426"/>
        <item h="1" m="1" x="2427"/>
        <item h="1" m="1" x="2428"/>
        <item h="1" m="1" x="2429"/>
        <item h="1" m="1" x="2430"/>
        <item h="1" m="1" x="2431"/>
        <item h="1" m="1" x="2436"/>
        <item h="1" m="1" x="2437"/>
        <item h="1" m="1" x="2438"/>
        <item h="1" m="1" x="2439"/>
        <item h="1" m="1" x="2443"/>
        <item h="1" m="1" x="2444"/>
        <item h="1" m="1" x="2445"/>
        <item h="1" m="1" x="2446"/>
        <item h="1" m="1" x="2447"/>
        <item h="1" m="1" x="2448"/>
        <item h="1" m="1" x="2449"/>
        <item h="1" m="1" x="2450"/>
        <item h="1" m="1" x="2451"/>
        <item h="1" m="1" x="2452"/>
        <item h="1" m="1" x="2453"/>
        <item h="1" m="1" x="2454"/>
        <item h="1" m="1" x="2455"/>
        <item h="1" m="1" x="2456"/>
        <item h="1" m="1" x="2460"/>
        <item h="1" m="1" x="2461"/>
        <item h="1" m="1" x="2462"/>
        <item h="1" m="1" x="2463"/>
        <item h="1" m="1" x="2464"/>
        <item h="1" m="1" x="2465"/>
        <item h="1" m="1" x="2466"/>
        <item h="1" m="1" x="2467"/>
        <item h="1" m="1" x="2468"/>
        <item h="1" m="1" x="2469"/>
        <item h="1" m="1" x="2470"/>
        <item h="1" m="1" x="2471"/>
        <item h="1" m="1" x="2473"/>
        <item h="1" m="1" x="2474"/>
        <item h="1" m="1" x="2475"/>
        <item h="1" m="1" x="2488"/>
        <item h="1" m="1" x="2489"/>
        <item h="1" m="1" x="2490"/>
        <item h="1" m="1" x="2497"/>
        <item h="1" m="1" x="2498"/>
        <item h="1" m="1" x="2499"/>
        <item h="1" m="1" x="2512"/>
        <item h="1" m="1" x="2513"/>
        <item h="1" m="1" x="2514"/>
        <item h="1" m="1" x="2518"/>
        <item h="1" m="1" x="2519"/>
        <item h="1" m="1" x="2520"/>
        <item h="1" m="1" x="2527"/>
        <item h="1" m="1" x="2528"/>
        <item h="1" m="1" x="2529"/>
        <item h="1" m="1" x="2530"/>
        <item h="1" m="1" x="2531"/>
        <item h="1" m="1" x="2532"/>
        <item h="1" m="1" x="2538"/>
        <item h="1" m="1" x="2539"/>
        <item h="1" m="1" x="2540"/>
        <item h="1" m="1" x="2541"/>
        <item h="1" m="1" x="2542"/>
        <item h="1" m="1" x="2543"/>
        <item h="1" m="1" x="2544"/>
        <item h="1" m="1" x="2545"/>
        <item h="1" m="1" x="2546"/>
        <item h="1" m="1" x="2547"/>
        <item h="1" m="1" x="2548"/>
        <item h="1" m="1" x="2549"/>
        <item h="1" m="1" x="2550"/>
        <item h="1" m="1" x="2551"/>
        <item h="1" m="1" x="2552"/>
        <item h="1" m="1" x="2553"/>
        <item h="1" m="1" x="2554"/>
        <item h="1" m="1" x="2555"/>
        <item h="1" m="1" x="2556"/>
        <item h="1" m="1" x="2557"/>
        <item h="1" m="1" x="2558"/>
        <item h="1" m="1" x="2559"/>
        <item h="1" m="1" x="2560"/>
        <item h="1" m="1" x="2561"/>
        <item h="1" m="1" x="2562"/>
        <item h="1" m="1" x="2563"/>
        <item h="1" m="1" x="2564"/>
        <item h="1" m="1" x="2565"/>
        <item h="1" m="1" x="2566"/>
        <item h="1" m="1" x="2567"/>
        <item h="1" m="1" x="2568"/>
        <item h="1" m="1" x="2569"/>
        <item h="1" m="1" x="2570"/>
        <item h="1" m="1" x="2628"/>
        <item h="1" m="1" x="2629"/>
        <item h="1" m="1" x="2630"/>
        <item h="1" m="1" x="2631"/>
        <item h="1" m="1" x="2646"/>
        <item h="1" m="1" x="2647"/>
        <item h="1" m="1" x="2648"/>
        <item h="1" m="1" x="2688"/>
        <item h="1" m="1" x="2689"/>
        <item h="1" m="1" x="2690"/>
        <item h="1" m="1" x="2691"/>
        <item h="1" m="1" x="2692"/>
        <item h="1" m="1" x="2693"/>
        <item h="1" m="1" x="2694"/>
        <item h="1" m="1" x="2695"/>
        <item h="1" m="1" x="2696"/>
        <item h="1" m="1" x="2697"/>
        <item h="1" m="1" x="2698"/>
        <item h="1" m="1" x="2699"/>
        <item h="1" m="1" x="2700"/>
        <item h="1" m="1" x="2701"/>
        <item h="1" m="1" x="2702"/>
        <item h="1" m="1" x="2703"/>
        <item h="1" m="1" x="2704"/>
        <item h="1" m="1" x="2705"/>
        <item h="1" m="1" x="2706"/>
        <item h="1" m="1" x="2707"/>
        <item h="1" m="1" x="2708"/>
        <item h="1" m="1" x="2709"/>
        <item h="1" m="1" x="2710"/>
        <item h="1" m="1" x="2711"/>
        <item h="1" m="1" x="2712"/>
        <item h="1" m="1" x="2713"/>
        <item h="1" m="1" x="2714"/>
        <item h="1" m="1" x="2715"/>
        <item h="1" m="1" x="2716"/>
        <item h="1" m="1" x="2717"/>
        <item h="1" m="1" x="2718"/>
        <item h="1" m="1" x="2719"/>
        <item h="1" m="1" x="2720"/>
        <item h="1" m="1" x="2721"/>
        <item h="1" m="1" x="2722"/>
        <item h="1" m="1" x="2723"/>
        <item h="1" m="1" x="2724"/>
        <item h="1" m="1" x="2725"/>
        <item h="1" m="1" x="2726"/>
        <item h="1" m="1" x="2727"/>
        <item h="1" m="1" x="2728"/>
        <item h="1" m="1" x="2729"/>
        <item h="1" m="1" x="2730"/>
        <item h="1" m="1" x="2731"/>
        <item h="1" m="1" x="2732"/>
        <item h="1" m="1" x="2733"/>
        <item h="1" m="1" x="2734"/>
        <item h="1" m="1" x="2735"/>
        <item h="1" m="1" x="2736"/>
        <item h="1" m="1" x="2737"/>
        <item h="1" m="1" x="2738"/>
        <item h="1" m="1" x="2739"/>
        <item h="1" m="1" x="2740"/>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095"/>
        <item m="1" x="1096"/>
        <item m="1" x="1097"/>
        <item m="1" x="1098"/>
        <item m="1" x="1099"/>
        <item m="1" x="1100"/>
        <item m="1" x="1107"/>
        <item m="1" x="1108"/>
        <item m="1" x="1109"/>
        <item m="1" x="1110"/>
        <item m="1" x="1111"/>
        <item m="1" x="1112"/>
        <item m="1" x="1101"/>
        <item m="1" x="1102"/>
        <item m="1" x="1103"/>
        <item m="1" x="1104"/>
        <item m="1" x="1105"/>
        <item m="1" x="1106"/>
        <item m="1" x="1113"/>
        <item m="1" x="1114"/>
        <item m="1" x="1115"/>
        <item m="1" x="1116"/>
        <item m="1" x="1117"/>
        <item m="1" x="1118"/>
        <item m="1" x="1119"/>
        <item m="1" x="1121"/>
        <item m="1" x="1122"/>
        <item m="1" x="1120"/>
        <item m="1" x="1123"/>
        <item m="1" x="1124"/>
        <item m="1" x="1127"/>
        <item m="1" x="1128"/>
        <item m="1" x="1125"/>
        <item m="1" x="1126"/>
        <item m="1" x="1133"/>
        <item m="1" x="1134"/>
        <item m="1" x="1129"/>
        <item m="1" x="1130"/>
        <item m="1" x="1131"/>
        <item m="1" x="1132"/>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6"/>
        <item m="1" x="1185"/>
        <item m="1" x="1187"/>
        <item m="1" x="1192"/>
        <item m="1" x="1193"/>
        <item m="1" x="1190"/>
        <item m="1" x="1191"/>
        <item m="1" x="1188"/>
        <item m="1" x="1189"/>
        <item m="1" x="1194"/>
        <item m="1" x="1195"/>
        <item m="1" x="1196"/>
        <item m="1" x="1197"/>
        <item m="1" x="1198"/>
        <item m="1" x="1201"/>
        <item m="1" x="1202"/>
        <item m="1" x="1199"/>
        <item m="1" x="1200"/>
        <item m="1" x="1203"/>
        <item m="1" x="1204"/>
        <item m="1" x="1205"/>
        <item m="1" x="1206"/>
        <item m="1" x="1207"/>
        <item m="1" x="1208"/>
        <item m="1" x="1211"/>
        <item m="1" x="1212"/>
        <item m="1" x="1209"/>
        <item m="1" x="1210"/>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5"/>
        <item m="1" x="1276"/>
        <item m="1" x="1274"/>
        <item m="1" x="1279"/>
        <item m="1" x="1277"/>
        <item m="1" x="1278"/>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9"/>
        <item m="1" x="1308"/>
        <item m="1" x="1310"/>
        <item m="1" x="1311"/>
        <item m="1" x="1312"/>
        <item m="1" x="1313"/>
        <item m="1" x="1314"/>
        <item m="1" x="1315"/>
        <item m="1" x="1316"/>
        <item m="1" x="1317"/>
        <item m="1" x="1318"/>
        <item m="1" x="1319"/>
        <item m="1" x="1320"/>
        <item m="1" x="1321"/>
        <item m="1" x="1322"/>
        <item m="1" x="1323"/>
        <item m="1" x="1324"/>
        <item m="1" x="1325"/>
        <item m="1" x="1328"/>
        <item m="1" x="1326"/>
        <item m="1" x="1327"/>
        <item m="1" x="1329"/>
        <item m="1" x="1330"/>
        <item m="1" x="1332"/>
        <item m="1" x="1331"/>
        <item m="1" x="1335"/>
        <item m="1" x="1333"/>
        <item m="1" x="1334"/>
        <item m="1" x="1336"/>
        <item m="1" x="1337"/>
        <item m="1" x="1338"/>
        <item m="1" x="1339"/>
        <item m="1" x="1340"/>
        <item m="1" x="1341"/>
        <item m="1" x="1343"/>
        <item m="1" x="1354"/>
        <item m="1" x="1352"/>
        <item m="1" x="1353"/>
        <item m="1" x="1350"/>
        <item m="1" x="1351"/>
        <item m="1" x="1344"/>
        <item m="1" x="1345"/>
        <item m="1" x="1346"/>
        <item m="1" x="1347"/>
        <item m="1" x="1348"/>
        <item m="1" x="1349"/>
        <item m="1" x="1342"/>
        <item m="1" x="1355"/>
        <item m="1" x="1356"/>
        <item m="1" x="1357"/>
        <item m="1" x="1358"/>
        <item m="1" x="1359"/>
        <item m="1" x="1360"/>
        <item m="1" x="1361"/>
        <item m="1" x="1362"/>
        <item m="1" x="1363"/>
        <item m="1" x="1364"/>
        <item m="1" x="1365"/>
        <item m="1" x="1366"/>
        <item m="1" x="1367"/>
        <item m="1" x="1369"/>
        <item m="1" x="1368"/>
        <item m="1" x="1371"/>
        <item m="1" x="1372"/>
        <item m="1" x="1370"/>
        <item m="1" x="1373"/>
        <item m="1" x="1374"/>
        <item m="1" x="1375"/>
        <item m="1" x="1376"/>
        <item m="1" x="1377"/>
        <item m="1" x="1378"/>
        <item m="1" x="1379"/>
        <item m="1" x="1380"/>
        <item m="1" x="1381"/>
        <item m="1" x="1384"/>
        <item m="1" x="1385"/>
        <item m="1" x="1382"/>
        <item m="1" x="1383"/>
        <item m="1" x="1387"/>
        <item m="1" x="1386"/>
        <item m="1" x="1390"/>
        <item m="1" x="1391"/>
        <item m="1" x="1392"/>
        <item m="1" x="1393"/>
        <item m="1" x="1395"/>
        <item m="1" x="1396"/>
        <item m="1" x="1394"/>
        <item m="1" x="1399"/>
        <item m="1" x="1397"/>
        <item m="1" x="1398"/>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7"/>
        <item m="1" x="1428"/>
        <item m="1" x="1426"/>
        <item m="1" x="1429"/>
        <item m="1" x="1430"/>
        <item m="1" x="1431"/>
        <item m="1" x="1432"/>
        <item m="1" x="1433"/>
        <item m="1" x="1434"/>
        <item m="1" x="1435"/>
        <item m="1" x="1437"/>
        <item m="1" x="1438"/>
        <item m="1" x="1436"/>
        <item m="1" x="1440"/>
        <item m="1" x="1441"/>
        <item m="1" x="1439"/>
        <item m="1" x="1442"/>
        <item m="1" x="1443"/>
        <item m="1" x="1444"/>
        <item m="1" x="1445"/>
        <item m="1" x="1446"/>
        <item m="1" x="1447"/>
        <item m="1" x="1448"/>
        <item m="1" x="1451"/>
        <item m="1" x="1449"/>
        <item m="1" x="1450"/>
        <item m="1" x="1452"/>
        <item m="1" x="1456"/>
        <item m="1" x="1453"/>
        <item m="1" x="1454"/>
        <item m="1" x="1455"/>
        <item m="1" x="1463"/>
        <item m="1" x="1464"/>
        <item m="1" x="1462"/>
        <item m="1" x="1459"/>
        <item m="1" x="1460"/>
        <item m="1" x="1461"/>
        <item m="1" x="1457"/>
        <item m="1" x="1458"/>
        <item m="1" x="1465"/>
        <item m="1" x="1466"/>
        <item m="1" x="1467"/>
        <item m="1" x="1468"/>
        <item m="1" x="1469"/>
        <item m="1" x="1470"/>
        <item m="1" x="1471"/>
        <item m="1" x="1472"/>
        <item m="1" x="1473"/>
        <item m="1" x="1474"/>
        <item m="1" x="1475"/>
        <item m="1" x="1476"/>
        <item m="1" x="1477"/>
        <item m="1" x="1478"/>
        <item m="1" x="1479"/>
        <item m="1" x="1480"/>
        <item m="1" x="1481"/>
        <item m="1" x="1482"/>
        <item m="1" x="1483"/>
        <item m="1" x="1062"/>
        <item m="1" x="1484"/>
        <item m="1" x="1485"/>
        <item m="1" x="1486"/>
        <item m="1" x="1488"/>
        <item m="1" x="1487"/>
        <item m="1" x="1489"/>
        <item m="1" x="1490"/>
        <item m="1" x="1491"/>
        <item m="1" x="1492"/>
        <item m="1" x="1493"/>
        <item m="1" x="1494"/>
        <item m="1" x="1496"/>
        <item m="1" x="1495"/>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23"/>
        <item m="1" x="1524"/>
        <item m="1" x="1525"/>
        <item m="1" x="1521"/>
        <item m="1" x="1522"/>
        <item m="1" x="1517"/>
        <item m="1" x="1518"/>
        <item m="1" x="1519"/>
        <item m="1" x="1520"/>
        <item m="1" x="1526"/>
        <item m="1" x="1527"/>
        <item m="1" x="1388"/>
        <item m="1" x="1389"/>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h="1" m="1" x="924"/>
        <item h="1" m="1" x="925"/>
        <item h="1" m="1" x="926"/>
        <item h="1" m="1" x="927"/>
        <item h="1" m="1" x="928"/>
        <item m="1" x="500"/>
        <item m="1" x="501"/>
        <item m="1" x="502"/>
        <item m="1" x="503"/>
        <item m="1" x="504"/>
        <item m="1" x="505"/>
        <item h="1" m="1" x="929"/>
        <item h="1" m="1" x="930"/>
        <item m="1" x="508"/>
        <item m="1" x="509"/>
        <item h="1" m="1" x="931"/>
        <item h="1" m="1" x="932"/>
        <item h="1" m="1" x="933"/>
        <item h="1" m="1" x="934"/>
        <item h="1" m="1" x="935"/>
        <item h="1" m="1" x="936"/>
        <item h="1" m="1" x="937"/>
        <item h="1" m="1" x="938"/>
        <item h="1" m="1" x="939"/>
        <item h="1" m="1" x="940"/>
        <item h="1" m="1" x="941"/>
        <item h="1" m="1" x="942"/>
        <item h="1" m="1" x="943"/>
        <item h="1" m="1" x="944"/>
        <item h="1" m="1" x="945"/>
        <item h="1" m="1" x="946"/>
        <item h="1" m="1" x="947"/>
        <item h="1" m="1" x="948"/>
        <item h="1" m="1" x="949"/>
        <item h="1" m="1" x="950"/>
        <item m="1" x="530"/>
        <item m="1" x="531"/>
        <item m="1" x="532"/>
        <item m="1" x="533"/>
        <item h="1" m="1" x="951"/>
        <item m="1" x="535"/>
        <item m="1" x="536"/>
        <item m="1" x="537"/>
        <item m="1" x="538"/>
        <item m="1" x="539"/>
        <item h="1" m="1" x="952"/>
        <item h="1" m="1" x="953"/>
        <item m="1" x="542"/>
        <item m="1" x="543"/>
        <item m="1" x="906"/>
        <item h="1" m="1" x="954"/>
        <item h="1" m="1" x="955"/>
        <item h="1" m="1" x="956"/>
        <item h="1" m="1" x="957"/>
        <item h="1" m="1" x="958"/>
        <item h="1" m="1" x="959"/>
        <item m="1" x="551"/>
        <item m="1" x="552"/>
        <item m="1" x="907"/>
        <item m="1" x="908"/>
        <item m="1" x="909"/>
        <item m="1" x="910"/>
        <item m="1" x="557"/>
        <item m="1" x="558"/>
        <item m="1" x="911"/>
        <item m="1" x="912"/>
        <item m="1" x="913"/>
        <item m="1" x="914"/>
        <item h="1" m="1" x="960"/>
        <item h="1" m="1" x="961"/>
        <item h="1" m="1" x="962"/>
        <item h="1" m="1" x="963"/>
        <item h="1" m="1" x="964"/>
        <item h="1" m="1" x="965"/>
        <item h="1" m="1" x="966"/>
        <item h="1" m="1" x="967"/>
        <item h="1" m="1" x="968"/>
        <item h="1" m="1" x="969"/>
        <item h="1" m="1" x="970"/>
        <item m="1" x="574"/>
        <item m="1" x="575"/>
        <item m="1" x="576"/>
        <item h="1" m="1" x="971"/>
        <item h="1" m="1" x="972"/>
        <item h="1" m="1" x="973"/>
        <item h="1" m="1" x="974"/>
        <item h="1" m="1" x="975"/>
        <item h="1" m="1" x="976"/>
        <item h="1" m="1" x="977"/>
        <item h="1" m="1" x="978"/>
        <item h="1" m="1" x="979"/>
        <item m="1" x="586"/>
        <item m="1" x="587"/>
        <item m="1" x="588"/>
        <item h="1" m="1" x="980"/>
        <item h="1" m="1" x="981"/>
        <item h="1" m="1" x="982"/>
        <item m="1" x="915"/>
        <item m="1" x="916"/>
        <item m="1" x="917"/>
        <item m="1" x="595"/>
        <item m="1" x="596"/>
        <item m="1" x="597"/>
        <item m="1" x="598"/>
        <item m="1" x="599"/>
        <item m="1" x="600"/>
        <item m="1" x="601"/>
        <item m="1" x="602"/>
        <item m="1" x="603"/>
        <item h="1" m="1" x="983"/>
        <item h="1" m="1" x="984"/>
        <item h="1" m="1" x="985"/>
        <item h="1" m="1" x="986"/>
        <item h="1" m="1" x="987"/>
        <item h="1" m="1" x="988"/>
        <item h="1" m="1" x="989"/>
        <item h="1" m="1" x="990"/>
        <item h="1" m="1" x="991"/>
        <item m="1" x="613"/>
        <item m="1" x="614"/>
        <item m="1" x="615"/>
        <item m="1" x="616"/>
        <item m="1" x="617"/>
        <item m="1" x="618"/>
        <item m="1" x="619"/>
        <item m="1" x="620"/>
        <item m="1" x="621"/>
        <item m="1" x="622"/>
        <item m="1" x="626"/>
        <item m="1" x="627"/>
        <item m="1" x="628"/>
        <item h="1" m="1" x="992"/>
        <item h="1" m="1" x="993"/>
        <item h="1" m="1" x="994"/>
        <item m="1" x="632"/>
        <item m="1" x="633"/>
        <item m="1" x="634"/>
        <item h="1" m="1" x="995"/>
        <item h="1" m="1" x="996"/>
        <item h="1" m="1" x="997"/>
        <item m="1" x="638"/>
        <item m="1" x="639"/>
        <item m="1" x="640"/>
        <item m="1" x="641"/>
        <item m="1" x="642"/>
        <item m="1" x="643"/>
        <item h="1" m="1" x="998"/>
        <item h="1" m="1" x="999"/>
        <item h="1" m="1" x="1000"/>
        <item h="1" m="1" x="1001"/>
        <item h="1" m="1" x="1002"/>
        <item h="1" m="1" x="1003"/>
        <item m="1" x="650"/>
        <item m="1" x="651"/>
        <item m="1" x="652"/>
        <item m="1" x="653"/>
        <item m="1" x="654"/>
        <item h="1" m="1" x="1004"/>
        <item h="1" m="1" x="1005"/>
        <item h="1" m="1" x="1006"/>
        <item h="1" m="1" x="1007"/>
        <item h="1" m="1" x="1008"/>
        <item h="1" m="1" x="1009"/>
        <item h="1" m="1" x="1010"/>
        <item h="1" m="1" x="1011"/>
        <item h="1" m="1" x="1012"/>
        <item h="1" m="1" x="1013"/>
        <item h="1" m="1" x="1014"/>
        <item h="1" m="1" x="1015"/>
        <item h="1" m="1" x="1016"/>
        <item h="1" m="1" x="1017"/>
        <item h="1" m="1" x="1018"/>
        <item h="1" m="1" x="1019"/>
        <item h="1" m="1" x="1020"/>
        <item h="1" m="1" x="1021"/>
        <item h="1" m="1" x="1022"/>
        <item h="1" m="1" x="1023"/>
        <item h="1" m="1" x="1024"/>
        <item h="1" m="1" x="1025"/>
        <item h="1" m="1" x="1026"/>
        <item h="1" m="1" x="1027"/>
        <item h="1" m="1" x="1028"/>
        <item h="1" m="1" x="1029"/>
        <item h="1" m="1" x="1030"/>
        <item h="1" m="1" x="1031"/>
        <item h="1" m="1" x="1032"/>
        <item h="1" m="1" x="1033"/>
        <item h="1" m="1" x="1034"/>
        <item m="1" x="686"/>
        <item m="1" x="687"/>
        <item m="1" x="688"/>
        <item m="1" x="689"/>
        <item m="1" x="690"/>
        <item m="1" x="691"/>
        <item m="1" x="692"/>
        <item m="1" x="693"/>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h="1" m="1" x="1035"/>
        <item h="1" m="1" x="1036"/>
        <item m="1" x="756"/>
        <item m="1" x="757"/>
        <item m="1" x="758"/>
        <item m="1" x="759"/>
        <item m="1" x="760"/>
        <item m="1" x="761"/>
        <item m="1" x="762"/>
        <item m="1" x="763"/>
        <item m="1" x="764"/>
        <item m="1" x="765"/>
        <item h="1" m="1" x="1037"/>
        <item h="1" m="1" x="1038"/>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h="1" m="1" x="1039"/>
        <item h="1" m="1" x="1040"/>
        <item h="1" m="1" x="1041"/>
        <item m="1" x="795"/>
        <item m="1" x="796"/>
        <item m="1" x="797"/>
        <item m="1" x="798"/>
        <item m="1" x="799"/>
        <item m="1" x="800"/>
        <item m="1" x="801"/>
        <item m="1" x="802"/>
        <item m="1" x="803"/>
        <item m="1" x="804"/>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h="1" m="1" x="1042"/>
        <item h="1" m="1" x="1043"/>
        <item h="1" m="1" x="1044"/>
        <item h="1" m="1" x="1045"/>
        <item h="1" m="1" x="1046"/>
        <item h="1" m="1" x="1047"/>
        <item h="1" m="1" x="1048"/>
        <item h="1" m="1" x="1049"/>
        <item h="1" m="1" x="1050"/>
        <item h="1" m="1" x="1051"/>
        <item h="1" m="1" x="1052"/>
        <item h="1" m="1" x="1053"/>
        <item h="1" m="1" x="1054"/>
        <item h="1" m="1" x="1055"/>
        <item h="1" m="1" x="1056"/>
        <item h="1" m="1" x="1057"/>
        <item h="1" m="1" x="1058"/>
        <item h="1" m="1" x="1059"/>
        <item h="1" m="1" x="1060"/>
        <item h="1" m="1" x="1061"/>
        <item h="1" m="1" x="1063"/>
        <item h="1" m="1" x="1064"/>
        <item h="1" m="1" x="1065"/>
        <item h="1" m="1" x="1066"/>
        <item h="1" m="1" x="1067"/>
        <item h="1" m="1" x="1068"/>
        <item h="1" m="1" x="1069"/>
        <item h="1" m="1" x="1070"/>
        <item h="1" m="1" x="1071"/>
        <item h="1" m="1" x="1072"/>
        <item h="1" m="1" x="1073"/>
        <item h="1" m="1" x="1074"/>
        <item h="1" m="1" x="1075"/>
        <item h="1" m="1" x="1076"/>
        <item h="1" m="1" x="1077"/>
        <item h="1" m="1" x="1078"/>
        <item h="1" m="1" x="1079"/>
        <item h="1" m="1" x="1080"/>
        <item h="1" m="1" x="1081"/>
        <item h="1" m="1" x="1082"/>
        <item h="1" m="1" x="1083"/>
        <item h="1" m="1" x="1084"/>
        <item h="1" m="1" x="1085"/>
        <item h="1" m="1" x="1086"/>
        <item h="1" m="1" x="1087"/>
        <item h="1" m="1" x="1088"/>
        <item h="1" m="1" x="1089"/>
        <item h="1" m="1" x="1090"/>
        <item h="1" m="1" x="1091"/>
        <item h="1" m="1" x="1092"/>
        <item h="1" m="1" x="1093"/>
        <item h="1" m="1" x="1094"/>
        <item m="1" x="894"/>
        <item m="1" x="895"/>
        <item m="1" x="896"/>
        <item m="1" x="897"/>
        <item m="1" x="898"/>
        <item m="1" x="899"/>
        <item m="1" x="900"/>
        <item m="1" x="901"/>
        <item m="1" x="902"/>
        <item m="1" x="903"/>
        <item m="1" x="904"/>
        <item m="1" x="905"/>
        <item m="1" x="623"/>
        <item m="1" x="624"/>
        <item m="1" x="625"/>
        <item m="1" x="805"/>
        <item m="1" x="806"/>
        <item m="1" x="807"/>
        <item m="1" x="495"/>
        <item m="1" x="496"/>
        <item m="1" x="497"/>
        <item m="1" x="498"/>
        <item m="1" x="499"/>
        <item m="1" x="506"/>
        <item m="1" x="507"/>
        <item m="1" x="510"/>
        <item m="1" x="511"/>
        <item m="1" x="512"/>
        <item m="1" x="513"/>
        <item m="1" x="514"/>
        <item m="1" x="515"/>
        <item m="1" x="516"/>
        <item m="1" x="517"/>
        <item m="1" x="518"/>
        <item m="1" x="519"/>
        <item m="1" x="520"/>
        <item m="1" x="521"/>
        <item m="1" x="522"/>
        <item m="1" x="523"/>
        <item m="1" x="524"/>
        <item m="1" x="525"/>
        <item m="1" x="526"/>
        <item m="1" x="527"/>
        <item m="1" x="528"/>
        <item m="1" x="529"/>
        <item m="1" x="534"/>
        <item m="1" x="540"/>
        <item m="1" x="541"/>
        <item m="1" x="545"/>
        <item m="1" x="546"/>
        <item m="1" x="547"/>
        <item m="1" x="548"/>
        <item m="1" x="549"/>
        <item m="1" x="550"/>
        <item m="1" x="563"/>
        <item m="1" x="564"/>
        <item m="1" x="565"/>
        <item m="1" x="566"/>
        <item m="1" x="567"/>
        <item m="1" x="568"/>
        <item m="1" x="569"/>
        <item m="1" x="570"/>
        <item m="1" x="571"/>
        <item m="1" x="572"/>
        <item m="1" x="573"/>
        <item m="1" x="577"/>
        <item m="1" x="578"/>
        <item m="1" x="579"/>
        <item m="1" x="580"/>
        <item m="1" x="581"/>
        <item m="1" x="582"/>
        <item m="1" x="583"/>
        <item m="1" x="584"/>
        <item m="1" x="585"/>
        <item m="1" x="589"/>
        <item m="1" x="590"/>
        <item m="1" x="591"/>
        <item m="1" x="604"/>
        <item m="1" x="605"/>
        <item m="1" x="606"/>
        <item m="1" x="918"/>
        <item m="1" x="919"/>
        <item m="1" x="920"/>
        <item m="1" x="921"/>
        <item m="1" x="922"/>
        <item m="1" x="923"/>
        <item m="1" x="629"/>
        <item m="1" x="630"/>
        <item m="1" x="631"/>
        <item m="1" x="635"/>
        <item m="1" x="636"/>
        <item m="1" x="637"/>
        <item m="1" x="644"/>
        <item m="1" x="645"/>
        <item m="1" x="646"/>
        <item m="1" x="647"/>
        <item m="1" x="648"/>
        <item m="1" x="649"/>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94"/>
        <item m="1" x="695"/>
        <item m="1" x="754"/>
        <item m="1" x="755"/>
        <item m="1" x="766"/>
        <item m="1" x="767"/>
        <item m="1" x="792"/>
        <item m="1" x="793"/>
        <item m="1" x="794"/>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544"/>
        <item m="1" x="553"/>
        <item m="1" x="554"/>
        <item m="1" x="555"/>
        <item m="1" x="556"/>
        <item m="1" x="559"/>
        <item m="1" x="560"/>
        <item m="1" x="561"/>
        <item m="1" x="562"/>
        <item m="1" x="592"/>
        <item m="1" x="593"/>
        <item m="1" x="594"/>
        <item m="1" x="607"/>
        <item m="1" x="608"/>
        <item m="1" x="609"/>
        <item m="1" x="610"/>
        <item m="1" x="611"/>
        <item m="1" x="6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t="default"/>
      </items>
    </pivotField>
    <pivotField numFmtId="172" showAll="0"/>
    <pivotField showAll="0"/>
    <pivotField axis="axisPage" multipleItemSelectionAllowed="1" showAll="0">
      <items count="8">
        <item h="1" x="4"/>
        <item h="1" x="2"/>
        <item h="1" x="0"/>
        <item x="1"/>
        <item h="1" m="1" x="6"/>
        <item h="1" x="3"/>
        <item h="1" x="5"/>
        <item t="default"/>
      </items>
    </pivotField>
    <pivotField showAll="0"/>
    <pivotField dataField="1" numFmtId="172" showAll="0"/>
    <pivotField axis="axisPage" multipleItemSelectionAllowed="1" showAll="0">
      <items count="8">
        <item m="1" x="6"/>
        <item x="4"/>
        <item x="1"/>
        <item h="1" x="0"/>
        <item h="1" x="2"/>
        <item h="1" x="5"/>
        <item h="1" x="3"/>
        <item t="default"/>
      </items>
    </pivotField>
    <pivotField axis="axisPage" multipleItemSelectionAllowed="1" showAll="0">
      <items count="10">
        <item m="1" x="8"/>
        <item h="1" x="2"/>
        <item x="3"/>
        <item x="5"/>
        <item x="1"/>
        <item h="1" x="7"/>
        <item x="0"/>
        <item x="6"/>
        <item h="1" x="4"/>
        <item t="default"/>
      </items>
    </pivotField>
  </pivotFields>
  <rowFields count="2">
    <field x="17"/>
    <field x="5"/>
  </rowFields>
  <rowItems count="28">
    <i>
      <x/>
    </i>
    <i r="1">
      <x v="24"/>
    </i>
    <i r="1">
      <x v="25"/>
    </i>
    <i r="1">
      <x v="35"/>
    </i>
    <i r="1">
      <x v="53"/>
    </i>
    <i r="1">
      <x v="76"/>
    </i>
    <i r="1">
      <x v="104"/>
    </i>
    <i r="1">
      <x v="105"/>
    </i>
    <i r="1">
      <x v="125"/>
    </i>
    <i r="1">
      <x v="126"/>
    </i>
    <i r="1">
      <x v="127"/>
    </i>
    <i r="1">
      <x v="128"/>
    </i>
    <i r="1">
      <x v="133"/>
    </i>
    <i r="1">
      <x v="143"/>
    </i>
    <i r="1">
      <x v="155"/>
    </i>
    <i r="1">
      <x v="156"/>
    </i>
    <i r="1">
      <x v="157"/>
    </i>
    <i r="1">
      <x v="163"/>
    </i>
    <i r="1">
      <x v="164"/>
    </i>
    <i r="1">
      <x v="167"/>
    </i>
    <i r="1">
      <x v="172"/>
    </i>
    <i r="1">
      <x v="174"/>
    </i>
    <i r="1">
      <x v="177"/>
    </i>
    <i r="1">
      <x v="190"/>
    </i>
    <i r="1">
      <x v="193"/>
    </i>
    <i r="1">
      <x v="198"/>
    </i>
    <i>
      <x v="1"/>
    </i>
    <i t="grand">
      <x/>
    </i>
  </rowItems>
  <colFields count="1">
    <field x="-2"/>
  </colFields>
  <colItems count="3">
    <i>
      <x/>
    </i>
    <i i="1">
      <x v="1"/>
    </i>
    <i i="2">
      <x v="2"/>
    </i>
  </colItems>
  <pageFields count="5">
    <pageField fld="2" hier="-1"/>
    <pageField fld="35" hier="-1"/>
    <pageField fld="38" hier="-1"/>
    <pageField fld="41" hier="-1"/>
    <pageField fld="42" hier="-1"/>
  </pageFields>
  <dataFields count="3">
    <dataField name="Sum of Huella" fld="35" baseField="0" baseItem="0"/>
    <dataField name="Sum of Intensidad-M" fld="40" baseField="0" baseItem="0"/>
    <dataField name="Sum of Inv MM$" fld="28" baseField="0" baseItem="0"/>
  </dataFields>
  <formats count="5">
    <format dxfId="27">
      <pivotArea field="17" grandRow="1" outline="0" collapsedLevelsAreSubtotals="1" axis="axisRow" fieldPosition="0">
        <references count="1">
          <reference field="4294967294" count="1" selected="0">
            <x v="2"/>
          </reference>
        </references>
      </pivotArea>
    </format>
    <format dxfId="26">
      <pivotArea collapsedLevelsAreSubtotals="1" fieldPosition="0">
        <references count="2">
          <reference field="4294967294" count="1" selected="0">
            <x v="0"/>
          </reference>
          <reference field="17" count="1">
            <x v="0"/>
          </reference>
        </references>
      </pivotArea>
    </format>
    <format dxfId="25">
      <pivotArea collapsedLevelsAreSubtotals="1" fieldPosition="0">
        <references count="2">
          <reference field="4294967294" count="1" selected="0">
            <x v="2"/>
          </reference>
          <reference field="17" count="1">
            <x v="0"/>
          </reference>
        </references>
      </pivotArea>
    </format>
    <format dxfId="24">
      <pivotArea collapsedLevelsAreSubtotals="1" fieldPosition="0">
        <references count="2">
          <reference field="4294967294" count="1" selected="0">
            <x v="2"/>
          </reference>
          <reference field="17" count="1">
            <x v="1"/>
          </reference>
        </references>
      </pivotArea>
    </format>
    <format dxfId="2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onsulta desde Reporte de Valorización de Instrumentos" connectionId="2" xr16:uid="{438D916A-AFAF-4FCE-84A0-CFB2D7982F01}" autoFormatId="16" applyNumberFormats="0" applyBorderFormats="0" applyFontFormats="0" applyPatternFormats="0" applyAlignmentFormats="0" applyWidthHeightFormats="0">
  <queryTableRefresh nextId="46" unboundColumnsRight="18">
    <queryTableFields count="43">
      <queryTableField id="1" name="FechaValoracion" tableColumnId="1"/>
      <queryTableField id="2" name="TIPO_TITULO" tableColumnId="2"/>
      <queryTableField id="3" name="PORTAFOLIO" tableColumnId="3"/>
      <queryTableField id="4" name="GRUPO" tableColumnId="4"/>
      <queryTableField id="5" name="CODIGO_SBS" tableColumnId="5"/>
      <queryTableField id="40" dataBound="0" tableColumnId="39"/>
      <queryTableField id="6" name="CODIGO_ISIN" tableColumnId="6"/>
      <queryTableField id="7" name="TITULO" tableColumnId="7"/>
      <queryTableField id="8" name="EMISOR" tableColumnId="8"/>
      <queryTableField id="9" name="Moneda" tableColumnId="9"/>
      <queryTableField id="10" name="VALOR_UNITARIO" tableColumnId="10"/>
      <queryTableField id="11" name="VALOR_VECTOR_LOCAL" tableColumnId="11"/>
      <queryTableField id="12" name="VALOR_VECTOR_ORIGEN" tableColumnId="12"/>
      <queryTableField id="13" name="CANTIDAD" tableColumnId="13"/>
      <queryTableField id="14" name="FECHA_VENCIMIENTO" tableColumnId="14"/>
      <queryTableField id="15" name="DIAS_VENTIMIENTO" tableColumnId="15"/>
      <queryTableField id="16" name="TIPO_CAMBIO" tableColumnId="16"/>
      <queryTableField id="17" name="TIPO_RENTA" tableColumnId="17"/>
      <queryTableField id="18" name="VALOR_VECTOR_LOCAL_T-1" tableColumnId="18"/>
      <queryTableField id="19" name="VALOR_VECTOR_ORIGEN_T-1" tableColumnId="19"/>
      <queryTableField id="20" name="GRUPO_ECONOMICO" tableColumnId="20"/>
      <queryTableField id="21" name="ACTIVO_DEL_EMISOR" tableColumnId="21"/>
      <queryTableField id="22" name="PASIVO_DEL_EMISOR" tableColumnId="22"/>
      <queryTableField id="23" name="PASTRIMONIO_DEL_EMISOR" tableColumnId="23"/>
      <queryTableField id="24" name="DIFERENCIA" tableColumnId="24"/>
      <queryTableField id="25" dataBound="0" tableColumnId="25"/>
      <queryTableField id="27" dataBound="0" tableColumnId="27"/>
      <queryTableField id="28" dataBound="0" tableColumnId="28"/>
      <queryTableField id="29" dataBound="0" tableColumnId="26"/>
      <queryTableField id="30" dataBound="0" tableColumnId="29"/>
      <queryTableField id="31" dataBound="0" tableColumnId="30"/>
      <queryTableField id="32" dataBound="0" tableColumnId="31"/>
      <queryTableField id="33" dataBound="0" tableColumnId="32"/>
      <queryTableField id="34" dataBound="0" tableColumnId="33"/>
      <queryTableField id="35" dataBound="0" tableColumnId="34"/>
      <queryTableField id="36" dataBound="0" tableColumnId="35"/>
      <queryTableField id="37" dataBound="0" tableColumnId="36"/>
      <queryTableField id="38" dataBound="0" tableColumnId="37"/>
      <queryTableField id="39" dataBound="0" tableColumnId="38"/>
      <queryTableField id="41" dataBound="0" tableColumnId="40"/>
      <queryTableField id="43" dataBound="0" tableColumnId="41"/>
      <queryTableField id="44" dataBound="0" tableColumnId="42"/>
      <queryTableField id="45" dataBound="0" tableColumnId="4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onsulta desde Cálculo Caja" connectionId="1" xr16:uid="{CA1BA808-036C-49E0-8CFB-8A0DC9721047}" autoFormatId="16" applyNumberFormats="0" applyBorderFormats="0" applyFontFormats="0" applyPatternFormats="0" applyAlignmentFormats="0" applyWidthHeightFormats="0">
  <queryTableRefresh nextId="14">
    <queryTableFields count="7">
      <queryTableField id="1" name="PORTAFOLIO" tableColumnId="1"/>
      <queryTableField id="2" name="FECHA_OPERACION" tableColumnId="2"/>
      <queryTableField id="3" name="CAJA" tableColumnId="3"/>
      <queryTableField id="4" name="CXC" tableColumnId="4"/>
      <queryTableField id="5" name="CXP" tableColumnId="5"/>
      <queryTableField id="6" name="PATRIMONIO" tableColumnId="6"/>
      <queryTableField id="7" name="INVERSIONES"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Consulta desde Tipo de Cambio" connectionId="3" xr16:uid="{EBDCF43C-68AE-4496-AA0D-48F8210C08C2}" autoFormatId="16" applyNumberFormats="0" applyBorderFormats="0" applyFontFormats="0" applyPatternFormats="0" applyAlignmentFormats="0" applyWidthHeightFormats="0">
  <queryTableRefresh nextId="7">
    <queryTableFields count="6">
      <queryTableField id="1" name="CODIGO_MONEDA" tableColumnId="1"/>
      <queryTableField id="2" name="NOMBRE_MONEDA" tableColumnId="2"/>
      <queryTableField id="3" name="FECHA" tableColumnId="3"/>
      <queryTableField id="4" name="VALOR" tableColumnId="4"/>
      <queryTableField id="5" name="CODIGO_MONEDA_SBS" tableColumnId="5"/>
      <queryTableField id="6" name="MONEDA_INTERNACIONAL"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FB341AC-FEBE-4937-8364-09C8BC9E461F}" name="Tabla_Consulta_desde_Reporte_de_Valorización_de_Instrumentos" displayName="Tabla_Consulta_desde_Reporte_de_Valorización_de_Instrumentos" ref="B3:AR644" tableType="queryTable" totalsRowShown="0">
  <autoFilter ref="B3:AR644" xr:uid="{8FB341AC-FEBE-4937-8364-09C8BC9E461F}">
    <filterColumn colId="5">
      <filters>
        <filter val="Gobierno Central"/>
      </filters>
    </filterColumn>
  </autoFilter>
  <tableColumns count="43">
    <tableColumn id="1" xr3:uid="{3DD17FC9-CFE7-4796-83DC-223D4064E626}" uniqueName="1" name="FechaValoracion" queryTableFieldId="1" dataDxfId="50"/>
    <tableColumn id="2" xr3:uid="{088995BD-E8ED-4257-B818-A58A9F9C107E}" uniqueName="2" name="TIPO_TITULO" queryTableFieldId="2"/>
    <tableColumn id="3" xr3:uid="{96E0795B-A519-4730-9D2D-7AB64D2DA5C4}" uniqueName="3" name="PORTAFOLIO" queryTableFieldId="3"/>
    <tableColumn id="4" xr3:uid="{92B3C079-80EF-4B74-AF47-CC98024947E6}" uniqueName="4" name="GRUPO" queryTableFieldId="4"/>
    <tableColumn id="5" xr3:uid="{87579B81-8640-4922-B8EC-51CF30F11B12}" uniqueName="5" name="CODIGO_SBS" queryTableFieldId="5"/>
    <tableColumn id="39" xr3:uid="{2A23337E-1A9B-4B21-A0B1-EC392AA6F845}" uniqueName="39" name="Nombre" queryTableFieldId="40" dataDxfId="49">
      <calculatedColumnFormula>INDEX(Parametria!H:H,MATCH(Tabla_Consulta_desde_Reporte_de_Valorización_de_Instrumentos[[#This Row],[CODIGO_SBS]],Parametria!C:C,0),1)</calculatedColumnFormula>
    </tableColumn>
    <tableColumn id="6" xr3:uid="{CFAB1579-8443-4C22-8997-8621899736CE}" uniqueName="6" name="CODIGO_ISIN" queryTableFieldId="6"/>
    <tableColumn id="7" xr3:uid="{2398174A-3143-428F-8343-C59A2CA4ACA8}" uniqueName="7" name="TITULO" queryTableFieldId="7"/>
    <tableColumn id="8" xr3:uid="{CACE8A9A-5BDD-4A7E-9535-1A2A8E4D7AC5}" uniqueName="8" name="EMISOR" queryTableFieldId="8"/>
    <tableColumn id="9" xr3:uid="{4252EB20-C0C9-47C4-A2EF-5166BF5116A1}" uniqueName="9" name="Moneda" queryTableFieldId="9"/>
    <tableColumn id="10" xr3:uid="{D56EDA9E-5865-468E-A77E-F5FDF53A229E}" uniqueName="10" name="VALOR_UNITARIO" queryTableFieldId="10"/>
    <tableColumn id="11" xr3:uid="{936BBE38-D8D5-4195-B1D1-DA30CE7D4FE7}" uniqueName="11" name="VALOR_VECTOR_LOCAL" queryTableFieldId="11" dataDxfId="48" dataCellStyle="Comma 2"/>
    <tableColumn id="12" xr3:uid="{556B7346-E3A7-423C-9208-418F7E6F4B68}" uniqueName="12" name="VALOR_VECTOR_ORIGEN" queryTableFieldId="12"/>
    <tableColumn id="13" xr3:uid="{52396D74-177C-40CE-A7C8-06B7C14C4465}" uniqueName="13" name="CANTIDAD" queryTableFieldId="13"/>
    <tableColumn id="14" xr3:uid="{2C8771C4-212B-44C8-A7C6-00180B8858C4}" uniqueName="14" name="FECHA_VENCIMIENTO" queryTableFieldId="14" dataDxfId="47"/>
    <tableColumn id="15" xr3:uid="{AD5467A4-C4B3-4E46-A45A-0247CD384087}" uniqueName="15" name="DIAS_VENTIMIENTO" queryTableFieldId="15"/>
    <tableColumn id="16" xr3:uid="{39A766C4-C75D-4E4B-B426-ABCBB5E41CE9}" uniqueName="16" name="TIPO_CAMBIO" queryTableFieldId="16"/>
    <tableColumn id="17" xr3:uid="{3E98EA54-9108-44EE-8475-10A18E4BCCC9}" uniqueName="17" name="TIPO_RENTA" queryTableFieldId="17"/>
    <tableColumn id="18" xr3:uid="{B387A489-A00D-4184-8C8B-4035D7B3D2CA}" uniqueName="18" name="VALOR_VECTOR_LOCAL_T-1" queryTableFieldId="18"/>
    <tableColumn id="19" xr3:uid="{EDF87F0D-8199-4306-8578-B98E5B686A14}" uniqueName="19" name="VALOR_VECTOR_ORIGEN_T-1" queryTableFieldId="19" dataDxfId="46" dataCellStyle="Comma 2"/>
    <tableColumn id="20" xr3:uid="{1C0C9216-893F-41C7-AB4A-531436D7B920}" uniqueName="20" name="GRUPO_ECONOMICO" queryTableFieldId="20"/>
    <tableColumn id="21" xr3:uid="{FBBA9E81-5FC5-4418-9EAD-63EF6B6CF5BD}" uniqueName="21" name="ACTIVO_DEL_EMISOR" queryTableFieldId="21"/>
    <tableColumn id="22" xr3:uid="{FE98AFD2-70F9-4FC1-8C5B-A6E821D18869}" uniqueName="22" name="PASIVO_DEL_EMISOR" queryTableFieldId="22"/>
    <tableColumn id="23" xr3:uid="{76FE71D0-7CB1-4592-B74D-B59D67AD180F}" uniqueName="23" name="PASTRIMONIO_DEL_EMISOR" queryTableFieldId="23"/>
    <tableColumn id="24" xr3:uid="{BD806310-C5D2-4BDA-8E24-DF739E7F6EFB}" uniqueName="24" name="DIFERENCIA" queryTableFieldId="24"/>
    <tableColumn id="25" xr3:uid="{7A564D3E-790C-4A00-81B5-38F42D1D6A2B}" uniqueName="25" name="Column1" queryTableFieldId="25">
      <calculatedColumnFormula>+MID(Tabla_Consulta_desde_Reporte_de_Valorización_de_Instrumentos[[#This Row],[CODIGO_SBS]],7,1)</calculatedColumnFormula>
    </tableColumn>
    <tableColumn id="27" xr3:uid="{2C434CDE-BDAD-40C4-98B0-34A9537B528D}" uniqueName="27" name="Patrimonio" queryTableFieldId="27">
      <calculatedColumnFormula>INDEX('Cálculo Caja'!F:F,MATCH(Tabla_Consulta_desde_Reporte_de_Valorización_de_Instrumentos[[#This Row],[PORTAFOLIO]],'Cálculo Caja'!A:A,0),1)</calculatedColumnFormula>
    </tableColumn>
    <tableColumn id="28" xr3:uid="{128DD08D-624F-4568-8379-691ABCDC7E0E}" uniqueName="28" name="Weight" queryTableFieldId="28" dataDxfId="45">
      <calculatedColumnFormula>Tabla_Consulta_desde_Reporte_de_Valorización_de_Instrumentos[[#This Row],[VALOR_VECTOR_LOCAL]]/Tabla_Consulta_desde_Reporte_de_Valorización_de_Instrumentos[[#This Row],[Patrimonio]]</calculatedColumnFormula>
    </tableColumn>
    <tableColumn id="26" xr3:uid="{CC8209C7-BE5D-4EFD-B21A-C0D81F81A87E}" uniqueName="26" name="Inv MM$" queryTableFieldId="29" dataDxfId="44">
      <calculatedColumnFormula>(Tabla_Consulta_desde_Reporte_de_Valorización_de_Instrumentos[[#This Row],[VALOR_VECTOR_LOCAL]]/INDEX('Tipo de Cambio'!$D:$D,MATCH("2",'Tipo de Cambio'!$E:$E,0),1))/1000000</calculatedColumnFormula>
    </tableColumn>
    <tableColumn id="29" xr3:uid="{BE029ECD-CFF0-4E6D-95F7-628AB56B29E4}" uniqueName="29" name="F0" queryTableFieldId="30">
      <calculatedColumnFormula>IF(Tabla_Consulta_desde_Reporte_de_Valorización_de_Instrumentos[[#This Row],[PORTAFOLIO]]="IN-FONDO0",Tabla_Consulta_desde_Reporte_de_Valorización_de_Instrumentos[[#This Row],[Inv MM$]],0)</calculatedColumnFormula>
    </tableColumn>
    <tableColumn id="30" xr3:uid="{66EB1531-186E-446E-ABE2-174AEF962F2D}" uniqueName="30" name="F1" queryTableFieldId="31" dataDxfId="43">
      <calculatedColumnFormula>IF(Tabla_Consulta_desde_Reporte_de_Valorización_de_Instrumentos[[#This Row],[PORTAFOLIO]]="IN-FONDO1",Tabla_Consulta_desde_Reporte_de_Valorización_de_Instrumentos[[#This Row],[Inv MM$]],0)</calculatedColumnFormula>
    </tableColumn>
    <tableColumn id="31" xr3:uid="{09FB5E0A-6922-493D-BC4A-F1C1ABA2369E}" uniqueName="31" name="F2" queryTableFieldId="32" dataDxfId="42">
      <calculatedColumnFormula>IF(Tabla_Consulta_desde_Reporte_de_Valorización_de_Instrumentos[[#This Row],[PORTAFOLIO]]="IN-FONDO2",Tabla_Consulta_desde_Reporte_de_Valorización_de_Instrumentos[[#This Row],[Inv MM$]],0)</calculatedColumnFormula>
    </tableColumn>
    <tableColumn id="32" xr3:uid="{B3859625-9F02-444F-A980-400F4A6AFE25}" uniqueName="32" name="F3" queryTableFieldId="33" dataDxfId="41">
      <calculatedColumnFormula>IF(Tabla_Consulta_desde_Reporte_de_Valorización_de_Instrumentos[[#This Row],[PORTAFOLIO]]="IN-FONDO3",Tabla_Consulta_desde_Reporte_de_Valorización_de_Instrumentos[[#This Row],[Inv MM$]],0)</calculatedColumnFormula>
    </tableColumn>
    <tableColumn id="33" xr3:uid="{53E2DFD8-4977-4CD0-8847-853DC018A5E0}" uniqueName="33" name="M (MM$)" queryTableFieldId="34" dataDxfId="40">
      <calculatedColumnFormula>SUMIF(F:F,Tabla_Consulta_desde_Reporte_de_Valorización_de_Instrumentos[[#This Row],[CODIGO_SBS]],AF:AF)+SUMIF(F:F,Tabla_Consulta_desde_Reporte_de_Valorización_de_Instrumentos[[#This Row],[CODIGO_SBS]],AG:AG)+SUMIF(F:F,Tabla_Consulta_desde_Reporte_de_Valorización_de_Instrumentos[[#This Row],[CODIGO_SBS]],AH:AH)</calculatedColumnFormula>
    </tableColumn>
    <tableColumn id="34" xr3:uid="{7DAD2DC8-6D1B-49C4-93ED-91D946661498}" uniqueName="34" name="C02-H" queryTableFieldId="35" dataDxfId="39">
      <calculatedColumnFormula>IFERROR(IFERROR(INDEX('BD(MSCI)'!$T:$T,MATCH(Tabla_Consulta_desde_Reporte_de_Valorización_de_Instrumentos[[#This Row],[CODIGO_ISIN]],'BD(MSCI)'!$C:$C,0),1),INDEX('BD(MSCI)'!$T:$T,MATCH(Tabla_Consulta_desde_Reporte_de_Valorización_de_Instrumentos[[#This Row],[CODIGO_SBS]],'BD(MSCI)'!$C:$C,0),1)),0)</calculatedColumnFormula>
    </tableColumn>
    <tableColumn id="35" xr3:uid="{84C037E7-6D4F-4DC6-AE03-A5ADD24E32CF}" uniqueName="35" name="Huella" queryTableFieldId="36" dataDxfId="38">
      <calculatedColumnFormula>Tabla_Consulta_desde_Reporte_de_Valorización_de_Instrumentos[[#This Row],[C02-H]]*Tabla_Consulta_desde_Reporte_de_Valorización_de_Instrumentos[[#This Row],[Inv MM$]]</calculatedColumnFormula>
    </tableColumn>
    <tableColumn id="36" xr3:uid="{9933CCEB-7E09-46C2-8814-5962292AFD4D}" uniqueName="36" name="Intensidad" queryTableFieldId="37" dataDxfId="37">
      <calculatedColumnFormula>Tabla_Consulta_desde_Reporte_de_Valorización_de_Instrumentos[[#This Row],[C02-H]]*Tabla_Consulta_desde_Reporte_de_Valorización_de_Instrumentos[[#This Row],[Weight]]</calculatedColumnFormula>
    </tableColumn>
    <tableColumn id="37" xr3:uid="{76E47313-24B1-4A11-B245-3DDFFB7C8537}" uniqueName="37" name="Categoria" queryTableFieldId="38" dataDxfId="36">
      <calculatedColumnFormula>INDEX(Parametria!G:G,MATCH(Tabla_Consulta_desde_Reporte_de_Valorización_de_Instrumentos[[#This Row],[CODIGO_SBS]],Parametria!C:C,0))</calculatedColumnFormula>
    </tableColumn>
    <tableColumn id="38" xr3:uid="{3373BAF6-9CD7-4DCE-BA8D-A78AC52FFB45}" uniqueName="38" name="Estrategia" queryTableFieldId="39" dataDxfId="35">
      <calculatedColumnFormula>INDEX(Parametria!F:F,MATCH(Tabla_Consulta_desde_Reporte_de_Valorización_de_Instrumentos[[#This Row],[CODIGO_SBS]],Parametria!C:C,0))</calculatedColumnFormula>
    </tableColumn>
    <tableColumn id="40" xr3:uid="{D2104D62-0594-4545-A2C4-CBF3210BD445}" uniqueName="40" name="Rank_rt" queryTableFieldId="41" dataDxfId="34">
      <calculatedColumnFormula>+INDEX(Parametria!J:J,MATCH(Tabla_Consulta_desde_Reporte_de_Valorización_de_Instrumentos[[#This Row],[CODIGO_SBS]],Parametria!C:C,0))</calculatedColumnFormula>
    </tableColumn>
    <tableColumn id="41" xr3:uid="{A0D8FD90-C7DA-4F85-B608-CDFEE6F91B3E}" uniqueName="41" name="Intensidad-M" queryTableFieldId="43" dataDxfId="33">
      <calculatedColumnFormula>Tabla_Consulta_desde_Reporte_de_Valorización_de_Instrumentos[[#This Row],[Huella]]/$AU$4</calculatedColumnFormula>
    </tableColumn>
    <tableColumn id="42" xr3:uid="{51320D31-E27C-489B-8B8E-0E7FF8B458B6}" uniqueName="42" name="Plus" queryTableFieldId="44" dataDxfId="32">
      <calculatedColumnFormula>IFERROR(INDEX('BD(MSCI)'!W:W,MATCH(Tabla_Consulta_desde_Reporte_de_Valorización_de_Instrumentos[[#This Row],[CODIGO_ISIN]],'BD(MSCI)'!C:C,0)),IF(Tabla_Consulta_desde_Reporte_de_Valorización_de_Instrumentos[[#This Row],[Rank_rt]]="Cash","Cash","Cuestionario Integra"))</calculatedColumnFormula>
    </tableColumn>
    <tableColumn id="43" xr3:uid="{FAF0B62C-58BF-4177-B43C-D45F7D8E20F9}" uniqueName="43" name="Plus_1" queryTableFieldId="45" dataDxfId="31">
      <calculatedColumnFormula>IFERROR(INDEX('BD(MSCI)'!X:X,MATCH(Tabla_Consulta_desde_Reporte_de_Valorización_de_Instrumentos[[#This Row],[CODIGO_ISIN]],'BD(MSCI)'!C:C,0)),"Cuestionario Integra")</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F954B48-709B-4DB7-B557-F9D7574748C1}" name="Tabla_Consulta_desde_Cálculo_Caja" displayName="Tabla_Consulta_desde_Cálculo_Caja" ref="A3:G7" tableType="queryTable" totalsRowShown="0">
  <tableColumns count="7">
    <tableColumn id="1" xr3:uid="{42D3AE5A-E5BF-4AC4-BA8E-48CB12146048}" uniqueName="1" name="PORTAFOLIO" queryTableFieldId="1"/>
    <tableColumn id="2" xr3:uid="{1AEE189E-AB5C-4232-9FAC-7C0EDB3CE7A9}" uniqueName="2" name="FECHA_OPERACION" queryTableFieldId="2"/>
    <tableColumn id="3" xr3:uid="{2FD3CD64-A0C8-4D5A-BA8C-599D863DBC2D}" uniqueName="3" name="CAJA" queryTableFieldId="3" dataDxfId="4" dataCellStyle="Comma 2"/>
    <tableColumn id="4" xr3:uid="{EFA64679-29B6-4E8E-9616-2E2E5EAB3C60}" uniqueName="4" name="CXC" queryTableFieldId="4" dataDxfId="3" dataCellStyle="Comma 2"/>
    <tableColumn id="5" xr3:uid="{FCAABCE1-7BDA-425F-8C5B-E7024798B361}" uniqueName="5" name="CXP" queryTableFieldId="5" dataDxfId="2" dataCellStyle="Comma 2"/>
    <tableColumn id="6" xr3:uid="{2A24C2E7-1F7A-4DAA-820D-3C5D020A6ED4}" uniqueName="6" name="PATRIMONIO" queryTableFieldId="6" dataDxfId="1" dataCellStyle="Comma 2"/>
    <tableColumn id="7" xr3:uid="{8199608C-42D4-40E8-8993-CD6C615BF1F2}" uniqueName="7" name="INVERSIONES" queryTableFieldId="7" dataDxfId="0" dataCellStyle="Comma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548A540-54C9-4321-ABE6-76B85790BFDD}" name="Tabla_Consulta_desde_Tipo_de_Cambio" displayName="Tabla_Consulta_desde_Tipo_de_Cambio" ref="A3:F38" tableType="queryTable" totalsRowShown="0">
  <autoFilter ref="A3:F38" xr:uid="{5548A540-54C9-4321-ABE6-76B85790BFDD}"/>
  <tableColumns count="6">
    <tableColumn id="1" xr3:uid="{EB995DE9-9BC7-49B6-AF93-C0CC54B894A1}" uniqueName="1" name="CODIGO_MONEDA" queryTableFieldId="1"/>
    <tableColumn id="2" xr3:uid="{FB3FE6A7-2A4B-4C59-ABCF-8C4D4EDA4B1C}" uniqueName="2" name="NOMBRE_MONEDA" queryTableFieldId="2"/>
    <tableColumn id="3" xr3:uid="{34DABE9A-663A-44B4-862F-C0A5241B3395}" uniqueName="3" name="FECHA" queryTableFieldId="3"/>
    <tableColumn id="4" xr3:uid="{9B3E3BD9-6F58-40AB-9A7E-5F1F598FD322}" uniqueName="4" name="VALOR" queryTableFieldId="4"/>
    <tableColumn id="5" xr3:uid="{A90015B5-5524-4EE4-9495-9832BD23372A}" uniqueName="5" name="CODIGO_MONEDA_SBS" queryTableFieldId="5"/>
    <tableColumn id="6" xr3:uid="{A0691295-CA0B-4A1B-9054-3ABB8E24EED8}" uniqueName="6" name="MONEDA_INTERNACIONAL" queryTableFieldId="6"/>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2.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3.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4.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5.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6.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7.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8.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9.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0.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1.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2.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3.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4.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5.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6.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7.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8.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9.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20.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21.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22.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23.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24.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25.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26.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27.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drawing" Target="../drawings/drawing5.xml"/><Relationship Id="rId3" Type="http://schemas.openxmlformats.org/officeDocument/2006/relationships/pivotTable" Target="../pivotTables/pivotTable5.xml"/><Relationship Id="rId7" Type="http://schemas.openxmlformats.org/officeDocument/2006/relationships/pivotTable" Target="../pivotTables/pivotTable9.xml"/><Relationship Id="rId12" Type="http://schemas.openxmlformats.org/officeDocument/2006/relationships/printerSettings" Target="../printerSettings/printerSettings3.bin"/><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0" Type="http://schemas.openxmlformats.org/officeDocument/2006/relationships/pivotTable" Target="../pivotTables/pivotTable12.xml"/><Relationship Id="rId4" Type="http://schemas.openxmlformats.org/officeDocument/2006/relationships/pivotTable" Target="../pivotTables/pivotTable6.xml"/><Relationship Id="rId9" Type="http://schemas.openxmlformats.org/officeDocument/2006/relationships/pivotTable" Target="../pivotTables/pivotTable1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41DED-1344-4711-8ABE-9C3822318CA2}">
  <sheetPr codeName="Sheet8">
    <tabColor theme="4"/>
    <pageSetUpPr fitToPage="1"/>
  </sheetPr>
  <dimension ref="A1:R160"/>
  <sheetViews>
    <sheetView workbookViewId="0"/>
  </sheetViews>
  <sheetFormatPr defaultColWidth="9.140625" defaultRowHeight="15" x14ac:dyDescent="0.25"/>
  <cols>
    <col min="1" max="1" width="3.28515625" style="35" customWidth="1"/>
    <col min="2" max="2" width="10.140625" style="35" customWidth="1"/>
    <col min="3" max="17" width="9.140625" style="35"/>
    <col min="18" max="18" width="3.28515625" style="35" customWidth="1"/>
    <col min="19" max="16384" width="9.140625" style="35"/>
  </cols>
  <sheetData>
    <row r="1" spans="1:18" ht="54" customHeight="1" x14ac:dyDescent="0.55000000000000004">
      <c r="A1" s="180"/>
      <c r="B1" s="181" t="s">
        <v>6098</v>
      </c>
      <c r="C1" s="180"/>
      <c r="D1" s="180"/>
      <c r="E1" s="180"/>
      <c r="F1" s="180"/>
      <c r="G1" s="180"/>
      <c r="H1" s="180"/>
      <c r="I1" s="180"/>
      <c r="J1" s="180"/>
      <c r="K1" s="180"/>
      <c r="L1" s="180"/>
      <c r="M1" s="180"/>
      <c r="N1" s="180"/>
      <c r="O1" s="180"/>
      <c r="P1" s="180"/>
      <c r="Q1" s="180"/>
      <c r="R1" s="180"/>
    </row>
    <row r="3" spans="1:18" ht="15.75" x14ac:dyDescent="0.3">
      <c r="A3" s="182"/>
      <c r="B3" s="191" t="s">
        <v>6099</v>
      </c>
      <c r="C3" s="192"/>
      <c r="D3" s="192"/>
      <c r="E3" s="192"/>
      <c r="F3" s="192"/>
      <c r="G3" s="192"/>
      <c r="H3" s="192"/>
      <c r="I3" s="192"/>
      <c r="J3" s="192"/>
      <c r="K3" s="192"/>
      <c r="L3" s="192"/>
      <c r="M3" s="192"/>
      <c r="N3" s="192"/>
      <c r="O3" s="192"/>
      <c r="P3" s="192"/>
      <c r="Q3" s="192"/>
      <c r="R3" s="182"/>
    </row>
    <row r="4" spans="1:18" ht="14.45" customHeight="1" x14ac:dyDescent="0.25">
      <c r="B4" s="251" t="s">
        <v>6121</v>
      </c>
      <c r="C4" s="251"/>
      <c r="D4" s="251"/>
      <c r="E4" s="251"/>
      <c r="F4" s="251"/>
      <c r="G4" s="251"/>
      <c r="H4" s="251"/>
      <c r="I4" s="251"/>
      <c r="J4" s="251"/>
      <c r="K4" s="251"/>
      <c r="L4" s="251"/>
      <c r="M4" s="251"/>
      <c r="N4" s="251"/>
      <c r="O4" s="251"/>
      <c r="P4" s="251"/>
      <c r="Q4" s="251"/>
    </row>
    <row r="5" spans="1:18" ht="15" customHeight="1" x14ac:dyDescent="0.25">
      <c r="B5" s="251"/>
      <c r="C5" s="251"/>
      <c r="D5" s="251"/>
      <c r="E5" s="251"/>
      <c r="F5" s="251"/>
      <c r="G5" s="251"/>
      <c r="H5" s="251"/>
      <c r="I5" s="251"/>
      <c r="J5" s="251"/>
      <c r="K5" s="251"/>
      <c r="L5" s="251"/>
      <c r="M5" s="251"/>
      <c r="N5" s="251"/>
      <c r="O5" s="251"/>
      <c r="P5" s="251"/>
      <c r="Q5" s="251"/>
    </row>
    <row r="6" spans="1:18" ht="15" customHeight="1" x14ac:dyDescent="0.25">
      <c r="B6" s="251"/>
      <c r="C6" s="251"/>
      <c r="D6" s="251"/>
      <c r="E6" s="251"/>
      <c r="F6" s="251"/>
      <c r="G6" s="251"/>
      <c r="H6" s="251"/>
      <c r="I6" s="251"/>
      <c r="J6" s="251"/>
      <c r="K6" s="251"/>
      <c r="L6" s="251"/>
      <c r="M6" s="251"/>
      <c r="N6" s="251"/>
      <c r="O6" s="251"/>
      <c r="P6" s="251"/>
      <c r="Q6" s="251"/>
    </row>
    <row r="7" spans="1:18" ht="15" customHeight="1" x14ac:dyDescent="0.25">
      <c r="B7" s="251"/>
      <c r="C7" s="251"/>
      <c r="D7" s="251"/>
      <c r="E7" s="251"/>
      <c r="F7" s="251"/>
      <c r="G7" s="251"/>
      <c r="H7" s="251"/>
      <c r="I7" s="251"/>
      <c r="J7" s="251"/>
      <c r="K7" s="251"/>
      <c r="L7" s="251"/>
      <c r="M7" s="251"/>
      <c r="N7" s="251"/>
      <c r="O7" s="251"/>
      <c r="P7" s="251"/>
      <c r="Q7" s="251"/>
    </row>
    <row r="8" spans="1:18" ht="15" customHeight="1" x14ac:dyDescent="0.25">
      <c r="B8" s="251"/>
      <c r="C8" s="251"/>
      <c r="D8" s="251"/>
      <c r="E8" s="251"/>
      <c r="F8" s="251"/>
      <c r="G8" s="251"/>
      <c r="H8" s="251"/>
      <c r="I8" s="251"/>
      <c r="J8" s="251"/>
      <c r="K8" s="251"/>
      <c r="L8" s="251"/>
      <c r="M8" s="251"/>
      <c r="N8" s="251"/>
      <c r="O8" s="251"/>
      <c r="P8" s="251"/>
      <c r="Q8" s="251"/>
    </row>
    <row r="9" spans="1:18" ht="15" customHeight="1" x14ac:dyDescent="0.3">
      <c r="A9" s="182"/>
      <c r="B9" s="191" t="s">
        <v>6102</v>
      </c>
      <c r="C9" s="192"/>
      <c r="D9" s="192"/>
      <c r="E9" s="192"/>
      <c r="F9" s="192"/>
      <c r="G9" s="192"/>
      <c r="H9" s="192"/>
      <c r="I9" s="192"/>
      <c r="J9" s="192"/>
      <c r="K9" s="192"/>
      <c r="L9" s="192"/>
      <c r="M9" s="192"/>
      <c r="N9" s="192"/>
      <c r="O9" s="192"/>
      <c r="P9" s="192"/>
      <c r="Q9" s="192"/>
      <c r="R9" s="182"/>
    </row>
    <row r="10" spans="1:18" ht="15" customHeight="1" x14ac:dyDescent="0.25">
      <c r="B10" s="193"/>
      <c r="C10" s="193"/>
      <c r="D10" s="193"/>
      <c r="E10" s="193"/>
      <c r="F10" s="193"/>
      <c r="G10" s="193"/>
      <c r="H10" s="193"/>
      <c r="I10" s="193"/>
      <c r="J10" s="193"/>
      <c r="K10" s="193"/>
      <c r="L10" s="193"/>
      <c r="M10" s="193"/>
      <c r="N10" s="193"/>
      <c r="O10" s="193"/>
      <c r="P10" s="193"/>
      <c r="Q10" s="193"/>
    </row>
    <row r="11" spans="1:18" ht="15.75" x14ac:dyDescent="0.3">
      <c r="B11" s="194" t="s">
        <v>6089</v>
      </c>
      <c r="C11" s="195"/>
      <c r="D11" s="195"/>
      <c r="E11" s="195"/>
      <c r="F11" s="195"/>
      <c r="G11" s="195"/>
      <c r="H11" s="195"/>
      <c r="I11" s="195"/>
      <c r="J11" s="195"/>
      <c r="K11" s="195"/>
      <c r="L11" s="195"/>
      <c r="M11" s="195"/>
      <c r="N11" s="195"/>
      <c r="O11" s="195"/>
      <c r="P11" s="195"/>
      <c r="Q11" s="195"/>
    </row>
    <row r="12" spans="1:18" ht="15.75" x14ac:dyDescent="0.3">
      <c r="B12" s="196" t="s">
        <v>6090</v>
      </c>
      <c r="C12" s="195"/>
      <c r="D12" s="195"/>
      <c r="E12" s="195"/>
      <c r="F12" s="195"/>
      <c r="G12" s="195"/>
      <c r="H12" s="195"/>
      <c r="I12" s="195"/>
      <c r="J12" s="195"/>
      <c r="K12" s="195"/>
      <c r="L12" s="195"/>
      <c r="M12" s="195"/>
      <c r="N12" s="195"/>
      <c r="O12" s="195"/>
      <c r="P12" s="195"/>
      <c r="Q12" s="195"/>
    </row>
    <row r="13" spans="1:18" ht="15.75" x14ac:dyDescent="0.3">
      <c r="B13" s="197" t="s">
        <v>6091</v>
      </c>
      <c r="C13" s="195"/>
      <c r="D13" s="195"/>
      <c r="E13" s="195"/>
      <c r="F13" s="195"/>
      <c r="G13" s="195"/>
      <c r="H13" s="214" t="s">
        <v>6117</v>
      </c>
      <c r="I13" s="195"/>
      <c r="J13" s="195"/>
      <c r="K13" s="195"/>
      <c r="L13" s="195"/>
      <c r="M13" s="195"/>
      <c r="N13" s="195"/>
      <c r="O13" s="195"/>
      <c r="P13" s="195"/>
      <c r="Q13" s="195"/>
    </row>
    <row r="14" spans="1:18" ht="15.75" x14ac:dyDescent="0.3">
      <c r="B14" s="197" t="s">
        <v>6092</v>
      </c>
      <c r="C14" s="195"/>
      <c r="D14" s="195"/>
      <c r="E14" s="195"/>
      <c r="F14" s="195"/>
      <c r="G14" s="195"/>
      <c r="H14" s="195"/>
      <c r="I14" s="195"/>
      <c r="J14" s="195"/>
      <c r="K14" s="195"/>
      <c r="L14" s="195"/>
      <c r="M14" s="195"/>
      <c r="N14" s="195"/>
      <c r="O14" s="195"/>
      <c r="P14" s="195"/>
      <c r="Q14" s="195"/>
    </row>
    <row r="15" spans="1:18" ht="15.75" x14ac:dyDescent="0.3">
      <c r="B15" s="197" t="s">
        <v>6093</v>
      </c>
      <c r="C15" s="195"/>
      <c r="D15" s="195"/>
      <c r="E15" s="195"/>
      <c r="F15" s="195"/>
      <c r="G15" s="195"/>
      <c r="H15" s="195"/>
      <c r="I15" s="195"/>
      <c r="J15" s="195"/>
      <c r="K15" s="195"/>
      <c r="L15" s="195"/>
      <c r="M15" s="195"/>
      <c r="N15" s="195"/>
      <c r="O15" s="195"/>
      <c r="P15" s="195"/>
      <c r="Q15" s="195"/>
    </row>
    <row r="16" spans="1:18" x14ac:dyDescent="0.25">
      <c r="B16" s="198"/>
      <c r="C16" s="198"/>
      <c r="D16" s="198"/>
      <c r="E16" s="198"/>
      <c r="F16" s="198"/>
      <c r="G16" s="198"/>
      <c r="H16" s="198"/>
      <c r="I16" s="198"/>
      <c r="J16" s="198"/>
      <c r="K16" s="198"/>
      <c r="L16" s="198"/>
      <c r="M16" s="198"/>
      <c r="N16" s="198"/>
      <c r="O16" s="198"/>
      <c r="P16" s="198"/>
      <c r="Q16" s="198"/>
    </row>
    <row r="17" spans="2:17" ht="15.75" x14ac:dyDescent="0.3">
      <c r="B17" s="199" t="s">
        <v>4789</v>
      </c>
      <c r="C17" s="200"/>
      <c r="D17" s="200"/>
      <c r="E17" s="200"/>
      <c r="F17" s="200"/>
      <c r="G17" s="200"/>
      <c r="H17" s="200"/>
      <c r="I17" s="200"/>
      <c r="J17" s="200"/>
      <c r="K17" s="200"/>
      <c r="L17" s="200"/>
      <c r="M17" s="200"/>
      <c r="N17" s="200"/>
      <c r="O17" s="200"/>
      <c r="P17" s="200"/>
      <c r="Q17" s="200"/>
    </row>
    <row r="18" spans="2:17" ht="15.75" x14ac:dyDescent="0.3">
      <c r="B18" s="201" t="s">
        <v>6094</v>
      </c>
      <c r="C18" s="200"/>
      <c r="D18" s="200"/>
      <c r="E18" s="200"/>
      <c r="F18" s="200"/>
      <c r="G18" s="200"/>
      <c r="H18" s="200"/>
      <c r="I18" s="200"/>
      <c r="J18" s="200"/>
      <c r="K18" s="200"/>
      <c r="L18" s="200"/>
      <c r="M18" s="200"/>
      <c r="N18" s="200"/>
      <c r="O18" s="200"/>
      <c r="P18" s="200"/>
      <c r="Q18" s="200"/>
    </row>
    <row r="19" spans="2:17" ht="15.75" x14ac:dyDescent="0.3">
      <c r="B19" s="220" t="s">
        <v>4790</v>
      </c>
      <c r="C19" s="200"/>
      <c r="D19" s="200"/>
      <c r="E19" s="200"/>
      <c r="F19" s="200"/>
      <c r="G19" s="200"/>
      <c r="H19" s="200"/>
      <c r="I19" s="200"/>
      <c r="J19" s="200"/>
      <c r="K19" s="200"/>
      <c r="L19" s="200"/>
      <c r="M19" s="200"/>
      <c r="N19" s="200"/>
      <c r="O19" s="200"/>
      <c r="P19" s="200"/>
      <c r="Q19" s="200"/>
    </row>
    <row r="20" spans="2:17" ht="15.75" x14ac:dyDescent="0.3">
      <c r="B20" s="202" t="s">
        <v>4791</v>
      </c>
      <c r="C20" s="200"/>
      <c r="D20" s="200"/>
      <c r="E20" s="200"/>
      <c r="F20" s="200"/>
      <c r="G20" s="200"/>
      <c r="H20" s="200"/>
      <c r="I20" s="200"/>
      <c r="J20" s="200"/>
      <c r="K20" s="200"/>
      <c r="L20" s="200"/>
      <c r="M20" s="200"/>
      <c r="N20" s="200"/>
      <c r="O20" s="200"/>
      <c r="P20" s="200"/>
      <c r="Q20" s="200"/>
    </row>
    <row r="21" spans="2:17" ht="15.75" x14ac:dyDescent="0.3">
      <c r="B21" s="201" t="s">
        <v>6095</v>
      </c>
      <c r="C21" s="201"/>
      <c r="D21" s="201"/>
      <c r="E21" s="201"/>
      <c r="F21" s="201"/>
      <c r="G21" s="201"/>
      <c r="H21" s="201"/>
      <c r="I21" s="201"/>
      <c r="J21" s="201"/>
      <c r="K21" s="201"/>
      <c r="L21" s="201"/>
      <c r="M21" s="201"/>
      <c r="N21" s="201"/>
      <c r="O21" s="201"/>
      <c r="P21" s="201"/>
      <c r="Q21" s="201"/>
    </row>
    <row r="22" spans="2:17" ht="15.75" x14ac:dyDescent="0.3">
      <c r="B22" s="201" t="s">
        <v>6096</v>
      </c>
      <c r="C22" s="201"/>
      <c r="D22" s="201"/>
      <c r="E22" s="201"/>
      <c r="F22" s="201"/>
      <c r="G22" s="201"/>
      <c r="H22" s="201"/>
      <c r="I22" s="201" t="s">
        <v>4846</v>
      </c>
      <c r="J22" s="201"/>
      <c r="K22" s="201"/>
      <c r="L22" s="201"/>
      <c r="M22" s="201"/>
      <c r="N22" s="201"/>
      <c r="O22" s="201"/>
      <c r="P22" s="201"/>
      <c r="Q22" s="201"/>
    </row>
    <row r="23" spans="2:17" ht="15.75" x14ac:dyDescent="0.3">
      <c r="B23" s="202" t="s">
        <v>6100</v>
      </c>
      <c r="C23" s="201"/>
      <c r="D23" s="201"/>
      <c r="E23" s="201"/>
      <c r="F23" s="201"/>
      <c r="G23" s="201"/>
      <c r="H23" s="201"/>
      <c r="I23" s="201"/>
      <c r="J23" s="201"/>
      <c r="K23" s="201"/>
      <c r="L23" s="201"/>
      <c r="M23" s="201"/>
      <c r="N23" s="201"/>
      <c r="O23" s="201"/>
      <c r="P23" s="201"/>
      <c r="Q23" s="201"/>
    </row>
    <row r="24" spans="2:17" x14ac:dyDescent="0.25">
      <c r="B24" s="250" t="s">
        <v>6103</v>
      </c>
      <c r="C24" s="250"/>
      <c r="D24" s="250"/>
      <c r="E24" s="250"/>
      <c r="F24" s="250"/>
      <c r="G24" s="250"/>
      <c r="H24" s="250"/>
      <c r="I24" s="250"/>
      <c r="J24" s="250"/>
      <c r="K24" s="250"/>
      <c r="L24" s="250"/>
      <c r="M24" s="250"/>
      <c r="N24" s="250"/>
      <c r="O24" s="250"/>
      <c r="P24" s="250"/>
      <c r="Q24" s="250"/>
    </row>
    <row r="25" spans="2:17" x14ac:dyDescent="0.25">
      <c r="B25" s="250"/>
      <c r="C25" s="250"/>
      <c r="D25" s="250"/>
      <c r="E25" s="250"/>
      <c r="F25" s="250"/>
      <c r="G25" s="250"/>
      <c r="H25" s="250"/>
      <c r="I25" s="250"/>
      <c r="J25" s="250"/>
      <c r="K25" s="250"/>
      <c r="L25" s="250"/>
      <c r="M25" s="250"/>
      <c r="N25" s="250"/>
      <c r="O25" s="250"/>
      <c r="P25" s="250"/>
      <c r="Q25" s="250"/>
    </row>
    <row r="26" spans="2:17" ht="15.75" x14ac:dyDescent="0.3">
      <c r="B26" s="201" t="s">
        <v>6101</v>
      </c>
      <c r="C26" s="203"/>
      <c r="D26" s="203"/>
      <c r="E26" s="203"/>
      <c r="F26" s="203"/>
      <c r="G26" s="203"/>
      <c r="H26" s="203"/>
      <c r="I26" s="203"/>
      <c r="J26" s="203"/>
      <c r="K26" s="203"/>
      <c r="L26" s="203"/>
      <c r="M26" s="203"/>
      <c r="N26" s="203"/>
      <c r="O26" s="203"/>
      <c r="P26" s="203"/>
      <c r="Q26" s="203"/>
    </row>
    <row r="27" spans="2:17" ht="15.75" x14ac:dyDescent="0.3">
      <c r="B27" s="204" t="s">
        <v>6104</v>
      </c>
      <c r="C27" s="201"/>
      <c r="D27" s="201"/>
      <c r="E27" s="201"/>
      <c r="F27" s="201"/>
      <c r="G27" s="201"/>
      <c r="H27" s="201"/>
      <c r="I27" s="201"/>
      <c r="J27" s="201"/>
      <c r="K27" s="201"/>
      <c r="L27" s="201"/>
      <c r="M27" s="201"/>
      <c r="N27" s="201"/>
      <c r="O27" s="201"/>
      <c r="P27" s="201"/>
      <c r="Q27" s="201"/>
    </row>
    <row r="28" spans="2:17" ht="16.5" customHeight="1" x14ac:dyDescent="0.3">
      <c r="B28" s="255" t="s">
        <v>6108</v>
      </c>
      <c r="C28" s="255"/>
      <c r="D28" s="255"/>
      <c r="E28" s="255"/>
      <c r="F28" s="255"/>
      <c r="G28" s="255"/>
      <c r="H28" s="255"/>
      <c r="I28" s="255"/>
      <c r="J28" s="255"/>
      <c r="K28" s="255"/>
      <c r="L28" s="255"/>
      <c r="M28" s="255"/>
      <c r="N28" s="255"/>
      <c r="O28" s="255"/>
      <c r="P28" s="255"/>
      <c r="Q28" s="255"/>
    </row>
    <row r="29" spans="2:17" ht="15.75" x14ac:dyDescent="0.3">
      <c r="B29" s="201"/>
      <c r="C29" s="201"/>
      <c r="D29" s="201"/>
      <c r="E29" s="201"/>
      <c r="F29" s="201"/>
      <c r="G29" s="201"/>
      <c r="H29" s="201"/>
      <c r="I29" s="201"/>
      <c r="J29" s="201"/>
      <c r="K29" s="201"/>
      <c r="L29" s="201"/>
      <c r="M29" s="201"/>
      <c r="N29" s="201"/>
      <c r="O29" s="201"/>
      <c r="P29" s="201"/>
      <c r="Q29" s="201"/>
    </row>
    <row r="30" spans="2:17" ht="14.45" customHeight="1" x14ac:dyDescent="0.3">
      <c r="B30" s="201"/>
      <c r="C30" s="201"/>
      <c r="D30" s="201"/>
      <c r="E30" s="201"/>
      <c r="F30" s="201"/>
      <c r="G30" s="201"/>
      <c r="H30" s="201"/>
      <c r="I30" s="201"/>
      <c r="J30" s="201"/>
      <c r="K30" s="201"/>
      <c r="L30" s="201"/>
      <c r="M30" s="201"/>
      <c r="N30" s="201"/>
      <c r="O30" s="201"/>
      <c r="P30" s="201"/>
      <c r="Q30" s="201"/>
    </row>
    <row r="31" spans="2:17" ht="15.75" x14ac:dyDescent="0.3">
      <c r="B31" s="201"/>
      <c r="C31" s="201"/>
      <c r="D31" s="201"/>
      <c r="E31" s="201"/>
      <c r="F31" s="201"/>
      <c r="G31" s="201"/>
      <c r="H31" s="201"/>
      <c r="I31" s="201"/>
      <c r="J31" s="201"/>
      <c r="K31" s="201"/>
      <c r="L31" s="201"/>
      <c r="M31" s="201"/>
      <c r="N31" s="201"/>
      <c r="O31" s="201"/>
      <c r="P31" s="201"/>
      <c r="Q31" s="201"/>
    </row>
    <row r="32" spans="2:17" ht="15.75" x14ac:dyDescent="0.3">
      <c r="B32" s="201"/>
      <c r="C32" s="201"/>
      <c r="D32" s="201"/>
      <c r="E32" s="201"/>
      <c r="F32" s="201"/>
      <c r="G32" s="201"/>
      <c r="H32" s="201"/>
      <c r="I32" s="201"/>
      <c r="J32" s="201"/>
      <c r="K32" s="201"/>
      <c r="L32" s="201"/>
      <c r="M32" s="201"/>
      <c r="N32" s="201"/>
      <c r="O32" s="201"/>
      <c r="P32" s="201"/>
      <c r="Q32" s="201"/>
    </row>
    <row r="33" spans="2:17" x14ac:dyDescent="0.25">
      <c r="B33" s="203"/>
      <c r="C33" s="203"/>
      <c r="D33" s="203"/>
      <c r="E33" s="203"/>
      <c r="F33" s="203"/>
      <c r="G33" s="203"/>
      <c r="H33" s="203"/>
      <c r="I33" s="203"/>
      <c r="J33" s="203"/>
      <c r="K33" s="203"/>
      <c r="L33" s="203"/>
      <c r="M33" s="203"/>
      <c r="N33" s="203"/>
      <c r="O33" s="203"/>
      <c r="P33" s="203"/>
      <c r="Q33" s="203"/>
    </row>
    <row r="34" spans="2:17" ht="15" customHeight="1" x14ac:dyDescent="0.3">
      <c r="C34" s="212"/>
      <c r="D34" s="212"/>
      <c r="E34" s="212"/>
      <c r="F34" s="212"/>
      <c r="G34" s="212"/>
      <c r="H34" s="212"/>
      <c r="I34" s="212"/>
      <c r="J34" s="212"/>
      <c r="K34" s="212"/>
      <c r="L34" s="212"/>
      <c r="M34" s="212"/>
      <c r="N34" s="212"/>
      <c r="O34" s="212"/>
      <c r="P34" s="212"/>
      <c r="Q34" s="212"/>
    </row>
    <row r="35" spans="2:17" ht="15" customHeight="1" x14ac:dyDescent="0.25">
      <c r="B35" s="252" t="s">
        <v>6115</v>
      </c>
      <c r="C35" s="252"/>
      <c r="D35" s="252"/>
      <c r="E35" s="252"/>
      <c r="F35" s="252"/>
      <c r="G35" s="252"/>
      <c r="H35" s="252"/>
      <c r="I35" s="252"/>
      <c r="J35" s="252"/>
      <c r="K35" s="252"/>
      <c r="L35" s="252"/>
      <c r="M35" s="252"/>
      <c r="N35" s="252"/>
      <c r="O35" s="252"/>
      <c r="P35" s="252"/>
      <c r="Q35" s="252"/>
    </row>
    <row r="36" spans="2:17" ht="15" customHeight="1" x14ac:dyDescent="0.25">
      <c r="B36" s="252"/>
      <c r="C36" s="252"/>
      <c r="D36" s="252"/>
      <c r="E36" s="252"/>
      <c r="F36" s="252"/>
      <c r="G36" s="252"/>
      <c r="H36" s="252"/>
      <c r="I36" s="252"/>
      <c r="J36" s="252"/>
      <c r="K36" s="252"/>
      <c r="L36" s="252"/>
      <c r="M36" s="252"/>
      <c r="N36" s="252"/>
      <c r="O36" s="252"/>
      <c r="P36" s="252"/>
      <c r="Q36" s="252"/>
    </row>
    <row r="37" spans="2:17" ht="15" customHeight="1" x14ac:dyDescent="0.25">
      <c r="B37" s="252"/>
      <c r="C37" s="252"/>
      <c r="D37" s="252"/>
      <c r="E37" s="252"/>
      <c r="F37" s="252"/>
      <c r="G37" s="252"/>
      <c r="H37" s="252"/>
      <c r="I37" s="252"/>
      <c r="J37" s="252"/>
      <c r="K37" s="252"/>
      <c r="L37" s="252"/>
      <c r="M37" s="252"/>
      <c r="N37" s="252"/>
      <c r="O37" s="252"/>
      <c r="P37" s="252"/>
      <c r="Q37" s="252"/>
    </row>
    <row r="38" spans="2:17" ht="15" customHeight="1" x14ac:dyDescent="0.3">
      <c r="B38" s="212"/>
      <c r="C38" s="212"/>
      <c r="D38" s="212"/>
      <c r="E38" s="212"/>
      <c r="F38" s="212"/>
      <c r="G38" s="212"/>
      <c r="H38" s="212"/>
      <c r="I38" s="212"/>
      <c r="J38" s="212"/>
      <c r="K38" s="212"/>
      <c r="L38" s="212"/>
      <c r="M38" s="212"/>
      <c r="N38" s="212"/>
      <c r="O38" s="212"/>
      <c r="P38" s="212"/>
      <c r="Q38" s="212"/>
    </row>
    <row r="39" spans="2:17" ht="15.75" x14ac:dyDescent="0.3">
      <c r="B39" s="205" t="s">
        <v>4359</v>
      </c>
      <c r="C39" s="253" t="s">
        <v>6109</v>
      </c>
      <c r="D39" s="253"/>
      <c r="E39" s="253"/>
      <c r="F39" s="253"/>
      <c r="G39" s="253"/>
      <c r="H39" s="253"/>
      <c r="I39" s="253"/>
      <c r="J39" s="253"/>
      <c r="K39" s="253"/>
      <c r="L39" s="253"/>
      <c r="M39" s="253"/>
      <c r="N39" s="253"/>
      <c r="O39" s="253"/>
      <c r="P39" s="253"/>
      <c r="Q39" s="254"/>
    </row>
    <row r="40" spans="2:17" ht="15.75" x14ac:dyDescent="0.3">
      <c r="B40" s="206" t="s">
        <v>4353</v>
      </c>
      <c r="C40" s="201" t="s">
        <v>533</v>
      </c>
      <c r="D40" s="201" t="s">
        <v>548</v>
      </c>
      <c r="E40" s="201" t="s">
        <v>728</v>
      </c>
      <c r="F40" s="201"/>
      <c r="G40" s="201"/>
      <c r="H40" s="201"/>
      <c r="I40" s="201"/>
      <c r="J40" s="201"/>
      <c r="K40" s="201"/>
      <c r="L40" s="201"/>
      <c r="M40" s="201"/>
      <c r="N40" s="201"/>
      <c r="O40" s="201"/>
      <c r="P40" s="201"/>
      <c r="Q40" s="207"/>
    </row>
    <row r="41" spans="2:17" ht="15.75" x14ac:dyDescent="0.3">
      <c r="B41" s="208" t="s">
        <v>4357</v>
      </c>
      <c r="C41" s="201" t="s">
        <v>5943</v>
      </c>
      <c r="D41" s="201" t="s">
        <v>203</v>
      </c>
      <c r="E41" s="201" t="s">
        <v>219</v>
      </c>
      <c r="F41" s="201" t="s">
        <v>225</v>
      </c>
      <c r="G41" s="201" t="s">
        <v>250</v>
      </c>
      <c r="H41" s="201" t="s">
        <v>351</v>
      </c>
      <c r="I41" s="201" t="s">
        <v>380</v>
      </c>
      <c r="J41" s="201" t="s">
        <v>423</v>
      </c>
      <c r="K41" s="201" t="s">
        <v>492</v>
      </c>
      <c r="L41" s="201" t="s">
        <v>502</v>
      </c>
      <c r="M41" s="201" t="s">
        <v>513</v>
      </c>
      <c r="N41" s="201" t="s">
        <v>519</v>
      </c>
      <c r="O41" s="201" t="s">
        <v>537</v>
      </c>
      <c r="P41" s="201" t="s">
        <v>925</v>
      </c>
      <c r="Q41" s="207" t="s">
        <v>824</v>
      </c>
    </row>
    <row r="42" spans="2:17" ht="15.75" x14ac:dyDescent="0.3">
      <c r="B42" s="208" t="s">
        <v>4356</v>
      </c>
      <c r="C42" s="201" t="s">
        <v>152</v>
      </c>
      <c r="D42" s="201" t="s">
        <v>176</v>
      </c>
      <c r="E42" s="201" t="s">
        <v>203</v>
      </c>
      <c r="F42" s="201" t="s">
        <v>524</v>
      </c>
      <c r="G42" s="201"/>
      <c r="H42" s="201"/>
      <c r="I42" s="201"/>
      <c r="J42" s="201"/>
      <c r="K42" s="201"/>
      <c r="L42" s="201"/>
      <c r="M42" s="201"/>
      <c r="N42" s="201"/>
      <c r="O42" s="201"/>
      <c r="P42" s="201"/>
      <c r="Q42" s="207"/>
    </row>
    <row r="43" spans="2:17" ht="15.75" x14ac:dyDescent="0.3">
      <c r="B43" s="209" t="s">
        <v>4355</v>
      </c>
      <c r="C43" s="210" t="s">
        <v>176</v>
      </c>
      <c r="D43" s="210" t="s">
        <v>587</v>
      </c>
      <c r="E43" s="210"/>
      <c r="F43" s="210"/>
      <c r="G43" s="210"/>
      <c r="H43" s="210"/>
      <c r="I43" s="210"/>
      <c r="J43" s="210"/>
      <c r="K43" s="210"/>
      <c r="L43" s="210"/>
      <c r="M43" s="210"/>
      <c r="N43" s="210"/>
      <c r="O43" s="210"/>
      <c r="P43" s="210"/>
      <c r="Q43" s="211"/>
    </row>
    <row r="44" spans="2:17" x14ac:dyDescent="0.25">
      <c r="B44" s="203"/>
      <c r="C44" s="203"/>
      <c r="D44" s="203"/>
      <c r="E44" s="203"/>
      <c r="F44" s="203"/>
      <c r="G44" s="203"/>
      <c r="H44" s="203"/>
      <c r="I44" s="203"/>
      <c r="J44" s="203"/>
      <c r="K44" s="203"/>
      <c r="L44" s="203"/>
      <c r="M44" s="203"/>
      <c r="N44" s="203"/>
      <c r="O44" s="203"/>
      <c r="P44" s="203"/>
      <c r="Q44" s="203"/>
    </row>
    <row r="45" spans="2:17" ht="15" customHeight="1" x14ac:dyDescent="0.3">
      <c r="B45" s="252" t="s">
        <v>6116</v>
      </c>
      <c r="C45" s="252"/>
      <c r="D45" s="252"/>
      <c r="E45" s="252"/>
      <c r="F45" s="252"/>
      <c r="G45" s="252"/>
      <c r="H45" s="252"/>
      <c r="I45" s="252"/>
      <c r="J45" s="252"/>
      <c r="K45" s="252"/>
      <c r="L45" s="252"/>
      <c r="M45" s="252"/>
      <c r="N45" s="252"/>
      <c r="O45" s="252"/>
      <c r="P45" s="252"/>
      <c r="Q45" s="252"/>
    </row>
    <row r="46" spans="2:17" ht="16.5" customHeight="1" x14ac:dyDescent="0.25">
      <c r="B46" s="252" t="s">
        <v>6113</v>
      </c>
      <c r="C46" s="252"/>
      <c r="D46" s="252"/>
      <c r="E46" s="252"/>
      <c r="F46" s="252"/>
      <c r="G46" s="252"/>
      <c r="H46" s="252"/>
      <c r="I46" s="252"/>
      <c r="J46" s="252"/>
      <c r="K46" s="252"/>
      <c r="L46" s="252"/>
      <c r="M46" s="252"/>
      <c r="N46" s="252"/>
      <c r="O46" s="252"/>
      <c r="P46" s="252"/>
      <c r="Q46" s="252"/>
    </row>
    <row r="47" spans="2:17" ht="15" customHeight="1" x14ac:dyDescent="0.25">
      <c r="B47" s="252"/>
      <c r="C47" s="252"/>
      <c r="D47" s="252"/>
      <c r="E47" s="252"/>
      <c r="F47" s="252"/>
      <c r="G47" s="252"/>
      <c r="H47" s="252"/>
      <c r="I47" s="252"/>
      <c r="J47" s="252"/>
      <c r="K47" s="252"/>
      <c r="L47" s="252"/>
      <c r="M47" s="252"/>
      <c r="N47" s="252"/>
      <c r="O47" s="252"/>
      <c r="P47" s="252"/>
      <c r="Q47" s="252"/>
    </row>
    <row r="48" spans="2:17" ht="15" customHeight="1" x14ac:dyDescent="0.3">
      <c r="B48" s="202" t="s">
        <v>6110</v>
      </c>
      <c r="C48" s="212"/>
      <c r="D48" s="212"/>
      <c r="E48" s="212"/>
      <c r="F48" s="212"/>
      <c r="G48" s="212"/>
      <c r="H48" s="212"/>
      <c r="I48" s="212"/>
      <c r="J48" s="212"/>
      <c r="K48" s="212"/>
      <c r="L48" s="212"/>
      <c r="M48" s="212"/>
      <c r="N48" s="212"/>
      <c r="O48" s="212"/>
      <c r="P48" s="212"/>
      <c r="Q48" s="212"/>
    </row>
    <row r="49" spans="2:17" ht="15" customHeight="1" x14ac:dyDescent="0.25">
      <c r="B49" s="250" t="s">
        <v>6111</v>
      </c>
      <c r="C49" s="250"/>
      <c r="D49" s="250"/>
      <c r="E49" s="250"/>
      <c r="F49" s="250"/>
      <c r="G49" s="250"/>
      <c r="H49" s="250"/>
      <c r="I49" s="250"/>
      <c r="J49" s="250"/>
      <c r="K49" s="250"/>
      <c r="L49" s="250"/>
      <c r="M49" s="250"/>
      <c r="N49" s="250"/>
      <c r="O49" s="250"/>
      <c r="P49" s="250"/>
      <c r="Q49" s="250"/>
    </row>
    <row r="50" spans="2:17" ht="16.5" customHeight="1" x14ac:dyDescent="0.25">
      <c r="B50" s="250"/>
      <c r="C50" s="250"/>
      <c r="D50" s="250"/>
      <c r="E50" s="250"/>
      <c r="F50" s="250"/>
      <c r="G50" s="250"/>
      <c r="H50" s="250"/>
      <c r="I50" s="250"/>
      <c r="J50" s="250"/>
      <c r="K50" s="250"/>
      <c r="L50" s="250"/>
      <c r="M50" s="250"/>
      <c r="N50" s="250"/>
      <c r="O50" s="250"/>
      <c r="P50" s="250"/>
      <c r="Q50" s="250"/>
    </row>
    <row r="51" spans="2:17" ht="15" customHeight="1" x14ac:dyDescent="0.25">
      <c r="B51" s="250" t="s">
        <v>6112</v>
      </c>
      <c r="C51" s="250"/>
      <c r="D51" s="250"/>
      <c r="E51" s="250"/>
      <c r="F51" s="250"/>
      <c r="G51" s="250"/>
      <c r="H51" s="250"/>
      <c r="I51" s="250"/>
      <c r="J51" s="250"/>
      <c r="K51" s="250"/>
      <c r="L51" s="250"/>
      <c r="M51" s="250"/>
      <c r="N51" s="250"/>
      <c r="O51" s="250"/>
      <c r="P51" s="250"/>
      <c r="Q51" s="250"/>
    </row>
    <row r="52" spans="2:17" x14ac:dyDescent="0.25">
      <c r="B52" s="250"/>
      <c r="C52" s="250"/>
      <c r="D52" s="250"/>
      <c r="E52" s="250"/>
      <c r="F52" s="250"/>
      <c r="G52" s="250"/>
      <c r="H52" s="250"/>
      <c r="I52" s="250"/>
      <c r="J52" s="250"/>
      <c r="K52" s="250"/>
      <c r="L52" s="250"/>
      <c r="M52" s="250"/>
      <c r="N52" s="250"/>
      <c r="O52" s="250"/>
      <c r="P52" s="250"/>
      <c r="Q52" s="250"/>
    </row>
    <row r="53" spans="2:17" ht="15" customHeight="1" x14ac:dyDescent="0.25">
      <c r="B53" s="250" t="s">
        <v>6122</v>
      </c>
      <c r="C53" s="250"/>
      <c r="D53" s="250"/>
      <c r="E53" s="250"/>
      <c r="F53" s="250"/>
      <c r="G53" s="250"/>
      <c r="H53" s="250"/>
      <c r="I53" s="250"/>
      <c r="J53" s="250"/>
      <c r="K53" s="250"/>
      <c r="L53" s="250"/>
      <c r="M53" s="250"/>
      <c r="N53" s="250"/>
      <c r="O53" s="250"/>
      <c r="P53" s="250"/>
      <c r="Q53" s="250"/>
    </row>
    <row r="54" spans="2:17" ht="15" customHeight="1" x14ac:dyDescent="0.25">
      <c r="B54" s="250"/>
      <c r="C54" s="250"/>
      <c r="D54" s="250"/>
      <c r="E54" s="250"/>
      <c r="F54" s="250"/>
      <c r="G54" s="250"/>
      <c r="H54" s="250"/>
      <c r="I54" s="250"/>
      <c r="J54" s="250"/>
      <c r="K54" s="250"/>
      <c r="L54" s="250"/>
      <c r="M54" s="250"/>
      <c r="N54" s="250"/>
      <c r="O54" s="250"/>
      <c r="P54" s="250"/>
      <c r="Q54" s="250"/>
    </row>
    <row r="55" spans="2:17" ht="15.75" customHeight="1" x14ac:dyDescent="0.25">
      <c r="B55" s="250"/>
      <c r="C55" s="250"/>
      <c r="D55" s="250"/>
      <c r="E55" s="250"/>
      <c r="F55" s="250"/>
      <c r="G55" s="250"/>
      <c r="H55" s="250"/>
      <c r="I55" s="250"/>
      <c r="J55" s="250"/>
      <c r="K55" s="250"/>
      <c r="L55" s="250"/>
      <c r="M55" s="250"/>
      <c r="N55" s="250"/>
      <c r="O55" s="250"/>
      <c r="P55" s="250"/>
      <c r="Q55" s="250"/>
    </row>
    <row r="56" spans="2:17" ht="15" customHeight="1" x14ac:dyDescent="0.25">
      <c r="B56" s="250" t="s">
        <v>6120</v>
      </c>
      <c r="C56" s="250"/>
      <c r="D56" s="250"/>
      <c r="E56" s="250"/>
      <c r="F56" s="250"/>
      <c r="G56" s="250"/>
      <c r="H56" s="250"/>
      <c r="I56" s="250"/>
      <c r="J56" s="250"/>
      <c r="K56" s="250"/>
      <c r="L56" s="250"/>
      <c r="M56" s="250"/>
      <c r="N56" s="250"/>
      <c r="O56" s="250"/>
      <c r="P56" s="250"/>
      <c r="Q56" s="250"/>
    </row>
    <row r="57" spans="2:17" ht="15" customHeight="1" x14ac:dyDescent="0.25">
      <c r="B57" s="250"/>
      <c r="C57" s="250"/>
      <c r="D57" s="250"/>
      <c r="E57" s="250"/>
      <c r="F57" s="250"/>
      <c r="G57" s="250"/>
      <c r="H57" s="250"/>
      <c r="I57" s="250"/>
      <c r="J57" s="250"/>
      <c r="K57" s="250"/>
      <c r="L57" s="250"/>
      <c r="M57" s="250"/>
      <c r="N57" s="250"/>
      <c r="O57" s="250"/>
      <c r="P57" s="250"/>
      <c r="Q57" s="250"/>
    </row>
    <row r="58" spans="2:17" ht="15" customHeight="1" x14ac:dyDescent="0.25">
      <c r="B58" s="250"/>
      <c r="C58" s="250"/>
      <c r="D58" s="250"/>
      <c r="E58" s="250"/>
      <c r="F58" s="250"/>
      <c r="G58" s="250"/>
      <c r="H58" s="250"/>
      <c r="I58" s="250"/>
      <c r="J58" s="250"/>
      <c r="K58" s="250"/>
      <c r="L58" s="250"/>
      <c r="M58" s="250"/>
      <c r="N58" s="250"/>
      <c r="O58" s="250"/>
      <c r="P58" s="250"/>
      <c r="Q58" s="250"/>
    </row>
    <row r="59" spans="2:17" ht="15.75" customHeight="1" x14ac:dyDescent="0.25">
      <c r="B59" s="250"/>
      <c r="C59" s="250"/>
      <c r="D59" s="250"/>
      <c r="E59" s="250"/>
      <c r="F59" s="250"/>
      <c r="G59" s="250"/>
      <c r="H59" s="250"/>
      <c r="I59" s="250"/>
      <c r="J59" s="250"/>
      <c r="K59" s="250"/>
      <c r="L59" s="250"/>
      <c r="M59" s="250"/>
      <c r="N59" s="250"/>
      <c r="O59" s="250"/>
      <c r="P59" s="250"/>
      <c r="Q59" s="250"/>
    </row>
    <row r="60" spans="2:17" x14ac:dyDescent="0.25">
      <c r="B60" s="250"/>
      <c r="C60" s="250"/>
      <c r="D60" s="250"/>
      <c r="E60" s="250"/>
      <c r="F60" s="250"/>
      <c r="G60" s="250"/>
      <c r="H60" s="250"/>
      <c r="I60" s="250"/>
      <c r="J60" s="250"/>
      <c r="K60" s="250"/>
      <c r="L60" s="250"/>
      <c r="M60" s="250"/>
      <c r="N60" s="250"/>
      <c r="O60" s="250"/>
      <c r="P60" s="250"/>
      <c r="Q60" s="250"/>
    </row>
    <row r="61" spans="2:17" ht="15.75" x14ac:dyDescent="0.3">
      <c r="B61" s="201" t="s">
        <v>6118</v>
      </c>
    </row>
    <row r="62" spans="2:17" ht="15.75" x14ac:dyDescent="0.3">
      <c r="B62" s="217" t="s">
        <v>4792</v>
      </c>
      <c r="C62" s="216"/>
      <c r="D62" s="216"/>
      <c r="E62" s="216"/>
      <c r="F62" s="216"/>
      <c r="G62" s="216"/>
      <c r="H62" s="216"/>
      <c r="I62" s="216"/>
      <c r="J62" s="216"/>
      <c r="K62" s="216"/>
      <c r="L62" s="216"/>
      <c r="M62" s="216"/>
      <c r="N62" s="216"/>
      <c r="O62" s="216"/>
      <c r="P62" s="216"/>
      <c r="Q62" s="216"/>
    </row>
    <row r="63" spans="2:17" ht="15.75" x14ac:dyDescent="0.3">
      <c r="B63" s="201" t="s">
        <v>6140</v>
      </c>
      <c r="C63" s="216"/>
      <c r="D63" s="216"/>
      <c r="E63" s="216"/>
      <c r="F63" s="216"/>
      <c r="G63" s="216"/>
      <c r="H63" s="216"/>
      <c r="I63" s="216"/>
      <c r="J63" s="216"/>
      <c r="K63" s="216"/>
      <c r="L63" s="216"/>
      <c r="M63" s="216"/>
      <c r="N63" s="216"/>
      <c r="O63" s="216"/>
      <c r="P63" s="216"/>
      <c r="Q63" s="216"/>
    </row>
    <row r="64" spans="2:17" ht="15.75" x14ac:dyDescent="0.3">
      <c r="B64" s="201"/>
      <c r="C64" s="216"/>
      <c r="D64" s="216"/>
      <c r="E64" s="216"/>
      <c r="F64" s="216"/>
      <c r="G64" s="216"/>
      <c r="H64" s="216"/>
      <c r="I64" s="216"/>
      <c r="J64" s="216"/>
      <c r="K64" s="216"/>
      <c r="L64" s="216"/>
      <c r="M64" s="216"/>
      <c r="N64" s="216"/>
      <c r="O64" s="216"/>
      <c r="P64" s="216"/>
      <c r="Q64" s="216"/>
    </row>
    <row r="65" spans="1:18" ht="15.75" x14ac:dyDescent="0.3">
      <c r="B65" s="201"/>
      <c r="C65" s="216"/>
      <c r="D65" s="216"/>
      <c r="E65" s="216"/>
      <c r="F65" s="216"/>
      <c r="G65" s="216"/>
      <c r="H65" s="216"/>
      <c r="I65" s="216"/>
      <c r="J65" s="216"/>
      <c r="K65" s="216"/>
      <c r="L65" s="216"/>
      <c r="M65" s="216"/>
      <c r="N65" s="216"/>
      <c r="O65" s="216"/>
      <c r="P65" s="216"/>
      <c r="Q65" s="216"/>
    </row>
    <row r="66" spans="1:18" ht="15.75" x14ac:dyDescent="0.3">
      <c r="B66" s="216"/>
      <c r="C66" s="216"/>
      <c r="D66" s="216"/>
      <c r="E66" s="216"/>
      <c r="F66" s="216"/>
      <c r="G66" s="216"/>
      <c r="H66" s="216"/>
      <c r="I66" s="216"/>
      <c r="J66" s="216"/>
      <c r="K66" s="216"/>
      <c r="L66" s="216"/>
      <c r="M66" s="216"/>
      <c r="N66" s="216"/>
      <c r="O66" s="216"/>
      <c r="P66" s="216"/>
      <c r="Q66" s="216"/>
    </row>
    <row r="67" spans="1:18" ht="15.75" x14ac:dyDescent="0.3">
      <c r="B67" s="216"/>
      <c r="C67" s="216"/>
      <c r="D67" s="216"/>
      <c r="E67" s="216"/>
      <c r="F67" s="216"/>
      <c r="G67" s="216"/>
      <c r="H67" s="216"/>
      <c r="I67" s="216"/>
      <c r="J67" s="216"/>
      <c r="K67" s="216"/>
      <c r="L67" s="216"/>
      <c r="M67" s="216"/>
      <c r="N67" s="216"/>
      <c r="O67" s="216"/>
      <c r="P67" s="216"/>
      <c r="Q67" s="216"/>
    </row>
    <row r="68" spans="1:18" ht="15.75" x14ac:dyDescent="0.3">
      <c r="B68" s="216"/>
      <c r="C68" s="216"/>
      <c r="D68" s="216"/>
      <c r="E68" s="216"/>
      <c r="F68" s="216"/>
      <c r="G68" s="216"/>
      <c r="H68" s="216"/>
      <c r="I68" s="216"/>
      <c r="J68" s="216"/>
      <c r="K68" s="216"/>
      <c r="L68" s="216"/>
      <c r="M68" s="216"/>
      <c r="N68" s="216"/>
      <c r="O68" s="216"/>
      <c r="P68" s="216"/>
      <c r="Q68" s="216"/>
    </row>
    <row r="69" spans="1:18" ht="15.75" x14ac:dyDescent="0.3">
      <c r="B69" s="201"/>
      <c r="C69" s="201"/>
      <c r="D69" s="201"/>
      <c r="E69" s="201"/>
      <c r="F69" s="201"/>
      <c r="G69" s="201"/>
      <c r="H69" s="201"/>
      <c r="I69" s="201"/>
      <c r="J69" s="201"/>
      <c r="K69" s="201"/>
      <c r="L69" s="201"/>
      <c r="M69" s="201"/>
      <c r="N69" s="201"/>
      <c r="O69" s="201"/>
      <c r="P69" s="201"/>
      <c r="Q69" s="201"/>
    </row>
    <row r="70" spans="1:18" ht="15.75" x14ac:dyDescent="0.3">
      <c r="B70" s="201"/>
      <c r="C70" s="201"/>
      <c r="D70" s="201"/>
      <c r="E70" s="201"/>
      <c r="F70" s="201"/>
      <c r="G70" s="201"/>
      <c r="H70" s="201"/>
      <c r="I70" s="201"/>
      <c r="J70" s="201"/>
      <c r="K70" s="201"/>
      <c r="L70" s="201"/>
      <c r="M70" s="201"/>
      <c r="N70" s="201"/>
      <c r="O70" s="201"/>
      <c r="P70" s="201"/>
      <c r="Q70" s="201"/>
    </row>
    <row r="71" spans="1:18" ht="15.75" x14ac:dyDescent="0.3">
      <c r="B71" s="202"/>
      <c r="C71" s="201"/>
      <c r="D71" s="201"/>
      <c r="E71" s="201"/>
      <c r="F71" s="201"/>
      <c r="G71" s="201"/>
      <c r="H71" s="201"/>
      <c r="I71" s="201"/>
      <c r="J71" s="201"/>
      <c r="K71" s="201"/>
      <c r="L71" s="201"/>
      <c r="M71" s="201"/>
      <c r="N71" s="201"/>
      <c r="O71" s="201"/>
      <c r="P71" s="201"/>
      <c r="Q71" s="201"/>
    </row>
    <row r="72" spans="1:18" ht="15.75" x14ac:dyDescent="0.3">
      <c r="B72" s="216"/>
      <c r="C72" s="216"/>
      <c r="D72" s="216"/>
      <c r="E72" s="216"/>
      <c r="F72" s="216"/>
      <c r="G72" s="216"/>
      <c r="H72" s="216"/>
      <c r="I72" s="216"/>
      <c r="J72" s="216"/>
      <c r="K72" s="216"/>
      <c r="L72" s="216"/>
      <c r="M72" s="216"/>
      <c r="N72" s="216"/>
      <c r="O72" s="216"/>
      <c r="P72" s="216"/>
      <c r="Q72" s="216"/>
    </row>
    <row r="73" spans="1:18" ht="15.75" x14ac:dyDescent="0.3">
      <c r="B73" s="216"/>
      <c r="C73" s="216"/>
      <c r="D73" s="216"/>
      <c r="E73" s="216"/>
      <c r="F73" s="216"/>
      <c r="G73" s="216"/>
      <c r="H73" s="216"/>
      <c r="I73" s="216"/>
      <c r="J73" s="216"/>
      <c r="K73" s="216"/>
      <c r="L73" s="216"/>
      <c r="M73" s="216"/>
      <c r="N73" s="216"/>
      <c r="O73" s="216"/>
      <c r="P73" s="216"/>
      <c r="Q73" s="216"/>
    </row>
    <row r="74" spans="1:18" ht="15.75" x14ac:dyDescent="0.3">
      <c r="C74" s="201"/>
      <c r="D74" s="201"/>
      <c r="E74" s="201"/>
      <c r="F74" s="201"/>
      <c r="G74" s="201"/>
      <c r="H74" s="201"/>
      <c r="I74" s="201"/>
      <c r="J74" s="201"/>
      <c r="K74" s="201"/>
      <c r="L74" s="201"/>
      <c r="M74" s="201"/>
      <c r="N74" s="201"/>
      <c r="O74" s="201"/>
      <c r="P74" s="201"/>
      <c r="Q74" s="201"/>
    </row>
    <row r="75" spans="1:18" ht="15.75" x14ac:dyDescent="0.3">
      <c r="C75" s="201"/>
      <c r="D75" s="201"/>
      <c r="E75" s="201"/>
      <c r="F75" s="201"/>
      <c r="G75" s="201"/>
      <c r="H75" s="201"/>
      <c r="I75" s="201"/>
      <c r="J75" s="201"/>
      <c r="K75" s="201"/>
      <c r="L75" s="201"/>
      <c r="M75" s="201"/>
      <c r="N75" s="201"/>
      <c r="O75" s="201"/>
      <c r="P75" s="201"/>
      <c r="Q75" s="201"/>
    </row>
    <row r="76" spans="1:18" ht="15.75" x14ac:dyDescent="0.3">
      <c r="B76" s="202" t="s">
        <v>4793</v>
      </c>
      <c r="C76" s="201"/>
      <c r="D76" s="201"/>
      <c r="E76" s="201"/>
      <c r="F76" s="201"/>
      <c r="G76" s="201"/>
      <c r="H76" s="201"/>
      <c r="I76" s="201"/>
      <c r="J76" s="201"/>
      <c r="K76" s="201"/>
      <c r="L76" s="201"/>
      <c r="M76" s="201"/>
      <c r="N76" s="201"/>
      <c r="O76" s="201"/>
      <c r="P76" s="201"/>
      <c r="Q76" s="201"/>
    </row>
    <row r="77" spans="1:18" ht="15.75" x14ac:dyDescent="0.3">
      <c r="B77" s="201" t="s">
        <v>6119</v>
      </c>
      <c r="C77" s="201"/>
      <c r="D77" s="201"/>
      <c r="E77" s="201"/>
      <c r="F77" s="201"/>
      <c r="G77" s="201"/>
      <c r="H77" s="201"/>
      <c r="I77" s="201"/>
      <c r="J77" s="201"/>
      <c r="K77" s="201"/>
      <c r="L77" s="201"/>
      <c r="M77" s="201"/>
      <c r="N77" s="201"/>
      <c r="O77" s="201"/>
      <c r="P77" s="201"/>
      <c r="Q77" s="201"/>
    </row>
    <row r="78" spans="1:18" ht="15.75" x14ac:dyDescent="0.3">
      <c r="B78" s="202"/>
      <c r="C78" s="201"/>
      <c r="D78" s="201"/>
      <c r="E78" s="201"/>
      <c r="F78" s="201"/>
      <c r="G78" s="201"/>
      <c r="H78" s="201"/>
      <c r="I78" s="201"/>
      <c r="J78" s="201"/>
      <c r="K78" s="201"/>
      <c r="L78" s="201"/>
      <c r="M78" s="201"/>
      <c r="N78" s="201"/>
      <c r="O78" s="201"/>
      <c r="P78" s="201"/>
      <c r="Q78" s="201"/>
    </row>
    <row r="79" spans="1:18" ht="15.75" x14ac:dyDescent="0.3">
      <c r="B79" s="201"/>
      <c r="C79" s="201"/>
      <c r="D79" s="201"/>
      <c r="E79" s="201"/>
      <c r="F79" s="201"/>
      <c r="G79" s="201"/>
      <c r="H79" s="201"/>
      <c r="I79" s="201"/>
      <c r="J79" s="201"/>
      <c r="K79" s="201"/>
      <c r="L79" s="201"/>
      <c r="M79" s="201"/>
      <c r="N79" s="201"/>
      <c r="O79" s="201"/>
      <c r="P79" s="201"/>
      <c r="Q79" s="201"/>
    </row>
    <row r="80" spans="1:18" x14ac:dyDescent="0.25">
      <c r="A80" s="180"/>
      <c r="B80" s="180"/>
      <c r="C80" s="180"/>
      <c r="D80" s="180"/>
      <c r="E80" s="180"/>
      <c r="F80" s="180"/>
      <c r="G80" s="180"/>
      <c r="H80" s="180"/>
      <c r="I80" s="180"/>
      <c r="J80" s="180"/>
      <c r="K80" s="180"/>
      <c r="L80" s="180"/>
      <c r="M80" s="180"/>
      <c r="N80" s="180"/>
      <c r="O80" s="180"/>
      <c r="P80" s="180"/>
      <c r="Q80" s="180"/>
      <c r="R80" s="180"/>
    </row>
    <row r="81" spans="1:18" ht="36" x14ac:dyDescent="0.55000000000000004">
      <c r="A81" s="180"/>
      <c r="B81" s="181" t="s">
        <v>6124</v>
      </c>
      <c r="C81" s="180"/>
      <c r="D81" s="180"/>
      <c r="E81" s="180"/>
      <c r="F81" s="180"/>
      <c r="G81" s="180"/>
      <c r="H81" s="180"/>
      <c r="I81" s="180"/>
      <c r="J81" s="180"/>
      <c r="K81" s="180"/>
      <c r="L81" s="180"/>
      <c r="M81" s="180"/>
      <c r="N81" s="180"/>
      <c r="O81" s="180"/>
      <c r="P81" s="180"/>
      <c r="Q81" s="180"/>
      <c r="R81" s="180"/>
    </row>
    <row r="82" spans="1:18" ht="16.5" x14ac:dyDescent="0.3">
      <c r="B82" s="215"/>
      <c r="C82" s="215"/>
      <c r="D82" s="215"/>
      <c r="E82" s="215"/>
      <c r="F82" s="215"/>
      <c r="G82" s="215"/>
      <c r="H82" s="215"/>
      <c r="I82" s="215"/>
      <c r="J82" s="215"/>
      <c r="K82" s="215"/>
      <c r="L82" s="215"/>
      <c r="M82" s="215"/>
      <c r="N82" s="215"/>
      <c r="O82" s="215"/>
      <c r="P82" s="215"/>
      <c r="Q82" s="215"/>
    </row>
    <row r="83" spans="1:18" ht="14.45" customHeight="1" x14ac:dyDescent="0.3">
      <c r="A83" s="41"/>
      <c r="B83" s="218" t="s">
        <v>6126</v>
      </c>
      <c r="C83" s="201"/>
      <c r="D83" s="201"/>
      <c r="E83" s="201"/>
      <c r="F83" s="201"/>
      <c r="G83" s="201"/>
      <c r="H83" s="201"/>
      <c r="I83" s="201"/>
      <c r="J83" s="201"/>
      <c r="K83" s="201"/>
      <c r="L83" s="201"/>
      <c r="M83" s="201"/>
      <c r="N83" s="201"/>
      <c r="O83" s="201"/>
      <c r="P83" s="201"/>
      <c r="Q83" s="201"/>
      <c r="R83" s="42"/>
    </row>
    <row r="84" spans="1:18" x14ac:dyDescent="0.25">
      <c r="A84" s="41"/>
      <c r="B84" s="251" t="s">
        <v>6125</v>
      </c>
      <c r="C84" s="251"/>
      <c r="D84" s="251"/>
      <c r="E84" s="251"/>
      <c r="F84" s="251"/>
      <c r="G84" s="251"/>
      <c r="H84" s="251"/>
      <c r="I84" s="251"/>
      <c r="J84" s="251"/>
      <c r="K84" s="251"/>
      <c r="L84" s="251"/>
      <c r="M84" s="251"/>
      <c r="N84" s="251"/>
      <c r="O84" s="251"/>
      <c r="P84" s="251"/>
      <c r="Q84" s="251"/>
      <c r="R84" s="42"/>
    </row>
    <row r="85" spans="1:18" ht="15" customHeight="1" x14ac:dyDescent="0.25">
      <c r="A85" s="41"/>
      <c r="B85" s="251"/>
      <c r="C85" s="251"/>
      <c r="D85" s="251"/>
      <c r="E85" s="251"/>
      <c r="F85" s="251"/>
      <c r="G85" s="251"/>
      <c r="H85" s="251"/>
      <c r="I85" s="251"/>
      <c r="J85" s="251"/>
      <c r="K85" s="251"/>
      <c r="L85" s="251"/>
      <c r="M85" s="251"/>
      <c r="N85" s="251"/>
      <c r="O85" s="251"/>
      <c r="P85" s="251"/>
      <c r="Q85" s="251"/>
      <c r="R85" s="42"/>
    </row>
    <row r="86" spans="1:18" ht="15" customHeight="1" x14ac:dyDescent="0.3">
      <c r="B86" s="201" t="s">
        <v>4834</v>
      </c>
      <c r="C86" s="201" t="s">
        <v>4837</v>
      </c>
      <c r="D86" s="219"/>
      <c r="E86" s="219"/>
      <c r="F86" s="219"/>
      <c r="G86" s="219"/>
      <c r="H86" s="219"/>
      <c r="I86" s="219"/>
      <c r="J86" s="219"/>
      <c r="K86" s="219"/>
      <c r="L86" s="219"/>
      <c r="M86" s="219"/>
      <c r="N86" s="219"/>
      <c r="O86" s="219"/>
      <c r="P86" s="219"/>
      <c r="Q86" s="219"/>
    </row>
    <row r="87" spans="1:18" ht="15.75" x14ac:dyDescent="0.3">
      <c r="B87" s="201"/>
      <c r="C87" s="201"/>
      <c r="D87" s="201"/>
      <c r="E87" s="201"/>
      <c r="F87" s="201"/>
      <c r="G87" s="201"/>
      <c r="H87" s="201"/>
      <c r="I87" s="201"/>
      <c r="J87" s="201"/>
      <c r="K87" s="201"/>
      <c r="L87" s="201"/>
      <c r="M87" s="201"/>
      <c r="N87" s="201"/>
      <c r="O87" s="201"/>
      <c r="P87" s="201"/>
      <c r="Q87" s="201"/>
    </row>
    <row r="88" spans="1:18" ht="15.75" x14ac:dyDescent="0.3">
      <c r="B88" s="201"/>
      <c r="C88" s="201"/>
      <c r="D88" s="201"/>
      <c r="E88" s="201"/>
      <c r="F88" s="201"/>
      <c r="G88" s="201"/>
      <c r="H88" s="201"/>
      <c r="I88" s="201"/>
      <c r="J88" s="201"/>
      <c r="K88" s="201"/>
      <c r="L88" s="201"/>
      <c r="M88" s="201"/>
      <c r="N88" s="201"/>
      <c r="O88" s="201"/>
      <c r="P88" s="201"/>
      <c r="Q88" s="201"/>
    </row>
    <row r="89" spans="1:18" ht="15.75" x14ac:dyDescent="0.3">
      <c r="B89" s="201"/>
      <c r="C89" s="201"/>
      <c r="D89" s="201"/>
      <c r="E89" s="201"/>
      <c r="F89" s="201"/>
      <c r="G89" s="201"/>
      <c r="H89" s="201"/>
      <c r="I89" s="201"/>
      <c r="J89" s="201"/>
      <c r="K89" s="201"/>
      <c r="L89" s="201"/>
      <c r="M89" s="201"/>
      <c r="N89" s="201"/>
      <c r="O89" s="201"/>
      <c r="P89" s="201"/>
      <c r="Q89" s="201"/>
    </row>
    <row r="90" spans="1:18" ht="15.75" x14ac:dyDescent="0.3">
      <c r="B90" s="201"/>
      <c r="C90" s="201"/>
      <c r="D90" s="201"/>
      <c r="E90" s="201"/>
      <c r="F90" s="201"/>
      <c r="G90" s="201"/>
      <c r="H90" s="201"/>
      <c r="I90" s="201"/>
      <c r="J90" s="201"/>
      <c r="K90" s="201"/>
      <c r="L90" s="201"/>
      <c r="M90" s="201"/>
      <c r="N90" s="201"/>
      <c r="O90" s="201"/>
      <c r="P90" s="201"/>
      <c r="Q90" s="201"/>
    </row>
    <row r="91" spans="1:18" ht="15.75" x14ac:dyDescent="0.3">
      <c r="B91" s="201"/>
      <c r="C91" s="201"/>
      <c r="D91" s="201"/>
      <c r="E91" s="201"/>
      <c r="F91" s="201"/>
      <c r="G91" s="201"/>
      <c r="H91" s="201"/>
      <c r="I91" s="201"/>
      <c r="J91" s="201"/>
      <c r="K91" s="201"/>
      <c r="L91" s="201"/>
      <c r="M91" s="201"/>
      <c r="N91" s="201"/>
      <c r="O91" s="201"/>
      <c r="P91" s="201"/>
      <c r="Q91" s="201"/>
    </row>
    <row r="92" spans="1:18" ht="15.75" x14ac:dyDescent="0.3">
      <c r="B92" s="201" t="s">
        <v>4838</v>
      </c>
      <c r="C92" s="201" t="s">
        <v>6123</v>
      </c>
      <c r="D92" s="201"/>
      <c r="E92" s="201"/>
      <c r="F92" s="201"/>
      <c r="G92" s="201"/>
      <c r="H92" s="201"/>
      <c r="I92" s="201"/>
      <c r="J92" s="201"/>
      <c r="K92" s="201"/>
      <c r="L92" s="201"/>
      <c r="M92" s="201"/>
      <c r="N92" s="201"/>
      <c r="O92" s="201"/>
      <c r="P92" s="201"/>
      <c r="Q92" s="201"/>
    </row>
    <row r="93" spans="1:18" ht="15.75" x14ac:dyDescent="0.3">
      <c r="B93" s="201"/>
      <c r="C93" s="201"/>
      <c r="D93" s="201"/>
      <c r="E93" s="201"/>
      <c r="F93" s="201"/>
      <c r="G93" s="201"/>
      <c r="H93" s="201"/>
      <c r="I93" s="201"/>
      <c r="J93" s="201"/>
      <c r="K93" s="201"/>
      <c r="L93" s="201"/>
      <c r="M93" s="201"/>
      <c r="N93" s="201"/>
      <c r="O93" s="201"/>
      <c r="P93" s="201"/>
      <c r="Q93" s="201"/>
    </row>
    <row r="94" spans="1:18" ht="15.75" x14ac:dyDescent="0.3">
      <c r="B94" s="201"/>
      <c r="C94" s="201"/>
      <c r="D94" s="201"/>
      <c r="E94" s="201"/>
      <c r="F94" s="201"/>
      <c r="G94" s="201"/>
      <c r="H94" s="201"/>
      <c r="I94" s="201"/>
      <c r="J94" s="201"/>
      <c r="K94" s="201"/>
      <c r="L94" s="201"/>
      <c r="M94" s="201"/>
      <c r="N94" s="201"/>
      <c r="O94" s="201"/>
      <c r="P94" s="201"/>
      <c r="Q94" s="201"/>
    </row>
    <row r="95" spans="1:18" ht="15.75" x14ac:dyDescent="0.3">
      <c r="B95" s="201"/>
      <c r="C95" s="201"/>
      <c r="D95" s="201"/>
      <c r="E95" s="201"/>
      <c r="F95" s="201"/>
      <c r="G95" s="201"/>
      <c r="H95" s="201"/>
      <c r="I95" s="201"/>
      <c r="J95" s="201"/>
      <c r="K95" s="201"/>
      <c r="L95" s="201"/>
      <c r="M95" s="201"/>
      <c r="N95" s="201"/>
      <c r="O95" s="201"/>
      <c r="P95" s="201"/>
      <c r="Q95" s="201"/>
    </row>
    <row r="96" spans="1:18" ht="15.75" x14ac:dyDescent="0.3">
      <c r="B96" s="201"/>
      <c r="C96" s="201"/>
      <c r="D96" s="201"/>
      <c r="E96" s="201"/>
      <c r="F96" s="201"/>
      <c r="G96" s="201"/>
      <c r="H96" s="201"/>
      <c r="I96" s="201"/>
      <c r="J96" s="201"/>
      <c r="K96" s="201"/>
      <c r="L96" s="201"/>
      <c r="M96" s="201"/>
      <c r="N96" s="201"/>
      <c r="O96" s="201"/>
      <c r="P96" s="201"/>
      <c r="Q96" s="201"/>
    </row>
    <row r="97" spans="2:17" ht="15.75" x14ac:dyDescent="0.3">
      <c r="B97" s="201"/>
      <c r="C97" s="201"/>
      <c r="D97" s="201"/>
      <c r="E97" s="201"/>
      <c r="F97" s="201"/>
      <c r="G97" s="201"/>
      <c r="H97" s="201"/>
      <c r="I97" s="201"/>
      <c r="J97" s="201"/>
      <c r="K97" s="201"/>
      <c r="L97" s="201"/>
      <c r="M97" s="201"/>
      <c r="N97" s="201"/>
      <c r="O97" s="201"/>
      <c r="P97" s="201"/>
      <c r="Q97" s="201"/>
    </row>
    <row r="98" spans="2:17" ht="15.75" x14ac:dyDescent="0.3">
      <c r="B98" s="201" t="s">
        <v>4839</v>
      </c>
      <c r="C98" s="201" t="s">
        <v>4836</v>
      </c>
      <c r="D98" s="201"/>
      <c r="E98" s="201"/>
      <c r="F98" s="201"/>
      <c r="G98" s="201"/>
      <c r="H98" s="201"/>
      <c r="I98" s="201"/>
      <c r="J98" s="201"/>
      <c r="K98" s="201"/>
      <c r="L98" s="201"/>
      <c r="M98" s="201"/>
      <c r="N98" s="201"/>
      <c r="O98" s="201"/>
      <c r="P98" s="201"/>
      <c r="Q98" s="201"/>
    </row>
    <row r="99" spans="2:17" ht="15.75" x14ac:dyDescent="0.3">
      <c r="B99" s="201"/>
      <c r="C99" s="201"/>
      <c r="D99" s="201"/>
      <c r="E99" s="201"/>
      <c r="F99" s="201"/>
      <c r="G99" s="201"/>
      <c r="H99" s="201"/>
      <c r="I99" s="201"/>
      <c r="J99" s="201"/>
      <c r="K99" s="201"/>
      <c r="L99" s="201"/>
      <c r="M99" s="201"/>
      <c r="N99" s="201"/>
      <c r="O99" s="201"/>
      <c r="P99" s="201"/>
      <c r="Q99" s="201"/>
    </row>
    <row r="100" spans="2:17" ht="15.75" x14ac:dyDescent="0.3">
      <c r="B100" s="201"/>
      <c r="C100" s="201"/>
      <c r="D100" s="201"/>
      <c r="E100" s="201"/>
      <c r="F100" s="201"/>
      <c r="G100" s="201"/>
      <c r="H100" s="201"/>
      <c r="I100" s="201"/>
      <c r="J100" s="201"/>
      <c r="K100" s="201"/>
      <c r="L100" s="201"/>
      <c r="M100" s="201"/>
      <c r="N100" s="201"/>
      <c r="O100" s="201"/>
      <c r="P100" s="201"/>
      <c r="Q100" s="201"/>
    </row>
    <row r="101" spans="2:17" ht="15.75" x14ac:dyDescent="0.3">
      <c r="B101" s="201"/>
      <c r="C101" s="201"/>
      <c r="D101" s="201"/>
      <c r="E101" s="201"/>
      <c r="F101" s="201"/>
      <c r="G101" s="201"/>
      <c r="H101" s="201"/>
      <c r="I101" s="201"/>
      <c r="J101" s="201"/>
      <c r="K101" s="201"/>
      <c r="L101" s="201"/>
      <c r="M101" s="201"/>
      <c r="N101" s="201"/>
      <c r="O101" s="201"/>
      <c r="P101" s="201"/>
      <c r="Q101" s="201"/>
    </row>
    <row r="102" spans="2:17" ht="15.75" x14ac:dyDescent="0.3">
      <c r="B102" s="201"/>
      <c r="C102" s="201"/>
      <c r="D102" s="201"/>
      <c r="E102" s="201"/>
      <c r="F102" s="201"/>
      <c r="G102" s="201"/>
      <c r="H102" s="201"/>
      <c r="I102" s="201"/>
      <c r="J102" s="201"/>
      <c r="K102" s="201"/>
      <c r="L102" s="201"/>
      <c r="M102" s="201"/>
      <c r="N102" s="201"/>
      <c r="O102" s="201"/>
      <c r="P102" s="201"/>
      <c r="Q102" s="201"/>
    </row>
    <row r="103" spans="2:17" ht="15.75" x14ac:dyDescent="0.3">
      <c r="B103" s="201"/>
      <c r="C103" s="201"/>
      <c r="D103" s="201"/>
      <c r="E103" s="201"/>
      <c r="F103" s="201"/>
      <c r="G103" s="201"/>
      <c r="H103" s="201"/>
      <c r="I103" s="201"/>
      <c r="J103" s="201"/>
      <c r="K103" s="201"/>
      <c r="L103" s="201"/>
      <c r="M103" s="201"/>
      <c r="N103" s="201"/>
      <c r="O103" s="201"/>
      <c r="P103" s="201"/>
      <c r="Q103" s="201"/>
    </row>
    <row r="104" spans="2:17" ht="15.75" x14ac:dyDescent="0.3">
      <c r="B104" s="201" t="s">
        <v>4840</v>
      </c>
      <c r="C104" s="201" t="s">
        <v>4835</v>
      </c>
      <c r="D104" s="201"/>
      <c r="E104" s="201"/>
      <c r="F104" s="201"/>
      <c r="G104" s="201"/>
      <c r="H104" s="201"/>
      <c r="I104" s="201"/>
      <c r="J104" s="201"/>
      <c r="K104" s="201"/>
      <c r="L104" s="201"/>
      <c r="M104" s="201"/>
      <c r="N104" s="201"/>
      <c r="O104" s="201"/>
      <c r="P104" s="201"/>
      <c r="Q104" s="201"/>
    </row>
    <row r="105" spans="2:17" ht="15.75" x14ac:dyDescent="0.3">
      <c r="B105" s="201"/>
      <c r="C105" s="201"/>
      <c r="D105" s="201"/>
      <c r="E105" s="201"/>
      <c r="F105" s="201"/>
      <c r="G105" s="201"/>
      <c r="H105" s="201"/>
      <c r="I105" s="201"/>
      <c r="J105" s="201"/>
      <c r="K105" s="201"/>
      <c r="L105" s="201"/>
      <c r="M105" s="201"/>
      <c r="N105" s="201"/>
      <c r="O105" s="201"/>
      <c r="P105" s="201"/>
      <c r="Q105" s="201"/>
    </row>
    <row r="106" spans="2:17" ht="15.75" x14ac:dyDescent="0.3">
      <c r="B106" s="201"/>
      <c r="C106" s="201"/>
      <c r="D106" s="201"/>
      <c r="E106" s="201"/>
      <c r="F106" s="201"/>
      <c r="G106" s="201"/>
      <c r="H106" s="201"/>
      <c r="I106" s="201"/>
      <c r="J106" s="201"/>
      <c r="K106" s="201"/>
      <c r="L106" s="201"/>
      <c r="M106" s="201"/>
      <c r="N106" s="201"/>
      <c r="O106" s="201"/>
      <c r="P106" s="201"/>
      <c r="Q106" s="201"/>
    </row>
    <row r="107" spans="2:17" ht="15.75" x14ac:dyDescent="0.3">
      <c r="B107" s="201"/>
      <c r="C107" s="201"/>
      <c r="D107" s="201"/>
      <c r="E107" s="201"/>
      <c r="F107" s="201"/>
      <c r="G107" s="201"/>
      <c r="H107" s="201"/>
      <c r="I107" s="201"/>
      <c r="J107" s="201"/>
      <c r="K107" s="201"/>
      <c r="L107" s="201"/>
      <c r="M107" s="201"/>
      <c r="N107" s="201"/>
      <c r="O107" s="201"/>
      <c r="P107" s="201"/>
      <c r="Q107" s="201"/>
    </row>
    <row r="108" spans="2:17" ht="15.75" x14ac:dyDescent="0.3">
      <c r="B108" s="201"/>
      <c r="C108" s="201"/>
      <c r="D108" s="201"/>
      <c r="E108" s="201"/>
      <c r="F108" s="201"/>
      <c r="G108" s="201"/>
      <c r="H108" s="201"/>
      <c r="I108" s="201"/>
      <c r="J108" s="201"/>
      <c r="K108" s="201"/>
      <c r="L108" s="201"/>
      <c r="M108" s="201"/>
      <c r="N108" s="201"/>
      <c r="O108" s="201"/>
      <c r="P108" s="201"/>
      <c r="Q108" s="201"/>
    </row>
    <row r="109" spans="2:17" ht="15.75" x14ac:dyDescent="0.3">
      <c r="B109" s="201"/>
      <c r="C109" s="201"/>
      <c r="D109" s="201"/>
      <c r="E109" s="201"/>
      <c r="F109" s="201"/>
      <c r="G109" s="201"/>
      <c r="H109" s="201"/>
      <c r="I109" s="201"/>
      <c r="J109" s="201"/>
      <c r="K109" s="201"/>
      <c r="L109" s="201"/>
      <c r="M109" s="201"/>
      <c r="N109" s="201"/>
      <c r="O109" s="201"/>
      <c r="P109" s="201"/>
      <c r="Q109" s="201"/>
    </row>
    <row r="110" spans="2:17" ht="15.75" x14ac:dyDescent="0.3">
      <c r="B110" s="201"/>
      <c r="C110" s="201"/>
      <c r="D110" s="201"/>
      <c r="E110" s="201"/>
      <c r="F110" s="201"/>
      <c r="G110" s="201"/>
      <c r="H110" s="201"/>
      <c r="I110" s="201"/>
      <c r="J110" s="201"/>
      <c r="K110" s="201"/>
      <c r="L110" s="201"/>
      <c r="M110" s="201"/>
      <c r="N110" s="201"/>
      <c r="O110" s="201"/>
      <c r="P110" s="201"/>
      <c r="Q110" s="201"/>
    </row>
    <row r="111" spans="2:17" ht="15.75" x14ac:dyDescent="0.3">
      <c r="B111" s="201"/>
      <c r="C111" s="201"/>
      <c r="D111" s="201"/>
      <c r="E111" s="201"/>
      <c r="F111" s="201"/>
      <c r="G111" s="201"/>
      <c r="H111" s="201"/>
      <c r="I111" s="201"/>
      <c r="J111" s="201"/>
      <c r="K111" s="201"/>
      <c r="L111" s="201"/>
      <c r="M111" s="201"/>
      <c r="N111" s="201"/>
      <c r="O111" s="201"/>
      <c r="P111" s="201"/>
      <c r="Q111" s="201"/>
    </row>
    <row r="112" spans="2:17" ht="15.75" x14ac:dyDescent="0.3">
      <c r="B112" s="201"/>
      <c r="C112" s="201"/>
      <c r="D112" s="201"/>
      <c r="E112" s="201"/>
      <c r="F112" s="201"/>
      <c r="G112" s="201"/>
      <c r="H112" s="201"/>
      <c r="I112" s="201"/>
      <c r="J112" s="201"/>
      <c r="K112" s="201"/>
      <c r="L112" s="201"/>
      <c r="M112" s="201"/>
      <c r="N112" s="201"/>
      <c r="O112" s="201"/>
      <c r="P112" s="201"/>
      <c r="Q112" s="201"/>
    </row>
    <row r="113" spans="2:17" ht="15.75" x14ac:dyDescent="0.3">
      <c r="B113" s="201" t="s">
        <v>6114</v>
      </c>
      <c r="C113" s="201"/>
      <c r="D113" s="201"/>
      <c r="E113" s="201"/>
      <c r="F113" s="201"/>
      <c r="G113" s="201"/>
      <c r="H113" s="201"/>
      <c r="I113" s="201"/>
      <c r="J113" s="201"/>
      <c r="K113" s="201"/>
      <c r="L113" s="201"/>
      <c r="M113" s="201"/>
      <c r="N113" s="201"/>
      <c r="O113" s="201"/>
      <c r="P113" s="201"/>
      <c r="Q113" s="201"/>
    </row>
    <row r="114" spans="2:17" ht="15.75" x14ac:dyDescent="0.3">
      <c r="B114" s="218" t="s">
        <v>6127</v>
      </c>
    </row>
    <row r="115" spans="2:17" ht="15.75" customHeight="1" x14ac:dyDescent="0.25">
      <c r="B115" s="250" t="s">
        <v>6128</v>
      </c>
      <c r="C115" s="250"/>
      <c r="D115" s="250"/>
      <c r="E115" s="250"/>
      <c r="F115" s="250"/>
      <c r="G115" s="250"/>
      <c r="H115" s="250"/>
      <c r="I115" s="250"/>
      <c r="J115" s="250"/>
      <c r="K115" s="250"/>
      <c r="L115" s="250"/>
      <c r="M115" s="250"/>
      <c r="N115" s="250"/>
      <c r="O115" s="250"/>
      <c r="P115" s="250"/>
      <c r="Q115" s="250"/>
    </row>
    <row r="116" spans="2:17" ht="15" customHeight="1" x14ac:dyDescent="0.25">
      <c r="B116" s="250"/>
      <c r="C116" s="250"/>
      <c r="D116" s="250"/>
      <c r="E116" s="250"/>
      <c r="F116" s="250"/>
      <c r="G116" s="250"/>
      <c r="H116" s="250"/>
      <c r="I116" s="250"/>
      <c r="J116" s="250"/>
      <c r="K116" s="250"/>
      <c r="L116" s="250"/>
      <c r="M116" s="250"/>
      <c r="N116" s="250"/>
      <c r="O116" s="250"/>
      <c r="P116" s="250"/>
      <c r="Q116" s="250"/>
    </row>
    <row r="117" spans="2:17" ht="15" customHeight="1" x14ac:dyDescent="0.3">
      <c r="B117" s="250" t="s">
        <v>6130</v>
      </c>
      <c r="C117" s="250"/>
      <c r="D117" s="250"/>
      <c r="E117" s="250"/>
      <c r="F117" s="250"/>
      <c r="G117" s="250"/>
      <c r="H117" s="250"/>
      <c r="I117" s="250"/>
      <c r="J117" s="250"/>
      <c r="K117" s="250"/>
      <c r="L117" s="250"/>
      <c r="M117" s="250"/>
      <c r="N117" s="250"/>
      <c r="O117" s="250"/>
      <c r="P117" s="250"/>
      <c r="Q117" s="250"/>
    </row>
    <row r="118" spans="2:17" ht="15" customHeight="1" x14ac:dyDescent="0.25">
      <c r="B118" s="256" t="s">
        <v>6129</v>
      </c>
      <c r="C118" s="256"/>
      <c r="D118" s="256"/>
      <c r="E118" s="256"/>
      <c r="F118" s="256"/>
      <c r="G118" s="256"/>
      <c r="H118" s="256"/>
      <c r="I118" s="256"/>
      <c r="J118" s="256"/>
      <c r="K118" s="256"/>
      <c r="L118" s="256"/>
      <c r="M118" s="256"/>
      <c r="N118" s="256"/>
      <c r="O118" s="256"/>
      <c r="P118" s="256"/>
      <c r="Q118" s="256"/>
    </row>
    <row r="119" spans="2:17" ht="15" customHeight="1" x14ac:dyDescent="0.25">
      <c r="B119" s="256"/>
      <c r="C119" s="256"/>
      <c r="D119" s="256"/>
      <c r="E119" s="256"/>
      <c r="F119" s="256"/>
      <c r="G119" s="256"/>
      <c r="H119" s="256"/>
      <c r="I119" s="256"/>
      <c r="J119" s="256"/>
      <c r="K119" s="256"/>
      <c r="L119" s="256"/>
      <c r="M119" s="256"/>
      <c r="N119" s="256"/>
      <c r="O119" s="256"/>
      <c r="P119" s="256"/>
      <c r="Q119" s="256"/>
    </row>
    <row r="120" spans="2:17" x14ac:dyDescent="0.25">
      <c r="B120" s="35" t="s">
        <v>6131</v>
      </c>
    </row>
    <row r="121" spans="2:17" x14ac:dyDescent="0.25">
      <c r="B121" s="257" t="s">
        <v>6132</v>
      </c>
      <c r="C121" s="257"/>
      <c r="D121" s="257"/>
      <c r="E121" s="257"/>
      <c r="F121" s="257"/>
      <c r="G121" s="257"/>
      <c r="H121" s="257"/>
      <c r="I121" s="257"/>
      <c r="J121" s="257"/>
      <c r="K121" s="257"/>
      <c r="L121" s="213"/>
      <c r="M121" s="213"/>
      <c r="N121" s="213"/>
      <c r="O121" s="213"/>
      <c r="P121" s="213"/>
      <c r="Q121" s="213"/>
    </row>
    <row r="122" spans="2:17" x14ac:dyDescent="0.25">
      <c r="B122" s="257"/>
      <c r="C122" s="257"/>
      <c r="D122" s="257"/>
      <c r="E122" s="257"/>
      <c r="F122" s="257"/>
      <c r="G122" s="257"/>
      <c r="H122" s="257"/>
      <c r="I122" s="257"/>
      <c r="J122" s="257"/>
      <c r="K122" s="257"/>
    </row>
    <row r="124" spans="2:17" ht="15.75" customHeight="1" x14ac:dyDescent="0.25">
      <c r="B124" s="251" t="s">
        <v>6133</v>
      </c>
      <c r="C124" s="251"/>
      <c r="D124" s="251"/>
      <c r="E124" s="251"/>
      <c r="F124" s="251"/>
      <c r="G124" s="251"/>
      <c r="H124" s="251"/>
      <c r="I124" s="251"/>
      <c r="J124" s="251"/>
      <c r="K124" s="251"/>
      <c r="L124" s="219"/>
    </row>
    <row r="125" spans="2:17" x14ac:dyDescent="0.25">
      <c r="B125" s="251"/>
      <c r="C125" s="251"/>
      <c r="D125" s="251"/>
      <c r="E125" s="251"/>
      <c r="F125" s="251"/>
      <c r="G125" s="251"/>
      <c r="H125" s="251"/>
      <c r="I125" s="251"/>
      <c r="J125" s="251"/>
      <c r="K125" s="251"/>
      <c r="L125" s="219"/>
    </row>
    <row r="126" spans="2:17" ht="15.75" customHeight="1" x14ac:dyDescent="0.25">
      <c r="B126" s="251"/>
      <c r="C126" s="251"/>
      <c r="D126" s="251"/>
      <c r="E126" s="251"/>
      <c r="F126" s="251"/>
      <c r="G126" s="251"/>
      <c r="H126" s="251"/>
      <c r="I126" s="251"/>
      <c r="J126" s="251"/>
      <c r="K126" s="251"/>
      <c r="L126" s="219"/>
    </row>
    <row r="127" spans="2:17" ht="15.75" customHeight="1" x14ac:dyDescent="0.25">
      <c r="B127" s="251"/>
      <c r="C127" s="251"/>
      <c r="D127" s="251"/>
      <c r="E127" s="251"/>
      <c r="F127" s="251"/>
      <c r="G127" s="251"/>
      <c r="H127" s="251"/>
      <c r="I127" s="251"/>
      <c r="J127" s="251"/>
      <c r="K127" s="251"/>
      <c r="L127" s="219"/>
    </row>
    <row r="128" spans="2:17" ht="15.75" customHeight="1" x14ac:dyDescent="0.25">
      <c r="B128" s="251"/>
      <c r="C128" s="251"/>
      <c r="D128" s="251"/>
      <c r="E128" s="251"/>
      <c r="F128" s="251"/>
      <c r="G128" s="251"/>
      <c r="H128" s="251"/>
      <c r="I128" s="251"/>
      <c r="J128" s="251"/>
      <c r="K128" s="251"/>
      <c r="L128" s="219"/>
    </row>
    <row r="129" spans="2:17" ht="15.75" customHeight="1" x14ac:dyDescent="0.25">
      <c r="B129" s="219"/>
      <c r="C129" s="219"/>
      <c r="D129" s="219"/>
      <c r="E129" s="219"/>
      <c r="F129" s="219"/>
      <c r="G129" s="219"/>
      <c r="H129" s="219"/>
      <c r="I129" s="219"/>
      <c r="J129" s="219"/>
      <c r="K129" s="219"/>
      <c r="L129" s="219"/>
    </row>
    <row r="130" spans="2:17" ht="15.75" x14ac:dyDescent="0.3">
      <c r="B130" s="202" t="s">
        <v>6102</v>
      </c>
      <c r="C130" s="201"/>
      <c r="D130" s="201"/>
      <c r="E130" s="201"/>
      <c r="F130" s="201"/>
      <c r="G130" s="201"/>
      <c r="H130" s="201"/>
      <c r="I130" s="201"/>
      <c r="J130" s="201"/>
      <c r="K130" s="201"/>
      <c r="L130" s="201"/>
    </row>
    <row r="131" spans="2:17" ht="15.75" customHeight="1" x14ac:dyDescent="0.25">
      <c r="B131" s="251" t="s">
        <v>6134</v>
      </c>
      <c r="C131" s="251"/>
      <c r="D131" s="251"/>
      <c r="E131" s="251"/>
      <c r="F131" s="251"/>
      <c r="G131" s="251"/>
      <c r="H131" s="251"/>
      <c r="I131" s="251"/>
      <c r="J131" s="251"/>
      <c r="K131" s="251"/>
      <c r="L131" s="251"/>
      <c r="M131" s="251"/>
      <c r="N131" s="251"/>
      <c r="O131" s="251"/>
      <c r="P131" s="251"/>
      <c r="Q131" s="251"/>
    </row>
    <row r="132" spans="2:17" ht="15.75" customHeight="1" x14ac:dyDescent="0.25">
      <c r="B132" s="251"/>
      <c r="C132" s="251"/>
      <c r="D132" s="251"/>
      <c r="E132" s="251"/>
      <c r="F132" s="251"/>
      <c r="G132" s="251"/>
      <c r="H132" s="251"/>
      <c r="I132" s="251"/>
      <c r="J132" s="251"/>
      <c r="K132" s="251"/>
      <c r="L132" s="251"/>
      <c r="M132" s="251"/>
      <c r="N132" s="251"/>
      <c r="O132" s="251"/>
      <c r="P132" s="251"/>
      <c r="Q132" s="251"/>
    </row>
    <row r="133" spans="2:17" ht="15.75" customHeight="1" x14ac:dyDescent="0.25">
      <c r="B133" s="251"/>
      <c r="C133" s="251"/>
      <c r="D133" s="251"/>
      <c r="E133" s="251"/>
      <c r="F133" s="251"/>
      <c r="G133" s="251"/>
      <c r="H133" s="251"/>
      <c r="I133" s="251"/>
      <c r="J133" s="251"/>
      <c r="K133" s="251"/>
      <c r="L133" s="251"/>
      <c r="M133" s="251"/>
      <c r="N133" s="251"/>
      <c r="O133" s="251"/>
      <c r="P133" s="251"/>
      <c r="Q133" s="251"/>
    </row>
    <row r="134" spans="2:17" ht="15.75" customHeight="1" x14ac:dyDescent="0.25">
      <c r="B134" s="251"/>
      <c r="C134" s="251"/>
      <c r="D134" s="251"/>
      <c r="E134" s="251"/>
      <c r="F134" s="251"/>
      <c r="G134" s="251"/>
      <c r="H134" s="251"/>
      <c r="I134" s="251"/>
      <c r="J134" s="251"/>
      <c r="K134" s="251"/>
      <c r="L134" s="251"/>
      <c r="M134" s="251"/>
      <c r="N134" s="251"/>
      <c r="O134" s="251"/>
      <c r="P134" s="251"/>
      <c r="Q134" s="251"/>
    </row>
    <row r="135" spans="2:17" ht="15.75" x14ac:dyDescent="0.3">
      <c r="B135" s="201"/>
      <c r="C135" s="201"/>
      <c r="D135" s="201"/>
      <c r="E135" s="201"/>
      <c r="F135" s="201"/>
      <c r="G135" s="201"/>
      <c r="H135" s="201"/>
      <c r="I135" s="201"/>
      <c r="J135" s="201"/>
      <c r="K135" s="201"/>
      <c r="L135" s="201"/>
    </row>
    <row r="136" spans="2:17" ht="15.75" x14ac:dyDescent="0.3">
      <c r="B136" s="201"/>
      <c r="C136" s="201"/>
      <c r="D136" s="201"/>
      <c r="E136" s="201"/>
      <c r="F136" s="201"/>
      <c r="G136" s="201"/>
      <c r="H136" s="201"/>
      <c r="I136" s="201"/>
      <c r="J136" s="201"/>
      <c r="K136" s="201"/>
      <c r="L136" s="201"/>
    </row>
    <row r="137" spans="2:17" ht="15.75" x14ac:dyDescent="0.3">
      <c r="B137" s="201"/>
      <c r="C137" s="201"/>
      <c r="D137" s="201"/>
      <c r="E137" s="201"/>
      <c r="F137" s="201"/>
      <c r="G137" s="201"/>
      <c r="H137" s="201"/>
      <c r="I137" s="201"/>
      <c r="J137" s="201"/>
      <c r="K137" s="201"/>
      <c r="L137" s="201"/>
    </row>
    <row r="138" spans="2:17" ht="15.75" x14ac:dyDescent="0.3">
      <c r="B138" s="201"/>
      <c r="C138" s="201"/>
      <c r="D138" s="201"/>
      <c r="E138" s="201"/>
      <c r="F138" s="201"/>
      <c r="G138" s="201"/>
      <c r="H138" s="201"/>
      <c r="I138" s="201"/>
      <c r="J138" s="201"/>
      <c r="K138" s="201"/>
      <c r="L138" s="201"/>
    </row>
    <row r="144" spans="2:17" ht="15" customHeight="1" x14ac:dyDescent="0.25">
      <c r="B144" s="251" t="s">
        <v>6135</v>
      </c>
      <c r="C144" s="251"/>
      <c r="D144" s="251"/>
      <c r="E144" s="251"/>
      <c r="F144" s="251"/>
      <c r="G144" s="251"/>
      <c r="H144" s="251"/>
      <c r="I144" s="251"/>
      <c r="J144" s="251"/>
      <c r="K144" s="251"/>
      <c r="L144" s="251"/>
      <c r="M144" s="251"/>
      <c r="N144" s="251"/>
      <c r="O144" s="251"/>
      <c r="P144" s="251"/>
      <c r="Q144" s="251"/>
    </row>
    <row r="145" spans="1:18" x14ac:dyDescent="0.25">
      <c r="B145" s="219" t="s">
        <v>6136</v>
      </c>
      <c r="C145" s="219"/>
      <c r="D145" s="219"/>
      <c r="E145" s="219"/>
      <c r="F145" s="219"/>
      <c r="G145" s="219"/>
      <c r="H145" s="219"/>
      <c r="I145" s="219"/>
      <c r="J145" s="219"/>
      <c r="K145" s="221" t="s">
        <v>6137</v>
      </c>
      <c r="L145" s="219"/>
      <c r="M145" s="219"/>
      <c r="N145" s="219"/>
      <c r="O145" s="219"/>
      <c r="P145" s="219"/>
      <c r="Q145" s="219"/>
    </row>
    <row r="146" spans="1:18" x14ac:dyDescent="0.25">
      <c r="B146" s="219"/>
      <c r="C146" s="219"/>
      <c r="D146" s="219"/>
      <c r="E146" s="219"/>
      <c r="F146" s="219"/>
      <c r="G146" s="219"/>
      <c r="H146" s="219"/>
      <c r="I146" s="219"/>
      <c r="J146" s="219"/>
      <c r="K146" s="219"/>
      <c r="L146" s="219"/>
      <c r="M146" s="219"/>
      <c r="N146" s="219"/>
      <c r="O146" s="219"/>
      <c r="P146" s="219"/>
      <c r="Q146" s="219"/>
    </row>
    <row r="147" spans="1:18" x14ac:dyDescent="0.25">
      <c r="B147" s="219"/>
      <c r="C147" s="219"/>
      <c r="D147" s="219"/>
      <c r="E147" s="219"/>
      <c r="F147" s="219"/>
      <c r="G147" s="219"/>
      <c r="H147" s="219"/>
      <c r="I147" s="219"/>
      <c r="J147" s="219"/>
      <c r="K147" s="219"/>
      <c r="L147" s="219"/>
      <c r="M147" s="219"/>
      <c r="N147" s="219"/>
      <c r="O147" s="219"/>
      <c r="P147" s="219"/>
      <c r="Q147" s="219"/>
    </row>
    <row r="151" spans="1:18" x14ac:dyDescent="0.25">
      <c r="B151" s="251" t="s">
        <v>6138</v>
      </c>
      <c r="C151" s="251"/>
      <c r="D151" s="251"/>
      <c r="E151" s="251"/>
      <c r="F151" s="251"/>
      <c r="G151" s="251"/>
      <c r="H151" s="251"/>
      <c r="I151" s="251"/>
      <c r="J151" s="251"/>
      <c r="K151" s="251"/>
      <c r="L151" s="251"/>
      <c r="M151" s="251"/>
      <c r="N151" s="251"/>
      <c r="O151" s="251"/>
      <c r="P151" s="251"/>
      <c r="Q151" s="251"/>
    </row>
    <row r="152" spans="1:18" x14ac:dyDescent="0.25">
      <c r="B152" s="251" t="s">
        <v>6139</v>
      </c>
      <c r="C152" s="251"/>
      <c r="D152" s="251"/>
      <c r="E152" s="251"/>
      <c r="F152" s="251"/>
      <c r="G152" s="251"/>
      <c r="H152" s="251"/>
      <c r="I152" s="251"/>
      <c r="J152" s="251"/>
      <c r="K152" s="251"/>
      <c r="L152" s="251"/>
      <c r="M152" s="251"/>
      <c r="N152" s="251"/>
      <c r="O152" s="251"/>
      <c r="P152" s="251"/>
      <c r="Q152" s="251"/>
    </row>
    <row r="160" spans="1:18" x14ac:dyDescent="0.25">
      <c r="A160" s="180"/>
      <c r="B160" s="180"/>
      <c r="C160" s="180"/>
      <c r="D160" s="180"/>
      <c r="E160" s="180"/>
      <c r="F160" s="180"/>
      <c r="G160" s="180"/>
      <c r="H160" s="180"/>
      <c r="I160" s="180"/>
      <c r="J160" s="180"/>
      <c r="K160" s="180"/>
      <c r="L160" s="180"/>
      <c r="M160" s="180"/>
      <c r="N160" s="180"/>
      <c r="O160" s="180"/>
      <c r="P160" s="180"/>
      <c r="Q160" s="180"/>
      <c r="R160" s="180"/>
    </row>
  </sheetData>
  <mergeCells count="21">
    <mergeCell ref="B152:Q152"/>
    <mergeCell ref="B131:Q134"/>
    <mergeCell ref="B144:Q144"/>
    <mergeCell ref="B151:Q151"/>
    <mergeCell ref="B121:K122"/>
    <mergeCell ref="B124:K128"/>
    <mergeCell ref="B51:Q52"/>
    <mergeCell ref="B28:Q28"/>
    <mergeCell ref="B46:Q47"/>
    <mergeCell ref="B49:Q50"/>
    <mergeCell ref="B118:Q119"/>
    <mergeCell ref="B115:Q116"/>
    <mergeCell ref="B117:Q117"/>
    <mergeCell ref="B53:Q55"/>
    <mergeCell ref="B56:Q60"/>
    <mergeCell ref="B84:Q85"/>
    <mergeCell ref="B24:Q25"/>
    <mergeCell ref="B4:Q8"/>
    <mergeCell ref="B35:Q37"/>
    <mergeCell ref="C39:Q39"/>
    <mergeCell ref="B45:Q45"/>
  </mergeCells>
  <printOptions horizontalCentered="1"/>
  <pageMargins left="0" right="0" top="0" bottom="0" header="0" footer="0"/>
  <pageSetup paperSize="9" scale="68"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00196-730F-4555-B15A-D1AC0AE34100}">
  <dimension ref="B2:C3"/>
  <sheetViews>
    <sheetView workbookViewId="0"/>
  </sheetViews>
  <sheetFormatPr defaultColWidth="9.140625" defaultRowHeight="15" x14ac:dyDescent="0.25"/>
  <cols>
    <col min="2" max="2" width="32.7109375" bestFit="1" customWidth="1"/>
    <col min="3" max="3" width="30.5703125" bestFit="1" customWidth="1"/>
  </cols>
  <sheetData>
    <row r="2" spans="2:3" x14ac:dyDescent="0.25">
      <c r="B2" s="236" t="s">
        <v>6661</v>
      </c>
      <c r="C2" s="236" t="s">
        <v>6662</v>
      </c>
    </row>
    <row r="3" spans="2:3" x14ac:dyDescent="0.25">
      <c r="B3" s="238">
        <v>1386020.639946067</v>
      </c>
      <c r="C3" s="239">
        <v>128.16387625529183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EEA11-4115-455F-82D3-EECAAA9BBDEB}">
  <sheetPr codeName="Sheet1">
    <tabColor theme="4" tint="0.59999389629810485"/>
  </sheetPr>
  <dimension ref="D3:R8"/>
  <sheetViews>
    <sheetView workbookViewId="0"/>
  </sheetViews>
  <sheetFormatPr defaultColWidth="9.140625" defaultRowHeight="15" x14ac:dyDescent="0.25"/>
  <sheetData>
    <row r="3" spans="4:18" x14ac:dyDescent="0.25">
      <c r="D3" t="s">
        <v>1036</v>
      </c>
    </row>
    <row r="4" spans="4:18" x14ac:dyDescent="0.25">
      <c r="D4" t="s">
        <v>1037</v>
      </c>
      <c r="E4" s="20" t="s">
        <v>5256</v>
      </c>
    </row>
    <row r="5" spans="4:18" x14ac:dyDescent="0.25">
      <c r="D5" t="s">
        <v>1038</v>
      </c>
      <c r="E5" s="20" t="s">
        <v>5257</v>
      </c>
      <c r="R5" s="23"/>
    </row>
    <row r="6" spans="4:18" x14ac:dyDescent="0.25">
      <c r="R6" s="23"/>
    </row>
    <row r="8" spans="4:18" x14ac:dyDescent="0.25">
      <c r="E8" s="21" t="str">
        <f>E5&amp;E4</f>
        <v>202405</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C2782-30BE-4C42-9774-56EA3A3C24F4}">
  <sheetPr codeName="Sheet9">
    <tabColor theme="8" tint="-0.249977111117893"/>
  </sheetPr>
  <dimension ref="A1:T44"/>
  <sheetViews>
    <sheetView workbookViewId="0"/>
  </sheetViews>
  <sheetFormatPr defaultColWidth="9.140625" defaultRowHeight="15" x14ac:dyDescent="0.25"/>
  <cols>
    <col min="1" max="1" width="27" bestFit="1" customWidth="1"/>
    <col min="2" max="2" width="21" bestFit="1" customWidth="1"/>
    <col min="3" max="3" width="11" bestFit="1" customWidth="1"/>
    <col min="4" max="4" width="15.85546875" bestFit="1" customWidth="1"/>
    <col min="6" max="6" width="13" bestFit="1" customWidth="1"/>
    <col min="7" max="7" width="14.28515625" bestFit="1" customWidth="1"/>
    <col min="8" max="8" width="10.5703125" bestFit="1" customWidth="1"/>
    <col min="10" max="10" width="33.28515625" bestFit="1" customWidth="1"/>
    <col min="11" max="11" width="25.85546875" bestFit="1" customWidth="1"/>
    <col min="12" max="12" width="27.42578125" bestFit="1" customWidth="1"/>
    <col min="14" max="14" width="25.140625" bestFit="1" customWidth="1"/>
    <col min="15" max="15" width="21" bestFit="1" customWidth="1"/>
    <col min="16" max="16" width="11" bestFit="1" customWidth="1"/>
    <col min="17" max="17" width="15.85546875" bestFit="1" customWidth="1"/>
    <col min="19" max="19" width="14" bestFit="1" customWidth="1"/>
  </cols>
  <sheetData>
    <row r="1" spans="1:20" x14ac:dyDescent="0.25">
      <c r="J1" s="23"/>
    </row>
    <row r="2" spans="1:20" x14ac:dyDescent="0.25">
      <c r="A2" s="24" t="s">
        <v>2</v>
      </c>
      <c r="B2" t="s">
        <v>4713</v>
      </c>
    </row>
    <row r="3" spans="1:20" x14ac:dyDescent="0.25">
      <c r="A3" s="24" t="s">
        <v>2829</v>
      </c>
      <c r="B3" t="s">
        <v>4873</v>
      </c>
      <c r="D3" s="10"/>
      <c r="J3" s="48" t="s">
        <v>4795</v>
      </c>
      <c r="N3" s="24" t="s">
        <v>2829</v>
      </c>
      <c r="O3" t="s">
        <v>4873</v>
      </c>
      <c r="Q3" s="10"/>
    </row>
    <row r="4" spans="1:20" ht="15.75" thickBot="1" x14ac:dyDescent="0.3">
      <c r="F4" s="258" t="s">
        <v>4866</v>
      </c>
      <c r="G4" s="258"/>
      <c r="J4" s="141" t="s">
        <v>6632</v>
      </c>
      <c r="K4" s="118" t="s">
        <v>4787</v>
      </c>
      <c r="L4" s="118" t="s">
        <v>4786</v>
      </c>
    </row>
    <row r="5" spans="1:20" ht="15.75" thickBot="1" x14ac:dyDescent="0.3">
      <c r="A5" s="24" t="s">
        <v>2821</v>
      </c>
      <c r="B5" t="s">
        <v>4864</v>
      </c>
      <c r="C5" t="s">
        <v>4865</v>
      </c>
      <c r="D5" t="s">
        <v>4863</v>
      </c>
      <c r="F5" s="40" t="s">
        <v>4867</v>
      </c>
      <c r="G5" s="45">
        <f>GETPIVOTDATA("Sum of Inv MM$",$A$4,"Plus","Portafolio")+GETPIVOTDATA("Sum of Inv MM$",$A$4,"Plus","ETF")+GETPIVOTDATA("Sum of Inv MM$",$A$4,"Plus","SOV")+GETPIVOTDATA("Sum of Inv MM$",$A$5,"Plus","Proxies")+'Cálculo Caja'!D18</f>
        <v>10814.440702349144</v>
      </c>
      <c r="H5" s="7"/>
      <c r="J5" s="119" t="s">
        <v>5558</v>
      </c>
      <c r="K5" s="117">
        <f>GETPIVOTDATA("Emisiones Financiadas",$A$5,"Plus","Portafolio","Plus_1","Portafolio")+GETPIVOTDATA("Emisiones Financiadas",$A$5,"Plus","ETF","Plus_1","Otros ETFs")+GETPIVOTDATA("Emisiones Financiadas",$A$5,"Plus","SOV","Plus_1","SOV")+GETPIVOTDATA("Emisiones Financiadas",$A$5,"Plus","ETF","Plus_1","Soberanos")</f>
        <v>1192065.568491051</v>
      </c>
      <c r="L5" s="117">
        <f>GETPIVOTDATA(" Intensidad",$A$5,"Plus","Portafolio","Plus_1","Portafolio")+GETPIVOTDATA(" Intensidad",$A$5,"Plus","ETF","Plus_1","Otros ETFs")+GETPIVOTDATA(" Intensidad",$A$5,"Plus","ETF","Plus_1","Soberanos")+GETPIVOTDATA(" Intensidad",$A$5,"Plus","SOV","Plus_1","SOV")</f>
        <v>110.51017011059564</v>
      </c>
      <c r="N5" s="24" t="s">
        <v>2821</v>
      </c>
      <c r="O5" t="s">
        <v>4864</v>
      </c>
      <c r="P5" t="s">
        <v>4865</v>
      </c>
      <c r="Q5" t="s">
        <v>4863</v>
      </c>
    </row>
    <row r="6" spans="1:20" ht="15.75" thickBot="1" x14ac:dyDescent="0.3">
      <c r="A6" s="25" t="s">
        <v>4795</v>
      </c>
      <c r="B6" s="7">
        <v>422242.43133211817</v>
      </c>
      <c r="C6" s="7">
        <v>39.143889520683011</v>
      </c>
      <c r="D6" s="7">
        <v>2789.4234157249762</v>
      </c>
      <c r="F6" s="38" t="s">
        <v>4868</v>
      </c>
      <c r="G6" s="47">
        <f>'Valorización de Instrumentos'!AU5</f>
        <v>11038.855900894188</v>
      </c>
      <c r="J6" s="127" t="s">
        <v>4841</v>
      </c>
      <c r="K6" s="120">
        <f>GETPIVOTDATA("Emisiones Financiadas",$A$5,"Plus","Portafolio","Plus_1","Portafolio")+GETPIVOTDATA("Emisiones Financiadas",$A$5,"Plus","ETF","Plus_1","Otros ETFs")</f>
        <v>590627.56497565808</v>
      </c>
      <c r="L6" s="120">
        <f>GETPIVOTDATA(" Intensidad",$A$5,"Plus","Portafolio","Plus_1","Portafolio")+GETPIVOTDATA(" Intensidad",$A$5,"Plus","ETF","Plus_1","Otros ETFs")</f>
        <v>54.753995419973279</v>
      </c>
      <c r="N6" s="25" t="s">
        <v>12</v>
      </c>
      <c r="O6" s="7">
        <v>327930.77470499399</v>
      </c>
      <c r="P6" s="7">
        <v>30.400748629139162</v>
      </c>
      <c r="Q6" s="7">
        <v>2335.8784666100064</v>
      </c>
      <c r="S6" s="18">
        <f>+GETPIVOTDATA("Emisiones Financiadas",$N$5,"PORTAFOLIO","IN-FONDO1")+GETPIVOTDATA("Emisiones Financiadas",$N$5,"PORTAFOLIO","IN-FONDO2")+GETPIVOTDATA("Emisiones Financiadas",$N$5,"PORTAFOLIO","IN-FONDO3")</f>
        <v>1386020.639946067</v>
      </c>
      <c r="T6" s="237">
        <f>+S6/G5</f>
        <v>128.16387625529183</v>
      </c>
    </row>
    <row r="7" spans="1:20" ht="15.75" thickBot="1" x14ac:dyDescent="0.3">
      <c r="A7" s="36" t="s">
        <v>4795</v>
      </c>
      <c r="B7" s="7">
        <v>422242.43133211817</v>
      </c>
      <c r="C7" s="7">
        <v>39.143889520683011</v>
      </c>
      <c r="D7" s="7">
        <v>2789.4234157249762</v>
      </c>
      <c r="F7" s="39" t="s">
        <v>4869</v>
      </c>
      <c r="G7" s="46">
        <f>G5/G6</f>
        <v>0.97967042956626815</v>
      </c>
      <c r="J7" s="128" t="s">
        <v>4796</v>
      </c>
      <c r="K7" s="121">
        <f>GETPIVOTDATA("Emisiones Financiadas",$A$5,"Plus","ETF","Plus_1","Soberanos")+GETPIVOTDATA("Emisiones Financiadas",$A$5,"Plus","SOV","Plus_1","SOV")</f>
        <v>601438.00351539277</v>
      </c>
      <c r="L7" s="121">
        <f>GETPIVOTDATA(" Intensidad",$A$5,"Plus","ETF","Plus_1","Soberanos")+GETPIVOTDATA(" Intensidad",$A$5,"Plus","SOV","Plus_1","SOV")</f>
        <v>55.756174690622359</v>
      </c>
      <c r="N7" s="36" t="s">
        <v>4795</v>
      </c>
      <c r="O7" s="7">
        <v>62688.748638870566</v>
      </c>
      <c r="P7" s="7">
        <v>5.8115463269954901</v>
      </c>
      <c r="Q7" s="7">
        <v>478.14652295280581</v>
      </c>
      <c r="T7" s="152">
        <f>+GETPIVOTDATA(" Intensidad",$N$5,"PORTAFOLIO","IN-FONDO1")+GETPIVOTDATA(" Intensidad",$N$5,"PORTAFOLIO","IN-FONDO2")+GETPIVOTDATA(" Intensidad",$N$5,"PORTAFOLIO","IN-FONDO3")</f>
        <v>128.49073133713821</v>
      </c>
    </row>
    <row r="8" spans="1:20" ht="15.75" thickBot="1" x14ac:dyDescent="0.3">
      <c r="A8" s="25" t="s">
        <v>4829</v>
      </c>
      <c r="B8" s="7">
        <v>188289.4783982838</v>
      </c>
      <c r="C8" s="7">
        <v>17.455333697934812</v>
      </c>
      <c r="D8" s="7">
        <v>2976.3626447078113</v>
      </c>
      <c r="J8" s="119" t="str">
        <f>"Portafolio Proxies (" &amp;TEXT(E15,"0%")&amp;")"</f>
        <v>Portafolio Proxies (23%)</v>
      </c>
      <c r="K8" s="117">
        <f>GETPIVOTDATA("Emisiones Financiadas",$A$5,"Plus","Proxies")</f>
        <v>193955.07145501632</v>
      </c>
      <c r="L8" s="117">
        <f>+GETPIVOTDATA(" Intensidad",$A$5,"Plus","Proxies")</f>
        <v>17.980561226542555</v>
      </c>
      <c r="N8" s="116" t="s">
        <v>4795</v>
      </c>
      <c r="O8" s="7">
        <v>62688.748638870566</v>
      </c>
      <c r="P8" s="7">
        <v>5.8115463269954901</v>
      </c>
      <c r="Q8" s="7">
        <v>478.14652295280581</v>
      </c>
    </row>
    <row r="9" spans="1:20" ht="15.75" thickBot="1" x14ac:dyDescent="0.3">
      <c r="A9" s="36" t="s">
        <v>4831</v>
      </c>
      <c r="B9" s="7">
        <v>168385.13364353988</v>
      </c>
      <c r="C9" s="7">
        <v>15.610105899290271</v>
      </c>
      <c r="D9" s="7">
        <v>2878.1140957078114</v>
      </c>
      <c r="J9" s="127" t="s">
        <v>4357</v>
      </c>
      <c r="K9" s="121">
        <f>+GETPIVOTDATA("Emisiones Financiadas",$A$5,"Plus","Proxies","Plus_1","BU")</f>
        <v>82234.694905239987</v>
      </c>
      <c r="L9" s="121">
        <f>+GETPIVOTDATA(" Intensidad",$A$5,"Plus","Proxies","Plus_1","BU")</f>
        <v>7.623548874475552</v>
      </c>
      <c r="N9" s="36" t="s">
        <v>4829</v>
      </c>
      <c r="O9" s="7">
        <v>51312.873457293077</v>
      </c>
      <c r="P9" s="7">
        <v>4.7569483797832692</v>
      </c>
      <c r="Q9" s="7">
        <v>512.96793458797845</v>
      </c>
    </row>
    <row r="10" spans="1:20" ht="15.75" thickBot="1" x14ac:dyDescent="0.3">
      <c r="A10" s="36" t="s">
        <v>4796</v>
      </c>
      <c r="B10" s="7">
        <v>19904.344754743914</v>
      </c>
      <c r="C10" s="7">
        <v>1.8452277986445389</v>
      </c>
      <c r="D10" s="7">
        <v>98.248548999999997</v>
      </c>
      <c r="J10" s="128" t="s">
        <v>4353</v>
      </c>
      <c r="K10" s="121">
        <f>GETPIVOTDATA("Emisiones Financiadas",$A$5,"Plus","Proxies","Plus_1","Alts")</f>
        <v>89987.830757080956</v>
      </c>
      <c r="L10" s="121">
        <f>GETPIVOTDATA(" Intensidad",$A$5,"Plus","Proxies","Plus_1","Alts")</f>
        <v>8.3423015878536102</v>
      </c>
      <c r="N10" s="116" t="s">
        <v>4831</v>
      </c>
      <c r="O10" s="7">
        <v>47825.883426425084</v>
      </c>
      <c r="P10" s="7">
        <v>4.4336877541341648</v>
      </c>
      <c r="Q10" s="7">
        <v>495.75602858797845</v>
      </c>
    </row>
    <row r="11" spans="1:20" ht="15.75" thickBot="1" x14ac:dyDescent="0.3">
      <c r="A11" s="25" t="s">
        <v>4828</v>
      </c>
      <c r="B11" s="7">
        <v>581533.65876064892</v>
      </c>
      <c r="C11" s="7">
        <v>53.910946891977822</v>
      </c>
      <c r="D11" s="7">
        <v>3292.955832046805</v>
      </c>
      <c r="J11" s="127" t="s">
        <v>4355</v>
      </c>
      <c r="K11" s="121">
        <f>GETPIVOTDATA("Emisiones Financiadas",$A$5,"Plus","Proxies","Plus_1","TD")</f>
        <v>21732.545792695397</v>
      </c>
      <c r="L11" s="121">
        <f>GETPIVOTDATA(" Intensidad",$A$5,"Plus","Proxies","Plus_1","TD")</f>
        <v>2.0147107642133935</v>
      </c>
      <c r="N11" s="116" t="s">
        <v>4796</v>
      </c>
      <c r="O11" s="7">
        <v>3486.9900308679903</v>
      </c>
      <c r="P11" s="7">
        <v>0.32326062564910479</v>
      </c>
      <c r="Q11" s="7">
        <v>17.211905999999999</v>
      </c>
    </row>
    <row r="12" spans="1:20" x14ac:dyDescent="0.25">
      <c r="A12" s="36" t="s">
        <v>4828</v>
      </c>
      <c r="B12" s="7">
        <v>581533.65876064892</v>
      </c>
      <c r="C12" s="7">
        <v>53.910946891977822</v>
      </c>
      <c r="D12" s="7">
        <v>3292.955832046805</v>
      </c>
      <c r="J12" s="122" t="s">
        <v>4884</v>
      </c>
      <c r="K12" s="123">
        <f>K5+K8</f>
        <v>1386020.6399460672</v>
      </c>
      <c r="L12" s="123">
        <f>L5+L8</f>
        <v>128.49073133713819</v>
      </c>
      <c r="N12" s="36" t="s">
        <v>4828</v>
      </c>
      <c r="O12" s="7">
        <v>175777.99636080256</v>
      </c>
      <c r="P12" s="7">
        <v>16.295459572849648</v>
      </c>
      <c r="Q12" s="7">
        <v>956.68216927831782</v>
      </c>
    </row>
    <row r="13" spans="1:20" x14ac:dyDescent="0.25">
      <c r="A13" s="116" t="s">
        <v>4516</v>
      </c>
      <c r="B13" s="7">
        <v>501921.64739597251</v>
      </c>
      <c r="C13" s="7">
        <v>46.530533304582853</v>
      </c>
      <c r="D13" s="7">
        <v>2945.2066682089162</v>
      </c>
      <c r="N13" s="116" t="s">
        <v>4828</v>
      </c>
      <c r="O13" s="7">
        <v>175777.99636080256</v>
      </c>
      <c r="P13" s="7">
        <v>16.295459572849648</v>
      </c>
      <c r="Q13" s="7">
        <v>956.68216927831782</v>
      </c>
    </row>
    <row r="14" spans="1:20" x14ac:dyDescent="0.25">
      <c r="A14" s="116" t="s">
        <v>4446</v>
      </c>
      <c r="B14" s="7">
        <v>44492.744115973248</v>
      </c>
      <c r="C14" s="7">
        <v>4.1246898248788071</v>
      </c>
      <c r="D14" s="7">
        <v>162.14658442011142</v>
      </c>
      <c r="J14" s="114" t="s">
        <v>5557</v>
      </c>
      <c r="K14" s="114"/>
      <c r="L14" s="114"/>
      <c r="N14" s="36" t="s">
        <v>4832</v>
      </c>
      <c r="O14" s="7">
        <v>38151.156248027823</v>
      </c>
      <c r="P14" s="7">
        <v>3.5367943495107514</v>
      </c>
      <c r="Q14" s="7">
        <v>332.45975241788528</v>
      </c>
    </row>
    <row r="15" spans="1:20" x14ac:dyDescent="0.25">
      <c r="A15" s="116" t="s">
        <v>2759</v>
      </c>
      <c r="B15" s="7">
        <v>11290.34338358511</v>
      </c>
      <c r="C15" s="7">
        <v>1.0466687411384583</v>
      </c>
      <c r="D15" s="7">
        <v>65.435587018209404</v>
      </c>
      <c r="E15" s="179">
        <f>GETPIVOTDATA("Sum of Inv MM$",$A$5,"Plus","Proxies")/(GETPIVOTDATA("Sum of Inv MM$",$A$5,"Plus","Portafolio")+GETPIVOTDATA("Sum of Inv MM$",$A$5,"Plus","ETF")+GETPIVOTDATA("Sum of Inv MM$",$A$5,"Plus","SOV")+GETPIVOTDATA("Sum of Inv MM$",$A$5,"Plus","Cash")+GETPIVOTDATA("Sum of Inv MM$",$A$5,"Plus","Proxies"))</f>
        <v>0.23009786631225487</v>
      </c>
      <c r="F15" s="10"/>
      <c r="N15" s="116" t="s">
        <v>4357</v>
      </c>
      <c r="O15" s="7">
        <v>22261.921172226419</v>
      </c>
      <c r="P15" s="7">
        <v>2.0637863895738238</v>
      </c>
      <c r="Q15" s="7">
        <v>214.92980007401076</v>
      </c>
    </row>
    <row r="16" spans="1:20" ht="15.75" thickBot="1" x14ac:dyDescent="0.3">
      <c r="A16" s="116" t="s">
        <v>4447</v>
      </c>
      <c r="B16" s="7">
        <v>10709.500991340341</v>
      </c>
      <c r="C16" s="7">
        <v>0.99282187795318322</v>
      </c>
      <c r="D16" s="7">
        <v>55.951521439932662</v>
      </c>
      <c r="J16" s="122" t="str">
        <f>"Fondo 1 " &amp;J4</f>
        <v>Fondo 1 Diciembre  2025</v>
      </c>
      <c r="K16" s="118" t="s">
        <v>4787</v>
      </c>
      <c r="L16" s="118" t="s">
        <v>4786</v>
      </c>
      <c r="N16" s="116" t="s">
        <v>4355</v>
      </c>
      <c r="O16" s="7">
        <v>15889.235075801404</v>
      </c>
      <c r="P16" s="7">
        <v>1.4730079599369275</v>
      </c>
      <c r="Q16" s="7">
        <v>117.52995234387453</v>
      </c>
      <c r="R16" s="50">
        <f>GETPIVOTDATA("Sum of Inv MM$",$N$5,"PORTAFOLIO","IN-FONDO1","Plus","Proxies")/GETPIVOTDATA("Sum of Inv MM$",$N$5,"PORTAFOLIO","IN-FONDO1")</f>
        <v>0.14232750426454105</v>
      </c>
    </row>
    <row r="17" spans="1:18" ht="15.75" thickBot="1" x14ac:dyDescent="0.3">
      <c r="A17" s="116" t="s">
        <v>4453</v>
      </c>
      <c r="B17" s="7">
        <v>13119.422873777647</v>
      </c>
      <c r="C17" s="7">
        <v>1.2162331434245193</v>
      </c>
      <c r="D17" s="7">
        <v>64.215470959635425</v>
      </c>
      <c r="J17" s="119" t="s">
        <v>5558</v>
      </c>
      <c r="K17" s="117">
        <f>GETPIVOTDATA("Emisiones Financiadas",$N$5,"PORTAFOLIO","IN-FONDO1","Plus","Portafolio","Plus_1","Portafolio")+GETPIVOTDATA("Emisiones Financiadas",$N$5,"PORTAFOLIO","IN-FONDO1","Plus","ETF","Plus_1","Otros ETFs")+GETPIVOTDATA("Emisiones Financiadas",$N$5,"PORTAFOLIO","IN-FONDO1","Plus","ETF","Plus_1","Soberanos")+GETPIVOTDATA("Emisiones Financiadas",$N$5,"PORTAFOLIO","IN-FONDO1","Plus","SOV","Plus_1","SOV")</f>
        <v>289779.61845696619</v>
      </c>
      <c r="L17" s="117">
        <f>GETPIVOTDATA(" Intensidad",$N$5,"PORTAFOLIO","IN-FONDO1","Plus","Portafolio","Plus_1","Portafolio")+GETPIVOTDATA(" Intensidad",$N$5,"PORTAFOLIO","IN-FONDO1","Plus","ETF","Plus_1","Otros ETFs")+GETPIVOTDATA(" Intensidad",$N$5,"PORTAFOLIO","IN-FONDO1","Plus","ETF","Plus_1","Soberanos")+GETPIVOTDATA(" Intensidad",$N$5,"PORTAFOLIO","IN-FONDO1","Plus","SOV","Plus_1","SOV")</f>
        <v>26.863954279628409</v>
      </c>
      <c r="N17" s="36" t="s">
        <v>4360</v>
      </c>
      <c r="O17" s="7">
        <v>0</v>
      </c>
      <c r="P17" s="7">
        <v>0</v>
      </c>
      <c r="Q17" s="7">
        <v>55.622087373019141</v>
      </c>
    </row>
    <row r="18" spans="1:18" ht="15.75" thickBot="1" x14ac:dyDescent="0.3">
      <c r="A18" s="25" t="s">
        <v>4832</v>
      </c>
      <c r="B18" s="7">
        <v>193955.07145501632</v>
      </c>
      <c r="C18" s="7">
        <v>17.980561226542555</v>
      </c>
      <c r="D18" s="7">
        <v>2774.4235868718542</v>
      </c>
      <c r="J18" s="127" t="s">
        <v>4841</v>
      </c>
      <c r="K18" s="120">
        <f>GETPIVOTDATA("Emisiones Financiadas",$N$5,"PORTAFOLIO","IN-FONDO1","Plus","Portafolio","Plus_1","Portafolio")+GETPIVOTDATA("Emisiones Financiadas",$N$5,"PORTAFOLIO","IN-FONDO1","Plus","ETF","Plus_1","Otros ETFs")</f>
        <v>110514.63206529565</v>
      </c>
      <c r="L18" s="120">
        <f>GETPIVOTDATA(" Intensidad",$N$5,"PORTAFOLIO","IN-FONDO1","Plus","Portafolio","Plus_1","Portafolio")+GETPIVOTDATA(" Intensidad",$N$5,"PORTAFOLIO","IN-FONDO1","Plus","ETF","Plus_1","Otros ETFs")</f>
        <v>10.245234081129656</v>
      </c>
      <c r="N18" s="116" t="s">
        <v>4827</v>
      </c>
      <c r="O18" s="7">
        <v>0</v>
      </c>
      <c r="P18" s="7">
        <v>0</v>
      </c>
      <c r="Q18" s="7">
        <v>55.622087373019141</v>
      </c>
    </row>
    <row r="19" spans="1:18" ht="15.75" thickBot="1" x14ac:dyDescent="0.3">
      <c r="A19" s="36" t="s">
        <v>4357</v>
      </c>
      <c r="B19" s="7">
        <v>82234.694905239987</v>
      </c>
      <c r="C19" s="7">
        <v>7.623548874475552</v>
      </c>
      <c r="D19" s="7">
        <v>693.77611482564703</v>
      </c>
      <c r="J19" s="128" t="s">
        <v>4796</v>
      </c>
      <c r="K19" s="121">
        <f>GETPIVOTDATA("Emisiones Financiadas",$N$5,"PORTAFOLIO","IN-FONDO1","Plus","SOV","Plus_1","SOV")+GETPIVOTDATA("Emisiones Financiadas",$N$5,"PORTAFOLIO","IN-FONDO1","Plus","ETF","Plus_1","Soberanos")</f>
        <v>179264.98639167054</v>
      </c>
      <c r="L19" s="121">
        <f>GETPIVOTDATA(" Intensidad",$N$5,"PORTAFOLIO","IN-FONDO1","Plus","SOV","Plus_1","SOV")+GETPIVOTDATA(" Intensidad",$N$5,"PORTAFOLIO","IN-FONDO1","Plus","ETF","Plus_1","Soberanos")</f>
        <v>16.618720198498753</v>
      </c>
      <c r="N19" s="25" t="s">
        <v>10</v>
      </c>
      <c r="O19" s="7">
        <v>955787.43547583511</v>
      </c>
      <c r="P19" s="7">
        <v>88.606058991961788</v>
      </c>
      <c r="Q19" s="7">
        <v>8781.6932856155108</v>
      </c>
    </row>
    <row r="20" spans="1:18" ht="15.75" thickBot="1" x14ac:dyDescent="0.3">
      <c r="A20" s="36" t="s">
        <v>4355</v>
      </c>
      <c r="B20" s="7">
        <v>21732.545792695397</v>
      </c>
      <c r="C20" s="7">
        <v>2.0147107642133935</v>
      </c>
      <c r="D20" s="7">
        <v>157.70272688361939</v>
      </c>
      <c r="G20" s="10"/>
      <c r="J20" s="119" t="str">
        <f>"Portafolio Proxies (" &amp;TEXT(R16,"0%")&amp;")"</f>
        <v>Portafolio Proxies (14%)</v>
      </c>
      <c r="K20" s="117">
        <f>GETPIVOTDATA("Emisiones Financiadas",$N$5,"PORTAFOLIO","IN-FONDO1","Plus","Proxies")</f>
        <v>38151.156248027823</v>
      </c>
      <c r="L20" s="117">
        <f>GETPIVOTDATA(" Intensidad",$N$5,"PORTAFOLIO","IN-FONDO1","Plus","Proxies")</f>
        <v>3.5367943495107514</v>
      </c>
      <c r="N20" s="36" t="s">
        <v>4795</v>
      </c>
      <c r="O20" s="7">
        <v>294717.67203770729</v>
      </c>
      <c r="P20" s="7">
        <v>27.321735424933792</v>
      </c>
      <c r="Q20" s="7">
        <v>2017.3758481868063</v>
      </c>
    </row>
    <row r="21" spans="1:18" ht="15.75" thickBot="1" x14ac:dyDescent="0.3">
      <c r="A21" s="36" t="s">
        <v>5550</v>
      </c>
      <c r="B21" s="7">
        <v>89987.830757080956</v>
      </c>
      <c r="C21" s="7">
        <v>8.3423015878536102</v>
      </c>
      <c r="D21" s="7">
        <v>1922.9447451625877</v>
      </c>
      <c r="G21" s="102"/>
      <c r="J21" s="127" t="s">
        <v>4357</v>
      </c>
      <c r="K21" s="121">
        <f>GETPIVOTDATA("Emisiones Financiadas",$N$5,"PORTAFOLIO","IN-FONDO1","Plus","Proxies","Plus_1","BU")</f>
        <v>22261.921172226419</v>
      </c>
      <c r="L21" s="121">
        <f>GETPIVOTDATA(" Intensidad",$N$5,"PORTAFOLIO","IN-FONDO1","Plus","Proxies","Plus_1","BU")</f>
        <v>2.0637863895738238</v>
      </c>
      <c r="N21" s="116" t="s">
        <v>4795</v>
      </c>
      <c r="O21" s="7">
        <v>294717.67203770729</v>
      </c>
      <c r="P21" s="7">
        <v>27.321735424933792</v>
      </c>
      <c r="Q21" s="7">
        <v>2017.3758481868063</v>
      </c>
    </row>
    <row r="22" spans="1:18" ht="15.75" thickBot="1" x14ac:dyDescent="0.3">
      <c r="A22" s="25" t="s">
        <v>4360</v>
      </c>
      <c r="B22" s="7">
        <v>0</v>
      </c>
      <c r="C22" s="7">
        <v>0</v>
      </c>
      <c r="D22" s="7">
        <v>224.41519854504361</v>
      </c>
      <c r="G22" s="7"/>
      <c r="J22" s="128" t="s">
        <v>4353</v>
      </c>
      <c r="K22" s="124" t="s">
        <v>122</v>
      </c>
      <c r="L22" s="124" t="s">
        <v>122</v>
      </c>
      <c r="N22" s="36" t="s">
        <v>4829</v>
      </c>
      <c r="O22" s="7">
        <v>115155.24218367586</v>
      </c>
      <c r="P22" s="7">
        <v>10.675440797231946</v>
      </c>
      <c r="Q22" s="7">
        <v>2051.4644540421104</v>
      </c>
    </row>
    <row r="23" spans="1:18" ht="15.75" thickBot="1" x14ac:dyDescent="0.3">
      <c r="J23" s="127" t="s">
        <v>4355</v>
      </c>
      <c r="K23" s="121">
        <f>GETPIVOTDATA("Emisiones Financiadas",$N$5,"PORTAFOLIO","IN-FONDO1","Plus","Proxies","Plus_1","TD")</f>
        <v>15889.235075801404</v>
      </c>
      <c r="L23" s="121">
        <f>GETPIVOTDATA(" Intensidad",$N$5,"PORTAFOLIO","IN-FONDO1","Plus","Proxies","Plus_1","TD")</f>
        <v>1.4730079599369275</v>
      </c>
      <c r="N23" s="116" t="s">
        <v>4831</v>
      </c>
      <c r="O23" s="7">
        <v>98737.887459799938</v>
      </c>
      <c r="P23" s="7">
        <v>9.1534736242365131</v>
      </c>
      <c r="Q23" s="7">
        <v>1970.4278110421103</v>
      </c>
    </row>
    <row r="24" spans="1:18" x14ac:dyDescent="0.25">
      <c r="J24" s="122" t="s">
        <v>4884</v>
      </c>
      <c r="K24" s="123">
        <f>K17+K20</f>
        <v>327930.77470499399</v>
      </c>
      <c r="L24" s="123">
        <f>L17+L20</f>
        <v>30.400748629139159</v>
      </c>
      <c r="N24" s="116" t="s">
        <v>4796</v>
      </c>
      <c r="O24" s="7">
        <v>16417.354723875924</v>
      </c>
      <c r="P24" s="7">
        <v>1.521967172995434</v>
      </c>
      <c r="Q24" s="7">
        <v>81.036642999999998</v>
      </c>
    </row>
    <row r="25" spans="1:18" x14ac:dyDescent="0.25">
      <c r="N25" s="36" t="s">
        <v>4828</v>
      </c>
      <c r="O25" s="7">
        <v>405755.6623998463</v>
      </c>
      <c r="P25" s="7">
        <v>37.615487319128178</v>
      </c>
      <c r="Q25" s="7">
        <v>2336.2736627684872</v>
      </c>
    </row>
    <row r="26" spans="1:18" ht="15.75" thickBot="1" x14ac:dyDescent="0.3">
      <c r="J26" s="122" t="str">
        <f>"Fondo 2 " &amp;J4</f>
        <v>Fondo 2 Diciembre  2025</v>
      </c>
      <c r="K26" s="118" t="s">
        <v>4787</v>
      </c>
      <c r="L26" s="118" t="s">
        <v>4786</v>
      </c>
      <c r="N26" s="116" t="s">
        <v>4828</v>
      </c>
      <c r="O26" s="7">
        <v>405755.6623998463</v>
      </c>
      <c r="P26" s="7">
        <v>37.615487319128178</v>
      </c>
      <c r="Q26" s="7">
        <v>2336.2736627684872</v>
      </c>
    </row>
    <row r="27" spans="1:18" ht="15.75" thickBot="1" x14ac:dyDescent="0.3">
      <c r="J27" s="119" t="s">
        <v>5558</v>
      </c>
      <c r="K27" s="117">
        <f>GETPIVOTDATA("Emisiones Financiadas",$N$5,"PORTAFOLIO","IN-FONDO2","Plus","Portafolio","Plus_1","Portafolio")+GETPIVOTDATA("Emisiones Financiadas",$N$5,"PORTAFOLIO","IN-FONDO2","Plus","ETF","Plus_1","Otros ETFs")+GETPIVOTDATA("Emisiones Financiadas",$N$5,"PORTAFOLIO","IN-FONDO2","Plus","SOV","Plus_1","SOV")</f>
        <v>799211.22189735353</v>
      </c>
      <c r="L27" s="117">
        <f>GETPIVOTDATA(" Intensidad",$N$5,"PORTAFOLIO","IN-FONDO2","Plus","Portafolio","Plus_1","Portafolio")+GETPIVOTDATA(" Intensidad",$N$5,"PORTAFOLIO","IN-FONDO2","Plus","ETF","Plus_1","Otros ETFs")+GETPIVOTDATA(" Intensidad",$N$5,"PORTAFOLIO","IN-FONDO2","Plus","SOV","Plus_1","SOV")</f>
        <v>74.090696368298481</v>
      </c>
      <c r="N27" s="36" t="s">
        <v>4832</v>
      </c>
      <c r="O27" s="7">
        <v>140158.85885460553</v>
      </c>
      <c r="P27" s="7">
        <v>12.993395450667872</v>
      </c>
      <c r="Q27" s="7">
        <v>2219.427541725081</v>
      </c>
    </row>
    <row r="28" spans="1:18" ht="15.75" thickBot="1" x14ac:dyDescent="0.3">
      <c r="J28" s="127" t="s">
        <v>4841</v>
      </c>
      <c r="K28" s="120">
        <f>GETPIVOTDATA("Emisiones Financiadas",$N$5,"PORTAFOLIO","IN-FONDO2","Plus","Portafolio","Plus_1","Portafolio")+GETPIVOTDATA("Emisiones Financiadas",$N$5,"PORTAFOLIO","IN-FONDO2","Plus","ETF","Plus_1","Otros ETFs")</f>
        <v>393455.55949750723</v>
      </c>
      <c r="L28" s="120">
        <f>GETPIVOTDATA(" Intensidad",$N$5,"PORTAFOLIO","IN-FONDO2","Plus","Portafolio","Plus_1","Portafolio")+GETPIVOTDATA(" Intensidad",$N$5,"PORTAFOLIO","IN-FONDO2","Plus","ETF","Plus_1","Otros ETFs")</f>
        <v>36.475209049170303</v>
      </c>
      <c r="N28" s="116" t="s">
        <v>4357</v>
      </c>
      <c r="O28" s="7">
        <v>53274.019913062308</v>
      </c>
      <c r="P28" s="7">
        <v>4.9387560203757168</v>
      </c>
      <c r="Q28" s="7">
        <v>442.9960345733831</v>
      </c>
      <c r="R28" s="50">
        <f>GETPIVOTDATA("Sum of Inv MM$",$N$5,"PORTAFOLIO","IN-FONDO2","Plus","Proxies")/GETPIVOTDATA("Sum of Inv MM$",$N$5,"PORTAFOLIO","IN-FONDO2")</f>
        <v>0.25273343870487058</v>
      </c>
    </row>
    <row r="29" spans="1:18" ht="15.75" thickBot="1" x14ac:dyDescent="0.3">
      <c r="J29" s="128" t="s">
        <v>4796</v>
      </c>
      <c r="K29" s="121">
        <f>GETPIVOTDATA("Emisiones Financiadas",$N$5,"PORTAFOLIO","IN-FONDO2","Plus","SOV","Plus_1","SOV")</f>
        <v>405755.6623998463</v>
      </c>
      <c r="L29" s="121">
        <f>GETPIVOTDATA(" Intensidad",$N$5,"PORTAFOLIO","IN-FONDO2","Plus","SOV","Plus_1","SOV")</f>
        <v>37.615487319128178</v>
      </c>
      <c r="N29" s="116" t="s">
        <v>4355</v>
      </c>
      <c r="O29" s="7">
        <v>5843.2218605695562</v>
      </c>
      <c r="P29" s="7">
        <v>0.54169456687091677</v>
      </c>
      <c r="Q29" s="7">
        <v>40.17192752741375</v>
      </c>
    </row>
    <row r="30" spans="1:18" ht="15.75" thickBot="1" x14ac:dyDescent="0.3">
      <c r="J30" s="119" t="str">
        <f>"Portafolio Proxies (" &amp;TEXT(R28,"0%")&amp;")"</f>
        <v>Portafolio Proxies (25%)</v>
      </c>
      <c r="K30" s="117">
        <f>GETPIVOTDATA("Emisiones Financiadas",$N$5,"PORTAFOLIO","IN-FONDO2","Plus","Proxies")</f>
        <v>140158.85885460553</v>
      </c>
      <c r="L30" s="117">
        <f>GETPIVOTDATA(" Intensidad",$N$5,"PORTAFOLIO","IN-FONDO2","Plus","Proxies")</f>
        <v>12.993395450667872</v>
      </c>
      <c r="N30" s="116" t="s">
        <v>5550</v>
      </c>
      <c r="O30" s="7">
        <v>81041.61708097368</v>
      </c>
      <c r="P30" s="7">
        <v>7.5129448634212377</v>
      </c>
      <c r="Q30" s="7">
        <v>1736.259579624284</v>
      </c>
    </row>
    <row r="31" spans="1:18" ht="15.75" thickBot="1" x14ac:dyDescent="0.3">
      <c r="J31" s="127" t="s">
        <v>4357</v>
      </c>
      <c r="K31" s="121">
        <f>GETPIVOTDATA("Emisiones Financiadas",$N$5,"PORTAFOLIO","IN-FONDO2","Plus","Proxies","Plus_1","BU")</f>
        <v>53274.019913062308</v>
      </c>
      <c r="L31" s="121">
        <f>GETPIVOTDATA(" Intensidad",$N$5,"PORTAFOLIO","IN-FONDO2","Plus","Proxies","Plus_1","BU")</f>
        <v>4.9387560203757168</v>
      </c>
      <c r="N31" s="36" t="s">
        <v>4360</v>
      </c>
      <c r="O31" s="7">
        <v>0</v>
      </c>
      <c r="P31" s="7">
        <v>0</v>
      </c>
      <c r="Q31" s="7">
        <v>157.15177889302663</v>
      </c>
    </row>
    <row r="32" spans="1:18" ht="15.75" thickBot="1" x14ac:dyDescent="0.3">
      <c r="J32" s="128" t="s">
        <v>4353</v>
      </c>
      <c r="K32" s="124">
        <f>GETPIVOTDATA("Emisiones Financiadas",$N$5,"PORTAFOLIO","IN-FONDO2","Plus","Proxies","Plus_1","Alts")</f>
        <v>81041.61708097368</v>
      </c>
      <c r="L32" s="124">
        <f>GETPIVOTDATA(" Intensidad",$N$5,"PORTAFOLIO","IN-FONDO2","Plus","Proxies","Plus_1","Alts")</f>
        <v>7.5129448634212377</v>
      </c>
      <c r="N32" s="116" t="s">
        <v>4827</v>
      </c>
      <c r="O32" s="7">
        <v>0</v>
      </c>
      <c r="P32" s="7">
        <v>0</v>
      </c>
      <c r="Q32" s="7">
        <v>157.15177889302663</v>
      </c>
    </row>
    <row r="33" spans="10:18" ht="15.75" thickBot="1" x14ac:dyDescent="0.3">
      <c r="J33" s="127" t="s">
        <v>4355</v>
      </c>
      <c r="K33" s="121">
        <f>GETPIVOTDATA("Emisiones Financiadas",$N$5,"PORTAFOLIO","IN-FONDO2","Plus","Proxies","Plus_1","TD")</f>
        <v>5843.2218605695562</v>
      </c>
      <c r="L33" s="121">
        <f>GETPIVOTDATA(" Intensidad",$N$5,"PORTAFOLIO","IN-FONDO2","Plus","Proxies","Plus_1","TD")</f>
        <v>0.54169456687091677</v>
      </c>
      <c r="N33" s="25" t="s">
        <v>11</v>
      </c>
      <c r="O33" s="7">
        <v>102302.42976523805</v>
      </c>
      <c r="P33" s="7">
        <v>9.483923716037264</v>
      </c>
      <c r="Q33" s="7">
        <v>940.00892567097151</v>
      </c>
    </row>
    <row r="34" spans="10:18" x14ac:dyDescent="0.25">
      <c r="J34" s="122" t="s">
        <v>4884</v>
      </c>
      <c r="K34" s="123">
        <f>K27+K30</f>
        <v>939370.080751959</v>
      </c>
      <c r="L34" s="123">
        <f>L27+L30</f>
        <v>87.084091818966357</v>
      </c>
      <c r="N34" s="36" t="s">
        <v>4795</v>
      </c>
      <c r="O34" s="7">
        <v>64836.010655540311</v>
      </c>
      <c r="P34" s="7">
        <v>6.0106077687537391</v>
      </c>
      <c r="Q34" s="7">
        <v>293.9010445853645</v>
      </c>
    </row>
    <row r="35" spans="10:18" x14ac:dyDescent="0.25">
      <c r="N35" s="116" t="s">
        <v>4795</v>
      </c>
      <c r="O35" s="7">
        <v>64836.010655540311</v>
      </c>
      <c r="P35" s="7">
        <v>6.0106077687537391</v>
      </c>
      <c r="Q35" s="7">
        <v>293.9010445853645</v>
      </c>
    </row>
    <row r="36" spans="10:18" ht="15.75" thickBot="1" x14ac:dyDescent="0.3">
      <c r="J36" s="122" t="str">
        <f>"Fondo 3 " &amp;J4</f>
        <v>Fondo 3 Diciembre  2025</v>
      </c>
      <c r="K36" s="118" t="s">
        <v>4787</v>
      </c>
      <c r="L36" s="118" t="s">
        <v>4786</v>
      </c>
      <c r="N36" s="36" t="s">
        <v>4829</v>
      </c>
      <c r="O36" s="7">
        <v>21821.36275731475</v>
      </c>
      <c r="P36" s="7">
        <v>2.0229445209195922</v>
      </c>
      <c r="Q36" s="7">
        <v>411.93025607772194</v>
      </c>
    </row>
    <row r="37" spans="10:18" ht="15.75" thickBot="1" x14ac:dyDescent="0.3">
      <c r="J37" s="119" t="s">
        <v>5558</v>
      </c>
      <c r="K37" s="117">
        <f>GETPIVOTDATA("Emisiones Financiadas",$N$5,"PORTAFOLIO","IN-FONDO3","Plus","Portafolio","Plus_1","Portafolio")+GETPIVOTDATA("Emisiones Financiadas",$N$5,"PORTAFOLIO","IN-FONDO3","Plus","ETF","Plus_1","Otros ETFs")</f>
        <v>86657.373412855057</v>
      </c>
      <c r="L37" s="117">
        <f>GETPIVOTDATA(" Intensidad",$N$5,"PORTAFOLIO","IN-FONDO3","Plus","Portafolio","Plus_1","Portafolio")+GETPIVOTDATA(" Intensidad",$N$5,"PORTAFOLIO","IN-FONDO3","Plus","ETF","Plus_1","Otros ETFs")</f>
        <v>8.0335522896733309</v>
      </c>
      <c r="N37" s="116" t="s">
        <v>4831</v>
      </c>
      <c r="O37" s="7">
        <v>21821.36275731475</v>
      </c>
      <c r="P37" s="7">
        <v>2.0229445209195922</v>
      </c>
      <c r="Q37" s="7">
        <v>411.93025607772194</v>
      </c>
    </row>
    <row r="38" spans="10:18" ht="15.75" thickBot="1" x14ac:dyDescent="0.3">
      <c r="J38" s="127" t="s">
        <v>4841</v>
      </c>
      <c r="K38" s="120">
        <f>GETPIVOTDATA("Emisiones Financiadas",$N$5,"PORTAFOLIO","IN-FONDO3","Plus","Portafolio","Plus_1","Portafolio")+GETPIVOTDATA("Emisiones Financiadas",$N$5,"PORTAFOLIO","IN-FONDO3","Plus","ETF","Plus_1","Otros ETFs")</f>
        <v>86657.373412855057</v>
      </c>
      <c r="L38" s="120">
        <f>GETPIVOTDATA(" Intensidad",$N$5,"PORTAFOLIO","IN-FONDO3","Plus","Portafolio","Plus_1","Portafolio")+GETPIVOTDATA(" Intensidad",$N$5,"PORTAFOLIO","IN-FONDO3","Plus","ETF","Plus_1","Otros ETFs")</f>
        <v>8.0335522896733309</v>
      </c>
      <c r="N38" s="36" t="s">
        <v>4832</v>
      </c>
      <c r="O38" s="7">
        <v>15645.056352382984</v>
      </c>
      <c r="P38" s="7">
        <v>1.4503714263639336</v>
      </c>
      <c r="Q38" s="7">
        <v>222.53629272888719</v>
      </c>
    </row>
    <row r="39" spans="10:18" ht="15.75" thickBot="1" x14ac:dyDescent="0.3">
      <c r="J39" s="128" t="s">
        <v>4796</v>
      </c>
      <c r="K39" s="124" t="s">
        <v>122</v>
      </c>
      <c r="L39" s="125" t="s">
        <v>122</v>
      </c>
      <c r="N39" s="116" t="s">
        <v>4357</v>
      </c>
      <c r="O39" s="7">
        <v>6698.7538199512583</v>
      </c>
      <c r="P39" s="7">
        <v>0.62100646452601038</v>
      </c>
      <c r="Q39" s="7">
        <v>35.850280178252696</v>
      </c>
      <c r="R39" s="50">
        <f>GETPIVOTDATA("Sum of Inv MM$",$N$5,"PORTAFOLIO","IN-FONDO3","Plus","Proxies")/GETPIVOTDATA("Sum of Inv MM$",$N$5,"PORTAFOLIO","IN-FONDO3")</f>
        <v>0.23673848902024244</v>
      </c>
    </row>
    <row r="40" spans="10:18" ht="15.75" thickBot="1" x14ac:dyDescent="0.3">
      <c r="J40" s="119" t="str">
        <f>"Portafolio Proxies (" &amp;TEXT(R39,"0%")&amp;")"</f>
        <v>Portafolio Proxies (24%)</v>
      </c>
      <c r="K40" s="117">
        <f>GETPIVOTDATA("Emisiones Financiadas",$N$5,"PORTAFOLIO","IN-FONDO3","Plus","Proxies")</f>
        <v>15645.056352382984</v>
      </c>
      <c r="L40" s="117">
        <f>GETPIVOTDATA(" Intensidad",$N$5,"PORTAFOLIO","IN-FONDO3","Plus","Proxies")</f>
        <v>1.4503714263639336</v>
      </c>
      <c r="N40" s="116" t="s">
        <v>4355</v>
      </c>
      <c r="O40" s="7">
        <v>8.8856324439750001E-2</v>
      </c>
      <c r="P40" s="7">
        <v>8.2374055494857368E-6</v>
      </c>
      <c r="Q40" s="7">
        <v>8.4701233110178809E-4</v>
      </c>
    </row>
    <row r="41" spans="10:18" ht="15.75" thickBot="1" x14ac:dyDescent="0.3">
      <c r="J41" s="127" t="s">
        <v>4357</v>
      </c>
      <c r="K41" s="121">
        <f>GETPIVOTDATA("Emisiones Financiadas",$N$5,"PORTAFOLIO","IN-FONDO3","Plus","Proxies","Plus_1","BU")</f>
        <v>6698.7538199512583</v>
      </c>
      <c r="L41" s="121">
        <f>GETPIVOTDATA(" Intensidad",$N$5,"PORTAFOLIO","IN-FONDO3","Plus","Proxies","Plus_1","BU")</f>
        <v>0.62100646452601038</v>
      </c>
      <c r="N41" s="116" t="s">
        <v>5550</v>
      </c>
      <c r="O41" s="7">
        <v>8946.2136761072852</v>
      </c>
      <c r="P41" s="7">
        <v>0.82935672443237385</v>
      </c>
      <c r="Q41" s="7">
        <v>186.68516553830338</v>
      </c>
    </row>
    <row r="42" spans="10:18" ht="15.75" thickBot="1" x14ac:dyDescent="0.3">
      <c r="J42" s="128" t="s">
        <v>4353</v>
      </c>
      <c r="K42" s="124">
        <f>GETPIVOTDATA("Emisiones Financiadas",$N$5,"PORTAFOLIO","IN-FONDO3","Plus","Proxies","Plus_1","Alts")</f>
        <v>8946.2136761072852</v>
      </c>
      <c r="L42" s="124">
        <f>GETPIVOTDATA(" Intensidad",$N$5,"PORTAFOLIO","IN-FONDO3","Plus","Proxies","Plus_1","Alts")</f>
        <v>0.82935672443237385</v>
      </c>
      <c r="N42" s="36" t="s">
        <v>4360</v>
      </c>
      <c r="O42" s="7">
        <v>0</v>
      </c>
      <c r="P42" s="7">
        <v>0</v>
      </c>
      <c r="Q42" s="7">
        <v>11.641332278997886</v>
      </c>
    </row>
    <row r="43" spans="10:18" ht="15.75" thickBot="1" x14ac:dyDescent="0.3">
      <c r="J43" s="127" t="s">
        <v>4355</v>
      </c>
      <c r="K43" s="126">
        <f>GETPIVOTDATA("Emisiones Financiadas",$N$5,"PORTAFOLIO","IN-FONDO3","Plus","Proxies","Plus_1","TD")</f>
        <v>8.8856324439750001E-2</v>
      </c>
      <c r="L43" s="126">
        <f>GETPIVOTDATA(" Intensidad",$N$5,"PORTAFOLIO","IN-FONDO3","Plus","Proxies","Plus_1","TD")</f>
        <v>8.2374055494857368E-6</v>
      </c>
      <c r="N43" s="116" t="s">
        <v>4827</v>
      </c>
      <c r="O43" s="7">
        <v>0</v>
      </c>
      <c r="P43" s="7">
        <v>0</v>
      </c>
      <c r="Q43" s="7">
        <v>11.641332278997886</v>
      </c>
    </row>
    <row r="44" spans="10:18" x14ac:dyDescent="0.25">
      <c r="J44" s="122" t="s">
        <v>4884</v>
      </c>
      <c r="K44" s="123">
        <f>K37+K40</f>
        <v>102302.42976523805</v>
      </c>
      <c r="L44" s="123">
        <f>L37+L40</f>
        <v>9.483923716037264</v>
      </c>
    </row>
  </sheetData>
  <mergeCells count="1">
    <mergeCell ref="F4:G4"/>
  </mergeCells>
  <pageMargins left="0.7" right="0.7" top="0.75" bottom="0.75" header="0.3" footer="0.3"/>
  <pageSetup paperSize="9" orientation="portrait" r:id="rId3"/>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CFD12-321F-469D-BA1E-11F5D2CEA88B}">
  <dimension ref="A1:Q24"/>
  <sheetViews>
    <sheetView workbookViewId="0"/>
  </sheetViews>
  <sheetFormatPr defaultRowHeight="15" x14ac:dyDescent="0.25"/>
  <cols>
    <col min="1" max="1" width="19.140625" style="159" bestFit="1" customWidth="1"/>
    <col min="2" max="2" width="11.5703125" style="159" bestFit="1" customWidth="1"/>
    <col min="3" max="3" width="9.140625" style="159"/>
    <col min="4" max="4" width="21" style="159" bestFit="1" customWidth="1"/>
    <col min="5" max="5" width="21" style="159" customWidth="1"/>
    <col min="6" max="6" width="13.28515625" style="159" customWidth="1"/>
    <col min="7" max="7" width="10.42578125" style="159" bestFit="1" customWidth="1"/>
    <col min="8" max="8" width="10.42578125" style="159" customWidth="1"/>
    <col min="9" max="9" width="17.85546875" style="159" bestFit="1" customWidth="1"/>
    <col min="10" max="10" width="10.5703125" style="159" bestFit="1" customWidth="1"/>
    <col min="11" max="14" width="9.140625" style="159"/>
    <col min="15" max="15" width="10.7109375" style="159" bestFit="1" customWidth="1"/>
    <col min="16" max="16384" width="9.140625" style="159"/>
  </cols>
  <sheetData>
    <row r="1" spans="1:17" x14ac:dyDescent="0.25">
      <c r="A1" s="246" t="s">
        <v>6678</v>
      </c>
    </row>
    <row r="2" spans="1:17" x14ac:dyDescent="0.25">
      <c r="J2" s="159" t="s">
        <v>6679</v>
      </c>
    </row>
    <row r="3" spans="1:17" x14ac:dyDescent="0.25">
      <c r="I3" s="159" t="s">
        <v>6674</v>
      </c>
      <c r="J3" s="241">
        <v>11038.855900894188</v>
      </c>
    </row>
    <row r="4" spans="1:17" x14ac:dyDescent="0.25">
      <c r="A4" s="159" t="s">
        <v>6667</v>
      </c>
      <c r="B4" s="159" t="s">
        <v>6666</v>
      </c>
      <c r="C4" s="159" t="s">
        <v>2796</v>
      </c>
      <c r="D4" s="159" t="s">
        <v>6675</v>
      </c>
      <c r="E4" s="159" t="s">
        <v>6676</v>
      </c>
      <c r="F4" s="159" t="s">
        <v>6668</v>
      </c>
      <c r="G4" s="159" t="s">
        <v>2830</v>
      </c>
      <c r="M4" s="249" t="s">
        <v>6677</v>
      </c>
      <c r="N4" s="249"/>
      <c r="O4" s="249"/>
      <c r="Q4" s="159">
        <v>698</v>
      </c>
    </row>
    <row r="5" spans="1:17" x14ac:dyDescent="0.25">
      <c r="A5" s="159" t="s">
        <v>4885</v>
      </c>
      <c r="B5" s="242">
        <v>74.67092283951591</v>
      </c>
      <c r="C5" s="243">
        <f t="shared" ref="C5:C24" si="0">+B5/$J$3</f>
        <v>6.7643715535291374E-3</v>
      </c>
      <c r="D5" s="241">
        <v>1970951</v>
      </c>
      <c r="E5" s="245">
        <v>1318.2480883096789</v>
      </c>
      <c r="F5" s="241">
        <f>+((D5/E5)*B5)/1000</f>
        <v>111.64266525140854</v>
      </c>
      <c r="G5" s="244">
        <f>+D5/E5*C5</f>
        <v>10.113608353413243</v>
      </c>
      <c r="H5" s="244"/>
      <c r="M5" s="159">
        <v>1</v>
      </c>
      <c r="N5" s="247">
        <f>+LARGE($G$5:$G$24,M5)</f>
        <v>11.145508713445258</v>
      </c>
      <c r="O5" s="159" t="str">
        <f>+_xlfn.XLOOKUP(N5,$G:$G,$A:$A,,0)</f>
        <v>Engie</v>
      </c>
      <c r="P5" s="247">
        <f>+_xlfn.XLOOKUP(N5,$G:$G,$F:$F,,0)</f>
        <v>123.03366462988278</v>
      </c>
      <c r="Q5" s="248">
        <f>+P5/$Q$4</f>
        <v>0.17626599517175184</v>
      </c>
    </row>
    <row r="6" spans="1:17" x14ac:dyDescent="0.25">
      <c r="A6" s="159" t="s">
        <v>6663</v>
      </c>
      <c r="B6" s="242">
        <v>36.888817097214194</v>
      </c>
      <c r="C6" s="243">
        <f t="shared" si="0"/>
        <v>3.3417246704186129E-3</v>
      </c>
      <c r="D6" s="241">
        <v>5751381</v>
      </c>
      <c r="E6" s="245">
        <v>2553.780237436401</v>
      </c>
      <c r="F6" s="241">
        <f t="shared" ref="F6:F24" si="1">+((D6/E6)*B6)/1000</f>
        <v>83.077485938402518</v>
      </c>
      <c r="G6" s="244">
        <f t="shared" ref="G6:G24" si="2">+D6/E6*C6</f>
        <v>7.5259145226882556</v>
      </c>
      <c r="H6" s="244"/>
      <c r="M6" s="159">
        <v>2</v>
      </c>
      <c r="N6" s="247">
        <f t="shared" ref="N6:N8" si="3">+LARGE($G$5:$G$24,M6)</f>
        <v>10.113608353413243</v>
      </c>
      <c r="O6" s="159" t="str">
        <f>+_xlfn.XLOOKUP(N6,$G:$G,$A:$A,,0)</f>
        <v>Pacasmayo</v>
      </c>
      <c r="P6" s="247">
        <f t="shared" ref="P6:P8" si="4">+_xlfn.XLOOKUP(N6,$G:$G,$F:$F,,0)</f>
        <v>111.64266525140854</v>
      </c>
      <c r="Q6" s="248">
        <f>+P6/$Q$4</f>
        <v>0.15994651182150221</v>
      </c>
    </row>
    <row r="7" spans="1:17" x14ac:dyDescent="0.25">
      <c r="A7" s="159" t="s">
        <v>4981</v>
      </c>
      <c r="B7" s="242">
        <v>26.079555889343332</v>
      </c>
      <c r="C7" s="243">
        <f t="shared" si="0"/>
        <v>2.3625234465856912E-3</v>
      </c>
      <c r="D7" s="241">
        <v>196488</v>
      </c>
      <c r="E7" s="245">
        <v>1527.3587431937874</v>
      </c>
      <c r="F7" s="241">
        <f t="shared" si="1"/>
        <v>3.3550204236039995</v>
      </c>
      <c r="G7" s="244">
        <f t="shared" si="2"/>
        <v>0.30392827424554303</v>
      </c>
      <c r="H7" s="244"/>
      <c r="M7" s="159">
        <v>3</v>
      </c>
      <c r="N7" s="247">
        <f t="shared" si="3"/>
        <v>7.5259145226882556</v>
      </c>
      <c r="O7" s="159" t="str">
        <f>+_xlfn.XLOOKUP(N7,$G:$G,$A:$A,,0)</f>
        <v>Unacem</v>
      </c>
      <c r="P7" s="247">
        <f t="shared" si="4"/>
        <v>83.077485938402518</v>
      </c>
      <c r="Q7" s="248">
        <f>+P7/$Q$4</f>
        <v>0.1190221861581698</v>
      </c>
    </row>
    <row r="8" spans="1:17" x14ac:dyDescent="0.25">
      <c r="A8" s="159" t="s">
        <v>6664</v>
      </c>
      <c r="B8" s="242">
        <v>41.127114412631045</v>
      </c>
      <c r="C8" s="243">
        <f t="shared" si="0"/>
        <v>3.7256682016566225E-3</v>
      </c>
      <c r="D8" s="241">
        <v>1189062</v>
      </c>
      <c r="E8" s="245">
        <v>19215.2</v>
      </c>
      <c r="F8" s="241">
        <f t="shared" si="1"/>
        <v>2.5450002559282181</v>
      </c>
      <c r="G8" s="244">
        <f t="shared" si="2"/>
        <v>0.23054927782163218</v>
      </c>
      <c r="H8" s="244"/>
      <c r="M8" s="159">
        <v>4</v>
      </c>
      <c r="N8" s="247">
        <f t="shared" si="3"/>
        <v>1.6467396991538428</v>
      </c>
      <c r="O8" s="159" t="str">
        <f>+_xlfn.XLOOKUP(N8,$G:$G,$A:$A,,0)</f>
        <v>Orygen</v>
      </c>
      <c r="P8" s="247">
        <f t="shared" si="4"/>
        <v>18.178122245241116</v>
      </c>
      <c r="Q8" s="248">
        <f>+P8/$Q$4</f>
        <v>2.6043155079142E-2</v>
      </c>
    </row>
    <row r="9" spans="1:17" x14ac:dyDescent="0.25">
      <c r="A9" s="159" t="s">
        <v>5556</v>
      </c>
      <c r="B9" s="242">
        <v>45.316507032475286</v>
      </c>
      <c r="C9" s="243">
        <f t="shared" si="0"/>
        <v>4.105181500630376E-3</v>
      </c>
      <c r="D9" s="241">
        <v>1395857.04</v>
      </c>
      <c r="E9" s="245">
        <v>3479.7524472611503</v>
      </c>
      <c r="F9" s="241">
        <f t="shared" si="1"/>
        <v>18.178122245241116</v>
      </c>
      <c r="G9" s="244">
        <f t="shared" si="2"/>
        <v>1.6467396991538428</v>
      </c>
      <c r="H9" s="244"/>
      <c r="Q9" s="248"/>
    </row>
    <row r="10" spans="1:17" x14ac:dyDescent="0.25">
      <c r="A10" s="159" t="s">
        <v>5939</v>
      </c>
      <c r="B10" s="242">
        <v>26.549601052957009</v>
      </c>
      <c r="C10" s="243">
        <f t="shared" si="0"/>
        <v>2.4051044140187021E-3</v>
      </c>
      <c r="D10" s="241">
        <v>1115.3200000000002</v>
      </c>
      <c r="E10" s="245">
        <v>2052.5156952006905</v>
      </c>
      <c r="F10" s="241">
        <f t="shared" si="1"/>
        <v>1.4426832942433937E-2</v>
      </c>
      <c r="G10" s="244">
        <f t="shared" si="2"/>
        <v>1.3069137845404168E-3</v>
      </c>
      <c r="H10" s="244"/>
      <c r="N10" s="247">
        <f>65-SUM(N5:N8)</f>
        <v>34.568228711299398</v>
      </c>
      <c r="P10" s="247">
        <f>698-SUM(P5:P8)</f>
        <v>362.06806193506503</v>
      </c>
      <c r="Q10" s="248">
        <f>+P10/$Q$4</f>
        <v>0.51872215176943415</v>
      </c>
    </row>
    <row r="11" spans="1:17" x14ac:dyDescent="0.25">
      <c r="A11" s="159" t="s">
        <v>5149</v>
      </c>
      <c r="B11" s="242">
        <v>65.55503731960745</v>
      </c>
      <c r="C11" s="243">
        <f t="shared" si="0"/>
        <v>5.9385717059951158E-3</v>
      </c>
      <c r="D11" s="241">
        <v>2253455</v>
      </c>
      <c r="E11" s="245">
        <v>1200.6902912910232</v>
      </c>
      <c r="F11" s="241">
        <f>+((D11/E11)*B11)/1000</f>
        <v>123.03366462988278</v>
      </c>
      <c r="G11" s="244">
        <f t="shared" si="2"/>
        <v>11.145508713445258</v>
      </c>
      <c r="H11" s="244"/>
      <c r="I11" s="245"/>
    </row>
    <row r="12" spans="1:17" x14ac:dyDescent="0.25">
      <c r="A12" s="159" t="s">
        <v>4967</v>
      </c>
      <c r="B12" s="242">
        <v>19.619299900093608</v>
      </c>
      <c r="C12" s="243">
        <f t="shared" si="0"/>
        <v>1.7772946830934147E-3</v>
      </c>
      <c r="D12" s="241">
        <v>10446.9</v>
      </c>
      <c r="E12" s="245">
        <v>4271.3558868160317</v>
      </c>
      <c r="F12" s="241">
        <f t="shared" si="1"/>
        <v>4.7984965326565314E-2</v>
      </c>
      <c r="G12" s="244">
        <f>+D12/E12*C12</f>
        <v>4.3469147307809639E-3</v>
      </c>
      <c r="H12" s="244"/>
    </row>
    <row r="13" spans="1:17" x14ac:dyDescent="0.25">
      <c r="A13" s="159" t="s">
        <v>6665</v>
      </c>
      <c r="B13" s="242">
        <v>44.215998199999973</v>
      </c>
      <c r="C13" s="243">
        <f t="shared" si="0"/>
        <v>4.0054873980571041E-3</v>
      </c>
      <c r="D13" s="241">
        <v>27920.58</v>
      </c>
      <c r="E13" s="245">
        <v>1472.3</v>
      </c>
      <c r="F13" s="241">
        <f t="shared" si="1"/>
        <v>0.83850867012358588</v>
      </c>
      <c r="G13" s="244">
        <f t="shared" si="2"/>
        <v>7.5959744166572862E-2</v>
      </c>
      <c r="H13" s="244"/>
    </row>
    <row r="14" spans="1:17" x14ac:dyDescent="0.25">
      <c r="A14" s="159" t="s">
        <v>6669</v>
      </c>
      <c r="B14" s="242">
        <v>64.531950850099207</v>
      </c>
      <c r="C14" s="243">
        <f t="shared" si="0"/>
        <v>5.8458912254549748E-3</v>
      </c>
      <c r="D14" s="241">
        <v>87910</v>
      </c>
      <c r="E14" s="245">
        <v>5328.3068328721474</v>
      </c>
      <c r="F14" s="241">
        <f t="shared" si="1"/>
        <v>1.0646916510576157</v>
      </c>
      <c r="G14" s="244">
        <f t="shared" si="2"/>
        <v>9.644945641254106E-2</v>
      </c>
      <c r="H14" s="244"/>
    </row>
    <row r="15" spans="1:17" x14ac:dyDescent="0.25">
      <c r="A15" s="159" t="s">
        <v>6670</v>
      </c>
      <c r="B15" s="242">
        <v>13.458299999999999</v>
      </c>
      <c r="C15" s="243">
        <f t="shared" si="0"/>
        <v>1.2191752588155288E-3</v>
      </c>
      <c r="D15" s="241">
        <v>449000</v>
      </c>
      <c r="E15" s="245">
        <v>10843.916218566457</v>
      </c>
      <c r="F15" s="241">
        <f t="shared" si="1"/>
        <v>0.55725040457743791</v>
      </c>
      <c r="G15" s="244">
        <f t="shared" si="2"/>
        <v>5.0480811560580173E-2</v>
      </c>
      <c r="H15" s="244"/>
    </row>
    <row r="16" spans="1:17" x14ac:dyDescent="0.25">
      <c r="A16" s="159" t="s">
        <v>4484</v>
      </c>
      <c r="B16" s="242">
        <v>363.12549980201811</v>
      </c>
      <c r="C16" s="243">
        <f t="shared" si="0"/>
        <v>3.289521152029927E-2</v>
      </c>
      <c r="D16" s="241">
        <v>171833.43</v>
      </c>
      <c r="E16" s="245">
        <v>10106.4</v>
      </c>
      <c r="F16" s="241">
        <f t="shared" si="1"/>
        <v>6.1740184587434781</v>
      </c>
      <c r="G16" s="244">
        <f t="shared" si="2"/>
        <v>0.55929876376440057</v>
      </c>
      <c r="H16" s="244"/>
    </row>
    <row r="17" spans="1:8" x14ac:dyDescent="0.25">
      <c r="A17" s="159" t="s">
        <v>4912</v>
      </c>
      <c r="B17" s="242">
        <v>83.092252044235522</v>
      </c>
      <c r="C17" s="243">
        <f t="shared" si="0"/>
        <v>7.5272521708979589E-3</v>
      </c>
      <c r="D17" s="241">
        <v>156328</v>
      </c>
      <c r="E17" s="245">
        <v>1280.7878841976853</v>
      </c>
      <c r="F17" s="241">
        <f t="shared" si="1"/>
        <v>10.141917906811136</v>
      </c>
      <c r="G17" s="244">
        <f t="shared" si="2"/>
        <v>0.91874719607397015</v>
      </c>
      <c r="H17" s="244"/>
    </row>
    <row r="18" spans="1:8" x14ac:dyDescent="0.25">
      <c r="A18" s="159" t="s">
        <v>4630</v>
      </c>
      <c r="B18" s="242">
        <v>17.572722965478889</v>
      </c>
      <c r="C18" s="243">
        <f t="shared" si="0"/>
        <v>1.5918971244162569E-3</v>
      </c>
      <c r="D18" s="241">
        <v>102662.56</v>
      </c>
      <c r="E18" s="245">
        <v>578.44624951649848</v>
      </c>
      <c r="F18" s="241">
        <f t="shared" si="1"/>
        <v>3.1188044305150235</v>
      </c>
      <c r="G18" s="244">
        <f t="shared" si="2"/>
        <v>0.28252968047733901</v>
      </c>
      <c r="H18" s="244"/>
    </row>
    <row r="19" spans="1:8" x14ac:dyDescent="0.25">
      <c r="A19" s="159" t="s">
        <v>6671</v>
      </c>
      <c r="B19" s="242">
        <v>159.64177885238479</v>
      </c>
      <c r="C19" s="243">
        <f t="shared" si="0"/>
        <v>1.4461804763612614E-2</v>
      </c>
      <c r="D19" s="241">
        <v>9417.5</v>
      </c>
      <c r="E19" s="245">
        <v>1766.8779196048679</v>
      </c>
      <c r="F19" s="241">
        <f t="shared" si="1"/>
        <v>0.85089435759010978</v>
      </c>
      <c r="G19" s="244">
        <f t="shared" si="2"/>
        <v>7.70817524233815E-2</v>
      </c>
      <c r="H19" s="244"/>
    </row>
    <row r="20" spans="1:8" x14ac:dyDescent="0.25">
      <c r="A20" s="159" t="s">
        <v>4925</v>
      </c>
      <c r="B20" s="242">
        <v>140.69979510814073</v>
      </c>
      <c r="C20" s="243">
        <f t="shared" si="0"/>
        <v>1.2745867540198937E-2</v>
      </c>
      <c r="D20" s="241">
        <v>159851.40000000002</v>
      </c>
      <c r="E20" s="245">
        <v>5624.7</v>
      </c>
      <c r="F20" s="241">
        <f t="shared" si="1"/>
        <v>3.9986237893131102</v>
      </c>
      <c r="G20" s="244">
        <f t="shared" si="2"/>
        <v>0.36223172267238374</v>
      </c>
      <c r="H20" s="244"/>
    </row>
    <row r="21" spans="1:8" x14ac:dyDescent="0.25">
      <c r="A21" s="159" t="s">
        <v>4629</v>
      </c>
      <c r="B21" s="242">
        <v>104.67818486370963</v>
      </c>
      <c r="C21" s="243">
        <f t="shared" si="0"/>
        <v>9.4827023564308249E-3</v>
      </c>
      <c r="D21" s="241">
        <v>74521.81</v>
      </c>
      <c r="E21" s="245">
        <v>2674.4621976256362</v>
      </c>
      <c r="F21" s="241">
        <f t="shared" si="1"/>
        <v>2.9167762440178562</v>
      </c>
      <c r="G21" s="244">
        <f t="shared" si="2"/>
        <v>0.26422812927393918</v>
      </c>
      <c r="H21" s="244"/>
    </row>
    <row r="22" spans="1:8" x14ac:dyDescent="0.25">
      <c r="A22" s="159" t="s">
        <v>6672</v>
      </c>
      <c r="B22" s="242">
        <v>431.71372299999996</v>
      </c>
      <c r="C22" s="243">
        <f t="shared" si="0"/>
        <v>3.9108556799353593E-2</v>
      </c>
      <c r="D22" s="241">
        <v>17901.46</v>
      </c>
      <c r="E22" s="245">
        <v>11155.1</v>
      </c>
      <c r="F22" s="241">
        <f t="shared" si="1"/>
        <v>0.69280472104558255</v>
      </c>
      <c r="G22" s="244">
        <f t="shared" si="2"/>
        <v>6.2760554831543983E-2</v>
      </c>
      <c r="H22" s="244"/>
    </row>
    <row r="23" spans="1:8" x14ac:dyDescent="0.25">
      <c r="A23" s="159" t="s">
        <v>6673</v>
      </c>
      <c r="B23" s="242">
        <v>107.38844567999999</v>
      </c>
      <c r="C23" s="243">
        <f t="shared" si="0"/>
        <v>9.7282224393653981E-3</v>
      </c>
      <c r="D23" s="241">
        <v>565.98</v>
      </c>
      <c r="E23" s="245">
        <v>3578.4</v>
      </c>
      <c r="F23" s="241">
        <f t="shared" si="1"/>
        <v>1.6985164455054325E-2</v>
      </c>
      <c r="G23" s="244">
        <f t="shared" si="2"/>
        <v>1.5386707288821899E-3</v>
      </c>
      <c r="H23" s="244"/>
    </row>
    <row r="24" spans="1:8" x14ac:dyDescent="0.25">
      <c r="A24" s="159" t="s">
        <v>4915</v>
      </c>
      <c r="B24" s="242">
        <v>312.5585507925897</v>
      </c>
      <c r="C24" s="243">
        <f t="shared" si="0"/>
        <v>2.8314397216406394E-2</v>
      </c>
      <c r="D24" s="241">
        <v>169872.5</v>
      </c>
      <c r="E24" s="245">
        <v>4092.6835073938528</v>
      </c>
      <c r="F24" s="241">
        <f t="shared" si="1"/>
        <v>12.973175747304293</v>
      </c>
      <c r="G24" s="244">
        <f t="shared" si="2"/>
        <v>1.1752282903025681</v>
      </c>
      <c r="H24" s="244"/>
    </row>
  </sheetData>
  <mergeCells count="1">
    <mergeCell ref="M4:O4"/>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76037-049F-40FB-A721-B2548BC76F3F}">
  <sheetPr codeName="Sheet3">
    <tabColor theme="4" tint="0.59999389629810485"/>
  </sheetPr>
  <dimension ref="A1:AX652"/>
  <sheetViews>
    <sheetView tabSelected="1" topLeftCell="Y1" workbookViewId="0">
      <selection activeCell="AJ4" sqref="AJ4"/>
    </sheetView>
  </sheetViews>
  <sheetFormatPr defaultColWidth="9.140625" defaultRowHeight="15" x14ac:dyDescent="0.25"/>
  <cols>
    <col min="1" max="1" width="24.85546875" style="14" bestFit="1" customWidth="1"/>
    <col min="2" max="2" width="18" bestFit="1" customWidth="1"/>
    <col min="3" max="3" width="14.7109375" bestFit="1" customWidth="1"/>
    <col min="4" max="4" width="14.5703125" bestFit="1" customWidth="1"/>
    <col min="5" max="5" width="10" bestFit="1" customWidth="1"/>
    <col min="6" max="6" width="15" bestFit="1" customWidth="1"/>
    <col min="7" max="7" width="64.28515625" bestFit="1" customWidth="1"/>
    <col min="8" max="8" width="15.5703125" bestFit="1" customWidth="1"/>
    <col min="9" max="9" width="16" bestFit="1" customWidth="1"/>
    <col min="10" max="10" width="10.5703125" bestFit="1" customWidth="1"/>
    <col min="11" max="11" width="10.7109375" bestFit="1" customWidth="1"/>
    <col min="12" max="12" width="19.28515625" bestFit="1" customWidth="1"/>
    <col min="13" max="13" width="24.28515625" bestFit="1" customWidth="1"/>
    <col min="14" max="14" width="25.7109375" style="15" bestFit="1" customWidth="1"/>
    <col min="15" max="15" width="12.7109375" bestFit="1" customWidth="1"/>
    <col min="16" max="16" width="23" bestFit="1" customWidth="1"/>
    <col min="17" max="17" width="21.28515625" bestFit="1" customWidth="1"/>
    <col min="18" max="18" width="16" bestFit="1" customWidth="1"/>
    <col min="19" max="19" width="16" style="5" bestFit="1" customWidth="1"/>
    <col min="20" max="20" width="28.140625" bestFit="1" customWidth="1"/>
    <col min="21" max="21" width="30.42578125" bestFit="1" customWidth="1"/>
    <col min="22" max="22" width="22.5703125" bestFit="1" customWidth="1"/>
    <col min="23" max="24" width="22.42578125" bestFit="1" customWidth="1"/>
    <col min="25" max="25" width="28.85546875" bestFit="1" customWidth="1"/>
    <col min="26" max="26" width="13.85546875" bestFit="1" customWidth="1"/>
    <col min="27" max="27" width="11.140625" style="17" bestFit="1" customWidth="1"/>
    <col min="28" max="28" width="13.140625" bestFit="1" customWidth="1"/>
    <col min="29" max="30" width="11.28515625" bestFit="1" customWidth="1"/>
    <col min="31" max="31" width="12.28515625" bestFit="1" customWidth="1"/>
    <col min="32" max="33" width="8.7109375" bestFit="1" customWidth="1"/>
    <col min="34" max="34" width="7.7109375" bestFit="1" customWidth="1"/>
    <col min="35" max="35" width="15" bestFit="1" customWidth="1"/>
    <col min="36" max="36" width="9.7109375" bestFit="1" customWidth="1"/>
    <col min="37" max="37" width="11.5703125" bestFit="1" customWidth="1"/>
    <col min="38" max="38" width="12.7109375" bestFit="1" customWidth="1"/>
    <col min="39" max="39" width="11.7109375" bestFit="1" customWidth="1"/>
    <col min="40" max="40" width="12.28515625" bestFit="1" customWidth="1"/>
    <col min="41" max="41" width="10.42578125" bestFit="1" customWidth="1"/>
    <col min="42" max="42" width="15.42578125" bestFit="1" customWidth="1"/>
    <col min="43" max="44" width="20.28515625" bestFit="1" customWidth="1"/>
    <col min="45" max="45" width="12" bestFit="1" customWidth="1"/>
    <col min="47" max="47" width="17.140625" bestFit="1" customWidth="1"/>
  </cols>
  <sheetData>
    <row r="1" spans="1:47" x14ac:dyDescent="0.25">
      <c r="A1" s="12" t="s">
        <v>126</v>
      </c>
      <c r="B1" s="2">
        <v>20251231</v>
      </c>
      <c r="L1" s="13"/>
      <c r="N1"/>
    </row>
    <row r="2" spans="1:47" x14ac:dyDescent="0.25">
      <c r="A2"/>
      <c r="N2"/>
    </row>
    <row r="3" spans="1:47" x14ac:dyDescent="0.25">
      <c r="B3" t="s">
        <v>127</v>
      </c>
      <c r="C3" t="s">
        <v>128</v>
      </c>
      <c r="D3" t="s">
        <v>2</v>
      </c>
      <c r="E3" t="s">
        <v>129</v>
      </c>
      <c r="F3" t="s">
        <v>130</v>
      </c>
      <c r="G3" t="s">
        <v>1039</v>
      </c>
      <c r="H3" t="s">
        <v>131</v>
      </c>
      <c r="I3" t="s">
        <v>132</v>
      </c>
      <c r="J3" t="s">
        <v>133</v>
      </c>
      <c r="K3" t="s">
        <v>134</v>
      </c>
      <c r="L3" t="s">
        <v>135</v>
      </c>
      <c r="M3" t="s">
        <v>136</v>
      </c>
      <c r="N3" t="s">
        <v>137</v>
      </c>
      <c r="O3" t="s">
        <v>138</v>
      </c>
      <c r="P3" t="s">
        <v>139</v>
      </c>
      <c r="Q3" t="s">
        <v>140</v>
      </c>
      <c r="R3" t="s">
        <v>141</v>
      </c>
      <c r="S3" t="s">
        <v>142</v>
      </c>
      <c r="T3" t="s">
        <v>143</v>
      </c>
      <c r="U3" s="5" t="s">
        <v>144</v>
      </c>
      <c r="V3" t="s">
        <v>145</v>
      </c>
      <c r="W3" t="s">
        <v>146</v>
      </c>
      <c r="X3" t="s">
        <v>147</v>
      </c>
      <c r="Y3" t="s">
        <v>148</v>
      </c>
      <c r="Z3" t="s">
        <v>149</v>
      </c>
      <c r="AA3" t="s">
        <v>150</v>
      </c>
      <c r="AB3" t="s">
        <v>1035</v>
      </c>
      <c r="AC3" s="17" t="s">
        <v>2796</v>
      </c>
      <c r="AD3" s="23" t="s">
        <v>2822</v>
      </c>
      <c r="AE3" s="23" t="s">
        <v>2823</v>
      </c>
      <c r="AF3" s="23" t="s">
        <v>2824</v>
      </c>
      <c r="AG3" s="23" t="s">
        <v>2825</v>
      </c>
      <c r="AH3" s="23" t="s">
        <v>2826</v>
      </c>
      <c r="AI3" s="23" t="s">
        <v>2827</v>
      </c>
      <c r="AJ3" t="s">
        <v>2828</v>
      </c>
      <c r="AK3" t="s">
        <v>2829</v>
      </c>
      <c r="AL3" t="s">
        <v>2830</v>
      </c>
      <c r="AM3" t="s">
        <v>4358</v>
      </c>
      <c r="AN3" t="s">
        <v>4359</v>
      </c>
      <c r="AO3" t="s">
        <v>4631</v>
      </c>
      <c r="AP3" t="s">
        <v>4641</v>
      </c>
      <c r="AQ3" t="s">
        <v>4826</v>
      </c>
      <c r="AR3" t="s">
        <v>4830</v>
      </c>
    </row>
    <row r="4" spans="1:47" x14ac:dyDescent="0.25">
      <c r="B4" s="14" t="s">
        <v>6390</v>
      </c>
      <c r="C4" t="s">
        <v>151</v>
      </c>
      <c r="D4" t="s">
        <v>10</v>
      </c>
      <c r="E4" t="s">
        <v>152</v>
      </c>
      <c r="F4" t="s">
        <v>172</v>
      </c>
      <c r="G4" t="str">
        <f>INDEX(Parametria!H:H,MATCH(Tabla_Consulta_desde_Reporte_de_Valorización_de_Instrumentos[[#This Row],[CODIGO_SBS]],Parametria!C:C,0),1)</f>
        <v>Gobierno Central</v>
      </c>
      <c r="H4" t="s">
        <v>173</v>
      </c>
      <c r="I4" t="s">
        <v>174</v>
      </c>
      <c r="J4" t="s">
        <v>154</v>
      </c>
      <c r="K4" t="s">
        <v>90</v>
      </c>
      <c r="L4">
        <v>1000</v>
      </c>
      <c r="M4" s="5">
        <v>611420.89560399996</v>
      </c>
      <c r="N4">
        <v>611420.89560399996</v>
      </c>
      <c r="O4">
        <v>554</v>
      </c>
      <c r="P4" s="15">
        <v>48438</v>
      </c>
      <c r="Q4">
        <v>2416</v>
      </c>
      <c r="R4">
        <v>1</v>
      </c>
      <c r="S4" t="s">
        <v>155</v>
      </c>
      <c r="T4">
        <v>610528.12327440002</v>
      </c>
      <c r="U4" s="5">
        <v>610528.12327440002</v>
      </c>
      <c r="V4" t="s">
        <v>156</v>
      </c>
      <c r="W4">
        <v>0</v>
      </c>
      <c r="X4">
        <v>0</v>
      </c>
      <c r="Y4">
        <v>0</v>
      </c>
      <c r="Z4">
        <v>1.6115024</v>
      </c>
      <c r="AA4" t="str">
        <f>+MID(Tabla_Consulta_desde_Reporte_de_Valorización_de_Instrumentos[[#This Row],[CODIGO_SBS]],7,1)</f>
        <v>1</v>
      </c>
      <c r="AB4">
        <f>INDEX('Cálculo Caja'!F:F,MATCH(Tabla_Consulta_desde_Reporte_de_Valorización_de_Instrumentos[[#This Row],[PORTAFOLIO]],'Cálculo Caja'!A:A,0),1)</f>
        <v>26256910350.436607</v>
      </c>
      <c r="AC4" s="17">
        <f>Tabla_Consulta_desde_Reporte_de_Valorización_de_Instrumentos[[#This Row],[VALOR_VECTOR_LOCAL]]/Tabla_Consulta_desde_Reporte_de_Valorización_de_Instrumentos[[#This Row],[Patrimonio]]</f>
        <v>2.3286094496408755E-5</v>
      </c>
      <c r="AD4" s="4">
        <f>(Tabla_Consulta_desde_Reporte_de_Valorización_de_Instrumentos[[#This Row],[VALOR_VECTOR_LOCAL]]/INDEX('Tipo de Cambio'!$D:$D,MATCH("2",'Tipo de Cambio'!$E:$E,0),1))/1000000</f>
        <v>0.1819217755970127</v>
      </c>
      <c r="AE4">
        <f>IF(Tabla_Consulta_desde_Reporte_de_Valorización_de_Instrumentos[[#This Row],[PORTAFOLIO]]="IN-FONDO0",Tabla_Consulta_desde_Reporte_de_Valorización_de_Instrumentos[[#This Row],[Inv MM$]],0)</f>
        <v>0</v>
      </c>
      <c r="AF4" s="26">
        <f>IF(Tabla_Consulta_desde_Reporte_de_Valorización_de_Instrumentos[[#This Row],[PORTAFOLIO]]="IN-FONDO1",Tabla_Consulta_desde_Reporte_de_Valorización_de_Instrumentos[[#This Row],[Inv MM$]],0)</f>
        <v>0</v>
      </c>
      <c r="AG4" s="26">
        <f>IF(Tabla_Consulta_desde_Reporte_de_Valorización_de_Instrumentos[[#This Row],[PORTAFOLIO]]="IN-FONDO2",Tabla_Consulta_desde_Reporte_de_Valorización_de_Instrumentos[[#This Row],[Inv MM$]],0)</f>
        <v>0.1819217755970127</v>
      </c>
      <c r="AH4" s="26">
        <f>IF(Tabla_Consulta_desde_Reporte_de_Valorización_de_Instrumentos[[#This Row],[PORTAFOLIO]]="IN-FONDO3",Tabla_Consulta_desde_Reporte_de_Valorización_de_Instrumentos[[#This Row],[Inv MM$]],0)</f>
        <v>0</v>
      </c>
      <c r="AI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22.086748423565115</v>
      </c>
      <c r="AJ4" s="26">
        <f>IFERROR(IFERROR(INDEX('BD(MSCI)'!$T:$T,MATCH(Tabla_Consulta_desde_Reporte_de_Valorización_de_Instrumentos[[#This Row],[CODIGO_ISIN]],'BD(MSCI)'!$C:$C,0),1),INDEX('BD(MSCI)'!$T:$T,MATCH(Tabla_Consulta_desde_Reporte_de_Valorización_de_Instrumentos[[#This Row],[CODIGO_SBS]],'BD(MSCI)'!$C:$C,0),1)),0)</f>
        <v>170.4198394</v>
      </c>
      <c r="AK4" s="26">
        <f>Tabla_Consulta_desde_Reporte_de_Valorización_de_Instrumentos[[#This Row],[C02-H]]*Tabla_Consulta_desde_Reporte_de_Valorización_de_Instrumentos[[#This Row],[Inv MM$]]</f>
        <v>31.003079780605741</v>
      </c>
      <c r="AL4" s="26">
        <f>Tabla_Consulta_desde_Reporte_de_Valorización_de_Instrumentos[[#This Row],[C02-H]]*Tabla_Consulta_desde_Reporte_de_Valorización_de_Instrumentos[[#This Row],[Weight]]</f>
        <v>3.9684124843312038E-3</v>
      </c>
      <c r="AM4" s="26" t="str">
        <f>INDEX(Parametria!G:G,MATCH(Tabla_Consulta_desde_Reporte_de_Valorización_de_Instrumentos[[#This Row],[CODIGO_SBS]],Parametria!C:C,0))</f>
        <v>01RFLG</v>
      </c>
      <c r="AN4" s="26" t="str">
        <f>INDEX(Parametria!F:F,MATCH(Tabla_Consulta_desde_Reporte_de_Valorización_de_Instrumentos[[#This Row],[CODIGO_SBS]],Parametria!C:C,0))</f>
        <v>GOB</v>
      </c>
      <c r="AO4" s="26" t="str">
        <f>+INDEX(Parametria!J:J,MATCH(Tabla_Consulta_desde_Reporte_de_Valorización_de_Instrumentos[[#This Row],[CODIGO_SBS]],Parametria!C:C,0))</f>
        <v>RFLGOB</v>
      </c>
      <c r="AP4" s="26">
        <f>Tabla_Consulta_desde_Reporte_de_Valorización_de_Instrumentos[[#This Row],[Huella]]/$AU$4</f>
        <v>2.8741335301245476E-3</v>
      </c>
      <c r="AQ4" s="26" t="str">
        <f>IFERROR(INDEX('BD(MSCI)'!W:W,MATCH(Tabla_Consulta_desde_Reporte_de_Valorización_de_Instrumentos[[#This Row],[CODIGO_ISIN]],'BD(MSCI)'!C:C,0)),IF(Tabla_Consulta_desde_Reporte_de_Valorización_de_Instrumentos[[#This Row],[Rank_rt]]="Cash","Cash","Cuestionario Integra"))</f>
        <v>SOV</v>
      </c>
      <c r="AR4" s="26" t="str">
        <f>IFERROR(INDEX('BD(MSCI)'!X:X,MATCH(Tabla_Consulta_desde_Reporte_de_Valorización_de_Instrumentos[[#This Row],[CODIGO_ISIN]],'BD(MSCI)'!C:C,0)),"Cuestionario Integra")</f>
        <v>SOV</v>
      </c>
      <c r="AU4" s="7">
        <v>10786.930897835584</v>
      </c>
    </row>
    <row r="5" spans="1:47" x14ac:dyDescent="0.25">
      <c r="B5" s="14" t="s">
        <v>6390</v>
      </c>
      <c r="C5" t="s">
        <v>151</v>
      </c>
      <c r="D5" t="s">
        <v>10</v>
      </c>
      <c r="E5" t="s">
        <v>152</v>
      </c>
      <c r="F5" t="s">
        <v>169</v>
      </c>
      <c r="G5" t="str">
        <f>INDEX(Parametria!H:H,MATCH(Tabla_Consulta_desde_Reporte_de_Valorización_de_Instrumentos[[#This Row],[CODIGO_SBS]],Parametria!C:C,0),1)</f>
        <v>Gobierno Central</v>
      </c>
      <c r="H5" t="s">
        <v>170</v>
      </c>
      <c r="I5" t="s">
        <v>5850</v>
      </c>
      <c r="J5" t="s">
        <v>154</v>
      </c>
      <c r="K5" t="s">
        <v>90</v>
      </c>
      <c r="L5">
        <v>1000</v>
      </c>
      <c r="M5" s="5">
        <v>9639755.9001000002</v>
      </c>
      <c r="N5">
        <v>9639755.9001000002</v>
      </c>
      <c r="O5">
        <v>9000</v>
      </c>
      <c r="P5" s="15">
        <v>47161</v>
      </c>
      <c r="Q5">
        <v>1139</v>
      </c>
      <c r="R5">
        <v>1</v>
      </c>
      <c r="S5" t="s">
        <v>155</v>
      </c>
      <c r="T5">
        <v>9638055.6461999994</v>
      </c>
      <c r="U5" s="5">
        <v>9638055.6461999994</v>
      </c>
      <c r="V5" t="s">
        <v>156</v>
      </c>
      <c r="W5">
        <v>0</v>
      </c>
      <c r="X5">
        <v>0</v>
      </c>
      <c r="Y5">
        <v>0</v>
      </c>
      <c r="Z5">
        <v>0.1889171</v>
      </c>
      <c r="AA5" t="str">
        <f>+MID(Tabla_Consulta_desde_Reporte_de_Valorización_de_Instrumentos[[#This Row],[CODIGO_SBS]],7,1)</f>
        <v>1</v>
      </c>
      <c r="AB5">
        <f>INDEX('Cálculo Caja'!F:F,MATCH(Tabla_Consulta_desde_Reporte_de_Valorización_de_Instrumentos[[#This Row],[PORTAFOLIO]],'Cálculo Caja'!A:A,0),1)</f>
        <v>26256910350.436607</v>
      </c>
      <c r="AC5" s="17">
        <f>Tabla_Consulta_desde_Reporte_de_Valorización_de_Instrumentos[[#This Row],[VALOR_VECTOR_LOCAL]]/Tabla_Consulta_desde_Reporte_de_Valorización_de_Instrumentos[[#This Row],[Patrimonio]]</f>
        <v>3.6713214812571075E-4</v>
      </c>
      <c r="AD5" s="4">
        <f>(Tabla_Consulta_desde_Reporte_de_Valorización_de_Instrumentos[[#This Row],[VALOR_VECTOR_LOCAL]]/INDEX('Tipo de Cambio'!$D:$D,MATCH("2",'Tipo de Cambio'!$E:$E,0),1))/1000000</f>
        <v>2.8682067006159064</v>
      </c>
      <c r="AE5">
        <f>IF(Tabla_Consulta_desde_Reporte_de_Valorización_de_Instrumentos[[#This Row],[PORTAFOLIO]]="IN-FONDO0",Tabla_Consulta_desde_Reporte_de_Valorización_de_Instrumentos[[#This Row],[Inv MM$]],0)</f>
        <v>0</v>
      </c>
      <c r="AF5" s="26">
        <f>IF(Tabla_Consulta_desde_Reporte_de_Valorización_de_Instrumentos[[#This Row],[PORTAFOLIO]]="IN-FONDO1",Tabla_Consulta_desde_Reporte_de_Valorización_de_Instrumentos[[#This Row],[Inv MM$]],0)</f>
        <v>0</v>
      </c>
      <c r="AG5" s="26">
        <f>IF(Tabla_Consulta_desde_Reporte_de_Valorización_de_Instrumentos[[#This Row],[PORTAFOLIO]]="IN-FONDO2",Tabla_Consulta_desde_Reporte_de_Valorización_de_Instrumentos[[#This Row],[Inv MM$]],0)</f>
        <v>2.8682067006159064</v>
      </c>
      <c r="AH5" s="26">
        <f>IF(Tabla_Consulta_desde_Reporte_de_Valorización_de_Instrumentos[[#This Row],[PORTAFOLIO]]="IN-FONDO3",Tabla_Consulta_desde_Reporte_de_Valorización_de_Instrumentos[[#This Row],[Inv MM$]],0)</f>
        <v>0</v>
      </c>
      <c r="AI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2.8682067006159064</v>
      </c>
      <c r="AJ5" s="26">
        <f>IFERROR(IFERROR(INDEX('BD(MSCI)'!$T:$T,MATCH(Tabla_Consulta_desde_Reporte_de_Valorización_de_Instrumentos[[#This Row],[CODIGO_ISIN]],'BD(MSCI)'!$C:$C,0),1),INDEX('BD(MSCI)'!$T:$T,MATCH(Tabla_Consulta_desde_Reporte_de_Valorización_de_Instrumentos[[#This Row],[CODIGO_SBS]],'BD(MSCI)'!$C:$C,0),1)),0)</f>
        <v>170.4198394</v>
      </c>
      <c r="AK5" s="26">
        <f>Tabla_Consulta_desde_Reporte_de_Valorización_de_Instrumentos[[#This Row],[C02-H]]*Tabla_Consulta_desde_Reporte_de_Valorización_de_Instrumentos[[#This Row],[Inv MM$]]</f>
        <v>488.79932528496664</v>
      </c>
      <c r="AL5" s="26">
        <f>Tabla_Consulta_desde_Reporte_de_Valorización_de_Instrumentos[[#This Row],[C02-H]]*Tabla_Consulta_desde_Reporte_de_Valorización_de_Instrumentos[[#This Row],[Weight]]</f>
        <v>6.2566601722160636E-2</v>
      </c>
      <c r="AM5" s="26" t="str">
        <f>INDEX(Parametria!G:G,MATCH(Tabla_Consulta_desde_Reporte_de_Valorización_de_Instrumentos[[#This Row],[CODIGO_SBS]],Parametria!C:C,0))</f>
        <v>01RFLG</v>
      </c>
      <c r="AN5" s="26" t="str">
        <f>INDEX(Parametria!F:F,MATCH(Tabla_Consulta_desde_Reporte_de_Valorización_de_Instrumentos[[#This Row],[CODIGO_SBS]],Parametria!C:C,0))</f>
        <v>GOB</v>
      </c>
      <c r="AO5" s="26" t="str">
        <f>+INDEX(Parametria!J:J,MATCH(Tabla_Consulta_desde_Reporte_de_Valorización_de_Instrumentos[[#This Row],[CODIGO_SBS]],Parametria!C:C,0))</f>
        <v>RFLGOB</v>
      </c>
      <c r="AP5" s="26">
        <f>Tabla_Consulta_desde_Reporte_de_Valorización_de_Instrumentos[[#This Row],[Huella]]/$AU$4</f>
        <v>4.5314031388023916E-2</v>
      </c>
      <c r="AQ5" s="26" t="str">
        <f>IFERROR(INDEX('BD(MSCI)'!W:W,MATCH(Tabla_Consulta_desde_Reporte_de_Valorización_de_Instrumentos[[#This Row],[CODIGO_ISIN]],'BD(MSCI)'!C:C,0)),IF(Tabla_Consulta_desde_Reporte_de_Valorización_de_Instrumentos[[#This Row],[Rank_rt]]="Cash","Cash","Cuestionario Integra"))</f>
        <v>SOV</v>
      </c>
      <c r="AR5" s="26" t="str">
        <f>IFERROR(INDEX('BD(MSCI)'!X:X,MATCH(Tabla_Consulta_desde_Reporte_de_Valorización_de_Instrumentos[[#This Row],[CODIGO_ISIN]],'BD(MSCI)'!C:C,0)),"Cuestionario Integra")</f>
        <v>SOV</v>
      </c>
      <c r="AU5" s="18">
        <f>('Cálculo Caja'!K7/'Cálculo Caja'!K8)/1000000</f>
        <v>11038.855900894188</v>
      </c>
    </row>
    <row r="6" spans="1:47" x14ac:dyDescent="0.25">
      <c r="B6" s="14" t="s">
        <v>6390</v>
      </c>
      <c r="C6" t="s">
        <v>151</v>
      </c>
      <c r="D6" t="s">
        <v>10</v>
      </c>
      <c r="E6" t="s">
        <v>152</v>
      </c>
      <c r="F6" t="s">
        <v>867</v>
      </c>
      <c r="G6" t="str">
        <f>INDEX(Parametria!H:H,MATCH(Tabla_Consulta_desde_Reporte_de_Valorización_de_Instrumentos[[#This Row],[CODIGO_SBS]],Parametria!C:C,0),1)</f>
        <v>Gobierno Central</v>
      </c>
      <c r="H6" t="s">
        <v>868</v>
      </c>
      <c r="I6" t="s">
        <v>4847</v>
      </c>
      <c r="J6" t="s">
        <v>154</v>
      </c>
      <c r="K6" t="s">
        <v>90</v>
      </c>
      <c r="L6">
        <v>1000</v>
      </c>
      <c r="M6" s="5">
        <v>126153852.2247</v>
      </c>
      <c r="N6">
        <v>126153852.2247</v>
      </c>
      <c r="O6">
        <v>113000</v>
      </c>
      <c r="P6" s="15">
        <v>56657</v>
      </c>
      <c r="Q6">
        <v>10635</v>
      </c>
      <c r="R6">
        <v>1</v>
      </c>
      <c r="S6" t="s">
        <v>155</v>
      </c>
      <c r="T6">
        <v>126133269.625</v>
      </c>
      <c r="U6" s="5">
        <v>126133269.625</v>
      </c>
      <c r="V6" t="s">
        <v>156</v>
      </c>
      <c r="W6">
        <v>0</v>
      </c>
      <c r="X6">
        <v>0</v>
      </c>
      <c r="Y6">
        <v>0</v>
      </c>
      <c r="Z6">
        <v>0.1821469</v>
      </c>
      <c r="AA6" t="str">
        <f>+MID(Tabla_Consulta_desde_Reporte_de_Valorización_de_Instrumentos[[#This Row],[CODIGO_SBS]],7,1)</f>
        <v>1</v>
      </c>
      <c r="AB6">
        <f>INDEX('Cálculo Caja'!F:F,MATCH(Tabla_Consulta_desde_Reporte_de_Valorización_de_Instrumentos[[#This Row],[PORTAFOLIO]],'Cálculo Caja'!A:A,0),1)</f>
        <v>26256910350.436607</v>
      </c>
      <c r="AC6" s="17">
        <f>Tabla_Consulta_desde_Reporte_de_Valorización_de_Instrumentos[[#This Row],[VALOR_VECTOR_LOCAL]]/Tabla_Consulta_desde_Reporte_de_Valorización_de_Instrumentos[[#This Row],[Patrimonio]]</f>
        <v>4.8045962202328306E-3</v>
      </c>
      <c r="AD6" s="4">
        <f>(Tabla_Consulta_desde_Reporte_de_Valorización_de_Instrumentos[[#This Row],[VALOR_VECTOR_LOCAL]]/INDEX('Tipo de Cambio'!$D:$D,MATCH("2",'Tipo de Cambio'!$E:$E,0),1))/1000000</f>
        <v>37.535735137820232</v>
      </c>
      <c r="AE6">
        <f>IF(Tabla_Consulta_desde_Reporte_de_Valorización_de_Instrumentos[[#This Row],[PORTAFOLIO]]="IN-FONDO0",Tabla_Consulta_desde_Reporte_de_Valorización_de_Instrumentos[[#This Row],[Inv MM$]],0)</f>
        <v>0</v>
      </c>
      <c r="AF6" s="26">
        <f>IF(Tabla_Consulta_desde_Reporte_de_Valorización_de_Instrumentos[[#This Row],[PORTAFOLIO]]="IN-FONDO1",Tabla_Consulta_desde_Reporte_de_Valorización_de_Instrumentos[[#This Row],[Inv MM$]],0)</f>
        <v>0</v>
      </c>
      <c r="AG6" s="26">
        <f>IF(Tabla_Consulta_desde_Reporte_de_Valorización_de_Instrumentos[[#This Row],[PORTAFOLIO]]="IN-FONDO2",Tabla_Consulta_desde_Reporte_de_Valorización_de_Instrumentos[[#This Row],[Inv MM$]],0)</f>
        <v>37.535735137820232</v>
      </c>
      <c r="AH6" s="26">
        <f>IF(Tabla_Consulta_desde_Reporte_de_Valorización_de_Instrumentos[[#This Row],[PORTAFOLIO]]="IN-FONDO3",Tabla_Consulta_desde_Reporte_de_Valorización_de_Instrumentos[[#This Row],[Inv MM$]],0)</f>
        <v>0</v>
      </c>
      <c r="AI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51.719592574854957</v>
      </c>
      <c r="AJ6" s="26">
        <f>IFERROR(IFERROR(INDEX('BD(MSCI)'!$T:$T,MATCH(Tabla_Consulta_desde_Reporte_de_Valorización_de_Instrumentos[[#This Row],[CODIGO_ISIN]],'BD(MSCI)'!$C:$C,0),1),INDEX('BD(MSCI)'!$T:$T,MATCH(Tabla_Consulta_desde_Reporte_de_Valorización_de_Instrumentos[[#This Row],[CODIGO_SBS]],'BD(MSCI)'!$C:$C,0),1)),0)</f>
        <v>170.4198394</v>
      </c>
      <c r="AK6" s="26">
        <f>Tabla_Consulta_desde_Reporte_de_Valorización_de_Instrumentos[[#This Row],[C02-H]]*Tabla_Consulta_desde_Reporte_de_Valorización_de_Instrumentos[[#This Row],[Inv MM$]]</f>
        <v>6396.8339539482613</v>
      </c>
      <c r="AL6" s="26">
        <f>Tabla_Consulta_desde_Reporte_de_Valorización_de_Instrumentos[[#This Row],[C02-H]]*Tabla_Consulta_desde_Reporte_de_Valorización_de_Instrumentos[[#This Row],[Weight]]</f>
        <v>0.81879851623392608</v>
      </c>
      <c r="AM6" s="26" t="str">
        <f>INDEX(Parametria!G:G,MATCH(Tabla_Consulta_desde_Reporte_de_Valorización_de_Instrumentos[[#This Row],[CODIGO_SBS]],Parametria!C:C,0))</f>
        <v>01RFLG</v>
      </c>
      <c r="AN6" s="26" t="str">
        <f>INDEX(Parametria!F:F,MATCH(Tabla_Consulta_desde_Reporte_de_Valorización_de_Instrumentos[[#This Row],[CODIGO_SBS]],Parametria!C:C,0))</f>
        <v>GOB</v>
      </c>
      <c r="AO6" s="26" t="str">
        <f>+INDEX(Parametria!J:J,MATCH(Tabla_Consulta_desde_Reporte_de_Valorización_de_Instrumentos[[#This Row],[CODIGO_SBS]],Parametria!C:C,0))</f>
        <v>RFLGOB</v>
      </c>
      <c r="AP6" s="26">
        <f>Tabla_Consulta_desde_Reporte_de_Valorización_de_Instrumentos[[#This Row],[Huella]]/$AU$4</f>
        <v>0.59301705133123617</v>
      </c>
      <c r="AQ6" s="26" t="str">
        <f>IFERROR(INDEX('BD(MSCI)'!W:W,MATCH(Tabla_Consulta_desde_Reporte_de_Valorización_de_Instrumentos[[#This Row],[CODIGO_ISIN]],'BD(MSCI)'!C:C,0)),IF(Tabla_Consulta_desde_Reporte_de_Valorización_de_Instrumentos[[#This Row],[Rank_rt]]="Cash","Cash","Cuestionario Integra"))</f>
        <v>SOV</v>
      </c>
      <c r="AR6" s="26" t="str">
        <f>IFERROR(INDEX('BD(MSCI)'!X:X,MATCH(Tabla_Consulta_desde_Reporte_de_Valorización_de_Instrumentos[[#This Row],[CODIGO_ISIN]],'BD(MSCI)'!C:C,0)),"Cuestionario Integra")</f>
        <v>SOV</v>
      </c>
    </row>
    <row r="7" spans="1:47" x14ac:dyDescent="0.25">
      <c r="B7" s="14" t="s">
        <v>6390</v>
      </c>
      <c r="C7" t="s">
        <v>151</v>
      </c>
      <c r="D7" t="s">
        <v>10</v>
      </c>
      <c r="E7" t="s">
        <v>152</v>
      </c>
      <c r="F7" t="s">
        <v>160</v>
      </c>
      <c r="G7" t="str">
        <f>INDEX(Parametria!H:H,MATCH(Tabla_Consulta_desde_Reporte_de_Valorización_de_Instrumentos[[#This Row],[CODIGO_SBS]],Parametria!C:C,0),1)</f>
        <v>Gobierno Central</v>
      </c>
      <c r="H7" t="s">
        <v>161</v>
      </c>
      <c r="I7" t="s">
        <v>4848</v>
      </c>
      <c r="J7" t="s">
        <v>154</v>
      </c>
      <c r="K7" t="s">
        <v>90</v>
      </c>
      <c r="L7">
        <v>1000</v>
      </c>
      <c r="M7" s="5">
        <v>227467066.60037139</v>
      </c>
      <c r="N7">
        <v>227467066.60037139</v>
      </c>
      <c r="O7">
        <v>249953</v>
      </c>
      <c r="P7" s="15">
        <v>51360</v>
      </c>
      <c r="Q7">
        <v>5338</v>
      </c>
      <c r="R7">
        <v>1</v>
      </c>
      <c r="S7" t="s">
        <v>155</v>
      </c>
      <c r="T7">
        <v>227084507.60998529</v>
      </c>
      <c r="U7" s="5">
        <v>227084507.60998529</v>
      </c>
      <c r="V7" t="s">
        <v>156</v>
      </c>
      <c r="W7">
        <v>0</v>
      </c>
      <c r="X7">
        <v>0</v>
      </c>
      <c r="Y7">
        <v>0</v>
      </c>
      <c r="Z7">
        <v>1.5305237</v>
      </c>
      <c r="AA7" t="str">
        <f>+MID(Tabla_Consulta_desde_Reporte_de_Valorización_de_Instrumentos[[#This Row],[CODIGO_SBS]],7,1)</f>
        <v>1</v>
      </c>
      <c r="AB7">
        <f>INDEX('Cálculo Caja'!F:F,MATCH(Tabla_Consulta_desde_Reporte_de_Valorización_de_Instrumentos[[#This Row],[PORTAFOLIO]],'Cálculo Caja'!A:A,0),1)</f>
        <v>26256910350.436607</v>
      </c>
      <c r="AC7" s="17">
        <f>Tabla_Consulta_desde_Reporte_de_Valorización_de_Instrumentos[[#This Row],[VALOR_VECTOR_LOCAL]]/Tabla_Consulta_desde_Reporte_de_Valorización_de_Instrumentos[[#This Row],[Patrimonio]]</f>
        <v>8.663131479084667E-3</v>
      </c>
      <c r="AD7" s="4">
        <f>(Tabla_Consulta_desde_Reporte_de_Valorización_de_Instrumentos[[#This Row],[VALOR_VECTOR_LOCAL]]/INDEX('Tipo de Cambio'!$D:$D,MATCH("2",'Tipo de Cambio'!$E:$E,0),1))/1000000</f>
        <v>67.68040304691344</v>
      </c>
      <c r="AE7">
        <f>IF(Tabla_Consulta_desde_Reporte_de_Valorización_de_Instrumentos[[#This Row],[PORTAFOLIO]]="IN-FONDO0",Tabla_Consulta_desde_Reporte_de_Valorización_de_Instrumentos[[#This Row],[Inv MM$]],0)</f>
        <v>0</v>
      </c>
      <c r="AF7" s="26">
        <f>IF(Tabla_Consulta_desde_Reporte_de_Valorización_de_Instrumentos[[#This Row],[PORTAFOLIO]]="IN-FONDO1",Tabla_Consulta_desde_Reporte_de_Valorización_de_Instrumentos[[#This Row],[Inv MM$]],0)</f>
        <v>0</v>
      </c>
      <c r="AG7" s="26">
        <f>IF(Tabla_Consulta_desde_Reporte_de_Valorización_de_Instrumentos[[#This Row],[PORTAFOLIO]]="IN-FONDO2",Tabla_Consulta_desde_Reporte_de_Valorización_de_Instrumentos[[#This Row],[Inv MM$]],0)</f>
        <v>67.68040304691344</v>
      </c>
      <c r="AH7" s="26">
        <f>IF(Tabla_Consulta_desde_Reporte_de_Valorización_de_Instrumentos[[#This Row],[PORTAFOLIO]]="IN-FONDO3",Tabla_Consulta_desde_Reporte_de_Valorización_de_Instrumentos[[#This Row],[Inv MM$]],0)</f>
        <v>0</v>
      </c>
      <c r="AI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136.15064952714374</v>
      </c>
      <c r="AJ7" s="26">
        <f>IFERROR(IFERROR(INDEX('BD(MSCI)'!$T:$T,MATCH(Tabla_Consulta_desde_Reporte_de_Valorización_de_Instrumentos[[#This Row],[CODIGO_ISIN]],'BD(MSCI)'!$C:$C,0),1),INDEX('BD(MSCI)'!$T:$T,MATCH(Tabla_Consulta_desde_Reporte_de_Valorización_de_Instrumentos[[#This Row],[CODIGO_SBS]],'BD(MSCI)'!$C:$C,0),1)),0)</f>
        <v>170.4198394</v>
      </c>
      <c r="AK7" s="26">
        <f>Tabla_Consulta_desde_Reporte_de_Valorización_de_Instrumentos[[#This Row],[C02-H]]*Tabla_Consulta_desde_Reporte_de_Valorización_de_Instrumentos[[#This Row],[Inv MM$]]</f>
        <v>11534.08341778226</v>
      </c>
      <c r="AL7" s="26">
        <f>Tabla_Consulta_desde_Reporte_de_Valorización_de_Instrumentos[[#This Row],[C02-H]]*Tabla_Consulta_desde_Reporte_de_Valorización_de_Instrumentos[[#This Row],[Weight]]</f>
        <v>1.4763694753666934</v>
      </c>
      <c r="AM7" s="26" t="str">
        <f>INDEX(Parametria!G:G,MATCH(Tabla_Consulta_desde_Reporte_de_Valorización_de_Instrumentos[[#This Row],[CODIGO_SBS]],Parametria!C:C,0))</f>
        <v>01RFLG</v>
      </c>
      <c r="AN7" s="26" t="str">
        <f>INDEX(Parametria!F:F,MATCH(Tabla_Consulta_desde_Reporte_de_Valorización_de_Instrumentos[[#This Row],[CODIGO_SBS]],Parametria!C:C,0))</f>
        <v>GOB</v>
      </c>
      <c r="AO7" s="26" t="str">
        <f>+INDEX(Parametria!J:J,MATCH(Tabla_Consulta_desde_Reporte_de_Valorización_de_Instrumentos[[#This Row],[CODIGO_SBS]],Parametria!C:C,0))</f>
        <v>RFLGOB</v>
      </c>
      <c r="AP7" s="26">
        <f>Tabla_Consulta_desde_Reporte_de_Valorización_de_Instrumentos[[#This Row],[Huella]]/$AU$4</f>
        <v>1.0692646061259736</v>
      </c>
      <c r="AQ7" s="26" t="str">
        <f>IFERROR(INDEX('BD(MSCI)'!W:W,MATCH(Tabla_Consulta_desde_Reporte_de_Valorización_de_Instrumentos[[#This Row],[CODIGO_ISIN]],'BD(MSCI)'!C:C,0)),IF(Tabla_Consulta_desde_Reporte_de_Valorización_de_Instrumentos[[#This Row],[Rank_rt]]="Cash","Cash","Cuestionario Integra"))</f>
        <v>SOV</v>
      </c>
      <c r="AR7" s="26" t="str">
        <f>IFERROR(INDEX('BD(MSCI)'!X:X,MATCH(Tabla_Consulta_desde_Reporte_de_Valorización_de_Instrumentos[[#This Row],[CODIGO_ISIN]],'BD(MSCI)'!C:C,0)),"Cuestionario Integra")</f>
        <v>SOV</v>
      </c>
    </row>
    <row r="8" spans="1:47" x14ac:dyDescent="0.25">
      <c r="B8" s="14" t="s">
        <v>6390</v>
      </c>
      <c r="C8" t="s">
        <v>151</v>
      </c>
      <c r="D8" t="s">
        <v>10</v>
      </c>
      <c r="E8" t="s">
        <v>152</v>
      </c>
      <c r="F8" t="s">
        <v>6242</v>
      </c>
      <c r="G8" t="str">
        <f>INDEX(Parametria!H:H,MATCH(Tabla_Consulta_desde_Reporte_de_Valorización_de_Instrumentos[[#This Row],[CODIGO_SBS]],Parametria!C:C,0),1)</f>
        <v>Gobierno Central</v>
      </c>
      <c r="H8" t="s">
        <v>6241</v>
      </c>
      <c r="I8" t="s">
        <v>6391</v>
      </c>
      <c r="J8" t="s">
        <v>154</v>
      </c>
      <c r="K8" t="s">
        <v>90</v>
      </c>
      <c r="L8">
        <v>1000</v>
      </c>
      <c r="M8" s="5">
        <v>654260699.47086501</v>
      </c>
      <c r="N8">
        <v>654260699.47086501</v>
      </c>
      <c r="O8">
        <v>585950</v>
      </c>
      <c r="P8" s="15">
        <v>49533</v>
      </c>
      <c r="Q8">
        <v>3511</v>
      </c>
      <c r="R8">
        <v>1</v>
      </c>
      <c r="S8" t="s">
        <v>155</v>
      </c>
      <c r="T8">
        <v>779599085.66840005</v>
      </c>
      <c r="U8" s="5">
        <v>779599085.66840005</v>
      </c>
      <c r="V8" t="s">
        <v>156</v>
      </c>
      <c r="W8">
        <v>0</v>
      </c>
      <c r="X8">
        <v>0</v>
      </c>
      <c r="Y8">
        <v>0</v>
      </c>
      <c r="Z8">
        <v>5.9619947</v>
      </c>
      <c r="AA8" t="str">
        <f>+MID(Tabla_Consulta_desde_Reporte_de_Valorización_de_Instrumentos[[#This Row],[CODIGO_SBS]],7,1)</f>
        <v>1</v>
      </c>
      <c r="AB8">
        <f>INDEX('Cálculo Caja'!F:F,MATCH(Tabla_Consulta_desde_Reporte_de_Valorización_de_Instrumentos[[#This Row],[PORTAFOLIO]],'Cálculo Caja'!A:A,0),1)</f>
        <v>26256910350.436607</v>
      </c>
      <c r="AC8" s="17">
        <f>Tabla_Consulta_desde_Reporte_de_Valorización_de_Instrumentos[[#This Row],[VALOR_VECTOR_LOCAL]]/Tabla_Consulta_desde_Reporte_de_Valorización_de_Instrumentos[[#This Row],[Patrimonio]]</f>
        <v>2.4917657513348131E-2</v>
      </c>
      <c r="AD8" s="4">
        <f>(Tabla_Consulta_desde_Reporte_de_Valorización_de_Instrumentos[[#This Row],[VALOR_VECTOR_LOCAL]]/INDEX('Tipo de Cambio'!$D:$D,MATCH("2",'Tipo de Cambio'!$E:$E,0),1))/1000000</f>
        <v>194.66830297565087</v>
      </c>
      <c r="AE8">
        <f>IF(Tabla_Consulta_desde_Reporte_de_Valorización_de_Instrumentos[[#This Row],[PORTAFOLIO]]="IN-FONDO0",Tabla_Consulta_desde_Reporte_de_Valorización_de_Instrumentos[[#This Row],[Inv MM$]],0)</f>
        <v>0</v>
      </c>
      <c r="AF8" s="26">
        <f>IF(Tabla_Consulta_desde_Reporte_de_Valorización_de_Instrumentos[[#This Row],[PORTAFOLIO]]="IN-FONDO1",Tabla_Consulta_desde_Reporte_de_Valorización_de_Instrumentos[[#This Row],[Inv MM$]],0)</f>
        <v>0</v>
      </c>
      <c r="AG8" s="26">
        <f>IF(Tabla_Consulta_desde_Reporte_de_Valorización_de_Instrumentos[[#This Row],[PORTAFOLIO]]="IN-FONDO2",Tabla_Consulta_desde_Reporte_de_Valorización_de_Instrumentos[[#This Row],[Inv MM$]],0)</f>
        <v>194.66830297565087</v>
      </c>
      <c r="AH8" s="26">
        <f>IF(Tabla_Consulta_desde_Reporte_de_Valorización_de_Instrumentos[[#This Row],[PORTAFOLIO]]="IN-FONDO3",Tabla_Consulta_desde_Reporte_de_Valorización_de_Instrumentos[[#This Row],[Inv MM$]],0)</f>
        <v>0</v>
      </c>
      <c r="AI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290.26656934862388</v>
      </c>
      <c r="AJ8" s="26">
        <f>IFERROR(IFERROR(INDEX('BD(MSCI)'!$T:$T,MATCH(Tabla_Consulta_desde_Reporte_de_Valorización_de_Instrumentos[[#This Row],[CODIGO_ISIN]],'BD(MSCI)'!$C:$C,0),1),INDEX('BD(MSCI)'!$T:$T,MATCH(Tabla_Consulta_desde_Reporte_de_Valorización_de_Instrumentos[[#This Row],[CODIGO_SBS]],'BD(MSCI)'!$C:$C,0),1)),0)</f>
        <v>170.4198394</v>
      </c>
      <c r="AK8" s="26">
        <f>Tabla_Consulta_desde_Reporte_de_Valorización_de_Instrumentos[[#This Row],[C02-H]]*Tabla_Consulta_desde_Reporte_de_Valorización_de_Instrumentos[[#This Row],[Inv MM$]]</f>
        <v>33175.340929380967</v>
      </c>
      <c r="AL8" s="26">
        <f>Tabla_Consulta_desde_Reporte_de_Valorización_de_Instrumentos[[#This Row],[C02-H]]*Tabla_Consulta_desde_Reporte_de_Valorización_de_Instrumentos[[#This Row],[Weight]]</f>
        <v>4.2464631916489921</v>
      </c>
      <c r="AM8" s="26" t="str">
        <f>INDEX(Parametria!G:G,MATCH(Tabla_Consulta_desde_Reporte_de_Valorización_de_Instrumentos[[#This Row],[CODIGO_SBS]],Parametria!C:C,0))</f>
        <v>01RFLG</v>
      </c>
      <c r="AN8" s="26" t="str">
        <f>INDEX(Parametria!F:F,MATCH(Tabla_Consulta_desde_Reporte_de_Valorización_de_Instrumentos[[#This Row],[CODIGO_SBS]],Parametria!C:C,0))</f>
        <v>GOB</v>
      </c>
      <c r="AO8" s="26" t="str">
        <f>+INDEX(Parametria!J:J,MATCH(Tabla_Consulta_desde_Reporte_de_Valorización_de_Instrumentos[[#This Row],[CODIGO_SBS]],Parametria!C:C,0))</f>
        <v>RFLGOB</v>
      </c>
      <c r="AP8" s="26">
        <f>Tabla_Consulta_desde_Reporte_de_Valorización_de_Instrumentos[[#This Row],[Huella]]/$AU$4</f>
        <v>3.0755125107956012</v>
      </c>
      <c r="AQ8" s="26" t="str">
        <f>IFERROR(INDEX('BD(MSCI)'!W:W,MATCH(Tabla_Consulta_desde_Reporte_de_Valorización_de_Instrumentos[[#This Row],[CODIGO_ISIN]],'BD(MSCI)'!C:C,0)),IF(Tabla_Consulta_desde_Reporte_de_Valorización_de_Instrumentos[[#This Row],[Rank_rt]]="Cash","Cash","Cuestionario Integra"))</f>
        <v>SOV</v>
      </c>
      <c r="AR8" s="26" t="str">
        <f>IFERROR(INDEX('BD(MSCI)'!X:X,MATCH(Tabla_Consulta_desde_Reporte_de_Valorización_de_Instrumentos[[#This Row],[CODIGO_ISIN]],'BD(MSCI)'!C:C,0)),"Cuestionario Integra")</f>
        <v>SOV</v>
      </c>
    </row>
    <row r="9" spans="1:47" x14ac:dyDescent="0.25">
      <c r="B9" s="14" t="s">
        <v>6390</v>
      </c>
      <c r="C9" t="s">
        <v>151</v>
      </c>
      <c r="D9" t="s">
        <v>10</v>
      </c>
      <c r="E9" t="s">
        <v>152</v>
      </c>
      <c r="F9" t="s">
        <v>865</v>
      </c>
      <c r="G9" t="str">
        <f>INDEX(Parametria!H:H,MATCH(Tabla_Consulta_desde_Reporte_de_Valorización_de_Instrumentos[[#This Row],[CODIGO_SBS]],Parametria!C:C,0),1)</f>
        <v>Gobierno Central</v>
      </c>
      <c r="H9" t="s">
        <v>866</v>
      </c>
      <c r="I9" t="s">
        <v>5849</v>
      </c>
      <c r="J9" t="s">
        <v>154</v>
      </c>
      <c r="K9" t="s">
        <v>90</v>
      </c>
      <c r="L9">
        <v>1000</v>
      </c>
      <c r="M9" s="5">
        <v>1345672489.221796</v>
      </c>
      <c r="N9">
        <v>1345672489.221796</v>
      </c>
      <c r="O9">
        <v>1150077</v>
      </c>
      <c r="P9" s="15">
        <v>48803</v>
      </c>
      <c r="Q9">
        <v>2781</v>
      </c>
      <c r="R9">
        <v>1</v>
      </c>
      <c r="S9" t="s">
        <v>155</v>
      </c>
      <c r="T9">
        <v>1342410640.7193882</v>
      </c>
      <c r="U9" s="5">
        <v>1342410640.7193882</v>
      </c>
      <c r="V9" t="s">
        <v>156</v>
      </c>
      <c r="W9">
        <v>0</v>
      </c>
      <c r="X9">
        <v>0</v>
      </c>
      <c r="Y9">
        <v>0</v>
      </c>
      <c r="Z9">
        <v>2.8362001000000001</v>
      </c>
      <c r="AA9" t="str">
        <f>+MID(Tabla_Consulta_desde_Reporte_de_Valorización_de_Instrumentos[[#This Row],[CODIGO_SBS]],7,1)</f>
        <v>1</v>
      </c>
      <c r="AB9">
        <f>INDEX('Cálculo Caja'!F:F,MATCH(Tabla_Consulta_desde_Reporte_de_Valorización_de_Instrumentos[[#This Row],[PORTAFOLIO]],'Cálculo Caja'!A:A,0),1)</f>
        <v>26256910350.436607</v>
      </c>
      <c r="AC9" s="17">
        <f>Tabla_Consulta_desde_Reporte_de_Valorización_de_Instrumentos[[#This Row],[VALOR_VECTOR_LOCAL]]/Tabla_Consulta_desde_Reporte_de_Valorización_de_Instrumentos[[#This Row],[Patrimonio]]</f>
        <v>5.1250222180060111E-2</v>
      </c>
      <c r="AD9" s="4">
        <f>(Tabla_Consulta_desde_Reporte_de_Valorización_de_Instrumentos[[#This Row],[VALOR_VECTOR_LOCAL]]/INDEX('Tipo de Cambio'!$D:$D,MATCH("2",'Tipo de Cambio'!$E:$E,0),1))/1000000</f>
        <v>400.39051718938259</v>
      </c>
      <c r="AE9">
        <f>IF(Tabla_Consulta_desde_Reporte_de_Valorización_de_Instrumentos[[#This Row],[PORTAFOLIO]]="IN-FONDO0",Tabla_Consulta_desde_Reporte_de_Valorización_de_Instrumentos[[#This Row],[Inv MM$]],0)</f>
        <v>0</v>
      </c>
      <c r="AF9" s="26">
        <f>IF(Tabla_Consulta_desde_Reporte_de_Valorización_de_Instrumentos[[#This Row],[PORTAFOLIO]]="IN-FONDO1",Tabla_Consulta_desde_Reporte_de_Valorización_de_Instrumentos[[#This Row],[Inv MM$]],0)</f>
        <v>0</v>
      </c>
      <c r="AG9" s="26">
        <f>IF(Tabla_Consulta_desde_Reporte_de_Valorización_de_Instrumentos[[#This Row],[PORTAFOLIO]]="IN-FONDO2",Tabla_Consulta_desde_Reporte_de_Valorización_de_Instrumentos[[#This Row],[Inv MM$]],0)</f>
        <v>400.39051718938259</v>
      </c>
      <c r="AH9" s="26">
        <f>IF(Tabla_Consulta_desde_Reporte_de_Valorización_de_Instrumentos[[#This Row],[PORTAFOLIO]]="IN-FONDO3",Tabla_Consulta_desde_Reporte_de_Valorización_de_Instrumentos[[#This Row],[Inv MM$]],0)</f>
        <v>0</v>
      </c>
      <c r="AI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452.52762024704532</v>
      </c>
      <c r="AJ9" s="26">
        <f>IFERROR(IFERROR(INDEX('BD(MSCI)'!$T:$T,MATCH(Tabla_Consulta_desde_Reporte_de_Valorización_de_Instrumentos[[#This Row],[CODIGO_ISIN]],'BD(MSCI)'!$C:$C,0),1),INDEX('BD(MSCI)'!$T:$T,MATCH(Tabla_Consulta_desde_Reporte_de_Valorización_de_Instrumentos[[#This Row],[CODIGO_SBS]],'BD(MSCI)'!$C:$C,0),1)),0)</f>
        <v>170.4198394</v>
      </c>
      <c r="AK9" s="26">
        <f>Tabla_Consulta_desde_Reporte_de_Valorización_de_Instrumentos[[#This Row],[C02-H]]*Tabla_Consulta_desde_Reporte_de_Valorización_de_Instrumentos[[#This Row],[Inv MM$]]</f>
        <v>68234.487636697522</v>
      </c>
      <c r="AL9" s="26">
        <f>Tabla_Consulta_desde_Reporte_de_Valorización_de_Instrumentos[[#This Row],[C02-H]]*Tabla_Consulta_desde_Reporte_de_Valorización_de_Instrumentos[[#This Row],[Weight]]</f>
        <v>8.7340546331401612</v>
      </c>
      <c r="AM9" s="26" t="str">
        <f>INDEX(Parametria!G:G,MATCH(Tabla_Consulta_desde_Reporte_de_Valorización_de_Instrumentos[[#This Row],[CODIGO_SBS]],Parametria!C:C,0))</f>
        <v>01RFLG</v>
      </c>
      <c r="AN9" s="26" t="str">
        <f>INDEX(Parametria!F:F,MATCH(Tabla_Consulta_desde_Reporte_de_Valorización_de_Instrumentos[[#This Row],[CODIGO_SBS]],Parametria!C:C,0))</f>
        <v>GOB</v>
      </c>
      <c r="AO9" s="26" t="str">
        <f>+INDEX(Parametria!J:J,MATCH(Tabla_Consulta_desde_Reporte_de_Valorización_de_Instrumentos[[#This Row],[CODIGO_SBS]],Parametria!C:C,0))</f>
        <v>RFLGOB</v>
      </c>
      <c r="AP9" s="26">
        <f>Tabla_Consulta_desde_Reporte_de_Valorización_de_Instrumentos[[#This Row],[Huella]]/$AU$4</f>
        <v>6.3256628120598126</v>
      </c>
      <c r="AQ9" s="26" t="str">
        <f>IFERROR(INDEX('BD(MSCI)'!W:W,MATCH(Tabla_Consulta_desde_Reporte_de_Valorización_de_Instrumentos[[#This Row],[CODIGO_ISIN]],'BD(MSCI)'!C:C,0)),IF(Tabla_Consulta_desde_Reporte_de_Valorización_de_Instrumentos[[#This Row],[Rank_rt]]="Cash","Cash","Cuestionario Integra"))</f>
        <v>SOV</v>
      </c>
      <c r="AR9" s="26" t="str">
        <f>IFERROR(INDEX('BD(MSCI)'!X:X,MATCH(Tabla_Consulta_desde_Reporte_de_Valorización_de_Instrumentos[[#This Row],[CODIGO_ISIN]],'BD(MSCI)'!C:C,0)),"Cuestionario Integra")</f>
        <v>SOV</v>
      </c>
      <c r="AU9" s="7">
        <f>AU5*Final!G7</f>
        <v>10814.440702349144</v>
      </c>
    </row>
    <row r="10" spans="1:47" x14ac:dyDescent="0.25">
      <c r="B10" s="14" t="s">
        <v>6390</v>
      </c>
      <c r="C10" t="s">
        <v>151</v>
      </c>
      <c r="D10" t="s">
        <v>10</v>
      </c>
      <c r="E10" t="s">
        <v>152</v>
      </c>
      <c r="F10" t="s">
        <v>167</v>
      </c>
      <c r="G10" t="str">
        <f>INDEX(Parametria!H:H,MATCH(Tabla_Consulta_desde_Reporte_de_Valorización_de_Instrumentos[[#This Row],[CODIGO_SBS]],Parametria!C:C,0),1)</f>
        <v>Gobierno Central</v>
      </c>
      <c r="H10" t="s">
        <v>168</v>
      </c>
      <c r="I10" t="s">
        <v>5671</v>
      </c>
      <c r="J10" t="s">
        <v>154</v>
      </c>
      <c r="K10" t="s">
        <v>90</v>
      </c>
      <c r="L10">
        <v>1000</v>
      </c>
      <c r="M10" s="5">
        <v>1383371632.9218161</v>
      </c>
      <c r="N10">
        <v>1383371632.9218161</v>
      </c>
      <c r="O10">
        <v>1357066</v>
      </c>
      <c r="P10" s="15">
        <v>49168</v>
      </c>
      <c r="Q10">
        <v>3146</v>
      </c>
      <c r="R10">
        <v>1</v>
      </c>
      <c r="S10" t="s">
        <v>155</v>
      </c>
      <c r="T10">
        <v>1376639357.8242061</v>
      </c>
      <c r="U10" s="5">
        <v>1376639357.8242061</v>
      </c>
      <c r="V10" t="s">
        <v>156</v>
      </c>
      <c r="W10">
        <v>0</v>
      </c>
      <c r="X10">
        <v>0</v>
      </c>
      <c r="Y10">
        <v>0</v>
      </c>
      <c r="Z10">
        <v>4.9609047000000004</v>
      </c>
      <c r="AA10" t="str">
        <f>+MID(Tabla_Consulta_desde_Reporte_de_Valorización_de_Instrumentos[[#This Row],[CODIGO_SBS]],7,1)</f>
        <v>1</v>
      </c>
      <c r="AB10">
        <f>INDEX('Cálculo Caja'!F:F,MATCH(Tabla_Consulta_desde_Reporte_de_Valorización_de_Instrumentos[[#This Row],[PORTAFOLIO]],'Cálculo Caja'!A:A,0),1)</f>
        <v>26256910350.436607</v>
      </c>
      <c r="AC10" s="17">
        <f>Tabla_Consulta_desde_Reporte_de_Valorización_de_Instrumentos[[#This Row],[VALOR_VECTOR_LOCAL]]/Tabla_Consulta_desde_Reporte_de_Valorización_de_Instrumentos[[#This Row],[Patrimonio]]</f>
        <v>5.2686002064169478E-2</v>
      </c>
      <c r="AD10" s="4">
        <f>(Tabla_Consulta_desde_Reporte_de_Valorización_de_Instrumentos[[#This Row],[VALOR_VECTOR_LOCAL]]/INDEX('Tipo de Cambio'!$D:$D,MATCH("2",'Tipo de Cambio'!$E:$E,0),1))/1000000</f>
        <v>411.60749588557115</v>
      </c>
      <c r="AE10">
        <f>IF(Tabla_Consulta_desde_Reporte_de_Valorización_de_Instrumentos[[#This Row],[PORTAFOLIO]]="IN-FONDO0",Tabla_Consulta_desde_Reporte_de_Valorización_de_Instrumentos[[#This Row],[Inv MM$]],0)</f>
        <v>0</v>
      </c>
      <c r="AF10" s="26">
        <f>IF(Tabla_Consulta_desde_Reporte_de_Valorización_de_Instrumentos[[#This Row],[PORTAFOLIO]]="IN-FONDO1",Tabla_Consulta_desde_Reporte_de_Valorización_de_Instrumentos[[#This Row],[Inv MM$]],0)</f>
        <v>0</v>
      </c>
      <c r="AG10" s="26">
        <f>IF(Tabla_Consulta_desde_Reporte_de_Valorización_de_Instrumentos[[#This Row],[PORTAFOLIO]]="IN-FONDO2",Tabla_Consulta_desde_Reporte_de_Valorización_de_Instrumentos[[#This Row],[Inv MM$]],0)</f>
        <v>411.60749588557115</v>
      </c>
      <c r="AH10" s="26">
        <f>IF(Tabla_Consulta_desde_Reporte_de_Valorización_de_Instrumentos[[#This Row],[PORTAFOLIO]]="IN-FONDO3",Tabla_Consulta_desde_Reporte_de_Valorización_de_Instrumentos[[#This Row],[Inv MM$]],0)</f>
        <v>0</v>
      </c>
      <c r="AI1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473.84607393241572</v>
      </c>
      <c r="AJ10" s="26">
        <f>IFERROR(IFERROR(INDEX('BD(MSCI)'!$T:$T,MATCH(Tabla_Consulta_desde_Reporte_de_Valorización_de_Instrumentos[[#This Row],[CODIGO_ISIN]],'BD(MSCI)'!$C:$C,0),1),INDEX('BD(MSCI)'!$T:$T,MATCH(Tabla_Consulta_desde_Reporte_de_Valorización_de_Instrumentos[[#This Row],[CODIGO_SBS]],'BD(MSCI)'!$C:$C,0),1)),0)</f>
        <v>170.4198394</v>
      </c>
      <c r="AK10" s="26">
        <f>Tabla_Consulta_desde_Reporte_de_Valorización_de_Instrumentos[[#This Row],[C02-H]]*Tabla_Consulta_desde_Reporte_de_Valorización_de_Instrumentos[[#This Row],[Inv MM$]]</f>
        <v>70146.083344655199</v>
      </c>
      <c r="AL10" s="26">
        <f>Tabla_Consulta_desde_Reporte_de_Valorización_de_Instrumentos[[#This Row],[C02-H]]*Tabla_Consulta_desde_Reporte_de_Valorización_de_Instrumentos[[#This Row],[Weight]]</f>
        <v>8.9787400104038309</v>
      </c>
      <c r="AM10" s="26" t="str">
        <f>INDEX(Parametria!G:G,MATCH(Tabla_Consulta_desde_Reporte_de_Valorización_de_Instrumentos[[#This Row],[CODIGO_SBS]],Parametria!C:C,0))</f>
        <v>01RFLG</v>
      </c>
      <c r="AN10" s="26" t="str">
        <f>INDEX(Parametria!F:F,MATCH(Tabla_Consulta_desde_Reporte_de_Valorización_de_Instrumentos[[#This Row],[CODIGO_SBS]],Parametria!C:C,0))</f>
        <v>GOB</v>
      </c>
      <c r="AO10" s="26" t="str">
        <f>+INDEX(Parametria!J:J,MATCH(Tabla_Consulta_desde_Reporte_de_Valorización_de_Instrumentos[[#This Row],[CODIGO_SBS]],Parametria!C:C,0))</f>
        <v>RFLGOB</v>
      </c>
      <c r="AP10" s="26">
        <f>Tabla_Consulta_desde_Reporte_de_Valorización_de_Instrumentos[[#This Row],[Huella]]/$AU$4</f>
        <v>6.5028768617336867</v>
      </c>
      <c r="AQ10" s="26" t="str">
        <f>IFERROR(INDEX('BD(MSCI)'!W:W,MATCH(Tabla_Consulta_desde_Reporte_de_Valorización_de_Instrumentos[[#This Row],[CODIGO_ISIN]],'BD(MSCI)'!C:C,0)),IF(Tabla_Consulta_desde_Reporte_de_Valorización_de_Instrumentos[[#This Row],[Rank_rt]]="Cash","Cash","Cuestionario Integra"))</f>
        <v>SOV</v>
      </c>
      <c r="AR10" s="26" t="str">
        <f>IFERROR(INDEX('BD(MSCI)'!X:X,MATCH(Tabla_Consulta_desde_Reporte_de_Valorización_de_Instrumentos[[#This Row],[CODIGO_ISIN]],'BD(MSCI)'!C:C,0)),"Cuestionario Integra")</f>
        <v>SOV</v>
      </c>
    </row>
    <row r="11" spans="1:47" x14ac:dyDescent="0.25">
      <c r="B11" s="14" t="s">
        <v>6390</v>
      </c>
      <c r="C11" t="s">
        <v>151</v>
      </c>
      <c r="D11" t="s">
        <v>10</v>
      </c>
      <c r="E11" t="s">
        <v>152</v>
      </c>
      <c r="F11" t="s">
        <v>5267</v>
      </c>
      <c r="G11" t="str">
        <f>INDEX(Parametria!H:H,MATCH(Tabla_Consulta_desde_Reporte_de_Valorización_de_Instrumentos[[#This Row],[CODIGO_SBS]],Parametria!C:C,0),1)</f>
        <v>Gobierno Central</v>
      </c>
      <c r="H11" t="s">
        <v>5266</v>
      </c>
      <c r="I11" t="s">
        <v>5365</v>
      </c>
      <c r="J11" t="s">
        <v>154</v>
      </c>
      <c r="K11" t="s">
        <v>90</v>
      </c>
      <c r="L11">
        <v>1000</v>
      </c>
      <c r="M11" s="5">
        <v>2021054768.0050943</v>
      </c>
      <c r="N11">
        <v>2021054768.0050943</v>
      </c>
      <c r="O11">
        <v>1801364</v>
      </c>
      <c r="P11" s="15">
        <v>50994</v>
      </c>
      <c r="Q11">
        <v>4972</v>
      </c>
      <c r="R11">
        <v>1</v>
      </c>
      <c r="S11" t="s">
        <v>155</v>
      </c>
      <c r="T11">
        <v>1753882216.6499748</v>
      </c>
      <c r="U11" s="5">
        <v>1753882216.6499748</v>
      </c>
      <c r="V11" t="s">
        <v>156</v>
      </c>
      <c r="W11">
        <v>0</v>
      </c>
      <c r="X11">
        <v>0</v>
      </c>
      <c r="Y11">
        <v>0</v>
      </c>
      <c r="Z11">
        <v>4.3828538999999997</v>
      </c>
      <c r="AA11" t="str">
        <f>+MID(Tabla_Consulta_desde_Reporte_de_Valorización_de_Instrumentos[[#This Row],[CODIGO_SBS]],7,1)</f>
        <v>1</v>
      </c>
      <c r="AB11">
        <f>INDEX('Cálculo Caja'!F:F,MATCH(Tabla_Consulta_desde_Reporte_de_Valorización_de_Instrumentos[[#This Row],[PORTAFOLIO]],'Cálculo Caja'!A:A,0),1)</f>
        <v>26256910350.436607</v>
      </c>
      <c r="AC11" s="17">
        <f>Tabla_Consulta_desde_Reporte_de_Valorización_de_Instrumentos[[#This Row],[VALOR_VECTOR_LOCAL]]/Tabla_Consulta_desde_Reporte_de_Valorización_de_Instrumentos[[#This Row],[Patrimonio]]</f>
        <v>7.6972299521580523E-2</v>
      </c>
      <c r="AD11" s="4">
        <f>(Tabla_Consulta_desde_Reporte_de_Valorización_de_Instrumentos[[#This Row],[VALOR_VECTOR_LOCAL]]/INDEX('Tipo de Cambio'!$D:$D,MATCH("2",'Tipo de Cambio'!$E:$E,0),1))/1000000</f>
        <v>601.34332113573578</v>
      </c>
      <c r="AE11">
        <f>IF(Tabla_Consulta_desde_Reporte_de_Valorización_de_Instrumentos[[#This Row],[PORTAFOLIO]]="IN-FONDO0",Tabla_Consulta_desde_Reporte_de_Valorización_de_Instrumentos[[#This Row],[Inv MM$]],0)</f>
        <v>0</v>
      </c>
      <c r="AF11" s="26">
        <f>IF(Tabla_Consulta_desde_Reporte_de_Valorización_de_Instrumentos[[#This Row],[PORTAFOLIO]]="IN-FONDO1",Tabla_Consulta_desde_Reporte_de_Valorización_de_Instrumentos[[#This Row],[Inv MM$]],0)</f>
        <v>0</v>
      </c>
      <c r="AG11" s="26">
        <f>IF(Tabla_Consulta_desde_Reporte_de_Valorización_de_Instrumentos[[#This Row],[PORTAFOLIO]]="IN-FONDO2",Tabla_Consulta_desde_Reporte_de_Valorización_de_Instrumentos[[#This Row],[Inv MM$]],0)</f>
        <v>601.34332113573578</v>
      </c>
      <c r="AH11" s="26">
        <f>IF(Tabla_Consulta_desde_Reporte_de_Valorización_de_Instrumentos[[#This Row],[PORTAFOLIO]]="IN-FONDO3",Tabla_Consulta_desde_Reporte_de_Valorización_de_Instrumentos[[#This Row],[Inv MM$]],0)</f>
        <v>0</v>
      </c>
      <c r="AI1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839.38876713043294</v>
      </c>
      <c r="AJ11" s="26">
        <f>IFERROR(IFERROR(INDEX('BD(MSCI)'!$T:$T,MATCH(Tabla_Consulta_desde_Reporte_de_Valorización_de_Instrumentos[[#This Row],[CODIGO_ISIN]],'BD(MSCI)'!$C:$C,0),1),INDEX('BD(MSCI)'!$T:$T,MATCH(Tabla_Consulta_desde_Reporte_de_Valorización_de_Instrumentos[[#This Row],[CODIGO_SBS]],'BD(MSCI)'!$C:$C,0),1)),0)</f>
        <v>170.4198394</v>
      </c>
      <c r="AK11" s="26">
        <f>Tabla_Consulta_desde_Reporte_de_Valorización_de_Instrumentos[[#This Row],[C02-H]]*Tabla_Consulta_desde_Reporte_de_Valorización_de_Instrumentos[[#This Row],[Inv MM$]]</f>
        <v>102480.83221221472</v>
      </c>
      <c r="AL11" s="26">
        <f>Tabla_Consulta_desde_Reporte_de_Valorización_de_Instrumentos[[#This Row],[C02-H]]*Tabla_Consulta_desde_Reporte_de_Valorización_de_Instrumentos[[#This Row],[Weight]]</f>
        <v>13.117606922716449</v>
      </c>
      <c r="AM11" s="26" t="str">
        <f>INDEX(Parametria!G:G,MATCH(Tabla_Consulta_desde_Reporte_de_Valorización_de_Instrumentos[[#This Row],[CODIGO_SBS]],Parametria!C:C,0))</f>
        <v>01RFLG</v>
      </c>
      <c r="AN11" s="26" t="str">
        <f>INDEX(Parametria!F:F,MATCH(Tabla_Consulta_desde_Reporte_de_Valorización_de_Instrumentos[[#This Row],[CODIGO_SBS]],Parametria!C:C,0))</f>
        <v>GOB</v>
      </c>
      <c r="AO11" s="26" t="str">
        <f>+INDEX(Parametria!J:J,MATCH(Tabla_Consulta_desde_Reporte_de_Valorización_de_Instrumentos[[#This Row],[CODIGO_SBS]],Parametria!C:C,0))</f>
        <v>RFLGOB</v>
      </c>
      <c r="AP11" s="26">
        <f>Tabla_Consulta_desde_Reporte_de_Valorización_de_Instrumentos[[#This Row],[Huella]]/$AU$4</f>
        <v>9.5004624747135136</v>
      </c>
      <c r="AQ11" s="26" t="str">
        <f>IFERROR(INDEX('BD(MSCI)'!W:W,MATCH(Tabla_Consulta_desde_Reporte_de_Valorización_de_Instrumentos[[#This Row],[CODIGO_ISIN]],'BD(MSCI)'!C:C,0)),IF(Tabla_Consulta_desde_Reporte_de_Valorización_de_Instrumentos[[#This Row],[Rank_rt]]="Cash","Cash","Cuestionario Integra"))</f>
        <v>SOV</v>
      </c>
      <c r="AR11" s="26" t="str">
        <f>IFERROR(INDEX('BD(MSCI)'!X:X,MATCH(Tabla_Consulta_desde_Reporte_de_Valorización_de_Instrumentos[[#This Row],[CODIGO_ISIN]],'BD(MSCI)'!C:C,0)),"Cuestionario Integra")</f>
        <v>SOV</v>
      </c>
    </row>
    <row r="12" spans="1:47" x14ac:dyDescent="0.25">
      <c r="B12" s="14" t="s">
        <v>6390</v>
      </c>
      <c r="C12" t="s">
        <v>151</v>
      </c>
      <c r="D12" t="s">
        <v>10</v>
      </c>
      <c r="E12" t="s">
        <v>152</v>
      </c>
      <c r="F12" t="s">
        <v>164</v>
      </c>
      <c r="G12" t="str">
        <f>INDEX(Parametria!H:H,MATCH(Tabla_Consulta_desde_Reporte_de_Valorización_de_Instrumentos[[#This Row],[CODIGO_SBS]],Parametria!C:C,0),1)</f>
        <v>Gobierno Central</v>
      </c>
      <c r="H12" t="s">
        <v>165</v>
      </c>
      <c r="I12" t="s">
        <v>166</v>
      </c>
      <c r="J12" t="s">
        <v>154</v>
      </c>
      <c r="K12" t="s">
        <v>90</v>
      </c>
      <c r="L12">
        <v>1000</v>
      </c>
      <c r="M12" s="5">
        <v>1710527424.5157523</v>
      </c>
      <c r="N12">
        <v>1710527424.5157523</v>
      </c>
      <c r="O12">
        <v>1594708</v>
      </c>
      <c r="P12" s="15">
        <v>50264</v>
      </c>
      <c r="Q12">
        <v>4242</v>
      </c>
      <c r="R12">
        <v>1</v>
      </c>
      <c r="S12" t="s">
        <v>155</v>
      </c>
      <c r="T12">
        <v>1702411156.2361028</v>
      </c>
      <c r="U12" s="5">
        <v>1702411156.2361028</v>
      </c>
      <c r="V12" t="s">
        <v>156</v>
      </c>
      <c r="W12">
        <v>0</v>
      </c>
      <c r="X12">
        <v>0</v>
      </c>
      <c r="Y12">
        <v>0</v>
      </c>
      <c r="Z12">
        <v>5.0895011999999999</v>
      </c>
      <c r="AA12" t="str">
        <f>+MID(Tabla_Consulta_desde_Reporte_de_Valorización_de_Instrumentos[[#This Row],[CODIGO_SBS]],7,1)</f>
        <v>1</v>
      </c>
      <c r="AB12">
        <f>INDEX('Cálculo Caja'!F:F,MATCH(Tabla_Consulta_desde_Reporte_de_Valorización_de_Instrumentos[[#This Row],[PORTAFOLIO]],'Cálculo Caja'!A:A,0),1)</f>
        <v>26256910350.436607</v>
      </c>
      <c r="AC12" s="17">
        <f>Tabla_Consulta_desde_Reporte_de_Valorización_de_Instrumentos[[#This Row],[VALOR_VECTOR_LOCAL]]/Tabla_Consulta_desde_Reporte_de_Valorización_de_Instrumentos[[#This Row],[Patrimonio]]</f>
        <v>6.5145799779421087E-2</v>
      </c>
      <c r="AD12" s="4">
        <f>(Tabla_Consulta_desde_Reporte_de_Valorización_de_Instrumentos[[#This Row],[VALOR_VECTOR_LOCAL]]/INDEX('Tipo de Cambio'!$D:$D,MATCH("2",'Tipo de Cambio'!$E:$E,0),1))/1000000</f>
        <v>508.94921732742785</v>
      </c>
      <c r="AE12">
        <f>IF(Tabla_Consulta_desde_Reporte_de_Valorización_de_Instrumentos[[#This Row],[PORTAFOLIO]]="IN-FONDO0",Tabla_Consulta_desde_Reporte_de_Valorización_de_Instrumentos[[#This Row],[Inv MM$]],0)</f>
        <v>0</v>
      </c>
      <c r="AF12" s="26">
        <f>IF(Tabla_Consulta_desde_Reporte_de_Valorización_de_Instrumentos[[#This Row],[PORTAFOLIO]]="IN-FONDO1",Tabla_Consulta_desde_Reporte_de_Valorización_de_Instrumentos[[#This Row],[Inv MM$]],0)</f>
        <v>0</v>
      </c>
      <c r="AG12" s="26">
        <f>IF(Tabla_Consulta_desde_Reporte_de_Valorización_de_Instrumentos[[#This Row],[PORTAFOLIO]]="IN-FONDO2",Tabla_Consulta_desde_Reporte_de_Valorización_de_Instrumentos[[#This Row],[Inv MM$]],0)</f>
        <v>508.94921732742785</v>
      </c>
      <c r="AH12" s="26">
        <f>IF(Tabla_Consulta_desde_Reporte_de_Valorización_de_Instrumentos[[#This Row],[PORTAFOLIO]]="IN-FONDO3",Tabla_Consulta_desde_Reporte_de_Valorización_de_Instrumentos[[#This Row],[Inv MM$]],0)</f>
        <v>0</v>
      </c>
      <c r="AI1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663.85098189675534</v>
      </c>
      <c r="AJ12" s="26">
        <f>IFERROR(IFERROR(INDEX('BD(MSCI)'!$T:$T,MATCH(Tabla_Consulta_desde_Reporte_de_Valorización_de_Instrumentos[[#This Row],[CODIGO_ISIN]],'BD(MSCI)'!$C:$C,0),1),INDEX('BD(MSCI)'!$T:$T,MATCH(Tabla_Consulta_desde_Reporte_de_Valorización_de_Instrumentos[[#This Row],[CODIGO_SBS]],'BD(MSCI)'!$C:$C,0),1)),0)</f>
        <v>170.4198394</v>
      </c>
      <c r="AK12" s="26">
        <f>Tabla_Consulta_desde_Reporte_de_Valorización_de_Instrumentos[[#This Row],[C02-H]]*Tabla_Consulta_desde_Reporte_de_Valorización_de_Instrumentos[[#This Row],[Inv MM$]]</f>
        <v>86735.04387969595</v>
      </c>
      <c r="AL12" s="26">
        <f>Tabla_Consulta_desde_Reporte_de_Valorización_de_Instrumentos[[#This Row],[C02-H]]*Tabla_Consulta_desde_Reporte_de_Valorización_de_Instrumentos[[#This Row],[Weight]]</f>
        <v>11.102136735993497</v>
      </c>
      <c r="AM12" s="26" t="str">
        <f>INDEX(Parametria!G:G,MATCH(Tabla_Consulta_desde_Reporte_de_Valorización_de_Instrumentos[[#This Row],[CODIGO_SBS]],Parametria!C:C,0))</f>
        <v>01RFLG</v>
      </c>
      <c r="AN12" s="26" t="str">
        <f>INDEX(Parametria!F:F,MATCH(Tabla_Consulta_desde_Reporte_de_Valorización_de_Instrumentos[[#This Row],[CODIGO_SBS]],Parametria!C:C,0))</f>
        <v>GOB</v>
      </c>
      <c r="AO12" s="26" t="str">
        <f>+INDEX(Parametria!J:J,MATCH(Tabla_Consulta_desde_Reporte_de_Valorización_de_Instrumentos[[#This Row],[CODIGO_SBS]],Parametria!C:C,0))</f>
        <v>RFLGOB</v>
      </c>
      <c r="AP12" s="26">
        <f>Tabla_Consulta_desde_Reporte_de_Valorización_de_Instrumentos[[#This Row],[Huella]]/$AU$4</f>
        <v>8.0407527128128251</v>
      </c>
      <c r="AQ12" s="26" t="str">
        <f>IFERROR(INDEX('BD(MSCI)'!W:W,MATCH(Tabla_Consulta_desde_Reporte_de_Valorización_de_Instrumentos[[#This Row],[CODIGO_ISIN]],'BD(MSCI)'!C:C,0)),IF(Tabla_Consulta_desde_Reporte_de_Valorización_de_Instrumentos[[#This Row],[Rank_rt]]="Cash","Cash","Cuestionario Integra"))</f>
        <v>SOV</v>
      </c>
      <c r="AR12" s="26" t="str">
        <f>IFERROR(INDEX('BD(MSCI)'!X:X,MATCH(Tabla_Consulta_desde_Reporte_de_Valorización_de_Instrumentos[[#This Row],[CODIGO_ISIN]],'BD(MSCI)'!C:C,0)),"Cuestionario Integra")</f>
        <v>SOV</v>
      </c>
    </row>
    <row r="13" spans="1:47" x14ac:dyDescent="0.25">
      <c r="B13" s="14" t="s">
        <v>6390</v>
      </c>
      <c r="C13" t="s">
        <v>151</v>
      </c>
      <c r="D13" t="s">
        <v>12</v>
      </c>
      <c r="E13" t="s">
        <v>152</v>
      </c>
      <c r="F13" t="s">
        <v>867</v>
      </c>
      <c r="G13" t="str">
        <f>INDEX(Parametria!H:H,MATCH(Tabla_Consulta_desde_Reporte_de_Valorización_de_Instrumentos[[#This Row],[CODIGO_SBS]],Parametria!C:C,0),1)</f>
        <v>Gobierno Central</v>
      </c>
      <c r="H13" t="s">
        <v>868</v>
      </c>
      <c r="I13" t="s">
        <v>4847</v>
      </c>
      <c r="J13" t="s">
        <v>154</v>
      </c>
      <c r="K13" t="s">
        <v>90</v>
      </c>
      <c r="L13">
        <v>1000</v>
      </c>
      <c r="M13" s="5">
        <v>47670526.460129999</v>
      </c>
      <c r="N13">
        <v>47670526.460129999</v>
      </c>
      <c r="O13">
        <v>42700</v>
      </c>
      <c r="P13" s="15">
        <v>56657</v>
      </c>
      <c r="Q13">
        <v>10635</v>
      </c>
      <c r="R13">
        <v>1</v>
      </c>
      <c r="S13" t="s">
        <v>155</v>
      </c>
      <c r="T13">
        <v>47662748.787500001</v>
      </c>
      <c r="U13" s="5">
        <v>47662748.787500001</v>
      </c>
      <c r="V13" t="s">
        <v>156</v>
      </c>
      <c r="W13">
        <v>0</v>
      </c>
      <c r="X13">
        <v>0</v>
      </c>
      <c r="Y13">
        <v>0</v>
      </c>
      <c r="Z13">
        <v>0.1821469</v>
      </c>
      <c r="AA13" t="str">
        <f>+MID(Tabla_Consulta_desde_Reporte_de_Valorización_de_Instrumentos[[#This Row],[CODIGO_SBS]],7,1)</f>
        <v>1</v>
      </c>
      <c r="AB13">
        <f>INDEX('Cálculo Caja'!F:F,MATCH(Tabla_Consulta_desde_Reporte_de_Valorización_de_Instrumentos[[#This Row],[PORTAFOLIO]],'Cálculo Caja'!A:A,0),1)</f>
        <v>7679510866.0565634</v>
      </c>
      <c r="AC13" s="17">
        <f>Tabla_Consulta_desde_Reporte_de_Valorización_de_Instrumentos[[#This Row],[VALOR_VECTOR_LOCAL]]/Tabla_Consulta_desde_Reporte_de_Valorización_de_Instrumentos[[#This Row],[Patrimonio]]</f>
        <v>6.2074951506135264E-3</v>
      </c>
      <c r="AD13" s="4">
        <f>(Tabla_Consulta_desde_Reporte_de_Valorización_de_Instrumentos[[#This Row],[VALOR_VECTOR_LOCAL]]/INDEX('Tipo de Cambio'!$D:$D,MATCH("2",'Tipo de Cambio'!$E:$E,0),1))/1000000</f>
        <v>14.183857437034723</v>
      </c>
      <c r="AE13">
        <f>IF(Tabla_Consulta_desde_Reporte_de_Valorización_de_Instrumentos[[#This Row],[PORTAFOLIO]]="IN-FONDO0",Tabla_Consulta_desde_Reporte_de_Valorización_de_Instrumentos[[#This Row],[Inv MM$]],0)</f>
        <v>0</v>
      </c>
      <c r="AF13" s="26">
        <f>IF(Tabla_Consulta_desde_Reporte_de_Valorización_de_Instrumentos[[#This Row],[PORTAFOLIO]]="IN-FONDO1",Tabla_Consulta_desde_Reporte_de_Valorización_de_Instrumentos[[#This Row],[Inv MM$]],0)</f>
        <v>14.183857437034723</v>
      </c>
      <c r="AG13" s="26">
        <f>IF(Tabla_Consulta_desde_Reporte_de_Valorización_de_Instrumentos[[#This Row],[PORTAFOLIO]]="IN-FONDO2",Tabla_Consulta_desde_Reporte_de_Valorización_de_Instrumentos[[#This Row],[Inv MM$]],0)</f>
        <v>0</v>
      </c>
      <c r="AH13" s="26">
        <f>IF(Tabla_Consulta_desde_Reporte_de_Valorización_de_Instrumentos[[#This Row],[PORTAFOLIO]]="IN-FONDO3",Tabla_Consulta_desde_Reporte_de_Valorización_de_Instrumentos[[#This Row],[Inv MM$]],0)</f>
        <v>0</v>
      </c>
      <c r="AI1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51.719592574854957</v>
      </c>
      <c r="AJ13" s="26">
        <f>IFERROR(IFERROR(INDEX('BD(MSCI)'!$T:$T,MATCH(Tabla_Consulta_desde_Reporte_de_Valorización_de_Instrumentos[[#This Row],[CODIGO_ISIN]],'BD(MSCI)'!$C:$C,0),1),INDEX('BD(MSCI)'!$T:$T,MATCH(Tabla_Consulta_desde_Reporte_de_Valorización_de_Instrumentos[[#This Row],[CODIGO_SBS]],'BD(MSCI)'!$C:$C,0),1)),0)</f>
        <v>170.4198394</v>
      </c>
      <c r="AK13" s="26">
        <f>Tabla_Consulta_desde_Reporte_de_Valorización_de_Instrumentos[[#This Row],[C02-H]]*Tabla_Consulta_desde_Reporte_de_Valorización_de_Instrumentos[[#This Row],[Inv MM$]]</f>
        <v>2417.2107064919533</v>
      </c>
      <c r="AL13" s="26">
        <f>Tabla_Consulta_desde_Reporte_de_Valorización_de_Instrumentos[[#This Row],[C02-H]]*Tabla_Consulta_desde_Reporte_de_Valorización_de_Instrumentos[[#This Row],[Weight]]</f>
        <v>1.0578803266438359</v>
      </c>
      <c r="AM13" s="26" t="str">
        <f>INDEX(Parametria!G:G,MATCH(Tabla_Consulta_desde_Reporte_de_Valorización_de_Instrumentos[[#This Row],[CODIGO_SBS]],Parametria!C:C,0))</f>
        <v>01RFLG</v>
      </c>
      <c r="AN13" s="26" t="str">
        <f>INDEX(Parametria!F:F,MATCH(Tabla_Consulta_desde_Reporte_de_Valorización_de_Instrumentos[[#This Row],[CODIGO_SBS]],Parametria!C:C,0))</f>
        <v>GOB</v>
      </c>
      <c r="AO13" s="26" t="str">
        <f>+INDEX(Parametria!J:J,MATCH(Tabla_Consulta_desde_Reporte_de_Valorización_de_Instrumentos[[#This Row],[CODIGO_SBS]],Parametria!C:C,0))</f>
        <v>RFLGOB</v>
      </c>
      <c r="AP13" s="26">
        <f>Tabla_Consulta_desde_Reporte_de_Valorización_de_Instrumentos[[#This Row],[Huella]]/$AU$4</f>
        <v>0.22408697426410423</v>
      </c>
      <c r="AQ13" s="26" t="str">
        <f>IFERROR(INDEX('BD(MSCI)'!W:W,MATCH(Tabla_Consulta_desde_Reporte_de_Valorización_de_Instrumentos[[#This Row],[CODIGO_ISIN]],'BD(MSCI)'!C:C,0)),IF(Tabla_Consulta_desde_Reporte_de_Valorización_de_Instrumentos[[#This Row],[Rank_rt]]="Cash","Cash","Cuestionario Integra"))</f>
        <v>SOV</v>
      </c>
      <c r="AR13" s="26" t="str">
        <f>IFERROR(INDEX('BD(MSCI)'!X:X,MATCH(Tabla_Consulta_desde_Reporte_de_Valorización_de_Instrumentos[[#This Row],[CODIGO_ISIN]],'BD(MSCI)'!C:C,0)),"Cuestionario Integra")</f>
        <v>SOV</v>
      </c>
    </row>
    <row r="14" spans="1:47" x14ac:dyDescent="0.25">
      <c r="B14" s="14" t="s">
        <v>6390</v>
      </c>
      <c r="C14" t="s">
        <v>151</v>
      </c>
      <c r="D14" t="s">
        <v>12</v>
      </c>
      <c r="E14" t="s">
        <v>152</v>
      </c>
      <c r="F14" t="s">
        <v>172</v>
      </c>
      <c r="G14" t="str">
        <f>INDEX(Parametria!H:H,MATCH(Tabla_Consulta_desde_Reporte_de_Valorización_de_Instrumentos[[#This Row],[CODIGO_SBS]],Parametria!C:C,0),1)</f>
        <v>Gobierno Central</v>
      </c>
      <c r="H14" t="s">
        <v>173</v>
      </c>
      <c r="I14" t="s">
        <v>174</v>
      </c>
      <c r="J14" t="s">
        <v>154</v>
      </c>
      <c r="K14" t="s">
        <v>90</v>
      </c>
      <c r="L14">
        <v>1000</v>
      </c>
      <c r="M14" s="5">
        <v>73619931.881155998</v>
      </c>
      <c r="N14">
        <v>73619931.881155998</v>
      </c>
      <c r="O14">
        <v>66706</v>
      </c>
      <c r="P14" s="15">
        <v>48438</v>
      </c>
      <c r="Q14">
        <v>2416</v>
      </c>
      <c r="R14">
        <v>1</v>
      </c>
      <c r="S14" t="s">
        <v>155</v>
      </c>
      <c r="T14">
        <v>73512435.002061605</v>
      </c>
      <c r="U14" s="5">
        <v>73512435.002061605</v>
      </c>
      <c r="V14" t="s">
        <v>156</v>
      </c>
      <c r="W14">
        <v>0</v>
      </c>
      <c r="X14">
        <v>0</v>
      </c>
      <c r="Y14">
        <v>0</v>
      </c>
      <c r="Z14">
        <v>1.6115024</v>
      </c>
      <c r="AA14" t="str">
        <f>+MID(Tabla_Consulta_desde_Reporte_de_Valorización_de_Instrumentos[[#This Row],[CODIGO_SBS]],7,1)</f>
        <v>1</v>
      </c>
      <c r="AB14">
        <f>INDEX('Cálculo Caja'!F:F,MATCH(Tabla_Consulta_desde_Reporte_de_Valorización_de_Instrumentos[[#This Row],[PORTAFOLIO]],'Cálculo Caja'!A:A,0),1)</f>
        <v>7679510866.0565634</v>
      </c>
      <c r="AC14" s="17">
        <f>Tabla_Consulta_desde_Reporte_de_Valorización_de_Instrumentos[[#This Row],[VALOR_VECTOR_LOCAL]]/Tabla_Consulta_desde_Reporte_de_Valorización_de_Instrumentos[[#This Row],[Patrimonio]]</f>
        <v>9.5865391904784037E-3</v>
      </c>
      <c r="AD14" s="4">
        <f>(Tabla_Consulta_desde_Reporte_de_Valorización_de_Instrumentos[[#This Row],[VALOR_VECTOR_LOCAL]]/INDEX('Tipo de Cambio'!$D:$D,MATCH("2",'Tipo de Cambio'!$E:$E,0),1))/1000000</f>
        <v>21.904826647968104</v>
      </c>
      <c r="AE14">
        <f>IF(Tabla_Consulta_desde_Reporte_de_Valorización_de_Instrumentos[[#This Row],[PORTAFOLIO]]="IN-FONDO0",Tabla_Consulta_desde_Reporte_de_Valorización_de_Instrumentos[[#This Row],[Inv MM$]],0)</f>
        <v>0</v>
      </c>
      <c r="AF14" s="26">
        <f>IF(Tabla_Consulta_desde_Reporte_de_Valorización_de_Instrumentos[[#This Row],[PORTAFOLIO]]="IN-FONDO1",Tabla_Consulta_desde_Reporte_de_Valorización_de_Instrumentos[[#This Row],[Inv MM$]],0)</f>
        <v>21.904826647968104</v>
      </c>
      <c r="AG14" s="26">
        <f>IF(Tabla_Consulta_desde_Reporte_de_Valorización_de_Instrumentos[[#This Row],[PORTAFOLIO]]="IN-FONDO2",Tabla_Consulta_desde_Reporte_de_Valorización_de_Instrumentos[[#This Row],[Inv MM$]],0)</f>
        <v>0</v>
      </c>
      <c r="AH14" s="26">
        <f>IF(Tabla_Consulta_desde_Reporte_de_Valorización_de_Instrumentos[[#This Row],[PORTAFOLIO]]="IN-FONDO3",Tabla_Consulta_desde_Reporte_de_Valorización_de_Instrumentos[[#This Row],[Inv MM$]],0)</f>
        <v>0</v>
      </c>
      <c r="AI1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22.086748423565115</v>
      </c>
      <c r="AJ14" s="26">
        <f>IFERROR(IFERROR(INDEX('BD(MSCI)'!$T:$T,MATCH(Tabla_Consulta_desde_Reporte_de_Valorización_de_Instrumentos[[#This Row],[CODIGO_ISIN]],'BD(MSCI)'!$C:$C,0),1),INDEX('BD(MSCI)'!$T:$T,MATCH(Tabla_Consulta_desde_Reporte_de_Valorización_de_Instrumentos[[#This Row],[CODIGO_SBS]],'BD(MSCI)'!$C:$C,0),1)),0)</f>
        <v>170.4198394</v>
      </c>
      <c r="AK14" s="26">
        <f>Tabla_Consulta_desde_Reporte_de_Valorización_de_Instrumentos[[#This Row],[C02-H]]*Tabla_Consulta_desde_Reporte_de_Valorización_de_Instrumentos[[#This Row],[Inv MM$]]</f>
        <v>3733.0170394315646</v>
      </c>
      <c r="AL14" s="26">
        <f>Tabla_Consulta_desde_Reporte_de_Valorización_de_Instrumentos[[#This Row],[C02-H]]*Tabla_Consulta_desde_Reporte_de_Valorización_de_Instrumentos[[#This Row],[Weight]]</f>
        <v>1.6337364692431355</v>
      </c>
      <c r="AM14" s="26" t="str">
        <f>INDEX(Parametria!G:G,MATCH(Tabla_Consulta_desde_Reporte_de_Valorización_de_Instrumentos[[#This Row],[CODIGO_SBS]],Parametria!C:C,0))</f>
        <v>01RFLG</v>
      </c>
      <c r="AN14" s="26" t="str">
        <f>INDEX(Parametria!F:F,MATCH(Tabla_Consulta_desde_Reporte_de_Valorización_de_Instrumentos[[#This Row],[CODIGO_SBS]],Parametria!C:C,0))</f>
        <v>GOB</v>
      </c>
      <c r="AO14" s="26" t="str">
        <f>+INDEX(Parametria!J:J,MATCH(Tabla_Consulta_desde_Reporte_de_Valorización_de_Instrumentos[[#This Row],[CODIGO_SBS]],Parametria!C:C,0))</f>
        <v>RFLGOB</v>
      </c>
      <c r="AP14" s="26">
        <f>Tabla_Consulta_desde_Reporte_de_Valorización_de_Instrumentos[[#This Row],[Huella]]/$AU$4</f>
        <v>0.34606850408030343</v>
      </c>
      <c r="AQ14" s="26" t="str">
        <f>IFERROR(INDEX('BD(MSCI)'!W:W,MATCH(Tabla_Consulta_desde_Reporte_de_Valorización_de_Instrumentos[[#This Row],[CODIGO_ISIN]],'BD(MSCI)'!C:C,0)),IF(Tabla_Consulta_desde_Reporte_de_Valorización_de_Instrumentos[[#This Row],[Rank_rt]]="Cash","Cash","Cuestionario Integra"))</f>
        <v>SOV</v>
      </c>
      <c r="AR14" s="26" t="str">
        <f>IFERROR(INDEX('BD(MSCI)'!X:X,MATCH(Tabla_Consulta_desde_Reporte_de_Valorización_de_Instrumentos[[#This Row],[CODIGO_ISIN]],'BD(MSCI)'!C:C,0)),"Cuestionario Integra")</f>
        <v>SOV</v>
      </c>
    </row>
    <row r="15" spans="1:47" x14ac:dyDescent="0.25">
      <c r="B15" s="14" t="s">
        <v>6390</v>
      </c>
      <c r="C15" t="s">
        <v>151</v>
      </c>
      <c r="D15" t="s">
        <v>12</v>
      </c>
      <c r="E15" t="s">
        <v>152</v>
      </c>
      <c r="F15" t="s">
        <v>865</v>
      </c>
      <c r="G15" t="str">
        <f>INDEX(Parametria!H:H,MATCH(Tabla_Consulta_desde_Reporte_de_Valorización_de_Instrumentos[[#This Row],[CODIGO_SBS]],Parametria!C:C,0),1)</f>
        <v>Gobierno Central</v>
      </c>
      <c r="H15" t="s">
        <v>866</v>
      </c>
      <c r="I15" t="s">
        <v>5849</v>
      </c>
      <c r="J15" t="s">
        <v>154</v>
      </c>
      <c r="K15" t="s">
        <v>90</v>
      </c>
      <c r="L15">
        <v>1000</v>
      </c>
      <c r="M15" s="5">
        <v>175227589.6664986</v>
      </c>
      <c r="N15">
        <v>175227589.6664986</v>
      </c>
      <c r="O15">
        <v>149758</v>
      </c>
      <c r="P15" s="15">
        <v>48803</v>
      </c>
      <c r="Q15">
        <v>2781</v>
      </c>
      <c r="R15">
        <v>1</v>
      </c>
      <c r="S15" t="s">
        <v>155</v>
      </c>
      <c r="T15">
        <v>174802846.01192281</v>
      </c>
      <c r="U15" s="5">
        <v>174802846.01192281</v>
      </c>
      <c r="V15" t="s">
        <v>156</v>
      </c>
      <c r="W15">
        <v>0</v>
      </c>
      <c r="X15">
        <v>0</v>
      </c>
      <c r="Y15">
        <v>0</v>
      </c>
      <c r="Z15">
        <v>2.8362001000000001</v>
      </c>
      <c r="AA15" t="str">
        <f>+MID(Tabla_Consulta_desde_Reporte_de_Valorización_de_Instrumentos[[#This Row],[CODIGO_SBS]],7,1)</f>
        <v>1</v>
      </c>
      <c r="AB15">
        <f>INDEX('Cálculo Caja'!F:F,MATCH(Tabla_Consulta_desde_Reporte_de_Valorización_de_Instrumentos[[#This Row],[PORTAFOLIO]],'Cálculo Caja'!A:A,0),1)</f>
        <v>7679510866.0565634</v>
      </c>
      <c r="AC15" s="17">
        <f>Tabla_Consulta_desde_Reporte_de_Valorización_de_Instrumentos[[#This Row],[VALOR_VECTOR_LOCAL]]/Tabla_Consulta_desde_Reporte_de_Valorización_de_Instrumentos[[#This Row],[Patrimonio]]</f>
        <v>2.2817545638356279E-2</v>
      </c>
      <c r="AD15" s="4">
        <f>(Tabla_Consulta_desde_Reporte_de_Valorización_de_Instrumentos[[#This Row],[VALOR_VECTOR_LOCAL]]/INDEX('Tipo de Cambio'!$D:$D,MATCH("2",'Tipo de Cambio'!$E:$E,0),1))/1000000</f>
        <v>52.137103057662713</v>
      </c>
      <c r="AE15">
        <f>IF(Tabla_Consulta_desde_Reporte_de_Valorización_de_Instrumentos[[#This Row],[PORTAFOLIO]]="IN-FONDO0",Tabla_Consulta_desde_Reporte_de_Valorización_de_Instrumentos[[#This Row],[Inv MM$]],0)</f>
        <v>0</v>
      </c>
      <c r="AF15" s="26">
        <f>IF(Tabla_Consulta_desde_Reporte_de_Valorización_de_Instrumentos[[#This Row],[PORTAFOLIO]]="IN-FONDO1",Tabla_Consulta_desde_Reporte_de_Valorización_de_Instrumentos[[#This Row],[Inv MM$]],0)</f>
        <v>52.137103057662713</v>
      </c>
      <c r="AG15" s="26">
        <f>IF(Tabla_Consulta_desde_Reporte_de_Valorización_de_Instrumentos[[#This Row],[PORTAFOLIO]]="IN-FONDO2",Tabla_Consulta_desde_Reporte_de_Valorización_de_Instrumentos[[#This Row],[Inv MM$]],0)</f>
        <v>0</v>
      </c>
      <c r="AH15" s="26">
        <f>IF(Tabla_Consulta_desde_Reporte_de_Valorización_de_Instrumentos[[#This Row],[PORTAFOLIO]]="IN-FONDO3",Tabla_Consulta_desde_Reporte_de_Valorización_de_Instrumentos[[#This Row],[Inv MM$]],0)</f>
        <v>0</v>
      </c>
      <c r="AI1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452.52762024704532</v>
      </c>
      <c r="AJ15" s="26">
        <f>IFERROR(IFERROR(INDEX('BD(MSCI)'!$T:$T,MATCH(Tabla_Consulta_desde_Reporte_de_Valorización_de_Instrumentos[[#This Row],[CODIGO_ISIN]],'BD(MSCI)'!$C:$C,0),1),INDEX('BD(MSCI)'!$T:$T,MATCH(Tabla_Consulta_desde_Reporte_de_Valorización_de_Instrumentos[[#This Row],[CODIGO_SBS]],'BD(MSCI)'!$C:$C,0),1)),0)</f>
        <v>170.4198394</v>
      </c>
      <c r="AK15" s="26">
        <f>Tabla_Consulta_desde_Reporte_de_Valorización_de_Instrumentos[[#This Row],[C02-H]]*Tabla_Consulta_desde_Reporte_de_Valorización_de_Instrumentos[[#This Row],[Inv MM$]]</f>
        <v>8885.1967298681284</v>
      </c>
      <c r="AL15" s="26">
        <f>Tabla_Consulta_desde_Reporte_de_Valorización_de_Instrumentos[[#This Row],[C02-H]]*Tabla_Consulta_desde_Reporte_de_Valorización_de_Instrumentos[[#This Row],[Weight]]</f>
        <v>3.8885624631908478</v>
      </c>
      <c r="AM15" s="26" t="str">
        <f>INDEX(Parametria!G:G,MATCH(Tabla_Consulta_desde_Reporte_de_Valorización_de_Instrumentos[[#This Row],[CODIGO_SBS]],Parametria!C:C,0))</f>
        <v>01RFLG</v>
      </c>
      <c r="AN15" s="26" t="str">
        <f>INDEX(Parametria!F:F,MATCH(Tabla_Consulta_desde_Reporte_de_Valorización_de_Instrumentos[[#This Row],[CODIGO_SBS]],Parametria!C:C,0))</f>
        <v>GOB</v>
      </c>
      <c r="AO15" s="26" t="str">
        <f>+INDEX(Parametria!J:J,MATCH(Tabla_Consulta_desde_Reporte_de_Valorización_de_Instrumentos[[#This Row],[CODIGO_SBS]],Parametria!C:C,0))</f>
        <v>RFLGOB</v>
      </c>
      <c r="AP15" s="26">
        <f>Tabla_Consulta_desde_Reporte_de_Valorización_de_Instrumentos[[#This Row],[Huella]]/$AU$4</f>
        <v>0.82370016217040554</v>
      </c>
      <c r="AQ15" s="26" t="str">
        <f>IFERROR(INDEX('BD(MSCI)'!W:W,MATCH(Tabla_Consulta_desde_Reporte_de_Valorización_de_Instrumentos[[#This Row],[CODIGO_ISIN]],'BD(MSCI)'!C:C,0)),IF(Tabla_Consulta_desde_Reporte_de_Valorización_de_Instrumentos[[#This Row],[Rank_rt]]="Cash","Cash","Cuestionario Integra"))</f>
        <v>SOV</v>
      </c>
      <c r="AR15" s="26" t="str">
        <f>IFERROR(INDEX('BD(MSCI)'!X:X,MATCH(Tabla_Consulta_desde_Reporte_de_Valorización_de_Instrumentos[[#This Row],[CODIGO_ISIN]],'BD(MSCI)'!C:C,0)),"Cuestionario Integra")</f>
        <v>SOV</v>
      </c>
    </row>
    <row r="16" spans="1:47" x14ac:dyDescent="0.25">
      <c r="B16" s="14" t="s">
        <v>6390</v>
      </c>
      <c r="C16" t="s">
        <v>151</v>
      </c>
      <c r="D16" t="s">
        <v>12</v>
      </c>
      <c r="E16" t="s">
        <v>152</v>
      </c>
      <c r="F16" t="s">
        <v>167</v>
      </c>
      <c r="G16" t="str">
        <f>INDEX(Parametria!H:H,MATCH(Tabla_Consulta_desde_Reporte_de_Valorización_de_Instrumentos[[#This Row],[CODIGO_SBS]],Parametria!C:C,0),1)</f>
        <v>Gobierno Central</v>
      </c>
      <c r="H16" t="s">
        <v>168</v>
      </c>
      <c r="I16" t="s">
        <v>5671</v>
      </c>
      <c r="J16" t="s">
        <v>154</v>
      </c>
      <c r="K16" t="s">
        <v>90</v>
      </c>
      <c r="L16">
        <v>1000</v>
      </c>
      <c r="M16" s="5">
        <v>209177636.95763999</v>
      </c>
      <c r="N16">
        <v>209177636.95763999</v>
      </c>
      <c r="O16">
        <v>205200</v>
      </c>
      <c r="P16" s="15">
        <v>49168</v>
      </c>
      <c r="Q16">
        <v>3146</v>
      </c>
      <c r="R16">
        <v>1</v>
      </c>
      <c r="S16" t="s">
        <v>155</v>
      </c>
      <c r="T16">
        <v>208159659.3132</v>
      </c>
      <c r="U16" s="5">
        <v>208159659.3132</v>
      </c>
      <c r="V16" t="s">
        <v>156</v>
      </c>
      <c r="W16">
        <v>0</v>
      </c>
      <c r="X16">
        <v>0</v>
      </c>
      <c r="Y16">
        <v>0</v>
      </c>
      <c r="Z16">
        <v>4.9609047000000004</v>
      </c>
      <c r="AA16" t="str">
        <f>+MID(Tabla_Consulta_desde_Reporte_de_Valorización_de_Instrumentos[[#This Row],[CODIGO_SBS]],7,1)</f>
        <v>1</v>
      </c>
      <c r="AB16">
        <f>INDEX('Cálculo Caja'!F:F,MATCH(Tabla_Consulta_desde_Reporte_de_Valorización_de_Instrumentos[[#This Row],[PORTAFOLIO]],'Cálculo Caja'!A:A,0),1)</f>
        <v>7679510866.0565634</v>
      </c>
      <c r="AC16" s="17">
        <f>Tabla_Consulta_desde_Reporte_de_Valorización_de_Instrumentos[[#This Row],[VALOR_VECTOR_LOCAL]]/Tabla_Consulta_desde_Reporte_de_Valorización_de_Instrumentos[[#This Row],[Patrimonio]]</f>
        <v>2.7238406274311702E-2</v>
      </c>
      <c r="AD16" s="4">
        <f>(Tabla_Consulta_desde_Reporte_de_Valorización_de_Instrumentos[[#This Row],[VALOR_VECTOR_LOCAL]]/INDEX('Tipo de Cambio'!$D:$D,MATCH("2",'Tipo de Cambio'!$E:$E,0),1))/1000000</f>
        <v>62.238578046844594</v>
      </c>
      <c r="AE16">
        <f>IF(Tabla_Consulta_desde_Reporte_de_Valorización_de_Instrumentos[[#This Row],[PORTAFOLIO]]="IN-FONDO0",Tabla_Consulta_desde_Reporte_de_Valorización_de_Instrumentos[[#This Row],[Inv MM$]],0)</f>
        <v>0</v>
      </c>
      <c r="AF16" s="26">
        <f>IF(Tabla_Consulta_desde_Reporte_de_Valorización_de_Instrumentos[[#This Row],[PORTAFOLIO]]="IN-FONDO1",Tabla_Consulta_desde_Reporte_de_Valorización_de_Instrumentos[[#This Row],[Inv MM$]],0)</f>
        <v>62.238578046844594</v>
      </c>
      <c r="AG16" s="26">
        <f>IF(Tabla_Consulta_desde_Reporte_de_Valorización_de_Instrumentos[[#This Row],[PORTAFOLIO]]="IN-FONDO2",Tabla_Consulta_desde_Reporte_de_Valorización_de_Instrumentos[[#This Row],[Inv MM$]],0)</f>
        <v>0</v>
      </c>
      <c r="AH16" s="26">
        <f>IF(Tabla_Consulta_desde_Reporte_de_Valorización_de_Instrumentos[[#This Row],[PORTAFOLIO]]="IN-FONDO3",Tabla_Consulta_desde_Reporte_de_Valorización_de_Instrumentos[[#This Row],[Inv MM$]],0)</f>
        <v>0</v>
      </c>
      <c r="AI1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473.84607393241572</v>
      </c>
      <c r="AJ16" s="26">
        <f>IFERROR(IFERROR(INDEX('BD(MSCI)'!$T:$T,MATCH(Tabla_Consulta_desde_Reporte_de_Valorización_de_Instrumentos[[#This Row],[CODIGO_ISIN]],'BD(MSCI)'!$C:$C,0),1),INDEX('BD(MSCI)'!$T:$T,MATCH(Tabla_Consulta_desde_Reporte_de_Valorización_de_Instrumentos[[#This Row],[CODIGO_SBS]],'BD(MSCI)'!$C:$C,0),1)),0)</f>
        <v>170.4198394</v>
      </c>
      <c r="AK16" s="26">
        <f>Tabla_Consulta_desde_Reporte_de_Valorización_de_Instrumentos[[#This Row],[C02-H]]*Tabla_Consulta_desde_Reporte_de_Valorización_de_Instrumentos[[#This Row],[Inv MM$]]</f>
        <v>10606.688475227622</v>
      </c>
      <c r="AL16" s="26">
        <f>Tabla_Consulta_desde_Reporte_de_Valorización_de_Instrumentos[[#This Row],[C02-H]]*Tabla_Consulta_desde_Reporte_de_Valorización_de_Instrumentos[[#This Row],[Weight]]</f>
        <v>4.6419648227801522</v>
      </c>
      <c r="AM16" s="26" t="str">
        <f>INDEX(Parametria!G:G,MATCH(Tabla_Consulta_desde_Reporte_de_Valorización_de_Instrumentos[[#This Row],[CODIGO_SBS]],Parametria!C:C,0))</f>
        <v>01RFLG</v>
      </c>
      <c r="AN16" s="26" t="str">
        <f>INDEX(Parametria!F:F,MATCH(Tabla_Consulta_desde_Reporte_de_Valorización_de_Instrumentos[[#This Row],[CODIGO_SBS]],Parametria!C:C,0))</f>
        <v>GOB</v>
      </c>
      <c r="AO16" s="26" t="str">
        <f>+INDEX(Parametria!J:J,MATCH(Tabla_Consulta_desde_Reporte_de_Valorización_de_Instrumentos[[#This Row],[CODIGO_SBS]],Parametria!C:C,0))</f>
        <v>RFLGOB</v>
      </c>
      <c r="AP16" s="26">
        <f>Tabla_Consulta_desde_Reporte_de_Valorización_de_Instrumentos[[#This Row],[Huella]]/$AU$4</f>
        <v>0.98329066679715837</v>
      </c>
      <c r="AQ16" s="26" t="str">
        <f>IFERROR(INDEX('BD(MSCI)'!W:W,MATCH(Tabla_Consulta_desde_Reporte_de_Valorización_de_Instrumentos[[#This Row],[CODIGO_ISIN]],'BD(MSCI)'!C:C,0)),IF(Tabla_Consulta_desde_Reporte_de_Valorización_de_Instrumentos[[#This Row],[Rank_rt]]="Cash","Cash","Cuestionario Integra"))</f>
        <v>SOV</v>
      </c>
      <c r="AR16" s="26" t="str">
        <f>IFERROR(INDEX('BD(MSCI)'!X:X,MATCH(Tabla_Consulta_desde_Reporte_de_Valorización_de_Instrumentos[[#This Row],[CODIGO_ISIN]],'BD(MSCI)'!C:C,0)),"Cuestionario Integra")</f>
        <v>SOV</v>
      </c>
    </row>
    <row r="17" spans="2:44" x14ac:dyDescent="0.25">
      <c r="B17" s="14" t="s">
        <v>6390</v>
      </c>
      <c r="C17" t="s">
        <v>151</v>
      </c>
      <c r="D17" t="s">
        <v>12</v>
      </c>
      <c r="E17" t="s">
        <v>152</v>
      </c>
      <c r="F17" t="s">
        <v>160</v>
      </c>
      <c r="G17" t="str">
        <f>INDEX(Parametria!H:H,MATCH(Tabla_Consulta_desde_Reporte_de_Valorización_de_Instrumentos[[#This Row],[CODIGO_SBS]],Parametria!C:C,0),1)</f>
        <v>Gobierno Central</v>
      </c>
      <c r="H17" t="s">
        <v>161</v>
      </c>
      <c r="I17" t="s">
        <v>4848</v>
      </c>
      <c r="J17" t="s">
        <v>154</v>
      </c>
      <c r="K17" t="s">
        <v>90</v>
      </c>
      <c r="L17">
        <v>1000</v>
      </c>
      <c r="M17" s="5">
        <v>230121651.39540601</v>
      </c>
      <c r="N17">
        <v>230121651.39540601</v>
      </c>
      <c r="O17">
        <v>252870</v>
      </c>
      <c r="P17" s="15">
        <v>51360</v>
      </c>
      <c r="Q17">
        <v>5338</v>
      </c>
      <c r="R17">
        <v>1</v>
      </c>
      <c r="S17" t="s">
        <v>155</v>
      </c>
      <c r="T17">
        <v>229734627.867387</v>
      </c>
      <c r="U17" s="5">
        <v>229734627.867387</v>
      </c>
      <c r="V17" t="s">
        <v>156</v>
      </c>
      <c r="W17">
        <v>0</v>
      </c>
      <c r="X17">
        <v>0</v>
      </c>
      <c r="Y17">
        <v>0</v>
      </c>
      <c r="Z17">
        <v>1.5305237</v>
      </c>
      <c r="AA17" t="str">
        <f>+MID(Tabla_Consulta_desde_Reporte_de_Valorización_de_Instrumentos[[#This Row],[CODIGO_SBS]],7,1)</f>
        <v>1</v>
      </c>
      <c r="AB17">
        <f>INDEX('Cálculo Caja'!F:F,MATCH(Tabla_Consulta_desde_Reporte_de_Valorización_de_Instrumentos[[#This Row],[PORTAFOLIO]],'Cálculo Caja'!A:A,0),1)</f>
        <v>7679510866.0565634</v>
      </c>
      <c r="AC17" s="17">
        <f>Tabla_Consulta_desde_Reporte_de_Valorización_de_Instrumentos[[#This Row],[VALOR_VECTOR_LOCAL]]/Tabla_Consulta_desde_Reporte_de_Valorización_de_Instrumentos[[#This Row],[Patrimonio]]</f>
        <v>2.9965665184815828E-2</v>
      </c>
      <c r="AD17" s="4">
        <f>(Tabla_Consulta_desde_Reporte_de_Valorización_de_Instrumentos[[#This Row],[VALOR_VECTOR_LOCAL]]/INDEX('Tipo de Cambio'!$D:$D,MATCH("2",'Tipo de Cambio'!$E:$E,0),1))/1000000</f>
        <v>68.470246480230301</v>
      </c>
      <c r="AE17">
        <f>IF(Tabla_Consulta_desde_Reporte_de_Valorización_de_Instrumentos[[#This Row],[PORTAFOLIO]]="IN-FONDO0",Tabla_Consulta_desde_Reporte_de_Valorización_de_Instrumentos[[#This Row],[Inv MM$]],0)</f>
        <v>0</v>
      </c>
      <c r="AF17" s="26">
        <f>IF(Tabla_Consulta_desde_Reporte_de_Valorización_de_Instrumentos[[#This Row],[PORTAFOLIO]]="IN-FONDO1",Tabla_Consulta_desde_Reporte_de_Valorización_de_Instrumentos[[#This Row],[Inv MM$]],0)</f>
        <v>68.470246480230301</v>
      </c>
      <c r="AG17" s="26">
        <f>IF(Tabla_Consulta_desde_Reporte_de_Valorización_de_Instrumentos[[#This Row],[PORTAFOLIO]]="IN-FONDO2",Tabla_Consulta_desde_Reporte_de_Valorización_de_Instrumentos[[#This Row],[Inv MM$]],0)</f>
        <v>0</v>
      </c>
      <c r="AH17" s="26">
        <f>IF(Tabla_Consulta_desde_Reporte_de_Valorización_de_Instrumentos[[#This Row],[PORTAFOLIO]]="IN-FONDO3",Tabla_Consulta_desde_Reporte_de_Valorización_de_Instrumentos[[#This Row],[Inv MM$]],0)</f>
        <v>0</v>
      </c>
      <c r="AI1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136.15064952714374</v>
      </c>
      <c r="AJ17" s="26">
        <f>IFERROR(IFERROR(INDEX('BD(MSCI)'!$T:$T,MATCH(Tabla_Consulta_desde_Reporte_de_Valorización_de_Instrumentos[[#This Row],[CODIGO_ISIN]],'BD(MSCI)'!$C:$C,0),1),INDEX('BD(MSCI)'!$T:$T,MATCH(Tabla_Consulta_desde_Reporte_de_Valorización_de_Instrumentos[[#This Row],[CODIGO_SBS]],'BD(MSCI)'!$C:$C,0),1)),0)</f>
        <v>170.4198394</v>
      </c>
      <c r="AK17" s="26">
        <f>Tabla_Consulta_desde_Reporte_de_Valorización_de_Instrumentos[[#This Row],[C02-H]]*Tabla_Consulta_desde_Reporte_de_Valorización_de_Instrumentos[[#This Row],[Inv MM$]]</f>
        <v>11668.688408839264</v>
      </c>
      <c r="AL17" s="26">
        <f>Tabla_Consulta_desde_Reporte_de_Valorización_de_Instrumentos[[#This Row],[C02-H]]*Tabla_Consulta_desde_Reporte_de_Valorización_de_Instrumentos[[#This Row],[Weight]]</f>
        <v>5.1067438483104848</v>
      </c>
      <c r="AM17" s="26" t="str">
        <f>INDEX(Parametria!G:G,MATCH(Tabla_Consulta_desde_Reporte_de_Valorización_de_Instrumentos[[#This Row],[CODIGO_SBS]],Parametria!C:C,0))</f>
        <v>01RFLG</v>
      </c>
      <c r="AN17" s="26" t="str">
        <f>INDEX(Parametria!F:F,MATCH(Tabla_Consulta_desde_Reporte_de_Valorización_de_Instrumentos[[#This Row],[CODIGO_SBS]],Parametria!C:C,0))</f>
        <v>GOB</v>
      </c>
      <c r="AO17" s="26" t="str">
        <f>+INDEX(Parametria!J:J,MATCH(Tabla_Consulta_desde_Reporte_de_Valorización_de_Instrumentos[[#This Row],[CODIGO_SBS]],Parametria!C:C,0))</f>
        <v>RFLGOB</v>
      </c>
      <c r="AP17" s="26">
        <f>Tabla_Consulta_desde_Reporte_de_Valorización_de_Instrumentos[[#This Row],[Huella]]/$AU$4</f>
        <v>1.0817431315130244</v>
      </c>
      <c r="AQ17" s="26" t="str">
        <f>IFERROR(INDEX('BD(MSCI)'!W:W,MATCH(Tabla_Consulta_desde_Reporte_de_Valorización_de_Instrumentos[[#This Row],[CODIGO_ISIN]],'BD(MSCI)'!C:C,0)),IF(Tabla_Consulta_desde_Reporte_de_Valorización_de_Instrumentos[[#This Row],[Rank_rt]]="Cash","Cash","Cuestionario Integra"))</f>
        <v>SOV</v>
      </c>
      <c r="AR17" s="26" t="str">
        <f>IFERROR(INDEX('BD(MSCI)'!X:X,MATCH(Tabla_Consulta_desde_Reporte_de_Valorización_de_Instrumentos[[#This Row],[CODIGO_ISIN]],'BD(MSCI)'!C:C,0)),"Cuestionario Integra")</f>
        <v>SOV</v>
      </c>
    </row>
    <row r="18" spans="2:44" x14ac:dyDescent="0.25">
      <c r="B18" s="14" t="s">
        <v>6390</v>
      </c>
      <c r="C18" t="s">
        <v>151</v>
      </c>
      <c r="D18" t="s">
        <v>12</v>
      </c>
      <c r="E18" t="s">
        <v>152</v>
      </c>
      <c r="F18" t="s">
        <v>6242</v>
      </c>
      <c r="G18" t="str">
        <f>INDEX(Parametria!H:H,MATCH(Tabla_Consulta_desde_Reporte_de_Valorización_de_Instrumentos[[#This Row],[CODIGO_SBS]],Parametria!C:C,0),1)</f>
        <v>Gobierno Central</v>
      </c>
      <c r="H18" t="s">
        <v>6241</v>
      </c>
      <c r="I18" t="s">
        <v>6391</v>
      </c>
      <c r="J18" t="s">
        <v>154</v>
      </c>
      <c r="K18" t="s">
        <v>90</v>
      </c>
      <c r="L18">
        <v>1000</v>
      </c>
      <c r="M18" s="5">
        <v>321296213.45292503</v>
      </c>
      <c r="N18">
        <v>321296213.45292503</v>
      </c>
      <c r="O18">
        <v>287750</v>
      </c>
      <c r="P18" s="15">
        <v>49533</v>
      </c>
      <c r="Q18">
        <v>3511</v>
      </c>
      <c r="R18">
        <v>1</v>
      </c>
      <c r="S18" t="s">
        <v>155</v>
      </c>
      <c r="T18">
        <v>319580649.47799999</v>
      </c>
      <c r="U18" s="5">
        <v>319580649.47799999</v>
      </c>
      <c r="V18" t="s">
        <v>156</v>
      </c>
      <c r="W18">
        <v>0</v>
      </c>
      <c r="X18">
        <v>0</v>
      </c>
      <c r="Y18">
        <v>0</v>
      </c>
      <c r="Z18">
        <v>5.9619947</v>
      </c>
      <c r="AA18" t="str">
        <f>+MID(Tabla_Consulta_desde_Reporte_de_Valorización_de_Instrumentos[[#This Row],[CODIGO_SBS]],7,1)</f>
        <v>1</v>
      </c>
      <c r="AB18">
        <f>INDEX('Cálculo Caja'!F:F,MATCH(Tabla_Consulta_desde_Reporte_de_Valorización_de_Instrumentos[[#This Row],[PORTAFOLIO]],'Cálculo Caja'!A:A,0),1)</f>
        <v>7679510866.0565634</v>
      </c>
      <c r="AC18" s="17">
        <f>Tabla_Consulta_desde_Reporte_de_Valorización_de_Instrumentos[[#This Row],[VALOR_VECTOR_LOCAL]]/Tabla_Consulta_desde_Reporte_de_Valorización_de_Instrumentos[[#This Row],[Patrimonio]]</f>
        <v>4.1838109100548866E-2</v>
      </c>
      <c r="AD18" s="4">
        <f>(Tabla_Consulta_desde_Reporte_de_Valorización_de_Instrumentos[[#This Row],[VALOR_VECTOR_LOCAL]]/INDEX('Tipo de Cambio'!$D:$D,MATCH("2",'Tipo de Cambio'!$E:$E,0),1))/1000000</f>
        <v>95.598266372973029</v>
      </c>
      <c r="AE18">
        <f>IF(Tabla_Consulta_desde_Reporte_de_Valorización_de_Instrumentos[[#This Row],[PORTAFOLIO]]="IN-FONDO0",Tabla_Consulta_desde_Reporte_de_Valorización_de_Instrumentos[[#This Row],[Inv MM$]],0)</f>
        <v>0</v>
      </c>
      <c r="AF18" s="26">
        <f>IF(Tabla_Consulta_desde_Reporte_de_Valorización_de_Instrumentos[[#This Row],[PORTAFOLIO]]="IN-FONDO1",Tabla_Consulta_desde_Reporte_de_Valorización_de_Instrumentos[[#This Row],[Inv MM$]],0)</f>
        <v>95.598266372973029</v>
      </c>
      <c r="AG18" s="26">
        <f>IF(Tabla_Consulta_desde_Reporte_de_Valorización_de_Instrumentos[[#This Row],[PORTAFOLIO]]="IN-FONDO2",Tabla_Consulta_desde_Reporte_de_Valorización_de_Instrumentos[[#This Row],[Inv MM$]],0)</f>
        <v>0</v>
      </c>
      <c r="AH18" s="26">
        <f>IF(Tabla_Consulta_desde_Reporte_de_Valorización_de_Instrumentos[[#This Row],[PORTAFOLIO]]="IN-FONDO3",Tabla_Consulta_desde_Reporte_de_Valorización_de_Instrumentos[[#This Row],[Inv MM$]],0)</f>
        <v>0</v>
      </c>
      <c r="AI1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290.26656934862388</v>
      </c>
      <c r="AJ18" s="26">
        <f>IFERROR(IFERROR(INDEX('BD(MSCI)'!$T:$T,MATCH(Tabla_Consulta_desde_Reporte_de_Valorización_de_Instrumentos[[#This Row],[CODIGO_ISIN]],'BD(MSCI)'!$C:$C,0),1),INDEX('BD(MSCI)'!$T:$T,MATCH(Tabla_Consulta_desde_Reporte_de_Valorización_de_Instrumentos[[#This Row],[CODIGO_SBS]],'BD(MSCI)'!$C:$C,0),1)),0)</f>
        <v>170.4198394</v>
      </c>
      <c r="AK18" s="26">
        <f>Tabla_Consulta_desde_Reporte_de_Valorización_de_Instrumentos[[#This Row],[C02-H]]*Tabla_Consulta_desde_Reporte_de_Valorización_de_Instrumentos[[#This Row],[Inv MM$]]</f>
        <v>16291.841202200485</v>
      </c>
      <c r="AL18" s="26">
        <f>Tabla_Consulta_desde_Reporte_de_Valorización_de_Instrumentos[[#This Row],[C02-H]]*Tabla_Consulta_desde_Reporte_de_Valorización_de_Instrumentos[[#This Row],[Weight]]</f>
        <v>7.1300438337152166</v>
      </c>
      <c r="AM18" s="26" t="str">
        <f>INDEX(Parametria!G:G,MATCH(Tabla_Consulta_desde_Reporte_de_Valorización_de_Instrumentos[[#This Row],[CODIGO_SBS]],Parametria!C:C,0))</f>
        <v>01RFLG</v>
      </c>
      <c r="AN18" s="26" t="str">
        <f>INDEX(Parametria!F:F,MATCH(Tabla_Consulta_desde_Reporte_de_Valorización_de_Instrumentos[[#This Row],[CODIGO_SBS]],Parametria!C:C,0))</f>
        <v>GOB</v>
      </c>
      <c r="AO18" s="26" t="str">
        <f>+INDEX(Parametria!J:J,MATCH(Tabla_Consulta_desde_Reporte_de_Valorización_de_Instrumentos[[#This Row],[CODIGO_SBS]],Parametria!C:C,0))</f>
        <v>RFLGOB</v>
      </c>
      <c r="AP18" s="26">
        <f>Tabla_Consulta_desde_Reporte_de_Valorización_de_Instrumentos[[#This Row],[Huella]]/$AU$4</f>
        <v>1.510331470230283</v>
      </c>
      <c r="AQ18" s="26" t="str">
        <f>IFERROR(INDEX('BD(MSCI)'!W:W,MATCH(Tabla_Consulta_desde_Reporte_de_Valorización_de_Instrumentos[[#This Row],[CODIGO_ISIN]],'BD(MSCI)'!C:C,0)),IF(Tabla_Consulta_desde_Reporte_de_Valorización_de_Instrumentos[[#This Row],[Rank_rt]]="Cash","Cash","Cuestionario Integra"))</f>
        <v>SOV</v>
      </c>
      <c r="AR18" s="26" t="str">
        <f>IFERROR(INDEX('BD(MSCI)'!X:X,MATCH(Tabla_Consulta_desde_Reporte_de_Valorización_de_Instrumentos[[#This Row],[CODIGO_ISIN]],'BD(MSCI)'!C:C,0)),"Cuestionario Integra")</f>
        <v>SOV</v>
      </c>
    </row>
    <row r="19" spans="2:44" x14ac:dyDescent="0.25">
      <c r="B19" s="14" t="s">
        <v>6390</v>
      </c>
      <c r="C19" t="s">
        <v>151</v>
      </c>
      <c r="D19" t="s">
        <v>12</v>
      </c>
      <c r="E19" t="s">
        <v>152</v>
      </c>
      <c r="F19" t="s">
        <v>164</v>
      </c>
      <c r="G19" t="str">
        <f>INDEX(Parametria!H:H,MATCH(Tabla_Consulta_desde_Reporte_de_Valorización_de_Instrumentos[[#This Row],[CODIGO_SBS]],Parametria!C:C,0),1)</f>
        <v>Gobierno Central</v>
      </c>
      <c r="H19" t="s">
        <v>165</v>
      </c>
      <c r="I19" t="s">
        <v>166</v>
      </c>
      <c r="J19" t="s">
        <v>154</v>
      </c>
      <c r="K19" t="s">
        <v>90</v>
      </c>
      <c r="L19">
        <v>1000</v>
      </c>
      <c r="M19" s="5">
        <v>520609340.5410527</v>
      </c>
      <c r="N19">
        <v>520609340.5410527</v>
      </c>
      <c r="O19">
        <v>485359</v>
      </c>
      <c r="P19" s="15">
        <v>50264</v>
      </c>
      <c r="Q19">
        <v>4242</v>
      </c>
      <c r="R19">
        <v>1</v>
      </c>
      <c r="S19" t="s">
        <v>155</v>
      </c>
      <c r="T19">
        <v>518139105.3281219</v>
      </c>
      <c r="U19" s="5">
        <v>518139105.3281219</v>
      </c>
      <c r="V19" t="s">
        <v>156</v>
      </c>
      <c r="W19">
        <v>0</v>
      </c>
      <c r="X19">
        <v>0</v>
      </c>
      <c r="Y19">
        <v>0</v>
      </c>
      <c r="Z19">
        <v>5.0895011999999999</v>
      </c>
      <c r="AA19" t="str">
        <f>+MID(Tabla_Consulta_desde_Reporte_de_Valorización_de_Instrumentos[[#This Row],[CODIGO_SBS]],7,1)</f>
        <v>1</v>
      </c>
      <c r="AB19">
        <f>INDEX('Cálculo Caja'!F:F,MATCH(Tabla_Consulta_desde_Reporte_de_Valorización_de_Instrumentos[[#This Row],[PORTAFOLIO]],'Cálculo Caja'!A:A,0),1)</f>
        <v>7679510866.0565634</v>
      </c>
      <c r="AC19" s="17">
        <f>Tabla_Consulta_desde_Reporte_de_Valorización_de_Instrumentos[[#This Row],[VALOR_VECTOR_LOCAL]]/Tabla_Consulta_desde_Reporte_de_Valorización_de_Instrumentos[[#This Row],[Patrimonio]]</f>
        <v>6.7791992175197754E-2</v>
      </c>
      <c r="AD19" s="4">
        <f>(Tabla_Consulta_desde_Reporte_de_Valorización_de_Instrumentos[[#This Row],[VALOR_VECTOR_LOCAL]]/INDEX('Tipo de Cambio'!$D:$D,MATCH("2",'Tipo de Cambio'!$E:$E,0),1))/1000000</f>
        <v>154.90176456932747</v>
      </c>
      <c r="AE19">
        <f>IF(Tabla_Consulta_desde_Reporte_de_Valorización_de_Instrumentos[[#This Row],[PORTAFOLIO]]="IN-FONDO0",Tabla_Consulta_desde_Reporte_de_Valorización_de_Instrumentos[[#This Row],[Inv MM$]],0)</f>
        <v>0</v>
      </c>
      <c r="AF19" s="26">
        <f>IF(Tabla_Consulta_desde_Reporte_de_Valorización_de_Instrumentos[[#This Row],[PORTAFOLIO]]="IN-FONDO1",Tabla_Consulta_desde_Reporte_de_Valorización_de_Instrumentos[[#This Row],[Inv MM$]],0)</f>
        <v>154.90176456932747</v>
      </c>
      <c r="AG19" s="26">
        <f>IF(Tabla_Consulta_desde_Reporte_de_Valorización_de_Instrumentos[[#This Row],[PORTAFOLIO]]="IN-FONDO2",Tabla_Consulta_desde_Reporte_de_Valorización_de_Instrumentos[[#This Row],[Inv MM$]],0)</f>
        <v>0</v>
      </c>
      <c r="AH19" s="26">
        <f>IF(Tabla_Consulta_desde_Reporte_de_Valorización_de_Instrumentos[[#This Row],[PORTAFOLIO]]="IN-FONDO3",Tabla_Consulta_desde_Reporte_de_Valorización_de_Instrumentos[[#This Row],[Inv MM$]],0)</f>
        <v>0</v>
      </c>
      <c r="AI1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663.85098189675534</v>
      </c>
      <c r="AJ19" s="26">
        <f>IFERROR(IFERROR(INDEX('BD(MSCI)'!$T:$T,MATCH(Tabla_Consulta_desde_Reporte_de_Valorización_de_Instrumentos[[#This Row],[CODIGO_ISIN]],'BD(MSCI)'!$C:$C,0),1),INDEX('BD(MSCI)'!$T:$T,MATCH(Tabla_Consulta_desde_Reporte_de_Valorización_de_Instrumentos[[#This Row],[CODIGO_SBS]],'BD(MSCI)'!$C:$C,0),1)),0)</f>
        <v>170.4198394</v>
      </c>
      <c r="AK19" s="26">
        <f>Tabla_Consulta_desde_Reporte_de_Valorización_de_Instrumentos[[#This Row],[C02-H]]*Tabla_Consulta_desde_Reporte_de_Valorización_de_Instrumentos[[#This Row],[Inv MM$]]</f>
        <v>26398.333840681396</v>
      </c>
      <c r="AL19" s="26">
        <f>Tabla_Consulta_desde_Reporte_de_Valorización_de_Instrumentos[[#This Row],[C02-H]]*Tabla_Consulta_desde_Reporte_de_Valorización_de_Instrumentos[[#This Row],[Weight]]</f>
        <v>11.553100419103258</v>
      </c>
      <c r="AM19" s="26" t="str">
        <f>INDEX(Parametria!G:G,MATCH(Tabla_Consulta_desde_Reporte_de_Valorización_de_Instrumentos[[#This Row],[CODIGO_SBS]],Parametria!C:C,0))</f>
        <v>01RFLG</v>
      </c>
      <c r="AN19" s="26" t="str">
        <f>INDEX(Parametria!F:F,MATCH(Tabla_Consulta_desde_Reporte_de_Valorización_de_Instrumentos[[#This Row],[CODIGO_SBS]],Parametria!C:C,0))</f>
        <v>GOB</v>
      </c>
      <c r="AO19" s="26" t="str">
        <f>+INDEX(Parametria!J:J,MATCH(Tabla_Consulta_desde_Reporte_de_Valorización_de_Instrumentos[[#This Row],[CODIGO_SBS]],Parametria!C:C,0))</f>
        <v>RFLGOB</v>
      </c>
      <c r="AP19" s="26">
        <f>Tabla_Consulta_desde_Reporte_de_Valorización_de_Instrumentos[[#This Row],[Huella]]/$AU$4</f>
        <v>2.4472515946104991</v>
      </c>
      <c r="AQ19" s="26" t="str">
        <f>IFERROR(INDEX('BD(MSCI)'!W:W,MATCH(Tabla_Consulta_desde_Reporte_de_Valorización_de_Instrumentos[[#This Row],[CODIGO_ISIN]],'BD(MSCI)'!C:C,0)),IF(Tabla_Consulta_desde_Reporte_de_Valorización_de_Instrumentos[[#This Row],[Rank_rt]]="Cash","Cash","Cuestionario Integra"))</f>
        <v>SOV</v>
      </c>
      <c r="AR19" s="26" t="str">
        <f>IFERROR(INDEX('BD(MSCI)'!X:X,MATCH(Tabla_Consulta_desde_Reporte_de_Valorización_de_Instrumentos[[#This Row],[CODIGO_ISIN]],'BD(MSCI)'!C:C,0)),"Cuestionario Integra")</f>
        <v>SOV</v>
      </c>
    </row>
    <row r="20" spans="2:44" x14ac:dyDescent="0.25">
      <c r="B20" s="14" t="s">
        <v>6390</v>
      </c>
      <c r="C20" t="s">
        <v>151</v>
      </c>
      <c r="D20" t="s">
        <v>12</v>
      </c>
      <c r="E20" t="s">
        <v>152</v>
      </c>
      <c r="F20" t="s">
        <v>5267</v>
      </c>
      <c r="G20" t="str">
        <f>INDEX(Parametria!H:H,MATCH(Tabla_Consulta_desde_Reporte_de_Valorización_de_Instrumentos[[#This Row],[CODIGO_SBS]],Parametria!C:C,0),1)</f>
        <v>Gobierno Central</v>
      </c>
      <c r="H20" t="s">
        <v>5266</v>
      </c>
      <c r="I20" t="s">
        <v>5365</v>
      </c>
      <c r="J20" t="s">
        <v>154</v>
      </c>
      <c r="K20" t="s">
        <v>90</v>
      </c>
      <c r="L20">
        <v>1000</v>
      </c>
      <c r="M20" s="5">
        <v>800046939.44357765</v>
      </c>
      <c r="N20">
        <v>800046939.44357765</v>
      </c>
      <c r="O20">
        <v>713081</v>
      </c>
      <c r="P20" s="15">
        <v>50994</v>
      </c>
      <c r="Q20">
        <v>4972</v>
      </c>
      <c r="R20">
        <v>1</v>
      </c>
      <c r="S20" t="s">
        <v>155</v>
      </c>
      <c r="T20">
        <v>796921609.60171175</v>
      </c>
      <c r="U20" s="5">
        <v>796921609.60171175</v>
      </c>
      <c r="V20" t="s">
        <v>156</v>
      </c>
      <c r="W20">
        <v>0</v>
      </c>
      <c r="X20">
        <v>0</v>
      </c>
      <c r="Y20">
        <v>0</v>
      </c>
      <c r="Z20">
        <v>4.3828538999999997</v>
      </c>
      <c r="AA20" t="str">
        <f>+MID(Tabla_Consulta_desde_Reporte_de_Valorización_de_Instrumentos[[#This Row],[CODIGO_SBS]],7,1)</f>
        <v>1</v>
      </c>
      <c r="AB20">
        <f>INDEX('Cálculo Caja'!F:F,MATCH(Tabla_Consulta_desde_Reporte_de_Valorización_de_Instrumentos[[#This Row],[PORTAFOLIO]],'Cálculo Caja'!A:A,0),1)</f>
        <v>7679510866.0565634</v>
      </c>
      <c r="AC20" s="17">
        <f>Tabla_Consulta_desde_Reporte_de_Valorización_de_Instrumentos[[#This Row],[VALOR_VECTOR_LOCAL]]/Tabla_Consulta_desde_Reporte_de_Valorización_de_Instrumentos[[#This Row],[Patrimonio]]</f>
        <v>0.10417941368893492</v>
      </c>
      <c r="AD20" s="4">
        <f>(Tabla_Consulta_desde_Reporte_de_Valorización_de_Instrumentos[[#This Row],[VALOR_VECTOR_LOCAL]]/INDEX('Tipo de Cambio'!$D:$D,MATCH("2",'Tipo de Cambio'!$E:$E,0),1))/1000000</f>
        <v>238.04544599469716</v>
      </c>
      <c r="AE20">
        <f>IF(Tabla_Consulta_desde_Reporte_de_Valorización_de_Instrumentos[[#This Row],[PORTAFOLIO]]="IN-FONDO0",Tabla_Consulta_desde_Reporte_de_Valorización_de_Instrumentos[[#This Row],[Inv MM$]],0)</f>
        <v>0</v>
      </c>
      <c r="AF20" s="26">
        <f>IF(Tabla_Consulta_desde_Reporte_de_Valorización_de_Instrumentos[[#This Row],[PORTAFOLIO]]="IN-FONDO1",Tabla_Consulta_desde_Reporte_de_Valorización_de_Instrumentos[[#This Row],[Inv MM$]],0)</f>
        <v>238.04544599469716</v>
      </c>
      <c r="AG20" s="26">
        <f>IF(Tabla_Consulta_desde_Reporte_de_Valorización_de_Instrumentos[[#This Row],[PORTAFOLIO]]="IN-FONDO2",Tabla_Consulta_desde_Reporte_de_Valorización_de_Instrumentos[[#This Row],[Inv MM$]],0)</f>
        <v>0</v>
      </c>
      <c r="AH20" s="26">
        <f>IF(Tabla_Consulta_desde_Reporte_de_Valorización_de_Instrumentos[[#This Row],[PORTAFOLIO]]="IN-FONDO3",Tabla_Consulta_desde_Reporte_de_Valorización_de_Instrumentos[[#This Row],[Inv MM$]],0)</f>
        <v>0</v>
      </c>
      <c r="AI2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839.38876713043294</v>
      </c>
      <c r="AJ20" s="26">
        <f>IFERROR(IFERROR(INDEX('BD(MSCI)'!$T:$T,MATCH(Tabla_Consulta_desde_Reporte_de_Valorización_de_Instrumentos[[#This Row],[CODIGO_ISIN]],'BD(MSCI)'!$C:$C,0),1),INDEX('BD(MSCI)'!$T:$T,MATCH(Tabla_Consulta_desde_Reporte_de_Valorización_de_Instrumentos[[#This Row],[CODIGO_SBS]],'BD(MSCI)'!$C:$C,0),1)),0)</f>
        <v>170.4198394</v>
      </c>
      <c r="AK20" s="26">
        <f>Tabla_Consulta_desde_Reporte_de_Valorización_de_Instrumentos[[#This Row],[C02-H]]*Tabla_Consulta_desde_Reporte_de_Valorización_de_Instrumentos[[#This Row],[Inv MM$]]</f>
        <v>40567.666676317662</v>
      </c>
      <c r="AL20" s="26">
        <f>Tabla_Consulta_desde_Reporte_de_Valorización_de_Instrumentos[[#This Row],[C02-H]]*Tabla_Consulta_desde_Reporte_de_Valorización_de_Instrumentos[[#This Row],[Weight]]</f>
        <v>17.75423894965445</v>
      </c>
      <c r="AM20" s="26" t="str">
        <f>INDEX(Parametria!G:G,MATCH(Tabla_Consulta_desde_Reporte_de_Valorización_de_Instrumentos[[#This Row],[CODIGO_SBS]],Parametria!C:C,0))</f>
        <v>01RFLG</v>
      </c>
      <c r="AN20" s="26" t="str">
        <f>INDEX(Parametria!F:F,MATCH(Tabla_Consulta_desde_Reporte_de_Valorización_de_Instrumentos[[#This Row],[CODIGO_SBS]],Parametria!C:C,0))</f>
        <v>GOB</v>
      </c>
      <c r="AO20" s="26" t="str">
        <f>+INDEX(Parametria!J:J,MATCH(Tabla_Consulta_desde_Reporte_de_Valorización_de_Instrumentos[[#This Row],[CODIGO_SBS]],Parametria!C:C,0))</f>
        <v>RFLGOB</v>
      </c>
      <c r="AP20" s="26">
        <f>Tabla_Consulta_desde_Reporte_de_Valorización_de_Instrumentos[[#This Row],[Huella]]/$AU$4</f>
        <v>3.7608164046418091</v>
      </c>
      <c r="AQ20" s="26" t="str">
        <f>IFERROR(INDEX('BD(MSCI)'!W:W,MATCH(Tabla_Consulta_desde_Reporte_de_Valorización_de_Instrumentos[[#This Row],[CODIGO_ISIN]],'BD(MSCI)'!C:C,0)),IF(Tabla_Consulta_desde_Reporte_de_Valorización_de_Instrumentos[[#This Row],[Rank_rt]]="Cash","Cash","Cuestionario Integra"))</f>
        <v>SOV</v>
      </c>
      <c r="AR20" s="26" t="str">
        <f>IFERROR(INDEX('BD(MSCI)'!X:X,MATCH(Tabla_Consulta_desde_Reporte_de_Valorización_de_Instrumentos[[#This Row],[CODIGO_ISIN]],'BD(MSCI)'!C:C,0)),"Cuestionario Integra")</f>
        <v>SOV</v>
      </c>
    </row>
    <row r="21" spans="2:44" hidden="1" x14ac:dyDescent="0.25">
      <c r="B21" s="14" t="s">
        <v>6390</v>
      </c>
      <c r="C21" t="s">
        <v>175</v>
      </c>
      <c r="D21" t="s">
        <v>12</v>
      </c>
      <c r="E21" t="s">
        <v>176</v>
      </c>
      <c r="F21" t="s">
        <v>6321</v>
      </c>
      <c r="G21" t="str">
        <f>INDEX(Parametria!H:H,MATCH(Tabla_Consulta_desde_Reporte_de_Valorización_de_Instrumentos[[#This Row],[CODIGO_SBS]],Parametria!C:C,0),1)</f>
        <v>Gobierno de Chile</v>
      </c>
      <c r="H21" t="s">
        <v>6320</v>
      </c>
      <c r="I21" t="s">
        <v>6392</v>
      </c>
      <c r="J21" t="s">
        <v>179</v>
      </c>
      <c r="K21" t="s">
        <v>33</v>
      </c>
      <c r="L21">
        <v>5000000</v>
      </c>
      <c r="M21" s="5">
        <v>79540163.728499994</v>
      </c>
      <c r="N21">
        <v>21344469000</v>
      </c>
      <c r="O21">
        <v>4300</v>
      </c>
      <c r="P21" s="15">
        <v>49369</v>
      </c>
      <c r="Q21">
        <v>3347</v>
      </c>
      <c r="R21">
        <v>3.7265000000000002E-3</v>
      </c>
      <c r="S21" t="s">
        <v>155</v>
      </c>
      <c r="T21">
        <v>79708785.033600003</v>
      </c>
      <c r="U21" s="5">
        <v>21344469000</v>
      </c>
      <c r="V21" t="s">
        <v>156</v>
      </c>
      <c r="W21">
        <v>0</v>
      </c>
      <c r="X21">
        <v>0</v>
      </c>
      <c r="Y21">
        <v>0</v>
      </c>
      <c r="Z21">
        <v>0</v>
      </c>
      <c r="AA21" t="str">
        <f>+MID(Tabla_Consulta_desde_Reporte_de_Valorización_de_Instrumentos[[#This Row],[CODIGO_SBS]],7,1)</f>
        <v>C</v>
      </c>
      <c r="AB21">
        <f>INDEX('Cálculo Caja'!F:F,MATCH(Tabla_Consulta_desde_Reporte_de_Valorización_de_Instrumentos[[#This Row],[PORTAFOLIO]],'Cálculo Caja'!A:A,0),1)</f>
        <v>7679510866.0565634</v>
      </c>
      <c r="AC21" s="17">
        <f>Tabla_Consulta_desde_Reporte_de_Valorización_de_Instrumentos[[#This Row],[VALOR_VECTOR_LOCAL]]/Tabla_Consulta_desde_Reporte_de_Valorización_de_Instrumentos[[#This Row],[Patrimonio]]</f>
        <v>1.0357451811165149E-2</v>
      </c>
      <c r="AD21" s="4">
        <f>(Tabla_Consulta_desde_Reporte_de_Valorización_de_Instrumentos[[#This Row],[VALOR_VECTOR_LOCAL]]/INDEX('Tipo de Cambio'!$D:$D,MATCH("2",'Tipo de Cambio'!$E:$E,0),1))/1000000</f>
        <v>23.66632858118361</v>
      </c>
      <c r="AE21">
        <f>IF(Tabla_Consulta_desde_Reporte_de_Valorización_de_Instrumentos[[#This Row],[PORTAFOLIO]]="IN-FONDO0",Tabla_Consulta_desde_Reporte_de_Valorización_de_Instrumentos[[#This Row],[Inv MM$]],0)</f>
        <v>0</v>
      </c>
      <c r="AF21" s="26">
        <f>IF(Tabla_Consulta_desde_Reporte_de_Valorización_de_Instrumentos[[#This Row],[PORTAFOLIO]]="IN-FONDO1",Tabla_Consulta_desde_Reporte_de_Valorización_de_Instrumentos[[#This Row],[Inv MM$]],0)</f>
        <v>23.66632858118361</v>
      </c>
      <c r="AG21" s="26">
        <f>IF(Tabla_Consulta_desde_Reporte_de_Valorización_de_Instrumentos[[#This Row],[PORTAFOLIO]]="IN-FONDO2",Tabla_Consulta_desde_Reporte_de_Valorización_de_Instrumentos[[#This Row],[Inv MM$]],0)</f>
        <v>0</v>
      </c>
      <c r="AH21" s="26">
        <f>IF(Tabla_Consulta_desde_Reporte_de_Valorización_de_Instrumentos[[#This Row],[PORTAFOLIO]]="IN-FONDO3",Tabla_Consulta_desde_Reporte_de_Valorización_de_Instrumentos[[#This Row],[Inv MM$]],0)</f>
        <v>0</v>
      </c>
      <c r="AI2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23.66632858118361</v>
      </c>
      <c r="AJ21" s="26">
        <f>IFERROR(IFERROR(INDEX('BD(MSCI)'!$T:$T,MATCH(Tabla_Consulta_desde_Reporte_de_Valorización_de_Instrumentos[[#This Row],[CODIGO_ISIN]],'BD(MSCI)'!$C:$C,0),1),INDEX('BD(MSCI)'!$T:$T,MATCH(Tabla_Consulta_desde_Reporte_de_Valorización_de_Instrumentos[[#This Row],[CODIGO_SBS]],'BD(MSCI)'!$C:$C,0),1)),0)</f>
        <v>172.5413326</v>
      </c>
      <c r="AK21" s="26">
        <f>Tabla_Consulta_desde_Reporte_de_Valorización_de_Instrumentos[[#This Row],[C02-H]]*Tabla_Consulta_desde_Reporte_de_Valorización_de_Instrumentos[[#This Row],[Inv MM$]]</f>
        <v>4083.4198711468875</v>
      </c>
      <c r="AL21" s="26">
        <f>Tabla_Consulta_desde_Reporte_de_Valorización_de_Instrumentos[[#This Row],[C02-H]]*Tabla_Consulta_desde_Reporte_de_Valorización_de_Instrumentos[[#This Row],[Weight]]</f>
        <v>1.7870885378387185</v>
      </c>
      <c r="AM21" s="26" t="str">
        <f>INDEX(Parametria!G:G,MATCH(Tabla_Consulta_desde_Reporte_de_Valorización_de_Instrumentos[[#This Row],[CODIGO_SBS]],Parametria!C:C,0))</f>
        <v>08RFIG</v>
      </c>
      <c r="AN21" s="26" t="str">
        <f>INDEX(Parametria!F:F,MATCH(Tabla_Consulta_desde_Reporte_de_Valorización_de_Instrumentos[[#This Row],[CODIGO_SBS]],Parametria!C:C,0))</f>
        <v>TD</v>
      </c>
      <c r="AO21" s="26" t="str">
        <f>+INDEX(Parametria!J:J,MATCH(Tabla_Consulta_desde_Reporte_de_Valorización_de_Instrumentos[[#This Row],[CODIGO_SBS]],Parametria!C:C,0))</f>
        <v>RFITD</v>
      </c>
      <c r="AP21" s="26">
        <f>Tabla_Consulta_desde_Reporte_de_Valorización_de_Instrumentos[[#This Row],[Huella]]/$AU$4</f>
        <v>0.3785525196945716</v>
      </c>
      <c r="AQ21" s="26" t="str">
        <f>IFERROR(INDEX('BD(MSCI)'!W:W,MATCH(Tabla_Consulta_desde_Reporte_de_Valorización_de_Instrumentos[[#This Row],[CODIGO_ISIN]],'BD(MSCI)'!C:C,0)),IF(Tabla_Consulta_desde_Reporte_de_Valorización_de_Instrumentos[[#This Row],[Rank_rt]]="Cash","Cash","Cuestionario Integra"))</f>
        <v>SOV</v>
      </c>
      <c r="AR21" s="26" t="str">
        <f>IFERROR(INDEX('BD(MSCI)'!X:X,MATCH(Tabla_Consulta_desde_Reporte_de_Valorización_de_Instrumentos[[#This Row],[CODIGO_ISIN]],'BD(MSCI)'!C:C,0)),"Cuestionario Integra")</f>
        <v>SOV</v>
      </c>
    </row>
    <row r="22" spans="2:44" hidden="1" x14ac:dyDescent="0.25">
      <c r="B22" s="14" t="s">
        <v>6390</v>
      </c>
      <c r="C22" t="s">
        <v>175</v>
      </c>
      <c r="D22" t="s">
        <v>12</v>
      </c>
      <c r="E22" t="s">
        <v>176</v>
      </c>
      <c r="F22" t="s">
        <v>869</v>
      </c>
      <c r="G22" t="str">
        <f>INDEX(Parametria!H:H,MATCH(Tabla_Consulta_desde_Reporte_de_Valorización_de_Instrumentos[[#This Row],[CODIGO_SBS]],Parametria!C:C,0),1)</f>
        <v>Gobierno de Chile</v>
      </c>
      <c r="H22" t="s">
        <v>870</v>
      </c>
      <c r="I22" t="s">
        <v>6393</v>
      </c>
      <c r="J22" t="s">
        <v>179</v>
      </c>
      <c r="K22" t="s">
        <v>33</v>
      </c>
      <c r="L22">
        <v>5000000</v>
      </c>
      <c r="M22" s="5">
        <v>140382300.68099999</v>
      </c>
      <c r="N22">
        <v>37671354000</v>
      </c>
      <c r="O22">
        <v>7140</v>
      </c>
      <c r="P22" s="15">
        <v>48670</v>
      </c>
      <c r="Q22">
        <v>2648</v>
      </c>
      <c r="R22">
        <v>3.7265000000000002E-3</v>
      </c>
      <c r="S22" t="s">
        <v>155</v>
      </c>
      <c r="T22">
        <v>140679904.37760001</v>
      </c>
      <c r="U22" s="5">
        <v>37671354000</v>
      </c>
      <c r="V22" t="s">
        <v>156</v>
      </c>
      <c r="W22">
        <v>0</v>
      </c>
      <c r="X22">
        <v>0</v>
      </c>
      <c r="Y22">
        <v>0</v>
      </c>
      <c r="Z22">
        <v>0</v>
      </c>
      <c r="AA22" t="str">
        <f>+MID(Tabla_Consulta_desde_Reporte_de_Valorización_de_Instrumentos[[#This Row],[CODIGO_SBS]],7,1)</f>
        <v>C</v>
      </c>
      <c r="AB22">
        <f>INDEX('Cálculo Caja'!F:F,MATCH(Tabla_Consulta_desde_Reporte_de_Valorización_de_Instrumentos[[#This Row],[PORTAFOLIO]],'Cálculo Caja'!A:A,0),1)</f>
        <v>7679510866.0565634</v>
      </c>
      <c r="AC22" s="17">
        <f>Tabla_Consulta_desde_Reporte_de_Valorización_de_Instrumentos[[#This Row],[VALOR_VECTOR_LOCAL]]/Tabla_Consulta_desde_Reporte_de_Valorización_de_Instrumentos[[#This Row],[Patrimonio]]</f>
        <v>1.8280109648843617E-2</v>
      </c>
      <c r="AD22" s="4">
        <f>(Tabla_Consulta_desde_Reporte_de_Valorización_de_Instrumentos[[#This Row],[VALOR_VECTOR_LOCAL]]/INDEX('Tipo de Cambio'!$D:$D,MATCH("2",'Tipo de Cambio'!$E:$E,0),1))/1000000</f>
        <v>41.76925843702579</v>
      </c>
      <c r="AE22">
        <f>IF(Tabla_Consulta_desde_Reporte_de_Valorización_de_Instrumentos[[#This Row],[PORTAFOLIO]]="IN-FONDO0",Tabla_Consulta_desde_Reporte_de_Valorización_de_Instrumentos[[#This Row],[Inv MM$]],0)</f>
        <v>0</v>
      </c>
      <c r="AF22" s="26">
        <f>IF(Tabla_Consulta_desde_Reporte_de_Valorización_de_Instrumentos[[#This Row],[PORTAFOLIO]]="IN-FONDO1",Tabla_Consulta_desde_Reporte_de_Valorización_de_Instrumentos[[#This Row],[Inv MM$]],0)</f>
        <v>41.76925843702579</v>
      </c>
      <c r="AG22" s="26">
        <f>IF(Tabla_Consulta_desde_Reporte_de_Valorización_de_Instrumentos[[#This Row],[PORTAFOLIO]]="IN-FONDO2",Tabla_Consulta_desde_Reporte_de_Valorización_de_Instrumentos[[#This Row],[Inv MM$]],0)</f>
        <v>0</v>
      </c>
      <c r="AH22" s="26">
        <f>IF(Tabla_Consulta_desde_Reporte_de_Valorización_de_Instrumentos[[#This Row],[PORTAFOLIO]]="IN-FONDO3",Tabla_Consulta_desde_Reporte_de_Valorización_de_Instrumentos[[#This Row],[Inv MM$]],0)</f>
        <v>0</v>
      </c>
      <c r="AI2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41.76925843702579</v>
      </c>
      <c r="AJ22" s="26">
        <f>IFERROR(IFERROR(INDEX('BD(MSCI)'!$T:$T,MATCH(Tabla_Consulta_desde_Reporte_de_Valorización_de_Instrumentos[[#This Row],[CODIGO_ISIN]],'BD(MSCI)'!$C:$C,0),1),INDEX('BD(MSCI)'!$T:$T,MATCH(Tabla_Consulta_desde_Reporte_de_Valorización_de_Instrumentos[[#This Row],[CODIGO_SBS]],'BD(MSCI)'!$C:$C,0),1)),0)</f>
        <v>172.5413326</v>
      </c>
      <c r="AK22" s="26">
        <f>Tabla_Consulta_desde_Reporte_de_Valorización_de_Instrumentos[[#This Row],[C02-H]]*Tabla_Consulta_desde_Reporte_de_Valorización_de_Instrumentos[[#This Row],[Inv MM$]]</f>
        <v>7206.923512438223</v>
      </c>
      <c r="AL22" s="26">
        <f>Tabla_Consulta_desde_Reporte_de_Valorización_de_Instrumentos[[#This Row],[C02-H]]*Tabla_Consulta_desde_Reporte_de_Valorización_de_Instrumentos[[#This Row],[Weight]]</f>
        <v>3.1540744788855957</v>
      </c>
      <c r="AM22" s="26" t="str">
        <f>INDEX(Parametria!G:G,MATCH(Tabla_Consulta_desde_Reporte_de_Valorización_de_Instrumentos[[#This Row],[CODIGO_SBS]],Parametria!C:C,0))</f>
        <v>08RFIG</v>
      </c>
      <c r="AN22" s="26" t="str">
        <f>INDEX(Parametria!F:F,MATCH(Tabla_Consulta_desde_Reporte_de_Valorización_de_Instrumentos[[#This Row],[CODIGO_SBS]],Parametria!C:C,0))</f>
        <v>GOB</v>
      </c>
      <c r="AO22" s="26" t="str">
        <f>+INDEX(Parametria!J:J,MATCH(Tabla_Consulta_desde_Reporte_de_Valorización_de_Instrumentos[[#This Row],[CODIGO_SBS]],Parametria!C:C,0))</f>
        <v>RFIGOB</v>
      </c>
      <c r="AP22" s="26">
        <f>Tabla_Consulta_desde_Reporte_de_Valorización_de_Instrumentos[[#This Row],[Huella]]/$AU$4</f>
        <v>0.66811622144388672</v>
      </c>
      <c r="AQ22" s="26" t="str">
        <f>IFERROR(INDEX('BD(MSCI)'!W:W,MATCH(Tabla_Consulta_desde_Reporte_de_Valorización_de_Instrumentos[[#This Row],[CODIGO_ISIN]],'BD(MSCI)'!C:C,0)),IF(Tabla_Consulta_desde_Reporte_de_Valorización_de_Instrumentos[[#This Row],[Rank_rt]]="Cash","Cash","Cuestionario Integra"))</f>
        <v>SOV</v>
      </c>
      <c r="AR22" s="26" t="str">
        <f>IFERROR(INDEX('BD(MSCI)'!X:X,MATCH(Tabla_Consulta_desde_Reporte_de_Valorización_de_Instrumentos[[#This Row],[CODIGO_ISIN]],'BD(MSCI)'!C:C,0)),"Cuestionario Integra")</f>
        <v>SOV</v>
      </c>
    </row>
    <row r="23" spans="2:44" hidden="1" x14ac:dyDescent="0.25">
      <c r="B23" s="14" t="s">
        <v>6390</v>
      </c>
      <c r="C23" t="s">
        <v>175</v>
      </c>
      <c r="D23" t="s">
        <v>12</v>
      </c>
      <c r="E23" t="s">
        <v>176</v>
      </c>
      <c r="F23" t="s">
        <v>4844</v>
      </c>
      <c r="G23" t="str">
        <f>INDEX(Parametria!H:H,MATCH(Tabla_Consulta_desde_Reporte_de_Valorización_de_Instrumentos[[#This Row],[CODIGO_SBS]],Parametria!C:C,0),1)</f>
        <v>Gobierno de Brasil</v>
      </c>
      <c r="H23" t="s">
        <v>4988</v>
      </c>
      <c r="I23" t="s">
        <v>4989</v>
      </c>
      <c r="J23" t="s">
        <v>180</v>
      </c>
      <c r="K23" t="s">
        <v>24</v>
      </c>
      <c r="L23">
        <v>1000</v>
      </c>
      <c r="M23" s="5">
        <v>270091043.39825022</v>
      </c>
      <c r="N23">
        <v>441818092.5</v>
      </c>
      <c r="O23">
        <v>537000</v>
      </c>
      <c r="P23" s="15">
        <v>49310</v>
      </c>
      <c r="Q23">
        <v>3288</v>
      </c>
      <c r="R23">
        <v>0.61131729999999995</v>
      </c>
      <c r="S23" t="s">
        <v>155</v>
      </c>
      <c r="T23">
        <v>286357285.90216291</v>
      </c>
      <c r="U23" s="5">
        <v>467789560.5</v>
      </c>
      <c r="V23" t="s">
        <v>156</v>
      </c>
      <c r="W23">
        <v>0</v>
      </c>
      <c r="X23">
        <v>0</v>
      </c>
      <c r="Y23">
        <v>0</v>
      </c>
      <c r="Z23">
        <v>-48.363999999999997</v>
      </c>
      <c r="AA23" t="str">
        <f>+MID(Tabla_Consulta_desde_Reporte_de_Valorización_de_Instrumentos[[#This Row],[CODIGO_SBS]],7,1)</f>
        <v>8</v>
      </c>
      <c r="AB23">
        <f>INDEX('Cálculo Caja'!F:F,MATCH(Tabla_Consulta_desde_Reporte_de_Valorización_de_Instrumentos[[#This Row],[PORTAFOLIO]],'Cálculo Caja'!A:A,0),1)</f>
        <v>7679510866.0565634</v>
      </c>
      <c r="AC23" s="17">
        <f>Tabla_Consulta_desde_Reporte_de_Valorización_de_Instrumentos[[#This Row],[VALOR_VECTOR_LOCAL]]/Tabla_Consulta_desde_Reporte_de_Valorización_de_Instrumentos[[#This Row],[Patrimonio]]</f>
        <v>3.5170344584321458E-2</v>
      </c>
      <c r="AD23" s="4">
        <f>(Tabla_Consulta_desde_Reporte_de_Valorización_de_Instrumentos[[#This Row],[VALOR_VECTOR_LOCAL]]/INDEX('Tipo de Cambio'!$D:$D,MATCH("2",'Tipo de Cambio'!$E:$E,0),1))/1000000</f>
        <v>80.36271337982393</v>
      </c>
      <c r="AE23">
        <f>IF(Tabla_Consulta_desde_Reporte_de_Valorización_de_Instrumentos[[#This Row],[PORTAFOLIO]]="IN-FONDO0",Tabla_Consulta_desde_Reporte_de_Valorización_de_Instrumentos[[#This Row],[Inv MM$]],0)</f>
        <v>0</v>
      </c>
      <c r="AF23" s="26">
        <f>IF(Tabla_Consulta_desde_Reporte_de_Valorización_de_Instrumentos[[#This Row],[PORTAFOLIO]]="IN-FONDO1",Tabla_Consulta_desde_Reporte_de_Valorización_de_Instrumentos[[#This Row],[Inv MM$]],0)</f>
        <v>80.36271337982393</v>
      </c>
      <c r="AG23" s="26">
        <f>IF(Tabla_Consulta_desde_Reporte_de_Valorización_de_Instrumentos[[#This Row],[PORTAFOLIO]]="IN-FONDO2",Tabla_Consulta_desde_Reporte_de_Valorización_de_Instrumentos[[#This Row],[Inv MM$]],0)</f>
        <v>0</v>
      </c>
      <c r="AH23" s="26">
        <f>IF(Tabla_Consulta_desde_Reporte_de_Valorización_de_Instrumentos[[#This Row],[PORTAFOLIO]]="IN-FONDO3",Tabla_Consulta_desde_Reporte_de_Valorización_de_Instrumentos[[#This Row],[Inv MM$]],0)</f>
        <v>0</v>
      </c>
      <c r="AI2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109.2454018012504</v>
      </c>
      <c r="AJ23" s="26">
        <f>IFERROR(IFERROR(INDEX('BD(MSCI)'!$T:$T,MATCH(Tabla_Consulta_desde_Reporte_de_Valorización_de_Instrumentos[[#This Row],[CODIGO_ISIN]],'BD(MSCI)'!$C:$C,0),1),INDEX('BD(MSCI)'!$T:$T,MATCH(Tabla_Consulta_desde_Reporte_de_Valorización_de_Instrumentos[[#This Row],[CODIGO_SBS]],'BD(MSCI)'!$C:$C,0),1)),0)</f>
        <v>274.3982815</v>
      </c>
      <c r="AK23" s="26">
        <f>Tabla_Consulta_desde_Reporte_de_Valorización_de_Instrumentos[[#This Row],[C02-H]]*Tabla_Consulta_desde_Reporte_de_Valorización_de_Instrumentos[[#This Row],[Inv MM$]]</f>
        <v>22051.390448100741</v>
      </c>
      <c r="AL23" s="26">
        <f>Tabla_Consulta_desde_Reporte_de_Valorización_de_Instrumentos[[#This Row],[C02-H]]*Tabla_Consulta_desde_Reporte_de_Valorización_de_Instrumentos[[#This Row],[Weight]]</f>
        <v>9.6506821137006398</v>
      </c>
      <c r="AM23" s="26" t="str">
        <f>INDEX(Parametria!G:G,MATCH(Tabla_Consulta_desde_Reporte_de_Valorización_de_Instrumentos[[#This Row],[CODIGO_SBS]],Parametria!C:C,0))</f>
        <v>08RFIG</v>
      </c>
      <c r="AN23" s="26" t="str">
        <f>INDEX(Parametria!F:F,MATCH(Tabla_Consulta_desde_Reporte_de_Valorización_de_Instrumentos[[#This Row],[CODIGO_SBS]],Parametria!C:C,0))</f>
        <v>GOB</v>
      </c>
      <c r="AO23" s="26" t="str">
        <f>+INDEX(Parametria!J:J,MATCH(Tabla_Consulta_desde_Reporte_de_Valorización_de_Instrumentos[[#This Row],[CODIGO_SBS]],Parametria!C:C,0))</f>
        <v>RFIGOB</v>
      </c>
      <c r="AP23" s="26">
        <f>Tabla_Consulta_desde_Reporte_de_Valorización_de_Instrumentos[[#This Row],[Huella]]/$AU$4</f>
        <v>2.0442691861987723</v>
      </c>
      <c r="AQ23" s="26" t="str">
        <f>IFERROR(INDEX('BD(MSCI)'!W:W,MATCH(Tabla_Consulta_desde_Reporte_de_Valorización_de_Instrumentos[[#This Row],[CODIGO_ISIN]],'BD(MSCI)'!C:C,0)),IF(Tabla_Consulta_desde_Reporte_de_Valorización_de_Instrumentos[[#This Row],[Rank_rt]]="Cash","Cash","Cuestionario Integra"))</f>
        <v>SOV</v>
      </c>
      <c r="AR23" s="26" t="str">
        <f>IFERROR(INDEX('BD(MSCI)'!X:X,MATCH(Tabla_Consulta_desde_Reporte_de_Valorización_de_Instrumentos[[#This Row],[CODIGO_ISIN]],'BD(MSCI)'!C:C,0)),"Cuestionario Integra")</f>
        <v>SOV</v>
      </c>
    </row>
    <row r="24" spans="2:44" hidden="1" x14ac:dyDescent="0.25">
      <c r="B24" s="14" t="s">
        <v>6390</v>
      </c>
      <c r="C24" t="s">
        <v>175</v>
      </c>
      <c r="D24" t="s">
        <v>12</v>
      </c>
      <c r="E24" t="s">
        <v>176</v>
      </c>
      <c r="F24" t="s">
        <v>3460</v>
      </c>
      <c r="G24" t="str">
        <f>INDEX(Parametria!H:H,MATCH(Tabla_Consulta_desde_Reporte_de_Valorización_de_Instrumentos[[#This Row],[CODIGO_SBS]],Parametria!C:C,0),1)</f>
        <v>Gobierno de Brasil</v>
      </c>
      <c r="H24" t="s">
        <v>181</v>
      </c>
      <c r="I24" t="s">
        <v>6394</v>
      </c>
      <c r="J24" t="s">
        <v>180</v>
      </c>
      <c r="K24" t="s">
        <v>24</v>
      </c>
      <c r="L24">
        <v>1000</v>
      </c>
      <c r="M24" s="5">
        <v>74081493.609887496</v>
      </c>
      <c r="N24">
        <v>121183375</v>
      </c>
      <c r="O24">
        <v>125000</v>
      </c>
      <c r="P24" s="15">
        <v>46388</v>
      </c>
      <c r="Q24">
        <v>366</v>
      </c>
      <c r="R24">
        <v>0.61131729999999995</v>
      </c>
      <c r="S24" t="s">
        <v>155</v>
      </c>
      <c r="T24">
        <v>77877391.481099993</v>
      </c>
      <c r="U24" s="5">
        <v>127219500</v>
      </c>
      <c r="V24" t="s">
        <v>156</v>
      </c>
      <c r="W24">
        <v>0</v>
      </c>
      <c r="X24">
        <v>0</v>
      </c>
      <c r="Y24">
        <v>0</v>
      </c>
      <c r="Z24">
        <v>-48.289000000000001</v>
      </c>
      <c r="AA24" t="str">
        <f>+MID(Tabla_Consulta_desde_Reporte_de_Valorización_de_Instrumentos[[#This Row],[CODIGO_SBS]],7,1)</f>
        <v>8</v>
      </c>
      <c r="AB24">
        <f>INDEX('Cálculo Caja'!F:F,MATCH(Tabla_Consulta_desde_Reporte_de_Valorización_de_Instrumentos[[#This Row],[PORTAFOLIO]],'Cálculo Caja'!A:A,0),1)</f>
        <v>7679510866.0565634</v>
      </c>
      <c r="AC24" s="17">
        <f>Tabla_Consulta_desde_Reporte_de_Valorización_de_Instrumentos[[#This Row],[VALOR_VECTOR_LOCAL]]/Tabla_Consulta_desde_Reporte_de_Valorización_de_Instrumentos[[#This Row],[Patrimonio]]</f>
        <v>9.6466422018266409E-3</v>
      </c>
      <c r="AD24" s="4">
        <f>(Tabla_Consulta_desde_Reporte_de_Valorización_de_Instrumentos[[#This Row],[VALOR_VECTOR_LOCAL]]/INDEX('Tipo de Cambio'!$D:$D,MATCH("2",'Tipo de Cambio'!$E:$E,0),1))/1000000</f>
        <v>22.042159424525426</v>
      </c>
      <c r="AE24">
        <f>IF(Tabla_Consulta_desde_Reporte_de_Valorización_de_Instrumentos[[#This Row],[PORTAFOLIO]]="IN-FONDO0",Tabla_Consulta_desde_Reporte_de_Valorización_de_Instrumentos[[#This Row],[Inv MM$]],0)</f>
        <v>0</v>
      </c>
      <c r="AF24" s="26">
        <f>IF(Tabla_Consulta_desde_Reporte_de_Valorización_de_Instrumentos[[#This Row],[PORTAFOLIO]]="IN-FONDO1",Tabla_Consulta_desde_Reporte_de_Valorización_de_Instrumentos[[#This Row],[Inv MM$]],0)</f>
        <v>22.042159424525426</v>
      </c>
      <c r="AG24" s="26">
        <f>IF(Tabla_Consulta_desde_Reporte_de_Valorización_de_Instrumentos[[#This Row],[PORTAFOLIO]]="IN-FONDO2",Tabla_Consulta_desde_Reporte_de_Valorización_de_Instrumentos[[#This Row],[Inv MM$]],0)</f>
        <v>0</v>
      </c>
      <c r="AH24" s="26">
        <f>IF(Tabla_Consulta_desde_Reporte_de_Valorización_de_Instrumentos[[#This Row],[PORTAFOLIO]]="IN-FONDO3",Tabla_Consulta_desde_Reporte_de_Valorización_de_Instrumentos[[#This Row],[Inv MM$]],0)</f>
        <v>0</v>
      </c>
      <c r="AI2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52.901182618861021</v>
      </c>
      <c r="AJ24" s="26">
        <f>IFERROR(IFERROR(INDEX('BD(MSCI)'!$T:$T,MATCH(Tabla_Consulta_desde_Reporte_de_Valorización_de_Instrumentos[[#This Row],[CODIGO_ISIN]],'BD(MSCI)'!$C:$C,0),1),INDEX('BD(MSCI)'!$T:$T,MATCH(Tabla_Consulta_desde_Reporte_de_Valorización_de_Instrumentos[[#This Row],[CODIGO_SBS]],'BD(MSCI)'!$C:$C,0),1)),0)</f>
        <v>274.3982815</v>
      </c>
      <c r="AK24" s="26">
        <f>Tabla_Consulta_desde_Reporte_de_Valorización_de_Instrumentos[[#This Row],[C02-H]]*Tabla_Consulta_desde_Reporte_de_Valorización_de_Instrumentos[[#This Row],[Inv MM$]]</f>
        <v>6048.3306666388062</v>
      </c>
      <c r="AL24" s="26">
        <f>Tabla_Consulta_desde_Reporte_de_Valorización_de_Instrumentos[[#This Row],[C02-H]]*Tabla_Consulta_desde_Reporte_de_Valorización_de_Instrumentos[[#This Row],[Weight]]</f>
        <v>2.6470220424266064</v>
      </c>
      <c r="AM24" s="26" t="str">
        <f>INDEX(Parametria!G:G,MATCH(Tabla_Consulta_desde_Reporte_de_Valorización_de_Instrumentos[[#This Row],[CODIGO_SBS]],Parametria!C:C,0))</f>
        <v>08RFIG</v>
      </c>
      <c r="AN24" s="26" t="str">
        <f>INDEX(Parametria!F:F,MATCH(Tabla_Consulta_desde_Reporte_de_Valorización_de_Instrumentos[[#This Row],[CODIGO_SBS]],Parametria!C:C,0))</f>
        <v>GOB</v>
      </c>
      <c r="AO24" s="26" t="str">
        <f>+INDEX(Parametria!J:J,MATCH(Tabla_Consulta_desde_Reporte_de_Valorización_de_Instrumentos[[#This Row],[CODIGO_SBS]],Parametria!C:C,0))</f>
        <v>RFIGOB</v>
      </c>
      <c r="AP24" s="26">
        <f>Tabla_Consulta_desde_Reporte_de_Valorización_de_Instrumentos[[#This Row],[Huella]]/$AU$4</f>
        <v>0.56070913255339516</v>
      </c>
      <c r="AQ24" s="26" t="str">
        <f>IFERROR(INDEX('BD(MSCI)'!W:W,MATCH(Tabla_Consulta_desde_Reporte_de_Valorización_de_Instrumentos[[#This Row],[CODIGO_ISIN]],'BD(MSCI)'!C:C,0)),IF(Tabla_Consulta_desde_Reporte_de_Valorización_de_Instrumentos[[#This Row],[Rank_rt]]="Cash","Cash","Cuestionario Integra"))</f>
        <v>SOV</v>
      </c>
      <c r="AR24" s="26" t="str">
        <f>IFERROR(INDEX('BD(MSCI)'!X:X,MATCH(Tabla_Consulta_desde_Reporte_de_Valorización_de_Instrumentos[[#This Row],[CODIGO_ISIN]],'BD(MSCI)'!C:C,0)),"Cuestionario Integra")</f>
        <v>SOV</v>
      </c>
    </row>
    <row r="25" spans="2:44" hidden="1" x14ac:dyDescent="0.25">
      <c r="B25" s="14" t="s">
        <v>6390</v>
      </c>
      <c r="C25" t="s">
        <v>175</v>
      </c>
      <c r="D25" t="s">
        <v>10</v>
      </c>
      <c r="E25" t="s">
        <v>176</v>
      </c>
      <c r="F25" t="s">
        <v>3460</v>
      </c>
      <c r="G25" t="str">
        <f>INDEX(Parametria!H:H,MATCH(Tabla_Consulta_desde_Reporte_de_Valorización_de_Instrumentos[[#This Row],[CODIGO_SBS]],Parametria!C:C,0),1)</f>
        <v>Gobierno de Brasil</v>
      </c>
      <c r="H25" t="s">
        <v>181</v>
      </c>
      <c r="I25" t="s">
        <v>6394</v>
      </c>
      <c r="J25" t="s">
        <v>180</v>
      </c>
      <c r="K25" t="s">
        <v>24</v>
      </c>
      <c r="L25">
        <v>1000</v>
      </c>
      <c r="M25" s="5">
        <v>103714091.0538425</v>
      </c>
      <c r="N25">
        <v>169656725</v>
      </c>
      <c r="O25">
        <v>175000</v>
      </c>
      <c r="P25" s="15">
        <v>46388</v>
      </c>
      <c r="Q25">
        <v>366</v>
      </c>
      <c r="R25">
        <v>0.61131729999999995</v>
      </c>
      <c r="S25" t="s">
        <v>155</v>
      </c>
      <c r="T25">
        <v>109028348.07354</v>
      </c>
      <c r="U25" s="5">
        <v>178107300</v>
      </c>
      <c r="V25" t="s">
        <v>156</v>
      </c>
      <c r="W25">
        <v>0</v>
      </c>
      <c r="X25">
        <v>0</v>
      </c>
      <c r="Y25">
        <v>0</v>
      </c>
      <c r="Z25">
        <v>-48.289000000000001</v>
      </c>
      <c r="AA25" t="str">
        <f>+MID(Tabla_Consulta_desde_Reporte_de_Valorización_de_Instrumentos[[#This Row],[CODIGO_SBS]],7,1)</f>
        <v>8</v>
      </c>
      <c r="AB25">
        <f>INDEX('Cálculo Caja'!F:F,MATCH(Tabla_Consulta_desde_Reporte_de_Valorización_de_Instrumentos[[#This Row],[PORTAFOLIO]],'Cálculo Caja'!A:A,0),1)</f>
        <v>26256910350.436607</v>
      </c>
      <c r="AC25" s="17">
        <f>Tabla_Consulta_desde_Reporte_de_Valorización_de_Instrumentos[[#This Row],[VALOR_VECTOR_LOCAL]]/Tabla_Consulta_desde_Reporte_de_Valorización_de_Instrumentos[[#This Row],[Patrimonio]]</f>
        <v>3.9499731563853975E-3</v>
      </c>
      <c r="AD25" s="4">
        <f>(Tabla_Consulta_desde_Reporte_de_Valorización_de_Instrumentos[[#This Row],[VALOR_VECTOR_LOCAL]]/INDEX('Tipo de Cambio'!$D:$D,MATCH("2",'Tipo de Cambio'!$E:$E,0),1))/1000000</f>
        <v>30.859023194335595</v>
      </c>
      <c r="AE25">
        <f>IF(Tabla_Consulta_desde_Reporte_de_Valorización_de_Instrumentos[[#This Row],[PORTAFOLIO]]="IN-FONDO0",Tabla_Consulta_desde_Reporte_de_Valorización_de_Instrumentos[[#This Row],[Inv MM$]],0)</f>
        <v>0</v>
      </c>
      <c r="AF25" s="26">
        <f>IF(Tabla_Consulta_desde_Reporte_de_Valorización_de_Instrumentos[[#This Row],[PORTAFOLIO]]="IN-FONDO1",Tabla_Consulta_desde_Reporte_de_Valorización_de_Instrumentos[[#This Row],[Inv MM$]],0)</f>
        <v>0</v>
      </c>
      <c r="AG25" s="26">
        <f>IF(Tabla_Consulta_desde_Reporte_de_Valorización_de_Instrumentos[[#This Row],[PORTAFOLIO]]="IN-FONDO2",Tabla_Consulta_desde_Reporte_de_Valorización_de_Instrumentos[[#This Row],[Inv MM$]],0)</f>
        <v>30.859023194335595</v>
      </c>
      <c r="AH25" s="26">
        <f>IF(Tabla_Consulta_desde_Reporte_de_Valorización_de_Instrumentos[[#This Row],[PORTAFOLIO]]="IN-FONDO3",Tabla_Consulta_desde_Reporte_de_Valorización_de_Instrumentos[[#This Row],[Inv MM$]],0)</f>
        <v>0</v>
      </c>
      <c r="AI2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52.901182618861021</v>
      </c>
      <c r="AJ25" s="26">
        <f>IFERROR(IFERROR(INDEX('BD(MSCI)'!$T:$T,MATCH(Tabla_Consulta_desde_Reporte_de_Valorización_de_Instrumentos[[#This Row],[CODIGO_ISIN]],'BD(MSCI)'!$C:$C,0),1),INDEX('BD(MSCI)'!$T:$T,MATCH(Tabla_Consulta_desde_Reporte_de_Valorización_de_Instrumentos[[#This Row],[CODIGO_SBS]],'BD(MSCI)'!$C:$C,0),1)),0)</f>
        <v>274.3982815</v>
      </c>
      <c r="AK25" s="26">
        <f>Tabla_Consulta_desde_Reporte_de_Valorización_de_Instrumentos[[#This Row],[C02-H]]*Tabla_Consulta_desde_Reporte_de_Valorización_de_Instrumentos[[#This Row],[Inv MM$]]</f>
        <v>8467.6629332943285</v>
      </c>
      <c r="AL25" s="26">
        <f>Tabla_Consulta_desde_Reporte_de_Valorización_de_Instrumentos[[#This Row],[C02-H]]*Tabla_Consulta_desde_Reporte_de_Valorización_de_Instrumentos[[#This Row],[Weight]]</f>
        <v>1.0838658460832837</v>
      </c>
      <c r="AM25" s="26" t="str">
        <f>INDEX(Parametria!G:G,MATCH(Tabla_Consulta_desde_Reporte_de_Valorización_de_Instrumentos[[#This Row],[CODIGO_SBS]],Parametria!C:C,0))</f>
        <v>08RFIG</v>
      </c>
      <c r="AN25" s="26" t="str">
        <f>INDEX(Parametria!F:F,MATCH(Tabla_Consulta_desde_Reporte_de_Valorización_de_Instrumentos[[#This Row],[CODIGO_SBS]],Parametria!C:C,0))</f>
        <v>GOB</v>
      </c>
      <c r="AO25" s="26" t="str">
        <f>+INDEX(Parametria!J:J,MATCH(Tabla_Consulta_desde_Reporte_de_Valorización_de_Instrumentos[[#This Row],[CODIGO_SBS]],Parametria!C:C,0))</f>
        <v>RFIGOB</v>
      </c>
      <c r="AP25" s="26">
        <f>Tabla_Consulta_desde_Reporte_de_Valorización_de_Instrumentos[[#This Row],[Huella]]/$AU$4</f>
        <v>0.78499278557475316</v>
      </c>
      <c r="AQ25" s="26" t="str">
        <f>IFERROR(INDEX('BD(MSCI)'!W:W,MATCH(Tabla_Consulta_desde_Reporte_de_Valorización_de_Instrumentos[[#This Row],[CODIGO_ISIN]],'BD(MSCI)'!C:C,0)),IF(Tabla_Consulta_desde_Reporte_de_Valorización_de_Instrumentos[[#This Row],[Rank_rt]]="Cash","Cash","Cuestionario Integra"))</f>
        <v>SOV</v>
      </c>
      <c r="AR25" s="26" t="str">
        <f>IFERROR(INDEX('BD(MSCI)'!X:X,MATCH(Tabla_Consulta_desde_Reporte_de_Valorización_de_Instrumentos[[#This Row],[CODIGO_ISIN]],'BD(MSCI)'!C:C,0)),"Cuestionario Integra")</f>
        <v>SOV</v>
      </c>
    </row>
    <row r="26" spans="2:44" hidden="1" x14ac:dyDescent="0.25">
      <c r="B26" s="14" t="s">
        <v>6390</v>
      </c>
      <c r="C26" t="s">
        <v>175</v>
      </c>
      <c r="D26" t="s">
        <v>10</v>
      </c>
      <c r="E26" t="s">
        <v>176</v>
      </c>
      <c r="F26" t="s">
        <v>4844</v>
      </c>
      <c r="G26" t="str">
        <f>INDEX(Parametria!H:H,MATCH(Tabla_Consulta_desde_Reporte_de_Valorización_de_Instrumentos[[#This Row],[CODIGO_SBS]],Parametria!C:C,0),1)</f>
        <v>Gobierno de Brasil</v>
      </c>
      <c r="H26" t="s">
        <v>4988</v>
      </c>
      <c r="I26" t="s">
        <v>4989</v>
      </c>
      <c r="J26" t="s">
        <v>180</v>
      </c>
      <c r="K26" t="s">
        <v>24</v>
      </c>
      <c r="L26">
        <v>1000</v>
      </c>
      <c r="M26" s="5">
        <v>97071827.515572205</v>
      </c>
      <c r="N26">
        <v>158791232.5</v>
      </c>
      <c r="O26">
        <v>193000</v>
      </c>
      <c r="P26" s="15">
        <v>49310</v>
      </c>
      <c r="Q26">
        <v>3288</v>
      </c>
      <c r="R26">
        <v>0.61131729999999995</v>
      </c>
      <c r="S26" t="s">
        <v>155</v>
      </c>
      <c r="T26">
        <v>102917981.7115781</v>
      </c>
      <c r="U26" s="5">
        <v>168125484.5</v>
      </c>
      <c r="V26" t="s">
        <v>156</v>
      </c>
      <c r="W26">
        <v>0</v>
      </c>
      <c r="X26">
        <v>0</v>
      </c>
      <c r="Y26">
        <v>0</v>
      </c>
      <c r="Z26">
        <v>-48.363999999999997</v>
      </c>
      <c r="AA26" t="str">
        <f>+MID(Tabla_Consulta_desde_Reporte_de_Valorización_de_Instrumentos[[#This Row],[CODIGO_SBS]],7,1)</f>
        <v>8</v>
      </c>
      <c r="AB26">
        <f>INDEX('Cálculo Caja'!F:F,MATCH(Tabla_Consulta_desde_Reporte_de_Valorización_de_Instrumentos[[#This Row],[PORTAFOLIO]],'Cálculo Caja'!A:A,0),1)</f>
        <v>26256910350.436607</v>
      </c>
      <c r="AC26" s="17">
        <f>Tabla_Consulta_desde_Reporte_de_Valorización_de_Instrumentos[[#This Row],[VALOR_VECTOR_LOCAL]]/Tabla_Consulta_desde_Reporte_de_Valorización_de_Instrumentos[[#This Row],[Patrimonio]]</f>
        <v>3.69700114065241E-3</v>
      </c>
      <c r="AD26" s="4">
        <f>(Tabla_Consulta_desde_Reporte_de_Valorización_de_Instrumentos[[#This Row],[VALOR_VECTOR_LOCAL]]/INDEX('Tipo de Cambio'!$D:$D,MATCH("2",'Tipo de Cambio'!$E:$E,0),1))/1000000</f>
        <v>28.882688421426465</v>
      </c>
      <c r="AE26">
        <f>IF(Tabla_Consulta_desde_Reporte_de_Valorización_de_Instrumentos[[#This Row],[PORTAFOLIO]]="IN-FONDO0",Tabla_Consulta_desde_Reporte_de_Valorización_de_Instrumentos[[#This Row],[Inv MM$]],0)</f>
        <v>0</v>
      </c>
      <c r="AF26" s="26">
        <f>IF(Tabla_Consulta_desde_Reporte_de_Valorización_de_Instrumentos[[#This Row],[PORTAFOLIO]]="IN-FONDO1",Tabla_Consulta_desde_Reporte_de_Valorización_de_Instrumentos[[#This Row],[Inv MM$]],0)</f>
        <v>0</v>
      </c>
      <c r="AG26" s="26">
        <f>IF(Tabla_Consulta_desde_Reporte_de_Valorización_de_Instrumentos[[#This Row],[PORTAFOLIO]]="IN-FONDO2",Tabla_Consulta_desde_Reporte_de_Valorización_de_Instrumentos[[#This Row],[Inv MM$]],0)</f>
        <v>28.882688421426465</v>
      </c>
      <c r="AH26" s="26">
        <f>IF(Tabla_Consulta_desde_Reporte_de_Valorización_de_Instrumentos[[#This Row],[PORTAFOLIO]]="IN-FONDO3",Tabla_Consulta_desde_Reporte_de_Valorización_de_Instrumentos[[#This Row],[Inv MM$]],0)</f>
        <v>0</v>
      </c>
      <c r="AI2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109.2454018012504</v>
      </c>
      <c r="AJ26" s="26">
        <f>IFERROR(IFERROR(INDEX('BD(MSCI)'!$T:$T,MATCH(Tabla_Consulta_desde_Reporte_de_Valorización_de_Instrumentos[[#This Row],[CODIGO_ISIN]],'BD(MSCI)'!$C:$C,0),1),INDEX('BD(MSCI)'!$T:$T,MATCH(Tabla_Consulta_desde_Reporte_de_Valorización_de_Instrumentos[[#This Row],[CODIGO_SBS]],'BD(MSCI)'!$C:$C,0),1)),0)</f>
        <v>274.3982815</v>
      </c>
      <c r="AK26" s="26">
        <f>Tabla_Consulta_desde_Reporte_de_Valorización_de_Instrumentos[[#This Row],[C02-H]]*Tabla_Consulta_desde_Reporte_de_Valorización_de_Instrumentos[[#This Row],[Inv MM$]]</f>
        <v>7925.3600679393694</v>
      </c>
      <c r="AL26" s="26">
        <f>Tabla_Consulta_desde_Reporte_de_Valorización_de_Instrumentos[[#This Row],[C02-H]]*Tabla_Consulta_desde_Reporte_de_Valorización_de_Instrumentos[[#This Row],[Weight]]</f>
        <v>1.014450759698561</v>
      </c>
      <c r="AM26" s="26" t="str">
        <f>INDEX(Parametria!G:G,MATCH(Tabla_Consulta_desde_Reporte_de_Valorización_de_Instrumentos[[#This Row],[CODIGO_SBS]],Parametria!C:C,0))</f>
        <v>08RFIG</v>
      </c>
      <c r="AN26" s="26" t="str">
        <f>INDEX(Parametria!F:F,MATCH(Tabla_Consulta_desde_Reporte_de_Valorización_de_Instrumentos[[#This Row],[CODIGO_SBS]],Parametria!C:C,0))</f>
        <v>GOB</v>
      </c>
      <c r="AO26" s="26" t="str">
        <f>+INDEX(Parametria!J:J,MATCH(Tabla_Consulta_desde_Reporte_de_Valorización_de_Instrumentos[[#This Row],[CODIGO_SBS]],Parametria!C:C,0))</f>
        <v>RFIGOB</v>
      </c>
      <c r="AP26" s="26">
        <f>Tabla_Consulta_desde_Reporte_de_Valorización_de_Instrumentos[[#This Row],[Huella]]/$AU$4</f>
        <v>0.73471872055188625</v>
      </c>
      <c r="AQ26" s="26" t="str">
        <f>IFERROR(INDEX('BD(MSCI)'!W:W,MATCH(Tabla_Consulta_desde_Reporte_de_Valorización_de_Instrumentos[[#This Row],[CODIGO_ISIN]],'BD(MSCI)'!C:C,0)),IF(Tabla_Consulta_desde_Reporte_de_Valorización_de_Instrumentos[[#This Row],[Rank_rt]]="Cash","Cash","Cuestionario Integra"))</f>
        <v>SOV</v>
      </c>
      <c r="AR26" s="26" t="str">
        <f>IFERROR(INDEX('BD(MSCI)'!X:X,MATCH(Tabla_Consulta_desde_Reporte_de_Valorización_de_Instrumentos[[#This Row],[CODIGO_ISIN]],'BD(MSCI)'!C:C,0)),"Cuestionario Integra")</f>
        <v>SOV</v>
      </c>
    </row>
    <row r="27" spans="2:44" hidden="1" x14ac:dyDescent="0.25">
      <c r="B27" s="14" t="s">
        <v>6390</v>
      </c>
      <c r="C27" t="s">
        <v>175</v>
      </c>
      <c r="D27" t="s">
        <v>12</v>
      </c>
      <c r="E27" t="s">
        <v>176</v>
      </c>
      <c r="F27" t="s">
        <v>5436</v>
      </c>
      <c r="G27" t="str">
        <f>INDEX(Parametria!H:H,MATCH(Tabla_Consulta_desde_Reporte_de_Valorización_de_Instrumentos[[#This Row],[CODIGO_SBS]],Parametria!C:C,0),1)</f>
        <v>Gobierno de Colombia</v>
      </c>
      <c r="H27" t="s">
        <v>5435</v>
      </c>
      <c r="I27" t="s">
        <v>6395</v>
      </c>
      <c r="J27" t="s">
        <v>187</v>
      </c>
      <c r="K27" t="s">
        <v>41</v>
      </c>
      <c r="L27">
        <v>100000</v>
      </c>
      <c r="M27" s="5">
        <v>113162263.515</v>
      </c>
      <c r="N27">
        <v>127291635000</v>
      </c>
      <c r="O27">
        <v>1350000</v>
      </c>
      <c r="P27" s="15">
        <v>53533</v>
      </c>
      <c r="Q27">
        <v>7511</v>
      </c>
      <c r="R27">
        <v>8.8900000000000003E-4</v>
      </c>
      <c r="S27" t="s">
        <v>155</v>
      </c>
      <c r="T27">
        <v>113204744.0865</v>
      </c>
      <c r="U27" s="5">
        <v>127210635000</v>
      </c>
      <c r="V27" t="s">
        <v>156</v>
      </c>
      <c r="W27">
        <v>0</v>
      </c>
      <c r="X27">
        <v>0</v>
      </c>
      <c r="Y27">
        <v>0</v>
      </c>
      <c r="Z27">
        <v>60</v>
      </c>
      <c r="AA27" t="str">
        <f>+MID(Tabla_Consulta_desde_Reporte_de_Valorización_de_Instrumentos[[#This Row],[CODIGO_SBS]],7,1)</f>
        <v>F</v>
      </c>
      <c r="AB27">
        <f>INDEX('Cálculo Caja'!F:F,MATCH(Tabla_Consulta_desde_Reporte_de_Valorización_de_Instrumentos[[#This Row],[PORTAFOLIO]],'Cálculo Caja'!A:A,0),1)</f>
        <v>7679510866.0565634</v>
      </c>
      <c r="AC27" s="17">
        <f>Tabla_Consulta_desde_Reporte_de_Valorización_de_Instrumentos[[#This Row],[VALOR_VECTOR_LOCAL]]/Tabla_Consulta_desde_Reporte_de_Valorización_de_Instrumentos[[#This Row],[Patrimonio]]</f>
        <v>1.4735608229317987E-2</v>
      </c>
      <c r="AD27" s="4">
        <f>(Tabla_Consulta_desde_Reporte_de_Valorización_de_Instrumentos[[#This Row],[VALOR_VECTOR_LOCAL]]/INDEX('Tipo de Cambio'!$D:$D,MATCH("2",'Tipo de Cambio'!$E:$E,0),1))/1000000</f>
        <v>33.670226283138447</v>
      </c>
      <c r="AE27">
        <f>IF(Tabla_Consulta_desde_Reporte_de_Valorización_de_Instrumentos[[#This Row],[PORTAFOLIO]]="IN-FONDO0",Tabla_Consulta_desde_Reporte_de_Valorización_de_Instrumentos[[#This Row],[Inv MM$]],0)</f>
        <v>0</v>
      </c>
      <c r="AF27" s="26">
        <f>IF(Tabla_Consulta_desde_Reporte_de_Valorización_de_Instrumentos[[#This Row],[PORTAFOLIO]]="IN-FONDO1",Tabla_Consulta_desde_Reporte_de_Valorización_de_Instrumentos[[#This Row],[Inv MM$]],0)</f>
        <v>33.670226283138447</v>
      </c>
      <c r="AG27" s="26">
        <f>IF(Tabla_Consulta_desde_Reporte_de_Valorización_de_Instrumentos[[#This Row],[PORTAFOLIO]]="IN-FONDO2",Tabla_Consulta_desde_Reporte_de_Valorización_de_Instrumentos[[#This Row],[Inv MM$]],0)</f>
        <v>0</v>
      </c>
      <c r="AH27" s="26">
        <f>IF(Tabla_Consulta_desde_Reporte_de_Valorización_de_Instrumentos[[#This Row],[PORTAFOLIO]]="IN-FONDO3",Tabla_Consulta_desde_Reporte_de_Valorización_de_Instrumentos[[#This Row],[Inv MM$]],0)</f>
        <v>0</v>
      </c>
      <c r="AI2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33.670226283138447</v>
      </c>
      <c r="AJ27" s="26">
        <f>IFERROR(IFERROR(INDEX('BD(MSCI)'!$T:$T,MATCH(Tabla_Consulta_desde_Reporte_de_Valorización_de_Instrumentos[[#This Row],[CODIGO_ISIN]],'BD(MSCI)'!$C:$C,0),1),INDEX('BD(MSCI)'!$T:$T,MATCH(Tabla_Consulta_desde_Reporte_de_Valorización_de_Instrumentos[[#This Row],[CODIGO_SBS]],'BD(MSCI)'!$C:$C,0),1)),0)</f>
        <v>191.40678779999999</v>
      </c>
      <c r="AK27" s="26">
        <f>Tabla_Consulta_desde_Reporte_de_Valorización_de_Instrumentos[[#This Row],[C02-H]]*Tabla_Consulta_desde_Reporte_de_Valorización_de_Instrumentos[[#This Row],[Inv MM$]]</f>
        <v>6444.7098573546627</v>
      </c>
      <c r="AL27" s="26">
        <f>Tabla_Consulta_desde_Reporte_de_Valorización_de_Instrumentos[[#This Row],[C02-H]]*Tabla_Consulta_desde_Reporte_de_Valorización_de_Instrumentos[[#This Row],[Weight]]</f>
        <v>2.8204954374530016</v>
      </c>
      <c r="AM27" s="26" t="str">
        <f>INDEX(Parametria!G:G,MATCH(Tabla_Consulta_desde_Reporte_de_Valorización_de_Instrumentos[[#This Row],[CODIGO_SBS]],Parametria!C:C,0))</f>
        <v>08RFIG</v>
      </c>
      <c r="AN27" s="26" t="str">
        <f>INDEX(Parametria!F:F,MATCH(Tabla_Consulta_desde_Reporte_de_Valorización_de_Instrumentos[[#This Row],[CODIGO_SBS]],Parametria!C:C,0))</f>
        <v>GOB</v>
      </c>
      <c r="AO27" s="26" t="str">
        <f>+INDEX(Parametria!J:J,MATCH(Tabla_Consulta_desde_Reporte_de_Valorización_de_Instrumentos[[#This Row],[CODIGO_SBS]],Parametria!C:C,0))</f>
        <v>RFIGOB</v>
      </c>
      <c r="AP27" s="26">
        <f>Tabla_Consulta_desde_Reporte_de_Valorización_de_Instrumentos[[#This Row],[Huella]]/$AU$4</f>
        <v>0.59745537617635103</v>
      </c>
      <c r="AQ27" s="26" t="str">
        <f>IFERROR(INDEX('BD(MSCI)'!W:W,MATCH(Tabla_Consulta_desde_Reporte_de_Valorización_de_Instrumentos[[#This Row],[CODIGO_ISIN]],'BD(MSCI)'!C:C,0)),IF(Tabla_Consulta_desde_Reporte_de_Valorización_de_Instrumentos[[#This Row],[Rank_rt]]="Cash","Cash","Cuestionario Integra"))</f>
        <v>SOV</v>
      </c>
      <c r="AR27" s="26" t="str">
        <f>IFERROR(INDEX('BD(MSCI)'!X:X,MATCH(Tabla_Consulta_desde_Reporte_de_Valorización_de_Instrumentos[[#This Row],[CODIGO_ISIN]],'BD(MSCI)'!C:C,0)),"Cuestionario Integra")</f>
        <v>SOV</v>
      </c>
    </row>
    <row r="28" spans="2:44" hidden="1" x14ac:dyDescent="0.25">
      <c r="B28" s="14" t="s">
        <v>6390</v>
      </c>
      <c r="C28" t="s">
        <v>175</v>
      </c>
      <c r="D28" t="s">
        <v>12</v>
      </c>
      <c r="E28" t="s">
        <v>176</v>
      </c>
      <c r="F28" t="s">
        <v>889</v>
      </c>
      <c r="G28" t="str">
        <f>INDEX(Parametria!H:H,MATCH(Tabla_Consulta_desde_Reporte_de_Valorización_de_Instrumentos[[#This Row],[CODIGO_SBS]],Parametria!C:C,0),1)</f>
        <v>Gobierno de Colombia</v>
      </c>
      <c r="H28" t="s">
        <v>890</v>
      </c>
      <c r="I28" t="s">
        <v>5672</v>
      </c>
      <c r="J28" t="s">
        <v>187</v>
      </c>
      <c r="K28" t="s">
        <v>50</v>
      </c>
      <c r="L28">
        <v>1000</v>
      </c>
      <c r="M28" s="5">
        <v>18281703.677503198</v>
      </c>
      <c r="N28">
        <v>5439526.2214000002</v>
      </c>
      <c r="O28">
        <v>7400</v>
      </c>
      <c r="P28" s="15">
        <v>53128</v>
      </c>
      <c r="Q28">
        <v>7106</v>
      </c>
      <c r="R28">
        <v>3.3609</v>
      </c>
      <c r="S28" t="s">
        <v>155</v>
      </c>
      <c r="T28">
        <v>18423633.831838898</v>
      </c>
      <c r="U28" s="5">
        <v>5478984.6642000005</v>
      </c>
      <c r="V28" t="s">
        <v>156</v>
      </c>
      <c r="W28">
        <v>0</v>
      </c>
      <c r="X28">
        <v>0</v>
      </c>
      <c r="Y28">
        <v>0</v>
      </c>
      <c r="Z28">
        <v>-5.3322219999999998</v>
      </c>
      <c r="AA28" t="str">
        <f>+MID(Tabla_Consulta_desde_Reporte_de_Valorización_de_Instrumentos[[#This Row],[CODIGO_SBS]],7,1)</f>
        <v>2</v>
      </c>
      <c r="AB28">
        <f>INDEX('Cálculo Caja'!F:F,MATCH(Tabla_Consulta_desde_Reporte_de_Valorización_de_Instrumentos[[#This Row],[PORTAFOLIO]],'Cálculo Caja'!A:A,0),1)</f>
        <v>7679510866.0565634</v>
      </c>
      <c r="AC28" s="17">
        <f>Tabla_Consulta_desde_Reporte_de_Valorización_de_Instrumentos[[#This Row],[VALOR_VECTOR_LOCAL]]/Tabla_Consulta_desde_Reporte_de_Valorización_de_Instrumentos[[#This Row],[Patrimonio]]</f>
        <v>2.3805817839659977E-3</v>
      </c>
      <c r="AD28" s="4">
        <f>(Tabla_Consulta_desde_Reporte_de_Valorización_de_Instrumentos[[#This Row],[VALOR_VECTOR_LOCAL]]/INDEX('Tipo de Cambio'!$D:$D,MATCH("2",'Tipo de Cambio'!$E:$E,0),1))/1000000</f>
        <v>5.4395262213999818</v>
      </c>
      <c r="AE28">
        <f>IF(Tabla_Consulta_desde_Reporte_de_Valorización_de_Instrumentos[[#This Row],[PORTAFOLIO]]="IN-FONDO0",Tabla_Consulta_desde_Reporte_de_Valorización_de_Instrumentos[[#This Row],[Inv MM$]],0)</f>
        <v>0</v>
      </c>
      <c r="AF28" s="26">
        <f>IF(Tabla_Consulta_desde_Reporte_de_Valorización_de_Instrumentos[[#This Row],[PORTAFOLIO]]="IN-FONDO1",Tabla_Consulta_desde_Reporte_de_Valorización_de_Instrumentos[[#This Row],[Inv MM$]],0)</f>
        <v>5.4395262213999818</v>
      </c>
      <c r="AG28" s="26">
        <f>IF(Tabla_Consulta_desde_Reporte_de_Valorización_de_Instrumentos[[#This Row],[PORTAFOLIO]]="IN-FONDO2",Tabla_Consulta_desde_Reporte_de_Valorización_de_Instrumentos[[#This Row],[Inv MM$]],0)</f>
        <v>0</v>
      </c>
      <c r="AH28" s="26">
        <f>IF(Tabla_Consulta_desde_Reporte_de_Valorización_de_Instrumentos[[#This Row],[PORTAFOLIO]]="IN-FONDO3",Tabla_Consulta_desde_Reporte_de_Valorización_de_Instrumentos[[#This Row],[Inv MM$]],0)</f>
        <v>0</v>
      </c>
      <c r="AI2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5.4395262213999818</v>
      </c>
      <c r="AJ28" s="26">
        <f>IFERROR(IFERROR(INDEX('BD(MSCI)'!$T:$T,MATCH(Tabla_Consulta_desde_Reporte_de_Valorización_de_Instrumentos[[#This Row],[CODIGO_ISIN]],'BD(MSCI)'!$C:$C,0),1),INDEX('BD(MSCI)'!$T:$T,MATCH(Tabla_Consulta_desde_Reporte_de_Valorización_de_Instrumentos[[#This Row],[CODIGO_SBS]],'BD(MSCI)'!$C:$C,0),1)),0)</f>
        <v>191.40678779999999</v>
      </c>
      <c r="AK28" s="26">
        <f>Tabla_Consulta_desde_Reporte_de_Valorización_de_Instrumentos[[#This Row],[C02-H]]*Tabla_Consulta_desde_Reporte_de_Valorización_de_Instrumentos[[#This Row],[Inv MM$]]</f>
        <v>1041.1622411920421</v>
      </c>
      <c r="AL28" s="26">
        <f>Tabla_Consulta_desde_Reporte_de_Valorización_de_Instrumentos[[#This Row],[C02-H]]*Tabla_Consulta_desde_Reporte_de_Valorización_de_Instrumentos[[#This Row],[Weight]]</f>
        <v>0.45565951236412516</v>
      </c>
      <c r="AM28" s="26" t="str">
        <f>INDEX(Parametria!G:G,MATCH(Tabla_Consulta_desde_Reporte_de_Valorización_de_Instrumentos[[#This Row],[CODIGO_SBS]],Parametria!C:C,0))</f>
        <v>08RFIG</v>
      </c>
      <c r="AN28" s="26" t="str">
        <f>INDEX(Parametria!F:F,MATCH(Tabla_Consulta_desde_Reporte_de_Valorización_de_Instrumentos[[#This Row],[CODIGO_SBS]],Parametria!C:C,0))</f>
        <v>GOB</v>
      </c>
      <c r="AO28" s="26" t="str">
        <f>+INDEX(Parametria!J:J,MATCH(Tabla_Consulta_desde_Reporte_de_Valorización_de_Instrumentos[[#This Row],[CODIGO_SBS]],Parametria!C:C,0))</f>
        <v>RFIGOB</v>
      </c>
      <c r="AP28" s="26">
        <f>Tabla_Consulta_desde_Reporte_de_Valorización_de_Instrumentos[[#This Row],[Huella]]/$AU$4</f>
        <v>9.6520711132112011E-2</v>
      </c>
      <c r="AQ28" s="26" t="str">
        <f>IFERROR(INDEX('BD(MSCI)'!W:W,MATCH(Tabla_Consulta_desde_Reporte_de_Valorización_de_Instrumentos[[#This Row],[CODIGO_ISIN]],'BD(MSCI)'!C:C,0)),IF(Tabla_Consulta_desde_Reporte_de_Valorización_de_Instrumentos[[#This Row],[Rank_rt]]="Cash","Cash","Cuestionario Integra"))</f>
        <v>SOV</v>
      </c>
      <c r="AR28" s="26" t="str">
        <f>IFERROR(INDEX('BD(MSCI)'!X:X,MATCH(Tabla_Consulta_desde_Reporte_de_Valorización_de_Instrumentos[[#This Row],[CODIGO_ISIN]],'BD(MSCI)'!C:C,0)),"Cuestionario Integra")</f>
        <v>SOV</v>
      </c>
    </row>
    <row r="29" spans="2:44" hidden="1" x14ac:dyDescent="0.25">
      <c r="B29" s="14" t="s">
        <v>6390</v>
      </c>
      <c r="C29" t="s">
        <v>175</v>
      </c>
      <c r="D29" t="s">
        <v>12</v>
      </c>
      <c r="E29" t="s">
        <v>176</v>
      </c>
      <c r="F29" t="s">
        <v>6319</v>
      </c>
      <c r="G29" t="str">
        <f>INDEX(Parametria!H:H,MATCH(Tabla_Consulta_desde_Reporte_de_Valorización_de_Instrumentos[[#This Row],[CODIGO_SBS]],Parametria!C:C,0),1)</f>
        <v>Gobierno de Colombia</v>
      </c>
      <c r="H29" t="s">
        <v>6318</v>
      </c>
      <c r="I29" t="s">
        <v>6396</v>
      </c>
      <c r="J29" t="s">
        <v>187</v>
      </c>
      <c r="K29" t="s">
        <v>57</v>
      </c>
      <c r="L29">
        <v>1000</v>
      </c>
      <c r="M29" s="5">
        <v>56603501.214966498</v>
      </c>
      <c r="N29">
        <v>14344407.539999999</v>
      </c>
      <c r="O29">
        <v>15000</v>
      </c>
      <c r="P29" s="15">
        <v>49724</v>
      </c>
      <c r="Q29">
        <v>3702</v>
      </c>
      <c r="R29">
        <v>3.9460326999999999</v>
      </c>
      <c r="S29" t="s">
        <v>155</v>
      </c>
      <c r="T29">
        <v>56624444.374002002</v>
      </c>
      <c r="U29" s="5">
        <v>14326597.605</v>
      </c>
      <c r="V29" t="s">
        <v>156</v>
      </c>
      <c r="W29">
        <v>0</v>
      </c>
      <c r="X29">
        <v>0</v>
      </c>
      <c r="Y29">
        <v>0</v>
      </c>
      <c r="Z29">
        <v>1.1873290000000001</v>
      </c>
      <c r="AA29" t="str">
        <f>+MID(Tabla_Consulta_desde_Reporte_de_Valorización_de_Instrumentos[[#This Row],[CODIGO_SBS]],7,1)</f>
        <v>4</v>
      </c>
      <c r="AB29">
        <f>INDEX('Cálculo Caja'!F:F,MATCH(Tabla_Consulta_desde_Reporte_de_Valorización_de_Instrumentos[[#This Row],[PORTAFOLIO]],'Cálculo Caja'!A:A,0),1)</f>
        <v>7679510866.0565634</v>
      </c>
      <c r="AC29" s="17">
        <f>Tabla_Consulta_desde_Reporte_de_Valorización_de_Instrumentos[[#This Row],[VALOR_VECTOR_LOCAL]]/Tabla_Consulta_desde_Reporte_de_Valorización_de_Instrumentos[[#This Row],[Patrimonio]]</f>
        <v>7.3707169899523113E-3</v>
      </c>
      <c r="AD29" s="4">
        <f>(Tabla_Consulta_desde_Reporte_de_Valorización_de_Instrumentos[[#This Row],[VALOR_VECTOR_LOCAL]]/INDEX('Tipo de Cambio'!$D:$D,MATCH("2",'Tipo de Cambio'!$E:$E,0),1))/1000000</f>
        <v>16.841768935394239</v>
      </c>
      <c r="AE29">
        <f>IF(Tabla_Consulta_desde_Reporte_de_Valorización_de_Instrumentos[[#This Row],[PORTAFOLIO]]="IN-FONDO0",Tabla_Consulta_desde_Reporte_de_Valorización_de_Instrumentos[[#This Row],[Inv MM$]],0)</f>
        <v>0</v>
      </c>
      <c r="AF29" s="26">
        <f>IF(Tabla_Consulta_desde_Reporte_de_Valorización_de_Instrumentos[[#This Row],[PORTAFOLIO]]="IN-FONDO1",Tabla_Consulta_desde_Reporte_de_Valorización_de_Instrumentos[[#This Row],[Inv MM$]],0)</f>
        <v>16.841768935394239</v>
      </c>
      <c r="AG29" s="26">
        <f>IF(Tabla_Consulta_desde_Reporte_de_Valorización_de_Instrumentos[[#This Row],[PORTAFOLIO]]="IN-FONDO2",Tabla_Consulta_desde_Reporte_de_Valorización_de_Instrumentos[[#This Row],[Inv MM$]],0)</f>
        <v>0</v>
      </c>
      <c r="AH29" s="26">
        <f>IF(Tabla_Consulta_desde_Reporte_de_Valorización_de_Instrumentos[[#This Row],[PORTAFOLIO]]="IN-FONDO3",Tabla_Consulta_desde_Reporte_de_Valorización_de_Instrumentos[[#This Row],[Inv MM$]],0)</f>
        <v>0</v>
      </c>
      <c r="AI2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16.841768935394239</v>
      </c>
      <c r="AJ29" s="26">
        <f>IFERROR(IFERROR(INDEX('BD(MSCI)'!$T:$T,MATCH(Tabla_Consulta_desde_Reporte_de_Valorización_de_Instrumentos[[#This Row],[CODIGO_ISIN]],'BD(MSCI)'!$C:$C,0),1),INDEX('BD(MSCI)'!$T:$T,MATCH(Tabla_Consulta_desde_Reporte_de_Valorización_de_Instrumentos[[#This Row],[CODIGO_SBS]],'BD(MSCI)'!$C:$C,0),1)),0)</f>
        <v>191.40678779999999</v>
      </c>
      <c r="AK29" s="26">
        <f>Tabla_Consulta_desde_Reporte_de_Valorización_de_Instrumentos[[#This Row],[C02-H]]*Tabla_Consulta_desde_Reporte_de_Valorización_de_Instrumentos[[#This Row],[Inv MM$]]</f>
        <v>3223.6288927936366</v>
      </c>
      <c r="AL29" s="26">
        <f>Tabla_Consulta_desde_Reporte_de_Valorización_de_Instrumentos[[#This Row],[C02-H]]*Tabla_Consulta_desde_Reporte_de_Valorización_de_Instrumentos[[#This Row],[Weight]]</f>
        <v>1.4108052628296568</v>
      </c>
      <c r="AM29" s="26" t="str">
        <f>INDEX(Parametria!G:G,MATCH(Tabla_Consulta_desde_Reporte_de_Valorización_de_Instrumentos[[#This Row],[CODIGO_SBS]],Parametria!C:C,0))</f>
        <v>08RFIG</v>
      </c>
      <c r="AN29" s="26" t="str">
        <f>INDEX(Parametria!F:F,MATCH(Tabla_Consulta_desde_Reporte_de_Valorización_de_Instrumentos[[#This Row],[CODIGO_SBS]],Parametria!C:C,0))</f>
        <v>TD</v>
      </c>
      <c r="AO29" s="26" t="str">
        <f>+INDEX(Parametria!J:J,MATCH(Tabla_Consulta_desde_Reporte_de_Valorización_de_Instrumentos[[#This Row],[CODIGO_SBS]],Parametria!C:C,0))</f>
        <v>RFITD</v>
      </c>
      <c r="AP29" s="26">
        <f>Tabla_Consulta_desde_Reporte_de_Valorización_de_Instrumentos[[#This Row],[Huella]]/$AU$4</f>
        <v>0.29884579064472022</v>
      </c>
      <c r="AQ29" s="26" t="str">
        <f>IFERROR(INDEX('BD(MSCI)'!W:W,MATCH(Tabla_Consulta_desde_Reporte_de_Valorización_de_Instrumentos[[#This Row],[CODIGO_ISIN]],'BD(MSCI)'!C:C,0)),IF(Tabla_Consulta_desde_Reporte_de_Valorización_de_Instrumentos[[#This Row],[Rank_rt]]="Cash","Cash","Cuestionario Integra"))</f>
        <v>SOV</v>
      </c>
      <c r="AR29" s="26" t="str">
        <f>IFERROR(INDEX('BD(MSCI)'!X:X,MATCH(Tabla_Consulta_desde_Reporte_de_Valorización_de_Instrumentos[[#This Row],[CODIGO_ISIN]],'BD(MSCI)'!C:C,0)),"Cuestionario Integra")</f>
        <v>SOV</v>
      </c>
    </row>
    <row r="30" spans="2:44" hidden="1" x14ac:dyDescent="0.25">
      <c r="B30" s="14" t="s">
        <v>6390</v>
      </c>
      <c r="C30" t="s">
        <v>175</v>
      </c>
      <c r="D30" t="s">
        <v>10</v>
      </c>
      <c r="E30" t="s">
        <v>176</v>
      </c>
      <c r="F30" t="s">
        <v>893</v>
      </c>
      <c r="G30" t="str">
        <f>INDEX(Parametria!H:H,MATCH(Tabla_Consulta_desde_Reporte_de_Valorización_de_Instrumentos[[#This Row],[CODIGO_SBS]],Parametria!C:C,0),1)</f>
        <v>Gobierno de México</v>
      </c>
      <c r="H30" t="s">
        <v>894</v>
      </c>
      <c r="I30" t="s">
        <v>5942</v>
      </c>
      <c r="J30" t="s">
        <v>190</v>
      </c>
      <c r="K30" t="s">
        <v>84</v>
      </c>
      <c r="L30">
        <v>100</v>
      </c>
      <c r="M30" s="5">
        <v>138512483.32797411</v>
      </c>
      <c r="N30">
        <v>742050904.53999996</v>
      </c>
      <c r="O30">
        <v>8600000</v>
      </c>
      <c r="P30" s="15">
        <v>52183</v>
      </c>
      <c r="Q30">
        <v>6161</v>
      </c>
      <c r="R30">
        <v>0.18666170000000001</v>
      </c>
      <c r="S30" t="s">
        <v>155</v>
      </c>
      <c r="T30">
        <v>138141461.18195951</v>
      </c>
      <c r="U30" s="5">
        <v>738912478.15999997</v>
      </c>
      <c r="V30" t="s">
        <v>156</v>
      </c>
      <c r="W30">
        <v>0</v>
      </c>
      <c r="X30">
        <v>0</v>
      </c>
      <c r="Y30">
        <v>0</v>
      </c>
      <c r="Z30">
        <v>0.36493330000000002</v>
      </c>
      <c r="AA30" t="str">
        <f>+MID(Tabla_Consulta_desde_Reporte_de_Valorización_de_Instrumentos[[#This Row],[CODIGO_SBS]],7,1)</f>
        <v>9</v>
      </c>
      <c r="AB30">
        <f>INDEX('Cálculo Caja'!F:F,MATCH(Tabla_Consulta_desde_Reporte_de_Valorización_de_Instrumentos[[#This Row],[PORTAFOLIO]],'Cálculo Caja'!A:A,0),1)</f>
        <v>26256910350.436607</v>
      </c>
      <c r="AC30" s="17">
        <f>Tabla_Consulta_desde_Reporte_de_Valorización_de_Instrumentos[[#This Row],[VALOR_VECTOR_LOCAL]]/Tabla_Consulta_desde_Reporte_de_Valorización_de_Instrumentos[[#This Row],[Patrimonio]]</f>
        <v>5.2752773071669066E-3</v>
      </c>
      <c r="AD30" s="4">
        <f>(Tabla_Consulta_desde_Reporte_de_Valorización_de_Instrumentos[[#This Row],[VALOR_VECTOR_LOCAL]]/INDEX('Tipo de Cambio'!$D:$D,MATCH("2",'Tipo de Cambio'!$E:$E,0),1))/1000000</f>
        <v>41.212914197974982</v>
      </c>
      <c r="AE30">
        <f>IF(Tabla_Consulta_desde_Reporte_de_Valorización_de_Instrumentos[[#This Row],[PORTAFOLIO]]="IN-FONDO0",Tabla_Consulta_desde_Reporte_de_Valorización_de_Instrumentos[[#This Row],[Inv MM$]],0)</f>
        <v>0</v>
      </c>
      <c r="AF30" s="26">
        <f>IF(Tabla_Consulta_desde_Reporte_de_Valorización_de_Instrumentos[[#This Row],[PORTAFOLIO]]="IN-FONDO1",Tabla_Consulta_desde_Reporte_de_Valorización_de_Instrumentos[[#This Row],[Inv MM$]],0)</f>
        <v>0</v>
      </c>
      <c r="AG30" s="26">
        <f>IF(Tabla_Consulta_desde_Reporte_de_Valorización_de_Instrumentos[[#This Row],[PORTAFOLIO]]="IN-FONDO2",Tabla_Consulta_desde_Reporte_de_Valorización_de_Instrumentos[[#This Row],[Inv MM$]],0)</f>
        <v>41.212914197974982</v>
      </c>
      <c r="AH30" s="26">
        <f>IF(Tabla_Consulta_desde_Reporte_de_Valorización_de_Instrumentos[[#This Row],[PORTAFOLIO]]="IN-FONDO3",Tabla_Consulta_desde_Reporte_de_Valorización_de_Instrumentos[[#This Row],[Inv MM$]],0)</f>
        <v>0</v>
      </c>
      <c r="AI3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64.215470959635425</v>
      </c>
      <c r="AJ30" s="26">
        <f>IFERROR(IFERROR(INDEX('BD(MSCI)'!$T:$T,MATCH(Tabla_Consulta_desde_Reporte_de_Valorización_de_Instrumentos[[#This Row],[CODIGO_ISIN]],'BD(MSCI)'!$C:$C,0),1),INDEX('BD(MSCI)'!$T:$T,MATCH(Tabla_Consulta_desde_Reporte_de_Valorización_de_Instrumentos[[#This Row],[CODIGO_SBS]],'BD(MSCI)'!$C:$C,0),1)),0)</f>
        <v>204.30314809999999</v>
      </c>
      <c r="AK30" s="26">
        <f>Tabla_Consulta_desde_Reporte_de_Valorización_de_Instrumentos[[#This Row],[C02-H]]*Tabla_Consulta_desde_Reporte_de_Valorización_de_Instrumentos[[#This Row],[Inv MM$]]</f>
        <v>8419.9281130214749</v>
      </c>
      <c r="AL30" s="26">
        <f>Tabla_Consulta_desde_Reporte_de_Valorización_de_Instrumentos[[#This Row],[C02-H]]*Tabla_Consulta_desde_Reporte_de_Valorización_de_Instrumentos[[#This Row],[Weight]]</f>
        <v>1.0777557609546897</v>
      </c>
      <c r="AM30" s="26" t="str">
        <f>INDEX(Parametria!G:G,MATCH(Tabla_Consulta_desde_Reporte_de_Valorización_de_Instrumentos[[#This Row],[CODIGO_SBS]],Parametria!C:C,0))</f>
        <v>08RFIG</v>
      </c>
      <c r="AN30" s="26" t="str">
        <f>INDEX(Parametria!F:F,MATCH(Tabla_Consulta_desde_Reporte_de_Valorización_de_Instrumentos[[#This Row],[CODIGO_SBS]],Parametria!C:C,0))</f>
        <v>GOB</v>
      </c>
      <c r="AO30" s="26" t="str">
        <f>+INDEX(Parametria!J:J,MATCH(Tabla_Consulta_desde_Reporte_de_Valorización_de_Instrumentos[[#This Row],[CODIGO_SBS]],Parametria!C:C,0))</f>
        <v>RFIGOB</v>
      </c>
      <c r="AP30" s="26">
        <f>Tabla_Consulta_desde_Reporte_de_Valorización_de_Instrumentos[[#This Row],[Huella]]/$AU$4</f>
        <v>0.78056753980976623</v>
      </c>
      <c r="AQ30" s="26" t="str">
        <f>IFERROR(INDEX('BD(MSCI)'!W:W,MATCH(Tabla_Consulta_desde_Reporte_de_Valorización_de_Instrumentos[[#This Row],[CODIGO_ISIN]],'BD(MSCI)'!C:C,0)),IF(Tabla_Consulta_desde_Reporte_de_Valorización_de_Instrumentos[[#This Row],[Rank_rt]]="Cash","Cash","Cuestionario Integra"))</f>
        <v>SOV</v>
      </c>
      <c r="AR30" s="26" t="str">
        <f>IFERROR(INDEX('BD(MSCI)'!X:X,MATCH(Tabla_Consulta_desde_Reporte_de_Valorización_de_Instrumentos[[#This Row],[CODIGO_ISIN]],'BD(MSCI)'!C:C,0)),"Cuestionario Integra")</f>
        <v>SOV</v>
      </c>
    </row>
    <row r="31" spans="2:44" s="16" customFormat="1" hidden="1" x14ac:dyDescent="0.25">
      <c r="B31" s="14" t="s">
        <v>6390</v>
      </c>
      <c r="C31" t="s">
        <v>175</v>
      </c>
      <c r="D31" t="s">
        <v>12</v>
      </c>
      <c r="E31" t="s">
        <v>176</v>
      </c>
      <c r="F31" t="s">
        <v>893</v>
      </c>
      <c r="G31" t="str">
        <f>INDEX(Parametria!H:H,MATCH(Tabla_Consulta_desde_Reporte_de_Valorización_de_Instrumentos[[#This Row],[CODIGO_SBS]],Parametria!C:C,0),1)</f>
        <v>Gobierno de México</v>
      </c>
      <c r="H31" t="s">
        <v>894</v>
      </c>
      <c r="I31" t="s">
        <v>5942</v>
      </c>
      <c r="J31" t="s">
        <v>190</v>
      </c>
      <c r="K31" t="s">
        <v>84</v>
      </c>
      <c r="L31">
        <v>100</v>
      </c>
      <c r="M31" s="5">
        <v>77309293.020264596</v>
      </c>
      <c r="N31">
        <v>414167946.72000003</v>
      </c>
      <c r="O31">
        <v>4800000</v>
      </c>
      <c r="P31" s="15">
        <v>52183</v>
      </c>
      <c r="Q31">
        <v>6161</v>
      </c>
      <c r="R31">
        <v>0.18666170000000001</v>
      </c>
      <c r="S31" t="s">
        <v>155</v>
      </c>
      <c r="T31">
        <v>77102210.892256498</v>
      </c>
      <c r="U31" s="5">
        <v>412416266.88</v>
      </c>
      <c r="V31" t="s">
        <v>156</v>
      </c>
      <c r="W31">
        <v>0</v>
      </c>
      <c r="X31">
        <v>0</v>
      </c>
      <c r="Y31">
        <v>0</v>
      </c>
      <c r="Z31">
        <v>0.36493330000000002</v>
      </c>
      <c r="AA31" t="str">
        <f>+MID(Tabla_Consulta_desde_Reporte_de_Valorización_de_Instrumentos[[#This Row],[CODIGO_SBS]],7,1)</f>
        <v>9</v>
      </c>
      <c r="AB31">
        <f>INDEX('Cálculo Caja'!F:F,MATCH(Tabla_Consulta_desde_Reporte_de_Valorización_de_Instrumentos[[#This Row],[PORTAFOLIO]],'Cálculo Caja'!A:A,0),1)</f>
        <v>7679510866.0565634</v>
      </c>
      <c r="AC31" s="17">
        <f>Tabla_Consulta_desde_Reporte_de_Valorización_de_Instrumentos[[#This Row],[VALOR_VECTOR_LOCAL]]/Tabla_Consulta_desde_Reporte_de_Valorización_de_Instrumentos[[#This Row],[Patrimonio]]</f>
        <v>1.0066955352843064E-2</v>
      </c>
      <c r="AD31" s="4">
        <f>(Tabla_Consulta_desde_Reporte_de_Valorización_de_Instrumentos[[#This Row],[VALOR_VECTOR_LOCAL]]/INDEX('Tipo de Cambio'!$D:$D,MATCH("2",'Tipo de Cambio'!$E:$E,0),1))/1000000</f>
        <v>23.002556761660447</v>
      </c>
      <c r="AE31">
        <f>IF(Tabla_Consulta_desde_Reporte_de_Valorización_de_Instrumentos[[#This Row],[PORTAFOLIO]]="IN-FONDO0",Tabla_Consulta_desde_Reporte_de_Valorización_de_Instrumentos[[#This Row],[Inv MM$]],0)</f>
        <v>0</v>
      </c>
      <c r="AF31" s="26">
        <f>IF(Tabla_Consulta_desde_Reporte_de_Valorización_de_Instrumentos[[#This Row],[PORTAFOLIO]]="IN-FONDO1",Tabla_Consulta_desde_Reporte_de_Valorización_de_Instrumentos[[#This Row],[Inv MM$]],0)</f>
        <v>23.002556761660447</v>
      </c>
      <c r="AG31" s="26">
        <f>IF(Tabla_Consulta_desde_Reporte_de_Valorización_de_Instrumentos[[#This Row],[PORTAFOLIO]]="IN-FONDO2",Tabla_Consulta_desde_Reporte_de_Valorización_de_Instrumentos[[#This Row],[Inv MM$]],0)</f>
        <v>0</v>
      </c>
      <c r="AH31" s="26">
        <f>IF(Tabla_Consulta_desde_Reporte_de_Valorización_de_Instrumentos[[#This Row],[PORTAFOLIO]]="IN-FONDO3",Tabla_Consulta_desde_Reporte_de_Valorización_de_Instrumentos[[#This Row],[Inv MM$]],0)</f>
        <v>0</v>
      </c>
      <c r="AI3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64.215470959635425</v>
      </c>
      <c r="AJ31" s="26">
        <f>IFERROR(IFERROR(INDEX('BD(MSCI)'!$T:$T,MATCH(Tabla_Consulta_desde_Reporte_de_Valorización_de_Instrumentos[[#This Row],[CODIGO_ISIN]],'BD(MSCI)'!$C:$C,0),1),INDEX('BD(MSCI)'!$T:$T,MATCH(Tabla_Consulta_desde_Reporte_de_Valorización_de_Instrumentos[[#This Row],[CODIGO_SBS]],'BD(MSCI)'!$C:$C,0),1)),0)</f>
        <v>204.30314809999999</v>
      </c>
      <c r="AK31" s="26">
        <f>Tabla_Consulta_desde_Reporte_de_Valorización_de_Instrumentos[[#This Row],[C02-H]]*Tabla_Consulta_desde_Reporte_de_Valorización_de_Instrumentos[[#This Row],[Inv MM$]]</f>
        <v>4699.4947607561708</v>
      </c>
      <c r="AL31" s="26">
        <f>Tabla_Consulta_desde_Reporte_de_Valorización_de_Instrumentos[[#This Row],[C02-H]]*Tabla_Consulta_desde_Reporte_de_Valorización_de_Instrumentos[[#This Row],[Weight]]</f>
        <v>2.0567106703679841</v>
      </c>
      <c r="AM31" s="26" t="str">
        <f>INDEX(Parametria!G:G,MATCH(Tabla_Consulta_desde_Reporte_de_Valorización_de_Instrumentos[[#This Row],[CODIGO_SBS]],Parametria!C:C,0))</f>
        <v>08RFIG</v>
      </c>
      <c r="AN31" s="26" t="str">
        <f>INDEX(Parametria!F:F,MATCH(Tabla_Consulta_desde_Reporte_de_Valorización_de_Instrumentos[[#This Row],[CODIGO_SBS]],Parametria!C:C,0))</f>
        <v>GOB</v>
      </c>
      <c r="AO31" s="26" t="str">
        <f>+INDEX(Parametria!J:J,MATCH(Tabla_Consulta_desde_Reporte_de_Valorización_de_Instrumentos[[#This Row],[CODIGO_SBS]],Parametria!C:C,0))</f>
        <v>RFIGOB</v>
      </c>
      <c r="AP31" s="26">
        <f>Tabla_Consulta_desde_Reporte_de_Valorización_de_Instrumentos[[#This Row],[Huella]]/$AU$4</f>
        <v>0.43566560361475315</v>
      </c>
      <c r="AQ31" s="26" t="str">
        <f>IFERROR(INDEX('BD(MSCI)'!W:W,MATCH(Tabla_Consulta_desde_Reporte_de_Valorización_de_Instrumentos[[#This Row],[CODIGO_ISIN]],'BD(MSCI)'!C:C,0)),IF(Tabla_Consulta_desde_Reporte_de_Valorización_de_Instrumentos[[#This Row],[Rank_rt]]="Cash","Cash","Cuestionario Integra"))</f>
        <v>SOV</v>
      </c>
      <c r="AR31" s="26" t="str">
        <f>IFERROR(INDEX('BD(MSCI)'!X:X,MATCH(Tabla_Consulta_desde_Reporte_de_Valorización_de_Instrumentos[[#This Row],[CODIGO_ISIN]],'BD(MSCI)'!C:C,0)),"Cuestionario Integra")</f>
        <v>SOV</v>
      </c>
    </row>
    <row r="32" spans="2:44" hidden="1" x14ac:dyDescent="0.25">
      <c r="B32" s="14" t="s">
        <v>6390</v>
      </c>
      <c r="C32" t="s">
        <v>191</v>
      </c>
      <c r="D32" t="s">
        <v>10</v>
      </c>
      <c r="E32" t="s">
        <v>5943</v>
      </c>
      <c r="F32" t="s">
        <v>6189</v>
      </c>
      <c r="G32" t="str">
        <f>INDEX(Parametria!H:H,MATCH(Tabla_Consulta_desde_Reporte_de_Valorización_de_Instrumentos[[#This Row],[CODIGO_SBS]],Parametria!C:C,0),1)</f>
        <v>Grupo Nutresa S.A.</v>
      </c>
      <c r="H32" t="s">
        <v>6188</v>
      </c>
      <c r="I32" t="s">
        <v>6397</v>
      </c>
      <c r="J32" t="s">
        <v>6398</v>
      </c>
      <c r="K32" t="s">
        <v>50</v>
      </c>
      <c r="L32">
        <v>1000</v>
      </c>
      <c r="M32" s="5">
        <v>32709959.25</v>
      </c>
      <c r="N32">
        <v>9732500</v>
      </c>
      <c r="O32">
        <v>8500</v>
      </c>
      <c r="P32" s="15">
        <v>49441</v>
      </c>
      <c r="Q32">
        <v>3419</v>
      </c>
      <c r="R32">
        <v>3.3609</v>
      </c>
      <c r="S32" t="s">
        <v>155</v>
      </c>
      <c r="T32">
        <v>32712213.449999999</v>
      </c>
      <c r="U32" s="5">
        <v>9728250</v>
      </c>
      <c r="V32" t="s">
        <v>156</v>
      </c>
      <c r="W32">
        <v>0</v>
      </c>
      <c r="X32">
        <v>0</v>
      </c>
      <c r="Y32">
        <v>0</v>
      </c>
      <c r="Z32">
        <v>0.5</v>
      </c>
      <c r="AA32" t="str">
        <f>+MID(Tabla_Consulta_desde_Reporte_de_Valorización_de_Instrumentos[[#This Row],[CODIGO_SBS]],7,1)</f>
        <v>2</v>
      </c>
      <c r="AB32">
        <f>INDEX('Cálculo Caja'!F:F,MATCH(Tabla_Consulta_desde_Reporte_de_Valorización_de_Instrumentos[[#This Row],[PORTAFOLIO]],'Cálculo Caja'!A:A,0),1)</f>
        <v>26256910350.436607</v>
      </c>
      <c r="AC32" s="17">
        <f>Tabla_Consulta_desde_Reporte_de_Valorización_de_Instrumentos[[#This Row],[VALOR_VECTOR_LOCAL]]/Tabla_Consulta_desde_Reporte_de_Valorización_de_Instrumentos[[#This Row],[Patrimonio]]</f>
        <v>1.2457657360838759E-3</v>
      </c>
      <c r="AD32" s="4">
        <f>(Tabla_Consulta_desde_Reporte_de_Valorización_de_Instrumentos[[#This Row],[VALOR_VECTOR_LOCAL]]/INDEX('Tipo de Cambio'!$D:$D,MATCH("2",'Tipo de Cambio'!$E:$E,0),1))/1000000</f>
        <v>9.7324999999999999</v>
      </c>
      <c r="AE32">
        <f>IF(Tabla_Consulta_desde_Reporte_de_Valorización_de_Instrumentos[[#This Row],[PORTAFOLIO]]="IN-FONDO0",Tabla_Consulta_desde_Reporte_de_Valorización_de_Instrumentos[[#This Row],[Inv MM$]],0)</f>
        <v>0</v>
      </c>
      <c r="AF32" s="26">
        <f>IF(Tabla_Consulta_desde_Reporte_de_Valorización_de_Instrumentos[[#This Row],[PORTAFOLIO]]="IN-FONDO1",Tabla_Consulta_desde_Reporte_de_Valorización_de_Instrumentos[[#This Row],[Inv MM$]],0)</f>
        <v>0</v>
      </c>
      <c r="AG32" s="26">
        <f>IF(Tabla_Consulta_desde_Reporte_de_Valorización_de_Instrumentos[[#This Row],[PORTAFOLIO]]="IN-FONDO2",Tabla_Consulta_desde_Reporte_de_Valorización_de_Instrumentos[[#This Row],[Inv MM$]],0)</f>
        <v>9.7324999999999999</v>
      </c>
      <c r="AH32" s="26">
        <f>IF(Tabla_Consulta_desde_Reporte_de_Valorización_de_Instrumentos[[#This Row],[PORTAFOLIO]]="IN-FONDO3",Tabla_Consulta_desde_Reporte_de_Valorización_de_Instrumentos[[#This Row],[Inv MM$]],0)</f>
        <v>0</v>
      </c>
      <c r="AI3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14.3125</v>
      </c>
      <c r="AJ32" s="26">
        <f>IFERROR(IFERROR(INDEX('BD(MSCI)'!$T:$T,MATCH(Tabla_Consulta_desde_Reporte_de_Valorización_de_Instrumentos[[#This Row],[CODIGO_ISIN]],'BD(MSCI)'!$C:$C,0),1),INDEX('BD(MSCI)'!$T:$T,MATCH(Tabla_Consulta_desde_Reporte_de_Valorización_de_Instrumentos[[#This Row],[CODIGO_SBS]],'BD(MSCI)'!$C:$C,0),1)),0)</f>
        <v>17.5</v>
      </c>
      <c r="AK32" s="26">
        <f>Tabla_Consulta_desde_Reporte_de_Valorización_de_Instrumentos[[#This Row],[C02-H]]*Tabla_Consulta_desde_Reporte_de_Valorización_de_Instrumentos[[#This Row],[Inv MM$]]</f>
        <v>170.31874999999999</v>
      </c>
      <c r="AL32" s="26">
        <f>Tabla_Consulta_desde_Reporte_de_Valorización_de_Instrumentos[[#This Row],[C02-H]]*Tabla_Consulta_desde_Reporte_de_Valorización_de_Instrumentos[[#This Row],[Weight]]</f>
        <v>2.1800900381467828E-2</v>
      </c>
      <c r="AM32" s="26" t="str">
        <f>INDEX(Parametria!G:G,MATCH(Tabla_Consulta_desde_Reporte_de_Valorización_de_Instrumentos[[#This Row],[CODIGO_SBS]],Parametria!C:C,0))</f>
        <v>12RFIC</v>
      </c>
      <c r="AN32" s="26" t="str">
        <f>INDEX(Parametria!F:F,MATCH(Tabla_Consulta_desde_Reporte_de_Valorización_de_Instrumentos[[#This Row],[CODIGO_SBS]],Parametria!C:C,0))</f>
        <v>BU</v>
      </c>
      <c r="AO32" s="26" t="str">
        <f>+INDEX(Parametria!J:J,MATCH(Tabla_Consulta_desde_Reporte_de_Valorización_de_Instrumentos[[#This Row],[CODIGO_SBS]],Parametria!C:C,0))</f>
        <v>RFIBU</v>
      </c>
      <c r="AP32" s="26">
        <f>Tabla_Consulta_desde_Reporte_de_Valorización_de_Instrumentos[[#This Row],[Huella]]/$AU$4</f>
        <v>1.5789361368225206E-2</v>
      </c>
      <c r="AQ32" s="26" t="str">
        <f>IFERROR(INDEX('BD(MSCI)'!W:W,MATCH(Tabla_Consulta_desde_Reporte_de_Valorización_de_Instrumentos[[#This Row],[CODIGO_ISIN]],'BD(MSCI)'!C:C,0)),IF(Tabla_Consulta_desde_Reporte_de_Valorización_de_Instrumentos[[#This Row],[Rank_rt]]="Cash","Cash","Cuestionario Integra"))</f>
        <v>Portafolio</v>
      </c>
      <c r="AR32" s="26" t="str">
        <f>IFERROR(INDEX('BD(MSCI)'!X:X,MATCH(Tabla_Consulta_desde_Reporte_de_Valorización_de_Instrumentos[[#This Row],[CODIGO_ISIN]],'BD(MSCI)'!C:C,0)),"Cuestionario Integra")</f>
        <v>Portafolio</v>
      </c>
    </row>
    <row r="33" spans="2:47" hidden="1" x14ac:dyDescent="0.25">
      <c r="B33" s="14" t="s">
        <v>6390</v>
      </c>
      <c r="C33" t="s">
        <v>191</v>
      </c>
      <c r="D33" t="s">
        <v>12</v>
      </c>
      <c r="E33" t="s">
        <v>5943</v>
      </c>
      <c r="F33" t="s">
        <v>6189</v>
      </c>
      <c r="G33" t="str">
        <f>INDEX(Parametria!H:H,MATCH(Tabla_Consulta_desde_Reporte_de_Valorización_de_Instrumentos[[#This Row],[CODIGO_SBS]],Parametria!C:C,0),1)</f>
        <v>Grupo Nutresa S.A.</v>
      </c>
      <c r="H33" t="s">
        <v>6188</v>
      </c>
      <c r="I33" t="s">
        <v>6397</v>
      </c>
      <c r="J33" t="s">
        <v>6398</v>
      </c>
      <c r="K33" t="s">
        <v>50</v>
      </c>
      <c r="L33">
        <v>1000</v>
      </c>
      <c r="M33" s="5">
        <v>15392922</v>
      </c>
      <c r="N33">
        <v>4580000</v>
      </c>
      <c r="O33">
        <v>4000</v>
      </c>
      <c r="P33" s="15">
        <v>49441</v>
      </c>
      <c r="Q33">
        <v>3419</v>
      </c>
      <c r="R33">
        <v>3.3609</v>
      </c>
      <c r="S33" t="s">
        <v>155</v>
      </c>
      <c r="T33">
        <v>15393982.800000001</v>
      </c>
      <c r="U33" s="5">
        <v>4578000</v>
      </c>
      <c r="V33" t="s">
        <v>156</v>
      </c>
      <c r="W33">
        <v>0</v>
      </c>
      <c r="X33">
        <v>0</v>
      </c>
      <c r="Y33">
        <v>0</v>
      </c>
      <c r="Z33">
        <v>0.5</v>
      </c>
      <c r="AA33" t="str">
        <f>+MID(Tabla_Consulta_desde_Reporte_de_Valorización_de_Instrumentos[[#This Row],[CODIGO_SBS]],7,1)</f>
        <v>2</v>
      </c>
      <c r="AB33">
        <f>INDEX('Cálculo Caja'!F:F,MATCH(Tabla_Consulta_desde_Reporte_de_Valorización_de_Instrumentos[[#This Row],[PORTAFOLIO]],'Cálculo Caja'!A:A,0),1)</f>
        <v>7679510866.0565634</v>
      </c>
      <c r="AC33" s="17">
        <f>Tabla_Consulta_desde_Reporte_de_Valorización_de_Instrumentos[[#This Row],[VALOR_VECTOR_LOCAL]]/Tabla_Consulta_desde_Reporte_de_Valorización_de_Instrumentos[[#This Row],[Patrimonio]]</f>
        <v>2.0044143785298506E-3</v>
      </c>
      <c r="AD33" s="4">
        <f>(Tabla_Consulta_desde_Reporte_de_Valorización_de_Instrumentos[[#This Row],[VALOR_VECTOR_LOCAL]]/INDEX('Tipo de Cambio'!$D:$D,MATCH("2",'Tipo de Cambio'!$E:$E,0),1))/1000000</f>
        <v>4.58</v>
      </c>
      <c r="AE33">
        <f>IF(Tabla_Consulta_desde_Reporte_de_Valorización_de_Instrumentos[[#This Row],[PORTAFOLIO]]="IN-FONDO0",Tabla_Consulta_desde_Reporte_de_Valorización_de_Instrumentos[[#This Row],[Inv MM$]],0)</f>
        <v>0</v>
      </c>
      <c r="AF33" s="26">
        <f>IF(Tabla_Consulta_desde_Reporte_de_Valorización_de_Instrumentos[[#This Row],[PORTAFOLIO]]="IN-FONDO1",Tabla_Consulta_desde_Reporte_de_Valorización_de_Instrumentos[[#This Row],[Inv MM$]],0)</f>
        <v>4.58</v>
      </c>
      <c r="AG33" s="26">
        <f>IF(Tabla_Consulta_desde_Reporte_de_Valorización_de_Instrumentos[[#This Row],[PORTAFOLIO]]="IN-FONDO2",Tabla_Consulta_desde_Reporte_de_Valorización_de_Instrumentos[[#This Row],[Inv MM$]],0)</f>
        <v>0</v>
      </c>
      <c r="AH33" s="26">
        <f>IF(Tabla_Consulta_desde_Reporte_de_Valorización_de_Instrumentos[[#This Row],[PORTAFOLIO]]="IN-FONDO3",Tabla_Consulta_desde_Reporte_de_Valorización_de_Instrumentos[[#This Row],[Inv MM$]],0)</f>
        <v>0</v>
      </c>
      <c r="AI3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14.3125</v>
      </c>
      <c r="AJ33" s="26">
        <f>IFERROR(IFERROR(INDEX('BD(MSCI)'!$T:$T,MATCH(Tabla_Consulta_desde_Reporte_de_Valorización_de_Instrumentos[[#This Row],[CODIGO_ISIN]],'BD(MSCI)'!$C:$C,0),1),INDEX('BD(MSCI)'!$T:$T,MATCH(Tabla_Consulta_desde_Reporte_de_Valorización_de_Instrumentos[[#This Row],[CODIGO_SBS]],'BD(MSCI)'!$C:$C,0),1)),0)</f>
        <v>17.5</v>
      </c>
      <c r="AK33" s="26">
        <f>Tabla_Consulta_desde_Reporte_de_Valorización_de_Instrumentos[[#This Row],[C02-H]]*Tabla_Consulta_desde_Reporte_de_Valorización_de_Instrumentos[[#This Row],[Inv MM$]]</f>
        <v>80.150000000000006</v>
      </c>
      <c r="AL33" s="26">
        <f>Tabla_Consulta_desde_Reporte_de_Valorización_de_Instrumentos[[#This Row],[C02-H]]*Tabla_Consulta_desde_Reporte_de_Valorización_de_Instrumentos[[#This Row],[Weight]]</f>
        <v>3.5077251624272388E-2</v>
      </c>
      <c r="AM33" s="26" t="str">
        <f>INDEX(Parametria!G:G,MATCH(Tabla_Consulta_desde_Reporte_de_Valorización_de_Instrumentos[[#This Row],[CODIGO_SBS]],Parametria!C:C,0))</f>
        <v>12RFIC</v>
      </c>
      <c r="AN33" s="26" t="str">
        <f>INDEX(Parametria!F:F,MATCH(Tabla_Consulta_desde_Reporte_de_Valorización_de_Instrumentos[[#This Row],[CODIGO_SBS]],Parametria!C:C,0))</f>
        <v>BU</v>
      </c>
      <c r="AO33" s="26" t="str">
        <f>+INDEX(Parametria!J:J,MATCH(Tabla_Consulta_desde_Reporte_de_Valorización_de_Instrumentos[[#This Row],[CODIGO_SBS]],Parametria!C:C,0))</f>
        <v>RFIBU</v>
      </c>
      <c r="AP33" s="26">
        <f>Tabla_Consulta_desde_Reporte_de_Valorización_de_Instrumentos[[#This Row],[Huella]]/$AU$4</f>
        <v>7.4302877026942151E-3</v>
      </c>
      <c r="AQ33" s="26" t="str">
        <f>IFERROR(INDEX('BD(MSCI)'!W:W,MATCH(Tabla_Consulta_desde_Reporte_de_Valorización_de_Instrumentos[[#This Row],[CODIGO_ISIN]],'BD(MSCI)'!C:C,0)),IF(Tabla_Consulta_desde_Reporte_de_Valorización_de_Instrumentos[[#This Row],[Rank_rt]]="Cash","Cash","Cuestionario Integra"))</f>
        <v>Portafolio</v>
      </c>
      <c r="AR33" s="26" t="str">
        <f>IFERROR(INDEX('BD(MSCI)'!X:X,MATCH(Tabla_Consulta_desde_Reporte_de_Valorización_de_Instrumentos[[#This Row],[CODIGO_ISIN]],'BD(MSCI)'!C:C,0)),"Cuestionario Integra")</f>
        <v>Portafolio</v>
      </c>
    </row>
    <row r="34" spans="2:47" hidden="1" x14ac:dyDescent="0.25">
      <c r="B34" s="14" t="s">
        <v>6390</v>
      </c>
      <c r="C34" t="s">
        <v>191</v>
      </c>
      <c r="D34" t="s">
        <v>12</v>
      </c>
      <c r="E34" t="s">
        <v>5943</v>
      </c>
      <c r="F34" t="s">
        <v>5944</v>
      </c>
      <c r="G34" t="str">
        <f>INDEX(Parametria!H:H,MATCH(Tabla_Consulta_desde_Reporte_de_Valorización_de_Instrumentos[[#This Row],[CODIGO_SBS]],Parametria!C:C,0),1)</f>
        <v>Nexa Resources</v>
      </c>
      <c r="H34" t="s">
        <v>5945</v>
      </c>
      <c r="I34" t="s">
        <v>5946</v>
      </c>
      <c r="J34" t="s">
        <v>201</v>
      </c>
      <c r="K34" t="s">
        <v>50</v>
      </c>
      <c r="L34">
        <v>1000</v>
      </c>
      <c r="M34" s="5">
        <v>24638309.787842099</v>
      </c>
      <c r="N34">
        <v>7330866.6689999998</v>
      </c>
      <c r="O34">
        <v>7000</v>
      </c>
      <c r="P34" s="15">
        <v>50138</v>
      </c>
      <c r="Q34">
        <v>4116</v>
      </c>
      <c r="R34">
        <v>3.3609</v>
      </c>
      <c r="S34" t="s">
        <v>155</v>
      </c>
      <c r="T34">
        <v>24657049.098820601</v>
      </c>
      <c r="U34" s="5">
        <v>7332733.3310000002</v>
      </c>
      <c r="V34" t="s">
        <v>156</v>
      </c>
      <c r="W34">
        <v>4840507000</v>
      </c>
      <c r="X34">
        <v>3383873000</v>
      </c>
      <c r="Y34">
        <v>1456634000</v>
      </c>
      <c r="Z34">
        <v>-0.26666600000000001</v>
      </c>
      <c r="AA34" t="str">
        <f>+MID(Tabla_Consulta_desde_Reporte_de_Valorización_de_Instrumentos[[#This Row],[CODIGO_SBS]],7,1)</f>
        <v>2</v>
      </c>
      <c r="AB34">
        <f>INDEX('Cálculo Caja'!F:F,MATCH(Tabla_Consulta_desde_Reporte_de_Valorización_de_Instrumentos[[#This Row],[PORTAFOLIO]],'Cálculo Caja'!A:A,0),1)</f>
        <v>7679510866.0565634</v>
      </c>
      <c r="AC34" s="17">
        <f>Tabla_Consulta_desde_Reporte_de_Valorización_de_Instrumentos[[#This Row],[VALOR_VECTOR_LOCAL]]/Tabla_Consulta_desde_Reporte_de_Valorización_de_Instrumentos[[#This Row],[Patrimonio]]</f>
        <v>3.2083175891766003E-3</v>
      </c>
      <c r="AD34" s="4">
        <f>(Tabla_Consulta_desde_Reporte_de_Valorización_de_Instrumentos[[#This Row],[VALOR_VECTOR_LOCAL]]/INDEX('Tipo de Cambio'!$D:$D,MATCH("2",'Tipo de Cambio'!$E:$E,0),1))/1000000</f>
        <v>7.3308666689999997</v>
      </c>
      <c r="AE34">
        <f>IF(Tabla_Consulta_desde_Reporte_de_Valorización_de_Instrumentos[[#This Row],[PORTAFOLIO]]="IN-FONDO0",Tabla_Consulta_desde_Reporte_de_Valorización_de_Instrumentos[[#This Row],[Inv MM$]],0)</f>
        <v>0</v>
      </c>
      <c r="AF34" s="26">
        <f>IF(Tabla_Consulta_desde_Reporte_de_Valorización_de_Instrumentos[[#This Row],[PORTAFOLIO]]="IN-FONDO1",Tabla_Consulta_desde_Reporte_de_Valorización_de_Instrumentos[[#This Row],[Inv MM$]],0)</f>
        <v>7.3308666689999997</v>
      </c>
      <c r="AG34" s="26">
        <f>IF(Tabla_Consulta_desde_Reporte_de_Valorización_de_Instrumentos[[#This Row],[PORTAFOLIO]]="IN-FONDO2",Tabla_Consulta_desde_Reporte_de_Valorización_de_Instrumentos[[#This Row],[Inv MM$]],0)</f>
        <v>0</v>
      </c>
      <c r="AH34" s="26">
        <f>IF(Tabla_Consulta_desde_Reporte_de_Valorización_de_Instrumentos[[#This Row],[PORTAFOLIO]]="IN-FONDO3",Tabla_Consulta_desde_Reporte_de_Valorización_de_Instrumentos[[#This Row],[Inv MM$]],0)</f>
        <v>0</v>
      </c>
      <c r="AI3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7.3308666689999997</v>
      </c>
      <c r="AJ34" s="26">
        <f>IFERROR(IFERROR(INDEX('BD(MSCI)'!$T:$T,MATCH(Tabla_Consulta_desde_Reporte_de_Valorización_de_Instrumentos[[#This Row],[CODIGO_ISIN]],'BD(MSCI)'!$C:$C,0),1),INDEX('BD(MSCI)'!$T:$T,MATCH(Tabla_Consulta_desde_Reporte_de_Valorización_de_Instrumentos[[#This Row],[CODIGO_SBS]],'BD(MSCI)'!$C:$C,0),1)),0)</f>
        <v>214.26</v>
      </c>
      <c r="AK34" s="26">
        <f>Tabla_Consulta_desde_Reporte_de_Valorización_de_Instrumentos[[#This Row],[C02-H]]*Tabla_Consulta_desde_Reporte_de_Valorización_de_Instrumentos[[#This Row],[Inv MM$]]</f>
        <v>1570.7114924999398</v>
      </c>
      <c r="AL34" s="26">
        <f>Tabla_Consulta_desde_Reporte_de_Valorización_de_Instrumentos[[#This Row],[C02-H]]*Tabla_Consulta_desde_Reporte_de_Valorización_de_Instrumentos[[#This Row],[Weight]]</f>
        <v>0.68741412665697832</v>
      </c>
      <c r="AM34" s="26" t="str">
        <f>INDEX(Parametria!G:G,MATCH(Tabla_Consulta_desde_Reporte_de_Valorización_de_Instrumentos[[#This Row],[CODIGO_SBS]],Parametria!C:C,0))</f>
        <v>12RFLC</v>
      </c>
      <c r="AN34" s="26" t="str">
        <f>INDEX(Parametria!F:F,MATCH(Tabla_Consulta_desde_Reporte_de_Valorización_de_Instrumentos[[#This Row],[CODIGO_SBS]],Parametria!C:C,0))</f>
        <v>BU</v>
      </c>
      <c r="AO34" s="26" t="str">
        <f>+INDEX(Parametria!J:J,MATCH(Tabla_Consulta_desde_Reporte_de_Valorización_de_Instrumentos[[#This Row],[CODIGO_SBS]],Parametria!C:C,0))</f>
        <v>RFLBU</v>
      </c>
      <c r="AP34" s="26">
        <f>Tabla_Consulta_desde_Reporte_de_Valorización_de_Instrumentos[[#This Row],[Huella]]/$AU$4</f>
        <v>0.14561245523646635</v>
      </c>
      <c r="AQ34" s="26" t="str">
        <f>IFERROR(INDEX('BD(MSCI)'!W:W,MATCH(Tabla_Consulta_desde_Reporte_de_Valorización_de_Instrumentos[[#This Row],[CODIGO_ISIN]],'BD(MSCI)'!C:C,0)),IF(Tabla_Consulta_desde_Reporte_de_Valorización_de_Instrumentos[[#This Row],[Rank_rt]]="Cash","Cash","Cuestionario Integra"))</f>
        <v>Portafolio</v>
      </c>
      <c r="AR34" s="26" t="str">
        <f>IFERROR(INDEX('BD(MSCI)'!X:X,MATCH(Tabla_Consulta_desde_Reporte_de_Valorización_de_Instrumentos[[#This Row],[CODIGO_ISIN]],'BD(MSCI)'!C:C,0)),"Cuestionario Integra")</f>
        <v>Portafolio</v>
      </c>
    </row>
    <row r="35" spans="2:47" hidden="1" x14ac:dyDescent="0.25">
      <c r="B35" s="14" t="s">
        <v>6390</v>
      </c>
      <c r="C35" t="s">
        <v>202</v>
      </c>
      <c r="D35" t="s">
        <v>12</v>
      </c>
      <c r="E35" t="s">
        <v>203</v>
      </c>
      <c r="F35" t="s">
        <v>209</v>
      </c>
      <c r="G35" t="str">
        <f>INDEX(Parametria!H:H,MATCH(Tabla_Consulta_desde_Reporte_de_Valorización_de_Instrumentos[[#This Row],[CODIGO_SBS]],Parametria!C:C,0),1)</f>
        <v>Grupo Financiero Banorte</v>
      </c>
      <c r="H35" t="s">
        <v>210</v>
      </c>
      <c r="I35" t="s">
        <v>211</v>
      </c>
      <c r="J35" t="s">
        <v>204</v>
      </c>
      <c r="K35" t="s">
        <v>50</v>
      </c>
      <c r="L35">
        <v>1000</v>
      </c>
      <c r="M35" s="5">
        <v>22661029.036118001</v>
      </c>
      <c r="N35">
        <v>6742547.8401969997</v>
      </c>
      <c r="O35">
        <v>6773</v>
      </c>
      <c r="P35" s="15">
        <v>51525</v>
      </c>
      <c r="Q35">
        <v>5503</v>
      </c>
      <c r="R35">
        <v>3.3609</v>
      </c>
      <c r="S35" t="s">
        <v>155</v>
      </c>
      <c r="T35">
        <v>22652949.236604199</v>
      </c>
      <c r="U35" s="5">
        <v>6736736.2269090004</v>
      </c>
      <c r="V35" t="s">
        <v>156</v>
      </c>
      <c r="W35">
        <v>2191378000000</v>
      </c>
      <c r="X35">
        <v>1948764000000</v>
      </c>
      <c r="Y35">
        <v>242614000000</v>
      </c>
      <c r="Z35">
        <v>0.85805600000000004</v>
      </c>
      <c r="AA35" t="str">
        <f>+MID(Tabla_Consulta_desde_Reporte_de_Valorización_de_Instrumentos[[#This Row],[CODIGO_SBS]],7,1)</f>
        <v>2</v>
      </c>
      <c r="AB35">
        <f>INDEX('Cálculo Caja'!F:F,MATCH(Tabla_Consulta_desde_Reporte_de_Valorización_de_Instrumentos[[#This Row],[PORTAFOLIO]],'Cálculo Caja'!A:A,0),1)</f>
        <v>7679510866.0565634</v>
      </c>
      <c r="AC35" s="17">
        <f>Tabla_Consulta_desde_Reporte_de_Valorización_de_Instrumentos[[#This Row],[VALOR_VECTOR_LOCAL]]/Tabla_Consulta_desde_Reporte_de_Valorización_de_Instrumentos[[#This Row],[Patrimonio]]</f>
        <v>2.9508427595668556E-3</v>
      </c>
      <c r="AD35" s="4">
        <f>(Tabla_Consulta_desde_Reporte_de_Valorización_de_Instrumentos[[#This Row],[VALOR_VECTOR_LOCAL]]/INDEX('Tipo de Cambio'!$D:$D,MATCH("2",'Tipo de Cambio'!$E:$E,0),1))/1000000</f>
        <v>6.7425478401969707</v>
      </c>
      <c r="AE35">
        <f>IF(Tabla_Consulta_desde_Reporte_de_Valorización_de_Instrumentos[[#This Row],[PORTAFOLIO]]="IN-FONDO0",Tabla_Consulta_desde_Reporte_de_Valorización_de_Instrumentos[[#This Row],[Inv MM$]],0)</f>
        <v>0</v>
      </c>
      <c r="AF35" s="26">
        <f>IF(Tabla_Consulta_desde_Reporte_de_Valorización_de_Instrumentos[[#This Row],[PORTAFOLIO]]="IN-FONDO1",Tabla_Consulta_desde_Reporte_de_Valorización_de_Instrumentos[[#This Row],[Inv MM$]],0)</f>
        <v>6.7425478401969707</v>
      </c>
      <c r="AG35" s="26">
        <f>IF(Tabla_Consulta_desde_Reporte_de_Valorización_de_Instrumentos[[#This Row],[PORTAFOLIO]]="IN-FONDO2",Tabla_Consulta_desde_Reporte_de_Valorización_de_Instrumentos[[#This Row],[Inv MM$]],0)</f>
        <v>0</v>
      </c>
      <c r="AH35" s="26">
        <f>IF(Tabla_Consulta_desde_Reporte_de_Valorización_de_Instrumentos[[#This Row],[PORTAFOLIO]]="IN-FONDO3",Tabla_Consulta_desde_Reporte_de_Valorización_de_Instrumentos[[#This Row],[Inv MM$]],0)</f>
        <v>0</v>
      </c>
      <c r="AI3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27.694918191979944</v>
      </c>
      <c r="AJ35" s="26">
        <f>IFERROR(IFERROR(INDEX('BD(MSCI)'!$T:$T,MATCH(Tabla_Consulta_desde_Reporte_de_Valorización_de_Instrumentos[[#This Row],[CODIGO_ISIN]],'BD(MSCI)'!$C:$C,0),1),INDEX('BD(MSCI)'!$T:$T,MATCH(Tabla_Consulta_desde_Reporte_de_Valorización_de_Instrumentos[[#This Row],[CODIGO_SBS]],'BD(MSCI)'!$C:$C,0),1)),0)</f>
        <v>1.05</v>
      </c>
      <c r="AK35" s="26">
        <f>Tabla_Consulta_desde_Reporte_de_Valorización_de_Instrumentos[[#This Row],[C02-H]]*Tabla_Consulta_desde_Reporte_de_Valorización_de_Instrumentos[[#This Row],[Inv MM$]]</f>
        <v>7.0796752322068199</v>
      </c>
      <c r="AL35" s="26">
        <f>Tabla_Consulta_desde_Reporte_de_Valorización_de_Instrumentos[[#This Row],[C02-H]]*Tabla_Consulta_desde_Reporte_de_Valorización_de_Instrumentos[[#This Row],[Weight]]</f>
        <v>3.0983848975451984E-3</v>
      </c>
      <c r="AM35" s="26" t="str">
        <f>INDEX(Parametria!G:G,MATCH(Tabla_Consulta_desde_Reporte_de_Valorización_de_Instrumentos[[#This Row],[CODIGO_SBS]],Parametria!C:C,0))</f>
        <v>15RFIC</v>
      </c>
      <c r="AN35" s="26" t="str">
        <f>INDEX(Parametria!F:F,MATCH(Tabla_Consulta_desde_Reporte_de_Valorización_de_Instrumentos[[#This Row],[CODIGO_SBS]],Parametria!C:C,0))</f>
        <v>BU</v>
      </c>
      <c r="AO35" s="26" t="str">
        <f>+INDEX(Parametria!J:J,MATCH(Tabla_Consulta_desde_Reporte_de_Valorización_de_Instrumentos[[#This Row],[CODIGO_SBS]],Parametria!C:C,0))</f>
        <v>RFIBU</v>
      </c>
      <c r="AP35" s="26">
        <f>Tabla_Consulta_desde_Reporte_de_Valorización_de_Instrumentos[[#This Row],[Huella]]/$AU$4</f>
        <v>6.5631969827741911E-4</v>
      </c>
      <c r="AQ35" s="26" t="str">
        <f>IFERROR(INDEX('BD(MSCI)'!W:W,MATCH(Tabla_Consulta_desde_Reporte_de_Valorización_de_Instrumentos[[#This Row],[CODIGO_ISIN]],'BD(MSCI)'!C:C,0)),IF(Tabla_Consulta_desde_Reporte_de_Valorización_de_Instrumentos[[#This Row],[Rank_rt]]="Cash","Cash","Cuestionario Integra"))</f>
        <v>Portafolio</v>
      </c>
      <c r="AR35" s="26" t="str">
        <f>IFERROR(INDEX('BD(MSCI)'!X:X,MATCH(Tabla_Consulta_desde_Reporte_de_Valorización_de_Instrumentos[[#This Row],[CODIGO_ISIN]],'BD(MSCI)'!C:C,0)),"Cuestionario Integra")</f>
        <v>Portafolio</v>
      </c>
    </row>
    <row r="36" spans="2:47" hidden="1" x14ac:dyDescent="0.25">
      <c r="B36" s="14" t="s">
        <v>6390</v>
      </c>
      <c r="C36" t="s">
        <v>202</v>
      </c>
      <c r="D36" t="s">
        <v>12</v>
      </c>
      <c r="E36" t="s">
        <v>203</v>
      </c>
      <c r="F36" t="s">
        <v>5673</v>
      </c>
      <c r="G36" t="str">
        <f>INDEX(Parametria!H:H,MATCH(Tabla_Consulta_desde_Reporte_de_Valorización_de_Instrumentos[[#This Row],[CODIGO_SBS]],Parametria!C:C,0),1)</f>
        <v>Grupo Financiero Banorte</v>
      </c>
      <c r="H36" t="s">
        <v>5674</v>
      </c>
      <c r="I36" t="s">
        <v>5675</v>
      </c>
      <c r="J36" t="s">
        <v>204</v>
      </c>
      <c r="K36" t="s">
        <v>50</v>
      </c>
      <c r="L36">
        <v>1000</v>
      </c>
      <c r="M36" s="5">
        <v>65703272.1073272</v>
      </c>
      <c r="N36">
        <v>19549308.848025002</v>
      </c>
      <c r="O36">
        <v>18425</v>
      </c>
      <c r="P36" s="15">
        <v>54928</v>
      </c>
      <c r="Q36">
        <v>8906</v>
      </c>
      <c r="R36">
        <v>3.3609</v>
      </c>
      <c r="S36" t="s">
        <v>155</v>
      </c>
      <c r="T36">
        <v>65785124.156008102</v>
      </c>
      <c r="U36" s="5">
        <v>19563767.3693</v>
      </c>
      <c r="V36" t="s">
        <v>156</v>
      </c>
      <c r="W36">
        <v>2191378000000</v>
      </c>
      <c r="X36">
        <v>1948764000000</v>
      </c>
      <c r="Y36">
        <v>242614000000</v>
      </c>
      <c r="Z36">
        <v>-0.78472299999999995</v>
      </c>
      <c r="AA36" t="str">
        <f>+MID(Tabla_Consulta_desde_Reporte_de_Valorización_de_Instrumentos[[#This Row],[CODIGO_SBS]],7,1)</f>
        <v>2</v>
      </c>
      <c r="AB36">
        <f>INDEX('Cálculo Caja'!F:F,MATCH(Tabla_Consulta_desde_Reporte_de_Valorización_de_Instrumentos[[#This Row],[PORTAFOLIO]],'Cálculo Caja'!A:A,0),1)</f>
        <v>7679510866.0565634</v>
      </c>
      <c r="AC36" s="17">
        <f>Tabla_Consulta_desde_Reporte_de_Valorización_de_Instrumentos[[#This Row],[VALOR_VECTOR_LOCAL]]/Tabla_Consulta_desde_Reporte_de_Valorización_de_Instrumentos[[#This Row],[Patrimonio]]</f>
        <v>8.5556584596729532E-3</v>
      </c>
      <c r="AD36" s="4">
        <f>(Tabla_Consulta_desde_Reporte_de_Valorización_de_Instrumentos[[#This Row],[VALOR_VECTOR_LOCAL]]/INDEX('Tipo de Cambio'!$D:$D,MATCH("2",'Tipo de Cambio'!$E:$E,0),1))/1000000</f>
        <v>19.549308848024992</v>
      </c>
      <c r="AE36">
        <f>IF(Tabla_Consulta_desde_Reporte_de_Valorización_de_Instrumentos[[#This Row],[PORTAFOLIO]]="IN-FONDO0",Tabla_Consulta_desde_Reporte_de_Valorización_de_Instrumentos[[#This Row],[Inv MM$]],0)</f>
        <v>0</v>
      </c>
      <c r="AF36" s="26">
        <f>IF(Tabla_Consulta_desde_Reporte_de_Valorización_de_Instrumentos[[#This Row],[PORTAFOLIO]]="IN-FONDO1",Tabla_Consulta_desde_Reporte_de_Valorización_de_Instrumentos[[#This Row],[Inv MM$]],0)</f>
        <v>19.549308848024992</v>
      </c>
      <c r="AG36" s="26">
        <f>IF(Tabla_Consulta_desde_Reporte_de_Valorización_de_Instrumentos[[#This Row],[PORTAFOLIO]]="IN-FONDO2",Tabla_Consulta_desde_Reporte_de_Valorización_de_Instrumentos[[#This Row],[Inv MM$]],0)</f>
        <v>0</v>
      </c>
      <c r="AH36" s="26">
        <f>IF(Tabla_Consulta_desde_Reporte_de_Valorización_de_Instrumentos[[#This Row],[PORTAFOLIO]]="IN-FONDO3",Tabla_Consulta_desde_Reporte_de_Valorización_de_Instrumentos[[#This Row],[Inv MM$]],0)</f>
        <v>0</v>
      </c>
      <c r="AI3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38.934159466934986</v>
      </c>
      <c r="AJ36" s="26">
        <f>IFERROR(IFERROR(INDEX('BD(MSCI)'!$T:$T,MATCH(Tabla_Consulta_desde_Reporte_de_Valorización_de_Instrumentos[[#This Row],[CODIGO_ISIN]],'BD(MSCI)'!$C:$C,0),1),INDEX('BD(MSCI)'!$T:$T,MATCH(Tabla_Consulta_desde_Reporte_de_Valorización_de_Instrumentos[[#This Row],[CODIGO_SBS]],'BD(MSCI)'!$C:$C,0),1)),0)</f>
        <v>1.05</v>
      </c>
      <c r="AK36" s="26">
        <f>Tabla_Consulta_desde_Reporte_de_Valorización_de_Instrumentos[[#This Row],[C02-H]]*Tabla_Consulta_desde_Reporte_de_Valorización_de_Instrumentos[[#This Row],[Inv MM$]]</f>
        <v>20.526774290426243</v>
      </c>
      <c r="AL36" s="26">
        <f>Tabla_Consulta_desde_Reporte_de_Valorización_de_Instrumentos[[#This Row],[C02-H]]*Tabla_Consulta_desde_Reporte_de_Valorización_de_Instrumentos[[#This Row],[Weight]]</f>
        <v>8.9834413826566008E-3</v>
      </c>
      <c r="AM36" s="26" t="str">
        <f>INDEX(Parametria!G:G,MATCH(Tabla_Consulta_desde_Reporte_de_Valorización_de_Instrumentos[[#This Row],[CODIGO_SBS]],Parametria!C:C,0))</f>
        <v>15RFIC</v>
      </c>
      <c r="AN36" s="26" t="str">
        <f>INDEX(Parametria!F:F,MATCH(Tabla_Consulta_desde_Reporte_de_Valorización_de_Instrumentos[[#This Row],[CODIGO_SBS]],Parametria!C:C,0))</f>
        <v>BU</v>
      </c>
      <c r="AO36" s="26" t="str">
        <f>+INDEX(Parametria!J:J,MATCH(Tabla_Consulta_desde_Reporte_de_Valorización_de_Instrumentos[[#This Row],[CODIGO_SBS]],Parametria!C:C,0))</f>
        <v>RFIBU</v>
      </c>
      <c r="AP36" s="26">
        <f>Tabla_Consulta_desde_Reporte_de_Valorización_de_Instrumentos[[#This Row],[Huella]]/$AU$4</f>
        <v>1.902929988598052E-3</v>
      </c>
      <c r="AQ36" s="26" t="str">
        <f>IFERROR(INDEX('BD(MSCI)'!W:W,MATCH(Tabla_Consulta_desde_Reporte_de_Valorización_de_Instrumentos[[#This Row],[CODIGO_ISIN]],'BD(MSCI)'!C:C,0)),IF(Tabla_Consulta_desde_Reporte_de_Valorización_de_Instrumentos[[#This Row],[Rank_rt]]="Cash","Cash","Cuestionario Integra"))</f>
        <v>Portafolio</v>
      </c>
      <c r="AR36" s="26" t="str">
        <f>IFERROR(INDEX('BD(MSCI)'!X:X,MATCH(Tabla_Consulta_desde_Reporte_de_Valorización_de_Instrumentos[[#This Row],[CODIGO_ISIN]],'BD(MSCI)'!C:C,0)),"Cuestionario Integra")</f>
        <v>Portafolio</v>
      </c>
    </row>
    <row r="37" spans="2:47" hidden="1" x14ac:dyDescent="0.25">
      <c r="B37" s="14" t="s">
        <v>6390</v>
      </c>
      <c r="C37" t="s">
        <v>202</v>
      </c>
      <c r="D37" t="s">
        <v>10</v>
      </c>
      <c r="E37" t="s">
        <v>203</v>
      </c>
      <c r="F37" t="s">
        <v>5673</v>
      </c>
      <c r="G37" t="str">
        <f>INDEX(Parametria!H:H,MATCH(Tabla_Consulta_desde_Reporte_de_Valorización_de_Instrumentos[[#This Row],[CODIGO_SBS]],Parametria!C:C,0),1)</f>
        <v>Grupo Financiero Banorte</v>
      </c>
      <c r="H37" t="s">
        <v>5674</v>
      </c>
      <c r="I37" t="s">
        <v>5675</v>
      </c>
      <c r="J37" t="s">
        <v>204</v>
      </c>
      <c r="K37" t="s">
        <v>50</v>
      </c>
      <c r="L37">
        <v>1000</v>
      </c>
      <c r="M37" s="5">
        <v>65150544.4450946</v>
      </c>
      <c r="N37">
        <v>19384850.61891</v>
      </c>
      <c r="O37">
        <v>18270</v>
      </c>
      <c r="P37" s="15">
        <v>54928</v>
      </c>
      <c r="Q37">
        <v>8906</v>
      </c>
      <c r="R37">
        <v>3.3609</v>
      </c>
      <c r="S37" t="s">
        <v>155</v>
      </c>
      <c r="T37">
        <v>65231707.914804302</v>
      </c>
      <c r="U37" s="5">
        <v>19399187.50812</v>
      </c>
      <c r="V37" t="s">
        <v>156</v>
      </c>
      <c r="W37">
        <v>2191378000000</v>
      </c>
      <c r="X37">
        <v>1948764000000</v>
      </c>
      <c r="Y37">
        <v>242614000000</v>
      </c>
      <c r="Z37">
        <v>-0.78472299999999995</v>
      </c>
      <c r="AA37" t="str">
        <f>+MID(Tabla_Consulta_desde_Reporte_de_Valorización_de_Instrumentos[[#This Row],[CODIGO_SBS]],7,1)</f>
        <v>2</v>
      </c>
      <c r="AB37">
        <f>INDEX('Cálculo Caja'!F:F,MATCH(Tabla_Consulta_desde_Reporte_de_Valorización_de_Instrumentos[[#This Row],[PORTAFOLIO]],'Cálculo Caja'!A:A,0),1)</f>
        <v>26256910350.436607</v>
      </c>
      <c r="AC37" s="17">
        <f>Tabla_Consulta_desde_Reporte_de_Valorización_de_Instrumentos[[#This Row],[VALOR_VECTOR_LOCAL]]/Tabla_Consulta_desde_Reporte_de_Valorización_de_Instrumentos[[#This Row],[Patrimonio]]</f>
        <v>2.481272304150258E-3</v>
      </c>
      <c r="AD37" s="4">
        <f>(Tabla_Consulta_desde_Reporte_de_Valorización_de_Instrumentos[[#This Row],[VALOR_VECTOR_LOCAL]]/INDEX('Tipo de Cambio'!$D:$D,MATCH("2",'Tipo de Cambio'!$E:$E,0),1))/1000000</f>
        <v>19.384850618909997</v>
      </c>
      <c r="AE37">
        <f>IF(Tabla_Consulta_desde_Reporte_de_Valorización_de_Instrumentos[[#This Row],[PORTAFOLIO]]="IN-FONDO0",Tabla_Consulta_desde_Reporte_de_Valorización_de_Instrumentos[[#This Row],[Inv MM$]],0)</f>
        <v>0</v>
      </c>
      <c r="AF37" s="26">
        <f>IF(Tabla_Consulta_desde_Reporte_de_Valorización_de_Instrumentos[[#This Row],[PORTAFOLIO]]="IN-FONDO1",Tabla_Consulta_desde_Reporte_de_Valorización_de_Instrumentos[[#This Row],[Inv MM$]],0)</f>
        <v>0</v>
      </c>
      <c r="AG37" s="26">
        <f>IF(Tabla_Consulta_desde_Reporte_de_Valorización_de_Instrumentos[[#This Row],[PORTAFOLIO]]="IN-FONDO2",Tabla_Consulta_desde_Reporte_de_Valorización_de_Instrumentos[[#This Row],[Inv MM$]],0)</f>
        <v>19.384850618909997</v>
      </c>
      <c r="AH37" s="26">
        <f>IF(Tabla_Consulta_desde_Reporte_de_Valorización_de_Instrumentos[[#This Row],[PORTAFOLIO]]="IN-FONDO3",Tabla_Consulta_desde_Reporte_de_Valorización_de_Instrumentos[[#This Row],[Inv MM$]],0)</f>
        <v>0</v>
      </c>
      <c r="AI3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38.934159466934986</v>
      </c>
      <c r="AJ37" s="26">
        <f>IFERROR(IFERROR(INDEX('BD(MSCI)'!$T:$T,MATCH(Tabla_Consulta_desde_Reporte_de_Valorización_de_Instrumentos[[#This Row],[CODIGO_ISIN]],'BD(MSCI)'!$C:$C,0),1),INDEX('BD(MSCI)'!$T:$T,MATCH(Tabla_Consulta_desde_Reporte_de_Valorización_de_Instrumentos[[#This Row],[CODIGO_SBS]],'BD(MSCI)'!$C:$C,0),1)),0)</f>
        <v>1.05</v>
      </c>
      <c r="AK37" s="26">
        <f>Tabla_Consulta_desde_Reporte_de_Valorización_de_Instrumentos[[#This Row],[C02-H]]*Tabla_Consulta_desde_Reporte_de_Valorización_de_Instrumentos[[#This Row],[Inv MM$]]</f>
        <v>20.354093149855498</v>
      </c>
      <c r="AL37" s="26">
        <f>Tabla_Consulta_desde_Reporte_de_Valorización_de_Instrumentos[[#This Row],[C02-H]]*Tabla_Consulta_desde_Reporte_de_Valorización_de_Instrumentos[[#This Row],[Weight]]</f>
        <v>2.6053359193577712E-3</v>
      </c>
      <c r="AM37" s="26" t="str">
        <f>INDEX(Parametria!G:G,MATCH(Tabla_Consulta_desde_Reporte_de_Valorización_de_Instrumentos[[#This Row],[CODIGO_SBS]],Parametria!C:C,0))</f>
        <v>15RFIC</v>
      </c>
      <c r="AN37" s="26" t="str">
        <f>INDEX(Parametria!F:F,MATCH(Tabla_Consulta_desde_Reporte_de_Valorización_de_Instrumentos[[#This Row],[CODIGO_SBS]],Parametria!C:C,0))</f>
        <v>BU</v>
      </c>
      <c r="AO37" s="26" t="str">
        <f>+INDEX(Parametria!J:J,MATCH(Tabla_Consulta_desde_Reporte_de_Valorización_de_Instrumentos[[#This Row],[CODIGO_SBS]],Parametria!C:C,0))</f>
        <v>RFIBU</v>
      </c>
      <c r="AP37" s="26">
        <f>Tabla_Consulta_desde_Reporte_de_Valorización_de_Instrumentos[[#This Row],[Huella]]/$AU$4</f>
        <v>1.8869216223439034E-3</v>
      </c>
      <c r="AQ37" s="26" t="str">
        <f>IFERROR(INDEX('BD(MSCI)'!W:W,MATCH(Tabla_Consulta_desde_Reporte_de_Valorización_de_Instrumentos[[#This Row],[CODIGO_ISIN]],'BD(MSCI)'!C:C,0)),IF(Tabla_Consulta_desde_Reporte_de_Valorización_de_Instrumentos[[#This Row],[Rank_rt]]="Cash","Cash","Cuestionario Integra"))</f>
        <v>Portafolio</v>
      </c>
      <c r="AR37" s="26" t="str">
        <f>IFERROR(INDEX('BD(MSCI)'!X:X,MATCH(Tabla_Consulta_desde_Reporte_de_Valorización_de_Instrumentos[[#This Row],[CODIGO_ISIN]],'BD(MSCI)'!C:C,0)),"Cuestionario Integra")</f>
        <v>Portafolio</v>
      </c>
      <c r="AU37" s="26"/>
    </row>
    <row r="38" spans="2:47" hidden="1" x14ac:dyDescent="0.25">
      <c r="B38" s="14" t="s">
        <v>6390</v>
      </c>
      <c r="C38" t="s">
        <v>202</v>
      </c>
      <c r="D38" t="s">
        <v>10</v>
      </c>
      <c r="E38" t="s">
        <v>203</v>
      </c>
      <c r="F38" t="s">
        <v>209</v>
      </c>
      <c r="G38" t="str">
        <f>INDEX(Parametria!H:H,MATCH(Tabla_Consulta_desde_Reporte_de_Valorización_de_Instrumentos[[#This Row],[CODIGO_SBS]],Parametria!C:C,0),1)</f>
        <v>Grupo Financiero Banorte</v>
      </c>
      <c r="H38" t="s">
        <v>210</v>
      </c>
      <c r="I38" t="s">
        <v>211</v>
      </c>
      <c r="J38" t="s">
        <v>204</v>
      </c>
      <c r="K38" t="s">
        <v>50</v>
      </c>
      <c r="L38">
        <v>1000</v>
      </c>
      <c r="M38" s="5">
        <v>70418821.515307397</v>
      </c>
      <c r="N38">
        <v>20952370.351783</v>
      </c>
      <c r="O38">
        <v>21047</v>
      </c>
      <c r="P38" s="15">
        <v>51525</v>
      </c>
      <c r="Q38">
        <v>5503</v>
      </c>
      <c r="R38">
        <v>3.3609</v>
      </c>
      <c r="S38" t="s">
        <v>155</v>
      </c>
      <c r="T38">
        <v>70393713.654629901</v>
      </c>
      <c r="U38" s="5">
        <v>20934310.847151</v>
      </c>
      <c r="V38" t="s">
        <v>156</v>
      </c>
      <c r="W38">
        <v>2191378000000</v>
      </c>
      <c r="X38">
        <v>1948764000000</v>
      </c>
      <c r="Y38">
        <v>242614000000</v>
      </c>
      <c r="Z38">
        <v>0.85805600000000004</v>
      </c>
      <c r="AA38" t="str">
        <f>+MID(Tabla_Consulta_desde_Reporte_de_Valorización_de_Instrumentos[[#This Row],[CODIGO_SBS]],7,1)</f>
        <v>2</v>
      </c>
      <c r="AB38">
        <f>INDEX('Cálculo Caja'!F:F,MATCH(Tabla_Consulta_desde_Reporte_de_Valorización_de_Instrumentos[[#This Row],[PORTAFOLIO]],'Cálculo Caja'!A:A,0),1)</f>
        <v>26256910350.436607</v>
      </c>
      <c r="AC38" s="17">
        <f>Tabla_Consulta_desde_Reporte_de_Valorización_de_Instrumentos[[#This Row],[VALOR_VECTOR_LOCAL]]/Tabla_Consulta_desde_Reporte_de_Valorización_de_Instrumentos[[#This Row],[Patrimonio]]</f>
        <v>2.6819157538136031E-3</v>
      </c>
      <c r="AD38" s="4">
        <f>(Tabla_Consulta_desde_Reporte_de_Valorización_de_Instrumentos[[#This Row],[VALOR_VECTOR_LOCAL]]/INDEX('Tipo de Cambio'!$D:$D,MATCH("2",'Tipo de Cambio'!$E:$E,0),1))/1000000</f>
        <v>20.952370351782974</v>
      </c>
      <c r="AE38">
        <f>IF(Tabla_Consulta_desde_Reporte_de_Valorización_de_Instrumentos[[#This Row],[PORTAFOLIO]]="IN-FONDO0",Tabla_Consulta_desde_Reporte_de_Valorización_de_Instrumentos[[#This Row],[Inv MM$]],0)</f>
        <v>0</v>
      </c>
      <c r="AF38" s="26">
        <f>IF(Tabla_Consulta_desde_Reporte_de_Valorización_de_Instrumentos[[#This Row],[PORTAFOLIO]]="IN-FONDO1",Tabla_Consulta_desde_Reporte_de_Valorización_de_Instrumentos[[#This Row],[Inv MM$]],0)</f>
        <v>0</v>
      </c>
      <c r="AG38" s="26">
        <f>IF(Tabla_Consulta_desde_Reporte_de_Valorización_de_Instrumentos[[#This Row],[PORTAFOLIO]]="IN-FONDO2",Tabla_Consulta_desde_Reporte_de_Valorización_de_Instrumentos[[#This Row],[Inv MM$]],0)</f>
        <v>20.952370351782974</v>
      </c>
      <c r="AH38" s="26">
        <f>IF(Tabla_Consulta_desde_Reporte_de_Valorización_de_Instrumentos[[#This Row],[PORTAFOLIO]]="IN-FONDO3",Tabla_Consulta_desde_Reporte_de_Valorización_de_Instrumentos[[#This Row],[Inv MM$]],0)</f>
        <v>0</v>
      </c>
      <c r="AI3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27.694918191979944</v>
      </c>
      <c r="AJ38" s="26">
        <f>IFERROR(IFERROR(INDEX('BD(MSCI)'!$T:$T,MATCH(Tabla_Consulta_desde_Reporte_de_Valorización_de_Instrumentos[[#This Row],[CODIGO_ISIN]],'BD(MSCI)'!$C:$C,0),1),INDEX('BD(MSCI)'!$T:$T,MATCH(Tabla_Consulta_desde_Reporte_de_Valorización_de_Instrumentos[[#This Row],[CODIGO_SBS]],'BD(MSCI)'!$C:$C,0),1)),0)</f>
        <v>1.05</v>
      </c>
      <c r="AK38" s="26">
        <f>Tabla_Consulta_desde_Reporte_de_Valorización_de_Instrumentos[[#This Row],[C02-H]]*Tabla_Consulta_desde_Reporte_de_Valorización_de_Instrumentos[[#This Row],[Inv MM$]]</f>
        <v>21.999988869372125</v>
      </c>
      <c r="AL38" s="26">
        <f>Tabla_Consulta_desde_Reporte_de_Valorización_de_Instrumentos[[#This Row],[C02-H]]*Tabla_Consulta_desde_Reporte_de_Valorización_de_Instrumentos[[#This Row],[Weight]]</f>
        <v>2.8160115415042835E-3</v>
      </c>
      <c r="AM38" s="26" t="str">
        <f>INDEX(Parametria!G:G,MATCH(Tabla_Consulta_desde_Reporte_de_Valorización_de_Instrumentos[[#This Row],[CODIGO_SBS]],Parametria!C:C,0))</f>
        <v>15RFIC</v>
      </c>
      <c r="AN38" s="26" t="str">
        <f>INDEX(Parametria!F:F,MATCH(Tabla_Consulta_desde_Reporte_de_Valorización_de_Instrumentos[[#This Row],[CODIGO_SBS]],Parametria!C:C,0))</f>
        <v>BU</v>
      </c>
      <c r="AO38" s="26" t="str">
        <f>+INDEX(Parametria!J:J,MATCH(Tabla_Consulta_desde_Reporte_de_Valorización_de_Instrumentos[[#This Row],[CODIGO_SBS]],Parametria!C:C,0))</f>
        <v>RFIBU</v>
      </c>
      <c r="AP38" s="26">
        <f>Tabla_Consulta_desde_Reporte_de_Valorización_de_Instrumentos[[#This Row],[Huella]]/$AU$4</f>
        <v>2.0395040144167847E-3</v>
      </c>
      <c r="AQ38" s="26" t="str">
        <f>IFERROR(INDEX('BD(MSCI)'!W:W,MATCH(Tabla_Consulta_desde_Reporte_de_Valorización_de_Instrumentos[[#This Row],[CODIGO_ISIN]],'BD(MSCI)'!C:C,0)),IF(Tabla_Consulta_desde_Reporte_de_Valorización_de_Instrumentos[[#This Row],[Rank_rt]]="Cash","Cash","Cuestionario Integra"))</f>
        <v>Portafolio</v>
      </c>
      <c r="AR38" s="26" t="str">
        <f>IFERROR(INDEX('BD(MSCI)'!X:X,MATCH(Tabla_Consulta_desde_Reporte_de_Valorización_de_Instrumentos[[#This Row],[CODIGO_ISIN]],'BD(MSCI)'!C:C,0)),"Cuestionario Integra")</f>
        <v>Portafolio</v>
      </c>
      <c r="AU38" s="26"/>
    </row>
    <row r="39" spans="2:47" hidden="1" x14ac:dyDescent="0.25">
      <c r="B39" s="14" t="s">
        <v>6390</v>
      </c>
      <c r="C39" t="s">
        <v>202</v>
      </c>
      <c r="D39" t="s">
        <v>10</v>
      </c>
      <c r="E39" t="s">
        <v>203</v>
      </c>
      <c r="F39" t="s">
        <v>4842</v>
      </c>
      <c r="G39" t="str">
        <f>INDEX(Parametria!H:H,MATCH(Tabla_Consulta_desde_Reporte_de_Valorización_de_Instrumentos[[#This Row],[CODIGO_SBS]],Parametria!C:C,0),1)</f>
        <v>BBVA Bancomer</v>
      </c>
      <c r="H39" t="s">
        <v>5072</v>
      </c>
      <c r="I39" t="s">
        <v>5468</v>
      </c>
      <c r="J39" t="s">
        <v>214</v>
      </c>
      <c r="K39" t="s">
        <v>50</v>
      </c>
      <c r="L39">
        <v>1000</v>
      </c>
      <c r="M39" s="5">
        <v>43414810.840241499</v>
      </c>
      <c r="N39">
        <v>12917614.579500001</v>
      </c>
      <c r="O39">
        <v>11500</v>
      </c>
      <c r="P39" s="15">
        <v>50778</v>
      </c>
      <c r="Q39">
        <v>4756</v>
      </c>
      <c r="R39">
        <v>3.3609</v>
      </c>
      <c r="S39" t="s">
        <v>155</v>
      </c>
      <c r="T39">
        <v>43397300.147407398</v>
      </c>
      <c r="U39" s="5">
        <v>12905876.448999999</v>
      </c>
      <c r="V39" t="s">
        <v>215</v>
      </c>
      <c r="W39">
        <v>2808249000000</v>
      </c>
      <c r="X39">
        <v>2500434000000</v>
      </c>
      <c r="Y39">
        <v>307815000000</v>
      </c>
      <c r="Z39">
        <v>1.020707</v>
      </c>
      <c r="AA39" t="str">
        <f>+MID(Tabla_Consulta_desde_Reporte_de_Valorización_de_Instrumentos[[#This Row],[CODIGO_SBS]],7,1)</f>
        <v>2</v>
      </c>
      <c r="AB39">
        <f>INDEX('Cálculo Caja'!F:F,MATCH(Tabla_Consulta_desde_Reporte_de_Valorización_de_Instrumentos[[#This Row],[PORTAFOLIO]],'Cálculo Caja'!A:A,0),1)</f>
        <v>26256910350.436607</v>
      </c>
      <c r="AC39" s="17">
        <f>Tabla_Consulta_desde_Reporte_de_Valorización_de_Instrumentos[[#This Row],[VALOR_VECTOR_LOCAL]]/Tabla_Consulta_desde_Reporte_de_Valorización_de_Instrumentos[[#This Row],[Patrimonio]]</f>
        <v>1.6534622794840592E-3</v>
      </c>
      <c r="AD39" s="4">
        <f>(Tabla_Consulta_desde_Reporte_de_Valorización_de_Instrumentos[[#This Row],[VALOR_VECTOR_LOCAL]]/INDEX('Tipo de Cambio'!$D:$D,MATCH("2",'Tipo de Cambio'!$E:$E,0),1))/1000000</f>
        <v>12.917614579499984</v>
      </c>
      <c r="AE39">
        <f>IF(Tabla_Consulta_desde_Reporte_de_Valorización_de_Instrumentos[[#This Row],[PORTAFOLIO]]="IN-FONDO0",Tabla_Consulta_desde_Reporte_de_Valorización_de_Instrumentos[[#This Row],[Inv MM$]],0)</f>
        <v>0</v>
      </c>
      <c r="AF39" s="26">
        <f>IF(Tabla_Consulta_desde_Reporte_de_Valorización_de_Instrumentos[[#This Row],[PORTAFOLIO]]="IN-FONDO1",Tabla_Consulta_desde_Reporte_de_Valorización_de_Instrumentos[[#This Row],[Inv MM$]],0)</f>
        <v>0</v>
      </c>
      <c r="AG39" s="26">
        <f>IF(Tabla_Consulta_desde_Reporte_de_Valorización_de_Instrumentos[[#This Row],[PORTAFOLIO]]="IN-FONDO2",Tabla_Consulta_desde_Reporte_de_Valorización_de_Instrumentos[[#This Row],[Inv MM$]],0)</f>
        <v>12.917614579499984</v>
      </c>
      <c r="AH39" s="26">
        <f>IF(Tabla_Consulta_desde_Reporte_de_Valorización_de_Instrumentos[[#This Row],[PORTAFOLIO]]="IN-FONDO3",Tabla_Consulta_desde_Reporte_de_Valorización_de_Instrumentos[[#This Row],[Inv MM$]],0)</f>
        <v>0</v>
      </c>
      <c r="AI3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27.295481241899964</v>
      </c>
      <c r="AJ39" s="26">
        <f>IFERROR(IFERROR(INDEX('BD(MSCI)'!$T:$T,MATCH(Tabla_Consulta_desde_Reporte_de_Valorización_de_Instrumentos[[#This Row],[CODIGO_ISIN]],'BD(MSCI)'!$C:$C,0),1),INDEX('BD(MSCI)'!$T:$T,MATCH(Tabla_Consulta_desde_Reporte_de_Valorización_de_Instrumentos[[#This Row],[CODIGO_SBS]],'BD(MSCI)'!$C:$C,0),1)),0)</f>
        <v>1.2</v>
      </c>
      <c r="AK39" s="26">
        <f>Tabla_Consulta_desde_Reporte_de_Valorización_de_Instrumentos[[#This Row],[C02-H]]*Tabla_Consulta_desde_Reporte_de_Valorización_de_Instrumentos[[#This Row],[Inv MM$]]</f>
        <v>15.501137495399981</v>
      </c>
      <c r="AL39" s="26">
        <f>Tabla_Consulta_desde_Reporte_de_Valorización_de_Instrumentos[[#This Row],[C02-H]]*Tabla_Consulta_desde_Reporte_de_Valorización_de_Instrumentos[[#This Row],[Weight]]</f>
        <v>1.9841547353808709E-3</v>
      </c>
      <c r="AM39" s="26" t="str">
        <f>INDEX(Parametria!G:G,MATCH(Tabla_Consulta_desde_Reporte_de_Valorización_de_Instrumentos[[#This Row],[CODIGO_SBS]],Parametria!C:C,0))</f>
        <v>15RFIC</v>
      </c>
      <c r="AN39" s="26" t="str">
        <f>INDEX(Parametria!F:F,MATCH(Tabla_Consulta_desde_Reporte_de_Valorización_de_Instrumentos[[#This Row],[CODIGO_SBS]],Parametria!C:C,0))</f>
        <v>BU</v>
      </c>
      <c r="AO39" s="26" t="str">
        <f>+INDEX(Parametria!J:J,MATCH(Tabla_Consulta_desde_Reporte_de_Valorización_de_Instrumentos[[#This Row],[CODIGO_SBS]],Parametria!C:C,0))</f>
        <v>RFIBU</v>
      </c>
      <c r="AP39" s="26">
        <f>Tabla_Consulta_desde_Reporte_de_Valorización_de_Instrumentos[[#This Row],[Huella]]/$AU$4</f>
        <v>1.4370294611334082E-3</v>
      </c>
      <c r="AQ39" s="26" t="str">
        <f>IFERROR(INDEX('BD(MSCI)'!W:W,MATCH(Tabla_Consulta_desde_Reporte_de_Valorización_de_Instrumentos[[#This Row],[CODIGO_ISIN]],'BD(MSCI)'!C:C,0)),IF(Tabla_Consulta_desde_Reporte_de_Valorización_de_Instrumentos[[#This Row],[Rank_rt]]="Cash","Cash","Cuestionario Integra"))</f>
        <v>Portafolio</v>
      </c>
      <c r="AR39" s="26" t="str">
        <f>IFERROR(INDEX('BD(MSCI)'!X:X,MATCH(Tabla_Consulta_desde_Reporte_de_Valorización_de_Instrumentos[[#This Row],[CODIGO_ISIN]],'BD(MSCI)'!C:C,0)),"Cuestionario Integra")</f>
        <v>Portafolio</v>
      </c>
      <c r="AU39" s="26"/>
    </row>
    <row r="40" spans="2:47" hidden="1" x14ac:dyDescent="0.25">
      <c r="B40" s="14" t="s">
        <v>6390</v>
      </c>
      <c r="C40" t="s">
        <v>202</v>
      </c>
      <c r="D40" t="s">
        <v>10</v>
      </c>
      <c r="E40" t="s">
        <v>203</v>
      </c>
      <c r="F40" t="s">
        <v>905</v>
      </c>
      <c r="G40" t="str">
        <f>INDEX(Parametria!H:H,MATCH(Tabla_Consulta_desde_Reporte_de_Valorización_de_Instrumentos[[#This Row],[CODIGO_SBS]],Parametria!C:C,0),1)</f>
        <v>BBVA Bancomer</v>
      </c>
      <c r="H40" t="s">
        <v>906</v>
      </c>
      <c r="I40" t="s">
        <v>4992</v>
      </c>
      <c r="J40" t="s">
        <v>214</v>
      </c>
      <c r="K40" t="s">
        <v>50</v>
      </c>
      <c r="L40">
        <v>1000</v>
      </c>
      <c r="M40" s="5">
        <v>20520072.9672876</v>
      </c>
      <c r="N40">
        <v>6105529.1639999999</v>
      </c>
      <c r="O40">
        <v>6000</v>
      </c>
      <c r="P40" s="15">
        <v>49200</v>
      </c>
      <c r="Q40">
        <v>3178</v>
      </c>
      <c r="R40">
        <v>3.3609</v>
      </c>
      <c r="S40" t="s">
        <v>155</v>
      </c>
      <c r="T40">
        <v>20477463.413133599</v>
      </c>
      <c r="U40" s="5">
        <v>6089770.8360000001</v>
      </c>
      <c r="V40" t="s">
        <v>215</v>
      </c>
      <c r="W40">
        <v>2808249000000</v>
      </c>
      <c r="X40">
        <v>2500434000000</v>
      </c>
      <c r="Y40">
        <v>307815000000</v>
      </c>
      <c r="Z40">
        <v>2.6263879999999999</v>
      </c>
      <c r="AA40" t="str">
        <f>+MID(Tabla_Consulta_desde_Reporte_de_Valorización_de_Instrumentos[[#This Row],[CODIGO_SBS]],7,1)</f>
        <v>2</v>
      </c>
      <c r="AB40">
        <f>INDEX('Cálculo Caja'!F:F,MATCH(Tabla_Consulta_desde_Reporte_de_Valorización_de_Instrumentos[[#This Row],[PORTAFOLIO]],'Cálculo Caja'!A:A,0),1)</f>
        <v>26256910350.436607</v>
      </c>
      <c r="AC40" s="17">
        <f>Tabla_Consulta_desde_Reporte_de_Valorización_de_Instrumentos[[#This Row],[VALOR_VECTOR_LOCAL]]/Tabla_Consulta_desde_Reporte_de_Valorización_de_Instrumentos[[#This Row],[Patrimonio]]</f>
        <v>7.8151133143303686E-4</v>
      </c>
      <c r="AD40" s="4">
        <f>(Tabla_Consulta_desde_Reporte_de_Valorización_de_Instrumentos[[#This Row],[VALOR_VECTOR_LOCAL]]/INDEX('Tipo de Cambio'!$D:$D,MATCH("2",'Tipo de Cambio'!$E:$E,0),1))/1000000</f>
        <v>6.105529164</v>
      </c>
      <c r="AE40">
        <f>IF(Tabla_Consulta_desde_Reporte_de_Valorización_de_Instrumentos[[#This Row],[PORTAFOLIO]]="IN-FONDO0",Tabla_Consulta_desde_Reporte_de_Valorización_de_Instrumentos[[#This Row],[Inv MM$]],0)</f>
        <v>0</v>
      </c>
      <c r="AF40" s="26">
        <f>IF(Tabla_Consulta_desde_Reporte_de_Valorización_de_Instrumentos[[#This Row],[PORTAFOLIO]]="IN-FONDO1",Tabla_Consulta_desde_Reporte_de_Valorización_de_Instrumentos[[#This Row],[Inv MM$]],0)</f>
        <v>0</v>
      </c>
      <c r="AG40" s="26">
        <f>IF(Tabla_Consulta_desde_Reporte_de_Valorización_de_Instrumentos[[#This Row],[PORTAFOLIO]]="IN-FONDO2",Tabla_Consulta_desde_Reporte_de_Valorización_de_Instrumentos[[#This Row],[Inv MM$]],0)</f>
        <v>6.105529164</v>
      </c>
      <c r="AH40" s="26">
        <f>IF(Tabla_Consulta_desde_Reporte_de_Valorización_de_Instrumentos[[#This Row],[PORTAFOLIO]]="IN-FONDO3",Tabla_Consulta_desde_Reporte_de_Valorización_de_Instrumentos[[#This Row],[Inv MM$]],0)</f>
        <v>0</v>
      </c>
      <c r="AI4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10.989952495199976</v>
      </c>
      <c r="AJ40" s="26">
        <f>IFERROR(IFERROR(INDEX('BD(MSCI)'!$T:$T,MATCH(Tabla_Consulta_desde_Reporte_de_Valorización_de_Instrumentos[[#This Row],[CODIGO_ISIN]],'BD(MSCI)'!$C:$C,0),1),INDEX('BD(MSCI)'!$T:$T,MATCH(Tabla_Consulta_desde_Reporte_de_Valorización_de_Instrumentos[[#This Row],[CODIGO_SBS]],'BD(MSCI)'!$C:$C,0),1)),0)</f>
        <v>1.2</v>
      </c>
      <c r="AK40" s="26">
        <f>Tabla_Consulta_desde_Reporte_de_Valorización_de_Instrumentos[[#This Row],[C02-H]]*Tabla_Consulta_desde_Reporte_de_Valorización_de_Instrumentos[[#This Row],[Inv MM$]]</f>
        <v>7.3266349967999993</v>
      </c>
      <c r="AL40" s="26">
        <f>Tabla_Consulta_desde_Reporte_de_Valorización_de_Instrumentos[[#This Row],[C02-H]]*Tabla_Consulta_desde_Reporte_de_Valorización_de_Instrumentos[[#This Row],[Weight]]</f>
        <v>9.3781359771964419E-4</v>
      </c>
      <c r="AM40" s="26" t="str">
        <f>INDEX(Parametria!G:G,MATCH(Tabla_Consulta_desde_Reporte_de_Valorización_de_Instrumentos[[#This Row],[CODIGO_SBS]],Parametria!C:C,0))</f>
        <v>15RFIC</v>
      </c>
      <c r="AN40" s="26" t="str">
        <f>INDEX(Parametria!F:F,MATCH(Tabla_Consulta_desde_Reporte_de_Valorización_de_Instrumentos[[#This Row],[CODIGO_SBS]],Parametria!C:C,0))</f>
        <v>BU</v>
      </c>
      <c r="AO40" s="26" t="str">
        <f>+INDEX(Parametria!J:J,MATCH(Tabla_Consulta_desde_Reporte_de_Valorización_de_Instrumentos[[#This Row],[CODIGO_SBS]],Parametria!C:C,0))</f>
        <v>RFIBU</v>
      </c>
      <c r="AP40" s="26">
        <f>Tabla_Consulta_desde_Reporte_de_Valorización_de_Instrumentos[[#This Row],[Huella]]/$AU$4</f>
        <v>6.7921404764631444E-4</v>
      </c>
      <c r="AQ40" s="26" t="str">
        <f>IFERROR(INDEX('BD(MSCI)'!W:W,MATCH(Tabla_Consulta_desde_Reporte_de_Valorización_de_Instrumentos[[#This Row],[CODIGO_ISIN]],'BD(MSCI)'!C:C,0)),IF(Tabla_Consulta_desde_Reporte_de_Valorización_de_Instrumentos[[#This Row],[Rank_rt]]="Cash","Cash","Cuestionario Integra"))</f>
        <v>Portafolio</v>
      </c>
      <c r="AR40" s="26" t="str">
        <f>IFERROR(INDEX('BD(MSCI)'!X:X,MATCH(Tabla_Consulta_desde_Reporte_de_Valorización_de_Instrumentos[[#This Row],[CODIGO_ISIN]],'BD(MSCI)'!C:C,0)),"Cuestionario Integra")</f>
        <v>Portafolio</v>
      </c>
      <c r="AU40" s="26"/>
    </row>
    <row r="41" spans="2:47" hidden="1" x14ac:dyDescent="0.25">
      <c r="B41" s="14" t="s">
        <v>6390</v>
      </c>
      <c r="C41" t="s">
        <v>202</v>
      </c>
      <c r="D41" t="s">
        <v>10</v>
      </c>
      <c r="E41" t="s">
        <v>203</v>
      </c>
      <c r="F41" t="s">
        <v>907</v>
      </c>
      <c r="G41" t="str">
        <f>INDEX(Parametria!H:H,MATCH(Tabla_Consulta_desde_Reporte_de_Valorización_de_Instrumentos[[#This Row],[CODIGO_SBS]],Parametria!C:C,0),1)</f>
        <v>BBVA Bancomer</v>
      </c>
      <c r="H41" t="s">
        <v>908</v>
      </c>
      <c r="I41" t="s">
        <v>5467</v>
      </c>
      <c r="J41" t="s">
        <v>214</v>
      </c>
      <c r="K41" t="s">
        <v>50</v>
      </c>
      <c r="L41">
        <v>1000</v>
      </c>
      <c r="M41" s="5">
        <v>24965833.693631001</v>
      </c>
      <c r="N41">
        <v>7428317.9188999999</v>
      </c>
      <c r="O41">
        <v>6700</v>
      </c>
      <c r="P41" s="15">
        <v>50585</v>
      </c>
      <c r="Q41">
        <v>4563</v>
      </c>
      <c r="R41">
        <v>3.3609</v>
      </c>
      <c r="S41" t="s">
        <v>155</v>
      </c>
      <c r="T41">
        <v>24969594.006557502</v>
      </c>
      <c r="U41" s="5">
        <v>7425680.7252000002</v>
      </c>
      <c r="V41" t="s">
        <v>215</v>
      </c>
      <c r="W41">
        <v>2808249000000</v>
      </c>
      <c r="X41">
        <v>2500434000000</v>
      </c>
      <c r="Y41">
        <v>307815000000</v>
      </c>
      <c r="Z41">
        <v>0.39361099999999999</v>
      </c>
      <c r="AA41" t="str">
        <f>+MID(Tabla_Consulta_desde_Reporte_de_Valorización_de_Instrumentos[[#This Row],[CODIGO_SBS]],7,1)</f>
        <v>2</v>
      </c>
      <c r="AB41">
        <f>INDEX('Cálculo Caja'!F:F,MATCH(Tabla_Consulta_desde_Reporte_de_Valorización_de_Instrumentos[[#This Row],[PORTAFOLIO]],'Cálculo Caja'!A:A,0),1)</f>
        <v>26256910350.436607</v>
      </c>
      <c r="AC41" s="17">
        <f>Tabla_Consulta_desde_Reporte_de_Valorización_de_Instrumentos[[#This Row],[VALOR_VECTOR_LOCAL]]/Tabla_Consulta_desde_Reporte_de_Valorización_de_Instrumentos[[#This Row],[Patrimonio]]</f>
        <v>9.5082907167772933E-4</v>
      </c>
      <c r="AD41" s="4">
        <f>(Tabla_Consulta_desde_Reporte_de_Valorización_de_Instrumentos[[#This Row],[VALOR_VECTOR_LOCAL]]/INDEX('Tipo de Cambio'!$D:$D,MATCH("2",'Tipo de Cambio'!$E:$E,0),1))/1000000</f>
        <v>7.4283179188999968</v>
      </c>
      <c r="AE41">
        <f>IF(Tabla_Consulta_desde_Reporte_de_Valorización_de_Instrumentos[[#This Row],[PORTAFOLIO]]="IN-FONDO0",Tabla_Consulta_desde_Reporte_de_Valorización_de_Instrumentos[[#This Row],[Inv MM$]],0)</f>
        <v>0</v>
      </c>
      <c r="AF41" s="26">
        <f>IF(Tabla_Consulta_desde_Reporte_de_Valorización_de_Instrumentos[[#This Row],[PORTAFOLIO]]="IN-FONDO1",Tabla_Consulta_desde_Reporte_de_Valorización_de_Instrumentos[[#This Row],[Inv MM$]],0)</f>
        <v>0</v>
      </c>
      <c r="AG41" s="26">
        <f>IF(Tabla_Consulta_desde_Reporte_de_Valorización_de_Instrumentos[[#This Row],[PORTAFOLIO]]="IN-FONDO2",Tabla_Consulta_desde_Reporte_de_Valorización_de_Instrumentos[[#This Row],[Inv MM$]],0)</f>
        <v>7.4283179188999968</v>
      </c>
      <c r="AH41" s="26">
        <f>IF(Tabla_Consulta_desde_Reporte_de_Valorización_de_Instrumentos[[#This Row],[PORTAFOLIO]]="IN-FONDO3",Tabla_Consulta_desde_Reporte_de_Valorización_de_Instrumentos[[#This Row],[Inv MM$]],0)</f>
        <v>0</v>
      </c>
      <c r="AI4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16.51969208829998</v>
      </c>
      <c r="AJ41" s="26">
        <f>IFERROR(IFERROR(INDEX('BD(MSCI)'!$T:$T,MATCH(Tabla_Consulta_desde_Reporte_de_Valorización_de_Instrumentos[[#This Row],[CODIGO_ISIN]],'BD(MSCI)'!$C:$C,0),1),INDEX('BD(MSCI)'!$T:$T,MATCH(Tabla_Consulta_desde_Reporte_de_Valorización_de_Instrumentos[[#This Row],[CODIGO_SBS]],'BD(MSCI)'!$C:$C,0),1)),0)</f>
        <v>1.2</v>
      </c>
      <c r="AK41" s="26">
        <f>Tabla_Consulta_desde_Reporte_de_Valorización_de_Instrumentos[[#This Row],[C02-H]]*Tabla_Consulta_desde_Reporte_de_Valorización_de_Instrumentos[[#This Row],[Inv MM$]]</f>
        <v>8.9139815026799951</v>
      </c>
      <c r="AL41" s="26">
        <f>Tabla_Consulta_desde_Reporte_de_Valorización_de_Instrumentos[[#This Row],[C02-H]]*Tabla_Consulta_desde_Reporte_de_Valorización_de_Instrumentos[[#This Row],[Weight]]</f>
        <v>1.1409948860132751E-3</v>
      </c>
      <c r="AM41" s="26" t="str">
        <f>INDEX(Parametria!G:G,MATCH(Tabla_Consulta_desde_Reporte_de_Valorización_de_Instrumentos[[#This Row],[CODIGO_SBS]],Parametria!C:C,0))</f>
        <v>15RFIC</v>
      </c>
      <c r="AN41" s="26" t="str">
        <f>INDEX(Parametria!F:F,MATCH(Tabla_Consulta_desde_Reporte_de_Valorización_de_Instrumentos[[#This Row],[CODIGO_SBS]],Parametria!C:C,0))</f>
        <v>BU</v>
      </c>
      <c r="AO41" s="26" t="str">
        <f>+INDEX(Parametria!J:J,MATCH(Tabla_Consulta_desde_Reporte_de_Valorización_de_Instrumentos[[#This Row],[CODIGO_SBS]],Parametria!C:C,0))</f>
        <v>RFIBU</v>
      </c>
      <c r="AP41" s="26">
        <f>Tabla_Consulta_desde_Reporte_de_Valorización_de_Instrumentos[[#This Row],[Huella]]/$AU$4</f>
        <v>8.2636864805248739E-4</v>
      </c>
      <c r="AQ41" s="26" t="str">
        <f>IFERROR(INDEX('BD(MSCI)'!W:W,MATCH(Tabla_Consulta_desde_Reporte_de_Valorización_de_Instrumentos[[#This Row],[CODIGO_ISIN]],'BD(MSCI)'!C:C,0)),IF(Tabla_Consulta_desde_Reporte_de_Valorización_de_Instrumentos[[#This Row],[Rank_rt]]="Cash","Cash","Cuestionario Integra"))</f>
        <v>Portafolio</v>
      </c>
      <c r="AR41" s="26" t="str">
        <f>IFERROR(INDEX('BD(MSCI)'!X:X,MATCH(Tabla_Consulta_desde_Reporte_de_Valorización_de_Instrumentos[[#This Row],[CODIGO_ISIN]],'BD(MSCI)'!C:C,0)),"Cuestionario Integra")</f>
        <v>Portafolio</v>
      </c>
      <c r="AU41" s="26"/>
    </row>
    <row r="42" spans="2:47" hidden="1" x14ac:dyDescent="0.25">
      <c r="B42" s="14" t="s">
        <v>6390</v>
      </c>
      <c r="C42" t="s">
        <v>202</v>
      </c>
      <c r="D42" t="s">
        <v>10</v>
      </c>
      <c r="E42" t="s">
        <v>203</v>
      </c>
      <c r="F42" t="s">
        <v>212</v>
      </c>
      <c r="G42" t="str">
        <f>INDEX(Parametria!H:H,MATCH(Tabla_Consulta_desde_Reporte_de_Valorización_de_Instrumentos[[#This Row],[CODIGO_SBS]],Parametria!C:C,0),1)</f>
        <v>BBVA Bancomer</v>
      </c>
      <c r="H42" t="s">
        <v>213</v>
      </c>
      <c r="I42" t="s">
        <v>5947</v>
      </c>
      <c r="J42" t="s">
        <v>214</v>
      </c>
      <c r="K42" t="s">
        <v>50</v>
      </c>
      <c r="L42">
        <v>1000</v>
      </c>
      <c r="M42" s="5">
        <v>8467700.0237617008</v>
      </c>
      <c r="N42">
        <v>2519473.9575</v>
      </c>
      <c r="O42">
        <v>2500</v>
      </c>
      <c r="P42" s="15">
        <v>48597</v>
      </c>
      <c r="Q42">
        <v>2575</v>
      </c>
      <c r="R42">
        <v>3.3609</v>
      </c>
      <c r="S42" t="s">
        <v>155</v>
      </c>
      <c r="T42">
        <v>8454457.9139965009</v>
      </c>
      <c r="U42" s="5">
        <v>2514262.1524999999</v>
      </c>
      <c r="V42" t="s">
        <v>215</v>
      </c>
      <c r="W42">
        <v>2808249000000</v>
      </c>
      <c r="X42">
        <v>2500434000000</v>
      </c>
      <c r="Y42">
        <v>307815000000</v>
      </c>
      <c r="Z42">
        <v>2.0847220000000002</v>
      </c>
      <c r="AA42" t="str">
        <f>+MID(Tabla_Consulta_desde_Reporte_de_Valorización_de_Instrumentos[[#This Row],[CODIGO_SBS]],7,1)</f>
        <v>2</v>
      </c>
      <c r="AB42">
        <f>INDEX('Cálculo Caja'!F:F,MATCH(Tabla_Consulta_desde_Reporte_de_Valorización_de_Instrumentos[[#This Row],[PORTAFOLIO]],'Cálculo Caja'!A:A,0),1)</f>
        <v>26256910350.436607</v>
      </c>
      <c r="AC42" s="17">
        <f>Tabla_Consulta_desde_Reporte_de_Valorización_de_Instrumentos[[#This Row],[VALOR_VECTOR_LOCAL]]/Tabla_Consulta_desde_Reporte_de_Valorización_de_Instrumentos[[#This Row],[Patrimonio]]</f>
        <v>3.224941514728102E-4</v>
      </c>
      <c r="AD42" s="4">
        <f>(Tabla_Consulta_desde_Reporte_de_Valorización_de_Instrumentos[[#This Row],[VALOR_VECTOR_LOCAL]]/INDEX('Tipo de Cambio'!$D:$D,MATCH("2",'Tipo de Cambio'!$E:$E,0),1))/1000000</f>
        <v>2.5194739574999856</v>
      </c>
      <c r="AE42">
        <f>IF(Tabla_Consulta_desde_Reporte_de_Valorización_de_Instrumentos[[#This Row],[PORTAFOLIO]]="IN-FONDO0",Tabla_Consulta_desde_Reporte_de_Valorización_de_Instrumentos[[#This Row],[Inv MM$]],0)</f>
        <v>0</v>
      </c>
      <c r="AF42" s="26">
        <f>IF(Tabla_Consulta_desde_Reporte_de_Valorización_de_Instrumentos[[#This Row],[PORTAFOLIO]]="IN-FONDO1",Tabla_Consulta_desde_Reporte_de_Valorización_de_Instrumentos[[#This Row],[Inv MM$]],0)</f>
        <v>0</v>
      </c>
      <c r="AG42" s="26">
        <f>IF(Tabla_Consulta_desde_Reporte_de_Valorización_de_Instrumentos[[#This Row],[PORTAFOLIO]]="IN-FONDO2",Tabla_Consulta_desde_Reporte_de_Valorización_de_Instrumentos[[#This Row],[Inv MM$]],0)</f>
        <v>2.5194739574999856</v>
      </c>
      <c r="AH42" s="26">
        <f>IF(Tabla_Consulta_desde_Reporte_de_Valorización_de_Instrumentos[[#This Row],[PORTAFOLIO]]="IN-FONDO3",Tabla_Consulta_desde_Reporte_de_Valorización_de_Instrumentos[[#This Row],[Inv MM$]],0)</f>
        <v>0</v>
      </c>
      <c r="AI4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2.5194739574999856</v>
      </c>
      <c r="AJ42" s="26">
        <f>IFERROR(IFERROR(INDEX('BD(MSCI)'!$T:$T,MATCH(Tabla_Consulta_desde_Reporte_de_Valorización_de_Instrumentos[[#This Row],[CODIGO_ISIN]],'BD(MSCI)'!$C:$C,0),1),INDEX('BD(MSCI)'!$T:$T,MATCH(Tabla_Consulta_desde_Reporte_de_Valorización_de_Instrumentos[[#This Row],[CODIGO_SBS]],'BD(MSCI)'!$C:$C,0),1)),0)</f>
        <v>1.2</v>
      </c>
      <c r="AK42" s="26">
        <f>Tabla_Consulta_desde_Reporte_de_Valorización_de_Instrumentos[[#This Row],[C02-H]]*Tabla_Consulta_desde_Reporte_de_Valorización_de_Instrumentos[[#This Row],[Inv MM$]]</f>
        <v>3.0233687489999825</v>
      </c>
      <c r="AL42" s="26">
        <f>Tabla_Consulta_desde_Reporte_de_Valorización_de_Instrumentos[[#This Row],[C02-H]]*Tabla_Consulta_desde_Reporte_de_Valorización_de_Instrumentos[[#This Row],[Weight]]</f>
        <v>3.8699298176737222E-4</v>
      </c>
      <c r="AM42" s="26" t="str">
        <f>INDEX(Parametria!G:G,MATCH(Tabla_Consulta_desde_Reporte_de_Valorización_de_Instrumentos[[#This Row],[CODIGO_SBS]],Parametria!C:C,0))</f>
        <v>15RFIC</v>
      </c>
      <c r="AN42" s="26" t="str">
        <f>INDEX(Parametria!F:F,MATCH(Tabla_Consulta_desde_Reporte_de_Valorización_de_Instrumentos[[#This Row],[CODIGO_SBS]],Parametria!C:C,0))</f>
        <v>BU</v>
      </c>
      <c r="AO42" s="26" t="str">
        <f>+INDEX(Parametria!J:J,MATCH(Tabla_Consulta_desde_Reporte_de_Valorización_de_Instrumentos[[#This Row],[CODIGO_SBS]],Parametria!C:C,0))</f>
        <v>RFIBU</v>
      </c>
      <c r="AP42" s="26">
        <f>Tabla_Consulta_desde_Reporte_de_Valorización_de_Instrumentos[[#This Row],[Huella]]/$AU$4</f>
        <v>2.8028071910673189E-4</v>
      </c>
      <c r="AQ42" s="26" t="str">
        <f>IFERROR(INDEX('BD(MSCI)'!W:W,MATCH(Tabla_Consulta_desde_Reporte_de_Valorización_de_Instrumentos[[#This Row],[CODIGO_ISIN]],'BD(MSCI)'!C:C,0)),IF(Tabla_Consulta_desde_Reporte_de_Valorización_de_Instrumentos[[#This Row],[Rank_rt]]="Cash","Cash","Cuestionario Integra"))</f>
        <v>Portafolio</v>
      </c>
      <c r="AR42" s="26" t="str">
        <f>IFERROR(INDEX('BD(MSCI)'!X:X,MATCH(Tabla_Consulta_desde_Reporte_de_Valorización_de_Instrumentos[[#This Row],[CODIGO_ISIN]],'BD(MSCI)'!C:C,0)),"Cuestionario Integra")</f>
        <v>Portafolio</v>
      </c>
      <c r="AU42" s="26"/>
    </row>
    <row r="43" spans="2:47" hidden="1" x14ac:dyDescent="0.25">
      <c r="B43" s="14" t="s">
        <v>6390</v>
      </c>
      <c r="C43" t="s">
        <v>202</v>
      </c>
      <c r="D43" t="s">
        <v>12</v>
      </c>
      <c r="E43" t="s">
        <v>203</v>
      </c>
      <c r="F43" t="s">
        <v>4842</v>
      </c>
      <c r="G43" t="str">
        <f>INDEX(Parametria!H:H,MATCH(Tabla_Consulta_desde_Reporte_de_Valorización_de_Instrumentos[[#This Row],[CODIGO_SBS]],Parametria!C:C,0),1)</f>
        <v>BBVA Bancomer</v>
      </c>
      <c r="H43" t="s">
        <v>5072</v>
      </c>
      <c r="I43" t="s">
        <v>5468</v>
      </c>
      <c r="J43" t="s">
        <v>214</v>
      </c>
      <c r="K43" t="s">
        <v>50</v>
      </c>
      <c r="L43">
        <v>1000</v>
      </c>
      <c r="M43" s="5">
        <v>48322572.065660097</v>
      </c>
      <c r="N43">
        <v>14377866.6624</v>
      </c>
      <c r="O43">
        <v>12800</v>
      </c>
      <c r="P43" s="15">
        <v>50778</v>
      </c>
      <c r="Q43">
        <v>4756</v>
      </c>
      <c r="R43">
        <v>3.3609</v>
      </c>
      <c r="S43" t="s">
        <v>155</v>
      </c>
      <c r="T43">
        <v>48303081.9032012</v>
      </c>
      <c r="U43" s="5">
        <v>14364801.6128</v>
      </c>
      <c r="V43" t="s">
        <v>215</v>
      </c>
      <c r="W43">
        <v>2808249000000</v>
      </c>
      <c r="X43">
        <v>2500434000000</v>
      </c>
      <c r="Y43">
        <v>307815000000</v>
      </c>
      <c r="Z43">
        <v>1.020707</v>
      </c>
      <c r="AA43" t="str">
        <f>+MID(Tabla_Consulta_desde_Reporte_de_Valorización_de_Instrumentos[[#This Row],[CODIGO_SBS]],7,1)</f>
        <v>2</v>
      </c>
      <c r="AB43">
        <f>INDEX('Cálculo Caja'!F:F,MATCH(Tabla_Consulta_desde_Reporte_de_Valorización_de_Instrumentos[[#This Row],[PORTAFOLIO]],'Cálculo Caja'!A:A,0),1)</f>
        <v>7679510866.0565634</v>
      </c>
      <c r="AC43" s="17">
        <f>Tabla_Consulta_desde_Reporte_de_Valorización_de_Instrumentos[[#This Row],[VALOR_VECTOR_LOCAL]]/Tabla_Consulta_desde_Reporte_de_Valorización_de_Instrumentos[[#This Row],[Patrimonio]]</f>
        <v>6.2924023298470549E-3</v>
      </c>
      <c r="AD43" s="4">
        <f>(Tabla_Consulta_desde_Reporte_de_Valorización_de_Instrumentos[[#This Row],[VALOR_VECTOR_LOCAL]]/INDEX('Tipo de Cambio'!$D:$D,MATCH("2",'Tipo de Cambio'!$E:$E,0),1))/1000000</f>
        <v>14.377866662399981</v>
      </c>
      <c r="AE43">
        <f>IF(Tabla_Consulta_desde_Reporte_de_Valorización_de_Instrumentos[[#This Row],[PORTAFOLIO]]="IN-FONDO0",Tabla_Consulta_desde_Reporte_de_Valorización_de_Instrumentos[[#This Row],[Inv MM$]],0)</f>
        <v>0</v>
      </c>
      <c r="AF43" s="26">
        <f>IF(Tabla_Consulta_desde_Reporte_de_Valorización_de_Instrumentos[[#This Row],[PORTAFOLIO]]="IN-FONDO1",Tabla_Consulta_desde_Reporte_de_Valorización_de_Instrumentos[[#This Row],[Inv MM$]],0)</f>
        <v>14.377866662399981</v>
      </c>
      <c r="AG43" s="26">
        <f>IF(Tabla_Consulta_desde_Reporte_de_Valorización_de_Instrumentos[[#This Row],[PORTAFOLIO]]="IN-FONDO2",Tabla_Consulta_desde_Reporte_de_Valorización_de_Instrumentos[[#This Row],[Inv MM$]],0)</f>
        <v>0</v>
      </c>
      <c r="AH43" s="26">
        <f>IF(Tabla_Consulta_desde_Reporte_de_Valorización_de_Instrumentos[[#This Row],[PORTAFOLIO]]="IN-FONDO3",Tabla_Consulta_desde_Reporte_de_Valorización_de_Instrumentos[[#This Row],[Inv MM$]],0)</f>
        <v>0</v>
      </c>
      <c r="AI4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27.295481241899964</v>
      </c>
      <c r="AJ43" s="26">
        <f>IFERROR(IFERROR(INDEX('BD(MSCI)'!$T:$T,MATCH(Tabla_Consulta_desde_Reporte_de_Valorización_de_Instrumentos[[#This Row],[CODIGO_ISIN]],'BD(MSCI)'!$C:$C,0),1),INDEX('BD(MSCI)'!$T:$T,MATCH(Tabla_Consulta_desde_Reporte_de_Valorización_de_Instrumentos[[#This Row],[CODIGO_SBS]],'BD(MSCI)'!$C:$C,0),1)),0)</f>
        <v>1.2</v>
      </c>
      <c r="AK43" s="26">
        <f>Tabla_Consulta_desde_Reporte_de_Valorización_de_Instrumentos[[#This Row],[C02-H]]*Tabla_Consulta_desde_Reporte_de_Valorización_de_Instrumentos[[#This Row],[Inv MM$]]</f>
        <v>17.253439994879976</v>
      </c>
      <c r="AL43" s="26">
        <f>Tabla_Consulta_desde_Reporte_de_Valorización_de_Instrumentos[[#This Row],[C02-H]]*Tabla_Consulta_desde_Reporte_de_Valorización_de_Instrumentos[[#This Row],[Weight]]</f>
        <v>7.5508827958164658E-3</v>
      </c>
      <c r="AM43" s="26" t="str">
        <f>INDEX(Parametria!G:G,MATCH(Tabla_Consulta_desde_Reporte_de_Valorización_de_Instrumentos[[#This Row],[CODIGO_SBS]],Parametria!C:C,0))</f>
        <v>15RFIC</v>
      </c>
      <c r="AN43" s="26" t="str">
        <f>INDEX(Parametria!F:F,MATCH(Tabla_Consulta_desde_Reporte_de_Valorización_de_Instrumentos[[#This Row],[CODIGO_SBS]],Parametria!C:C,0))</f>
        <v>BU</v>
      </c>
      <c r="AO43" s="26" t="str">
        <f>+INDEX(Parametria!J:J,MATCH(Tabla_Consulta_desde_Reporte_de_Valorización_de_Instrumentos[[#This Row],[CODIGO_SBS]],Parametria!C:C,0))</f>
        <v>RFIBU</v>
      </c>
      <c r="AP43" s="26">
        <f>Tabla_Consulta_desde_Reporte_de_Valorización_de_Instrumentos[[#This Row],[Huella]]/$AU$4</f>
        <v>1.5994762697832715E-3</v>
      </c>
      <c r="AQ43" s="26" t="str">
        <f>IFERROR(INDEX('BD(MSCI)'!W:W,MATCH(Tabla_Consulta_desde_Reporte_de_Valorización_de_Instrumentos[[#This Row],[CODIGO_ISIN]],'BD(MSCI)'!C:C,0)),IF(Tabla_Consulta_desde_Reporte_de_Valorización_de_Instrumentos[[#This Row],[Rank_rt]]="Cash","Cash","Cuestionario Integra"))</f>
        <v>Portafolio</v>
      </c>
      <c r="AR43" s="26" t="str">
        <f>IFERROR(INDEX('BD(MSCI)'!X:X,MATCH(Tabla_Consulta_desde_Reporte_de_Valorización_de_Instrumentos[[#This Row],[CODIGO_ISIN]],'BD(MSCI)'!C:C,0)),"Cuestionario Integra")</f>
        <v>Portafolio</v>
      </c>
      <c r="AU43" s="26"/>
    </row>
    <row r="44" spans="2:47" hidden="1" x14ac:dyDescent="0.25">
      <c r="B44" s="14" t="s">
        <v>6390</v>
      </c>
      <c r="C44" t="s">
        <v>202</v>
      </c>
      <c r="D44" t="s">
        <v>12</v>
      </c>
      <c r="E44" t="s">
        <v>203</v>
      </c>
      <c r="F44" t="s">
        <v>905</v>
      </c>
      <c r="G44" t="str">
        <f>INDEX(Parametria!H:H,MATCH(Tabla_Consulta_desde_Reporte_de_Valorización_de_Instrumentos[[#This Row],[CODIGO_SBS]],Parametria!C:C,0),1)</f>
        <v>BBVA Bancomer</v>
      </c>
      <c r="H44" t="s">
        <v>906</v>
      </c>
      <c r="I44" t="s">
        <v>4992</v>
      </c>
      <c r="J44" t="s">
        <v>214</v>
      </c>
      <c r="K44" t="s">
        <v>50</v>
      </c>
      <c r="L44">
        <v>1000</v>
      </c>
      <c r="M44" s="5">
        <v>16416058.37383</v>
      </c>
      <c r="N44">
        <v>4884423.3311999999</v>
      </c>
      <c r="O44">
        <v>4800</v>
      </c>
      <c r="P44" s="15">
        <v>49200</v>
      </c>
      <c r="Q44">
        <v>3178</v>
      </c>
      <c r="R44">
        <v>3.3609</v>
      </c>
      <c r="S44" t="s">
        <v>155</v>
      </c>
      <c r="T44">
        <v>16381970.7305068</v>
      </c>
      <c r="U44" s="5">
        <v>4871816.6688000001</v>
      </c>
      <c r="V44" t="s">
        <v>215</v>
      </c>
      <c r="W44">
        <v>2808249000000</v>
      </c>
      <c r="X44">
        <v>2500434000000</v>
      </c>
      <c r="Y44">
        <v>307815000000</v>
      </c>
      <c r="Z44">
        <v>2.6263879999999999</v>
      </c>
      <c r="AA44" t="str">
        <f>+MID(Tabla_Consulta_desde_Reporte_de_Valorización_de_Instrumentos[[#This Row],[CODIGO_SBS]],7,1)</f>
        <v>2</v>
      </c>
      <c r="AB44">
        <f>INDEX('Cálculo Caja'!F:F,MATCH(Tabla_Consulta_desde_Reporte_de_Valorización_de_Instrumentos[[#This Row],[PORTAFOLIO]],'Cálculo Caja'!A:A,0),1)</f>
        <v>7679510866.0565634</v>
      </c>
      <c r="AC44" s="17">
        <f>Tabla_Consulta_desde_Reporte_de_Valorización_de_Instrumentos[[#This Row],[VALOR_VECTOR_LOCAL]]/Tabla_Consulta_desde_Reporte_de_Valorización_de_Instrumentos[[#This Row],[Patrimonio]]</f>
        <v>2.1376437458261793E-3</v>
      </c>
      <c r="AD44" s="4">
        <f>(Tabla_Consulta_desde_Reporte_de_Valorización_de_Instrumentos[[#This Row],[VALOR_VECTOR_LOCAL]]/INDEX('Tipo de Cambio'!$D:$D,MATCH("2",'Tipo de Cambio'!$E:$E,0),1))/1000000</f>
        <v>4.8844233311999767</v>
      </c>
      <c r="AE44">
        <f>IF(Tabla_Consulta_desde_Reporte_de_Valorización_de_Instrumentos[[#This Row],[PORTAFOLIO]]="IN-FONDO0",Tabla_Consulta_desde_Reporte_de_Valorización_de_Instrumentos[[#This Row],[Inv MM$]],0)</f>
        <v>0</v>
      </c>
      <c r="AF44" s="26">
        <f>IF(Tabla_Consulta_desde_Reporte_de_Valorización_de_Instrumentos[[#This Row],[PORTAFOLIO]]="IN-FONDO1",Tabla_Consulta_desde_Reporte_de_Valorización_de_Instrumentos[[#This Row],[Inv MM$]],0)</f>
        <v>4.8844233311999767</v>
      </c>
      <c r="AG44" s="26">
        <f>IF(Tabla_Consulta_desde_Reporte_de_Valorización_de_Instrumentos[[#This Row],[PORTAFOLIO]]="IN-FONDO2",Tabla_Consulta_desde_Reporte_de_Valorización_de_Instrumentos[[#This Row],[Inv MM$]],0)</f>
        <v>0</v>
      </c>
      <c r="AH44" s="26">
        <f>IF(Tabla_Consulta_desde_Reporte_de_Valorización_de_Instrumentos[[#This Row],[PORTAFOLIO]]="IN-FONDO3",Tabla_Consulta_desde_Reporte_de_Valorización_de_Instrumentos[[#This Row],[Inv MM$]],0)</f>
        <v>0</v>
      </c>
      <c r="AI4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10.989952495199976</v>
      </c>
      <c r="AJ44" s="26">
        <f>IFERROR(IFERROR(INDEX('BD(MSCI)'!$T:$T,MATCH(Tabla_Consulta_desde_Reporte_de_Valorización_de_Instrumentos[[#This Row],[CODIGO_ISIN]],'BD(MSCI)'!$C:$C,0),1),INDEX('BD(MSCI)'!$T:$T,MATCH(Tabla_Consulta_desde_Reporte_de_Valorización_de_Instrumentos[[#This Row],[CODIGO_SBS]],'BD(MSCI)'!$C:$C,0),1)),0)</f>
        <v>1.2</v>
      </c>
      <c r="AK44" s="26">
        <f>Tabla_Consulta_desde_Reporte_de_Valorización_de_Instrumentos[[#This Row],[C02-H]]*Tabla_Consulta_desde_Reporte_de_Valorización_de_Instrumentos[[#This Row],[Inv MM$]]</f>
        <v>5.8613079974399716</v>
      </c>
      <c r="AL44" s="26">
        <f>Tabla_Consulta_desde_Reporte_de_Valorización_de_Instrumentos[[#This Row],[C02-H]]*Tabla_Consulta_desde_Reporte_de_Valorización_de_Instrumentos[[#This Row],[Weight]]</f>
        <v>2.5651724949914152E-3</v>
      </c>
      <c r="AM44" s="26" t="str">
        <f>INDEX(Parametria!G:G,MATCH(Tabla_Consulta_desde_Reporte_de_Valorización_de_Instrumentos[[#This Row],[CODIGO_SBS]],Parametria!C:C,0))</f>
        <v>15RFIC</v>
      </c>
      <c r="AN44" s="26" t="str">
        <f>INDEX(Parametria!F:F,MATCH(Tabla_Consulta_desde_Reporte_de_Valorización_de_Instrumentos[[#This Row],[CODIGO_SBS]],Parametria!C:C,0))</f>
        <v>BU</v>
      </c>
      <c r="AO44" s="26" t="str">
        <f>+INDEX(Parametria!J:J,MATCH(Tabla_Consulta_desde_Reporte_de_Valorización_de_Instrumentos[[#This Row],[CODIGO_SBS]],Parametria!C:C,0))</f>
        <v>RFIBU</v>
      </c>
      <c r="AP44" s="26">
        <f>Tabla_Consulta_desde_Reporte_de_Valorización_de_Instrumentos[[#This Row],[Huella]]/$AU$4</f>
        <v>5.4337123811704893E-4</v>
      </c>
      <c r="AQ44" s="26" t="str">
        <f>IFERROR(INDEX('BD(MSCI)'!W:W,MATCH(Tabla_Consulta_desde_Reporte_de_Valorización_de_Instrumentos[[#This Row],[CODIGO_ISIN]],'BD(MSCI)'!C:C,0)),IF(Tabla_Consulta_desde_Reporte_de_Valorización_de_Instrumentos[[#This Row],[Rank_rt]]="Cash","Cash","Cuestionario Integra"))</f>
        <v>Portafolio</v>
      </c>
      <c r="AR44" s="26" t="str">
        <f>IFERROR(INDEX('BD(MSCI)'!X:X,MATCH(Tabla_Consulta_desde_Reporte_de_Valorización_de_Instrumentos[[#This Row],[CODIGO_ISIN]],'BD(MSCI)'!C:C,0)),"Cuestionario Integra")</f>
        <v>Portafolio</v>
      </c>
      <c r="AU44" s="26"/>
    </row>
    <row r="45" spans="2:47" hidden="1" x14ac:dyDescent="0.25">
      <c r="B45" s="14" t="s">
        <v>6390</v>
      </c>
      <c r="C45" t="s">
        <v>202</v>
      </c>
      <c r="D45" t="s">
        <v>12</v>
      </c>
      <c r="E45" t="s">
        <v>203</v>
      </c>
      <c r="F45" t="s">
        <v>907</v>
      </c>
      <c r="G45" t="str">
        <f>INDEX(Parametria!H:H,MATCH(Tabla_Consulta_desde_Reporte_de_Valorización_de_Instrumentos[[#This Row],[CODIGO_SBS]],Parametria!C:C,0),1)</f>
        <v>BBVA Bancomer</v>
      </c>
      <c r="H45" t="s">
        <v>908</v>
      </c>
      <c r="I45" t="s">
        <v>5467</v>
      </c>
      <c r="J45" t="s">
        <v>214</v>
      </c>
      <c r="K45" t="s">
        <v>50</v>
      </c>
      <c r="L45">
        <v>1000</v>
      </c>
      <c r="M45" s="5">
        <v>30555199.4459364</v>
      </c>
      <c r="N45">
        <v>9091374.1693999991</v>
      </c>
      <c r="O45">
        <v>8200</v>
      </c>
      <c r="P45" s="15">
        <v>50585</v>
      </c>
      <c r="Q45">
        <v>4563</v>
      </c>
      <c r="R45">
        <v>3.3609</v>
      </c>
      <c r="S45" t="s">
        <v>155</v>
      </c>
      <c r="T45">
        <v>30559801.6199659</v>
      </c>
      <c r="U45" s="5">
        <v>9088146.5592</v>
      </c>
      <c r="V45" t="s">
        <v>215</v>
      </c>
      <c r="W45">
        <v>2808249000000</v>
      </c>
      <c r="X45">
        <v>2500434000000</v>
      </c>
      <c r="Y45">
        <v>307815000000</v>
      </c>
      <c r="Z45">
        <v>0.39361099999999999</v>
      </c>
      <c r="AA45" t="str">
        <f>+MID(Tabla_Consulta_desde_Reporte_de_Valorización_de_Instrumentos[[#This Row],[CODIGO_SBS]],7,1)</f>
        <v>2</v>
      </c>
      <c r="AB45">
        <f>INDEX('Cálculo Caja'!F:F,MATCH(Tabla_Consulta_desde_Reporte_de_Valorización_de_Instrumentos[[#This Row],[PORTAFOLIO]],'Cálculo Caja'!A:A,0),1)</f>
        <v>7679510866.0565634</v>
      </c>
      <c r="AC45" s="17">
        <f>Tabla_Consulta_desde_Reporte_de_Valorización_de_Instrumentos[[#This Row],[VALOR_VECTOR_LOCAL]]/Tabla_Consulta_desde_Reporte_de_Valorización_de_Instrumentos[[#This Row],[Patrimonio]]</f>
        <v>3.9787950012533189E-3</v>
      </c>
      <c r="AD45" s="4">
        <f>(Tabla_Consulta_desde_Reporte_de_Valorización_de_Instrumentos[[#This Row],[VALOR_VECTOR_LOCAL]]/INDEX('Tipo de Cambio'!$D:$D,MATCH("2",'Tipo de Cambio'!$E:$E,0),1))/1000000</f>
        <v>9.0913741693999821</v>
      </c>
      <c r="AE45">
        <f>IF(Tabla_Consulta_desde_Reporte_de_Valorización_de_Instrumentos[[#This Row],[PORTAFOLIO]]="IN-FONDO0",Tabla_Consulta_desde_Reporte_de_Valorización_de_Instrumentos[[#This Row],[Inv MM$]],0)</f>
        <v>0</v>
      </c>
      <c r="AF45" s="26">
        <f>IF(Tabla_Consulta_desde_Reporte_de_Valorización_de_Instrumentos[[#This Row],[PORTAFOLIO]]="IN-FONDO1",Tabla_Consulta_desde_Reporte_de_Valorización_de_Instrumentos[[#This Row],[Inv MM$]],0)</f>
        <v>9.0913741693999821</v>
      </c>
      <c r="AG45" s="26">
        <f>IF(Tabla_Consulta_desde_Reporte_de_Valorización_de_Instrumentos[[#This Row],[PORTAFOLIO]]="IN-FONDO2",Tabla_Consulta_desde_Reporte_de_Valorización_de_Instrumentos[[#This Row],[Inv MM$]],0)</f>
        <v>0</v>
      </c>
      <c r="AH45" s="26">
        <f>IF(Tabla_Consulta_desde_Reporte_de_Valorización_de_Instrumentos[[#This Row],[PORTAFOLIO]]="IN-FONDO3",Tabla_Consulta_desde_Reporte_de_Valorización_de_Instrumentos[[#This Row],[Inv MM$]],0)</f>
        <v>0</v>
      </c>
      <c r="AI4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16.51969208829998</v>
      </c>
      <c r="AJ45" s="26">
        <f>IFERROR(IFERROR(INDEX('BD(MSCI)'!$T:$T,MATCH(Tabla_Consulta_desde_Reporte_de_Valorización_de_Instrumentos[[#This Row],[CODIGO_ISIN]],'BD(MSCI)'!$C:$C,0),1),INDEX('BD(MSCI)'!$T:$T,MATCH(Tabla_Consulta_desde_Reporte_de_Valorización_de_Instrumentos[[#This Row],[CODIGO_SBS]],'BD(MSCI)'!$C:$C,0),1)),0)</f>
        <v>1.2</v>
      </c>
      <c r="AK45" s="26">
        <f>Tabla_Consulta_desde_Reporte_de_Valorización_de_Instrumentos[[#This Row],[C02-H]]*Tabla_Consulta_desde_Reporte_de_Valorización_de_Instrumentos[[#This Row],[Inv MM$]]</f>
        <v>10.909649003279979</v>
      </c>
      <c r="AL45" s="26">
        <f>Tabla_Consulta_desde_Reporte_de_Valorización_de_Instrumentos[[#This Row],[C02-H]]*Tabla_Consulta_desde_Reporte_de_Valorización_de_Instrumentos[[#This Row],[Weight]]</f>
        <v>4.7745540015039821E-3</v>
      </c>
      <c r="AM45" s="26" t="str">
        <f>INDEX(Parametria!G:G,MATCH(Tabla_Consulta_desde_Reporte_de_Valorización_de_Instrumentos[[#This Row],[CODIGO_SBS]],Parametria!C:C,0))</f>
        <v>15RFIC</v>
      </c>
      <c r="AN45" s="26" t="str">
        <f>INDEX(Parametria!F:F,MATCH(Tabla_Consulta_desde_Reporte_de_Valorización_de_Instrumentos[[#This Row],[CODIGO_SBS]],Parametria!C:C,0))</f>
        <v>BU</v>
      </c>
      <c r="AO45" s="26" t="str">
        <f>+INDEX(Parametria!J:J,MATCH(Tabla_Consulta_desde_Reporte_de_Valorización_de_Instrumentos[[#This Row],[CODIGO_SBS]],Parametria!C:C,0))</f>
        <v>RFIBU</v>
      </c>
      <c r="AP45" s="26">
        <f>Tabla_Consulta_desde_Reporte_de_Valorización_de_Instrumentos[[#This Row],[Huella]]/$AU$4</f>
        <v>1.0113765543328936E-3</v>
      </c>
      <c r="AQ45" s="26" t="str">
        <f>IFERROR(INDEX('BD(MSCI)'!W:W,MATCH(Tabla_Consulta_desde_Reporte_de_Valorización_de_Instrumentos[[#This Row],[CODIGO_ISIN]],'BD(MSCI)'!C:C,0)),IF(Tabla_Consulta_desde_Reporte_de_Valorización_de_Instrumentos[[#This Row],[Rank_rt]]="Cash","Cash","Cuestionario Integra"))</f>
        <v>Portafolio</v>
      </c>
      <c r="AR45" s="26" t="str">
        <f>IFERROR(INDEX('BD(MSCI)'!X:X,MATCH(Tabla_Consulta_desde_Reporte_de_Valorización_de_Instrumentos[[#This Row],[CODIGO_ISIN]],'BD(MSCI)'!C:C,0)),"Cuestionario Integra")</f>
        <v>Portafolio</v>
      </c>
      <c r="AU45" s="26"/>
    </row>
    <row r="46" spans="2:47" hidden="1" x14ac:dyDescent="0.25">
      <c r="B46" s="14" t="s">
        <v>6390</v>
      </c>
      <c r="C46" t="s">
        <v>202</v>
      </c>
      <c r="D46" t="s">
        <v>12</v>
      </c>
      <c r="E46" t="s">
        <v>203</v>
      </c>
      <c r="F46" t="s">
        <v>5799</v>
      </c>
      <c r="G46" t="str">
        <f>INDEX(Parametria!H:H,MATCH(Tabla_Consulta_desde_Reporte_de_Valorización_de_Instrumentos[[#This Row],[CODIGO_SBS]],Parametria!C:C,0),1)</f>
        <v>BBVA Bancomer</v>
      </c>
      <c r="H46" t="s">
        <v>5798</v>
      </c>
      <c r="I46" t="s">
        <v>6399</v>
      </c>
      <c r="J46" t="s">
        <v>214</v>
      </c>
      <c r="K46" t="s">
        <v>50</v>
      </c>
      <c r="L46">
        <v>1000</v>
      </c>
      <c r="M46" s="5">
        <v>5456578.6905070003</v>
      </c>
      <c r="N46">
        <v>1623546.8744999999</v>
      </c>
      <c r="O46">
        <v>1500</v>
      </c>
      <c r="P46" s="15">
        <v>49351</v>
      </c>
      <c r="Q46">
        <v>3329</v>
      </c>
      <c r="R46">
        <v>3.3609</v>
      </c>
      <c r="S46" t="s">
        <v>155</v>
      </c>
      <c r="T46">
        <v>5469811.8186708</v>
      </c>
      <c r="U46" s="5">
        <v>1626661.4580000001</v>
      </c>
      <c r="V46" t="s">
        <v>215</v>
      </c>
      <c r="W46">
        <v>2808249000000</v>
      </c>
      <c r="X46">
        <v>2500434000000</v>
      </c>
      <c r="Y46">
        <v>307815000000</v>
      </c>
      <c r="Z46">
        <v>-2.0763889999999998</v>
      </c>
      <c r="AA46" t="str">
        <f>+MID(Tabla_Consulta_desde_Reporte_de_Valorización_de_Instrumentos[[#This Row],[CODIGO_SBS]],7,1)</f>
        <v>2</v>
      </c>
      <c r="AB46">
        <f>INDEX('Cálculo Caja'!F:F,MATCH(Tabla_Consulta_desde_Reporte_de_Valorización_de_Instrumentos[[#This Row],[PORTAFOLIO]],'Cálculo Caja'!A:A,0),1)</f>
        <v>7679510866.0565634</v>
      </c>
      <c r="AC46" s="17">
        <f>Tabla_Consulta_desde_Reporte_de_Valorización_de_Instrumentos[[#This Row],[VALOR_VECTOR_LOCAL]]/Tabla_Consulta_desde_Reporte_de_Valorización_de_Instrumentos[[#This Row],[Patrimonio]]</f>
        <v>7.1053727062553903E-4</v>
      </c>
      <c r="AD46" s="4">
        <f>(Tabla_Consulta_desde_Reporte_de_Valorización_de_Instrumentos[[#This Row],[VALOR_VECTOR_LOCAL]]/INDEX('Tipo de Cambio'!$D:$D,MATCH("2",'Tipo de Cambio'!$E:$E,0),1))/1000000</f>
        <v>1.6235468744999852</v>
      </c>
      <c r="AE46">
        <f>IF(Tabla_Consulta_desde_Reporte_de_Valorización_de_Instrumentos[[#This Row],[PORTAFOLIO]]="IN-FONDO0",Tabla_Consulta_desde_Reporte_de_Valorización_de_Instrumentos[[#This Row],[Inv MM$]],0)</f>
        <v>0</v>
      </c>
      <c r="AF46" s="26">
        <f>IF(Tabla_Consulta_desde_Reporte_de_Valorización_de_Instrumentos[[#This Row],[PORTAFOLIO]]="IN-FONDO1",Tabla_Consulta_desde_Reporte_de_Valorización_de_Instrumentos[[#This Row],[Inv MM$]],0)</f>
        <v>1.6235468744999852</v>
      </c>
      <c r="AG46" s="26">
        <f>IF(Tabla_Consulta_desde_Reporte_de_Valorización_de_Instrumentos[[#This Row],[PORTAFOLIO]]="IN-FONDO2",Tabla_Consulta_desde_Reporte_de_Valorización_de_Instrumentos[[#This Row],[Inv MM$]],0)</f>
        <v>0</v>
      </c>
      <c r="AH46" s="26">
        <f>IF(Tabla_Consulta_desde_Reporte_de_Valorización_de_Instrumentos[[#This Row],[PORTAFOLIO]]="IN-FONDO3",Tabla_Consulta_desde_Reporte_de_Valorización_de_Instrumentos[[#This Row],[Inv MM$]],0)</f>
        <v>0</v>
      </c>
      <c r="AI4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1.6235468744999852</v>
      </c>
      <c r="AJ46" s="26">
        <f>IFERROR(IFERROR(INDEX('BD(MSCI)'!$T:$T,MATCH(Tabla_Consulta_desde_Reporte_de_Valorización_de_Instrumentos[[#This Row],[CODIGO_ISIN]],'BD(MSCI)'!$C:$C,0),1),INDEX('BD(MSCI)'!$T:$T,MATCH(Tabla_Consulta_desde_Reporte_de_Valorización_de_Instrumentos[[#This Row],[CODIGO_SBS]],'BD(MSCI)'!$C:$C,0),1)),0)</f>
        <v>1.2</v>
      </c>
      <c r="AK46" s="26">
        <f>Tabla_Consulta_desde_Reporte_de_Valorización_de_Instrumentos[[#This Row],[C02-H]]*Tabla_Consulta_desde_Reporte_de_Valorización_de_Instrumentos[[#This Row],[Inv MM$]]</f>
        <v>1.9482562493999822</v>
      </c>
      <c r="AL46" s="26">
        <f>Tabla_Consulta_desde_Reporte_de_Valorización_de_Instrumentos[[#This Row],[C02-H]]*Tabla_Consulta_desde_Reporte_de_Valorización_de_Instrumentos[[#This Row],[Weight]]</f>
        <v>8.5264472475064682E-4</v>
      </c>
      <c r="AM46" s="26" t="str">
        <f>INDEX(Parametria!G:G,MATCH(Tabla_Consulta_desde_Reporte_de_Valorización_de_Instrumentos[[#This Row],[CODIGO_SBS]],Parametria!C:C,0))</f>
        <v>15RFIC</v>
      </c>
      <c r="AN46" s="26" t="str">
        <f>INDEX(Parametria!F:F,MATCH(Tabla_Consulta_desde_Reporte_de_Valorización_de_Instrumentos[[#This Row],[CODIGO_SBS]],Parametria!C:C,0))</f>
        <v>BU</v>
      </c>
      <c r="AO46" s="26" t="str">
        <f>+INDEX(Parametria!J:J,MATCH(Tabla_Consulta_desde_Reporte_de_Valorización_de_Instrumentos[[#This Row],[CODIGO_SBS]],Parametria!C:C,0))</f>
        <v>RFIBU</v>
      </c>
      <c r="AP46" s="26">
        <f>Tabla_Consulta_desde_Reporte_de_Valorización_de_Instrumentos[[#This Row],[Huella]]/$AU$4</f>
        <v>1.8061265691346026E-4</v>
      </c>
      <c r="AQ46" s="26" t="str">
        <f>IFERROR(INDEX('BD(MSCI)'!W:W,MATCH(Tabla_Consulta_desde_Reporte_de_Valorización_de_Instrumentos[[#This Row],[CODIGO_ISIN]],'BD(MSCI)'!C:C,0)),IF(Tabla_Consulta_desde_Reporte_de_Valorización_de_Instrumentos[[#This Row],[Rank_rt]]="Cash","Cash","Cuestionario Integra"))</f>
        <v>Portafolio</v>
      </c>
      <c r="AR46" s="26" t="str">
        <f>IFERROR(INDEX('BD(MSCI)'!X:X,MATCH(Tabla_Consulta_desde_Reporte_de_Valorización_de_Instrumentos[[#This Row],[CODIGO_ISIN]],'BD(MSCI)'!C:C,0)),"Cuestionario Integra")</f>
        <v>Portafolio</v>
      </c>
      <c r="AU46" s="26"/>
    </row>
    <row r="47" spans="2:47" hidden="1" x14ac:dyDescent="0.25">
      <c r="B47" s="14" t="s">
        <v>6390</v>
      </c>
      <c r="C47" t="s">
        <v>202</v>
      </c>
      <c r="D47" t="s">
        <v>10</v>
      </c>
      <c r="E47" t="s">
        <v>203</v>
      </c>
      <c r="F47" t="s">
        <v>3050</v>
      </c>
      <c r="G47" t="str">
        <f>INDEX(Parametria!H:H,MATCH(Tabla_Consulta_desde_Reporte_de_Valorización_de_Instrumentos[[#This Row],[CODIGO_SBS]],Parametria!C:C,0),1)</f>
        <v>Grupo Aval Acciones y Valores</v>
      </c>
      <c r="H47" t="s">
        <v>853</v>
      </c>
      <c r="I47" t="s">
        <v>5469</v>
      </c>
      <c r="J47" t="s">
        <v>4987</v>
      </c>
      <c r="K47" t="s">
        <v>50</v>
      </c>
      <c r="L47">
        <v>1000</v>
      </c>
      <c r="M47" s="5">
        <v>3807145.3642245</v>
      </c>
      <c r="N47">
        <v>1132775.5554239999</v>
      </c>
      <c r="O47">
        <v>1184</v>
      </c>
      <c r="P47" s="15">
        <v>47518</v>
      </c>
      <c r="Q47">
        <v>1496</v>
      </c>
      <c r="R47">
        <v>3.3609</v>
      </c>
      <c r="S47" t="s">
        <v>155</v>
      </c>
      <c r="T47">
        <v>3808533.3857121998</v>
      </c>
      <c r="U47" s="5">
        <v>1132615.6503039999</v>
      </c>
      <c r="V47" t="s">
        <v>5470</v>
      </c>
      <c r="W47">
        <v>316615576000000</v>
      </c>
      <c r="X47">
        <v>284936353000000</v>
      </c>
      <c r="Y47">
        <v>31679222999999.996</v>
      </c>
      <c r="Z47">
        <v>0.13505500000000001</v>
      </c>
      <c r="AA47" t="str">
        <f>+MID(Tabla_Consulta_desde_Reporte_de_Valorización_de_Instrumentos[[#This Row],[CODIGO_SBS]],7,1)</f>
        <v>2</v>
      </c>
      <c r="AB47">
        <f>INDEX('Cálculo Caja'!F:F,MATCH(Tabla_Consulta_desde_Reporte_de_Valorización_de_Instrumentos[[#This Row],[PORTAFOLIO]],'Cálculo Caja'!A:A,0),1)</f>
        <v>26256910350.436607</v>
      </c>
      <c r="AC47" s="17">
        <f>Tabla_Consulta_desde_Reporte_de_Valorización_de_Instrumentos[[#This Row],[VALOR_VECTOR_LOCAL]]/Tabla_Consulta_desde_Reporte_de_Valorización_de_Instrumentos[[#This Row],[Patrimonio]]</f>
        <v>1.4499593872289675E-4</v>
      </c>
      <c r="AD47" s="4">
        <f>(Tabla_Consulta_desde_Reporte_de_Valorización_de_Instrumentos[[#This Row],[VALOR_VECTOR_LOCAL]]/INDEX('Tipo de Cambio'!$D:$D,MATCH("2",'Tipo de Cambio'!$E:$E,0),1))/1000000</f>
        <v>1.1327755554239936</v>
      </c>
      <c r="AE47">
        <f>IF(Tabla_Consulta_desde_Reporte_de_Valorización_de_Instrumentos[[#This Row],[PORTAFOLIO]]="IN-FONDO0",Tabla_Consulta_desde_Reporte_de_Valorización_de_Instrumentos[[#This Row],[Inv MM$]],0)</f>
        <v>0</v>
      </c>
      <c r="AF47" s="26">
        <f>IF(Tabla_Consulta_desde_Reporte_de_Valorización_de_Instrumentos[[#This Row],[PORTAFOLIO]]="IN-FONDO1",Tabla_Consulta_desde_Reporte_de_Valorización_de_Instrumentos[[#This Row],[Inv MM$]],0)</f>
        <v>0</v>
      </c>
      <c r="AG47" s="26">
        <f>IF(Tabla_Consulta_desde_Reporte_de_Valorización_de_Instrumentos[[#This Row],[PORTAFOLIO]]="IN-FONDO2",Tabla_Consulta_desde_Reporte_de_Valorización_de_Instrumentos[[#This Row],[Inv MM$]],0)</f>
        <v>1.1327755554239936</v>
      </c>
      <c r="AH47" s="26">
        <f>IF(Tabla_Consulta_desde_Reporte_de_Valorización_de_Instrumentos[[#This Row],[PORTAFOLIO]]="IN-FONDO3",Tabla_Consulta_desde_Reporte_de_Valorización_de_Instrumentos[[#This Row],[Inv MM$]],0)</f>
        <v>0</v>
      </c>
      <c r="AI4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1.1327755554239936</v>
      </c>
      <c r="AJ47" s="26">
        <f>IFERROR(IFERROR(INDEX('BD(MSCI)'!$T:$T,MATCH(Tabla_Consulta_desde_Reporte_de_Valorización_de_Instrumentos[[#This Row],[CODIGO_ISIN]],'BD(MSCI)'!$C:$C,0),1),INDEX('BD(MSCI)'!$T:$T,MATCH(Tabla_Consulta_desde_Reporte_de_Valorización_de_Instrumentos[[#This Row],[CODIGO_SBS]],'BD(MSCI)'!$C:$C,0),1)),0)</f>
        <v>10.51</v>
      </c>
      <c r="AK47" s="26">
        <f>Tabla_Consulta_desde_Reporte_de_Valorización_de_Instrumentos[[#This Row],[C02-H]]*Tabla_Consulta_desde_Reporte_de_Valorización_de_Instrumentos[[#This Row],[Inv MM$]]</f>
        <v>11.905471087506172</v>
      </c>
      <c r="AL47" s="26">
        <f>Tabla_Consulta_desde_Reporte_de_Valorización_de_Instrumentos[[#This Row],[C02-H]]*Tabla_Consulta_desde_Reporte_de_Valorización_de_Instrumentos[[#This Row],[Weight]]</f>
        <v>1.5239073159776448E-3</v>
      </c>
      <c r="AM47" s="26" t="str">
        <f>INDEX(Parametria!G:G,MATCH(Tabla_Consulta_desde_Reporte_de_Valorización_de_Instrumentos[[#This Row],[CODIGO_SBS]],Parametria!C:C,0))</f>
        <v>15RFIC</v>
      </c>
      <c r="AN47" s="26" t="str">
        <f>INDEX(Parametria!F:F,MATCH(Tabla_Consulta_desde_Reporte_de_Valorización_de_Instrumentos[[#This Row],[CODIGO_SBS]],Parametria!C:C,0))</f>
        <v>BU</v>
      </c>
      <c r="AO47" s="26" t="str">
        <f>+INDEX(Parametria!J:J,MATCH(Tabla_Consulta_desde_Reporte_de_Valorización_de_Instrumentos[[#This Row],[CODIGO_SBS]],Parametria!C:C,0))</f>
        <v>RFIBU</v>
      </c>
      <c r="AP47" s="26">
        <f>Tabla_Consulta_desde_Reporte_de_Valorización_de_Instrumentos[[#This Row],[Huella]]/$AU$4</f>
        <v>1.1036940164226901E-3</v>
      </c>
      <c r="AQ47" s="26" t="str">
        <f>IFERROR(INDEX('BD(MSCI)'!W:W,MATCH(Tabla_Consulta_desde_Reporte_de_Valorización_de_Instrumentos[[#This Row],[CODIGO_ISIN]],'BD(MSCI)'!C:C,0)),IF(Tabla_Consulta_desde_Reporte_de_Valorización_de_Instrumentos[[#This Row],[Rank_rt]]="Cash","Cash","Cuestionario Integra"))</f>
        <v>Portafolio</v>
      </c>
      <c r="AR47" s="26" t="str">
        <f>IFERROR(INDEX('BD(MSCI)'!X:X,MATCH(Tabla_Consulta_desde_Reporte_de_Valorización_de_Instrumentos[[#This Row],[CODIGO_ISIN]],'BD(MSCI)'!C:C,0)),"Cuestionario Integra")</f>
        <v>Portafolio</v>
      </c>
      <c r="AU47" s="26"/>
    </row>
    <row r="48" spans="2:47" hidden="1" x14ac:dyDescent="0.25">
      <c r="B48" s="14" t="s">
        <v>6390</v>
      </c>
      <c r="C48" t="s">
        <v>202</v>
      </c>
      <c r="D48" t="s">
        <v>10</v>
      </c>
      <c r="E48" t="s">
        <v>203</v>
      </c>
      <c r="F48" t="s">
        <v>6400</v>
      </c>
      <c r="G48" t="str">
        <f>INDEX(Parametria!H:H,MATCH(Tabla_Consulta_desde_Reporte_de_Valorización_de_Instrumentos[[#This Row],[CODIGO_SBS]],Parametria!C:C,0),1)</f>
        <v>Banco Davivienda S.A.</v>
      </c>
      <c r="H48" t="s">
        <v>6401</v>
      </c>
      <c r="I48" t="s">
        <v>6402</v>
      </c>
      <c r="J48" t="s">
        <v>6403</v>
      </c>
      <c r="K48" t="s">
        <v>50</v>
      </c>
      <c r="L48">
        <v>1000</v>
      </c>
      <c r="M48" s="5">
        <v>24307961.082237002</v>
      </c>
      <c r="N48">
        <v>7232574.9299999997</v>
      </c>
      <c r="O48">
        <v>6933</v>
      </c>
      <c r="P48" s="15">
        <v>48397</v>
      </c>
      <c r="Q48">
        <v>2375</v>
      </c>
      <c r="R48">
        <v>3.3609</v>
      </c>
      <c r="S48" t="s">
        <v>155</v>
      </c>
      <c r="T48">
        <v>25268958.981992301</v>
      </c>
      <c r="U48" s="5">
        <v>7514708.5534979999</v>
      </c>
      <c r="V48" t="s">
        <v>156</v>
      </c>
      <c r="W48">
        <v>177149615000000</v>
      </c>
      <c r="X48">
        <v>161267686000000</v>
      </c>
      <c r="Y48">
        <v>15881929000000</v>
      </c>
      <c r="Z48">
        <v>-40.694305999999997</v>
      </c>
      <c r="AA48" t="str">
        <f>+MID(Tabla_Consulta_desde_Reporte_de_Valorización_de_Instrumentos[[#This Row],[CODIGO_SBS]],7,1)</f>
        <v>2</v>
      </c>
      <c r="AB48">
        <f>INDEX('Cálculo Caja'!F:F,MATCH(Tabla_Consulta_desde_Reporte_de_Valorización_de_Instrumentos[[#This Row],[PORTAFOLIO]],'Cálculo Caja'!A:A,0),1)</f>
        <v>26256910350.436607</v>
      </c>
      <c r="AC48" s="17">
        <f>Tabla_Consulta_desde_Reporte_de_Valorización_de_Instrumentos[[#This Row],[VALOR_VECTOR_LOCAL]]/Tabla_Consulta_desde_Reporte_de_Valorización_de_Instrumentos[[#This Row],[Patrimonio]]</f>
        <v>9.2577385373267273E-4</v>
      </c>
      <c r="AD48" s="4">
        <f>(Tabla_Consulta_desde_Reporte_de_Valorización_de_Instrumentos[[#This Row],[VALOR_VECTOR_LOCAL]]/INDEX('Tipo de Cambio'!$D:$D,MATCH("2",'Tipo de Cambio'!$E:$E,0),1))/1000000</f>
        <v>7.2325749300000011</v>
      </c>
      <c r="AE48">
        <f>IF(Tabla_Consulta_desde_Reporte_de_Valorización_de_Instrumentos[[#This Row],[PORTAFOLIO]]="IN-FONDO0",Tabla_Consulta_desde_Reporte_de_Valorización_de_Instrumentos[[#This Row],[Inv MM$]],0)</f>
        <v>0</v>
      </c>
      <c r="AF48" s="26">
        <f>IF(Tabla_Consulta_desde_Reporte_de_Valorización_de_Instrumentos[[#This Row],[PORTAFOLIO]]="IN-FONDO1",Tabla_Consulta_desde_Reporte_de_Valorización_de_Instrumentos[[#This Row],[Inv MM$]],0)</f>
        <v>0</v>
      </c>
      <c r="AG48" s="26">
        <f>IF(Tabla_Consulta_desde_Reporte_de_Valorización_de_Instrumentos[[#This Row],[PORTAFOLIO]]="IN-FONDO2",Tabla_Consulta_desde_Reporte_de_Valorización_de_Instrumentos[[#This Row],[Inv MM$]],0)</f>
        <v>7.2325749300000011</v>
      </c>
      <c r="AH48" s="26">
        <f>IF(Tabla_Consulta_desde_Reporte_de_Valorización_de_Instrumentos[[#This Row],[PORTAFOLIO]]="IN-FONDO3",Tabla_Consulta_desde_Reporte_de_Valorización_de_Instrumentos[[#This Row],[Inv MM$]],0)</f>
        <v>0</v>
      </c>
      <c r="AI4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19.49342206</v>
      </c>
      <c r="AJ48" s="26">
        <f>IFERROR(IFERROR(INDEX('BD(MSCI)'!$T:$T,MATCH(Tabla_Consulta_desde_Reporte_de_Valorización_de_Instrumentos[[#This Row],[CODIGO_ISIN]],'BD(MSCI)'!$C:$C,0),1),INDEX('BD(MSCI)'!$T:$T,MATCH(Tabla_Consulta_desde_Reporte_de_Valorización_de_Instrumentos[[#This Row],[CODIGO_SBS]],'BD(MSCI)'!$C:$C,0),1)),0)</f>
        <v>4.0032245</v>
      </c>
      <c r="AK48" s="26">
        <f>Tabla_Consulta_desde_Reporte_de_Valorización_de_Instrumentos[[#This Row],[C02-H]]*Tabla_Consulta_desde_Reporte_de_Valorización_de_Instrumentos[[#This Row],[Inv MM$]]</f>
        <v>28.953621157861789</v>
      </c>
      <c r="AL48" s="26">
        <f>Tabla_Consulta_desde_Reporte_de_Valorización_de_Instrumentos[[#This Row],[C02-H]]*Tabla_Consulta_desde_Reporte_de_Valorización_de_Instrumentos[[#This Row],[Weight]]</f>
        <v>3.7060805727220517E-3</v>
      </c>
      <c r="AM48" s="26" t="str">
        <f>INDEX(Parametria!G:G,MATCH(Tabla_Consulta_desde_Reporte_de_Valorización_de_Instrumentos[[#This Row],[CODIGO_SBS]],Parametria!C:C,0))</f>
        <v>15RFIC</v>
      </c>
      <c r="AN48" s="26" t="str">
        <f>INDEX(Parametria!F:F,MATCH(Tabla_Consulta_desde_Reporte_de_Valorización_de_Instrumentos[[#This Row],[CODIGO_SBS]],Parametria!C:C,0))</f>
        <v>BU</v>
      </c>
      <c r="AO48" s="26" t="str">
        <f>+INDEX(Parametria!J:J,MATCH(Tabla_Consulta_desde_Reporte_de_Valorización_de_Instrumentos[[#This Row],[CODIGO_SBS]],Parametria!C:C,0))</f>
        <v>RFIBU</v>
      </c>
      <c r="AP48" s="26">
        <f>Tabla_Consulta_desde_Reporte_de_Valorización_de_Instrumentos[[#This Row],[Huella]]/$AU$4</f>
        <v>2.684138929977885E-3</v>
      </c>
      <c r="AQ48" s="26" t="str">
        <f>IFERROR(INDEX('BD(MSCI)'!W:W,MATCH(Tabla_Consulta_desde_Reporte_de_Valorización_de_Instrumentos[[#This Row],[CODIGO_ISIN]],'BD(MSCI)'!C:C,0)),IF(Tabla_Consulta_desde_Reporte_de_Valorización_de_Instrumentos[[#This Row],[Rank_rt]]="Cash","Cash","Cuestionario Integra"))</f>
        <v>Proxies</v>
      </c>
      <c r="AR48" s="26" t="str">
        <f>IFERROR(INDEX('BD(MSCI)'!X:X,MATCH(Tabla_Consulta_desde_Reporte_de_Valorización_de_Instrumentos[[#This Row],[CODIGO_ISIN]],'BD(MSCI)'!C:C,0)),"Cuestionario Integra")</f>
        <v>BU</v>
      </c>
      <c r="AU48" s="26"/>
    </row>
    <row r="49" spans="2:47" hidden="1" x14ac:dyDescent="0.25">
      <c r="B49" s="14" t="s">
        <v>6390</v>
      </c>
      <c r="C49" t="s">
        <v>202</v>
      </c>
      <c r="D49" t="s">
        <v>12</v>
      </c>
      <c r="E49" t="s">
        <v>203</v>
      </c>
      <c r="F49" t="s">
        <v>6400</v>
      </c>
      <c r="G49" t="str">
        <f>INDEX(Parametria!H:H,MATCH(Tabla_Consulta_desde_Reporte_de_Valorización_de_Instrumentos[[#This Row],[CODIGO_SBS]],Parametria!C:C,0),1)</f>
        <v>Banco Davivienda S.A.</v>
      </c>
      <c r="H49" t="s">
        <v>6401</v>
      </c>
      <c r="I49" t="s">
        <v>6402</v>
      </c>
      <c r="J49" t="s">
        <v>6403</v>
      </c>
      <c r="K49" t="s">
        <v>50</v>
      </c>
      <c r="L49">
        <v>1000</v>
      </c>
      <c r="M49" s="5">
        <v>41207481.119217001</v>
      </c>
      <c r="N49">
        <v>12260847.130000001</v>
      </c>
      <c r="O49">
        <v>11753</v>
      </c>
      <c r="P49" s="15">
        <v>48397</v>
      </c>
      <c r="Q49">
        <v>2375</v>
      </c>
      <c r="R49">
        <v>3.3609</v>
      </c>
      <c r="S49" t="s">
        <v>155</v>
      </c>
      <c r="T49">
        <v>42836589.487286299</v>
      </c>
      <c r="U49" s="5">
        <v>12739127.308418</v>
      </c>
      <c r="V49" t="s">
        <v>156</v>
      </c>
      <c r="W49">
        <v>177149615000000</v>
      </c>
      <c r="X49">
        <v>161267686000000</v>
      </c>
      <c r="Y49">
        <v>15881929000000</v>
      </c>
      <c r="Z49">
        <v>-40.694305999999997</v>
      </c>
      <c r="AA49" t="str">
        <f>+MID(Tabla_Consulta_desde_Reporte_de_Valorización_de_Instrumentos[[#This Row],[CODIGO_SBS]],7,1)</f>
        <v>2</v>
      </c>
      <c r="AB49">
        <f>INDEX('Cálculo Caja'!F:F,MATCH(Tabla_Consulta_desde_Reporte_de_Valorización_de_Instrumentos[[#This Row],[PORTAFOLIO]],'Cálculo Caja'!A:A,0),1)</f>
        <v>7679510866.0565634</v>
      </c>
      <c r="AC49" s="17">
        <f>Tabla_Consulta_desde_Reporte_de_Valorización_de_Instrumentos[[#This Row],[VALOR_VECTOR_LOCAL]]/Tabla_Consulta_desde_Reporte_de_Valorización_de_Instrumentos[[#This Row],[Patrimonio]]</f>
        <v>5.3658991878446395E-3</v>
      </c>
      <c r="AD49" s="4">
        <f>(Tabla_Consulta_desde_Reporte_de_Valorización_de_Instrumentos[[#This Row],[VALOR_VECTOR_LOCAL]]/INDEX('Tipo de Cambio'!$D:$D,MATCH("2",'Tipo de Cambio'!$E:$E,0),1))/1000000</f>
        <v>12.26084713</v>
      </c>
      <c r="AE49">
        <f>IF(Tabla_Consulta_desde_Reporte_de_Valorización_de_Instrumentos[[#This Row],[PORTAFOLIO]]="IN-FONDO0",Tabla_Consulta_desde_Reporte_de_Valorización_de_Instrumentos[[#This Row],[Inv MM$]],0)</f>
        <v>0</v>
      </c>
      <c r="AF49" s="26">
        <f>IF(Tabla_Consulta_desde_Reporte_de_Valorización_de_Instrumentos[[#This Row],[PORTAFOLIO]]="IN-FONDO1",Tabla_Consulta_desde_Reporte_de_Valorización_de_Instrumentos[[#This Row],[Inv MM$]],0)</f>
        <v>12.26084713</v>
      </c>
      <c r="AG49" s="26">
        <f>IF(Tabla_Consulta_desde_Reporte_de_Valorización_de_Instrumentos[[#This Row],[PORTAFOLIO]]="IN-FONDO2",Tabla_Consulta_desde_Reporte_de_Valorización_de_Instrumentos[[#This Row],[Inv MM$]],0)</f>
        <v>0</v>
      </c>
      <c r="AH49" s="26">
        <f>IF(Tabla_Consulta_desde_Reporte_de_Valorización_de_Instrumentos[[#This Row],[PORTAFOLIO]]="IN-FONDO3",Tabla_Consulta_desde_Reporte_de_Valorización_de_Instrumentos[[#This Row],[Inv MM$]],0)</f>
        <v>0</v>
      </c>
      <c r="AI4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19.49342206</v>
      </c>
      <c r="AJ49" s="26">
        <f>IFERROR(IFERROR(INDEX('BD(MSCI)'!$T:$T,MATCH(Tabla_Consulta_desde_Reporte_de_Valorización_de_Instrumentos[[#This Row],[CODIGO_ISIN]],'BD(MSCI)'!$C:$C,0),1),INDEX('BD(MSCI)'!$T:$T,MATCH(Tabla_Consulta_desde_Reporte_de_Valorización_de_Instrumentos[[#This Row],[CODIGO_SBS]],'BD(MSCI)'!$C:$C,0),1)),0)</f>
        <v>4.0032245</v>
      </c>
      <c r="AK49" s="26">
        <f>Tabla_Consulta_desde_Reporte_de_Valorización_de_Instrumentos[[#This Row],[C02-H]]*Tabla_Consulta_desde_Reporte_de_Valorización_de_Instrumentos[[#This Row],[Inv MM$]]</f>
        <v>49.082923621570686</v>
      </c>
      <c r="AL49" s="26">
        <f>Tabla_Consulta_desde_Reporte_de_Valorización_de_Instrumentos[[#This Row],[C02-H]]*Tabla_Consulta_desde_Reporte_de_Valorización_de_Instrumentos[[#This Row],[Weight]]</f>
        <v>2.1480899093309764E-2</v>
      </c>
      <c r="AM49" s="26" t="str">
        <f>INDEX(Parametria!G:G,MATCH(Tabla_Consulta_desde_Reporte_de_Valorización_de_Instrumentos[[#This Row],[CODIGO_SBS]],Parametria!C:C,0))</f>
        <v>15RFIC</v>
      </c>
      <c r="AN49" s="26" t="str">
        <f>INDEX(Parametria!F:F,MATCH(Tabla_Consulta_desde_Reporte_de_Valorización_de_Instrumentos[[#This Row],[CODIGO_SBS]],Parametria!C:C,0))</f>
        <v>BU</v>
      </c>
      <c r="AO49" s="26" t="str">
        <f>+INDEX(Parametria!J:J,MATCH(Tabla_Consulta_desde_Reporte_de_Valorización_de_Instrumentos[[#This Row],[CODIGO_SBS]],Parametria!C:C,0))</f>
        <v>RFIBU</v>
      </c>
      <c r="AP49" s="26">
        <f>Tabla_Consulta_desde_Reporte_de_Valorización_de_Instrumentos[[#This Row],[Huella]]/$AU$4</f>
        <v>4.550221382378491E-3</v>
      </c>
      <c r="AQ49" s="26" t="str">
        <f>IFERROR(INDEX('BD(MSCI)'!W:W,MATCH(Tabla_Consulta_desde_Reporte_de_Valorización_de_Instrumentos[[#This Row],[CODIGO_ISIN]],'BD(MSCI)'!C:C,0)),IF(Tabla_Consulta_desde_Reporte_de_Valorización_de_Instrumentos[[#This Row],[Rank_rt]]="Cash","Cash","Cuestionario Integra"))</f>
        <v>Proxies</v>
      </c>
      <c r="AR49" s="26" t="str">
        <f>IFERROR(INDEX('BD(MSCI)'!X:X,MATCH(Tabla_Consulta_desde_Reporte_de_Valorización_de_Instrumentos[[#This Row],[CODIGO_ISIN]],'BD(MSCI)'!C:C,0)),"Cuestionario Integra")</f>
        <v>BU</v>
      </c>
      <c r="AU49" s="26"/>
    </row>
    <row r="50" spans="2:47" hidden="1" x14ac:dyDescent="0.25">
      <c r="B50" s="14" t="s">
        <v>6390</v>
      </c>
      <c r="C50" t="s">
        <v>202</v>
      </c>
      <c r="D50" t="s">
        <v>12</v>
      </c>
      <c r="E50" t="s">
        <v>203</v>
      </c>
      <c r="F50" t="s">
        <v>5787</v>
      </c>
      <c r="G50" t="str">
        <f>INDEX(Parametria!H:H,MATCH(Tabla_Consulta_desde_Reporte_de_Valorización_de_Instrumentos[[#This Row],[CODIGO_SBS]],Parametria!C:C,0),1)</f>
        <v>Banco de Crédito e Inversiones</v>
      </c>
      <c r="H50" t="s">
        <v>5786</v>
      </c>
      <c r="I50" t="s">
        <v>6404</v>
      </c>
      <c r="J50" t="s">
        <v>6405</v>
      </c>
      <c r="K50" t="s">
        <v>50</v>
      </c>
      <c r="L50">
        <v>1000</v>
      </c>
      <c r="M50" s="5">
        <v>17937711.463011801</v>
      </c>
      <c r="N50">
        <v>5337175.0016400004</v>
      </c>
      <c r="O50">
        <v>4920</v>
      </c>
      <c r="P50" s="15">
        <v>73121</v>
      </c>
      <c r="Q50">
        <v>27099</v>
      </c>
      <c r="R50">
        <v>3.3609</v>
      </c>
      <c r="S50" t="s">
        <v>155</v>
      </c>
      <c r="T50">
        <v>17939891.324999999</v>
      </c>
      <c r="U50" s="5">
        <v>5335125</v>
      </c>
      <c r="V50" t="s">
        <v>156</v>
      </c>
      <c r="W50">
        <v>0</v>
      </c>
      <c r="X50">
        <v>0</v>
      </c>
      <c r="Y50">
        <v>0</v>
      </c>
      <c r="Z50">
        <v>0.41666700000000001</v>
      </c>
      <c r="AA50" t="str">
        <f>+MID(Tabla_Consulta_desde_Reporte_de_Valorización_de_Instrumentos[[#This Row],[CODIGO_SBS]],7,1)</f>
        <v>2</v>
      </c>
      <c r="AB50">
        <f>INDEX('Cálculo Caja'!F:F,MATCH(Tabla_Consulta_desde_Reporte_de_Valorización_de_Instrumentos[[#This Row],[PORTAFOLIO]],'Cálculo Caja'!A:A,0),1)</f>
        <v>7679510866.0565634</v>
      </c>
      <c r="AC50" s="17">
        <f>Tabla_Consulta_desde_Reporte_de_Valorización_de_Instrumentos[[#This Row],[VALOR_VECTOR_LOCAL]]/Tabla_Consulta_desde_Reporte_de_Valorización_de_Instrumentos[[#This Row],[Patrimonio]]</f>
        <v>2.3357882781697053E-3</v>
      </c>
      <c r="AD50" s="4">
        <f>(Tabla_Consulta_desde_Reporte_de_Valorización_de_Instrumentos[[#This Row],[VALOR_VECTOR_LOCAL]]/INDEX('Tipo de Cambio'!$D:$D,MATCH("2",'Tipo de Cambio'!$E:$E,0),1))/1000000</f>
        <v>5.3371750016399782</v>
      </c>
      <c r="AE50">
        <f>IF(Tabla_Consulta_desde_Reporte_de_Valorización_de_Instrumentos[[#This Row],[PORTAFOLIO]]="IN-FONDO0",Tabla_Consulta_desde_Reporte_de_Valorización_de_Instrumentos[[#This Row],[Inv MM$]],0)</f>
        <v>0</v>
      </c>
      <c r="AF50" s="26">
        <f>IF(Tabla_Consulta_desde_Reporte_de_Valorización_de_Instrumentos[[#This Row],[PORTAFOLIO]]="IN-FONDO1",Tabla_Consulta_desde_Reporte_de_Valorización_de_Instrumentos[[#This Row],[Inv MM$]],0)</f>
        <v>5.3371750016399782</v>
      </c>
      <c r="AG50" s="26">
        <f>IF(Tabla_Consulta_desde_Reporte_de_Valorización_de_Instrumentos[[#This Row],[PORTAFOLIO]]="IN-FONDO2",Tabla_Consulta_desde_Reporte_de_Valorización_de_Instrumentos[[#This Row],[Inv MM$]],0)</f>
        <v>0</v>
      </c>
      <c r="AH50" s="26">
        <f>IF(Tabla_Consulta_desde_Reporte_de_Valorización_de_Instrumentos[[#This Row],[PORTAFOLIO]]="IN-FONDO3",Tabla_Consulta_desde_Reporte_de_Valorización_de_Instrumentos[[#This Row],[Inv MM$]],0)</f>
        <v>0</v>
      </c>
      <c r="AI5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5.3371750016399782</v>
      </c>
      <c r="AJ50" s="26">
        <f>IFERROR(IFERROR(INDEX('BD(MSCI)'!$T:$T,MATCH(Tabla_Consulta_desde_Reporte_de_Valorización_de_Instrumentos[[#This Row],[CODIGO_ISIN]],'BD(MSCI)'!$C:$C,0),1),INDEX('BD(MSCI)'!$T:$T,MATCH(Tabla_Consulta_desde_Reporte_de_Valorización_de_Instrumentos[[#This Row],[CODIGO_SBS]],'BD(MSCI)'!$C:$C,0),1)),0)</f>
        <v>0.16</v>
      </c>
      <c r="AK50" s="26">
        <f>Tabla_Consulta_desde_Reporte_de_Valorización_de_Instrumentos[[#This Row],[C02-H]]*Tabla_Consulta_desde_Reporte_de_Valorización_de_Instrumentos[[#This Row],[Inv MM$]]</f>
        <v>0.85394800026239648</v>
      </c>
      <c r="AL50" s="26">
        <f>Tabla_Consulta_desde_Reporte_de_Valorización_de_Instrumentos[[#This Row],[C02-H]]*Tabla_Consulta_desde_Reporte_de_Valorización_de_Instrumentos[[#This Row],[Weight]]</f>
        <v>3.7372612450715286E-4</v>
      </c>
      <c r="AM50" s="26" t="str">
        <f>INDEX(Parametria!G:G,MATCH(Tabla_Consulta_desde_Reporte_de_Valorización_de_Instrumentos[[#This Row],[CODIGO_SBS]],Parametria!C:C,0))</f>
        <v>15RFIC</v>
      </c>
      <c r="AN50" s="26" t="str">
        <f>INDEX(Parametria!F:F,MATCH(Tabla_Consulta_desde_Reporte_de_Valorización_de_Instrumentos[[#This Row],[CODIGO_SBS]],Parametria!C:C,0))</f>
        <v>BU</v>
      </c>
      <c r="AO50" s="26" t="str">
        <f>+INDEX(Parametria!J:J,MATCH(Tabla_Consulta_desde_Reporte_de_Valorización_de_Instrumentos[[#This Row],[CODIGO_SBS]],Parametria!C:C,0))</f>
        <v>RFIBU</v>
      </c>
      <c r="AP50" s="26">
        <f>Tabla_Consulta_desde_Reporte_de_Valorización_de_Instrumentos[[#This Row],[Huella]]/$AU$4</f>
        <v>7.9165057081597009E-5</v>
      </c>
      <c r="AQ50" s="26" t="str">
        <f>IFERROR(INDEX('BD(MSCI)'!W:W,MATCH(Tabla_Consulta_desde_Reporte_de_Valorización_de_Instrumentos[[#This Row],[CODIGO_ISIN]],'BD(MSCI)'!C:C,0)),IF(Tabla_Consulta_desde_Reporte_de_Valorización_de_Instrumentos[[#This Row],[Rank_rt]]="Cash","Cash","Cuestionario Integra"))</f>
        <v>Portafolio</v>
      </c>
      <c r="AR50" s="26" t="str">
        <f>IFERROR(INDEX('BD(MSCI)'!X:X,MATCH(Tabla_Consulta_desde_Reporte_de_Valorización_de_Instrumentos[[#This Row],[CODIGO_ISIN]],'BD(MSCI)'!C:C,0)),"Cuestionario Integra")</f>
        <v>Portafolio</v>
      </c>
      <c r="AU50" s="26"/>
    </row>
    <row r="51" spans="2:47" hidden="1" x14ac:dyDescent="0.25">
      <c r="B51" s="14" t="s">
        <v>6390</v>
      </c>
      <c r="C51" t="s">
        <v>202</v>
      </c>
      <c r="D51" t="s">
        <v>12</v>
      </c>
      <c r="E51" t="s">
        <v>203</v>
      </c>
      <c r="F51" t="s">
        <v>5259</v>
      </c>
      <c r="G51" t="str">
        <f>INDEX(Parametria!H:H,MATCH(Tabla_Consulta_desde_Reporte_de_Valorización_de_Instrumentos[[#This Row],[CODIGO_SBS]],Parametria!C:C,0),1)</f>
        <v>Banco de Colombia</v>
      </c>
      <c r="H51" t="s">
        <v>5258</v>
      </c>
      <c r="I51" t="s">
        <v>5366</v>
      </c>
      <c r="J51" t="s">
        <v>217</v>
      </c>
      <c r="K51" t="s">
        <v>50</v>
      </c>
      <c r="L51">
        <v>1000</v>
      </c>
      <c r="M51" s="5">
        <v>60957858.844433002</v>
      </c>
      <c r="N51">
        <v>18137361.6723</v>
      </c>
      <c r="O51">
        <v>16900</v>
      </c>
      <c r="P51" s="15">
        <v>49302</v>
      </c>
      <c r="Q51">
        <v>3280</v>
      </c>
      <c r="R51">
        <v>3.3609</v>
      </c>
      <c r="S51" t="s">
        <v>155</v>
      </c>
      <c r="T51">
        <v>60992717.65275</v>
      </c>
      <c r="U51" s="5">
        <v>18138558.75</v>
      </c>
      <c r="V51" t="s">
        <v>156</v>
      </c>
      <c r="W51">
        <v>338596669000000</v>
      </c>
      <c r="X51">
        <v>301098538000000</v>
      </c>
      <c r="Y51">
        <v>37498131000000</v>
      </c>
      <c r="Z51">
        <v>-7.0832999999999993E-2</v>
      </c>
      <c r="AA51" t="str">
        <f>+MID(Tabla_Consulta_desde_Reporte_de_Valorización_de_Instrumentos[[#This Row],[CODIGO_SBS]],7,1)</f>
        <v>2</v>
      </c>
      <c r="AB51">
        <f>INDEX('Cálculo Caja'!F:F,MATCH(Tabla_Consulta_desde_Reporte_de_Valorización_de_Instrumentos[[#This Row],[PORTAFOLIO]],'Cálculo Caja'!A:A,0),1)</f>
        <v>7679510866.0565634</v>
      </c>
      <c r="AC51" s="17">
        <f>Tabla_Consulta_desde_Reporte_de_Valorización_de_Instrumentos[[#This Row],[VALOR_VECTOR_LOCAL]]/Tabla_Consulta_desde_Reporte_de_Valorización_de_Instrumentos[[#This Row],[Patrimonio]]</f>
        <v>7.9377267520860904E-3</v>
      </c>
      <c r="AD51" s="4">
        <f>(Tabla_Consulta_desde_Reporte_de_Valorización_de_Instrumentos[[#This Row],[VALOR_VECTOR_LOCAL]]/INDEX('Tipo de Cambio'!$D:$D,MATCH("2",'Tipo de Cambio'!$E:$E,0),1))/1000000</f>
        <v>18.137361672299981</v>
      </c>
      <c r="AE51">
        <f>IF(Tabla_Consulta_desde_Reporte_de_Valorización_de_Instrumentos[[#This Row],[PORTAFOLIO]]="IN-FONDO0",Tabla_Consulta_desde_Reporte_de_Valorización_de_Instrumentos[[#This Row],[Inv MM$]],0)</f>
        <v>0</v>
      </c>
      <c r="AF51" s="26">
        <f>IF(Tabla_Consulta_desde_Reporte_de_Valorización_de_Instrumentos[[#This Row],[PORTAFOLIO]]="IN-FONDO1",Tabla_Consulta_desde_Reporte_de_Valorización_de_Instrumentos[[#This Row],[Inv MM$]],0)</f>
        <v>18.137361672299981</v>
      </c>
      <c r="AG51" s="26">
        <f>IF(Tabla_Consulta_desde_Reporte_de_Valorización_de_Instrumentos[[#This Row],[PORTAFOLIO]]="IN-FONDO2",Tabla_Consulta_desde_Reporte_de_Valorización_de_Instrumentos[[#This Row],[Inv MM$]],0)</f>
        <v>0</v>
      </c>
      <c r="AH51" s="26">
        <f>IF(Tabla_Consulta_desde_Reporte_de_Valorización_de_Instrumentos[[#This Row],[PORTAFOLIO]]="IN-FONDO3",Tabla_Consulta_desde_Reporte_de_Valorización_de_Instrumentos[[#This Row],[Inv MM$]],0)</f>
        <v>0</v>
      </c>
      <c r="AI5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32.602175910125979</v>
      </c>
      <c r="AJ51" s="26">
        <f>IFERROR(IFERROR(INDEX('BD(MSCI)'!$T:$T,MATCH(Tabla_Consulta_desde_Reporte_de_Valorización_de_Instrumentos[[#This Row],[CODIGO_ISIN]],'BD(MSCI)'!$C:$C,0),1),INDEX('BD(MSCI)'!$T:$T,MATCH(Tabla_Consulta_desde_Reporte_de_Valorización_de_Instrumentos[[#This Row],[CODIGO_SBS]],'BD(MSCI)'!$C:$C,0),1)),0)</f>
        <v>0.98</v>
      </c>
      <c r="AK51" s="26">
        <f>Tabla_Consulta_desde_Reporte_de_Valorización_de_Instrumentos[[#This Row],[C02-H]]*Tabla_Consulta_desde_Reporte_de_Valorización_de_Instrumentos[[#This Row],[Inv MM$]]</f>
        <v>17.77461443885398</v>
      </c>
      <c r="AL51" s="26">
        <f>Tabla_Consulta_desde_Reporte_de_Valorización_de_Instrumentos[[#This Row],[C02-H]]*Tabla_Consulta_desde_Reporte_de_Valorización_de_Instrumentos[[#This Row],[Weight]]</f>
        <v>7.7789722170443689E-3</v>
      </c>
      <c r="AM51" s="26" t="str">
        <f>INDEX(Parametria!G:G,MATCH(Tabla_Consulta_desde_Reporte_de_Valorización_de_Instrumentos[[#This Row],[CODIGO_SBS]],Parametria!C:C,0))</f>
        <v>15RFIC</v>
      </c>
      <c r="AN51" s="26" t="str">
        <f>INDEX(Parametria!F:F,MATCH(Tabla_Consulta_desde_Reporte_de_Valorización_de_Instrumentos[[#This Row],[CODIGO_SBS]],Parametria!C:C,0))</f>
        <v>GOB</v>
      </c>
      <c r="AO51" s="26" t="str">
        <f>+INDEX(Parametria!J:J,MATCH(Tabla_Consulta_desde_Reporte_de_Valorización_de_Instrumentos[[#This Row],[CODIGO_SBS]],Parametria!C:C,0))</f>
        <v>RFIGOB</v>
      </c>
      <c r="AP51" s="26">
        <f>Tabla_Consulta_desde_Reporte_de_Valorización_de_Instrumentos[[#This Row],[Huella]]/$AU$4</f>
        <v>1.6477916292594855E-3</v>
      </c>
      <c r="AQ51" s="26" t="str">
        <f>IFERROR(INDEX('BD(MSCI)'!W:W,MATCH(Tabla_Consulta_desde_Reporte_de_Valorización_de_Instrumentos[[#This Row],[CODIGO_ISIN]],'BD(MSCI)'!C:C,0)),IF(Tabla_Consulta_desde_Reporte_de_Valorización_de_Instrumentos[[#This Row],[Rank_rt]]="Cash","Cash","Cuestionario Integra"))</f>
        <v>Portafolio</v>
      </c>
      <c r="AR51" s="26" t="str">
        <f>IFERROR(INDEX('BD(MSCI)'!X:X,MATCH(Tabla_Consulta_desde_Reporte_de_Valorización_de_Instrumentos[[#This Row],[CODIGO_ISIN]],'BD(MSCI)'!C:C,0)),"Cuestionario Integra")</f>
        <v>Portafolio</v>
      </c>
      <c r="AU51" s="26"/>
    </row>
    <row r="52" spans="2:47" hidden="1" x14ac:dyDescent="0.25">
      <c r="B52" s="14" t="s">
        <v>6390</v>
      </c>
      <c r="C52" t="s">
        <v>202</v>
      </c>
      <c r="D52" t="s">
        <v>10</v>
      </c>
      <c r="E52" t="s">
        <v>203</v>
      </c>
      <c r="F52" t="s">
        <v>5259</v>
      </c>
      <c r="G52" t="str">
        <f>INDEX(Parametria!H:H,MATCH(Tabla_Consulta_desde_Reporte_de_Valorización_de_Instrumentos[[#This Row],[CODIGO_SBS]],Parametria!C:C,0),1)</f>
        <v>Banco de Colombia</v>
      </c>
      <c r="H52" t="s">
        <v>5258</v>
      </c>
      <c r="I52" t="s">
        <v>5366</v>
      </c>
      <c r="J52" t="s">
        <v>217</v>
      </c>
      <c r="K52" t="s">
        <v>50</v>
      </c>
      <c r="L52">
        <v>1000</v>
      </c>
      <c r="M52" s="5">
        <v>48614794.171909399</v>
      </c>
      <c r="N52">
        <v>14464814.237826001</v>
      </c>
      <c r="O52">
        <v>13478</v>
      </c>
      <c r="P52" s="15">
        <v>49302</v>
      </c>
      <c r="Q52">
        <v>3280</v>
      </c>
      <c r="R52">
        <v>3.3609</v>
      </c>
      <c r="S52" t="s">
        <v>155</v>
      </c>
      <c r="T52">
        <v>48642594.587205</v>
      </c>
      <c r="U52" s="5">
        <v>14465768.925000001</v>
      </c>
      <c r="V52" t="s">
        <v>156</v>
      </c>
      <c r="W52">
        <v>338596669000000</v>
      </c>
      <c r="X52">
        <v>301098538000000</v>
      </c>
      <c r="Y52">
        <v>37498131000000</v>
      </c>
      <c r="Z52">
        <v>-7.0832999999999993E-2</v>
      </c>
      <c r="AA52" t="str">
        <f>+MID(Tabla_Consulta_desde_Reporte_de_Valorización_de_Instrumentos[[#This Row],[CODIGO_SBS]],7,1)</f>
        <v>2</v>
      </c>
      <c r="AB52">
        <f>INDEX('Cálculo Caja'!F:F,MATCH(Tabla_Consulta_desde_Reporte_de_Valorización_de_Instrumentos[[#This Row],[PORTAFOLIO]],'Cálculo Caja'!A:A,0),1)</f>
        <v>26256910350.436607</v>
      </c>
      <c r="AC52" s="17">
        <f>Tabla_Consulta_desde_Reporte_de_Valorización_de_Instrumentos[[#This Row],[VALOR_VECTOR_LOCAL]]/Tabla_Consulta_desde_Reporte_de_Valorización_de_Instrumentos[[#This Row],[Patrimonio]]</f>
        <v>1.8515047476292663E-3</v>
      </c>
      <c r="AD52" s="4">
        <f>(Tabla_Consulta_desde_Reporte_de_Valorización_de_Instrumentos[[#This Row],[VALOR_VECTOR_LOCAL]]/INDEX('Tipo de Cambio'!$D:$D,MATCH("2",'Tipo de Cambio'!$E:$E,0),1))/1000000</f>
        <v>14.464814237825999</v>
      </c>
      <c r="AE52">
        <f>IF(Tabla_Consulta_desde_Reporte_de_Valorización_de_Instrumentos[[#This Row],[PORTAFOLIO]]="IN-FONDO0",Tabla_Consulta_desde_Reporte_de_Valorización_de_Instrumentos[[#This Row],[Inv MM$]],0)</f>
        <v>0</v>
      </c>
      <c r="AF52" s="26">
        <f>IF(Tabla_Consulta_desde_Reporte_de_Valorización_de_Instrumentos[[#This Row],[PORTAFOLIO]]="IN-FONDO1",Tabla_Consulta_desde_Reporte_de_Valorización_de_Instrumentos[[#This Row],[Inv MM$]],0)</f>
        <v>0</v>
      </c>
      <c r="AG52" s="26">
        <f>IF(Tabla_Consulta_desde_Reporte_de_Valorización_de_Instrumentos[[#This Row],[PORTAFOLIO]]="IN-FONDO2",Tabla_Consulta_desde_Reporte_de_Valorización_de_Instrumentos[[#This Row],[Inv MM$]],0)</f>
        <v>14.464814237825999</v>
      </c>
      <c r="AH52" s="26">
        <f>IF(Tabla_Consulta_desde_Reporte_de_Valorización_de_Instrumentos[[#This Row],[PORTAFOLIO]]="IN-FONDO3",Tabla_Consulta_desde_Reporte_de_Valorización_de_Instrumentos[[#This Row],[Inv MM$]],0)</f>
        <v>0</v>
      </c>
      <c r="AI5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32.602175910125979</v>
      </c>
      <c r="AJ52" s="26">
        <f>IFERROR(IFERROR(INDEX('BD(MSCI)'!$T:$T,MATCH(Tabla_Consulta_desde_Reporte_de_Valorización_de_Instrumentos[[#This Row],[CODIGO_ISIN]],'BD(MSCI)'!$C:$C,0),1),INDEX('BD(MSCI)'!$T:$T,MATCH(Tabla_Consulta_desde_Reporte_de_Valorización_de_Instrumentos[[#This Row],[CODIGO_SBS]],'BD(MSCI)'!$C:$C,0),1)),0)</f>
        <v>0.98</v>
      </c>
      <c r="AK52" s="26">
        <f>Tabla_Consulta_desde_Reporte_de_Valorización_de_Instrumentos[[#This Row],[C02-H]]*Tabla_Consulta_desde_Reporte_de_Valorización_de_Instrumentos[[#This Row],[Inv MM$]]</f>
        <v>14.175517953069479</v>
      </c>
      <c r="AL52" s="26">
        <f>Tabla_Consulta_desde_Reporte_de_Valorización_de_Instrumentos[[#This Row],[C02-H]]*Tabla_Consulta_desde_Reporte_de_Valorización_de_Instrumentos[[#This Row],[Weight]]</f>
        <v>1.8144746526766811E-3</v>
      </c>
      <c r="AM52" s="26" t="str">
        <f>INDEX(Parametria!G:G,MATCH(Tabla_Consulta_desde_Reporte_de_Valorización_de_Instrumentos[[#This Row],[CODIGO_SBS]],Parametria!C:C,0))</f>
        <v>15RFIC</v>
      </c>
      <c r="AN52" s="26" t="str">
        <f>INDEX(Parametria!F:F,MATCH(Tabla_Consulta_desde_Reporte_de_Valorización_de_Instrumentos[[#This Row],[CODIGO_SBS]],Parametria!C:C,0))</f>
        <v>GOB</v>
      </c>
      <c r="AO52" s="26" t="str">
        <f>+INDEX(Parametria!J:J,MATCH(Tabla_Consulta_desde_Reporte_de_Valorización_de_Instrumentos[[#This Row],[CODIGO_SBS]],Parametria!C:C,0))</f>
        <v>RFIGOB</v>
      </c>
      <c r="AP52" s="26">
        <f>Tabla_Consulta_desde_Reporte_de_Valorización_de_Instrumentos[[#This Row],[Huella]]/$AU$4</f>
        <v>1.3141381999502585E-3</v>
      </c>
      <c r="AQ52" s="26" t="str">
        <f>IFERROR(INDEX('BD(MSCI)'!W:W,MATCH(Tabla_Consulta_desde_Reporte_de_Valorización_de_Instrumentos[[#This Row],[CODIGO_ISIN]],'BD(MSCI)'!C:C,0)),IF(Tabla_Consulta_desde_Reporte_de_Valorización_de_Instrumentos[[#This Row],[Rank_rt]]="Cash","Cash","Cuestionario Integra"))</f>
        <v>Portafolio</v>
      </c>
      <c r="AR52" s="26" t="str">
        <f>IFERROR(INDEX('BD(MSCI)'!X:X,MATCH(Tabla_Consulta_desde_Reporte_de_Valorización_de_Instrumentos[[#This Row],[CODIGO_ISIN]],'BD(MSCI)'!C:C,0)),"Cuestionario Integra")</f>
        <v>Portafolio</v>
      </c>
      <c r="AU52" s="26"/>
    </row>
    <row r="53" spans="2:47" hidden="1" x14ac:dyDescent="0.25">
      <c r="B53" s="14" t="s">
        <v>6390</v>
      </c>
      <c r="C53" t="s">
        <v>218</v>
      </c>
      <c r="D53" t="s">
        <v>10</v>
      </c>
      <c r="E53" t="s">
        <v>219</v>
      </c>
      <c r="F53" t="s">
        <v>220</v>
      </c>
      <c r="G53" t="str">
        <f>INDEX(Parametria!H:H,MATCH(Tabla_Consulta_desde_Reporte_de_Valorización_de_Instrumentos[[#This Row],[CODIGO_SBS]],Parametria!C:C,0),1)</f>
        <v>Línea Amarilla S.A.C.</v>
      </c>
      <c r="H53" t="s">
        <v>221</v>
      </c>
      <c r="I53" t="s">
        <v>222</v>
      </c>
      <c r="J53" t="s">
        <v>223</v>
      </c>
      <c r="K53" t="s">
        <v>121</v>
      </c>
      <c r="L53">
        <v>1000</v>
      </c>
      <c r="M53" s="5">
        <v>242817805.95420119</v>
      </c>
      <c r="N53">
        <v>242817805.95420119</v>
      </c>
      <c r="O53">
        <v>212084</v>
      </c>
      <c r="P53" s="15">
        <v>50221</v>
      </c>
      <c r="Q53">
        <v>4199</v>
      </c>
      <c r="R53">
        <v>1</v>
      </c>
      <c r="S53" t="s">
        <v>155</v>
      </c>
      <c r="T53">
        <v>242414877.74263319</v>
      </c>
      <c r="U53" s="5">
        <v>242414877.74263319</v>
      </c>
      <c r="V53" t="s">
        <v>156</v>
      </c>
      <c r="W53">
        <v>4252869000</v>
      </c>
      <c r="X53">
        <v>3246804000</v>
      </c>
      <c r="Y53">
        <v>1006065000</v>
      </c>
      <c r="Z53">
        <v>1.8998520000000001</v>
      </c>
      <c r="AA53" t="str">
        <f>+MID(Tabla_Consulta_desde_Reporte_de_Valorización_de_Instrumentos[[#This Row],[CODIGO_SBS]],7,1)</f>
        <v>3</v>
      </c>
      <c r="AB53">
        <f>INDEX('Cálculo Caja'!F:F,MATCH(Tabla_Consulta_desde_Reporte_de_Valorización_de_Instrumentos[[#This Row],[PORTAFOLIO]],'Cálculo Caja'!A:A,0),1)</f>
        <v>26256910350.436607</v>
      </c>
      <c r="AC53" s="17">
        <f>Tabla_Consulta_desde_Reporte_de_Valorización_de_Instrumentos[[#This Row],[VALOR_VECTOR_LOCAL]]/Tabla_Consulta_desde_Reporte_de_Valorización_de_Instrumentos[[#This Row],[Patrimonio]]</f>
        <v>9.2477676433915818E-3</v>
      </c>
      <c r="AD53" s="4">
        <f>(Tabla_Consulta_desde_Reporte_de_Valorización_de_Instrumentos[[#This Row],[VALOR_VECTOR_LOCAL]]/INDEX('Tipo de Cambio'!$D:$D,MATCH("2",'Tipo de Cambio'!$E:$E,0),1))/1000000</f>
        <v>72.247852049808444</v>
      </c>
      <c r="AE53">
        <f>IF(Tabla_Consulta_desde_Reporte_de_Valorización_de_Instrumentos[[#This Row],[PORTAFOLIO]]="IN-FONDO0",Tabla_Consulta_desde_Reporte_de_Valorización_de_Instrumentos[[#This Row],[Inv MM$]],0)</f>
        <v>0</v>
      </c>
      <c r="AF53" s="26">
        <f>IF(Tabla_Consulta_desde_Reporte_de_Valorización_de_Instrumentos[[#This Row],[PORTAFOLIO]]="IN-FONDO1",Tabla_Consulta_desde_Reporte_de_Valorización_de_Instrumentos[[#This Row],[Inv MM$]],0)</f>
        <v>0</v>
      </c>
      <c r="AG53" s="26">
        <f>IF(Tabla_Consulta_desde_Reporte_de_Valorización_de_Instrumentos[[#This Row],[PORTAFOLIO]]="IN-FONDO2",Tabla_Consulta_desde_Reporte_de_Valorización_de_Instrumentos[[#This Row],[Inv MM$]],0)</f>
        <v>72.247852049808444</v>
      </c>
      <c r="AH53" s="26">
        <f>IF(Tabla_Consulta_desde_Reporte_de_Valorización_de_Instrumentos[[#This Row],[PORTAFOLIO]]="IN-FONDO3",Tabla_Consulta_desde_Reporte_de_Valorización_de_Instrumentos[[#This Row],[Inv MM$]],0)</f>
        <v>0</v>
      </c>
      <c r="AI5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78.569419874294468</v>
      </c>
      <c r="AJ53" s="26">
        <f>IFERROR(IFERROR(INDEX('BD(MSCI)'!$T:$T,MATCH(Tabla_Consulta_desde_Reporte_de_Valorización_de_Instrumentos[[#This Row],[CODIGO_ISIN]],'BD(MSCI)'!$C:$C,0),1),INDEX('BD(MSCI)'!$T:$T,MATCH(Tabla_Consulta_desde_Reporte_de_Valorización_de_Instrumentos[[#This Row],[CODIGO_SBS]],'BD(MSCI)'!$C:$C,0),1)),0)</f>
        <v>33.06438043</v>
      </c>
      <c r="AK53" s="26">
        <f>Tabla_Consulta_desde_Reporte_de_Valorización_de_Instrumentos[[#This Row],[C02-H]]*Tabla_Consulta_desde_Reporte_de_Valorización_de_Instrumentos[[#This Row],[Inv MM$]]</f>
        <v>2388.8304654252215</v>
      </c>
      <c r="AL53" s="26">
        <f>Tabla_Consulta_desde_Reporte_de_Valorización_de_Instrumentos[[#This Row],[C02-H]]*Tabla_Consulta_desde_Reporte_de_Valorización_de_Instrumentos[[#This Row],[Weight]]</f>
        <v>0.30577170748934385</v>
      </c>
      <c r="AM53" s="26" t="str">
        <f>INDEX(Parametria!G:G,MATCH(Tabla_Consulta_desde_Reporte_de_Valorización_de_Instrumentos[[#This Row],[CODIGO_SBS]],Parametria!C:C,0))</f>
        <v>18RFLC</v>
      </c>
      <c r="AN53" s="26" t="str">
        <f>INDEX(Parametria!F:F,MATCH(Tabla_Consulta_desde_Reporte_de_Valorización_de_Instrumentos[[#This Row],[CODIGO_SBS]],Parametria!C:C,0))</f>
        <v>BU</v>
      </c>
      <c r="AO53" s="26" t="str">
        <f>+INDEX(Parametria!J:J,MATCH(Tabla_Consulta_desde_Reporte_de_Valorización_de_Instrumentos[[#This Row],[CODIGO_SBS]],Parametria!C:C,0))</f>
        <v>RFLBU</v>
      </c>
      <c r="AP53" s="26">
        <f>Tabla_Consulta_desde_Reporte_de_Valorización_de_Instrumentos[[#This Row],[Huella]]/$AU$4</f>
        <v>0.22145599040636707</v>
      </c>
      <c r="AQ53" s="26" t="str">
        <f>IFERROR(INDEX('BD(MSCI)'!W:W,MATCH(Tabla_Consulta_desde_Reporte_de_Valorización_de_Instrumentos[[#This Row],[CODIGO_ISIN]],'BD(MSCI)'!C:C,0)),IF(Tabla_Consulta_desde_Reporte_de_Valorización_de_Instrumentos[[#This Row],[Rank_rt]]="Cash","Cash","Cuestionario Integra"))</f>
        <v>Proxies</v>
      </c>
      <c r="AR53" s="26" t="str">
        <f>IFERROR(INDEX('BD(MSCI)'!X:X,MATCH(Tabla_Consulta_desde_Reporte_de_Valorización_de_Instrumentos[[#This Row],[CODIGO_ISIN]],'BD(MSCI)'!C:C,0)),"Cuestionario Integra")</f>
        <v>BU</v>
      </c>
      <c r="AU53" s="26"/>
    </row>
    <row r="54" spans="2:47" hidden="1" x14ac:dyDescent="0.25">
      <c r="B54" s="14" t="s">
        <v>6390</v>
      </c>
      <c r="C54" t="s">
        <v>218</v>
      </c>
      <c r="D54" t="s">
        <v>12</v>
      </c>
      <c r="E54" t="s">
        <v>219</v>
      </c>
      <c r="F54" t="s">
        <v>220</v>
      </c>
      <c r="G54" t="str">
        <f>INDEX(Parametria!H:H,MATCH(Tabla_Consulta_desde_Reporte_de_Valorización_de_Instrumentos[[#This Row],[CODIGO_SBS]],Parametria!C:C,0),1)</f>
        <v>Línea Amarilla S.A.C.</v>
      </c>
      <c r="H54" t="s">
        <v>221</v>
      </c>
      <c r="I54" t="s">
        <v>222</v>
      </c>
      <c r="J54" t="s">
        <v>223</v>
      </c>
      <c r="K54" t="s">
        <v>121</v>
      </c>
      <c r="L54">
        <v>1000</v>
      </c>
      <c r="M54" s="5">
        <v>21246157.301315099</v>
      </c>
      <c r="N54">
        <v>21246157.301315099</v>
      </c>
      <c r="O54">
        <v>18557</v>
      </c>
      <c r="P54" s="15">
        <v>50221</v>
      </c>
      <c r="Q54">
        <v>4199</v>
      </c>
      <c r="R54">
        <v>1</v>
      </c>
      <c r="S54" t="s">
        <v>155</v>
      </c>
      <c r="T54">
        <v>21210901.747751102</v>
      </c>
      <c r="U54" s="5">
        <v>21210901.747751102</v>
      </c>
      <c r="V54" t="s">
        <v>156</v>
      </c>
      <c r="W54">
        <v>4252869000</v>
      </c>
      <c r="X54">
        <v>3246804000</v>
      </c>
      <c r="Y54">
        <v>1006065000</v>
      </c>
      <c r="Z54">
        <v>1.8998520000000001</v>
      </c>
      <c r="AA54" t="str">
        <f>+MID(Tabla_Consulta_desde_Reporte_de_Valorización_de_Instrumentos[[#This Row],[CODIGO_SBS]],7,1)</f>
        <v>3</v>
      </c>
      <c r="AB54">
        <f>INDEX('Cálculo Caja'!F:F,MATCH(Tabla_Consulta_desde_Reporte_de_Valorización_de_Instrumentos[[#This Row],[PORTAFOLIO]],'Cálculo Caja'!A:A,0),1)</f>
        <v>7679510866.0565634</v>
      </c>
      <c r="AC54" s="17">
        <f>Tabla_Consulta_desde_Reporte_de_Valorización_de_Instrumentos[[#This Row],[VALOR_VECTOR_LOCAL]]/Tabla_Consulta_desde_Reporte_de_Valorización_de_Instrumentos[[#This Row],[Patrimonio]]</f>
        <v>2.7666029349894027E-3</v>
      </c>
      <c r="AD54" s="4">
        <f>(Tabla_Consulta_desde_Reporte_de_Valorización_de_Instrumentos[[#This Row],[VALOR_VECTOR_LOCAL]]/INDEX('Tipo de Cambio'!$D:$D,MATCH("2",'Tipo de Cambio'!$E:$E,0),1))/1000000</f>
        <v>6.3215678244860305</v>
      </c>
      <c r="AE54">
        <f>IF(Tabla_Consulta_desde_Reporte_de_Valorización_de_Instrumentos[[#This Row],[PORTAFOLIO]]="IN-FONDO0",Tabla_Consulta_desde_Reporte_de_Valorización_de_Instrumentos[[#This Row],[Inv MM$]],0)</f>
        <v>0</v>
      </c>
      <c r="AF54" s="26">
        <f>IF(Tabla_Consulta_desde_Reporte_de_Valorización_de_Instrumentos[[#This Row],[PORTAFOLIO]]="IN-FONDO1",Tabla_Consulta_desde_Reporte_de_Valorización_de_Instrumentos[[#This Row],[Inv MM$]],0)</f>
        <v>6.3215678244860305</v>
      </c>
      <c r="AG54" s="26">
        <f>IF(Tabla_Consulta_desde_Reporte_de_Valorización_de_Instrumentos[[#This Row],[PORTAFOLIO]]="IN-FONDO2",Tabla_Consulta_desde_Reporte_de_Valorización_de_Instrumentos[[#This Row],[Inv MM$]],0)</f>
        <v>0</v>
      </c>
      <c r="AH54" s="26">
        <f>IF(Tabla_Consulta_desde_Reporte_de_Valorización_de_Instrumentos[[#This Row],[PORTAFOLIO]]="IN-FONDO3",Tabla_Consulta_desde_Reporte_de_Valorización_de_Instrumentos[[#This Row],[Inv MM$]],0)</f>
        <v>0</v>
      </c>
      <c r="AI5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78.569419874294468</v>
      </c>
      <c r="AJ54" s="26">
        <f>IFERROR(IFERROR(INDEX('BD(MSCI)'!$T:$T,MATCH(Tabla_Consulta_desde_Reporte_de_Valorización_de_Instrumentos[[#This Row],[CODIGO_ISIN]],'BD(MSCI)'!$C:$C,0),1),INDEX('BD(MSCI)'!$T:$T,MATCH(Tabla_Consulta_desde_Reporte_de_Valorización_de_Instrumentos[[#This Row],[CODIGO_SBS]],'BD(MSCI)'!$C:$C,0),1)),0)</f>
        <v>33.06438043</v>
      </c>
      <c r="AK54" s="26">
        <f>Tabla_Consulta_desde_Reporte_de_Valorización_de_Instrumentos[[#This Row],[C02-H]]*Tabla_Consulta_desde_Reporte_de_Valorización_de_Instrumentos[[#This Row],[Inv MM$]]</f>
        <v>209.01872346285359</v>
      </c>
      <c r="AL54" s="26">
        <f>Tabla_Consulta_desde_Reporte_de_Valorización_de_Instrumentos[[#This Row],[C02-H]]*Tabla_Consulta_desde_Reporte_de_Valorización_de_Instrumentos[[#This Row],[Weight]]</f>
        <v>9.1476011941244162E-2</v>
      </c>
      <c r="AM54" s="26" t="str">
        <f>INDEX(Parametria!G:G,MATCH(Tabla_Consulta_desde_Reporte_de_Valorización_de_Instrumentos[[#This Row],[CODIGO_SBS]],Parametria!C:C,0))</f>
        <v>18RFLC</v>
      </c>
      <c r="AN54" s="26" t="str">
        <f>INDEX(Parametria!F:F,MATCH(Tabla_Consulta_desde_Reporte_de_Valorización_de_Instrumentos[[#This Row],[CODIGO_SBS]],Parametria!C:C,0))</f>
        <v>BU</v>
      </c>
      <c r="AO54" s="26" t="str">
        <f>+INDEX(Parametria!J:J,MATCH(Tabla_Consulta_desde_Reporte_de_Valorización_de_Instrumentos[[#This Row],[CODIGO_SBS]],Parametria!C:C,0))</f>
        <v>RFLBU</v>
      </c>
      <c r="AP54" s="26">
        <f>Tabla_Consulta_desde_Reporte_de_Valorización_de_Instrumentos[[#This Row],[Huella]]/$AU$4</f>
        <v>1.9377033694059683E-2</v>
      </c>
      <c r="AQ54" s="26" t="str">
        <f>IFERROR(INDEX('BD(MSCI)'!W:W,MATCH(Tabla_Consulta_desde_Reporte_de_Valorización_de_Instrumentos[[#This Row],[CODIGO_ISIN]],'BD(MSCI)'!C:C,0)),IF(Tabla_Consulta_desde_Reporte_de_Valorización_de_Instrumentos[[#This Row],[Rank_rt]]="Cash","Cash","Cuestionario Integra"))</f>
        <v>Proxies</v>
      </c>
      <c r="AR54" s="26" t="str">
        <f>IFERROR(INDEX('BD(MSCI)'!X:X,MATCH(Tabla_Consulta_desde_Reporte_de_Valorización_de_Instrumentos[[#This Row],[CODIGO_ISIN]],'BD(MSCI)'!C:C,0)),"Cuestionario Integra")</f>
        <v>BU</v>
      </c>
      <c r="AU54" s="26"/>
    </row>
    <row r="55" spans="2:47" hidden="1" x14ac:dyDescent="0.25">
      <c r="B55" s="14" t="s">
        <v>6390</v>
      </c>
      <c r="C55" t="s">
        <v>224</v>
      </c>
      <c r="D55" t="s">
        <v>12</v>
      </c>
      <c r="E55" t="s">
        <v>225</v>
      </c>
      <c r="F55" t="s">
        <v>229</v>
      </c>
      <c r="G55" t="str">
        <f>INDEX(Parametria!H:H,MATCH(Tabla_Consulta_desde_Reporte_de_Valorización_de_Instrumentos[[#This Row],[CODIGO_SBS]],Parametria!C:C,0),1)</f>
        <v>Banco Interamericano de Finanzas</v>
      </c>
      <c r="H55" t="s">
        <v>230</v>
      </c>
      <c r="I55" t="s">
        <v>231</v>
      </c>
      <c r="J55" t="s">
        <v>232</v>
      </c>
      <c r="K55" t="s">
        <v>90</v>
      </c>
      <c r="L55">
        <v>1000</v>
      </c>
      <c r="M55" s="5">
        <v>20536161.806000002</v>
      </c>
      <c r="N55">
        <v>20536161.806000002</v>
      </c>
      <c r="O55">
        <v>20000</v>
      </c>
      <c r="P55" s="15">
        <v>47177</v>
      </c>
      <c r="Q55">
        <v>1155</v>
      </c>
      <c r="R55">
        <v>1</v>
      </c>
      <c r="S55" t="s">
        <v>155</v>
      </c>
      <c r="T55">
        <v>20535736.173999999</v>
      </c>
      <c r="U55" s="5">
        <v>20535736.173999999</v>
      </c>
      <c r="V55" t="s">
        <v>233</v>
      </c>
      <c r="W55">
        <v>22149047000</v>
      </c>
      <c r="X55">
        <v>20355021000</v>
      </c>
      <c r="Y55">
        <v>1794026000</v>
      </c>
      <c r="Z55">
        <v>2.1281600000000001E-2</v>
      </c>
      <c r="AA55" t="str">
        <f>+MID(Tabla_Consulta_desde_Reporte_de_Valorización_de_Instrumentos[[#This Row],[CODIGO_SBS]],7,1)</f>
        <v>1</v>
      </c>
      <c r="AB55">
        <f>INDEX('Cálculo Caja'!F:F,MATCH(Tabla_Consulta_desde_Reporte_de_Valorización_de_Instrumentos[[#This Row],[PORTAFOLIO]],'Cálculo Caja'!A:A,0),1)</f>
        <v>7679510866.0565634</v>
      </c>
      <c r="AC55" s="17">
        <f>Tabla_Consulta_desde_Reporte_de_Valorización_de_Instrumentos[[#This Row],[VALOR_VECTOR_LOCAL]]/Tabla_Consulta_desde_Reporte_de_Valorización_de_Instrumentos[[#This Row],[Patrimonio]]</f>
        <v>2.6741497165880491E-3</v>
      </c>
      <c r="AD55" s="4">
        <f>(Tabla_Consulta_desde_Reporte_de_Valorización_de_Instrumentos[[#This Row],[VALOR_VECTOR_LOCAL]]/INDEX('Tipo de Cambio'!$D:$D,MATCH("2",'Tipo de Cambio'!$E:$E,0),1))/1000000</f>
        <v>6.1103162266059696</v>
      </c>
      <c r="AE55">
        <f>IF(Tabla_Consulta_desde_Reporte_de_Valorización_de_Instrumentos[[#This Row],[PORTAFOLIO]]="IN-FONDO0",Tabla_Consulta_desde_Reporte_de_Valorización_de_Instrumentos[[#This Row],[Inv MM$]],0)</f>
        <v>0</v>
      </c>
      <c r="AF55" s="26">
        <f>IF(Tabla_Consulta_desde_Reporte_de_Valorización_de_Instrumentos[[#This Row],[PORTAFOLIO]]="IN-FONDO1",Tabla_Consulta_desde_Reporte_de_Valorización_de_Instrumentos[[#This Row],[Inv MM$]],0)</f>
        <v>6.1103162266059696</v>
      </c>
      <c r="AG55" s="26">
        <f>IF(Tabla_Consulta_desde_Reporte_de_Valorización_de_Instrumentos[[#This Row],[PORTAFOLIO]]="IN-FONDO2",Tabla_Consulta_desde_Reporte_de_Valorización_de_Instrumentos[[#This Row],[Inv MM$]],0)</f>
        <v>0</v>
      </c>
      <c r="AH55" s="26">
        <f>IF(Tabla_Consulta_desde_Reporte_de_Valorización_de_Instrumentos[[#This Row],[PORTAFOLIO]]="IN-FONDO3",Tabla_Consulta_desde_Reporte_de_Valorización_de_Instrumentos[[#This Row],[Inv MM$]],0)</f>
        <v>0</v>
      </c>
      <c r="AI5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7.6378952832574623</v>
      </c>
      <c r="AJ55" s="26">
        <f>IFERROR(IFERROR(INDEX('BD(MSCI)'!$T:$T,MATCH(Tabla_Consulta_desde_Reporte_de_Valorización_de_Instrumentos[[#This Row],[CODIGO_ISIN]],'BD(MSCI)'!$C:$C,0),1),INDEX('BD(MSCI)'!$T:$T,MATCH(Tabla_Consulta_desde_Reporte_de_Valorización_de_Instrumentos[[#This Row],[CODIGO_SBS]],'BD(MSCI)'!$C:$C,0),1)),0)</f>
        <v>4.0032245</v>
      </c>
      <c r="AK55" s="26">
        <f>Tabla_Consulta_desde_Reporte_de_Valorización_de_Instrumentos[[#This Row],[C02-H]]*Tabla_Consulta_desde_Reporte_de_Valorización_de_Instrumentos[[#This Row],[Inv MM$]]</f>
        <v>24.460967621096568</v>
      </c>
      <c r="AL55" s="26">
        <f>Tabla_Consulta_desde_Reporte_de_Valorización_de_Instrumentos[[#This Row],[C02-H]]*Tabla_Consulta_desde_Reporte_de_Valorización_de_Instrumentos[[#This Row],[Weight]]</f>
        <v>1.0705221662113334E-2</v>
      </c>
      <c r="AM55" s="26" t="str">
        <f>INDEX(Parametria!G:G,MATCH(Tabla_Consulta_desde_Reporte_de_Valorización_de_Instrumentos[[#This Row],[CODIGO_SBS]],Parametria!C:C,0))</f>
        <v>21RFLC</v>
      </c>
      <c r="AN55" s="26" t="str">
        <f>INDEX(Parametria!F:F,MATCH(Tabla_Consulta_desde_Reporte_de_Valorización_de_Instrumentos[[#This Row],[CODIGO_SBS]],Parametria!C:C,0))</f>
        <v>BU</v>
      </c>
      <c r="AO55" s="26" t="str">
        <f>+INDEX(Parametria!J:J,MATCH(Tabla_Consulta_desde_Reporte_de_Valorización_de_Instrumentos[[#This Row],[CODIGO_SBS]],Parametria!C:C,0))</f>
        <v>RFLBU</v>
      </c>
      <c r="AP55" s="26">
        <f>Tabla_Consulta_desde_Reporte_de_Valorización_de_Instrumentos[[#This Row],[Huella]]/$AU$4</f>
        <v>2.2676484954589544E-3</v>
      </c>
      <c r="AQ55" s="26" t="str">
        <f>IFERROR(INDEX('BD(MSCI)'!W:W,MATCH(Tabla_Consulta_desde_Reporte_de_Valorización_de_Instrumentos[[#This Row],[CODIGO_ISIN]],'BD(MSCI)'!C:C,0)),IF(Tabla_Consulta_desde_Reporte_de_Valorización_de_Instrumentos[[#This Row],[Rank_rt]]="Cash","Cash","Cuestionario Integra"))</f>
        <v>Proxies</v>
      </c>
      <c r="AR55" s="26" t="str">
        <f>IFERROR(INDEX('BD(MSCI)'!X:X,MATCH(Tabla_Consulta_desde_Reporte_de_Valorización_de_Instrumentos[[#This Row],[CODIGO_ISIN]],'BD(MSCI)'!C:C,0)),"Cuestionario Integra")</f>
        <v>BU</v>
      </c>
      <c r="AU55" s="26"/>
    </row>
    <row r="56" spans="2:47" hidden="1" x14ac:dyDescent="0.25">
      <c r="B56" s="14" t="s">
        <v>6390</v>
      </c>
      <c r="C56" t="s">
        <v>224</v>
      </c>
      <c r="D56" t="s">
        <v>10</v>
      </c>
      <c r="E56" t="s">
        <v>225</v>
      </c>
      <c r="F56" t="s">
        <v>229</v>
      </c>
      <c r="G56" t="str">
        <f>INDEX(Parametria!H:H,MATCH(Tabla_Consulta_desde_Reporte_de_Valorización_de_Instrumentos[[#This Row],[CODIGO_SBS]],Parametria!C:C,0),1)</f>
        <v>Banco Interamericano de Finanzas</v>
      </c>
      <c r="H56" t="s">
        <v>230</v>
      </c>
      <c r="I56" t="s">
        <v>231</v>
      </c>
      <c r="J56" t="s">
        <v>232</v>
      </c>
      <c r="K56" t="s">
        <v>90</v>
      </c>
      <c r="L56">
        <v>1000</v>
      </c>
      <c r="M56" s="5">
        <v>5134040.4515000004</v>
      </c>
      <c r="N56">
        <v>5134040.4515000004</v>
      </c>
      <c r="O56">
        <v>5000</v>
      </c>
      <c r="P56" s="15">
        <v>47177</v>
      </c>
      <c r="Q56">
        <v>1155</v>
      </c>
      <c r="R56">
        <v>1</v>
      </c>
      <c r="S56" t="s">
        <v>155</v>
      </c>
      <c r="T56">
        <v>5133934.0434999997</v>
      </c>
      <c r="U56" s="5">
        <v>5133934.0434999997</v>
      </c>
      <c r="V56" t="s">
        <v>233</v>
      </c>
      <c r="W56">
        <v>22149047000</v>
      </c>
      <c r="X56">
        <v>20355021000</v>
      </c>
      <c r="Y56">
        <v>1794026000</v>
      </c>
      <c r="Z56">
        <v>2.1281600000000001E-2</v>
      </c>
      <c r="AA56" t="str">
        <f>+MID(Tabla_Consulta_desde_Reporte_de_Valorización_de_Instrumentos[[#This Row],[CODIGO_SBS]],7,1)</f>
        <v>1</v>
      </c>
      <c r="AB56">
        <f>INDEX('Cálculo Caja'!F:F,MATCH(Tabla_Consulta_desde_Reporte_de_Valorización_de_Instrumentos[[#This Row],[PORTAFOLIO]],'Cálculo Caja'!A:A,0),1)</f>
        <v>26256910350.436607</v>
      </c>
      <c r="AC56" s="17">
        <f>Tabla_Consulta_desde_Reporte_de_Valorización_de_Instrumentos[[#This Row],[VALOR_VECTOR_LOCAL]]/Tabla_Consulta_desde_Reporte_de_Valorización_de_Instrumentos[[#This Row],[Patrimonio]]</f>
        <v>1.9553101956699297E-4</v>
      </c>
      <c r="AD56" s="4">
        <f>(Tabla_Consulta_desde_Reporte_de_Valorización_de_Instrumentos[[#This Row],[VALOR_VECTOR_LOCAL]]/INDEX('Tipo de Cambio'!$D:$D,MATCH("2",'Tipo de Cambio'!$E:$E,0),1))/1000000</f>
        <v>1.5275790566514924</v>
      </c>
      <c r="AE56">
        <f>IF(Tabla_Consulta_desde_Reporte_de_Valorización_de_Instrumentos[[#This Row],[PORTAFOLIO]]="IN-FONDO0",Tabla_Consulta_desde_Reporte_de_Valorización_de_Instrumentos[[#This Row],[Inv MM$]],0)</f>
        <v>0</v>
      </c>
      <c r="AF56" s="26">
        <f>IF(Tabla_Consulta_desde_Reporte_de_Valorización_de_Instrumentos[[#This Row],[PORTAFOLIO]]="IN-FONDO1",Tabla_Consulta_desde_Reporte_de_Valorización_de_Instrumentos[[#This Row],[Inv MM$]],0)</f>
        <v>0</v>
      </c>
      <c r="AG56" s="26">
        <f>IF(Tabla_Consulta_desde_Reporte_de_Valorización_de_Instrumentos[[#This Row],[PORTAFOLIO]]="IN-FONDO2",Tabla_Consulta_desde_Reporte_de_Valorización_de_Instrumentos[[#This Row],[Inv MM$]],0)</f>
        <v>1.5275790566514924</v>
      </c>
      <c r="AH56" s="26">
        <f>IF(Tabla_Consulta_desde_Reporte_de_Valorización_de_Instrumentos[[#This Row],[PORTAFOLIO]]="IN-FONDO3",Tabla_Consulta_desde_Reporte_de_Valorización_de_Instrumentos[[#This Row],[Inv MM$]],0)</f>
        <v>0</v>
      </c>
      <c r="AI5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7.6378952832574623</v>
      </c>
      <c r="AJ56" s="26">
        <f>IFERROR(IFERROR(INDEX('BD(MSCI)'!$T:$T,MATCH(Tabla_Consulta_desde_Reporte_de_Valorización_de_Instrumentos[[#This Row],[CODIGO_ISIN]],'BD(MSCI)'!$C:$C,0),1),INDEX('BD(MSCI)'!$T:$T,MATCH(Tabla_Consulta_desde_Reporte_de_Valorización_de_Instrumentos[[#This Row],[CODIGO_SBS]],'BD(MSCI)'!$C:$C,0),1)),0)</f>
        <v>4.0032245</v>
      </c>
      <c r="AK56" s="26">
        <f>Tabla_Consulta_desde_Reporte_de_Valorización_de_Instrumentos[[#This Row],[C02-H]]*Tabla_Consulta_desde_Reporte_de_Valorización_de_Instrumentos[[#This Row],[Inv MM$]]</f>
        <v>6.115241905274142</v>
      </c>
      <c r="AL56" s="26">
        <f>Tabla_Consulta_desde_Reporte_de_Valorización_de_Instrumentos[[#This Row],[C02-H]]*Tabla_Consulta_desde_Reporte_de_Valorización_de_Instrumentos[[#This Row],[Weight]]</f>
        <v>7.8275456804056563E-4</v>
      </c>
      <c r="AM56" s="26" t="str">
        <f>INDEX(Parametria!G:G,MATCH(Tabla_Consulta_desde_Reporte_de_Valorización_de_Instrumentos[[#This Row],[CODIGO_SBS]],Parametria!C:C,0))</f>
        <v>21RFLC</v>
      </c>
      <c r="AN56" s="26" t="str">
        <f>INDEX(Parametria!F:F,MATCH(Tabla_Consulta_desde_Reporte_de_Valorización_de_Instrumentos[[#This Row],[CODIGO_SBS]],Parametria!C:C,0))</f>
        <v>BU</v>
      </c>
      <c r="AO56" s="26" t="str">
        <f>+INDEX(Parametria!J:J,MATCH(Tabla_Consulta_desde_Reporte_de_Valorización_de_Instrumentos[[#This Row],[CODIGO_SBS]],Parametria!C:C,0))</f>
        <v>RFLBU</v>
      </c>
      <c r="AP56" s="26">
        <f>Tabla_Consulta_desde_Reporte_de_Valorización_de_Instrumentos[[#This Row],[Huella]]/$AU$4</f>
        <v>5.669121238647386E-4</v>
      </c>
      <c r="AQ56" s="26" t="str">
        <f>IFERROR(INDEX('BD(MSCI)'!W:W,MATCH(Tabla_Consulta_desde_Reporte_de_Valorización_de_Instrumentos[[#This Row],[CODIGO_ISIN]],'BD(MSCI)'!C:C,0)),IF(Tabla_Consulta_desde_Reporte_de_Valorización_de_Instrumentos[[#This Row],[Rank_rt]]="Cash","Cash","Cuestionario Integra"))</f>
        <v>Proxies</v>
      </c>
      <c r="AR56" s="26" t="str">
        <f>IFERROR(INDEX('BD(MSCI)'!X:X,MATCH(Tabla_Consulta_desde_Reporte_de_Valorización_de_Instrumentos[[#This Row],[CODIGO_ISIN]],'BD(MSCI)'!C:C,0)),"Cuestionario Integra")</f>
        <v>BU</v>
      </c>
      <c r="AU56" s="26"/>
    </row>
    <row r="57" spans="2:47" hidden="1" x14ac:dyDescent="0.25">
      <c r="B57" s="14" t="s">
        <v>6390</v>
      </c>
      <c r="C57" t="s">
        <v>224</v>
      </c>
      <c r="D57" t="s">
        <v>10</v>
      </c>
      <c r="E57" t="s">
        <v>225</v>
      </c>
      <c r="F57" t="s">
        <v>234</v>
      </c>
      <c r="G57" t="str">
        <f>INDEX(Parametria!H:H,MATCH(Tabla_Consulta_desde_Reporte_de_Valorización_de_Instrumentos[[#This Row],[CODIGO_SBS]],Parametria!C:C,0),1)</f>
        <v>Banco de la Nación</v>
      </c>
      <c r="H57" t="s">
        <v>235</v>
      </c>
      <c r="I57" t="s">
        <v>236</v>
      </c>
      <c r="J57" t="s">
        <v>237</v>
      </c>
      <c r="K57" t="s">
        <v>90</v>
      </c>
      <c r="L57">
        <v>1000</v>
      </c>
      <c r="M57" s="5">
        <v>5479726.5060831998</v>
      </c>
      <c r="N57">
        <v>5479726.5060831998</v>
      </c>
      <c r="O57">
        <v>5176</v>
      </c>
      <c r="P57" s="15">
        <v>48182</v>
      </c>
      <c r="Q57">
        <v>2160</v>
      </c>
      <c r="R57">
        <v>1</v>
      </c>
      <c r="S57" t="s">
        <v>155</v>
      </c>
      <c r="T57">
        <v>5482093.2807376003</v>
      </c>
      <c r="U57" s="5">
        <v>5482093.2807376003</v>
      </c>
      <c r="V57" t="s">
        <v>156</v>
      </c>
      <c r="W57">
        <v>47334882000</v>
      </c>
      <c r="X57">
        <v>43945418000</v>
      </c>
      <c r="Y57">
        <v>3389464000</v>
      </c>
      <c r="Z57">
        <v>-0.45725939999999998</v>
      </c>
      <c r="AA57" t="str">
        <f>+MID(Tabla_Consulta_desde_Reporte_de_Valorización_de_Instrumentos[[#This Row],[CODIGO_SBS]],7,1)</f>
        <v>1</v>
      </c>
      <c r="AB57">
        <f>INDEX('Cálculo Caja'!F:F,MATCH(Tabla_Consulta_desde_Reporte_de_Valorización_de_Instrumentos[[#This Row],[PORTAFOLIO]],'Cálculo Caja'!A:A,0),1)</f>
        <v>26256910350.436607</v>
      </c>
      <c r="AC57" s="17">
        <f>Tabla_Consulta_desde_Reporte_de_Valorización_de_Instrumentos[[#This Row],[VALOR_VECTOR_LOCAL]]/Tabla_Consulta_desde_Reporte_de_Valorización_de_Instrumentos[[#This Row],[Patrimonio]]</f>
        <v>2.0869654627860972E-4</v>
      </c>
      <c r="AD57" s="4">
        <f>(Tabla_Consulta_desde_Reporte_de_Valorización_de_Instrumentos[[#This Row],[VALOR_VECTOR_LOCAL]]/INDEX('Tipo de Cambio'!$D:$D,MATCH("2",'Tipo de Cambio'!$E:$E,0),1))/1000000</f>
        <v>1.6304342604907018</v>
      </c>
      <c r="AE57">
        <f>IF(Tabla_Consulta_desde_Reporte_de_Valorización_de_Instrumentos[[#This Row],[PORTAFOLIO]]="IN-FONDO0",Tabla_Consulta_desde_Reporte_de_Valorización_de_Instrumentos[[#This Row],[Inv MM$]],0)</f>
        <v>0</v>
      </c>
      <c r="AF57" s="26">
        <f>IF(Tabla_Consulta_desde_Reporte_de_Valorización_de_Instrumentos[[#This Row],[PORTAFOLIO]]="IN-FONDO1",Tabla_Consulta_desde_Reporte_de_Valorización_de_Instrumentos[[#This Row],[Inv MM$]],0)</f>
        <v>0</v>
      </c>
      <c r="AG57" s="26">
        <f>IF(Tabla_Consulta_desde_Reporte_de_Valorización_de_Instrumentos[[#This Row],[PORTAFOLIO]]="IN-FONDO2",Tabla_Consulta_desde_Reporte_de_Valorización_de_Instrumentos[[#This Row],[Inv MM$]],0)</f>
        <v>1.6304342604907018</v>
      </c>
      <c r="AH57" s="26">
        <f>IF(Tabla_Consulta_desde_Reporte_de_Valorización_de_Instrumentos[[#This Row],[PORTAFOLIO]]="IN-FONDO3",Tabla_Consulta_desde_Reporte_de_Valorización_de_Instrumentos[[#This Row],[Inv MM$]],0)</f>
        <v>0</v>
      </c>
      <c r="AI5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1.6304342604907018</v>
      </c>
      <c r="AJ57" s="26">
        <f>IFERROR(IFERROR(INDEX('BD(MSCI)'!$T:$T,MATCH(Tabla_Consulta_desde_Reporte_de_Valorización_de_Instrumentos[[#This Row],[CODIGO_ISIN]],'BD(MSCI)'!$C:$C,0),1),INDEX('BD(MSCI)'!$T:$T,MATCH(Tabla_Consulta_desde_Reporte_de_Valorización_de_Instrumentos[[#This Row],[CODIGO_SBS]],'BD(MSCI)'!$C:$C,0),1)),0)</f>
        <v>4.0032245</v>
      </c>
      <c r="AK57" s="26">
        <f>Tabla_Consulta_desde_Reporte_de_Valorización_de_Instrumentos[[#This Row],[C02-H]]*Tabla_Consulta_desde_Reporte_de_Valorización_de_Instrumentos[[#This Row],[Inv MM$]]</f>
        <v>6.5269943772357593</v>
      </c>
      <c r="AL57" s="26">
        <f>Tabla_Consulta_desde_Reporte_de_Valorización_de_Instrumentos[[#This Row],[C02-H]]*Tabla_Consulta_desde_Reporte_de_Valorización_de_Instrumentos[[#This Row],[Weight]]</f>
        <v>8.3545912712791419E-4</v>
      </c>
      <c r="AM57" s="26" t="str">
        <f>INDEX(Parametria!G:G,MATCH(Tabla_Consulta_desde_Reporte_de_Valorización_de_Instrumentos[[#This Row],[CODIGO_SBS]],Parametria!C:C,0))</f>
        <v>21RFLC</v>
      </c>
      <c r="AN57" s="26" t="str">
        <f>INDEX(Parametria!F:F,MATCH(Tabla_Consulta_desde_Reporte_de_Valorización_de_Instrumentos[[#This Row],[CODIGO_SBS]],Parametria!C:C,0))</f>
        <v>BU</v>
      </c>
      <c r="AO57" s="26" t="str">
        <f>+INDEX(Parametria!J:J,MATCH(Tabla_Consulta_desde_Reporte_de_Valorización_de_Instrumentos[[#This Row],[CODIGO_SBS]],Parametria!C:C,0))</f>
        <v>RFLBU</v>
      </c>
      <c r="AP57" s="26">
        <f>Tabla_Consulta_desde_Reporte_de_Valorización_de_Instrumentos[[#This Row],[Huella]]/$AU$4</f>
        <v>6.0508354406399434E-4</v>
      </c>
      <c r="AQ57" s="26" t="str">
        <f>IFERROR(INDEX('BD(MSCI)'!W:W,MATCH(Tabla_Consulta_desde_Reporte_de_Valorización_de_Instrumentos[[#This Row],[CODIGO_ISIN]],'BD(MSCI)'!C:C,0)),IF(Tabla_Consulta_desde_Reporte_de_Valorización_de_Instrumentos[[#This Row],[Rank_rt]]="Cash","Cash","Cuestionario Integra"))</f>
        <v>Proxies</v>
      </c>
      <c r="AR57" s="26" t="str">
        <f>IFERROR(INDEX('BD(MSCI)'!X:X,MATCH(Tabla_Consulta_desde_Reporte_de_Valorización_de_Instrumentos[[#This Row],[CODIGO_ISIN]],'BD(MSCI)'!C:C,0)),"Cuestionario Integra")</f>
        <v>BU</v>
      </c>
      <c r="AU57" s="26"/>
    </row>
    <row r="58" spans="2:47" hidden="1" x14ac:dyDescent="0.25">
      <c r="B58" s="14" t="s">
        <v>6390</v>
      </c>
      <c r="C58" t="s">
        <v>224</v>
      </c>
      <c r="D58" t="s">
        <v>10</v>
      </c>
      <c r="E58" t="s">
        <v>225</v>
      </c>
      <c r="F58" t="s">
        <v>5948</v>
      </c>
      <c r="G58" t="str">
        <f>INDEX(Parametria!H:H,MATCH(Tabla_Consulta_desde_Reporte_de_Valorización_de_Instrumentos[[#This Row],[CODIGO_SBS]],Parametria!C:C,0),1)</f>
        <v>Banco de Crédito del Perú</v>
      </c>
      <c r="H58" t="s">
        <v>5949</v>
      </c>
      <c r="I58" t="s">
        <v>5950</v>
      </c>
      <c r="J58" t="s">
        <v>373</v>
      </c>
      <c r="K58" t="s">
        <v>50</v>
      </c>
      <c r="L58">
        <v>1000</v>
      </c>
      <c r="M58" s="5">
        <v>26964500.6915977</v>
      </c>
      <c r="N58">
        <v>8022999.9974999996</v>
      </c>
      <c r="O58">
        <v>7500</v>
      </c>
      <c r="P58" s="15">
        <v>49520</v>
      </c>
      <c r="Q58">
        <v>3498</v>
      </c>
      <c r="R58">
        <v>3.3609</v>
      </c>
      <c r="S58" t="s">
        <v>155</v>
      </c>
      <c r="T58">
        <v>26969102.8125</v>
      </c>
      <c r="U58" s="5">
        <v>8020312.5</v>
      </c>
      <c r="V58" t="s">
        <v>228</v>
      </c>
      <c r="W58">
        <v>187469765000</v>
      </c>
      <c r="X58">
        <v>164938084000</v>
      </c>
      <c r="Y58">
        <v>22531681000</v>
      </c>
      <c r="Z58">
        <v>0.35833300000000001</v>
      </c>
      <c r="AA58" t="str">
        <f>+MID(Tabla_Consulta_desde_Reporte_de_Valorización_de_Instrumentos[[#This Row],[CODIGO_SBS]],7,1)</f>
        <v>2</v>
      </c>
      <c r="AB58">
        <f>INDEX('Cálculo Caja'!F:F,MATCH(Tabla_Consulta_desde_Reporte_de_Valorización_de_Instrumentos[[#This Row],[PORTAFOLIO]],'Cálculo Caja'!A:A,0),1)</f>
        <v>26256910350.436607</v>
      </c>
      <c r="AC58" s="17">
        <f>Tabla_Consulta_desde_Reporte_de_Valorización_de_Instrumentos[[#This Row],[VALOR_VECTOR_LOCAL]]/Tabla_Consulta_desde_Reporte_de_Valorización_de_Instrumentos[[#This Row],[Patrimonio]]</f>
        <v>1.02694872822877E-3</v>
      </c>
      <c r="AD58" s="4">
        <f>(Tabla_Consulta_desde_Reporte_de_Valorización_de_Instrumentos[[#This Row],[VALOR_VECTOR_LOCAL]]/INDEX('Tipo de Cambio'!$D:$D,MATCH("2",'Tipo de Cambio'!$E:$E,0),1))/1000000</f>
        <v>8.0229999974999853</v>
      </c>
      <c r="AE58">
        <f>IF(Tabla_Consulta_desde_Reporte_de_Valorización_de_Instrumentos[[#This Row],[PORTAFOLIO]]="IN-FONDO0",Tabla_Consulta_desde_Reporte_de_Valorización_de_Instrumentos[[#This Row],[Inv MM$]],0)</f>
        <v>0</v>
      </c>
      <c r="AF58" s="26">
        <f>IF(Tabla_Consulta_desde_Reporte_de_Valorización_de_Instrumentos[[#This Row],[PORTAFOLIO]]="IN-FONDO1",Tabla_Consulta_desde_Reporte_de_Valorización_de_Instrumentos[[#This Row],[Inv MM$]],0)</f>
        <v>0</v>
      </c>
      <c r="AG58" s="26">
        <f>IF(Tabla_Consulta_desde_Reporte_de_Valorización_de_Instrumentos[[#This Row],[PORTAFOLIO]]="IN-FONDO2",Tabla_Consulta_desde_Reporte_de_Valorización_de_Instrumentos[[#This Row],[Inv MM$]],0)</f>
        <v>8.0229999974999853</v>
      </c>
      <c r="AH58" s="26">
        <f>IF(Tabla_Consulta_desde_Reporte_de_Valorización_de_Instrumentos[[#This Row],[PORTAFOLIO]]="IN-FONDO3",Tabla_Consulta_desde_Reporte_de_Valorización_de_Instrumentos[[#This Row],[Inv MM$]],0)</f>
        <v>0</v>
      </c>
      <c r="AI5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10.080097196858967</v>
      </c>
      <c r="AJ58" s="26">
        <f>IFERROR(IFERROR(INDEX('BD(MSCI)'!$T:$T,MATCH(Tabla_Consulta_desde_Reporte_de_Valorización_de_Instrumentos[[#This Row],[CODIGO_ISIN]],'BD(MSCI)'!$C:$C,0),1),INDEX('BD(MSCI)'!$T:$T,MATCH(Tabla_Consulta_desde_Reporte_de_Valorización_de_Instrumentos[[#This Row],[CODIGO_SBS]],'BD(MSCI)'!$C:$C,0),1)),0)</f>
        <v>0.61</v>
      </c>
      <c r="AK58" s="26">
        <f>Tabla_Consulta_desde_Reporte_de_Valorización_de_Instrumentos[[#This Row],[C02-H]]*Tabla_Consulta_desde_Reporte_de_Valorización_de_Instrumentos[[#This Row],[Inv MM$]]</f>
        <v>4.8940299984749913</v>
      </c>
      <c r="AL58" s="26">
        <f>Tabla_Consulta_desde_Reporte_de_Valorización_de_Instrumentos[[#This Row],[C02-H]]*Tabla_Consulta_desde_Reporte_de_Valorización_de_Instrumentos[[#This Row],[Weight]]</f>
        <v>6.2643872421954967E-4</v>
      </c>
      <c r="AM58" s="26" t="str">
        <f>INDEX(Parametria!G:G,MATCH(Tabla_Consulta_desde_Reporte_de_Valorización_de_Instrumentos[[#This Row],[CODIGO_SBS]],Parametria!C:C,0))</f>
        <v>21RFLC</v>
      </c>
      <c r="AN58" s="26" t="str">
        <f>INDEX(Parametria!F:F,MATCH(Tabla_Consulta_desde_Reporte_de_Valorización_de_Instrumentos[[#This Row],[CODIGO_SBS]],Parametria!C:C,0))</f>
        <v>BU</v>
      </c>
      <c r="AO58" s="26" t="str">
        <f>+INDEX(Parametria!J:J,MATCH(Tabla_Consulta_desde_Reporte_de_Valorización_de_Instrumentos[[#This Row],[CODIGO_SBS]],Parametria!C:C,0))</f>
        <v>RFLBU</v>
      </c>
      <c r="AP58" s="26">
        <f>Tabla_Consulta_desde_Reporte_de_Valorización_de_Instrumentos[[#This Row],[Huella]]/$AU$4</f>
        <v>4.5369994902414611E-4</v>
      </c>
      <c r="AQ58" s="26" t="str">
        <f>IFERROR(INDEX('BD(MSCI)'!W:W,MATCH(Tabla_Consulta_desde_Reporte_de_Valorización_de_Instrumentos[[#This Row],[CODIGO_ISIN]],'BD(MSCI)'!C:C,0)),IF(Tabla_Consulta_desde_Reporte_de_Valorización_de_Instrumentos[[#This Row],[Rank_rt]]="Cash","Cash","Cuestionario Integra"))</f>
        <v>Portafolio</v>
      </c>
      <c r="AR58" s="26" t="str">
        <f>IFERROR(INDEX('BD(MSCI)'!X:X,MATCH(Tabla_Consulta_desde_Reporte_de_Valorización_de_Instrumentos[[#This Row],[CODIGO_ISIN]],'BD(MSCI)'!C:C,0)),"Cuestionario Integra")</f>
        <v>Portafolio</v>
      </c>
      <c r="AU58" s="26"/>
    </row>
    <row r="59" spans="2:47" hidden="1" x14ac:dyDescent="0.25">
      <c r="B59" s="14" t="s">
        <v>6390</v>
      </c>
      <c r="C59" t="s">
        <v>224</v>
      </c>
      <c r="D59" t="s">
        <v>10</v>
      </c>
      <c r="E59" t="s">
        <v>225</v>
      </c>
      <c r="F59" t="s">
        <v>5381</v>
      </c>
      <c r="G59" t="str">
        <f>INDEX(Parametria!H:H,MATCH(Tabla_Consulta_desde_Reporte_de_Valorización_de_Instrumentos[[#This Row],[CODIGO_SBS]],Parametria!C:C,0),1)</f>
        <v>Banco de Crédito del Perú</v>
      </c>
      <c r="H59" t="s">
        <v>5380</v>
      </c>
      <c r="I59" t="s">
        <v>5471</v>
      </c>
      <c r="J59" t="s">
        <v>373</v>
      </c>
      <c r="K59" t="s">
        <v>50</v>
      </c>
      <c r="L59">
        <v>1000</v>
      </c>
      <c r="M59" s="5">
        <v>100322257.38080519</v>
      </c>
      <c r="N59">
        <v>29849819.209380001</v>
      </c>
      <c r="O59">
        <v>28895</v>
      </c>
      <c r="P59" s="15">
        <v>49378</v>
      </c>
      <c r="Q59">
        <v>3356</v>
      </c>
      <c r="R59">
        <v>3.3609</v>
      </c>
      <c r="S59" t="s">
        <v>155</v>
      </c>
      <c r="T59">
        <v>100341694.2341305</v>
      </c>
      <c r="U59" s="5">
        <v>29840508.60469</v>
      </c>
      <c r="V59" t="s">
        <v>228</v>
      </c>
      <c r="W59">
        <v>187469765000</v>
      </c>
      <c r="X59">
        <v>164938084000</v>
      </c>
      <c r="Y59">
        <v>22531681000</v>
      </c>
      <c r="Z59">
        <v>0.32222200000000001</v>
      </c>
      <c r="AA59" t="str">
        <f>+MID(Tabla_Consulta_desde_Reporte_de_Valorización_de_Instrumentos[[#This Row],[CODIGO_SBS]],7,1)</f>
        <v>2</v>
      </c>
      <c r="AB59">
        <f>INDEX('Cálculo Caja'!F:F,MATCH(Tabla_Consulta_desde_Reporte_de_Valorización_de_Instrumentos[[#This Row],[PORTAFOLIO]],'Cálculo Caja'!A:A,0),1)</f>
        <v>26256910350.436607</v>
      </c>
      <c r="AC59" s="17">
        <f>Tabla_Consulta_desde_Reporte_de_Valorización_de_Instrumentos[[#This Row],[VALOR_VECTOR_LOCAL]]/Tabla_Consulta_desde_Reporte_de_Valorización_de_Instrumentos[[#This Row],[Patrimonio]]</f>
        <v>3.8207944515123429E-3</v>
      </c>
      <c r="AD59" s="4">
        <f>(Tabla_Consulta_desde_Reporte_de_Valorización_de_Instrumentos[[#This Row],[VALOR_VECTOR_LOCAL]]/INDEX('Tipo de Cambio'!$D:$D,MATCH("2",'Tipo de Cambio'!$E:$E,0),1))/1000000</f>
        <v>29.849819209379987</v>
      </c>
      <c r="AE59">
        <f>IF(Tabla_Consulta_desde_Reporte_de_Valorización_de_Instrumentos[[#This Row],[PORTAFOLIO]]="IN-FONDO0",Tabla_Consulta_desde_Reporte_de_Valorización_de_Instrumentos[[#This Row],[Inv MM$]],0)</f>
        <v>0</v>
      </c>
      <c r="AF59" s="26">
        <f>IF(Tabla_Consulta_desde_Reporte_de_Valorización_de_Instrumentos[[#This Row],[PORTAFOLIO]]="IN-FONDO1",Tabla_Consulta_desde_Reporte_de_Valorización_de_Instrumentos[[#This Row],[Inv MM$]],0)</f>
        <v>0</v>
      </c>
      <c r="AG59" s="26">
        <f>IF(Tabla_Consulta_desde_Reporte_de_Valorización_de_Instrumentos[[#This Row],[PORTAFOLIO]]="IN-FONDO2",Tabla_Consulta_desde_Reporte_de_Valorización_de_Instrumentos[[#This Row],[Inv MM$]],0)</f>
        <v>29.849819209379987</v>
      </c>
      <c r="AH59" s="26">
        <f>IF(Tabla_Consulta_desde_Reporte_de_Valorización_de_Instrumentos[[#This Row],[PORTAFOLIO]]="IN-FONDO3",Tabla_Consulta_desde_Reporte_de_Valorización_de_Instrumentos[[#This Row],[Inv MM$]],0)</f>
        <v>0</v>
      </c>
      <c r="AI5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44.80726971405597</v>
      </c>
      <c r="AJ59" s="26">
        <f>IFERROR(IFERROR(INDEX('BD(MSCI)'!$T:$T,MATCH(Tabla_Consulta_desde_Reporte_de_Valorización_de_Instrumentos[[#This Row],[CODIGO_ISIN]],'BD(MSCI)'!$C:$C,0),1),INDEX('BD(MSCI)'!$T:$T,MATCH(Tabla_Consulta_desde_Reporte_de_Valorización_de_Instrumentos[[#This Row],[CODIGO_SBS]],'BD(MSCI)'!$C:$C,0),1)),0)</f>
        <v>0.61</v>
      </c>
      <c r="AK59" s="26">
        <f>Tabla_Consulta_desde_Reporte_de_Valorización_de_Instrumentos[[#This Row],[C02-H]]*Tabla_Consulta_desde_Reporte_de_Valorización_de_Instrumentos[[#This Row],[Inv MM$]]</f>
        <v>18.208389717721793</v>
      </c>
      <c r="AL59" s="26">
        <f>Tabla_Consulta_desde_Reporte_de_Valorización_de_Instrumentos[[#This Row],[C02-H]]*Tabla_Consulta_desde_Reporte_de_Valorización_de_Instrumentos[[#This Row],[Weight]]</f>
        <v>2.3306846154225293E-3</v>
      </c>
      <c r="AM59" s="26" t="str">
        <f>INDEX(Parametria!G:G,MATCH(Tabla_Consulta_desde_Reporte_de_Valorización_de_Instrumentos[[#This Row],[CODIGO_SBS]],Parametria!C:C,0))</f>
        <v>21RFLC</v>
      </c>
      <c r="AN59" s="26" t="str">
        <f>INDEX(Parametria!F:F,MATCH(Tabla_Consulta_desde_Reporte_de_Valorización_de_Instrumentos[[#This Row],[CODIGO_SBS]],Parametria!C:C,0))</f>
        <v>BU</v>
      </c>
      <c r="AO59" s="26" t="str">
        <f>+INDEX(Parametria!J:J,MATCH(Tabla_Consulta_desde_Reporte_de_Valorización_de_Instrumentos[[#This Row],[CODIGO_SBS]],Parametria!C:C,0))</f>
        <v>RFLBU</v>
      </c>
      <c r="AP59" s="26">
        <f>Tabla_Consulta_desde_Reporte_de_Valorización_de_Instrumentos[[#This Row],[Huella]]/$AU$4</f>
        <v>1.6880046688141238E-3</v>
      </c>
      <c r="AQ59" s="26" t="str">
        <f>IFERROR(INDEX('BD(MSCI)'!W:W,MATCH(Tabla_Consulta_desde_Reporte_de_Valorización_de_Instrumentos[[#This Row],[CODIGO_ISIN]],'BD(MSCI)'!C:C,0)),IF(Tabla_Consulta_desde_Reporte_de_Valorización_de_Instrumentos[[#This Row],[Rank_rt]]="Cash","Cash","Cuestionario Integra"))</f>
        <v>Portafolio</v>
      </c>
      <c r="AR59" s="26" t="str">
        <f>IFERROR(INDEX('BD(MSCI)'!X:X,MATCH(Tabla_Consulta_desde_Reporte_de_Valorización_de_Instrumentos[[#This Row],[CODIGO_ISIN]],'BD(MSCI)'!C:C,0)),"Cuestionario Integra")</f>
        <v>Portafolio</v>
      </c>
      <c r="AU59" s="26"/>
    </row>
    <row r="60" spans="2:47" hidden="1" x14ac:dyDescent="0.25">
      <c r="B60" s="14" t="s">
        <v>6390</v>
      </c>
      <c r="C60" t="s">
        <v>224</v>
      </c>
      <c r="D60" t="s">
        <v>12</v>
      </c>
      <c r="E60" t="s">
        <v>225</v>
      </c>
      <c r="F60" t="s">
        <v>5381</v>
      </c>
      <c r="G60" t="str">
        <f>INDEX(Parametria!H:H,MATCH(Tabla_Consulta_desde_Reporte_de_Valorización_de_Instrumentos[[#This Row],[CODIGO_SBS]],Parametria!C:C,0),1)</f>
        <v>Banco de Crédito del Perú</v>
      </c>
      <c r="H60" t="s">
        <v>5380</v>
      </c>
      <c r="I60" t="s">
        <v>5471</v>
      </c>
      <c r="J60" t="s">
        <v>373</v>
      </c>
      <c r="K60" t="s">
        <v>50</v>
      </c>
      <c r="L60">
        <v>1000</v>
      </c>
      <c r="M60" s="5">
        <v>50270495.4011655</v>
      </c>
      <c r="N60">
        <v>14957450.504675999</v>
      </c>
      <c r="O60">
        <v>14479</v>
      </c>
      <c r="P60" s="15">
        <v>49378</v>
      </c>
      <c r="Q60">
        <v>3356</v>
      </c>
      <c r="R60">
        <v>3.3609</v>
      </c>
      <c r="S60" t="s">
        <v>155</v>
      </c>
      <c r="T60">
        <v>50280235.016991697</v>
      </c>
      <c r="U60" s="5">
        <v>14952785.052338</v>
      </c>
      <c r="V60" t="s">
        <v>228</v>
      </c>
      <c r="W60">
        <v>187469765000</v>
      </c>
      <c r="X60">
        <v>164938084000</v>
      </c>
      <c r="Y60">
        <v>22531681000</v>
      </c>
      <c r="Z60">
        <v>0.32222200000000001</v>
      </c>
      <c r="AA60" t="str">
        <f>+MID(Tabla_Consulta_desde_Reporte_de_Valorización_de_Instrumentos[[#This Row],[CODIGO_SBS]],7,1)</f>
        <v>2</v>
      </c>
      <c r="AB60">
        <f>INDEX('Cálculo Caja'!F:F,MATCH(Tabla_Consulta_desde_Reporte_de_Valorización_de_Instrumentos[[#This Row],[PORTAFOLIO]],'Cálculo Caja'!A:A,0),1)</f>
        <v>7679510866.0565634</v>
      </c>
      <c r="AC60" s="17">
        <f>Tabla_Consulta_desde_Reporte_de_Valorización_de_Instrumentos[[#This Row],[VALOR_VECTOR_LOCAL]]/Tabla_Consulta_desde_Reporte_de_Valorización_de_Instrumentos[[#This Row],[Patrimonio]]</f>
        <v>6.5460543357469658E-3</v>
      </c>
      <c r="AD60" s="4">
        <f>(Tabla_Consulta_desde_Reporte_de_Valorización_de_Instrumentos[[#This Row],[VALOR_VECTOR_LOCAL]]/INDEX('Tipo de Cambio'!$D:$D,MATCH("2",'Tipo de Cambio'!$E:$E,0),1))/1000000</f>
        <v>14.957450504675981</v>
      </c>
      <c r="AE60">
        <f>IF(Tabla_Consulta_desde_Reporte_de_Valorización_de_Instrumentos[[#This Row],[PORTAFOLIO]]="IN-FONDO0",Tabla_Consulta_desde_Reporte_de_Valorización_de_Instrumentos[[#This Row],[Inv MM$]],0)</f>
        <v>0</v>
      </c>
      <c r="AF60" s="26">
        <f>IF(Tabla_Consulta_desde_Reporte_de_Valorización_de_Instrumentos[[#This Row],[PORTAFOLIO]]="IN-FONDO1",Tabla_Consulta_desde_Reporte_de_Valorización_de_Instrumentos[[#This Row],[Inv MM$]],0)</f>
        <v>14.957450504675981</v>
      </c>
      <c r="AG60" s="26">
        <f>IF(Tabla_Consulta_desde_Reporte_de_Valorización_de_Instrumentos[[#This Row],[PORTAFOLIO]]="IN-FONDO2",Tabla_Consulta_desde_Reporte_de_Valorización_de_Instrumentos[[#This Row],[Inv MM$]],0)</f>
        <v>0</v>
      </c>
      <c r="AH60" s="26">
        <f>IF(Tabla_Consulta_desde_Reporte_de_Valorización_de_Instrumentos[[#This Row],[PORTAFOLIO]]="IN-FONDO3",Tabla_Consulta_desde_Reporte_de_Valorización_de_Instrumentos[[#This Row],[Inv MM$]],0)</f>
        <v>0</v>
      </c>
      <c r="AI6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44.80726971405597</v>
      </c>
      <c r="AJ60" s="26">
        <f>IFERROR(IFERROR(INDEX('BD(MSCI)'!$T:$T,MATCH(Tabla_Consulta_desde_Reporte_de_Valorización_de_Instrumentos[[#This Row],[CODIGO_ISIN]],'BD(MSCI)'!$C:$C,0),1),INDEX('BD(MSCI)'!$T:$T,MATCH(Tabla_Consulta_desde_Reporte_de_Valorización_de_Instrumentos[[#This Row],[CODIGO_SBS]],'BD(MSCI)'!$C:$C,0),1)),0)</f>
        <v>0.61</v>
      </c>
      <c r="AK60" s="26">
        <f>Tabla_Consulta_desde_Reporte_de_Valorización_de_Instrumentos[[#This Row],[C02-H]]*Tabla_Consulta_desde_Reporte_de_Valorización_de_Instrumentos[[#This Row],[Inv MM$]]</f>
        <v>9.1240448078523482</v>
      </c>
      <c r="AL60" s="26">
        <f>Tabla_Consulta_desde_Reporte_de_Valorización_de_Instrumentos[[#This Row],[C02-H]]*Tabla_Consulta_desde_Reporte_de_Valorización_de_Instrumentos[[#This Row],[Weight]]</f>
        <v>3.9930931448056489E-3</v>
      </c>
      <c r="AM60" s="26" t="str">
        <f>INDEX(Parametria!G:G,MATCH(Tabla_Consulta_desde_Reporte_de_Valorización_de_Instrumentos[[#This Row],[CODIGO_SBS]],Parametria!C:C,0))</f>
        <v>21RFLC</v>
      </c>
      <c r="AN60" s="26" t="str">
        <f>INDEX(Parametria!F:F,MATCH(Tabla_Consulta_desde_Reporte_de_Valorización_de_Instrumentos[[#This Row],[CODIGO_SBS]],Parametria!C:C,0))</f>
        <v>BU</v>
      </c>
      <c r="AO60" s="26" t="str">
        <f>+INDEX(Parametria!J:J,MATCH(Tabla_Consulta_desde_Reporte_de_Valorización_de_Instrumentos[[#This Row],[CODIGO_SBS]],Parametria!C:C,0))</f>
        <v>RFLBU</v>
      </c>
      <c r="AP60" s="26">
        <f>Tabla_Consulta_desde_Reporte_de_Valorización_de_Instrumentos[[#This Row],[Huella]]/$AU$4</f>
        <v>8.4584251945871863E-4</v>
      </c>
      <c r="AQ60" s="26" t="str">
        <f>IFERROR(INDEX('BD(MSCI)'!W:W,MATCH(Tabla_Consulta_desde_Reporte_de_Valorización_de_Instrumentos[[#This Row],[CODIGO_ISIN]],'BD(MSCI)'!C:C,0)),IF(Tabla_Consulta_desde_Reporte_de_Valorización_de_Instrumentos[[#This Row],[Rank_rt]]="Cash","Cash","Cuestionario Integra"))</f>
        <v>Portafolio</v>
      </c>
      <c r="AR60" s="26" t="str">
        <f>IFERROR(INDEX('BD(MSCI)'!X:X,MATCH(Tabla_Consulta_desde_Reporte_de_Valorización_de_Instrumentos[[#This Row],[CODIGO_ISIN]],'BD(MSCI)'!C:C,0)),"Cuestionario Integra")</f>
        <v>Portafolio</v>
      </c>
      <c r="AU60" s="26"/>
    </row>
    <row r="61" spans="2:47" hidden="1" x14ac:dyDescent="0.25">
      <c r="B61" s="14" t="s">
        <v>6390</v>
      </c>
      <c r="C61" t="s">
        <v>224</v>
      </c>
      <c r="D61" t="s">
        <v>12</v>
      </c>
      <c r="E61" t="s">
        <v>225</v>
      </c>
      <c r="F61" t="s">
        <v>5948</v>
      </c>
      <c r="G61" t="str">
        <f>INDEX(Parametria!H:H,MATCH(Tabla_Consulta_desde_Reporte_de_Valorización_de_Instrumentos[[#This Row],[CODIGO_SBS]],Parametria!C:C,0),1)</f>
        <v>Banco de Crédito del Perú</v>
      </c>
      <c r="H61" t="s">
        <v>5949</v>
      </c>
      <c r="I61" t="s">
        <v>5950</v>
      </c>
      <c r="J61" t="s">
        <v>373</v>
      </c>
      <c r="K61" t="s">
        <v>50</v>
      </c>
      <c r="L61">
        <v>1000</v>
      </c>
      <c r="M61" s="5">
        <v>6913697.9773255996</v>
      </c>
      <c r="N61">
        <v>2057097.199359</v>
      </c>
      <c r="O61">
        <v>1923</v>
      </c>
      <c r="P61" s="15">
        <v>49520</v>
      </c>
      <c r="Q61">
        <v>3498</v>
      </c>
      <c r="R61">
        <v>3.3609</v>
      </c>
      <c r="S61" t="s">
        <v>155</v>
      </c>
      <c r="T61">
        <v>6914877.9611250004</v>
      </c>
      <c r="U61" s="5">
        <v>2056408.125</v>
      </c>
      <c r="V61" t="s">
        <v>228</v>
      </c>
      <c r="W61">
        <v>187469765000</v>
      </c>
      <c r="X61">
        <v>164938084000</v>
      </c>
      <c r="Y61">
        <v>22531681000</v>
      </c>
      <c r="Z61">
        <v>0.35833300000000001</v>
      </c>
      <c r="AA61" t="str">
        <f>+MID(Tabla_Consulta_desde_Reporte_de_Valorización_de_Instrumentos[[#This Row],[CODIGO_SBS]],7,1)</f>
        <v>2</v>
      </c>
      <c r="AB61">
        <f>INDEX('Cálculo Caja'!F:F,MATCH(Tabla_Consulta_desde_Reporte_de_Valorización_de_Instrumentos[[#This Row],[PORTAFOLIO]],'Cálculo Caja'!A:A,0),1)</f>
        <v>7679510866.0565634</v>
      </c>
      <c r="AC61" s="17">
        <f>Tabla_Consulta_desde_Reporte_de_Valorización_de_Instrumentos[[#This Row],[VALOR_VECTOR_LOCAL]]/Tabla_Consulta_desde_Reporte_de_Valorización_de_Instrumentos[[#This Row],[Patrimonio]]</f>
        <v>9.0027842891454756E-4</v>
      </c>
      <c r="AD61" s="4">
        <f>(Tabla_Consulta_desde_Reporte_de_Valorización_de_Instrumentos[[#This Row],[VALOR_VECTOR_LOCAL]]/INDEX('Tipo de Cambio'!$D:$D,MATCH("2",'Tipo de Cambio'!$E:$E,0),1))/1000000</f>
        <v>2.0570971993589811</v>
      </c>
      <c r="AE61">
        <f>IF(Tabla_Consulta_desde_Reporte_de_Valorización_de_Instrumentos[[#This Row],[PORTAFOLIO]]="IN-FONDO0",Tabla_Consulta_desde_Reporte_de_Valorización_de_Instrumentos[[#This Row],[Inv MM$]],0)</f>
        <v>0</v>
      </c>
      <c r="AF61" s="26">
        <f>IF(Tabla_Consulta_desde_Reporte_de_Valorización_de_Instrumentos[[#This Row],[PORTAFOLIO]]="IN-FONDO1",Tabla_Consulta_desde_Reporte_de_Valorización_de_Instrumentos[[#This Row],[Inv MM$]],0)</f>
        <v>2.0570971993589811</v>
      </c>
      <c r="AG61" s="26">
        <f>IF(Tabla_Consulta_desde_Reporte_de_Valorización_de_Instrumentos[[#This Row],[PORTAFOLIO]]="IN-FONDO2",Tabla_Consulta_desde_Reporte_de_Valorización_de_Instrumentos[[#This Row],[Inv MM$]],0)</f>
        <v>0</v>
      </c>
      <c r="AH61" s="26">
        <f>IF(Tabla_Consulta_desde_Reporte_de_Valorización_de_Instrumentos[[#This Row],[PORTAFOLIO]]="IN-FONDO3",Tabla_Consulta_desde_Reporte_de_Valorización_de_Instrumentos[[#This Row],[Inv MM$]],0)</f>
        <v>0</v>
      </c>
      <c r="AI6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10.080097196858967</v>
      </c>
      <c r="AJ61" s="26">
        <f>IFERROR(IFERROR(INDEX('BD(MSCI)'!$T:$T,MATCH(Tabla_Consulta_desde_Reporte_de_Valorización_de_Instrumentos[[#This Row],[CODIGO_ISIN]],'BD(MSCI)'!$C:$C,0),1),INDEX('BD(MSCI)'!$T:$T,MATCH(Tabla_Consulta_desde_Reporte_de_Valorización_de_Instrumentos[[#This Row],[CODIGO_SBS]],'BD(MSCI)'!$C:$C,0),1)),0)</f>
        <v>0.61</v>
      </c>
      <c r="AK61" s="26">
        <f>Tabla_Consulta_desde_Reporte_de_Valorización_de_Instrumentos[[#This Row],[C02-H]]*Tabla_Consulta_desde_Reporte_de_Valorización_de_Instrumentos[[#This Row],[Inv MM$]]</f>
        <v>1.2548292916089785</v>
      </c>
      <c r="AL61" s="26">
        <f>Tabla_Consulta_desde_Reporte_de_Valorización_de_Instrumentos[[#This Row],[C02-H]]*Tabla_Consulta_desde_Reporte_de_Valorización_de_Instrumentos[[#This Row],[Weight]]</f>
        <v>5.4916984163787404E-4</v>
      </c>
      <c r="AM61" s="26" t="str">
        <f>INDEX(Parametria!G:G,MATCH(Tabla_Consulta_desde_Reporte_de_Valorización_de_Instrumentos[[#This Row],[CODIGO_SBS]],Parametria!C:C,0))</f>
        <v>21RFLC</v>
      </c>
      <c r="AN61" s="26" t="str">
        <f>INDEX(Parametria!F:F,MATCH(Tabla_Consulta_desde_Reporte_de_Valorización_de_Instrumentos[[#This Row],[CODIGO_SBS]],Parametria!C:C,0))</f>
        <v>BU</v>
      </c>
      <c r="AO61" s="26" t="str">
        <f>+INDEX(Parametria!J:J,MATCH(Tabla_Consulta_desde_Reporte_de_Valorización_de_Instrumentos[[#This Row],[CODIGO_SBS]],Parametria!C:C,0))</f>
        <v>RFLBU</v>
      </c>
      <c r="AP61" s="26">
        <f>Tabla_Consulta_desde_Reporte_de_Valorización_de_Instrumentos[[#This Row],[Huella]]/$AU$4</f>
        <v>1.163286669297902E-4</v>
      </c>
      <c r="AQ61" s="26" t="str">
        <f>IFERROR(INDEX('BD(MSCI)'!W:W,MATCH(Tabla_Consulta_desde_Reporte_de_Valorización_de_Instrumentos[[#This Row],[CODIGO_ISIN]],'BD(MSCI)'!C:C,0)),IF(Tabla_Consulta_desde_Reporte_de_Valorización_de_Instrumentos[[#This Row],[Rank_rt]]="Cash","Cash","Cuestionario Integra"))</f>
        <v>Portafolio</v>
      </c>
      <c r="AR61" s="26" t="str">
        <f>IFERROR(INDEX('BD(MSCI)'!X:X,MATCH(Tabla_Consulta_desde_Reporte_de_Valorización_de_Instrumentos[[#This Row],[CODIGO_ISIN]],'BD(MSCI)'!C:C,0)),"Cuestionario Integra")</f>
        <v>Portafolio</v>
      </c>
      <c r="AU61" s="26"/>
    </row>
    <row r="62" spans="2:47" hidden="1" x14ac:dyDescent="0.25">
      <c r="B62" s="14" t="s">
        <v>6390</v>
      </c>
      <c r="C62" t="s">
        <v>224</v>
      </c>
      <c r="D62" t="s">
        <v>12</v>
      </c>
      <c r="E62" t="s">
        <v>225</v>
      </c>
      <c r="F62" t="s">
        <v>5782</v>
      </c>
      <c r="G62" t="str">
        <f>INDEX(Parametria!H:H,MATCH(Tabla_Consulta_desde_Reporte_de_Valorización_de_Instrumentos[[#This Row],[CODIGO_SBS]],Parametria!C:C,0),1)</f>
        <v xml:space="preserve">Banco Internacional del Perú </v>
      </c>
      <c r="H62" t="s">
        <v>5781</v>
      </c>
      <c r="I62" t="s">
        <v>5851</v>
      </c>
      <c r="J62" t="s">
        <v>245</v>
      </c>
      <c r="K62" t="s">
        <v>50</v>
      </c>
      <c r="L62">
        <v>1000</v>
      </c>
      <c r="M62" s="5">
        <v>32575042.356295601</v>
      </c>
      <c r="N62">
        <v>9692356.9152000006</v>
      </c>
      <c r="O62">
        <v>9200</v>
      </c>
      <c r="P62" s="15">
        <v>49429</v>
      </c>
      <c r="Q62">
        <v>3407</v>
      </c>
      <c r="R62">
        <v>3.3609</v>
      </c>
      <c r="S62" t="s">
        <v>155</v>
      </c>
      <c r="T62">
        <v>32503185.2773786</v>
      </c>
      <c r="U62" s="5">
        <v>9666087.3364000004</v>
      </c>
      <c r="V62" t="s">
        <v>227</v>
      </c>
      <c r="W62">
        <v>71698610000</v>
      </c>
      <c r="X62">
        <v>64045988000</v>
      </c>
      <c r="Y62">
        <v>7652622000</v>
      </c>
      <c r="Z62">
        <v>2.8553890000000002</v>
      </c>
      <c r="AA62" t="str">
        <f>+MID(Tabla_Consulta_desde_Reporte_de_Valorización_de_Instrumentos[[#This Row],[CODIGO_SBS]],7,1)</f>
        <v>2</v>
      </c>
      <c r="AB62">
        <f>INDEX('Cálculo Caja'!F:F,MATCH(Tabla_Consulta_desde_Reporte_de_Valorización_de_Instrumentos[[#This Row],[PORTAFOLIO]],'Cálculo Caja'!A:A,0),1)</f>
        <v>7679510866.0565634</v>
      </c>
      <c r="AC62" s="17">
        <f>Tabla_Consulta_desde_Reporte_de_Valorización_de_Instrumentos[[#This Row],[VALOR_VECTOR_LOCAL]]/Tabla_Consulta_desde_Reporte_de_Valorización_de_Instrumentos[[#This Row],[Patrimonio]]</f>
        <v>4.2418121315873488E-3</v>
      </c>
      <c r="AD62" s="4">
        <f>(Tabla_Consulta_desde_Reporte_de_Valorización_de_Instrumentos[[#This Row],[VALOR_VECTOR_LOCAL]]/INDEX('Tipo de Cambio'!$D:$D,MATCH("2",'Tipo de Cambio'!$E:$E,0),1))/1000000</f>
        <v>9.6923569151999764</v>
      </c>
      <c r="AE62">
        <f>IF(Tabla_Consulta_desde_Reporte_de_Valorización_de_Instrumentos[[#This Row],[PORTAFOLIO]]="IN-FONDO0",Tabla_Consulta_desde_Reporte_de_Valorización_de_Instrumentos[[#This Row],[Inv MM$]],0)</f>
        <v>0</v>
      </c>
      <c r="AF62" s="26">
        <f>IF(Tabla_Consulta_desde_Reporte_de_Valorización_de_Instrumentos[[#This Row],[PORTAFOLIO]]="IN-FONDO1",Tabla_Consulta_desde_Reporte_de_Valorización_de_Instrumentos[[#This Row],[Inv MM$]],0)</f>
        <v>9.6923569151999764</v>
      </c>
      <c r="AG62" s="26">
        <f>IF(Tabla_Consulta_desde_Reporte_de_Valorización_de_Instrumentos[[#This Row],[PORTAFOLIO]]="IN-FONDO2",Tabla_Consulta_desde_Reporte_de_Valorización_de_Instrumentos[[#This Row],[Inv MM$]],0)</f>
        <v>0</v>
      </c>
      <c r="AH62" s="26">
        <f>IF(Tabla_Consulta_desde_Reporte_de_Valorización_de_Instrumentos[[#This Row],[PORTAFOLIO]]="IN-FONDO3",Tabla_Consulta_desde_Reporte_de_Valorización_de_Instrumentos[[#This Row],[Inv MM$]],0)</f>
        <v>0</v>
      </c>
      <c r="AI6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33.076221490175968</v>
      </c>
      <c r="AJ62" s="26">
        <f>IFERROR(IFERROR(INDEX('BD(MSCI)'!$T:$T,MATCH(Tabla_Consulta_desde_Reporte_de_Valorización_de_Instrumentos[[#This Row],[CODIGO_ISIN]],'BD(MSCI)'!$C:$C,0),1),INDEX('BD(MSCI)'!$T:$T,MATCH(Tabla_Consulta_desde_Reporte_de_Valorización_de_Instrumentos[[#This Row],[CODIGO_SBS]],'BD(MSCI)'!$C:$C,0),1)),0)</f>
        <v>0.47</v>
      </c>
      <c r="AK62" s="26">
        <f>Tabla_Consulta_desde_Reporte_de_Valorización_de_Instrumentos[[#This Row],[C02-H]]*Tabla_Consulta_desde_Reporte_de_Valorización_de_Instrumentos[[#This Row],[Inv MM$]]</f>
        <v>4.5554077501439885</v>
      </c>
      <c r="AL62" s="26">
        <f>Tabla_Consulta_desde_Reporte_de_Valorización_de_Instrumentos[[#This Row],[C02-H]]*Tabla_Consulta_desde_Reporte_de_Valorización_de_Instrumentos[[#This Row],[Weight]]</f>
        <v>1.9936517018460539E-3</v>
      </c>
      <c r="AM62" s="26" t="str">
        <f>INDEX(Parametria!G:G,MATCH(Tabla_Consulta_desde_Reporte_de_Valorización_de_Instrumentos[[#This Row],[CODIGO_SBS]],Parametria!C:C,0))</f>
        <v>21RFLC</v>
      </c>
      <c r="AN62" s="26" t="str">
        <f>INDEX(Parametria!F:F,MATCH(Tabla_Consulta_desde_Reporte_de_Valorización_de_Instrumentos[[#This Row],[CODIGO_SBS]],Parametria!C:C,0))</f>
        <v>BU</v>
      </c>
      <c r="AO62" s="26" t="str">
        <f>+INDEX(Parametria!J:J,MATCH(Tabla_Consulta_desde_Reporte_de_Valorización_de_Instrumentos[[#This Row],[CODIGO_SBS]],Parametria!C:C,0))</f>
        <v>RFLBU</v>
      </c>
      <c r="AP62" s="26">
        <f>Tabla_Consulta_desde_Reporte_de_Valorización_de_Instrumentos[[#This Row],[Huella]]/$AU$4</f>
        <v>4.2230804973989762E-4</v>
      </c>
      <c r="AQ62" s="26" t="str">
        <f>IFERROR(INDEX('BD(MSCI)'!W:W,MATCH(Tabla_Consulta_desde_Reporte_de_Valorización_de_Instrumentos[[#This Row],[CODIGO_ISIN]],'BD(MSCI)'!C:C,0)),IF(Tabla_Consulta_desde_Reporte_de_Valorización_de_Instrumentos[[#This Row],[Rank_rt]]="Cash","Cash","Cuestionario Integra"))</f>
        <v>Portafolio</v>
      </c>
      <c r="AR62" s="26" t="str">
        <f>IFERROR(INDEX('BD(MSCI)'!X:X,MATCH(Tabla_Consulta_desde_Reporte_de_Valorización_de_Instrumentos[[#This Row],[CODIGO_ISIN]],'BD(MSCI)'!C:C,0)),"Cuestionario Integra")</f>
        <v>Portafolio</v>
      </c>
      <c r="AU62" s="26"/>
    </row>
    <row r="63" spans="2:47" hidden="1" x14ac:dyDescent="0.25">
      <c r="B63" s="14" t="s">
        <v>6390</v>
      </c>
      <c r="C63" t="s">
        <v>224</v>
      </c>
      <c r="D63" t="s">
        <v>10</v>
      </c>
      <c r="E63" t="s">
        <v>225</v>
      </c>
      <c r="F63" t="s">
        <v>5782</v>
      </c>
      <c r="G63" t="str">
        <f>INDEX(Parametria!H:H,MATCH(Tabla_Consulta_desde_Reporte_de_Valorización_de_Instrumentos[[#This Row],[CODIGO_SBS]],Parametria!C:C,0),1)</f>
        <v xml:space="preserve">Banco Internacional del Perú </v>
      </c>
      <c r="H63" t="s">
        <v>5781</v>
      </c>
      <c r="I63" t="s">
        <v>5851</v>
      </c>
      <c r="J63" t="s">
        <v>245</v>
      </c>
      <c r="K63" t="s">
        <v>50</v>
      </c>
      <c r="L63">
        <v>1000</v>
      </c>
      <c r="M63" s="5">
        <v>78590830.450036794</v>
      </c>
      <c r="N63">
        <v>23383864.574976001</v>
      </c>
      <c r="O63">
        <v>22196</v>
      </c>
      <c r="P63" s="15">
        <v>49429</v>
      </c>
      <c r="Q63">
        <v>3407</v>
      </c>
      <c r="R63">
        <v>3.3609</v>
      </c>
      <c r="S63" t="s">
        <v>155</v>
      </c>
      <c r="T63">
        <v>78417467.436597407</v>
      </c>
      <c r="U63" s="5">
        <v>23320486.360732</v>
      </c>
      <c r="V63" t="s">
        <v>227</v>
      </c>
      <c r="W63">
        <v>71698610000</v>
      </c>
      <c r="X63">
        <v>64045988000</v>
      </c>
      <c r="Y63">
        <v>7652622000</v>
      </c>
      <c r="Z63">
        <v>2.8553890000000002</v>
      </c>
      <c r="AA63" t="str">
        <f>+MID(Tabla_Consulta_desde_Reporte_de_Valorización_de_Instrumentos[[#This Row],[CODIGO_SBS]],7,1)</f>
        <v>2</v>
      </c>
      <c r="AB63">
        <f>INDEX('Cálculo Caja'!F:F,MATCH(Tabla_Consulta_desde_Reporte_de_Valorización_de_Instrumentos[[#This Row],[PORTAFOLIO]],'Cálculo Caja'!A:A,0),1)</f>
        <v>26256910350.436607</v>
      </c>
      <c r="AC63" s="17">
        <f>Tabla_Consulta_desde_Reporte_de_Valorización_de_Instrumentos[[#This Row],[VALOR_VECTOR_LOCAL]]/Tabla_Consulta_desde_Reporte_de_Valorización_de_Instrumentos[[#This Row],[Patrimonio]]</f>
        <v>2.9931484474421404E-3</v>
      </c>
      <c r="AD63" s="4">
        <f>(Tabla_Consulta_desde_Reporte_de_Valorización_de_Instrumentos[[#This Row],[VALOR_VECTOR_LOCAL]]/INDEX('Tipo de Cambio'!$D:$D,MATCH("2",'Tipo de Cambio'!$E:$E,0),1))/1000000</f>
        <v>23.383864574975988</v>
      </c>
      <c r="AE63">
        <f>IF(Tabla_Consulta_desde_Reporte_de_Valorización_de_Instrumentos[[#This Row],[PORTAFOLIO]]="IN-FONDO0",Tabla_Consulta_desde_Reporte_de_Valorización_de_Instrumentos[[#This Row],[Inv MM$]],0)</f>
        <v>0</v>
      </c>
      <c r="AF63" s="26">
        <f>IF(Tabla_Consulta_desde_Reporte_de_Valorización_de_Instrumentos[[#This Row],[PORTAFOLIO]]="IN-FONDO1",Tabla_Consulta_desde_Reporte_de_Valorización_de_Instrumentos[[#This Row],[Inv MM$]],0)</f>
        <v>0</v>
      </c>
      <c r="AG63" s="26">
        <f>IF(Tabla_Consulta_desde_Reporte_de_Valorización_de_Instrumentos[[#This Row],[PORTAFOLIO]]="IN-FONDO2",Tabla_Consulta_desde_Reporte_de_Valorización_de_Instrumentos[[#This Row],[Inv MM$]],0)</f>
        <v>23.383864574975988</v>
      </c>
      <c r="AH63" s="26">
        <f>IF(Tabla_Consulta_desde_Reporte_de_Valorización_de_Instrumentos[[#This Row],[PORTAFOLIO]]="IN-FONDO3",Tabla_Consulta_desde_Reporte_de_Valorización_de_Instrumentos[[#This Row],[Inv MM$]],0)</f>
        <v>0</v>
      </c>
      <c r="AI6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33.076221490175968</v>
      </c>
      <c r="AJ63" s="26">
        <f>IFERROR(IFERROR(INDEX('BD(MSCI)'!$T:$T,MATCH(Tabla_Consulta_desde_Reporte_de_Valorización_de_Instrumentos[[#This Row],[CODIGO_ISIN]],'BD(MSCI)'!$C:$C,0),1),INDEX('BD(MSCI)'!$T:$T,MATCH(Tabla_Consulta_desde_Reporte_de_Valorización_de_Instrumentos[[#This Row],[CODIGO_SBS]],'BD(MSCI)'!$C:$C,0),1)),0)</f>
        <v>0.47</v>
      </c>
      <c r="AK63" s="26">
        <f>Tabla_Consulta_desde_Reporte_de_Valorización_de_Instrumentos[[#This Row],[C02-H]]*Tabla_Consulta_desde_Reporte_de_Valorización_de_Instrumentos[[#This Row],[Inv MM$]]</f>
        <v>10.990416350238714</v>
      </c>
      <c r="AL63" s="26">
        <f>Tabla_Consulta_desde_Reporte_de_Valorización_de_Instrumentos[[#This Row],[C02-H]]*Tabla_Consulta_desde_Reporte_de_Valorización_de_Instrumentos[[#This Row],[Weight]]</f>
        <v>1.4067797702978059E-3</v>
      </c>
      <c r="AM63" s="26" t="str">
        <f>INDEX(Parametria!G:G,MATCH(Tabla_Consulta_desde_Reporte_de_Valorización_de_Instrumentos[[#This Row],[CODIGO_SBS]],Parametria!C:C,0))</f>
        <v>21RFLC</v>
      </c>
      <c r="AN63" s="26" t="str">
        <f>INDEX(Parametria!F:F,MATCH(Tabla_Consulta_desde_Reporte_de_Valorización_de_Instrumentos[[#This Row],[CODIGO_SBS]],Parametria!C:C,0))</f>
        <v>BU</v>
      </c>
      <c r="AO63" s="26" t="str">
        <f>+INDEX(Parametria!J:J,MATCH(Tabla_Consulta_desde_Reporte_de_Valorización_de_Instrumentos[[#This Row],[CODIGO_SBS]],Parametria!C:C,0))</f>
        <v>RFLBU</v>
      </c>
      <c r="AP63" s="26">
        <f>Tabla_Consulta_desde_Reporte_de_Valorización_de_Instrumentos[[#This Row],[Huella]]/$AU$4</f>
        <v>1.0188640730463899E-3</v>
      </c>
      <c r="AQ63" s="26" t="str">
        <f>IFERROR(INDEX('BD(MSCI)'!W:W,MATCH(Tabla_Consulta_desde_Reporte_de_Valorización_de_Instrumentos[[#This Row],[CODIGO_ISIN]],'BD(MSCI)'!C:C,0)),IF(Tabla_Consulta_desde_Reporte_de_Valorización_de_Instrumentos[[#This Row],[Rank_rt]]="Cash","Cash","Cuestionario Integra"))</f>
        <v>Portafolio</v>
      </c>
      <c r="AR63" s="26" t="str">
        <f>IFERROR(INDEX('BD(MSCI)'!X:X,MATCH(Tabla_Consulta_desde_Reporte_de_Valorización_de_Instrumentos[[#This Row],[CODIGO_ISIN]],'BD(MSCI)'!C:C,0)),"Cuestionario Integra")</f>
        <v>Portafolio</v>
      </c>
      <c r="AU63" s="26"/>
    </row>
    <row r="64" spans="2:47" hidden="1" x14ac:dyDescent="0.25">
      <c r="B64" s="14" t="s">
        <v>6390</v>
      </c>
      <c r="C64" t="s">
        <v>249</v>
      </c>
      <c r="D64" t="s">
        <v>10</v>
      </c>
      <c r="E64" t="s">
        <v>250</v>
      </c>
      <c r="F64" t="s">
        <v>255</v>
      </c>
      <c r="G64" t="str">
        <f>INDEX(Parametria!H:H,MATCH(Tabla_Consulta_desde_Reporte_de_Valorización_de_Instrumentos[[#This Row],[CODIGO_SBS]],Parametria!C:C,0),1)</f>
        <v>Rutas de Lima</v>
      </c>
      <c r="H64" t="s">
        <v>256</v>
      </c>
      <c r="I64" t="s">
        <v>257</v>
      </c>
      <c r="J64" t="s">
        <v>258</v>
      </c>
      <c r="K64" t="s">
        <v>90</v>
      </c>
      <c r="L64">
        <v>1000</v>
      </c>
      <c r="M64" s="5">
        <v>64445851.355999999</v>
      </c>
      <c r="N64">
        <v>64445851.355999999</v>
      </c>
      <c r="O64">
        <v>222932</v>
      </c>
      <c r="P64" s="15">
        <v>49856</v>
      </c>
      <c r="Q64">
        <v>3834</v>
      </c>
      <c r="R64">
        <v>1</v>
      </c>
      <c r="S64" t="s">
        <v>155</v>
      </c>
      <c r="T64">
        <v>66842370.355999999</v>
      </c>
      <c r="U64" s="5">
        <v>66842370.355999999</v>
      </c>
      <c r="V64" t="s">
        <v>156</v>
      </c>
      <c r="W64">
        <v>2816710241</v>
      </c>
      <c r="X64">
        <v>1846667545</v>
      </c>
      <c r="Y64">
        <v>970042696</v>
      </c>
      <c r="Z64">
        <v>-10.75</v>
      </c>
      <c r="AA64" t="str">
        <f>+MID(Tabla_Consulta_desde_Reporte_de_Valorización_de_Instrumentos[[#This Row],[CODIGO_SBS]],7,1)</f>
        <v>1</v>
      </c>
      <c r="AB64">
        <f>INDEX('Cálculo Caja'!F:F,MATCH(Tabla_Consulta_desde_Reporte_de_Valorización_de_Instrumentos[[#This Row],[PORTAFOLIO]],'Cálculo Caja'!A:A,0),1)</f>
        <v>26256910350.436607</v>
      </c>
      <c r="AC64" s="17">
        <f>Tabla_Consulta_desde_Reporte_de_Valorización_de_Instrumentos[[#This Row],[VALOR_VECTOR_LOCAL]]/Tabla_Consulta_desde_Reporte_de_Valorización_de_Instrumentos[[#This Row],[Patrimonio]]</f>
        <v>2.4544339183809709E-3</v>
      </c>
      <c r="AD64" s="4">
        <f>(Tabla_Consulta_desde_Reporte_de_Valorización_de_Instrumentos[[#This Row],[VALOR_VECTOR_LOCAL]]/INDEX('Tipo de Cambio'!$D:$D,MATCH("2",'Tipo de Cambio'!$E:$E,0),1))/1000000</f>
        <v>19.175176695527981</v>
      </c>
      <c r="AE64">
        <f>IF(Tabla_Consulta_desde_Reporte_de_Valorización_de_Instrumentos[[#This Row],[PORTAFOLIO]]="IN-FONDO0",Tabla_Consulta_desde_Reporte_de_Valorización_de_Instrumentos[[#This Row],[Inv MM$]],0)</f>
        <v>0</v>
      </c>
      <c r="AF64" s="26">
        <f>IF(Tabla_Consulta_desde_Reporte_de_Valorización_de_Instrumentos[[#This Row],[PORTAFOLIO]]="IN-FONDO1",Tabla_Consulta_desde_Reporte_de_Valorización_de_Instrumentos[[#This Row],[Inv MM$]],0)</f>
        <v>0</v>
      </c>
      <c r="AG64" s="26">
        <f>IF(Tabla_Consulta_desde_Reporte_de_Valorización_de_Instrumentos[[#This Row],[PORTAFOLIO]]="IN-FONDO2",Tabla_Consulta_desde_Reporte_de_Valorización_de_Instrumentos[[#This Row],[Inv MM$]],0)</f>
        <v>19.175176695527981</v>
      </c>
      <c r="AH64" s="26">
        <f>IF(Tabla_Consulta_desde_Reporte_de_Valorización_de_Instrumentos[[#This Row],[PORTAFOLIO]]="IN-FONDO3",Tabla_Consulta_desde_Reporte_de_Valorización_de_Instrumentos[[#This Row],[Inv MM$]],0)</f>
        <v>0</v>
      </c>
      <c r="AI6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24.001225957332856</v>
      </c>
      <c r="AJ64" s="26">
        <f>IFERROR(IFERROR(INDEX('BD(MSCI)'!$T:$T,MATCH(Tabla_Consulta_desde_Reporte_de_Valorización_de_Instrumentos[[#This Row],[CODIGO_ISIN]],'BD(MSCI)'!$C:$C,0),1),INDEX('BD(MSCI)'!$T:$T,MATCH(Tabla_Consulta_desde_Reporte_de_Valorización_de_Instrumentos[[#This Row],[CODIGO_SBS]],'BD(MSCI)'!$C:$C,0),1)),0)</f>
        <v>27.41</v>
      </c>
      <c r="AK64" s="26">
        <f>Tabla_Consulta_desde_Reporte_de_Valorización_de_Instrumentos[[#This Row],[C02-H]]*Tabla_Consulta_desde_Reporte_de_Valorización_de_Instrumentos[[#This Row],[Inv MM$]]</f>
        <v>525.5915932244219</v>
      </c>
      <c r="AL64" s="26">
        <f>Tabla_Consulta_desde_Reporte_de_Valorización_de_Instrumentos[[#This Row],[C02-H]]*Tabla_Consulta_desde_Reporte_de_Valorización_de_Instrumentos[[#This Row],[Weight]]</f>
        <v>6.727603370282241E-2</v>
      </c>
      <c r="AM64" s="26" t="str">
        <f>INDEX(Parametria!G:G,MATCH(Tabla_Consulta_desde_Reporte_de_Valorización_de_Instrumentos[[#This Row],[CODIGO_SBS]],Parametria!C:C,0))</f>
        <v>22RFLC</v>
      </c>
      <c r="AN64" s="26" t="str">
        <f>INDEX(Parametria!F:F,MATCH(Tabla_Consulta_desde_Reporte_de_Valorización_de_Instrumentos[[#This Row],[CODIGO_SBS]],Parametria!C:C,0))</f>
        <v>BU</v>
      </c>
      <c r="AO64" s="26" t="str">
        <f>+INDEX(Parametria!J:J,MATCH(Tabla_Consulta_desde_Reporte_de_Valorización_de_Instrumentos[[#This Row],[CODIGO_SBS]],Parametria!C:C,0))</f>
        <v>RFLBU</v>
      </c>
      <c r="AP64" s="26">
        <f>Tabla_Consulta_desde_Reporte_de_Valorización_de_Instrumentos[[#This Row],[Huella]]/$AU$4</f>
        <v>4.8724850302868147E-2</v>
      </c>
      <c r="AQ64" s="26" t="str">
        <f>IFERROR(INDEX('BD(MSCI)'!W:W,MATCH(Tabla_Consulta_desde_Reporte_de_Valorización_de_Instrumentos[[#This Row],[CODIGO_ISIN]],'BD(MSCI)'!C:C,0)),IF(Tabla_Consulta_desde_Reporte_de_Valorización_de_Instrumentos[[#This Row],[Rank_rt]]="Cash","Cash","Cuestionario Integra"))</f>
        <v>Portafolio</v>
      </c>
      <c r="AR64" s="26" t="str">
        <f>IFERROR(INDEX('BD(MSCI)'!X:X,MATCH(Tabla_Consulta_desde_Reporte_de_Valorización_de_Instrumentos[[#This Row],[CODIGO_ISIN]],'BD(MSCI)'!C:C,0)),"Cuestionario Integra")</f>
        <v>Portafolio</v>
      </c>
      <c r="AU64" s="26"/>
    </row>
    <row r="65" spans="2:47" hidden="1" x14ac:dyDescent="0.25">
      <c r="B65" s="14" t="s">
        <v>6390</v>
      </c>
      <c r="C65" t="s">
        <v>249</v>
      </c>
      <c r="D65" t="s">
        <v>12</v>
      </c>
      <c r="E65" t="s">
        <v>250</v>
      </c>
      <c r="F65" t="s">
        <v>255</v>
      </c>
      <c r="G65" t="str">
        <f>INDEX(Parametria!H:H,MATCH(Tabla_Consulta_desde_Reporte_de_Valorización_de_Instrumentos[[#This Row],[CODIGO_SBS]],Parametria!C:C,0),1)</f>
        <v>Rutas de Lima</v>
      </c>
      <c r="H65" t="s">
        <v>256</v>
      </c>
      <c r="I65" t="s">
        <v>257</v>
      </c>
      <c r="J65" t="s">
        <v>258</v>
      </c>
      <c r="K65" t="s">
        <v>90</v>
      </c>
      <c r="L65">
        <v>1000</v>
      </c>
      <c r="M65" s="5">
        <v>16219868.964</v>
      </c>
      <c r="N65">
        <v>16219868.964</v>
      </c>
      <c r="O65">
        <v>56108</v>
      </c>
      <c r="P65" s="15">
        <v>49856</v>
      </c>
      <c r="Q65">
        <v>3834</v>
      </c>
      <c r="R65">
        <v>1</v>
      </c>
      <c r="S65" t="s">
        <v>155</v>
      </c>
      <c r="T65">
        <v>16823029.964000002</v>
      </c>
      <c r="U65" s="5">
        <v>16823029.964000002</v>
      </c>
      <c r="V65" t="s">
        <v>156</v>
      </c>
      <c r="W65">
        <v>2816710241</v>
      </c>
      <c r="X65">
        <v>1846667545</v>
      </c>
      <c r="Y65">
        <v>970042696</v>
      </c>
      <c r="Z65">
        <v>-10.75</v>
      </c>
      <c r="AA65" t="str">
        <f>+MID(Tabla_Consulta_desde_Reporte_de_Valorización_de_Instrumentos[[#This Row],[CODIGO_SBS]],7,1)</f>
        <v>1</v>
      </c>
      <c r="AB65">
        <f>INDEX('Cálculo Caja'!F:F,MATCH(Tabla_Consulta_desde_Reporte_de_Valorización_de_Instrumentos[[#This Row],[PORTAFOLIO]],'Cálculo Caja'!A:A,0),1)</f>
        <v>7679510866.0565634</v>
      </c>
      <c r="AC65" s="17">
        <f>Tabla_Consulta_desde_Reporte_de_Valorización_de_Instrumentos[[#This Row],[VALOR_VECTOR_LOCAL]]/Tabla_Consulta_desde_Reporte_de_Valorización_de_Instrumentos[[#This Row],[Patrimonio]]</f>
        <v>2.1120966226757772E-3</v>
      </c>
      <c r="AD65" s="4">
        <f>(Tabla_Consulta_desde_Reporte_de_Valorización_de_Instrumentos[[#This Row],[VALOR_VECTOR_LOCAL]]/INDEX('Tipo de Cambio'!$D:$D,MATCH("2",'Tipo de Cambio'!$E:$E,0),1))/1000000</f>
        <v>4.826049261804874</v>
      </c>
      <c r="AE65">
        <f>IF(Tabla_Consulta_desde_Reporte_de_Valorización_de_Instrumentos[[#This Row],[PORTAFOLIO]]="IN-FONDO0",Tabla_Consulta_desde_Reporte_de_Valorización_de_Instrumentos[[#This Row],[Inv MM$]],0)</f>
        <v>0</v>
      </c>
      <c r="AF65" s="26">
        <f>IF(Tabla_Consulta_desde_Reporte_de_Valorización_de_Instrumentos[[#This Row],[PORTAFOLIO]]="IN-FONDO1",Tabla_Consulta_desde_Reporte_de_Valorización_de_Instrumentos[[#This Row],[Inv MM$]],0)</f>
        <v>4.826049261804874</v>
      </c>
      <c r="AG65" s="26">
        <f>IF(Tabla_Consulta_desde_Reporte_de_Valorización_de_Instrumentos[[#This Row],[PORTAFOLIO]]="IN-FONDO2",Tabla_Consulta_desde_Reporte_de_Valorización_de_Instrumentos[[#This Row],[Inv MM$]],0)</f>
        <v>0</v>
      </c>
      <c r="AH65" s="26">
        <f>IF(Tabla_Consulta_desde_Reporte_de_Valorización_de_Instrumentos[[#This Row],[PORTAFOLIO]]="IN-FONDO3",Tabla_Consulta_desde_Reporte_de_Valorización_de_Instrumentos[[#This Row],[Inv MM$]],0)</f>
        <v>0</v>
      </c>
      <c r="AI6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24.001225957332856</v>
      </c>
      <c r="AJ65" s="26">
        <f>IFERROR(IFERROR(INDEX('BD(MSCI)'!$T:$T,MATCH(Tabla_Consulta_desde_Reporte_de_Valorización_de_Instrumentos[[#This Row],[CODIGO_ISIN]],'BD(MSCI)'!$C:$C,0),1),INDEX('BD(MSCI)'!$T:$T,MATCH(Tabla_Consulta_desde_Reporte_de_Valorización_de_Instrumentos[[#This Row],[CODIGO_SBS]],'BD(MSCI)'!$C:$C,0),1)),0)</f>
        <v>27.41</v>
      </c>
      <c r="AK65" s="26">
        <f>Tabla_Consulta_desde_Reporte_de_Valorización_de_Instrumentos[[#This Row],[C02-H]]*Tabla_Consulta_desde_Reporte_de_Valorización_de_Instrumentos[[#This Row],[Inv MM$]]</f>
        <v>132.28201026607161</v>
      </c>
      <c r="AL65" s="26">
        <f>Tabla_Consulta_desde_Reporte_de_Valorización_de_Instrumentos[[#This Row],[C02-H]]*Tabla_Consulta_desde_Reporte_de_Valorización_de_Instrumentos[[#This Row],[Weight]]</f>
        <v>5.7892568427543055E-2</v>
      </c>
      <c r="AM65" s="26" t="str">
        <f>INDEX(Parametria!G:G,MATCH(Tabla_Consulta_desde_Reporte_de_Valorización_de_Instrumentos[[#This Row],[CODIGO_SBS]],Parametria!C:C,0))</f>
        <v>22RFLC</v>
      </c>
      <c r="AN65" s="26" t="str">
        <f>INDEX(Parametria!F:F,MATCH(Tabla_Consulta_desde_Reporte_de_Valorización_de_Instrumentos[[#This Row],[CODIGO_SBS]],Parametria!C:C,0))</f>
        <v>BU</v>
      </c>
      <c r="AO65" s="26" t="str">
        <f>+INDEX(Parametria!J:J,MATCH(Tabla_Consulta_desde_Reporte_de_Valorización_de_Instrumentos[[#This Row],[CODIGO_SBS]],Parametria!C:C,0))</f>
        <v>RFLBU</v>
      </c>
      <c r="AP65" s="26">
        <f>Tabla_Consulta_desde_Reporte_de_Valorización_de_Instrumentos[[#This Row],[Huella]]/$AU$4</f>
        <v>1.2263173975890976E-2</v>
      </c>
      <c r="AQ65" s="26" t="str">
        <f>IFERROR(INDEX('BD(MSCI)'!W:W,MATCH(Tabla_Consulta_desde_Reporte_de_Valorización_de_Instrumentos[[#This Row],[CODIGO_ISIN]],'BD(MSCI)'!C:C,0)),IF(Tabla_Consulta_desde_Reporte_de_Valorización_de_Instrumentos[[#This Row],[Rank_rt]]="Cash","Cash","Cuestionario Integra"))</f>
        <v>Portafolio</v>
      </c>
      <c r="AR65" s="26" t="str">
        <f>IFERROR(INDEX('BD(MSCI)'!X:X,MATCH(Tabla_Consulta_desde_Reporte_de_Valorización_de_Instrumentos[[#This Row],[CODIGO_ISIN]],'BD(MSCI)'!C:C,0)),"Cuestionario Integra")</f>
        <v>Portafolio</v>
      </c>
      <c r="AU65" s="26"/>
    </row>
    <row r="66" spans="2:47" hidden="1" x14ac:dyDescent="0.25">
      <c r="B66" s="14" t="s">
        <v>6390</v>
      </c>
      <c r="C66" t="s">
        <v>249</v>
      </c>
      <c r="D66" t="s">
        <v>12</v>
      </c>
      <c r="E66" t="s">
        <v>250</v>
      </c>
      <c r="F66" t="s">
        <v>264</v>
      </c>
      <c r="G66" t="str">
        <f>INDEX(Parametria!H:H,MATCH(Tabla_Consulta_desde_Reporte_de_Valorización_de_Instrumentos[[#This Row],[CODIGO_SBS]],Parametria!C:C,0),1)</f>
        <v>Jockey Plaza</v>
      </c>
      <c r="H66" t="s">
        <v>265</v>
      </c>
      <c r="I66" t="s">
        <v>266</v>
      </c>
      <c r="J66" t="s">
        <v>267</v>
      </c>
      <c r="K66" t="s">
        <v>90</v>
      </c>
      <c r="L66">
        <v>1000</v>
      </c>
      <c r="M66" s="5">
        <v>16444915.308</v>
      </c>
      <c r="N66">
        <v>16444915.308</v>
      </c>
      <c r="O66">
        <v>15000</v>
      </c>
      <c r="P66" s="15">
        <v>48051</v>
      </c>
      <c r="Q66">
        <v>2029</v>
      </c>
      <c r="R66">
        <v>1</v>
      </c>
      <c r="S66" t="s">
        <v>155</v>
      </c>
      <c r="T66">
        <v>16439628.547499999</v>
      </c>
      <c r="U66" s="5">
        <v>16439628.547499999</v>
      </c>
      <c r="V66" t="s">
        <v>268</v>
      </c>
      <c r="W66">
        <v>1960115000</v>
      </c>
      <c r="X66">
        <v>1305903000</v>
      </c>
      <c r="Y66">
        <v>654212000</v>
      </c>
      <c r="Z66">
        <v>0.35245070000000001</v>
      </c>
      <c r="AA66" t="str">
        <f>+MID(Tabla_Consulta_desde_Reporte_de_Valorización_de_Instrumentos[[#This Row],[CODIGO_SBS]],7,1)</f>
        <v>1</v>
      </c>
      <c r="AB66">
        <f>INDEX('Cálculo Caja'!F:F,MATCH(Tabla_Consulta_desde_Reporte_de_Valorización_de_Instrumentos[[#This Row],[PORTAFOLIO]],'Cálculo Caja'!A:A,0),1)</f>
        <v>7679510866.0565634</v>
      </c>
      <c r="AC66" s="17">
        <f>Tabla_Consulta_desde_Reporte_de_Valorización_de_Instrumentos[[#This Row],[VALOR_VECTOR_LOCAL]]/Tabla_Consulta_desde_Reporte_de_Valorización_de_Instrumentos[[#This Row],[Patrimonio]]</f>
        <v>2.1414013984518889E-3</v>
      </c>
      <c r="AD66" s="4">
        <f>(Tabla_Consulta_desde_Reporte_de_Valorización_de_Instrumentos[[#This Row],[VALOR_VECTOR_LOCAL]]/INDEX('Tipo de Cambio'!$D:$D,MATCH("2",'Tipo de Cambio'!$E:$E,0),1))/1000000</f>
        <v>4.8930094046237622</v>
      </c>
      <c r="AE66">
        <f>IF(Tabla_Consulta_desde_Reporte_de_Valorización_de_Instrumentos[[#This Row],[PORTAFOLIO]]="IN-FONDO0",Tabla_Consulta_desde_Reporte_de_Valorización_de_Instrumentos[[#This Row],[Inv MM$]],0)</f>
        <v>0</v>
      </c>
      <c r="AF66" s="26">
        <f>IF(Tabla_Consulta_desde_Reporte_de_Valorización_de_Instrumentos[[#This Row],[PORTAFOLIO]]="IN-FONDO1",Tabla_Consulta_desde_Reporte_de_Valorización_de_Instrumentos[[#This Row],[Inv MM$]],0)</f>
        <v>4.8930094046237622</v>
      </c>
      <c r="AG66" s="26">
        <f>IF(Tabla_Consulta_desde_Reporte_de_Valorización_de_Instrumentos[[#This Row],[PORTAFOLIO]]="IN-FONDO2",Tabla_Consulta_desde_Reporte_de_Valorización_de_Instrumentos[[#This Row],[Inv MM$]],0)</f>
        <v>0</v>
      </c>
      <c r="AH66" s="26">
        <f>IF(Tabla_Consulta_desde_Reporte_de_Valorización_de_Instrumentos[[#This Row],[PORTAFOLIO]]="IN-FONDO3",Tabla_Consulta_desde_Reporte_de_Valorización_de_Instrumentos[[#This Row],[Inv MM$]],0)</f>
        <v>0</v>
      </c>
      <c r="AI6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14.026626959921451</v>
      </c>
      <c r="AJ66" s="26">
        <f>IFERROR(IFERROR(INDEX('BD(MSCI)'!$T:$T,MATCH(Tabla_Consulta_desde_Reporte_de_Valorización_de_Instrumentos[[#This Row],[CODIGO_ISIN]],'BD(MSCI)'!$C:$C,0),1),INDEX('BD(MSCI)'!$T:$T,MATCH(Tabla_Consulta_desde_Reporte_de_Valorización_de_Instrumentos[[#This Row],[CODIGO_SBS]],'BD(MSCI)'!$C:$C,0),1)),0)</f>
        <v>12.22765594</v>
      </c>
      <c r="AK66" s="26">
        <f>Tabla_Consulta_desde_Reporte_de_Valorización_de_Instrumentos[[#This Row],[C02-H]]*Tabla_Consulta_desde_Reporte_de_Valorización_de_Instrumentos[[#This Row],[Inv MM$]]</f>
        <v>59.830035510923608</v>
      </c>
      <c r="AL66" s="26">
        <f>Tabla_Consulta_desde_Reporte_de_Valorización_de_Instrumentos[[#This Row],[C02-H]]*Tabla_Consulta_desde_Reporte_de_Valorización_de_Instrumentos[[#This Row],[Weight]]</f>
        <v>2.6184319529704545E-2</v>
      </c>
      <c r="AM66" s="26" t="str">
        <f>INDEX(Parametria!G:G,MATCH(Tabla_Consulta_desde_Reporte_de_Valorización_de_Instrumentos[[#This Row],[CODIGO_SBS]],Parametria!C:C,0))</f>
        <v>22RFLC</v>
      </c>
      <c r="AN66" s="26" t="str">
        <f>INDEX(Parametria!F:F,MATCH(Tabla_Consulta_desde_Reporte_de_Valorización_de_Instrumentos[[#This Row],[CODIGO_SBS]],Parametria!C:C,0))</f>
        <v>BU</v>
      </c>
      <c r="AO66" s="26" t="str">
        <f>+INDEX(Parametria!J:J,MATCH(Tabla_Consulta_desde_Reporte_de_Valorización_de_Instrumentos[[#This Row],[CODIGO_SBS]],Parametria!C:C,0))</f>
        <v>RFLBU</v>
      </c>
      <c r="AP66" s="26">
        <f>Tabla_Consulta_desde_Reporte_de_Valorización_de_Instrumentos[[#This Row],[Huella]]/$AU$4</f>
        <v>5.5465299701631171E-3</v>
      </c>
      <c r="AQ66" s="26" t="str">
        <f>IFERROR(INDEX('BD(MSCI)'!W:W,MATCH(Tabla_Consulta_desde_Reporte_de_Valorización_de_Instrumentos[[#This Row],[CODIGO_ISIN]],'BD(MSCI)'!C:C,0)),IF(Tabla_Consulta_desde_Reporte_de_Valorización_de_Instrumentos[[#This Row],[Rank_rt]]="Cash","Cash","Cuestionario Integra"))</f>
        <v>Proxies</v>
      </c>
      <c r="AR66" s="26" t="str">
        <f>IFERROR(INDEX('BD(MSCI)'!X:X,MATCH(Tabla_Consulta_desde_Reporte_de_Valorización_de_Instrumentos[[#This Row],[CODIGO_ISIN]],'BD(MSCI)'!C:C,0)),"Cuestionario Integra")</f>
        <v>BU</v>
      </c>
      <c r="AU66" s="26"/>
    </row>
    <row r="67" spans="2:47" hidden="1" x14ac:dyDescent="0.25">
      <c r="B67" s="14" t="s">
        <v>6390</v>
      </c>
      <c r="C67" t="s">
        <v>249</v>
      </c>
      <c r="D67" t="s">
        <v>12</v>
      </c>
      <c r="E67" t="s">
        <v>250</v>
      </c>
      <c r="F67" t="s">
        <v>269</v>
      </c>
      <c r="G67" t="str">
        <f>INDEX(Parametria!H:H,MATCH(Tabla_Consulta_desde_Reporte_de_Valorización_de_Instrumentos[[#This Row],[CODIGO_SBS]],Parametria!C:C,0),1)</f>
        <v>Jockey Plaza</v>
      </c>
      <c r="H67" t="s">
        <v>270</v>
      </c>
      <c r="I67" t="s">
        <v>271</v>
      </c>
      <c r="J67" t="s">
        <v>267</v>
      </c>
      <c r="K67" t="s">
        <v>50</v>
      </c>
      <c r="L67">
        <v>1000</v>
      </c>
      <c r="M67" s="5">
        <v>10015025.198755</v>
      </c>
      <c r="N67">
        <v>2979864.0836546998</v>
      </c>
      <c r="O67">
        <v>2893</v>
      </c>
      <c r="P67" s="15">
        <v>47839</v>
      </c>
      <c r="Q67">
        <v>1817</v>
      </c>
      <c r="R67">
        <v>3.3609</v>
      </c>
      <c r="S67" t="s">
        <v>155</v>
      </c>
      <c r="T67">
        <v>10013982.2835589</v>
      </c>
      <c r="U67" s="5">
        <v>2978047.4286441999</v>
      </c>
      <c r="V67" t="s">
        <v>268</v>
      </c>
      <c r="W67">
        <v>1960115000</v>
      </c>
      <c r="X67">
        <v>1305903000</v>
      </c>
      <c r="Y67">
        <v>654212000</v>
      </c>
      <c r="Z67">
        <v>0.62794850000000002</v>
      </c>
      <c r="AA67" t="str">
        <f>+MID(Tabla_Consulta_desde_Reporte_de_Valorización_de_Instrumentos[[#This Row],[CODIGO_SBS]],7,1)</f>
        <v>2</v>
      </c>
      <c r="AB67">
        <f>INDEX('Cálculo Caja'!F:F,MATCH(Tabla_Consulta_desde_Reporte_de_Valorización_de_Instrumentos[[#This Row],[PORTAFOLIO]],'Cálculo Caja'!A:A,0),1)</f>
        <v>7679510866.0565634</v>
      </c>
      <c r="AC67" s="17">
        <f>Tabla_Consulta_desde_Reporte_de_Valorización_de_Instrumentos[[#This Row],[VALOR_VECTOR_LOCAL]]/Tabla_Consulta_desde_Reporte_de_Valorización_de_Instrumentos[[#This Row],[Patrimonio]]</f>
        <v>1.3041227981096309E-3</v>
      </c>
      <c r="AD67" s="4">
        <f>(Tabla_Consulta_desde_Reporte_de_Valorización_de_Instrumentos[[#This Row],[VALOR_VECTOR_LOCAL]]/INDEX('Tipo de Cambio'!$D:$D,MATCH("2",'Tipo de Cambio'!$E:$E,0),1))/1000000</f>
        <v>2.9798640836546757</v>
      </c>
      <c r="AE67">
        <f>IF(Tabla_Consulta_desde_Reporte_de_Valorización_de_Instrumentos[[#This Row],[PORTAFOLIO]]="IN-FONDO0",Tabla_Consulta_desde_Reporte_de_Valorización_de_Instrumentos[[#This Row],[Inv MM$]],0)</f>
        <v>0</v>
      </c>
      <c r="AF67" s="26">
        <f>IF(Tabla_Consulta_desde_Reporte_de_Valorización_de_Instrumentos[[#This Row],[PORTAFOLIO]]="IN-FONDO1",Tabla_Consulta_desde_Reporte_de_Valorización_de_Instrumentos[[#This Row],[Inv MM$]],0)</f>
        <v>2.9798640836546757</v>
      </c>
      <c r="AG67" s="26">
        <f>IF(Tabla_Consulta_desde_Reporte_de_Valorización_de_Instrumentos[[#This Row],[PORTAFOLIO]]="IN-FONDO2",Tabla_Consulta_desde_Reporte_de_Valorización_de_Instrumentos[[#This Row],[Inv MM$]],0)</f>
        <v>0</v>
      </c>
      <c r="AH67" s="26">
        <f>IF(Tabla_Consulta_desde_Reporte_de_Valorización_de_Instrumentos[[#This Row],[PORTAFOLIO]]="IN-FONDO3",Tabla_Consulta_desde_Reporte_de_Valorización_de_Instrumentos[[#This Row],[Inv MM$]],0)</f>
        <v>0</v>
      </c>
      <c r="AI6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2.9798640836546757</v>
      </c>
      <c r="AJ67" s="26">
        <f>IFERROR(IFERROR(INDEX('BD(MSCI)'!$T:$T,MATCH(Tabla_Consulta_desde_Reporte_de_Valorización_de_Instrumentos[[#This Row],[CODIGO_ISIN]],'BD(MSCI)'!$C:$C,0),1),INDEX('BD(MSCI)'!$T:$T,MATCH(Tabla_Consulta_desde_Reporte_de_Valorización_de_Instrumentos[[#This Row],[CODIGO_SBS]],'BD(MSCI)'!$C:$C,0),1)),0)</f>
        <v>12.22765594</v>
      </c>
      <c r="AK67" s="26">
        <f>Tabla_Consulta_desde_Reporte_de_Valorización_de_Instrumentos[[#This Row],[C02-H]]*Tabla_Consulta_desde_Reporte_de_Valorización_de_Instrumentos[[#This Row],[Inv MM$]]</f>
        <v>36.436752762892752</v>
      </c>
      <c r="AL67" s="26">
        <f>Tabla_Consulta_desde_Reporte_de_Valorización_de_Instrumentos[[#This Row],[C02-H]]*Tabla_Consulta_desde_Reporte_de_Valorización_de_Instrumentos[[#This Row],[Weight]]</f>
        <v>1.5946364878794649E-2</v>
      </c>
      <c r="AM67" s="26" t="str">
        <f>INDEX(Parametria!G:G,MATCH(Tabla_Consulta_desde_Reporte_de_Valorización_de_Instrumentos[[#This Row],[CODIGO_SBS]],Parametria!C:C,0))</f>
        <v>22RFLC</v>
      </c>
      <c r="AN67" s="26" t="str">
        <f>INDEX(Parametria!F:F,MATCH(Tabla_Consulta_desde_Reporte_de_Valorización_de_Instrumentos[[#This Row],[CODIGO_SBS]],Parametria!C:C,0))</f>
        <v>BU</v>
      </c>
      <c r="AO67" s="26" t="str">
        <f>+INDEX(Parametria!J:J,MATCH(Tabla_Consulta_desde_Reporte_de_Valorización_de_Instrumentos[[#This Row],[CODIGO_SBS]],Parametria!C:C,0))</f>
        <v>RFLBU</v>
      </c>
      <c r="AP67" s="26">
        <f>Tabla_Consulta_desde_Reporte_de_Valorización_de_Instrumentos[[#This Row],[Huella]]/$AU$4</f>
        <v>3.3778609604520455E-3</v>
      </c>
      <c r="AQ67" s="26" t="str">
        <f>IFERROR(INDEX('BD(MSCI)'!W:W,MATCH(Tabla_Consulta_desde_Reporte_de_Valorización_de_Instrumentos[[#This Row],[CODIGO_ISIN]],'BD(MSCI)'!C:C,0)),IF(Tabla_Consulta_desde_Reporte_de_Valorización_de_Instrumentos[[#This Row],[Rank_rt]]="Cash","Cash","Cuestionario Integra"))</f>
        <v>Proxies</v>
      </c>
      <c r="AR67" s="26" t="str">
        <f>IFERROR(INDEX('BD(MSCI)'!X:X,MATCH(Tabla_Consulta_desde_Reporte_de_Valorización_de_Instrumentos[[#This Row],[CODIGO_ISIN]],'BD(MSCI)'!C:C,0)),"Cuestionario Integra")</f>
        <v>BU</v>
      </c>
      <c r="AU67" s="26"/>
    </row>
    <row r="68" spans="2:47" hidden="1" x14ac:dyDescent="0.25">
      <c r="B68" s="14" t="s">
        <v>6390</v>
      </c>
      <c r="C68" t="s">
        <v>249</v>
      </c>
      <c r="D68" t="s">
        <v>10</v>
      </c>
      <c r="E68" t="s">
        <v>250</v>
      </c>
      <c r="F68" t="s">
        <v>264</v>
      </c>
      <c r="G68" t="str">
        <f>INDEX(Parametria!H:H,MATCH(Tabla_Consulta_desde_Reporte_de_Valorización_de_Instrumentos[[#This Row],[CODIGO_SBS]],Parametria!C:C,0),1)</f>
        <v>Jockey Plaza</v>
      </c>
      <c r="H68" t="s">
        <v>265</v>
      </c>
      <c r="I68" t="s">
        <v>266</v>
      </c>
      <c r="J68" t="s">
        <v>267</v>
      </c>
      <c r="K68" t="s">
        <v>90</v>
      </c>
      <c r="L68">
        <v>1000</v>
      </c>
      <c r="M68" s="5">
        <v>30697175.241599999</v>
      </c>
      <c r="N68">
        <v>30697175.241599999</v>
      </c>
      <c r="O68">
        <v>28000</v>
      </c>
      <c r="P68" s="15">
        <v>48051</v>
      </c>
      <c r="Q68">
        <v>2029</v>
      </c>
      <c r="R68">
        <v>1</v>
      </c>
      <c r="S68" t="s">
        <v>155</v>
      </c>
      <c r="T68">
        <v>30687306.622000001</v>
      </c>
      <c r="U68" s="5">
        <v>30687306.622000001</v>
      </c>
      <c r="V68" t="s">
        <v>268</v>
      </c>
      <c r="W68">
        <v>1960115000</v>
      </c>
      <c r="X68">
        <v>1305903000</v>
      </c>
      <c r="Y68">
        <v>654212000</v>
      </c>
      <c r="Z68">
        <v>0.35245070000000001</v>
      </c>
      <c r="AA68" t="str">
        <f>+MID(Tabla_Consulta_desde_Reporte_de_Valorización_de_Instrumentos[[#This Row],[CODIGO_SBS]],7,1)</f>
        <v>1</v>
      </c>
      <c r="AB68">
        <f>INDEX('Cálculo Caja'!F:F,MATCH(Tabla_Consulta_desde_Reporte_de_Valorización_de_Instrumentos[[#This Row],[PORTAFOLIO]],'Cálculo Caja'!A:A,0),1)</f>
        <v>26256910350.436607</v>
      </c>
      <c r="AC68" s="17">
        <f>Tabla_Consulta_desde_Reporte_de_Valorización_de_Instrumentos[[#This Row],[VALOR_VECTOR_LOCAL]]/Tabla_Consulta_desde_Reporte_de_Valorización_de_Instrumentos[[#This Row],[Patrimonio]]</f>
        <v>1.1691084301961505E-3</v>
      </c>
      <c r="AD68" s="4">
        <f>(Tabla_Consulta_desde_Reporte_de_Valorización_de_Instrumentos[[#This Row],[VALOR_VECTOR_LOCAL]]/INDEX('Tipo de Cambio'!$D:$D,MATCH("2",'Tipo de Cambio'!$E:$E,0),1))/1000000</f>
        <v>9.1336175552976879</v>
      </c>
      <c r="AE68">
        <f>IF(Tabla_Consulta_desde_Reporte_de_Valorización_de_Instrumentos[[#This Row],[PORTAFOLIO]]="IN-FONDO0",Tabla_Consulta_desde_Reporte_de_Valorización_de_Instrumentos[[#This Row],[Inv MM$]],0)</f>
        <v>0</v>
      </c>
      <c r="AF68" s="26">
        <f>IF(Tabla_Consulta_desde_Reporte_de_Valorización_de_Instrumentos[[#This Row],[PORTAFOLIO]]="IN-FONDO1",Tabla_Consulta_desde_Reporte_de_Valorización_de_Instrumentos[[#This Row],[Inv MM$]],0)</f>
        <v>0</v>
      </c>
      <c r="AG68" s="26">
        <f>IF(Tabla_Consulta_desde_Reporte_de_Valorización_de_Instrumentos[[#This Row],[PORTAFOLIO]]="IN-FONDO2",Tabla_Consulta_desde_Reporte_de_Valorización_de_Instrumentos[[#This Row],[Inv MM$]],0)</f>
        <v>9.1336175552976879</v>
      </c>
      <c r="AH68" s="26">
        <f>IF(Tabla_Consulta_desde_Reporte_de_Valorización_de_Instrumentos[[#This Row],[PORTAFOLIO]]="IN-FONDO3",Tabla_Consulta_desde_Reporte_de_Valorización_de_Instrumentos[[#This Row],[Inv MM$]],0)</f>
        <v>0</v>
      </c>
      <c r="AI6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14.026626959921451</v>
      </c>
      <c r="AJ68" s="26">
        <f>IFERROR(IFERROR(INDEX('BD(MSCI)'!$T:$T,MATCH(Tabla_Consulta_desde_Reporte_de_Valorización_de_Instrumentos[[#This Row],[CODIGO_ISIN]],'BD(MSCI)'!$C:$C,0),1),INDEX('BD(MSCI)'!$T:$T,MATCH(Tabla_Consulta_desde_Reporte_de_Valorización_de_Instrumentos[[#This Row],[CODIGO_SBS]],'BD(MSCI)'!$C:$C,0),1)),0)</f>
        <v>12.22765594</v>
      </c>
      <c r="AK68" s="26">
        <f>Tabla_Consulta_desde_Reporte_de_Valorización_de_Instrumentos[[#This Row],[C02-H]]*Tabla_Consulta_desde_Reporte_de_Valorización_de_Instrumentos[[#This Row],[Inv MM$]]</f>
        <v>111.68273295372406</v>
      </c>
      <c r="AL68" s="26">
        <f>Tabla_Consulta_desde_Reporte_de_Valorización_de_Instrumentos[[#This Row],[C02-H]]*Tabla_Consulta_desde_Reporte_de_Valorización_de_Instrumentos[[#This Row],[Weight]]</f>
        <v>1.4295455640992034E-2</v>
      </c>
      <c r="AM68" s="26" t="str">
        <f>INDEX(Parametria!G:G,MATCH(Tabla_Consulta_desde_Reporte_de_Valorización_de_Instrumentos[[#This Row],[CODIGO_SBS]],Parametria!C:C,0))</f>
        <v>22RFLC</v>
      </c>
      <c r="AN68" s="26" t="str">
        <f>INDEX(Parametria!F:F,MATCH(Tabla_Consulta_desde_Reporte_de_Valorización_de_Instrumentos[[#This Row],[CODIGO_SBS]],Parametria!C:C,0))</f>
        <v>BU</v>
      </c>
      <c r="AO68" s="26" t="str">
        <f>+INDEX(Parametria!J:J,MATCH(Tabla_Consulta_desde_Reporte_de_Valorización_de_Instrumentos[[#This Row],[CODIGO_SBS]],Parametria!C:C,0))</f>
        <v>RFLBU</v>
      </c>
      <c r="AP68" s="26">
        <f>Tabla_Consulta_desde_Reporte_de_Valorización_de_Instrumentos[[#This Row],[Huella]]/$AU$4</f>
        <v>1.0353522610971151E-2</v>
      </c>
      <c r="AQ68" s="26" t="str">
        <f>IFERROR(INDEX('BD(MSCI)'!W:W,MATCH(Tabla_Consulta_desde_Reporte_de_Valorización_de_Instrumentos[[#This Row],[CODIGO_ISIN]],'BD(MSCI)'!C:C,0)),IF(Tabla_Consulta_desde_Reporte_de_Valorización_de_Instrumentos[[#This Row],[Rank_rt]]="Cash","Cash","Cuestionario Integra"))</f>
        <v>Proxies</v>
      </c>
      <c r="AR68" s="26" t="str">
        <f>IFERROR(INDEX('BD(MSCI)'!X:X,MATCH(Tabla_Consulta_desde_Reporte_de_Valorización_de_Instrumentos[[#This Row],[CODIGO_ISIN]],'BD(MSCI)'!C:C,0)),"Cuestionario Integra")</f>
        <v>BU</v>
      </c>
      <c r="AU68" s="26"/>
    </row>
    <row r="69" spans="2:47" hidden="1" x14ac:dyDescent="0.25">
      <c r="B69" s="14" t="s">
        <v>6390</v>
      </c>
      <c r="C69" t="s">
        <v>249</v>
      </c>
      <c r="D69" t="s">
        <v>10</v>
      </c>
      <c r="E69" t="s">
        <v>250</v>
      </c>
      <c r="F69" t="s">
        <v>3730</v>
      </c>
      <c r="G69" t="str">
        <f>INDEX(Parametria!H:H,MATCH(Tabla_Consulta_desde_Reporte_de_Valorización_de_Instrumentos[[#This Row],[CODIGO_SBS]],Parametria!C:C,0),1)</f>
        <v>Primax</v>
      </c>
      <c r="H69" t="s">
        <v>5472</v>
      </c>
      <c r="I69" t="s">
        <v>5473</v>
      </c>
      <c r="J69" t="s">
        <v>279</v>
      </c>
      <c r="K69" t="s">
        <v>90</v>
      </c>
      <c r="L69">
        <v>1000</v>
      </c>
      <c r="M69" s="5">
        <v>19793767.1208998</v>
      </c>
      <c r="N69">
        <v>19793767.1208998</v>
      </c>
      <c r="O69">
        <v>17486</v>
      </c>
      <c r="P69" s="15">
        <v>49955</v>
      </c>
      <c r="Q69">
        <v>3933</v>
      </c>
      <c r="R69">
        <v>1</v>
      </c>
      <c r="S69" t="s">
        <v>155</v>
      </c>
      <c r="T69">
        <v>19756725.121225402</v>
      </c>
      <c r="U69" s="5">
        <v>19756725.121225402</v>
      </c>
      <c r="V69" t="s">
        <v>228</v>
      </c>
      <c r="W69">
        <v>5024202000</v>
      </c>
      <c r="X69">
        <v>4179076000</v>
      </c>
      <c r="Y69">
        <v>845126000</v>
      </c>
      <c r="Z69">
        <v>2.1183803999999999</v>
      </c>
      <c r="AA69" t="str">
        <f>+MID(Tabla_Consulta_desde_Reporte_de_Valorización_de_Instrumentos[[#This Row],[CODIGO_SBS]],7,1)</f>
        <v>1</v>
      </c>
      <c r="AB69">
        <f>INDEX('Cálculo Caja'!F:F,MATCH(Tabla_Consulta_desde_Reporte_de_Valorización_de_Instrumentos[[#This Row],[PORTAFOLIO]],'Cálculo Caja'!A:A,0),1)</f>
        <v>26256910350.436607</v>
      </c>
      <c r="AC69" s="17">
        <f>Tabla_Consulta_desde_Reporte_de_Valorización_de_Instrumentos[[#This Row],[VALOR_VECTOR_LOCAL]]/Tabla_Consulta_desde_Reporte_de_Valorización_de_Instrumentos[[#This Row],[Patrimonio]]</f>
        <v>7.5384981921799738E-4</v>
      </c>
      <c r="AD69" s="4">
        <f>(Tabla_Consulta_desde_Reporte_de_Valorización_de_Instrumentos[[#This Row],[VALOR_VECTOR_LOCAL]]/INDEX('Tipo de Cambio'!$D:$D,MATCH("2",'Tipo de Cambio'!$E:$E,0),1))/1000000</f>
        <v>5.8894245948703627</v>
      </c>
      <c r="AE69">
        <f>IF(Tabla_Consulta_desde_Reporte_de_Valorización_de_Instrumentos[[#This Row],[PORTAFOLIO]]="IN-FONDO0",Tabla_Consulta_desde_Reporte_de_Valorización_de_Instrumentos[[#This Row],[Inv MM$]],0)</f>
        <v>0</v>
      </c>
      <c r="AF69" s="26">
        <f>IF(Tabla_Consulta_desde_Reporte_de_Valorización_de_Instrumentos[[#This Row],[PORTAFOLIO]]="IN-FONDO1",Tabla_Consulta_desde_Reporte_de_Valorización_de_Instrumentos[[#This Row],[Inv MM$]],0)</f>
        <v>0</v>
      </c>
      <c r="AG69" s="26">
        <f>IF(Tabla_Consulta_desde_Reporte_de_Valorización_de_Instrumentos[[#This Row],[PORTAFOLIO]]="IN-FONDO2",Tabla_Consulta_desde_Reporte_de_Valorización_de_Instrumentos[[#This Row],[Inv MM$]],0)</f>
        <v>5.8894245948703627</v>
      </c>
      <c r="AH69" s="26">
        <f>IF(Tabla_Consulta_desde_Reporte_de_Valorización_de_Instrumentos[[#This Row],[PORTAFOLIO]]="IN-FONDO3",Tabla_Consulta_desde_Reporte_de_Valorización_de_Instrumentos[[#This Row],[Inv MM$]],0)</f>
        <v>0</v>
      </c>
      <c r="AI6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7.7418685655776143</v>
      </c>
      <c r="AJ69" s="26">
        <f>IFERROR(IFERROR(INDEX('BD(MSCI)'!$T:$T,MATCH(Tabla_Consulta_desde_Reporte_de_Valorización_de_Instrumentos[[#This Row],[CODIGO_ISIN]],'BD(MSCI)'!$C:$C,0),1),INDEX('BD(MSCI)'!$T:$T,MATCH(Tabla_Consulta_desde_Reporte_de_Valorización_de_Instrumentos[[#This Row],[CODIGO_SBS]],'BD(MSCI)'!$C:$C,0),1)),0)</f>
        <v>228.38915384000001</v>
      </c>
      <c r="AK69" s="26">
        <f>Tabla_Consulta_desde_Reporte_de_Valorización_de_Instrumentos[[#This Row],[C02-H]]*Tabla_Consulta_desde_Reporte_de_Valorización_de_Instrumentos[[#This Row],[Inv MM$]]</f>
        <v>1345.080699826927</v>
      </c>
      <c r="AL69" s="26">
        <f>Tabla_Consulta_desde_Reporte_de_Valorización_de_Instrumentos[[#This Row],[C02-H]]*Tabla_Consulta_desde_Reporte_de_Valorización_de_Instrumentos[[#This Row],[Weight]]</f>
        <v>0.17217112233363541</v>
      </c>
      <c r="AM69" s="26" t="str">
        <f>INDEX(Parametria!G:G,MATCH(Tabla_Consulta_desde_Reporte_de_Valorización_de_Instrumentos[[#This Row],[CODIGO_SBS]],Parametria!C:C,0))</f>
        <v>22RFLC</v>
      </c>
      <c r="AN69" s="26" t="str">
        <f>INDEX(Parametria!F:F,MATCH(Tabla_Consulta_desde_Reporte_de_Valorización_de_Instrumentos[[#This Row],[CODIGO_SBS]],Parametria!C:C,0))</f>
        <v>BU</v>
      </c>
      <c r="AO69" s="26" t="str">
        <f>+INDEX(Parametria!J:J,MATCH(Tabla_Consulta_desde_Reporte_de_Valorización_de_Instrumentos[[#This Row],[CODIGO_SBS]],Parametria!C:C,0))</f>
        <v>RFLBU</v>
      </c>
      <c r="AP69" s="26">
        <f>Tabla_Consulta_desde_Reporte_de_Valorización_de_Instrumentos[[#This Row],[Huella]]/$AU$4</f>
        <v>0.12469540340680403</v>
      </c>
      <c r="AQ69" s="26" t="str">
        <f>IFERROR(INDEX('BD(MSCI)'!W:W,MATCH(Tabla_Consulta_desde_Reporte_de_Valorización_de_Instrumentos[[#This Row],[CODIGO_ISIN]],'BD(MSCI)'!C:C,0)),IF(Tabla_Consulta_desde_Reporte_de_Valorización_de_Instrumentos[[#This Row],[Rank_rt]]="Cash","Cash","Cuestionario Integra"))</f>
        <v>Proxies</v>
      </c>
      <c r="AR69" s="26" t="str">
        <f>IFERROR(INDEX('BD(MSCI)'!X:X,MATCH(Tabla_Consulta_desde_Reporte_de_Valorización_de_Instrumentos[[#This Row],[CODIGO_ISIN]],'BD(MSCI)'!C:C,0)),"Cuestionario Integra")</f>
        <v>BU</v>
      </c>
      <c r="AU69" s="26"/>
    </row>
    <row r="70" spans="2:47" hidden="1" x14ac:dyDescent="0.25">
      <c r="B70" s="14" t="s">
        <v>6390</v>
      </c>
      <c r="C70" t="s">
        <v>249</v>
      </c>
      <c r="D70" t="s">
        <v>10</v>
      </c>
      <c r="E70" t="s">
        <v>250</v>
      </c>
      <c r="F70" t="s">
        <v>276</v>
      </c>
      <c r="G70" t="str">
        <f>INDEX(Parametria!H:H,MATCH(Tabla_Consulta_desde_Reporte_de_Valorización_de_Instrumentos[[#This Row],[CODIGO_SBS]],Parametria!C:C,0),1)</f>
        <v>Primax</v>
      </c>
      <c r="H70" t="s">
        <v>277</v>
      </c>
      <c r="I70" t="s">
        <v>278</v>
      </c>
      <c r="J70" t="s">
        <v>279</v>
      </c>
      <c r="K70" t="s">
        <v>90</v>
      </c>
      <c r="L70">
        <v>10000</v>
      </c>
      <c r="M70" s="5">
        <v>11228743.7663881</v>
      </c>
      <c r="N70">
        <v>11228743.7663881</v>
      </c>
      <c r="O70">
        <v>1037</v>
      </c>
      <c r="P70" s="15">
        <v>46957</v>
      </c>
      <c r="Q70">
        <v>935</v>
      </c>
      <c r="R70">
        <v>1</v>
      </c>
      <c r="S70" t="s">
        <v>155</v>
      </c>
      <c r="T70">
        <v>11231176.2280447</v>
      </c>
      <c r="U70" s="5">
        <v>11231176.2280447</v>
      </c>
      <c r="V70" t="s">
        <v>228</v>
      </c>
      <c r="W70">
        <v>5024202000</v>
      </c>
      <c r="X70">
        <v>4179076000</v>
      </c>
      <c r="Y70">
        <v>845126000</v>
      </c>
      <c r="Z70">
        <v>-2.3456717999999999</v>
      </c>
      <c r="AA70" t="str">
        <f>+MID(Tabla_Consulta_desde_Reporte_de_Valorización_de_Instrumentos[[#This Row],[CODIGO_SBS]],7,1)</f>
        <v>1</v>
      </c>
      <c r="AB70">
        <f>INDEX('Cálculo Caja'!F:F,MATCH(Tabla_Consulta_desde_Reporte_de_Valorización_de_Instrumentos[[#This Row],[PORTAFOLIO]],'Cálculo Caja'!A:A,0),1)</f>
        <v>26256910350.436607</v>
      </c>
      <c r="AC70" s="17">
        <f>Tabla_Consulta_desde_Reporte_de_Valorización_de_Instrumentos[[#This Row],[VALOR_VECTOR_LOCAL]]/Tabla_Consulta_desde_Reporte_de_Valorización_de_Instrumentos[[#This Row],[Patrimonio]]</f>
        <v>4.2764908805050574E-4</v>
      </c>
      <c r="AD70" s="4">
        <f>(Tabla_Consulta_desde_Reporte_de_Valorización_de_Instrumentos[[#This Row],[VALOR_VECTOR_LOCAL]]/INDEX('Tipo de Cambio'!$D:$D,MATCH("2",'Tipo de Cambio'!$E:$E,0),1))/1000000</f>
        <v>3.3409931168401616</v>
      </c>
      <c r="AE70">
        <f>IF(Tabla_Consulta_desde_Reporte_de_Valorización_de_Instrumentos[[#This Row],[PORTAFOLIO]]="IN-FONDO0",Tabla_Consulta_desde_Reporte_de_Valorización_de_Instrumentos[[#This Row],[Inv MM$]],0)</f>
        <v>0</v>
      </c>
      <c r="AF70" s="26">
        <f>IF(Tabla_Consulta_desde_Reporte_de_Valorización_de_Instrumentos[[#This Row],[PORTAFOLIO]]="IN-FONDO1",Tabla_Consulta_desde_Reporte_de_Valorización_de_Instrumentos[[#This Row],[Inv MM$]],0)</f>
        <v>0</v>
      </c>
      <c r="AG70" s="26">
        <f>IF(Tabla_Consulta_desde_Reporte_de_Valorización_de_Instrumentos[[#This Row],[PORTAFOLIO]]="IN-FONDO2",Tabla_Consulta_desde_Reporte_de_Valorización_de_Instrumentos[[#This Row],[Inv MM$]],0)</f>
        <v>3.3409931168401616</v>
      </c>
      <c r="AH70" s="26">
        <f>IF(Tabla_Consulta_desde_Reporte_de_Valorización_de_Instrumentos[[#This Row],[PORTAFOLIO]]="IN-FONDO3",Tabla_Consulta_desde_Reporte_de_Valorización_de_Instrumentos[[#This Row],[Inv MM$]],0)</f>
        <v>0</v>
      </c>
      <c r="AI7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5.222516723623821</v>
      </c>
      <c r="AJ70" s="26">
        <f>IFERROR(IFERROR(INDEX('BD(MSCI)'!$T:$T,MATCH(Tabla_Consulta_desde_Reporte_de_Valorización_de_Instrumentos[[#This Row],[CODIGO_ISIN]],'BD(MSCI)'!$C:$C,0),1),INDEX('BD(MSCI)'!$T:$T,MATCH(Tabla_Consulta_desde_Reporte_de_Valorización_de_Instrumentos[[#This Row],[CODIGO_SBS]],'BD(MSCI)'!$C:$C,0),1)),0)</f>
        <v>228.38915384000001</v>
      </c>
      <c r="AK70" s="26">
        <f>Tabla_Consulta_desde_Reporte_de_Valorización_de_Instrumentos[[#This Row],[C02-H]]*Tabla_Consulta_desde_Reporte_de_Valorización_de_Instrumentos[[#This Row],[Inv MM$]]</f>
        <v>763.0465909403888</v>
      </c>
      <c r="AL70" s="26">
        <f>Tabla_Consulta_desde_Reporte_de_Valorización_de_Instrumentos[[#This Row],[C02-H]]*Tabla_Consulta_desde_Reporte_de_Valorización_de_Instrumentos[[#This Row],[Weight]]</f>
        <v>9.767041336030266E-2</v>
      </c>
      <c r="AM70" s="26" t="str">
        <f>INDEX(Parametria!G:G,MATCH(Tabla_Consulta_desde_Reporte_de_Valorización_de_Instrumentos[[#This Row],[CODIGO_SBS]],Parametria!C:C,0))</f>
        <v>22RFLC</v>
      </c>
      <c r="AN70" s="26" t="str">
        <f>INDEX(Parametria!F:F,MATCH(Tabla_Consulta_desde_Reporte_de_Valorización_de_Instrumentos[[#This Row],[CODIGO_SBS]],Parametria!C:C,0))</f>
        <v>BU</v>
      </c>
      <c r="AO70" s="26" t="str">
        <f>+INDEX(Parametria!J:J,MATCH(Tabla_Consulta_desde_Reporte_de_Valorización_de_Instrumentos[[#This Row],[CODIGO_SBS]],Parametria!C:C,0))</f>
        <v>RFLBU</v>
      </c>
      <c r="AP70" s="26">
        <f>Tabla_Consulta_desde_Reporte_de_Valorización_de_Instrumentos[[#This Row],[Huella]]/$AU$4</f>
        <v>7.0738062398591553E-2</v>
      </c>
      <c r="AQ70" s="26" t="str">
        <f>IFERROR(INDEX('BD(MSCI)'!W:W,MATCH(Tabla_Consulta_desde_Reporte_de_Valorización_de_Instrumentos[[#This Row],[CODIGO_ISIN]],'BD(MSCI)'!C:C,0)),IF(Tabla_Consulta_desde_Reporte_de_Valorización_de_Instrumentos[[#This Row],[Rank_rt]]="Cash","Cash","Cuestionario Integra"))</f>
        <v>Proxies</v>
      </c>
      <c r="AR70" s="26" t="str">
        <f>IFERROR(INDEX('BD(MSCI)'!X:X,MATCH(Tabla_Consulta_desde_Reporte_de_Valorización_de_Instrumentos[[#This Row],[CODIGO_ISIN]],'BD(MSCI)'!C:C,0)),"Cuestionario Integra")</f>
        <v>BU</v>
      </c>
      <c r="AU70" s="26"/>
    </row>
    <row r="71" spans="2:47" hidden="1" x14ac:dyDescent="0.25">
      <c r="B71" s="14" t="s">
        <v>6390</v>
      </c>
      <c r="C71" t="s">
        <v>249</v>
      </c>
      <c r="D71" t="s">
        <v>12</v>
      </c>
      <c r="E71" t="s">
        <v>250</v>
      </c>
      <c r="F71" t="s">
        <v>276</v>
      </c>
      <c r="G71" t="str">
        <f>INDEX(Parametria!H:H,MATCH(Tabla_Consulta_desde_Reporte_de_Valorización_de_Instrumentos[[#This Row],[CODIGO_SBS]],Parametria!C:C,0),1)</f>
        <v>Primax</v>
      </c>
      <c r="H71" t="s">
        <v>277</v>
      </c>
      <c r="I71" t="s">
        <v>278</v>
      </c>
      <c r="J71" t="s">
        <v>279</v>
      </c>
      <c r="K71" t="s">
        <v>90</v>
      </c>
      <c r="L71">
        <v>10000</v>
      </c>
      <c r="M71" s="5">
        <v>6323612.6900391998</v>
      </c>
      <c r="N71">
        <v>6323612.6900391998</v>
      </c>
      <c r="O71">
        <v>584</v>
      </c>
      <c r="P71" s="15">
        <v>46957</v>
      </c>
      <c r="Q71">
        <v>935</v>
      </c>
      <c r="R71">
        <v>1</v>
      </c>
      <c r="S71" t="s">
        <v>155</v>
      </c>
      <c r="T71">
        <v>6324982.5623703999</v>
      </c>
      <c r="U71" s="5">
        <v>6324982.5623703999</v>
      </c>
      <c r="V71" t="s">
        <v>228</v>
      </c>
      <c r="W71">
        <v>5024202000</v>
      </c>
      <c r="X71">
        <v>4179076000</v>
      </c>
      <c r="Y71">
        <v>845126000</v>
      </c>
      <c r="Z71">
        <v>-2.3456717999999999</v>
      </c>
      <c r="AA71" t="str">
        <f>+MID(Tabla_Consulta_desde_Reporte_de_Valorización_de_Instrumentos[[#This Row],[CODIGO_SBS]],7,1)</f>
        <v>1</v>
      </c>
      <c r="AB71">
        <f>INDEX('Cálculo Caja'!F:F,MATCH(Tabla_Consulta_desde_Reporte_de_Valorización_de_Instrumentos[[#This Row],[PORTAFOLIO]],'Cálculo Caja'!A:A,0),1)</f>
        <v>7679510866.0565634</v>
      </c>
      <c r="AC71" s="17">
        <f>Tabla_Consulta_desde_Reporte_de_Valorización_de_Instrumentos[[#This Row],[VALOR_VECTOR_LOCAL]]/Tabla_Consulta_desde_Reporte_de_Valorización_de_Instrumentos[[#This Row],[Patrimonio]]</f>
        <v>8.2343951331452199E-4</v>
      </c>
      <c r="AD71" s="4">
        <f>(Tabla_Consulta_desde_Reporte_de_Valorización_de_Instrumentos[[#This Row],[VALOR_VECTOR_LOCAL]]/INDEX('Tipo de Cambio'!$D:$D,MATCH("2",'Tipo de Cambio'!$E:$E,0),1))/1000000</f>
        <v>1.8815236067836589</v>
      </c>
      <c r="AE71">
        <f>IF(Tabla_Consulta_desde_Reporte_de_Valorización_de_Instrumentos[[#This Row],[PORTAFOLIO]]="IN-FONDO0",Tabla_Consulta_desde_Reporte_de_Valorización_de_Instrumentos[[#This Row],[Inv MM$]],0)</f>
        <v>0</v>
      </c>
      <c r="AF71" s="26">
        <f>IF(Tabla_Consulta_desde_Reporte_de_Valorización_de_Instrumentos[[#This Row],[PORTAFOLIO]]="IN-FONDO1",Tabla_Consulta_desde_Reporte_de_Valorización_de_Instrumentos[[#This Row],[Inv MM$]],0)</f>
        <v>1.8815236067836589</v>
      </c>
      <c r="AG71" s="26">
        <f>IF(Tabla_Consulta_desde_Reporte_de_Valorización_de_Instrumentos[[#This Row],[PORTAFOLIO]]="IN-FONDO2",Tabla_Consulta_desde_Reporte_de_Valorización_de_Instrumentos[[#This Row],[Inv MM$]],0)</f>
        <v>0</v>
      </c>
      <c r="AH71" s="26">
        <f>IF(Tabla_Consulta_desde_Reporte_de_Valorización_de_Instrumentos[[#This Row],[PORTAFOLIO]]="IN-FONDO3",Tabla_Consulta_desde_Reporte_de_Valorización_de_Instrumentos[[#This Row],[Inv MM$]],0)</f>
        <v>0</v>
      </c>
      <c r="AI7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5.222516723623821</v>
      </c>
      <c r="AJ71" s="26">
        <f>IFERROR(IFERROR(INDEX('BD(MSCI)'!$T:$T,MATCH(Tabla_Consulta_desde_Reporte_de_Valorización_de_Instrumentos[[#This Row],[CODIGO_ISIN]],'BD(MSCI)'!$C:$C,0),1),INDEX('BD(MSCI)'!$T:$T,MATCH(Tabla_Consulta_desde_Reporte_de_Valorización_de_Instrumentos[[#This Row],[CODIGO_SBS]],'BD(MSCI)'!$C:$C,0),1)),0)</f>
        <v>228.38915384000001</v>
      </c>
      <c r="AK71" s="26">
        <f>Tabla_Consulta_desde_Reporte_de_Valorización_de_Instrumentos[[#This Row],[C02-H]]*Tabla_Consulta_desde_Reporte_de_Valorización_de_Instrumentos[[#This Row],[Inv MM$]]</f>
        <v>429.71958448330474</v>
      </c>
      <c r="AL71" s="26">
        <f>Tabla_Consulta_desde_Reporte_de_Valorización_de_Instrumentos[[#This Row],[C02-H]]*Tabla_Consulta_desde_Reporte_de_Valorización_de_Instrumentos[[#This Row],[Weight]]</f>
        <v>0.18806465368432509</v>
      </c>
      <c r="AM71" s="26" t="str">
        <f>INDEX(Parametria!G:G,MATCH(Tabla_Consulta_desde_Reporte_de_Valorización_de_Instrumentos[[#This Row],[CODIGO_SBS]],Parametria!C:C,0))</f>
        <v>22RFLC</v>
      </c>
      <c r="AN71" s="26" t="str">
        <f>INDEX(Parametria!F:F,MATCH(Tabla_Consulta_desde_Reporte_de_Valorización_de_Instrumentos[[#This Row],[CODIGO_SBS]],Parametria!C:C,0))</f>
        <v>BU</v>
      </c>
      <c r="AO71" s="26" t="str">
        <f>+INDEX(Parametria!J:J,MATCH(Tabla_Consulta_desde_Reporte_de_Valorización_de_Instrumentos[[#This Row],[CODIGO_SBS]],Parametria!C:C,0))</f>
        <v>RFLBU</v>
      </c>
      <c r="AP71" s="26">
        <f>Tabla_Consulta_desde_Reporte_de_Valorización_de_Instrumentos[[#This Row],[Huella]]/$AU$4</f>
        <v>3.9837057319939695E-2</v>
      </c>
      <c r="AQ71" s="26" t="str">
        <f>IFERROR(INDEX('BD(MSCI)'!W:W,MATCH(Tabla_Consulta_desde_Reporte_de_Valorización_de_Instrumentos[[#This Row],[CODIGO_ISIN]],'BD(MSCI)'!C:C,0)),IF(Tabla_Consulta_desde_Reporte_de_Valorización_de_Instrumentos[[#This Row],[Rank_rt]]="Cash","Cash","Cuestionario Integra"))</f>
        <v>Proxies</v>
      </c>
      <c r="AR71" s="26" t="str">
        <f>IFERROR(INDEX('BD(MSCI)'!X:X,MATCH(Tabla_Consulta_desde_Reporte_de_Valorización_de_Instrumentos[[#This Row],[CODIGO_ISIN]],'BD(MSCI)'!C:C,0)),"Cuestionario Integra")</f>
        <v>BU</v>
      </c>
      <c r="AU71" s="26"/>
    </row>
    <row r="72" spans="2:47" hidden="1" x14ac:dyDescent="0.25">
      <c r="B72" s="14" t="s">
        <v>6390</v>
      </c>
      <c r="C72" t="s">
        <v>249</v>
      </c>
      <c r="D72" t="s">
        <v>12</v>
      </c>
      <c r="E72" t="s">
        <v>250</v>
      </c>
      <c r="F72" t="s">
        <v>3731</v>
      </c>
      <c r="G72" t="str">
        <f>INDEX(Parametria!H:H,MATCH(Tabla_Consulta_desde_Reporte_de_Valorización_de_Instrumentos[[#This Row],[CODIGO_SBS]],Parametria!C:C,0),1)</f>
        <v>Primax</v>
      </c>
      <c r="H72" t="s">
        <v>5474</v>
      </c>
      <c r="I72" t="s">
        <v>5475</v>
      </c>
      <c r="J72" t="s">
        <v>279</v>
      </c>
      <c r="K72" t="s">
        <v>90</v>
      </c>
      <c r="L72">
        <v>10000</v>
      </c>
      <c r="M72" s="5">
        <v>7682536.6579499999</v>
      </c>
      <c r="N72">
        <v>7682536.6579499999</v>
      </c>
      <c r="O72">
        <v>700</v>
      </c>
      <c r="P72" s="15">
        <v>50609</v>
      </c>
      <c r="Q72">
        <v>4587</v>
      </c>
      <c r="R72">
        <v>1</v>
      </c>
      <c r="S72" t="s">
        <v>155</v>
      </c>
      <c r="T72">
        <v>7684712.4366600001</v>
      </c>
      <c r="U72" s="5">
        <v>7684712.4366600001</v>
      </c>
      <c r="V72" t="s">
        <v>228</v>
      </c>
      <c r="W72">
        <v>5024202000</v>
      </c>
      <c r="X72">
        <v>4179076000</v>
      </c>
      <c r="Y72">
        <v>845126000</v>
      </c>
      <c r="Z72">
        <v>-3.1082553000000002</v>
      </c>
      <c r="AA72" t="str">
        <f>+MID(Tabla_Consulta_desde_Reporte_de_Valorización_de_Instrumentos[[#This Row],[CODIGO_SBS]],7,1)</f>
        <v>1</v>
      </c>
      <c r="AB72">
        <f>INDEX('Cálculo Caja'!F:F,MATCH(Tabla_Consulta_desde_Reporte_de_Valorización_de_Instrumentos[[#This Row],[PORTAFOLIO]],'Cálculo Caja'!A:A,0),1)</f>
        <v>7679510866.0565634</v>
      </c>
      <c r="AC72" s="17">
        <f>Tabla_Consulta_desde_Reporte_de_Valorización_de_Instrumentos[[#This Row],[VALOR_VECTOR_LOCAL]]/Tabla_Consulta_desde_Reporte_de_Valorización_de_Instrumentos[[#This Row],[Patrimonio]]</f>
        <v>1.000394008413584E-3</v>
      </c>
      <c r="AD72" s="4">
        <f>(Tabla_Consulta_desde_Reporte_de_Valorización_de_Instrumentos[[#This Row],[VALOR_VECTOR_LOCAL]]/INDEX('Tipo de Cambio'!$D:$D,MATCH("2",'Tipo de Cambio'!$E:$E,0),1))/1000000</f>
        <v>2.285856960323128</v>
      </c>
      <c r="AE72">
        <f>IF(Tabla_Consulta_desde_Reporte_de_Valorización_de_Instrumentos[[#This Row],[PORTAFOLIO]]="IN-FONDO0",Tabla_Consulta_desde_Reporte_de_Valorización_de_Instrumentos[[#This Row],[Inv MM$]],0)</f>
        <v>0</v>
      </c>
      <c r="AF72" s="26">
        <f>IF(Tabla_Consulta_desde_Reporte_de_Valorización_de_Instrumentos[[#This Row],[PORTAFOLIO]]="IN-FONDO1",Tabla_Consulta_desde_Reporte_de_Valorización_de_Instrumentos[[#This Row],[Inv MM$]],0)</f>
        <v>2.285856960323128</v>
      </c>
      <c r="AG72" s="26">
        <f>IF(Tabla_Consulta_desde_Reporte_de_Valorización_de_Instrumentos[[#This Row],[PORTAFOLIO]]="IN-FONDO2",Tabla_Consulta_desde_Reporte_de_Valorización_de_Instrumentos[[#This Row],[Inv MM$]],0)</f>
        <v>0</v>
      </c>
      <c r="AH72" s="26">
        <f>IF(Tabla_Consulta_desde_Reporte_de_Valorización_de_Instrumentos[[#This Row],[PORTAFOLIO]]="IN-FONDO3",Tabla_Consulta_desde_Reporte_de_Valorización_de_Instrumentos[[#This Row],[Inv MM$]],0)</f>
        <v>0</v>
      </c>
      <c r="AI7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2.285856960323128</v>
      </c>
      <c r="AJ72" s="26">
        <f>IFERROR(IFERROR(INDEX('BD(MSCI)'!$T:$T,MATCH(Tabla_Consulta_desde_Reporte_de_Valorización_de_Instrumentos[[#This Row],[CODIGO_ISIN]],'BD(MSCI)'!$C:$C,0),1),INDEX('BD(MSCI)'!$T:$T,MATCH(Tabla_Consulta_desde_Reporte_de_Valorización_de_Instrumentos[[#This Row],[CODIGO_SBS]],'BD(MSCI)'!$C:$C,0),1)),0)</f>
        <v>228.38915384000001</v>
      </c>
      <c r="AK72" s="26">
        <f>Tabla_Consulta_desde_Reporte_de_Valorización_de_Instrumentos[[#This Row],[C02-H]]*Tabla_Consulta_desde_Reporte_de_Valorización_de_Instrumentos[[#This Row],[Inv MM$]]</f>
        <v>522.06493696747373</v>
      </c>
      <c r="AL72" s="26">
        <f>Tabla_Consulta_desde_Reporte_de_Valorización_de_Instrumentos[[#This Row],[C02-H]]*Tabla_Consulta_desde_Reporte_de_Valorización_de_Instrumentos[[#This Row],[Weight]]</f>
        <v>0.22847914108818429</v>
      </c>
      <c r="AM72" s="26" t="str">
        <f>INDEX(Parametria!G:G,MATCH(Tabla_Consulta_desde_Reporte_de_Valorización_de_Instrumentos[[#This Row],[CODIGO_SBS]],Parametria!C:C,0))</f>
        <v>22RFLC</v>
      </c>
      <c r="AN72" s="26" t="str">
        <f>INDEX(Parametria!F:F,MATCH(Tabla_Consulta_desde_Reporte_de_Valorización_de_Instrumentos[[#This Row],[CODIGO_SBS]],Parametria!C:C,0))</f>
        <v>BU</v>
      </c>
      <c r="AO72" s="26" t="str">
        <f>+INDEX(Parametria!J:J,MATCH(Tabla_Consulta_desde_Reporte_de_Valorización_de_Instrumentos[[#This Row],[CODIGO_SBS]],Parametria!C:C,0))</f>
        <v>RFLBU</v>
      </c>
      <c r="AP72" s="26">
        <f>Tabla_Consulta_desde_Reporte_de_Valorización_de_Instrumentos[[#This Row],[Huella]]/$AU$4</f>
        <v>4.8397912428661885E-2</v>
      </c>
      <c r="AQ72" s="26" t="str">
        <f>IFERROR(INDEX('BD(MSCI)'!W:W,MATCH(Tabla_Consulta_desde_Reporte_de_Valorización_de_Instrumentos[[#This Row],[CODIGO_ISIN]],'BD(MSCI)'!C:C,0)),IF(Tabla_Consulta_desde_Reporte_de_Valorización_de_Instrumentos[[#This Row],[Rank_rt]]="Cash","Cash","Cuestionario Integra"))</f>
        <v>Proxies</v>
      </c>
      <c r="AR72" s="26" t="str">
        <f>IFERROR(INDEX('BD(MSCI)'!X:X,MATCH(Tabla_Consulta_desde_Reporte_de_Valorización_de_Instrumentos[[#This Row],[CODIGO_ISIN]],'BD(MSCI)'!C:C,0)),"Cuestionario Integra")</f>
        <v>BU</v>
      </c>
      <c r="AU72" s="26"/>
    </row>
    <row r="73" spans="2:47" hidden="1" x14ac:dyDescent="0.25">
      <c r="B73" s="14" t="s">
        <v>6390</v>
      </c>
      <c r="C73" t="s">
        <v>249</v>
      </c>
      <c r="D73" t="s">
        <v>12</v>
      </c>
      <c r="E73" t="s">
        <v>250</v>
      </c>
      <c r="F73" t="s">
        <v>3730</v>
      </c>
      <c r="G73" t="str">
        <f>INDEX(Parametria!H:H,MATCH(Tabla_Consulta_desde_Reporte_de_Valorización_de_Instrumentos[[#This Row],[CODIGO_SBS]],Parametria!C:C,0),1)</f>
        <v>Primax</v>
      </c>
      <c r="H73" t="s">
        <v>5472</v>
      </c>
      <c r="I73" t="s">
        <v>5473</v>
      </c>
      <c r="J73" t="s">
        <v>279</v>
      </c>
      <c r="K73" t="s">
        <v>90</v>
      </c>
      <c r="L73">
        <v>1000</v>
      </c>
      <c r="M73" s="5">
        <v>6225878.9411500003</v>
      </c>
      <c r="N73">
        <v>6225878.9411500003</v>
      </c>
      <c r="O73">
        <v>5500</v>
      </c>
      <c r="P73" s="15">
        <v>49955</v>
      </c>
      <c r="Q73">
        <v>3933</v>
      </c>
      <c r="R73">
        <v>1</v>
      </c>
      <c r="S73" t="s">
        <v>155</v>
      </c>
      <c r="T73">
        <v>6214227.8489499995</v>
      </c>
      <c r="U73" s="5">
        <v>6214227.8489499995</v>
      </c>
      <c r="V73" t="s">
        <v>228</v>
      </c>
      <c r="W73">
        <v>5024202000</v>
      </c>
      <c r="X73">
        <v>4179076000</v>
      </c>
      <c r="Y73">
        <v>845126000</v>
      </c>
      <c r="Z73">
        <v>2.1183803999999999</v>
      </c>
      <c r="AA73" t="str">
        <f>+MID(Tabla_Consulta_desde_Reporte_de_Valorización_de_Instrumentos[[#This Row],[CODIGO_SBS]],7,1)</f>
        <v>1</v>
      </c>
      <c r="AB73">
        <f>INDEX('Cálculo Caja'!F:F,MATCH(Tabla_Consulta_desde_Reporte_de_Valorización_de_Instrumentos[[#This Row],[PORTAFOLIO]],'Cálculo Caja'!A:A,0),1)</f>
        <v>7679510866.0565634</v>
      </c>
      <c r="AC73" s="17">
        <f>Tabla_Consulta_desde_Reporte_de_Valorización_de_Instrumentos[[#This Row],[VALOR_VECTOR_LOCAL]]/Tabla_Consulta_desde_Reporte_de_Valorización_de_Instrumentos[[#This Row],[Patrimonio]]</f>
        <v>8.1071295421540244E-4</v>
      </c>
      <c r="AD73" s="4">
        <f>(Tabla_Consulta_desde_Reporte_de_Valorización_de_Instrumentos[[#This Row],[VALOR_VECTOR_LOCAL]]/INDEX('Tipo de Cambio'!$D:$D,MATCH("2",'Tipo de Cambio'!$E:$E,0),1))/1000000</f>
        <v>1.8524439707072513</v>
      </c>
      <c r="AE73">
        <f>IF(Tabla_Consulta_desde_Reporte_de_Valorización_de_Instrumentos[[#This Row],[PORTAFOLIO]]="IN-FONDO0",Tabla_Consulta_desde_Reporte_de_Valorización_de_Instrumentos[[#This Row],[Inv MM$]],0)</f>
        <v>0</v>
      </c>
      <c r="AF73" s="26">
        <f>IF(Tabla_Consulta_desde_Reporte_de_Valorización_de_Instrumentos[[#This Row],[PORTAFOLIO]]="IN-FONDO1",Tabla_Consulta_desde_Reporte_de_Valorización_de_Instrumentos[[#This Row],[Inv MM$]],0)</f>
        <v>1.8524439707072513</v>
      </c>
      <c r="AG73" s="26">
        <f>IF(Tabla_Consulta_desde_Reporte_de_Valorización_de_Instrumentos[[#This Row],[PORTAFOLIO]]="IN-FONDO2",Tabla_Consulta_desde_Reporte_de_Valorización_de_Instrumentos[[#This Row],[Inv MM$]],0)</f>
        <v>0</v>
      </c>
      <c r="AH73" s="26">
        <f>IF(Tabla_Consulta_desde_Reporte_de_Valorización_de_Instrumentos[[#This Row],[PORTAFOLIO]]="IN-FONDO3",Tabla_Consulta_desde_Reporte_de_Valorización_de_Instrumentos[[#This Row],[Inv MM$]],0)</f>
        <v>0</v>
      </c>
      <c r="AI7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7.7418685655776143</v>
      </c>
      <c r="AJ73" s="26">
        <f>IFERROR(IFERROR(INDEX('BD(MSCI)'!$T:$T,MATCH(Tabla_Consulta_desde_Reporte_de_Valorización_de_Instrumentos[[#This Row],[CODIGO_ISIN]],'BD(MSCI)'!$C:$C,0),1),INDEX('BD(MSCI)'!$T:$T,MATCH(Tabla_Consulta_desde_Reporte_de_Valorización_de_Instrumentos[[#This Row],[CODIGO_SBS]],'BD(MSCI)'!$C:$C,0),1)),0)</f>
        <v>228.38915384000001</v>
      </c>
      <c r="AK73" s="26">
        <f>Tabla_Consulta_desde_Reporte_de_Valorización_de_Instrumentos[[#This Row],[C02-H]]*Tabla_Consulta_desde_Reporte_de_Valorización_de_Instrumentos[[#This Row],[Inv MM$]]</f>
        <v>423.07811100583888</v>
      </c>
      <c r="AL73" s="26">
        <f>Tabla_Consulta_desde_Reporte_de_Valorización_de_Instrumentos[[#This Row],[C02-H]]*Tabla_Consulta_desde_Reporte_de_Valorización_de_Instrumentos[[#This Row],[Weight]]</f>
        <v>0.18515804562038243</v>
      </c>
      <c r="AM73" s="26" t="str">
        <f>INDEX(Parametria!G:G,MATCH(Tabla_Consulta_desde_Reporte_de_Valorización_de_Instrumentos[[#This Row],[CODIGO_SBS]],Parametria!C:C,0))</f>
        <v>22RFLC</v>
      </c>
      <c r="AN73" s="26" t="str">
        <f>INDEX(Parametria!F:F,MATCH(Tabla_Consulta_desde_Reporte_de_Valorización_de_Instrumentos[[#This Row],[CODIGO_SBS]],Parametria!C:C,0))</f>
        <v>BU</v>
      </c>
      <c r="AO73" s="26" t="str">
        <f>+INDEX(Parametria!J:J,MATCH(Tabla_Consulta_desde_Reporte_de_Valorización_de_Instrumentos[[#This Row],[CODIGO_SBS]],Parametria!C:C,0))</f>
        <v>RFLBU</v>
      </c>
      <c r="AP73" s="26">
        <f>Tabla_Consulta_desde_Reporte_de_Valorización_de_Instrumentos[[#This Row],[Huella]]/$AU$4</f>
        <v>3.9221361016666033E-2</v>
      </c>
      <c r="AQ73" s="26" t="str">
        <f>IFERROR(INDEX('BD(MSCI)'!W:W,MATCH(Tabla_Consulta_desde_Reporte_de_Valorización_de_Instrumentos[[#This Row],[CODIGO_ISIN]],'BD(MSCI)'!C:C,0)),IF(Tabla_Consulta_desde_Reporte_de_Valorización_de_Instrumentos[[#This Row],[Rank_rt]]="Cash","Cash","Cuestionario Integra"))</f>
        <v>Proxies</v>
      </c>
      <c r="AR73" s="26" t="str">
        <f>IFERROR(INDEX('BD(MSCI)'!X:X,MATCH(Tabla_Consulta_desde_Reporte_de_Valorización_de_Instrumentos[[#This Row],[CODIGO_ISIN]],'BD(MSCI)'!C:C,0)),"Cuestionario Integra")</f>
        <v>BU</v>
      </c>
      <c r="AU73" s="26"/>
    </row>
    <row r="74" spans="2:47" hidden="1" x14ac:dyDescent="0.25">
      <c r="B74" s="14" t="s">
        <v>6390</v>
      </c>
      <c r="C74" t="s">
        <v>249</v>
      </c>
      <c r="D74" t="s">
        <v>12</v>
      </c>
      <c r="E74" t="s">
        <v>250</v>
      </c>
      <c r="F74" t="s">
        <v>280</v>
      </c>
      <c r="G74" t="str">
        <f>INDEX(Parametria!H:H,MATCH(Tabla_Consulta_desde_Reporte_de_Valorización_de_Instrumentos[[#This Row],[CODIGO_SBS]],Parametria!C:C,0),1)</f>
        <v>Hermes</v>
      </c>
      <c r="H74" t="s">
        <v>281</v>
      </c>
      <c r="I74" t="s">
        <v>282</v>
      </c>
      <c r="J74" t="s">
        <v>283</v>
      </c>
      <c r="K74" t="s">
        <v>90</v>
      </c>
      <c r="L74">
        <v>1000</v>
      </c>
      <c r="M74" s="5">
        <v>6957636.3468535002</v>
      </c>
      <c r="N74">
        <v>6957636.3468535002</v>
      </c>
      <c r="O74">
        <v>12749</v>
      </c>
      <c r="P74" s="15">
        <v>47545</v>
      </c>
      <c r="Q74">
        <v>1523</v>
      </c>
      <c r="R74">
        <v>1</v>
      </c>
      <c r="S74" t="s">
        <v>155</v>
      </c>
      <c r="T74">
        <v>6957489.8468196001</v>
      </c>
      <c r="U74" s="5">
        <v>6957489.8468196001</v>
      </c>
      <c r="V74" t="s">
        <v>156</v>
      </c>
      <c r="W74">
        <v>1625198000</v>
      </c>
      <c r="X74">
        <v>791660000</v>
      </c>
      <c r="Y74">
        <v>833538000</v>
      </c>
      <c r="Z74">
        <v>1.1491100000000001E-2</v>
      </c>
      <c r="AA74" t="str">
        <f>+MID(Tabla_Consulta_desde_Reporte_de_Valorización_de_Instrumentos[[#This Row],[CODIGO_SBS]],7,1)</f>
        <v>1</v>
      </c>
      <c r="AB74">
        <f>INDEX('Cálculo Caja'!F:F,MATCH(Tabla_Consulta_desde_Reporte_de_Valorización_de_Instrumentos[[#This Row],[PORTAFOLIO]],'Cálculo Caja'!A:A,0),1)</f>
        <v>7679510866.0565634</v>
      </c>
      <c r="AC74" s="17">
        <f>Tabla_Consulta_desde_Reporte_de_Valorización_de_Instrumentos[[#This Row],[VALOR_VECTOR_LOCAL]]/Tabla_Consulta_desde_Reporte_de_Valorización_de_Instrumentos[[#This Row],[Patrimonio]]</f>
        <v>9.0599993517897755E-4</v>
      </c>
      <c r="AD74" s="4">
        <f>(Tabla_Consulta_desde_Reporte_de_Valorización_de_Instrumentos[[#This Row],[VALOR_VECTOR_LOCAL]]/INDEX('Tipo de Cambio'!$D:$D,MATCH("2",'Tipo de Cambio'!$E:$E,0),1))/1000000</f>
        <v>2.0701705932498737</v>
      </c>
      <c r="AE74">
        <f>IF(Tabla_Consulta_desde_Reporte_de_Valorización_de_Instrumentos[[#This Row],[PORTAFOLIO]]="IN-FONDO0",Tabla_Consulta_desde_Reporte_de_Valorización_de_Instrumentos[[#This Row],[Inv MM$]],0)</f>
        <v>0</v>
      </c>
      <c r="AF74" s="26">
        <f>IF(Tabla_Consulta_desde_Reporte_de_Valorización_de_Instrumentos[[#This Row],[PORTAFOLIO]]="IN-FONDO1",Tabla_Consulta_desde_Reporte_de_Valorización_de_Instrumentos[[#This Row],[Inv MM$]],0)</f>
        <v>2.0701705932498737</v>
      </c>
      <c r="AG74" s="26">
        <f>IF(Tabla_Consulta_desde_Reporte_de_Valorización_de_Instrumentos[[#This Row],[PORTAFOLIO]]="IN-FONDO2",Tabla_Consulta_desde_Reporte_de_Valorización_de_Instrumentos[[#This Row],[Inv MM$]],0)</f>
        <v>0</v>
      </c>
      <c r="AH74" s="26">
        <f>IF(Tabla_Consulta_desde_Reporte_de_Valorización_de_Instrumentos[[#This Row],[PORTAFOLIO]]="IN-FONDO3",Tabla_Consulta_desde_Reporte_de_Valorización_de_Instrumentos[[#This Row],[Inv MM$]],0)</f>
        <v>0</v>
      </c>
      <c r="AI7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2.0701705932498737</v>
      </c>
      <c r="AJ74" s="26">
        <f>IFERROR(IFERROR(INDEX('BD(MSCI)'!$T:$T,MATCH(Tabla_Consulta_desde_Reporte_de_Valorización_de_Instrumentos[[#This Row],[CODIGO_ISIN]],'BD(MSCI)'!$C:$C,0),1),INDEX('BD(MSCI)'!$T:$T,MATCH(Tabla_Consulta_desde_Reporte_de_Valorización_de_Instrumentos[[#This Row],[CODIGO_SBS]],'BD(MSCI)'!$C:$C,0),1)),0)</f>
        <v>33.06438043</v>
      </c>
      <c r="AK74" s="26">
        <f>Tabla_Consulta_desde_Reporte_de_Valorización_de_Instrumentos[[#This Row],[C02-H]]*Tabla_Consulta_desde_Reporte_de_Valorización_de_Instrumentos[[#This Row],[Inv MM$]]</f>
        <v>68.448908050212609</v>
      </c>
      <c r="AL74" s="26">
        <f>Tabla_Consulta_desde_Reporte_de_Valorización_de_Instrumentos[[#This Row],[C02-H]]*Tabla_Consulta_desde_Reporte_de_Valorización_de_Instrumentos[[#This Row],[Weight]]</f>
        <v>2.9956326526313054E-2</v>
      </c>
      <c r="AM74" s="26" t="str">
        <f>INDEX(Parametria!G:G,MATCH(Tabla_Consulta_desde_Reporte_de_Valorización_de_Instrumentos[[#This Row],[CODIGO_SBS]],Parametria!C:C,0))</f>
        <v>22RFLC</v>
      </c>
      <c r="AN74" s="26" t="str">
        <f>INDEX(Parametria!F:F,MATCH(Tabla_Consulta_desde_Reporte_de_Valorización_de_Instrumentos[[#This Row],[CODIGO_SBS]],Parametria!C:C,0))</f>
        <v>BU</v>
      </c>
      <c r="AO74" s="26" t="str">
        <f>+INDEX(Parametria!J:J,MATCH(Tabla_Consulta_desde_Reporte_de_Valorización_de_Instrumentos[[#This Row],[CODIGO_SBS]],Parametria!C:C,0))</f>
        <v>RFLBU</v>
      </c>
      <c r="AP74" s="26">
        <f>Tabla_Consulta_desde_Reporte_de_Valorización_de_Instrumentos[[#This Row],[Huella]]/$AU$4</f>
        <v>6.345540608213871E-3</v>
      </c>
      <c r="AQ74" s="26" t="str">
        <f>IFERROR(INDEX('BD(MSCI)'!W:W,MATCH(Tabla_Consulta_desde_Reporte_de_Valorización_de_Instrumentos[[#This Row],[CODIGO_ISIN]],'BD(MSCI)'!C:C,0)),IF(Tabla_Consulta_desde_Reporte_de_Valorización_de_Instrumentos[[#This Row],[Rank_rt]]="Cash","Cash","Cuestionario Integra"))</f>
        <v>Proxies</v>
      </c>
      <c r="AR74" s="26" t="str">
        <f>IFERROR(INDEX('BD(MSCI)'!X:X,MATCH(Tabla_Consulta_desde_Reporte_de_Valorización_de_Instrumentos[[#This Row],[CODIGO_ISIN]],'BD(MSCI)'!C:C,0)),"Cuestionario Integra")</f>
        <v>BU</v>
      </c>
      <c r="AU74" s="26"/>
    </row>
    <row r="75" spans="2:47" hidden="1" x14ac:dyDescent="0.25">
      <c r="B75" s="14" t="s">
        <v>6390</v>
      </c>
      <c r="C75" t="s">
        <v>249</v>
      </c>
      <c r="D75" t="s">
        <v>12</v>
      </c>
      <c r="E75" t="s">
        <v>250</v>
      </c>
      <c r="F75" t="s">
        <v>284</v>
      </c>
      <c r="G75" t="str">
        <f>INDEX(Parametria!H:H,MATCH(Tabla_Consulta_desde_Reporte_de_Valorización_de_Instrumentos[[#This Row],[CODIGO_SBS]],Parametria!C:C,0),1)</f>
        <v>Inca Rail</v>
      </c>
      <c r="H75" t="s">
        <v>285</v>
      </c>
      <c r="I75" t="s">
        <v>286</v>
      </c>
      <c r="J75" t="s">
        <v>287</v>
      </c>
      <c r="K75" t="s">
        <v>50</v>
      </c>
      <c r="L75">
        <v>1000</v>
      </c>
      <c r="M75" s="5">
        <v>30547552.419070199</v>
      </c>
      <c r="N75">
        <v>9089098.8780000005</v>
      </c>
      <c r="O75">
        <v>12000</v>
      </c>
      <c r="P75" s="15">
        <v>48570</v>
      </c>
      <c r="Q75">
        <v>2548</v>
      </c>
      <c r="R75">
        <v>3.3609</v>
      </c>
      <c r="S75" t="s">
        <v>155</v>
      </c>
      <c r="T75">
        <v>30535893.6630897</v>
      </c>
      <c r="U75" s="5">
        <v>9081036.5976</v>
      </c>
      <c r="V75" t="s">
        <v>156</v>
      </c>
      <c r="W75">
        <v>79333000</v>
      </c>
      <c r="X75">
        <v>66161000</v>
      </c>
      <c r="Y75">
        <v>13172000</v>
      </c>
      <c r="Z75">
        <v>0.67185669999999997</v>
      </c>
      <c r="AA75" t="str">
        <f>+MID(Tabla_Consulta_desde_Reporte_de_Valorización_de_Instrumentos[[#This Row],[CODIGO_SBS]],7,1)</f>
        <v>2</v>
      </c>
      <c r="AB75">
        <f>INDEX('Cálculo Caja'!F:F,MATCH(Tabla_Consulta_desde_Reporte_de_Valorización_de_Instrumentos[[#This Row],[PORTAFOLIO]],'Cálculo Caja'!A:A,0),1)</f>
        <v>7679510866.0565634</v>
      </c>
      <c r="AC75" s="17">
        <f>Tabla_Consulta_desde_Reporte_de_Valorización_de_Instrumentos[[#This Row],[VALOR_VECTOR_LOCAL]]/Tabla_Consulta_desde_Reporte_de_Valorización_de_Instrumentos[[#This Row],[Patrimonio]]</f>
        <v>3.9777992312102035E-3</v>
      </c>
      <c r="AD75" s="4">
        <f>(Tabla_Consulta_desde_Reporte_de_Valorización_de_Instrumentos[[#This Row],[VALOR_VECTOR_LOCAL]]/INDEX('Tipo de Cambio'!$D:$D,MATCH("2",'Tipo de Cambio'!$E:$E,0),1))/1000000</f>
        <v>9.0890988779999997</v>
      </c>
      <c r="AE75">
        <f>IF(Tabla_Consulta_desde_Reporte_de_Valorización_de_Instrumentos[[#This Row],[PORTAFOLIO]]="IN-FONDO0",Tabla_Consulta_desde_Reporte_de_Valorización_de_Instrumentos[[#This Row],[Inv MM$]],0)</f>
        <v>0</v>
      </c>
      <c r="AF75" s="26">
        <f>IF(Tabla_Consulta_desde_Reporte_de_Valorización_de_Instrumentos[[#This Row],[PORTAFOLIO]]="IN-FONDO1",Tabla_Consulta_desde_Reporte_de_Valorización_de_Instrumentos[[#This Row],[Inv MM$]],0)</f>
        <v>9.0890988779999997</v>
      </c>
      <c r="AG75" s="26">
        <f>IF(Tabla_Consulta_desde_Reporte_de_Valorización_de_Instrumentos[[#This Row],[PORTAFOLIO]]="IN-FONDO2",Tabla_Consulta_desde_Reporte_de_Valorización_de_Instrumentos[[#This Row],[Inv MM$]],0)</f>
        <v>0</v>
      </c>
      <c r="AH75" s="26">
        <f>IF(Tabla_Consulta_desde_Reporte_de_Valorización_de_Instrumentos[[#This Row],[PORTAFOLIO]]="IN-FONDO3",Tabla_Consulta_desde_Reporte_de_Valorización_de_Instrumentos[[#This Row],[Inv MM$]],0)</f>
        <v>0</v>
      </c>
      <c r="AI7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9.0890988779999997</v>
      </c>
      <c r="AJ75" s="26">
        <f>IFERROR(IFERROR(INDEX('BD(MSCI)'!$T:$T,MATCH(Tabla_Consulta_desde_Reporte_de_Valorización_de_Instrumentos[[#This Row],[CODIGO_ISIN]],'BD(MSCI)'!$C:$C,0),1),INDEX('BD(MSCI)'!$T:$T,MATCH(Tabla_Consulta_desde_Reporte_de_Valorización_de_Instrumentos[[#This Row],[CODIGO_SBS]],'BD(MSCI)'!$C:$C,0),1)),0)</f>
        <v>33.06438043</v>
      </c>
      <c r="AK75" s="26">
        <f>Tabla_Consulta_desde_Reporte_de_Valorización_de_Instrumentos[[#This Row],[C02-H]]*Tabla_Consulta_desde_Reporte_de_Valorización_de_Instrumentos[[#This Row],[Inv MM$]]</f>
        <v>300.52542306807817</v>
      </c>
      <c r="AL75" s="26">
        <f>Tabla_Consulta_desde_Reporte_de_Valorización_de_Instrumentos[[#This Row],[C02-H]]*Tabla_Consulta_desde_Reporte_de_Valorización_de_Instrumentos[[#This Row],[Weight]]</f>
        <v>0.1315234670548957</v>
      </c>
      <c r="AM75" s="26" t="str">
        <f>INDEX(Parametria!G:G,MATCH(Tabla_Consulta_desde_Reporte_de_Valorización_de_Instrumentos[[#This Row],[CODIGO_SBS]],Parametria!C:C,0))</f>
        <v>22RFLC</v>
      </c>
      <c r="AN75" s="26" t="str">
        <f>INDEX(Parametria!F:F,MATCH(Tabla_Consulta_desde_Reporte_de_Valorización_de_Instrumentos[[#This Row],[CODIGO_SBS]],Parametria!C:C,0))</f>
        <v>BU</v>
      </c>
      <c r="AO75" s="26" t="str">
        <f>+INDEX(Parametria!J:J,MATCH(Tabla_Consulta_desde_Reporte_de_Valorización_de_Instrumentos[[#This Row],[CODIGO_SBS]],Parametria!C:C,0))</f>
        <v>RFLBU</v>
      </c>
      <c r="AP75" s="26">
        <f>Tabla_Consulta_desde_Reporte_de_Valorización_de_Instrumentos[[#This Row],[Huella]]/$AU$4</f>
        <v>2.7860141676478069E-2</v>
      </c>
      <c r="AQ75" s="26" t="str">
        <f>IFERROR(INDEX('BD(MSCI)'!W:W,MATCH(Tabla_Consulta_desde_Reporte_de_Valorización_de_Instrumentos[[#This Row],[CODIGO_ISIN]],'BD(MSCI)'!C:C,0)),IF(Tabla_Consulta_desde_Reporte_de_Valorización_de_Instrumentos[[#This Row],[Rank_rt]]="Cash","Cash","Cuestionario Integra"))</f>
        <v>Proxies</v>
      </c>
      <c r="AR75" s="26" t="str">
        <f>IFERROR(INDEX('BD(MSCI)'!X:X,MATCH(Tabla_Consulta_desde_Reporte_de_Valorización_de_Instrumentos[[#This Row],[CODIGO_ISIN]],'BD(MSCI)'!C:C,0)),"Cuestionario Integra")</f>
        <v>BU</v>
      </c>
      <c r="AU75" s="26"/>
    </row>
    <row r="76" spans="2:47" hidden="1" x14ac:dyDescent="0.25">
      <c r="B76" s="14" t="s">
        <v>6390</v>
      </c>
      <c r="C76" t="s">
        <v>249</v>
      </c>
      <c r="D76" t="s">
        <v>12</v>
      </c>
      <c r="E76" t="s">
        <v>250</v>
      </c>
      <c r="F76" t="s">
        <v>5951</v>
      </c>
      <c r="G76" t="str">
        <f>INDEX(Parametria!H:H,MATCH(Tabla_Consulta_desde_Reporte_de_Valorización_de_Instrumentos[[#This Row],[CODIGO_SBS]],Parametria!C:C,0),1)</f>
        <v>Hunt Oil</v>
      </c>
      <c r="H76" t="s">
        <v>5952</v>
      </c>
      <c r="I76" t="s">
        <v>5953</v>
      </c>
      <c r="J76" t="s">
        <v>5477</v>
      </c>
      <c r="K76" t="s">
        <v>50</v>
      </c>
      <c r="L76">
        <v>1000</v>
      </c>
      <c r="M76" s="5">
        <v>46769899.282871202</v>
      </c>
      <c r="N76">
        <v>13915885.4125</v>
      </c>
      <c r="O76">
        <v>12500</v>
      </c>
      <c r="P76" s="15">
        <v>50714</v>
      </c>
      <c r="Q76">
        <v>4692</v>
      </c>
      <c r="R76">
        <v>3.3609</v>
      </c>
      <c r="S76" t="s">
        <v>155</v>
      </c>
      <c r="T76">
        <v>46750659.810034998</v>
      </c>
      <c r="U76" s="5">
        <v>13903128.475</v>
      </c>
      <c r="V76" t="s">
        <v>156</v>
      </c>
      <c r="W76">
        <v>721469000</v>
      </c>
      <c r="X76">
        <v>616993000</v>
      </c>
      <c r="Y76">
        <v>104476000</v>
      </c>
      <c r="Z76">
        <v>1.0205550000000001</v>
      </c>
      <c r="AA76" t="str">
        <f>+MID(Tabla_Consulta_desde_Reporte_de_Valorización_de_Instrumentos[[#This Row],[CODIGO_SBS]],7,1)</f>
        <v>2</v>
      </c>
      <c r="AB76">
        <f>INDEX('Cálculo Caja'!F:F,MATCH(Tabla_Consulta_desde_Reporte_de_Valorización_de_Instrumentos[[#This Row],[PORTAFOLIO]],'Cálculo Caja'!A:A,0),1)</f>
        <v>7679510866.0565634</v>
      </c>
      <c r="AC76" s="17">
        <f>Tabla_Consulta_desde_Reporte_de_Valorización_de_Instrumentos[[#This Row],[VALOR_VECTOR_LOCAL]]/Tabla_Consulta_desde_Reporte_de_Valorización_de_Instrumentos[[#This Row],[Patrimonio]]</f>
        <v>6.0902185176394692E-3</v>
      </c>
      <c r="AD76" s="4">
        <f>(Tabla_Consulta_desde_Reporte_de_Valorización_de_Instrumentos[[#This Row],[VALOR_VECTOR_LOCAL]]/INDEX('Tipo de Cambio'!$D:$D,MATCH("2",'Tipo de Cambio'!$E:$E,0),1))/1000000</f>
        <v>13.915885412499986</v>
      </c>
      <c r="AE76">
        <f>IF(Tabla_Consulta_desde_Reporte_de_Valorización_de_Instrumentos[[#This Row],[PORTAFOLIO]]="IN-FONDO0",Tabla_Consulta_desde_Reporte_de_Valorización_de_Instrumentos[[#This Row],[Inv MM$]],0)</f>
        <v>0</v>
      </c>
      <c r="AF76" s="26">
        <f>IF(Tabla_Consulta_desde_Reporte_de_Valorización_de_Instrumentos[[#This Row],[PORTAFOLIO]]="IN-FONDO1",Tabla_Consulta_desde_Reporte_de_Valorización_de_Instrumentos[[#This Row],[Inv MM$]],0)</f>
        <v>13.915885412499986</v>
      </c>
      <c r="AG76" s="26">
        <f>IF(Tabla_Consulta_desde_Reporte_de_Valorización_de_Instrumentos[[#This Row],[PORTAFOLIO]]="IN-FONDO2",Tabla_Consulta_desde_Reporte_de_Valorización_de_Instrumentos[[#This Row],[Inv MM$]],0)</f>
        <v>0</v>
      </c>
      <c r="AH76" s="26">
        <f>IF(Tabla_Consulta_desde_Reporte_de_Valorización_de_Instrumentos[[#This Row],[PORTAFOLIO]]="IN-FONDO3",Tabla_Consulta_desde_Reporte_de_Valorización_de_Instrumentos[[#This Row],[Inv MM$]],0)</f>
        <v>0</v>
      </c>
      <c r="AI7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26.161864575499983</v>
      </c>
      <c r="AJ76" s="26">
        <f>IFERROR(IFERROR(INDEX('BD(MSCI)'!$T:$T,MATCH(Tabla_Consulta_desde_Reporte_de_Valorización_de_Instrumentos[[#This Row],[CODIGO_ISIN]],'BD(MSCI)'!$C:$C,0),1),INDEX('BD(MSCI)'!$T:$T,MATCH(Tabla_Consulta_desde_Reporte_de_Valorización_de_Instrumentos[[#This Row],[CODIGO_SBS]],'BD(MSCI)'!$C:$C,0),1)),0)</f>
        <v>228.38915384000001</v>
      </c>
      <c r="AK76" s="26">
        <f>Tabla_Consulta_desde_Reporte_de_Valorización_de_Instrumentos[[#This Row],[C02-H]]*Tabla_Consulta_desde_Reporte_de_Valorización_de_Instrumentos[[#This Row],[Inv MM$]]</f>
        <v>3178.2372942952711</v>
      </c>
      <c r="AL76" s="26">
        <f>Tabla_Consulta_desde_Reporte_de_Valorización_de_Instrumentos[[#This Row],[C02-H]]*Tabla_Consulta_desde_Reporte_de_Valorización_de_Instrumentos[[#This Row],[Weight]]</f>
        <v>1.3909398539443776</v>
      </c>
      <c r="AM76" s="26" t="str">
        <f>INDEX(Parametria!G:G,MATCH(Tabla_Consulta_desde_Reporte_de_Valorización_de_Instrumentos[[#This Row],[CODIGO_SBS]],Parametria!C:C,0))</f>
        <v>22RFLC</v>
      </c>
      <c r="AN76" s="26" t="str">
        <f>INDEX(Parametria!F:F,MATCH(Tabla_Consulta_desde_Reporte_de_Valorización_de_Instrumentos[[#This Row],[CODIGO_SBS]],Parametria!C:C,0))</f>
        <v>BU</v>
      </c>
      <c r="AO76" s="26" t="str">
        <f>+INDEX(Parametria!J:J,MATCH(Tabla_Consulta_desde_Reporte_de_Valorización_de_Instrumentos[[#This Row],[CODIGO_SBS]],Parametria!C:C,0))</f>
        <v>RFLBU</v>
      </c>
      <c r="AP76" s="26">
        <f>Tabla_Consulta_desde_Reporte_de_Valorización_de_Instrumentos[[#This Row],[Huella]]/$AU$4</f>
        <v>0.29463777272671599</v>
      </c>
      <c r="AQ76" s="26" t="str">
        <f>IFERROR(INDEX('BD(MSCI)'!W:W,MATCH(Tabla_Consulta_desde_Reporte_de_Valorización_de_Instrumentos[[#This Row],[CODIGO_ISIN]],'BD(MSCI)'!C:C,0)),IF(Tabla_Consulta_desde_Reporte_de_Valorización_de_Instrumentos[[#This Row],[Rank_rt]]="Cash","Cash","Cuestionario Integra"))</f>
        <v>Proxies</v>
      </c>
      <c r="AR76" s="26" t="str">
        <f>IFERROR(INDEX('BD(MSCI)'!X:X,MATCH(Tabla_Consulta_desde_Reporte_de_Valorización_de_Instrumentos[[#This Row],[CODIGO_ISIN]],'BD(MSCI)'!C:C,0)),"Cuestionario Integra")</f>
        <v>BU</v>
      </c>
      <c r="AU76" s="26"/>
    </row>
    <row r="77" spans="2:47" hidden="1" x14ac:dyDescent="0.25">
      <c r="B77" s="14" t="s">
        <v>6390</v>
      </c>
      <c r="C77" t="s">
        <v>249</v>
      </c>
      <c r="D77" t="s">
        <v>10</v>
      </c>
      <c r="E77" t="s">
        <v>250</v>
      </c>
      <c r="F77" t="s">
        <v>5951</v>
      </c>
      <c r="G77" t="str">
        <f>INDEX(Parametria!H:H,MATCH(Tabla_Consulta_desde_Reporte_de_Valorización_de_Instrumentos[[#This Row],[CODIGO_SBS]],Parametria!C:C,0),1)</f>
        <v>Hunt Oil</v>
      </c>
      <c r="H77" t="s">
        <v>5952</v>
      </c>
      <c r="I77" t="s">
        <v>5953</v>
      </c>
      <c r="J77" t="s">
        <v>5477</v>
      </c>
      <c r="K77" t="s">
        <v>50</v>
      </c>
      <c r="L77">
        <v>1000</v>
      </c>
      <c r="M77" s="5">
        <v>41157511.368926696</v>
      </c>
      <c r="N77">
        <v>12245979.163000001</v>
      </c>
      <c r="O77">
        <v>11000</v>
      </c>
      <c r="P77" s="15">
        <v>50714</v>
      </c>
      <c r="Q77">
        <v>4692</v>
      </c>
      <c r="R77">
        <v>3.3609</v>
      </c>
      <c r="S77" t="s">
        <v>155</v>
      </c>
      <c r="T77">
        <v>41140580.632830799</v>
      </c>
      <c r="U77" s="5">
        <v>12234753.058</v>
      </c>
      <c r="V77" t="s">
        <v>156</v>
      </c>
      <c r="W77">
        <v>721469000</v>
      </c>
      <c r="X77">
        <v>616993000</v>
      </c>
      <c r="Y77">
        <v>104476000</v>
      </c>
      <c r="Z77">
        <v>1.0205550000000001</v>
      </c>
      <c r="AA77" t="str">
        <f>+MID(Tabla_Consulta_desde_Reporte_de_Valorización_de_Instrumentos[[#This Row],[CODIGO_SBS]],7,1)</f>
        <v>2</v>
      </c>
      <c r="AB77">
        <f>INDEX('Cálculo Caja'!F:F,MATCH(Tabla_Consulta_desde_Reporte_de_Valorización_de_Instrumentos[[#This Row],[PORTAFOLIO]],'Cálculo Caja'!A:A,0),1)</f>
        <v>26256910350.436607</v>
      </c>
      <c r="AC77" s="17">
        <f>Tabla_Consulta_desde_Reporte_de_Valorización_de_Instrumentos[[#This Row],[VALOR_VECTOR_LOCAL]]/Tabla_Consulta_desde_Reporte_de_Valorización_de_Instrumentos[[#This Row],[Patrimonio]]</f>
        <v>1.567492550327511E-3</v>
      </c>
      <c r="AD77" s="4">
        <f>(Tabla_Consulta_desde_Reporte_de_Valorización_de_Instrumentos[[#This Row],[VALOR_VECTOR_LOCAL]]/INDEX('Tipo de Cambio'!$D:$D,MATCH("2",'Tipo de Cambio'!$E:$E,0),1))/1000000</f>
        <v>12.245979162999999</v>
      </c>
      <c r="AE77">
        <f>IF(Tabla_Consulta_desde_Reporte_de_Valorización_de_Instrumentos[[#This Row],[PORTAFOLIO]]="IN-FONDO0",Tabla_Consulta_desde_Reporte_de_Valorización_de_Instrumentos[[#This Row],[Inv MM$]],0)</f>
        <v>0</v>
      </c>
      <c r="AF77" s="26">
        <f>IF(Tabla_Consulta_desde_Reporte_de_Valorización_de_Instrumentos[[#This Row],[PORTAFOLIO]]="IN-FONDO1",Tabla_Consulta_desde_Reporte_de_Valorización_de_Instrumentos[[#This Row],[Inv MM$]],0)</f>
        <v>0</v>
      </c>
      <c r="AG77" s="26">
        <f>IF(Tabla_Consulta_desde_Reporte_de_Valorización_de_Instrumentos[[#This Row],[PORTAFOLIO]]="IN-FONDO2",Tabla_Consulta_desde_Reporte_de_Valorización_de_Instrumentos[[#This Row],[Inv MM$]],0)</f>
        <v>12.245979162999999</v>
      </c>
      <c r="AH77" s="26">
        <f>IF(Tabla_Consulta_desde_Reporte_de_Valorización_de_Instrumentos[[#This Row],[PORTAFOLIO]]="IN-FONDO3",Tabla_Consulta_desde_Reporte_de_Valorización_de_Instrumentos[[#This Row],[Inv MM$]],0)</f>
        <v>0</v>
      </c>
      <c r="AI7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26.161864575499983</v>
      </c>
      <c r="AJ77" s="26">
        <f>IFERROR(IFERROR(INDEX('BD(MSCI)'!$T:$T,MATCH(Tabla_Consulta_desde_Reporte_de_Valorización_de_Instrumentos[[#This Row],[CODIGO_ISIN]],'BD(MSCI)'!$C:$C,0),1),INDEX('BD(MSCI)'!$T:$T,MATCH(Tabla_Consulta_desde_Reporte_de_Valorización_de_Instrumentos[[#This Row],[CODIGO_SBS]],'BD(MSCI)'!$C:$C,0),1)),0)</f>
        <v>228.38915384000001</v>
      </c>
      <c r="AK77" s="26">
        <f>Tabla_Consulta_desde_Reporte_de_Valorización_de_Instrumentos[[#This Row],[C02-H]]*Tabla_Consulta_desde_Reporte_de_Valorización_de_Instrumentos[[#This Row],[Inv MM$]]</f>
        <v>2796.8488189798413</v>
      </c>
      <c r="AL77" s="26">
        <f>Tabla_Consulta_desde_Reporte_de_Valorización_de_Instrumentos[[#This Row],[C02-H]]*Tabla_Consulta_desde_Reporte_de_Valorización_de_Instrumentos[[#This Row],[Weight]]</f>
        <v>0.35799829721980386</v>
      </c>
      <c r="AM77" s="26" t="str">
        <f>INDEX(Parametria!G:G,MATCH(Tabla_Consulta_desde_Reporte_de_Valorización_de_Instrumentos[[#This Row],[CODIGO_SBS]],Parametria!C:C,0))</f>
        <v>22RFLC</v>
      </c>
      <c r="AN77" s="26" t="str">
        <f>INDEX(Parametria!F:F,MATCH(Tabla_Consulta_desde_Reporte_de_Valorización_de_Instrumentos[[#This Row],[CODIGO_SBS]],Parametria!C:C,0))</f>
        <v>BU</v>
      </c>
      <c r="AO77" s="26" t="str">
        <f>+INDEX(Parametria!J:J,MATCH(Tabla_Consulta_desde_Reporte_de_Valorización_de_Instrumentos[[#This Row],[CODIGO_SBS]],Parametria!C:C,0))</f>
        <v>RFLBU</v>
      </c>
      <c r="AP77" s="26">
        <f>Tabla_Consulta_desde_Reporte_de_Valorización_de_Instrumentos[[#This Row],[Huella]]/$AU$4</f>
        <v>0.2592812399995103</v>
      </c>
      <c r="AQ77" s="26" t="str">
        <f>IFERROR(INDEX('BD(MSCI)'!W:W,MATCH(Tabla_Consulta_desde_Reporte_de_Valorización_de_Instrumentos[[#This Row],[CODIGO_ISIN]],'BD(MSCI)'!C:C,0)),IF(Tabla_Consulta_desde_Reporte_de_Valorización_de_Instrumentos[[#This Row],[Rank_rt]]="Cash","Cash","Cuestionario Integra"))</f>
        <v>Proxies</v>
      </c>
      <c r="AR77" s="26" t="str">
        <f>IFERROR(INDEX('BD(MSCI)'!X:X,MATCH(Tabla_Consulta_desde_Reporte_de_Valorización_de_Instrumentos[[#This Row],[CODIGO_ISIN]],'BD(MSCI)'!C:C,0)),"Cuestionario Integra")</f>
        <v>BU</v>
      </c>
      <c r="AU77" s="26"/>
    </row>
    <row r="78" spans="2:47" hidden="1" x14ac:dyDescent="0.25">
      <c r="B78" s="14" t="s">
        <v>6390</v>
      </c>
      <c r="C78" t="s">
        <v>249</v>
      </c>
      <c r="D78" t="s">
        <v>10</v>
      </c>
      <c r="E78" t="s">
        <v>250</v>
      </c>
      <c r="F78" t="s">
        <v>290</v>
      </c>
      <c r="G78" t="str">
        <f>INDEX(Parametria!H:H,MATCH(Tabla_Consulta_desde_Reporte_de_Valorización_de_Instrumentos[[#This Row],[CODIGO_SBS]],Parametria!C:C,0),1)</f>
        <v>Inversiones Nacionales de Turismo S.A.</v>
      </c>
      <c r="H78" t="s">
        <v>291</v>
      </c>
      <c r="I78" t="s">
        <v>292</v>
      </c>
      <c r="J78" t="s">
        <v>293</v>
      </c>
      <c r="K78" t="s">
        <v>50</v>
      </c>
      <c r="L78">
        <v>5000</v>
      </c>
      <c r="M78" s="5">
        <v>58341137.558402501</v>
      </c>
      <c r="N78">
        <v>17358784.122825</v>
      </c>
      <c r="O78">
        <v>3470</v>
      </c>
      <c r="P78" s="15">
        <v>50660</v>
      </c>
      <c r="Q78">
        <v>4638</v>
      </c>
      <c r="R78">
        <v>3.3609</v>
      </c>
      <c r="S78" t="s">
        <v>155</v>
      </c>
      <c r="T78">
        <v>58275762.276709497</v>
      </c>
      <c r="U78" s="5">
        <v>17330566.310803998</v>
      </c>
      <c r="V78" t="s">
        <v>294</v>
      </c>
      <c r="W78">
        <v>1692171000</v>
      </c>
      <c r="X78">
        <v>1063440000</v>
      </c>
      <c r="Y78">
        <v>628731000</v>
      </c>
      <c r="Z78">
        <v>8.1319342999999993</v>
      </c>
      <c r="AA78" t="str">
        <f>+MID(Tabla_Consulta_desde_Reporte_de_Valorización_de_Instrumentos[[#This Row],[CODIGO_SBS]],7,1)</f>
        <v>2</v>
      </c>
      <c r="AB78">
        <f>INDEX('Cálculo Caja'!F:F,MATCH(Tabla_Consulta_desde_Reporte_de_Valorización_de_Instrumentos[[#This Row],[PORTAFOLIO]],'Cálculo Caja'!A:A,0),1)</f>
        <v>26256910350.436607</v>
      </c>
      <c r="AC78" s="17">
        <f>Tabla_Consulta_desde_Reporte_de_Valorización_de_Instrumentos[[#This Row],[VALOR_VECTOR_LOCAL]]/Tabla_Consulta_desde_Reporte_de_Valorización_de_Instrumentos[[#This Row],[Patrimonio]]</f>
        <v>2.2219345985401663E-3</v>
      </c>
      <c r="AD78" s="4">
        <f>(Tabla_Consulta_desde_Reporte_de_Valorización_de_Instrumentos[[#This Row],[VALOR_VECTOR_LOCAL]]/INDEX('Tipo de Cambio'!$D:$D,MATCH("2",'Tipo de Cambio'!$E:$E,0),1))/1000000</f>
        <v>17.358784122824989</v>
      </c>
      <c r="AE78">
        <f>IF(Tabla_Consulta_desde_Reporte_de_Valorización_de_Instrumentos[[#This Row],[PORTAFOLIO]]="IN-FONDO0",Tabla_Consulta_desde_Reporte_de_Valorización_de_Instrumentos[[#This Row],[Inv MM$]],0)</f>
        <v>0</v>
      </c>
      <c r="AF78" s="26">
        <f>IF(Tabla_Consulta_desde_Reporte_de_Valorización_de_Instrumentos[[#This Row],[PORTAFOLIO]]="IN-FONDO1",Tabla_Consulta_desde_Reporte_de_Valorización_de_Instrumentos[[#This Row],[Inv MM$]],0)</f>
        <v>0</v>
      </c>
      <c r="AG78" s="26">
        <f>IF(Tabla_Consulta_desde_Reporte_de_Valorización_de_Instrumentos[[#This Row],[PORTAFOLIO]]="IN-FONDO2",Tabla_Consulta_desde_Reporte_de_Valorización_de_Instrumentos[[#This Row],[Inv MM$]],0)</f>
        <v>17.358784122824989</v>
      </c>
      <c r="AH78" s="26">
        <f>IF(Tabla_Consulta_desde_Reporte_de_Valorización_de_Instrumentos[[#This Row],[PORTAFOLIO]]="IN-FONDO3",Tabla_Consulta_desde_Reporte_de_Valorización_de_Instrumentos[[#This Row],[Inv MM$]],0)</f>
        <v>0</v>
      </c>
      <c r="AI7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34.717568245649979</v>
      </c>
      <c r="AJ78" s="26">
        <f>IFERROR(IFERROR(INDEX('BD(MSCI)'!$T:$T,MATCH(Tabla_Consulta_desde_Reporte_de_Valorización_de_Instrumentos[[#This Row],[CODIGO_ISIN]],'BD(MSCI)'!$C:$C,0),1),INDEX('BD(MSCI)'!$T:$T,MATCH(Tabla_Consulta_desde_Reporte_de_Valorización_de_Instrumentos[[#This Row],[CODIGO_SBS]],'BD(MSCI)'!$C:$C,0),1)),0)</f>
        <v>12.22765594</v>
      </c>
      <c r="AK78" s="26">
        <f>Tabla_Consulta_desde_Reporte_de_Valorización_de_Instrumentos[[#This Row],[C02-H]]*Tabla_Consulta_desde_Reporte_de_Valorización_de_Instrumentos[[#This Row],[Inv MM$]]</f>
        <v>212.25723979063866</v>
      </c>
      <c r="AL78" s="26">
        <f>Tabla_Consulta_desde_Reporte_de_Valorización_de_Instrumentos[[#This Row],[C02-H]]*Tabla_Consulta_desde_Reporte_de_Valorización_de_Instrumentos[[#This Row],[Weight]]</f>
        <v>2.716905179213118E-2</v>
      </c>
      <c r="AM78" s="26" t="str">
        <f>INDEX(Parametria!G:G,MATCH(Tabla_Consulta_desde_Reporte_de_Valorización_de_Instrumentos[[#This Row],[CODIGO_SBS]],Parametria!C:C,0))</f>
        <v>22RFLC</v>
      </c>
      <c r="AN78" s="26" t="str">
        <f>INDEX(Parametria!F:F,MATCH(Tabla_Consulta_desde_Reporte_de_Valorización_de_Instrumentos[[#This Row],[CODIGO_SBS]],Parametria!C:C,0))</f>
        <v>BU</v>
      </c>
      <c r="AO78" s="26" t="str">
        <f>+INDEX(Parametria!J:J,MATCH(Tabla_Consulta_desde_Reporte_de_Valorización_de_Instrumentos[[#This Row],[CODIGO_SBS]],Parametria!C:C,0))</f>
        <v>RFLBU</v>
      </c>
      <c r="AP78" s="26">
        <f>Tabla_Consulta_desde_Reporte_de_Valorización_de_Instrumentos[[#This Row],[Huella]]/$AU$4</f>
        <v>1.9677259621013094E-2</v>
      </c>
      <c r="AQ78" s="26" t="str">
        <f>IFERROR(INDEX('BD(MSCI)'!W:W,MATCH(Tabla_Consulta_desde_Reporte_de_Valorización_de_Instrumentos[[#This Row],[CODIGO_ISIN]],'BD(MSCI)'!C:C,0)),IF(Tabla_Consulta_desde_Reporte_de_Valorización_de_Instrumentos[[#This Row],[Rank_rt]]="Cash","Cash","Cuestionario Integra"))</f>
        <v>Proxies</v>
      </c>
      <c r="AR78" s="26" t="str">
        <f>IFERROR(INDEX('BD(MSCI)'!X:X,MATCH(Tabla_Consulta_desde_Reporte_de_Valorización_de_Instrumentos[[#This Row],[CODIGO_ISIN]],'BD(MSCI)'!C:C,0)),"Cuestionario Integra")</f>
        <v>BU</v>
      </c>
      <c r="AU78" s="26"/>
    </row>
    <row r="79" spans="2:47" hidden="1" x14ac:dyDescent="0.25">
      <c r="B79" s="14" t="s">
        <v>6390</v>
      </c>
      <c r="C79" t="s">
        <v>249</v>
      </c>
      <c r="D79" t="s">
        <v>12</v>
      </c>
      <c r="E79" t="s">
        <v>250</v>
      </c>
      <c r="F79" t="s">
        <v>290</v>
      </c>
      <c r="G79" t="str">
        <f>INDEX(Parametria!H:H,MATCH(Tabla_Consulta_desde_Reporte_de_Valorización_de_Instrumentos[[#This Row],[CODIGO_SBS]],Parametria!C:C,0),1)</f>
        <v>Inversiones Nacionales de Turismo S.A.</v>
      </c>
      <c r="H79" t="s">
        <v>291</v>
      </c>
      <c r="I79" t="s">
        <v>292</v>
      </c>
      <c r="J79" t="s">
        <v>293</v>
      </c>
      <c r="K79" t="s">
        <v>50</v>
      </c>
      <c r="L79">
        <v>5000</v>
      </c>
      <c r="M79" s="5">
        <v>58341137.558402501</v>
      </c>
      <c r="N79">
        <v>17358784.122825</v>
      </c>
      <c r="O79">
        <v>3470</v>
      </c>
      <c r="P79" s="15">
        <v>50660</v>
      </c>
      <c r="Q79">
        <v>4638</v>
      </c>
      <c r="R79">
        <v>3.3609</v>
      </c>
      <c r="S79" t="s">
        <v>155</v>
      </c>
      <c r="T79">
        <v>58275762.276709497</v>
      </c>
      <c r="U79" s="5">
        <v>17330566.310803998</v>
      </c>
      <c r="V79" t="s">
        <v>294</v>
      </c>
      <c r="W79">
        <v>1692171000</v>
      </c>
      <c r="X79">
        <v>1063440000</v>
      </c>
      <c r="Y79">
        <v>628731000</v>
      </c>
      <c r="Z79">
        <v>8.1319342999999993</v>
      </c>
      <c r="AA79" t="str">
        <f>+MID(Tabla_Consulta_desde_Reporte_de_Valorización_de_Instrumentos[[#This Row],[CODIGO_SBS]],7,1)</f>
        <v>2</v>
      </c>
      <c r="AB79">
        <f>INDEX('Cálculo Caja'!F:F,MATCH(Tabla_Consulta_desde_Reporte_de_Valorización_de_Instrumentos[[#This Row],[PORTAFOLIO]],'Cálculo Caja'!A:A,0),1)</f>
        <v>7679510866.0565634</v>
      </c>
      <c r="AC79" s="17">
        <f>Tabla_Consulta_desde_Reporte_de_Valorización_de_Instrumentos[[#This Row],[VALOR_VECTOR_LOCAL]]/Tabla_Consulta_desde_Reporte_de_Valorización_de_Instrumentos[[#This Row],[Patrimonio]]</f>
        <v>7.5969861330973977E-3</v>
      </c>
      <c r="AD79" s="4">
        <f>(Tabla_Consulta_desde_Reporte_de_Valorización_de_Instrumentos[[#This Row],[VALOR_VECTOR_LOCAL]]/INDEX('Tipo de Cambio'!$D:$D,MATCH("2",'Tipo de Cambio'!$E:$E,0),1))/1000000</f>
        <v>17.358784122824989</v>
      </c>
      <c r="AE79">
        <f>IF(Tabla_Consulta_desde_Reporte_de_Valorización_de_Instrumentos[[#This Row],[PORTAFOLIO]]="IN-FONDO0",Tabla_Consulta_desde_Reporte_de_Valorización_de_Instrumentos[[#This Row],[Inv MM$]],0)</f>
        <v>0</v>
      </c>
      <c r="AF79" s="26">
        <f>IF(Tabla_Consulta_desde_Reporte_de_Valorización_de_Instrumentos[[#This Row],[PORTAFOLIO]]="IN-FONDO1",Tabla_Consulta_desde_Reporte_de_Valorización_de_Instrumentos[[#This Row],[Inv MM$]],0)</f>
        <v>17.358784122824989</v>
      </c>
      <c r="AG79" s="26">
        <f>IF(Tabla_Consulta_desde_Reporte_de_Valorización_de_Instrumentos[[#This Row],[PORTAFOLIO]]="IN-FONDO2",Tabla_Consulta_desde_Reporte_de_Valorización_de_Instrumentos[[#This Row],[Inv MM$]],0)</f>
        <v>0</v>
      </c>
      <c r="AH79" s="26">
        <f>IF(Tabla_Consulta_desde_Reporte_de_Valorización_de_Instrumentos[[#This Row],[PORTAFOLIO]]="IN-FONDO3",Tabla_Consulta_desde_Reporte_de_Valorización_de_Instrumentos[[#This Row],[Inv MM$]],0)</f>
        <v>0</v>
      </c>
      <c r="AI7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34.717568245649979</v>
      </c>
      <c r="AJ79" s="26">
        <f>IFERROR(IFERROR(INDEX('BD(MSCI)'!$T:$T,MATCH(Tabla_Consulta_desde_Reporte_de_Valorización_de_Instrumentos[[#This Row],[CODIGO_ISIN]],'BD(MSCI)'!$C:$C,0),1),INDEX('BD(MSCI)'!$T:$T,MATCH(Tabla_Consulta_desde_Reporte_de_Valorización_de_Instrumentos[[#This Row],[CODIGO_SBS]],'BD(MSCI)'!$C:$C,0),1)),0)</f>
        <v>12.22765594</v>
      </c>
      <c r="AK79" s="26">
        <f>Tabla_Consulta_desde_Reporte_de_Valorización_de_Instrumentos[[#This Row],[C02-H]]*Tabla_Consulta_desde_Reporte_de_Valorización_de_Instrumentos[[#This Row],[Inv MM$]]</f>
        <v>212.25723979063866</v>
      </c>
      <c r="AL79" s="26">
        <f>Tabla_Consulta_desde_Reporte_de_Valorización_de_Instrumentos[[#This Row],[C02-H]]*Tabla_Consulta_desde_Reporte_de_Valorización_de_Instrumentos[[#This Row],[Weight]]</f>
        <v>9.2893332616466026E-2</v>
      </c>
      <c r="AM79" s="26" t="str">
        <f>INDEX(Parametria!G:G,MATCH(Tabla_Consulta_desde_Reporte_de_Valorización_de_Instrumentos[[#This Row],[CODIGO_SBS]],Parametria!C:C,0))</f>
        <v>22RFLC</v>
      </c>
      <c r="AN79" s="26" t="str">
        <f>INDEX(Parametria!F:F,MATCH(Tabla_Consulta_desde_Reporte_de_Valorización_de_Instrumentos[[#This Row],[CODIGO_SBS]],Parametria!C:C,0))</f>
        <v>BU</v>
      </c>
      <c r="AO79" s="26" t="str">
        <f>+INDEX(Parametria!J:J,MATCH(Tabla_Consulta_desde_Reporte_de_Valorización_de_Instrumentos[[#This Row],[CODIGO_SBS]],Parametria!C:C,0))</f>
        <v>RFLBU</v>
      </c>
      <c r="AP79" s="26">
        <f>Tabla_Consulta_desde_Reporte_de_Valorización_de_Instrumentos[[#This Row],[Huella]]/$AU$4</f>
        <v>1.9677259621013094E-2</v>
      </c>
      <c r="AQ79" s="26" t="str">
        <f>IFERROR(INDEX('BD(MSCI)'!W:W,MATCH(Tabla_Consulta_desde_Reporte_de_Valorización_de_Instrumentos[[#This Row],[CODIGO_ISIN]],'BD(MSCI)'!C:C,0)),IF(Tabla_Consulta_desde_Reporte_de_Valorización_de_Instrumentos[[#This Row],[Rank_rt]]="Cash","Cash","Cuestionario Integra"))</f>
        <v>Proxies</v>
      </c>
      <c r="AR79" s="26" t="str">
        <f>IFERROR(INDEX('BD(MSCI)'!X:X,MATCH(Tabla_Consulta_desde_Reporte_de_Valorización_de_Instrumentos[[#This Row],[CODIGO_ISIN]],'BD(MSCI)'!C:C,0)),"Cuestionario Integra")</f>
        <v>BU</v>
      </c>
      <c r="AU79" s="26"/>
    </row>
    <row r="80" spans="2:47" hidden="1" x14ac:dyDescent="0.25">
      <c r="B80" s="14" t="s">
        <v>6390</v>
      </c>
      <c r="C80" t="s">
        <v>249</v>
      </c>
      <c r="D80" t="s">
        <v>12</v>
      </c>
      <c r="E80" t="s">
        <v>250</v>
      </c>
      <c r="F80" t="s">
        <v>297</v>
      </c>
      <c r="G80" t="str">
        <f>INDEX(Parametria!H:H,MATCH(Tabla_Consulta_desde_Reporte_de_Valorización_de_Instrumentos[[#This Row],[CODIGO_SBS]],Parametria!C:C,0),1)</f>
        <v>Tecsup</v>
      </c>
      <c r="H80" t="s">
        <v>298</v>
      </c>
      <c r="I80" t="s">
        <v>299</v>
      </c>
      <c r="J80" t="s">
        <v>300</v>
      </c>
      <c r="K80" t="s">
        <v>90</v>
      </c>
      <c r="L80">
        <v>10000</v>
      </c>
      <c r="M80" s="5">
        <v>1764204.2864099999</v>
      </c>
      <c r="N80">
        <v>1764204.2864099999</v>
      </c>
      <c r="O80">
        <v>180</v>
      </c>
      <c r="P80" s="15">
        <v>49221</v>
      </c>
      <c r="Q80">
        <v>3199</v>
      </c>
      <c r="R80">
        <v>1</v>
      </c>
      <c r="S80" t="s">
        <v>155</v>
      </c>
      <c r="T80">
        <v>1760024.479914</v>
      </c>
      <c r="U80" s="5">
        <v>1760024.479914</v>
      </c>
      <c r="V80" t="s">
        <v>156</v>
      </c>
      <c r="W80">
        <v>208079720</v>
      </c>
      <c r="X80">
        <v>112987535</v>
      </c>
      <c r="Y80">
        <v>95092185</v>
      </c>
      <c r="Z80">
        <v>23.221147200000001</v>
      </c>
      <c r="AA80" t="str">
        <f>+MID(Tabla_Consulta_desde_Reporte_de_Valorización_de_Instrumentos[[#This Row],[CODIGO_SBS]],7,1)</f>
        <v>1</v>
      </c>
      <c r="AB80">
        <f>INDEX('Cálculo Caja'!F:F,MATCH(Tabla_Consulta_desde_Reporte_de_Valorización_de_Instrumentos[[#This Row],[PORTAFOLIO]],'Cálculo Caja'!A:A,0),1)</f>
        <v>7679510866.0565634</v>
      </c>
      <c r="AC80" s="17">
        <f>Tabla_Consulta_desde_Reporte_de_Valorización_de_Instrumentos[[#This Row],[VALOR_VECTOR_LOCAL]]/Tabla_Consulta_desde_Reporte_de_Valorización_de_Instrumentos[[#This Row],[Patrimonio]]</f>
        <v>2.2972873105861242E-4</v>
      </c>
      <c r="AD80" s="4">
        <f>(Tabla_Consulta_desde_Reporte_de_Valorización_de_Instrumentos[[#This Row],[VALOR_VECTOR_LOCAL]]/INDEX('Tipo de Cambio'!$D:$D,MATCH("2",'Tipo de Cambio'!$E:$E,0),1))/1000000</f>
        <v>0.52492019590288319</v>
      </c>
      <c r="AE80">
        <f>IF(Tabla_Consulta_desde_Reporte_de_Valorización_de_Instrumentos[[#This Row],[PORTAFOLIO]]="IN-FONDO0",Tabla_Consulta_desde_Reporte_de_Valorización_de_Instrumentos[[#This Row],[Inv MM$]],0)</f>
        <v>0</v>
      </c>
      <c r="AF80" s="26">
        <f>IF(Tabla_Consulta_desde_Reporte_de_Valorización_de_Instrumentos[[#This Row],[PORTAFOLIO]]="IN-FONDO1",Tabla_Consulta_desde_Reporte_de_Valorización_de_Instrumentos[[#This Row],[Inv MM$]],0)</f>
        <v>0.52492019590288319</v>
      </c>
      <c r="AG80" s="26">
        <f>IF(Tabla_Consulta_desde_Reporte_de_Valorización_de_Instrumentos[[#This Row],[PORTAFOLIO]]="IN-FONDO2",Tabla_Consulta_desde_Reporte_de_Valorización_de_Instrumentos[[#This Row],[Inv MM$]],0)</f>
        <v>0</v>
      </c>
      <c r="AH80" s="26">
        <f>IF(Tabla_Consulta_desde_Reporte_de_Valorización_de_Instrumentos[[#This Row],[PORTAFOLIO]]="IN-FONDO3",Tabla_Consulta_desde_Reporte_de_Valorización_de_Instrumentos[[#This Row],[Inv MM$]],0)</f>
        <v>0</v>
      </c>
      <c r="AI8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0.52492019590288319</v>
      </c>
      <c r="AJ80" s="26">
        <f>IFERROR(IFERROR(INDEX('BD(MSCI)'!$T:$T,MATCH(Tabla_Consulta_desde_Reporte_de_Valorización_de_Instrumentos[[#This Row],[CODIGO_ISIN]],'BD(MSCI)'!$C:$C,0),1),INDEX('BD(MSCI)'!$T:$T,MATCH(Tabla_Consulta_desde_Reporte_de_Valorización_de_Instrumentos[[#This Row],[CODIGO_SBS]],'BD(MSCI)'!$C:$C,0),1)),0)</f>
        <v>12.22765594</v>
      </c>
      <c r="AK80" s="26">
        <f>Tabla_Consulta_desde_Reporte_de_Valorización_de_Instrumentos[[#This Row],[C02-H]]*Tabla_Consulta_desde_Reporte_de_Valorización_de_Instrumentos[[#This Row],[Inv MM$]]</f>
        <v>6.4185435514578533</v>
      </c>
      <c r="AL80" s="26">
        <f>Tabla_Consulta_desde_Reporte_de_Valorización_de_Instrumentos[[#This Row],[C02-H]]*Tabla_Consulta_desde_Reporte_de_Valorización_de_Instrumentos[[#This Row],[Weight]]</f>
        <v>2.8090438829175045E-3</v>
      </c>
      <c r="AM80" s="26" t="str">
        <f>INDEX(Parametria!G:G,MATCH(Tabla_Consulta_desde_Reporte_de_Valorización_de_Instrumentos[[#This Row],[CODIGO_SBS]],Parametria!C:C,0))</f>
        <v>22RFLC</v>
      </c>
      <c r="AN80" s="26" t="str">
        <f>INDEX(Parametria!F:F,MATCH(Tabla_Consulta_desde_Reporte_de_Valorización_de_Instrumentos[[#This Row],[CODIGO_SBS]],Parametria!C:C,0))</f>
        <v>BU</v>
      </c>
      <c r="AO80" s="26" t="str">
        <f>+INDEX(Parametria!J:J,MATCH(Tabla_Consulta_desde_Reporte_de_Valorización_de_Instrumentos[[#This Row],[CODIGO_SBS]],Parametria!C:C,0))</f>
        <v>RFLBU</v>
      </c>
      <c r="AP80" s="26">
        <f>Tabla_Consulta_desde_Reporte_de_Valorización_de_Instrumentos[[#This Row],[Huella]]/$AU$4</f>
        <v>5.9502963468003169E-4</v>
      </c>
      <c r="AQ80" s="26" t="str">
        <f>IFERROR(INDEX('BD(MSCI)'!W:W,MATCH(Tabla_Consulta_desde_Reporte_de_Valorización_de_Instrumentos[[#This Row],[CODIGO_ISIN]],'BD(MSCI)'!C:C,0)),IF(Tabla_Consulta_desde_Reporte_de_Valorización_de_Instrumentos[[#This Row],[Rank_rt]]="Cash","Cash","Cuestionario Integra"))</f>
        <v>Proxies</v>
      </c>
      <c r="AR80" s="26" t="str">
        <f>IFERROR(INDEX('BD(MSCI)'!X:X,MATCH(Tabla_Consulta_desde_Reporte_de_Valorización_de_Instrumentos[[#This Row],[CODIGO_ISIN]],'BD(MSCI)'!C:C,0)),"Cuestionario Integra")</f>
        <v>BU</v>
      </c>
      <c r="AU80" s="26"/>
    </row>
    <row r="81" spans="2:47" hidden="1" x14ac:dyDescent="0.25">
      <c r="B81" s="14" t="s">
        <v>6390</v>
      </c>
      <c r="C81" t="s">
        <v>249</v>
      </c>
      <c r="D81" t="s">
        <v>12</v>
      </c>
      <c r="E81" t="s">
        <v>250</v>
      </c>
      <c r="F81" t="s">
        <v>914</v>
      </c>
      <c r="G81" t="str">
        <f>INDEX(Parametria!H:H,MATCH(Tabla_Consulta_desde_Reporte_de_Valorización_de_Instrumentos[[#This Row],[CODIGO_SBS]],Parametria!C:C,0),1)</f>
        <v>Site del Perú</v>
      </c>
      <c r="H81" t="s">
        <v>915</v>
      </c>
      <c r="I81" t="s">
        <v>4849</v>
      </c>
      <c r="J81" t="s">
        <v>4850</v>
      </c>
      <c r="K81" t="s">
        <v>90</v>
      </c>
      <c r="L81">
        <v>1000</v>
      </c>
      <c r="M81" s="5">
        <v>82812605.391399994</v>
      </c>
      <c r="N81">
        <v>82812605.391399994</v>
      </c>
      <c r="O81">
        <v>75800</v>
      </c>
      <c r="P81" s="15">
        <v>48843</v>
      </c>
      <c r="Q81">
        <v>2821</v>
      </c>
      <c r="R81">
        <v>1</v>
      </c>
      <c r="S81" t="s">
        <v>155</v>
      </c>
      <c r="T81">
        <v>82276436.213799998</v>
      </c>
      <c r="U81" s="5">
        <v>82276436.213799998</v>
      </c>
      <c r="V81" t="s">
        <v>4851</v>
      </c>
      <c r="W81">
        <v>378150000</v>
      </c>
      <c r="X81">
        <v>380055000</v>
      </c>
      <c r="Y81">
        <v>0</v>
      </c>
      <c r="Z81">
        <v>7.0734719999999998</v>
      </c>
      <c r="AA81" t="str">
        <f>+MID(Tabla_Consulta_desde_Reporte_de_Valorización_de_Instrumentos[[#This Row],[CODIGO_SBS]],7,1)</f>
        <v>1</v>
      </c>
      <c r="AB81">
        <f>INDEX('Cálculo Caja'!F:F,MATCH(Tabla_Consulta_desde_Reporte_de_Valorización_de_Instrumentos[[#This Row],[PORTAFOLIO]],'Cálculo Caja'!A:A,0),1)</f>
        <v>7679510866.0565634</v>
      </c>
      <c r="AC81" s="17">
        <f>Tabla_Consulta_desde_Reporte_de_Valorización_de_Instrumentos[[#This Row],[VALOR_VECTOR_LOCAL]]/Tabla_Consulta_desde_Reporte_de_Valorización_de_Instrumentos[[#This Row],[Patrimonio]]</f>
        <v>1.0783578125715232E-2</v>
      </c>
      <c r="AD81" s="4">
        <f>(Tabla_Consulta_desde_Reporte_de_Valorización_de_Instrumentos[[#This Row],[VALOR_VECTOR_LOCAL]]/INDEX('Tipo de Cambio'!$D:$D,MATCH("2",'Tipo de Cambio'!$E:$E,0),1))/1000000</f>
        <v>24.640008745098037</v>
      </c>
      <c r="AE81">
        <f>IF(Tabla_Consulta_desde_Reporte_de_Valorización_de_Instrumentos[[#This Row],[PORTAFOLIO]]="IN-FONDO0",Tabla_Consulta_desde_Reporte_de_Valorización_de_Instrumentos[[#This Row],[Inv MM$]],0)</f>
        <v>0</v>
      </c>
      <c r="AF81" s="26">
        <f>IF(Tabla_Consulta_desde_Reporte_de_Valorización_de_Instrumentos[[#This Row],[PORTAFOLIO]]="IN-FONDO1",Tabla_Consulta_desde_Reporte_de_Valorización_de_Instrumentos[[#This Row],[Inv MM$]],0)</f>
        <v>24.640008745098037</v>
      </c>
      <c r="AG81" s="26">
        <f>IF(Tabla_Consulta_desde_Reporte_de_Valorización_de_Instrumentos[[#This Row],[PORTAFOLIO]]="IN-FONDO2",Tabla_Consulta_desde_Reporte_de_Valorización_de_Instrumentos[[#This Row],[Inv MM$]],0)</f>
        <v>0</v>
      </c>
      <c r="AH81" s="26">
        <f>IF(Tabla_Consulta_desde_Reporte_de_Valorización_de_Instrumentos[[#This Row],[PORTAFOLIO]]="IN-FONDO3",Tabla_Consulta_desde_Reporte_de_Valorización_de_Instrumentos[[#This Row],[Inv MM$]],0)</f>
        <v>0</v>
      </c>
      <c r="AI8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65.988413921568622</v>
      </c>
      <c r="AJ81" s="26">
        <f>IFERROR(IFERROR(INDEX('BD(MSCI)'!$T:$T,MATCH(Tabla_Consulta_desde_Reporte_de_Valorización_de_Instrumentos[[#This Row],[CODIGO_ISIN]],'BD(MSCI)'!$C:$C,0),1),INDEX('BD(MSCI)'!$T:$T,MATCH(Tabla_Consulta_desde_Reporte_de_Valorización_de_Instrumentos[[#This Row],[CODIGO_SBS]],'BD(MSCI)'!$C:$C,0),1)),0)</f>
        <v>4.2379654499999999</v>
      </c>
      <c r="AK81" s="26">
        <f>Tabla_Consulta_desde_Reporte_de_Valorización_de_Instrumentos[[#This Row],[C02-H]]*Tabla_Consulta_desde_Reporte_de_Valorización_de_Instrumentos[[#This Row],[Inv MM$]]</f>
        <v>104.42350574942333</v>
      </c>
      <c r="AL81" s="26">
        <f>Tabla_Consulta_desde_Reporte_de_Valorización_de_Instrumentos[[#This Row],[C02-H]]*Tabla_Consulta_desde_Reporte_de_Valorización_de_Instrumentos[[#This Row],[Weight]]</f>
        <v>4.5700431524156905E-2</v>
      </c>
      <c r="AM81" s="26" t="str">
        <f>INDEX(Parametria!G:G,MATCH(Tabla_Consulta_desde_Reporte_de_Valorización_de_Instrumentos[[#This Row],[CODIGO_SBS]],Parametria!C:C,0))</f>
        <v>22RFLC</v>
      </c>
      <c r="AN81" s="26" t="str">
        <f>INDEX(Parametria!F:F,MATCH(Tabla_Consulta_desde_Reporte_de_Valorización_de_Instrumentos[[#This Row],[CODIGO_SBS]],Parametria!C:C,0))</f>
        <v>BU</v>
      </c>
      <c r="AO81" s="26" t="str">
        <f>+INDEX(Parametria!J:J,MATCH(Tabla_Consulta_desde_Reporte_de_Valorización_de_Instrumentos[[#This Row],[CODIGO_SBS]],Parametria!C:C,0))</f>
        <v>RFLBU</v>
      </c>
      <c r="AP81" s="26">
        <f>Tabla_Consulta_desde_Reporte_de_Valorización_de_Instrumentos[[#This Row],[Huella]]/$AU$4</f>
        <v>9.6805575875503272E-3</v>
      </c>
      <c r="AQ81" s="26" t="str">
        <f>IFERROR(INDEX('BD(MSCI)'!W:W,MATCH(Tabla_Consulta_desde_Reporte_de_Valorización_de_Instrumentos[[#This Row],[CODIGO_ISIN]],'BD(MSCI)'!C:C,0)),IF(Tabla_Consulta_desde_Reporte_de_Valorización_de_Instrumentos[[#This Row],[Rank_rt]]="Cash","Cash","Cuestionario Integra"))</f>
        <v>Proxies</v>
      </c>
      <c r="AR81" s="26" t="str">
        <f>IFERROR(INDEX('BD(MSCI)'!X:X,MATCH(Tabla_Consulta_desde_Reporte_de_Valorización_de_Instrumentos[[#This Row],[CODIGO_ISIN]],'BD(MSCI)'!C:C,0)),"Cuestionario Integra")</f>
        <v>BU</v>
      </c>
      <c r="AU81" s="26"/>
    </row>
    <row r="82" spans="2:47" hidden="1" x14ac:dyDescent="0.25">
      <c r="B82" s="14" t="s">
        <v>6390</v>
      </c>
      <c r="C82" t="s">
        <v>249</v>
      </c>
      <c r="D82" t="s">
        <v>10</v>
      </c>
      <c r="E82" t="s">
        <v>250</v>
      </c>
      <c r="F82" t="s">
        <v>914</v>
      </c>
      <c r="G82" t="str">
        <f>INDEX(Parametria!H:H,MATCH(Tabla_Consulta_desde_Reporte_de_Valorización_de_Instrumentos[[#This Row],[CODIGO_SBS]],Parametria!C:C,0),1)</f>
        <v>Site del Perú</v>
      </c>
      <c r="H82" t="s">
        <v>915</v>
      </c>
      <c r="I82" t="s">
        <v>4849</v>
      </c>
      <c r="J82" t="s">
        <v>4850</v>
      </c>
      <c r="K82" t="s">
        <v>90</v>
      </c>
      <c r="L82">
        <v>1000</v>
      </c>
      <c r="M82" s="5">
        <v>138967854.9576</v>
      </c>
      <c r="N82">
        <v>138967854.9576</v>
      </c>
      <c r="O82">
        <v>127200</v>
      </c>
      <c r="P82" s="15">
        <v>48843</v>
      </c>
      <c r="Q82">
        <v>2821</v>
      </c>
      <c r="R82">
        <v>1</v>
      </c>
      <c r="S82" t="s">
        <v>155</v>
      </c>
      <c r="T82">
        <v>138068109.31920001</v>
      </c>
      <c r="U82" s="5">
        <v>138068109.31920001</v>
      </c>
      <c r="V82" t="s">
        <v>4851</v>
      </c>
      <c r="W82">
        <v>378150000</v>
      </c>
      <c r="X82">
        <v>380055000</v>
      </c>
      <c r="Y82">
        <v>0</v>
      </c>
      <c r="Z82">
        <v>7.0734719999999998</v>
      </c>
      <c r="AA82" t="str">
        <f>+MID(Tabla_Consulta_desde_Reporte_de_Valorización_de_Instrumentos[[#This Row],[CODIGO_SBS]],7,1)</f>
        <v>1</v>
      </c>
      <c r="AB82">
        <f>INDEX('Cálculo Caja'!F:F,MATCH(Tabla_Consulta_desde_Reporte_de_Valorización_de_Instrumentos[[#This Row],[PORTAFOLIO]],'Cálculo Caja'!A:A,0),1)</f>
        <v>26256910350.436607</v>
      </c>
      <c r="AC82" s="17">
        <f>Tabla_Consulta_desde_Reporte_de_Valorización_de_Instrumentos[[#This Row],[VALOR_VECTOR_LOCAL]]/Tabla_Consulta_desde_Reporte_de_Valorización_de_Instrumentos[[#This Row],[Patrimonio]]</f>
        <v>5.2926202322692243E-3</v>
      </c>
      <c r="AD82" s="4">
        <f>(Tabla_Consulta_desde_Reporte_de_Valorización_de_Instrumentos[[#This Row],[VALOR_VECTOR_LOCAL]]/INDEX('Tipo de Cambio'!$D:$D,MATCH("2",'Tipo de Cambio'!$E:$E,0),1))/1000000</f>
        <v>41.348405176470585</v>
      </c>
      <c r="AE82">
        <f>IF(Tabla_Consulta_desde_Reporte_de_Valorización_de_Instrumentos[[#This Row],[PORTAFOLIO]]="IN-FONDO0",Tabla_Consulta_desde_Reporte_de_Valorización_de_Instrumentos[[#This Row],[Inv MM$]],0)</f>
        <v>0</v>
      </c>
      <c r="AF82" s="26">
        <f>IF(Tabla_Consulta_desde_Reporte_de_Valorización_de_Instrumentos[[#This Row],[PORTAFOLIO]]="IN-FONDO1",Tabla_Consulta_desde_Reporte_de_Valorización_de_Instrumentos[[#This Row],[Inv MM$]],0)</f>
        <v>0</v>
      </c>
      <c r="AG82" s="26">
        <f>IF(Tabla_Consulta_desde_Reporte_de_Valorización_de_Instrumentos[[#This Row],[PORTAFOLIO]]="IN-FONDO2",Tabla_Consulta_desde_Reporte_de_Valorización_de_Instrumentos[[#This Row],[Inv MM$]],0)</f>
        <v>41.348405176470585</v>
      </c>
      <c r="AH82" s="26">
        <f>IF(Tabla_Consulta_desde_Reporte_de_Valorización_de_Instrumentos[[#This Row],[PORTAFOLIO]]="IN-FONDO3",Tabla_Consulta_desde_Reporte_de_Valorización_de_Instrumentos[[#This Row],[Inv MM$]],0)</f>
        <v>0</v>
      </c>
      <c r="AI8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65.988413921568622</v>
      </c>
      <c r="AJ82" s="26">
        <f>IFERROR(IFERROR(INDEX('BD(MSCI)'!$T:$T,MATCH(Tabla_Consulta_desde_Reporte_de_Valorización_de_Instrumentos[[#This Row],[CODIGO_ISIN]],'BD(MSCI)'!$C:$C,0),1),INDEX('BD(MSCI)'!$T:$T,MATCH(Tabla_Consulta_desde_Reporte_de_Valorización_de_Instrumentos[[#This Row],[CODIGO_SBS]],'BD(MSCI)'!$C:$C,0),1)),0)</f>
        <v>4.2379654499999999</v>
      </c>
      <c r="AK82" s="26">
        <f>Tabla_Consulta_desde_Reporte_de_Valorización_de_Instrumentos[[#This Row],[C02-H]]*Tabla_Consulta_desde_Reporte_de_Valorización_de_Instrumentos[[#This Row],[Inv MM$]]</f>
        <v>175.2331125504835</v>
      </c>
      <c r="AL82" s="26">
        <f>Tabla_Consulta_desde_Reporte_de_Valorización_de_Instrumentos[[#This Row],[C02-H]]*Tabla_Consulta_desde_Reporte_de_Valorización_de_Instrumentos[[#This Row],[Weight]]</f>
        <v>2.2429941684327947E-2</v>
      </c>
      <c r="AM82" s="26" t="str">
        <f>INDEX(Parametria!G:G,MATCH(Tabla_Consulta_desde_Reporte_de_Valorización_de_Instrumentos[[#This Row],[CODIGO_SBS]],Parametria!C:C,0))</f>
        <v>22RFLC</v>
      </c>
      <c r="AN82" s="26" t="str">
        <f>INDEX(Parametria!F:F,MATCH(Tabla_Consulta_desde_Reporte_de_Valorización_de_Instrumentos[[#This Row],[CODIGO_SBS]],Parametria!C:C,0))</f>
        <v>BU</v>
      </c>
      <c r="AO82" s="26" t="str">
        <f>+INDEX(Parametria!J:J,MATCH(Tabla_Consulta_desde_Reporte_de_Valorización_de_Instrumentos[[#This Row],[CODIGO_SBS]],Parametria!C:C,0))</f>
        <v>RFLBU</v>
      </c>
      <c r="AP82" s="26">
        <f>Tabla_Consulta_desde_Reporte_de_Valorización_de_Instrumentos[[#This Row],[Huella]]/$AU$4</f>
        <v>1.6244946241905037E-2</v>
      </c>
      <c r="AQ82" s="26" t="str">
        <f>IFERROR(INDEX('BD(MSCI)'!W:W,MATCH(Tabla_Consulta_desde_Reporte_de_Valorización_de_Instrumentos[[#This Row],[CODIGO_ISIN]],'BD(MSCI)'!C:C,0)),IF(Tabla_Consulta_desde_Reporte_de_Valorización_de_Instrumentos[[#This Row],[Rank_rt]]="Cash","Cash","Cuestionario Integra"))</f>
        <v>Proxies</v>
      </c>
      <c r="AR82" s="26" t="str">
        <f>IFERROR(INDEX('BD(MSCI)'!X:X,MATCH(Tabla_Consulta_desde_Reporte_de_Valorización_de_Instrumentos[[#This Row],[CODIGO_ISIN]],'BD(MSCI)'!C:C,0)),"Cuestionario Integra")</f>
        <v>BU</v>
      </c>
      <c r="AU82" s="26"/>
    </row>
    <row r="83" spans="2:47" hidden="1" x14ac:dyDescent="0.25">
      <c r="B83" s="14" t="s">
        <v>6390</v>
      </c>
      <c r="C83" t="s">
        <v>249</v>
      </c>
      <c r="D83" t="s">
        <v>10</v>
      </c>
      <c r="E83" t="s">
        <v>250</v>
      </c>
      <c r="F83" t="s">
        <v>6168</v>
      </c>
      <c r="G83" t="str">
        <f>INDEX(Parametria!H:H,MATCH(Tabla_Consulta_desde_Reporte_de_Valorización_de_Instrumentos[[#This Row],[CODIGO_SBS]],Parametria!C:C,0),1)</f>
        <v xml:space="preserve">Alicorp </v>
      </c>
      <c r="H83" t="s">
        <v>6167</v>
      </c>
      <c r="I83" t="s">
        <v>6406</v>
      </c>
      <c r="J83" t="s">
        <v>301</v>
      </c>
      <c r="K83" t="s">
        <v>90</v>
      </c>
      <c r="L83">
        <v>1000</v>
      </c>
      <c r="M83" s="5">
        <v>124228632.0528</v>
      </c>
      <c r="N83">
        <v>124228632.0528</v>
      </c>
      <c r="O83">
        <v>118800</v>
      </c>
      <c r="P83" s="15">
        <v>48381</v>
      </c>
      <c r="Q83">
        <v>2359</v>
      </c>
      <c r="R83">
        <v>1</v>
      </c>
      <c r="S83" t="s">
        <v>155</v>
      </c>
      <c r="T83">
        <v>124158210.0264</v>
      </c>
      <c r="U83" s="5">
        <v>124158210.0264</v>
      </c>
      <c r="V83" t="s">
        <v>302</v>
      </c>
      <c r="W83">
        <v>9255978000</v>
      </c>
      <c r="X83">
        <v>6603309000</v>
      </c>
      <c r="Y83">
        <v>2652669000</v>
      </c>
      <c r="Z83">
        <v>0.59277800000000003</v>
      </c>
      <c r="AA83" t="str">
        <f>+MID(Tabla_Consulta_desde_Reporte_de_Valorización_de_Instrumentos[[#This Row],[CODIGO_SBS]],7,1)</f>
        <v>1</v>
      </c>
      <c r="AB83">
        <f>INDEX('Cálculo Caja'!F:F,MATCH(Tabla_Consulta_desde_Reporte_de_Valorización_de_Instrumentos[[#This Row],[PORTAFOLIO]],'Cálculo Caja'!A:A,0),1)</f>
        <v>26256910350.436607</v>
      </c>
      <c r="AC83" s="17">
        <f>Tabla_Consulta_desde_Reporte_de_Valorización_de_Instrumentos[[#This Row],[VALOR_VECTOR_LOCAL]]/Tabla_Consulta_desde_Reporte_de_Valorización_de_Instrumentos[[#This Row],[Patrimonio]]</f>
        <v>4.731273801631207E-3</v>
      </c>
      <c r="AD83" s="4">
        <f>(Tabla_Consulta_desde_Reporte_de_Valorización_de_Instrumentos[[#This Row],[VALOR_VECTOR_LOCAL]]/INDEX('Tipo de Cambio'!$D:$D,MATCH("2",'Tipo de Cambio'!$E:$E,0),1))/1000000</f>
        <v>36.962906380076767</v>
      </c>
      <c r="AE83">
        <f>IF(Tabla_Consulta_desde_Reporte_de_Valorización_de_Instrumentos[[#This Row],[PORTAFOLIO]]="IN-FONDO0",Tabla_Consulta_desde_Reporte_de_Valorización_de_Instrumentos[[#This Row],[Inv MM$]],0)</f>
        <v>0</v>
      </c>
      <c r="AF83" s="26">
        <f>IF(Tabla_Consulta_desde_Reporte_de_Valorización_de_Instrumentos[[#This Row],[PORTAFOLIO]]="IN-FONDO1",Tabla_Consulta_desde_Reporte_de_Valorización_de_Instrumentos[[#This Row],[Inv MM$]],0)</f>
        <v>0</v>
      </c>
      <c r="AG83" s="26">
        <f>IF(Tabla_Consulta_desde_Reporte_de_Valorización_de_Instrumentos[[#This Row],[PORTAFOLIO]]="IN-FONDO2",Tabla_Consulta_desde_Reporte_de_Valorización_de_Instrumentos[[#This Row],[Inv MM$]],0)</f>
        <v>36.962906380076767</v>
      </c>
      <c r="AH83" s="26">
        <f>IF(Tabla_Consulta_desde_Reporte_de_Valorización_de_Instrumentos[[#This Row],[PORTAFOLIO]]="IN-FONDO3",Tabla_Consulta_desde_Reporte_de_Valorización_de_Instrumentos[[#This Row],[Inv MM$]],0)</f>
        <v>0</v>
      </c>
      <c r="AI8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76.539351595108457</v>
      </c>
      <c r="AJ83" s="26">
        <f>IFERROR(IFERROR(INDEX('BD(MSCI)'!$T:$T,MATCH(Tabla_Consulta_desde_Reporte_de_Valorización_de_Instrumentos[[#This Row],[CODIGO_ISIN]],'BD(MSCI)'!$C:$C,0),1),INDEX('BD(MSCI)'!$T:$T,MATCH(Tabla_Consulta_desde_Reporte_de_Valorización_de_Instrumentos[[#This Row],[CODIGO_SBS]],'BD(MSCI)'!$C:$C,0),1)),0)</f>
        <v>36.6</v>
      </c>
      <c r="AK83" s="26">
        <f>Tabla_Consulta_desde_Reporte_de_Valorización_de_Instrumentos[[#This Row],[C02-H]]*Tabla_Consulta_desde_Reporte_de_Valorización_de_Instrumentos[[#This Row],[Inv MM$]]</f>
        <v>1352.8423735108097</v>
      </c>
      <c r="AL83" s="26">
        <f>Tabla_Consulta_desde_Reporte_de_Valorización_de_Instrumentos[[#This Row],[C02-H]]*Tabla_Consulta_desde_Reporte_de_Valorización_de_Instrumentos[[#This Row],[Weight]]</f>
        <v>0.17316462113970219</v>
      </c>
      <c r="AM83" s="26" t="str">
        <f>INDEX(Parametria!G:G,MATCH(Tabla_Consulta_desde_Reporte_de_Valorización_de_Instrumentos[[#This Row],[CODIGO_SBS]],Parametria!C:C,0))</f>
        <v>22RFLC</v>
      </c>
      <c r="AN83" s="26" t="str">
        <f>INDEX(Parametria!F:F,MATCH(Tabla_Consulta_desde_Reporte_de_Valorización_de_Instrumentos[[#This Row],[CODIGO_SBS]],Parametria!C:C,0))</f>
        <v>BU</v>
      </c>
      <c r="AO83" s="26" t="str">
        <f>+INDEX(Parametria!J:J,MATCH(Tabla_Consulta_desde_Reporte_de_Valorización_de_Instrumentos[[#This Row],[CODIGO_SBS]],Parametria!C:C,0))</f>
        <v>RFLBU</v>
      </c>
      <c r="AP83" s="26">
        <f>Tabla_Consulta_desde_Reporte_de_Valorización_de_Instrumentos[[#This Row],[Huella]]/$AU$4</f>
        <v>0.12541494761797908</v>
      </c>
      <c r="AQ83" s="26" t="str">
        <f>IFERROR(INDEX('BD(MSCI)'!W:W,MATCH(Tabla_Consulta_desde_Reporte_de_Valorización_de_Instrumentos[[#This Row],[CODIGO_ISIN]],'BD(MSCI)'!C:C,0)),IF(Tabla_Consulta_desde_Reporte_de_Valorización_de_Instrumentos[[#This Row],[Rank_rt]]="Cash","Cash","Cuestionario Integra"))</f>
        <v>Portafolio</v>
      </c>
      <c r="AR83" s="26" t="str">
        <f>IFERROR(INDEX('BD(MSCI)'!X:X,MATCH(Tabla_Consulta_desde_Reporte_de_Valorización_de_Instrumentos[[#This Row],[CODIGO_ISIN]],'BD(MSCI)'!C:C,0)),"Cuestionario Integra")</f>
        <v>Portafolio</v>
      </c>
      <c r="AU83" s="26"/>
    </row>
    <row r="84" spans="2:47" hidden="1" x14ac:dyDescent="0.25">
      <c r="B84" s="14" t="s">
        <v>6390</v>
      </c>
      <c r="C84" t="s">
        <v>249</v>
      </c>
      <c r="D84" t="s">
        <v>12</v>
      </c>
      <c r="E84" t="s">
        <v>250</v>
      </c>
      <c r="F84" t="s">
        <v>6168</v>
      </c>
      <c r="G84" t="str">
        <f>INDEX(Parametria!H:H,MATCH(Tabla_Consulta_desde_Reporte_de_Valorización_de_Instrumentos[[#This Row],[CODIGO_SBS]],Parametria!C:C,0),1)</f>
        <v xml:space="preserve">Alicorp </v>
      </c>
      <c r="H84" t="s">
        <v>6167</v>
      </c>
      <c r="I84" t="s">
        <v>6406</v>
      </c>
      <c r="J84" t="s">
        <v>301</v>
      </c>
      <c r="K84" t="s">
        <v>90</v>
      </c>
      <c r="L84">
        <v>1000</v>
      </c>
      <c r="M84" s="5">
        <v>133012474.72319999</v>
      </c>
      <c r="N84">
        <v>133012474.72319999</v>
      </c>
      <c r="O84">
        <v>127200</v>
      </c>
      <c r="P84" s="15">
        <v>48381</v>
      </c>
      <c r="Q84">
        <v>2359</v>
      </c>
      <c r="R84">
        <v>1</v>
      </c>
      <c r="S84" t="s">
        <v>155</v>
      </c>
      <c r="T84">
        <v>132937073.3616</v>
      </c>
      <c r="U84" s="5">
        <v>132937073.3616</v>
      </c>
      <c r="V84" t="s">
        <v>302</v>
      </c>
      <c r="W84">
        <v>9255978000</v>
      </c>
      <c r="X84">
        <v>6603309000</v>
      </c>
      <c r="Y84">
        <v>2652669000</v>
      </c>
      <c r="Z84">
        <v>0.59277800000000003</v>
      </c>
      <c r="AA84" t="str">
        <f>+MID(Tabla_Consulta_desde_Reporte_de_Valorización_de_Instrumentos[[#This Row],[CODIGO_SBS]],7,1)</f>
        <v>1</v>
      </c>
      <c r="AB84">
        <f>INDEX('Cálculo Caja'!F:F,MATCH(Tabla_Consulta_desde_Reporte_de_Valorización_de_Instrumentos[[#This Row],[PORTAFOLIO]],'Cálculo Caja'!A:A,0),1)</f>
        <v>7679510866.0565634</v>
      </c>
      <c r="AC84" s="17">
        <f>Tabla_Consulta_desde_Reporte_de_Valorización_de_Instrumentos[[#This Row],[VALOR_VECTOR_LOCAL]]/Tabla_Consulta_desde_Reporte_de_Valorización_de_Instrumentos[[#This Row],[Patrimonio]]</f>
        <v>1.7320435772949436E-2</v>
      </c>
      <c r="AD84" s="4">
        <f>(Tabla_Consulta_desde_Reporte_de_Valorización_de_Instrumentos[[#This Row],[VALOR_VECTOR_LOCAL]]/INDEX('Tipo de Cambio'!$D:$D,MATCH("2",'Tipo de Cambio'!$E:$E,0),1))/1000000</f>
        <v>39.576445215031683</v>
      </c>
      <c r="AE84">
        <f>IF(Tabla_Consulta_desde_Reporte_de_Valorización_de_Instrumentos[[#This Row],[PORTAFOLIO]]="IN-FONDO0",Tabla_Consulta_desde_Reporte_de_Valorización_de_Instrumentos[[#This Row],[Inv MM$]],0)</f>
        <v>0</v>
      </c>
      <c r="AF84" s="26">
        <f>IF(Tabla_Consulta_desde_Reporte_de_Valorización_de_Instrumentos[[#This Row],[PORTAFOLIO]]="IN-FONDO1",Tabla_Consulta_desde_Reporte_de_Valorización_de_Instrumentos[[#This Row],[Inv MM$]],0)</f>
        <v>39.576445215031683</v>
      </c>
      <c r="AG84" s="26">
        <f>IF(Tabla_Consulta_desde_Reporte_de_Valorización_de_Instrumentos[[#This Row],[PORTAFOLIO]]="IN-FONDO2",Tabla_Consulta_desde_Reporte_de_Valorización_de_Instrumentos[[#This Row],[Inv MM$]],0)</f>
        <v>0</v>
      </c>
      <c r="AH84" s="26">
        <f>IF(Tabla_Consulta_desde_Reporte_de_Valorización_de_Instrumentos[[#This Row],[PORTAFOLIO]]="IN-FONDO3",Tabla_Consulta_desde_Reporte_de_Valorización_de_Instrumentos[[#This Row],[Inv MM$]],0)</f>
        <v>0</v>
      </c>
      <c r="AI8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76.539351595108457</v>
      </c>
      <c r="AJ84" s="26">
        <f>IFERROR(IFERROR(INDEX('BD(MSCI)'!$T:$T,MATCH(Tabla_Consulta_desde_Reporte_de_Valorización_de_Instrumentos[[#This Row],[CODIGO_ISIN]],'BD(MSCI)'!$C:$C,0),1),INDEX('BD(MSCI)'!$T:$T,MATCH(Tabla_Consulta_desde_Reporte_de_Valorización_de_Instrumentos[[#This Row],[CODIGO_SBS]],'BD(MSCI)'!$C:$C,0),1)),0)</f>
        <v>36.6</v>
      </c>
      <c r="AK84" s="26">
        <f>Tabla_Consulta_desde_Reporte_de_Valorización_de_Instrumentos[[#This Row],[C02-H]]*Tabla_Consulta_desde_Reporte_de_Valorización_de_Instrumentos[[#This Row],[Inv MM$]]</f>
        <v>1448.4978948701596</v>
      </c>
      <c r="AL84" s="26">
        <f>Tabla_Consulta_desde_Reporte_de_Valorización_de_Instrumentos[[#This Row],[C02-H]]*Tabla_Consulta_desde_Reporte_de_Valorización_de_Instrumentos[[#This Row],[Weight]]</f>
        <v>0.63392794928994933</v>
      </c>
      <c r="AM84" s="26" t="str">
        <f>INDEX(Parametria!G:G,MATCH(Tabla_Consulta_desde_Reporte_de_Valorización_de_Instrumentos[[#This Row],[CODIGO_SBS]],Parametria!C:C,0))</f>
        <v>22RFLC</v>
      </c>
      <c r="AN84" s="26" t="str">
        <f>INDEX(Parametria!F:F,MATCH(Tabla_Consulta_desde_Reporte_de_Valorización_de_Instrumentos[[#This Row],[CODIGO_SBS]],Parametria!C:C,0))</f>
        <v>BU</v>
      </c>
      <c r="AO84" s="26" t="str">
        <f>+INDEX(Parametria!J:J,MATCH(Tabla_Consulta_desde_Reporte_de_Valorización_de_Instrumentos[[#This Row],[CODIGO_SBS]],Parametria!C:C,0))</f>
        <v>RFLBU</v>
      </c>
      <c r="AP84" s="26">
        <f>Tabla_Consulta_desde_Reporte_de_Valorización_de_Instrumentos[[#This Row],[Huella]]/$AU$4</f>
        <v>0.13428267118692705</v>
      </c>
      <c r="AQ84" s="26" t="str">
        <f>IFERROR(INDEX('BD(MSCI)'!W:W,MATCH(Tabla_Consulta_desde_Reporte_de_Valorización_de_Instrumentos[[#This Row],[CODIGO_ISIN]],'BD(MSCI)'!C:C,0)),IF(Tabla_Consulta_desde_Reporte_de_Valorización_de_Instrumentos[[#This Row],[Rank_rt]]="Cash","Cash","Cuestionario Integra"))</f>
        <v>Portafolio</v>
      </c>
      <c r="AR84" s="26" t="str">
        <f>IFERROR(INDEX('BD(MSCI)'!X:X,MATCH(Tabla_Consulta_desde_Reporte_de_Valorización_de_Instrumentos[[#This Row],[CODIGO_ISIN]],'BD(MSCI)'!C:C,0)),"Cuestionario Integra")</f>
        <v>Portafolio</v>
      </c>
      <c r="AU84" s="26"/>
    </row>
    <row r="85" spans="2:47" hidden="1" x14ac:dyDescent="0.25">
      <c r="B85" s="14" t="s">
        <v>6390</v>
      </c>
      <c r="C85" t="s">
        <v>249</v>
      </c>
      <c r="D85" t="s">
        <v>12</v>
      </c>
      <c r="E85" t="s">
        <v>250</v>
      </c>
      <c r="F85" t="s">
        <v>5779</v>
      </c>
      <c r="G85" t="str">
        <f>INDEX(Parametria!H:H,MATCH(Tabla_Consulta_desde_Reporte_de_Valorización_de_Instrumentos[[#This Row],[CODIGO_SBS]],Parametria!C:C,0),1)</f>
        <v>Buenaventura</v>
      </c>
      <c r="H85" t="s">
        <v>5778</v>
      </c>
      <c r="I85" t="s">
        <v>5852</v>
      </c>
      <c r="J85" t="s">
        <v>309</v>
      </c>
      <c r="K85" t="s">
        <v>50</v>
      </c>
      <c r="L85">
        <v>1000</v>
      </c>
      <c r="M85" s="5">
        <v>53056043.459974401</v>
      </c>
      <c r="N85">
        <v>15786260.662315</v>
      </c>
      <c r="O85">
        <v>14765</v>
      </c>
      <c r="P85" s="15">
        <v>48248</v>
      </c>
      <c r="Q85">
        <v>2226</v>
      </c>
      <c r="R85">
        <v>3.3609</v>
      </c>
      <c r="S85" t="s">
        <v>155</v>
      </c>
      <c r="T85">
        <v>53003943.841010801</v>
      </c>
      <c r="U85" s="5">
        <v>15762785.892170001</v>
      </c>
      <c r="V85" t="s">
        <v>310</v>
      </c>
      <c r="W85">
        <v>4052129000</v>
      </c>
      <c r="X85">
        <v>932087000</v>
      </c>
      <c r="Y85">
        <v>3120042000</v>
      </c>
      <c r="Z85">
        <v>1.589893</v>
      </c>
      <c r="AA85" t="str">
        <f>+MID(Tabla_Consulta_desde_Reporte_de_Valorización_de_Instrumentos[[#This Row],[CODIGO_SBS]],7,1)</f>
        <v>2</v>
      </c>
      <c r="AB85">
        <f>INDEX('Cálculo Caja'!F:F,MATCH(Tabla_Consulta_desde_Reporte_de_Valorización_de_Instrumentos[[#This Row],[PORTAFOLIO]],'Cálculo Caja'!A:A,0),1)</f>
        <v>7679510866.0565634</v>
      </c>
      <c r="AC85" s="17">
        <f>Tabla_Consulta_desde_Reporte_de_Valorización_de_Instrumentos[[#This Row],[VALOR_VECTOR_LOCAL]]/Tabla_Consulta_desde_Reporte_de_Valorización_de_Instrumentos[[#This Row],[Patrimonio]]</f>
        <v>6.9087790075904581E-3</v>
      </c>
      <c r="AD85" s="4">
        <f>(Tabla_Consulta_desde_Reporte_de_Valorización_de_Instrumentos[[#This Row],[VALOR_VECTOR_LOCAL]]/INDEX('Tipo de Cambio'!$D:$D,MATCH("2",'Tipo de Cambio'!$E:$E,0),1))/1000000</f>
        <v>15.786260662314975</v>
      </c>
      <c r="AE85">
        <f>IF(Tabla_Consulta_desde_Reporte_de_Valorización_de_Instrumentos[[#This Row],[PORTAFOLIO]]="IN-FONDO0",Tabla_Consulta_desde_Reporte_de_Valorización_de_Instrumentos[[#This Row],[Inv MM$]],0)</f>
        <v>0</v>
      </c>
      <c r="AF85" s="26">
        <f>IF(Tabla_Consulta_desde_Reporte_de_Valorización_de_Instrumentos[[#This Row],[PORTAFOLIO]]="IN-FONDO1",Tabla_Consulta_desde_Reporte_de_Valorización_de_Instrumentos[[#This Row],[Inv MM$]],0)</f>
        <v>15.786260662314975</v>
      </c>
      <c r="AG85" s="26">
        <f>IF(Tabla_Consulta_desde_Reporte_de_Valorización_de_Instrumentos[[#This Row],[PORTAFOLIO]]="IN-FONDO2",Tabla_Consulta_desde_Reporte_de_Valorización_de_Instrumentos[[#This Row],[Inv MM$]],0)</f>
        <v>0</v>
      </c>
      <c r="AH85" s="26">
        <f>IF(Tabla_Consulta_desde_Reporte_de_Valorización_de_Instrumentos[[#This Row],[PORTAFOLIO]]="IN-FONDO3",Tabla_Consulta_desde_Reporte_de_Valorización_de_Instrumentos[[#This Row],[Inv MM$]],0)</f>
        <v>0</v>
      </c>
      <c r="AI8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27.819742799419949</v>
      </c>
      <c r="AJ85" s="26">
        <f>IFERROR(IFERROR(INDEX('BD(MSCI)'!$T:$T,MATCH(Tabla_Consulta_desde_Reporte_de_Valorización_de_Instrumentos[[#This Row],[CODIGO_ISIN]],'BD(MSCI)'!$C:$C,0),1),INDEX('BD(MSCI)'!$T:$T,MATCH(Tabla_Consulta_desde_Reporte_de_Valorización_de_Instrumentos[[#This Row],[CODIGO_SBS]],'BD(MSCI)'!$C:$C,0),1)),0)</f>
        <v>58.4</v>
      </c>
      <c r="AK85" s="26">
        <f>Tabla_Consulta_desde_Reporte_de_Valorización_de_Instrumentos[[#This Row],[C02-H]]*Tabla_Consulta_desde_Reporte_de_Valorización_de_Instrumentos[[#This Row],[Inv MM$]]</f>
        <v>921.91762267919455</v>
      </c>
      <c r="AL85" s="26">
        <f>Tabla_Consulta_desde_Reporte_de_Valorización_de_Instrumentos[[#This Row],[C02-H]]*Tabla_Consulta_desde_Reporte_de_Valorización_de_Instrumentos[[#This Row],[Weight]]</f>
        <v>0.40347269404328273</v>
      </c>
      <c r="AM85" s="26" t="str">
        <f>INDEX(Parametria!G:G,MATCH(Tabla_Consulta_desde_Reporte_de_Valorización_de_Instrumentos[[#This Row],[CODIGO_SBS]],Parametria!C:C,0))</f>
        <v>22RFLC</v>
      </c>
      <c r="AN85" s="26" t="str">
        <f>INDEX(Parametria!F:F,MATCH(Tabla_Consulta_desde_Reporte_de_Valorización_de_Instrumentos[[#This Row],[CODIGO_SBS]],Parametria!C:C,0))</f>
        <v>BU</v>
      </c>
      <c r="AO85" s="26" t="str">
        <f>+INDEX(Parametria!J:J,MATCH(Tabla_Consulta_desde_Reporte_de_Valorización_de_Instrumentos[[#This Row],[CODIGO_SBS]],Parametria!C:C,0))</f>
        <v>RFLBU</v>
      </c>
      <c r="AP85" s="26">
        <f>Tabla_Consulta_desde_Reporte_de_Valorización_de_Instrumentos[[#This Row],[Huella]]/$AU$4</f>
        <v>8.546616562308551E-2</v>
      </c>
      <c r="AQ85" s="26" t="str">
        <f>IFERROR(INDEX('BD(MSCI)'!W:W,MATCH(Tabla_Consulta_desde_Reporte_de_Valorización_de_Instrumentos[[#This Row],[CODIGO_ISIN]],'BD(MSCI)'!C:C,0)),IF(Tabla_Consulta_desde_Reporte_de_Valorización_de_Instrumentos[[#This Row],[Rank_rt]]="Cash","Cash","Cuestionario Integra"))</f>
        <v>Portafolio</v>
      </c>
      <c r="AR85" s="26" t="str">
        <f>IFERROR(INDEX('BD(MSCI)'!X:X,MATCH(Tabla_Consulta_desde_Reporte_de_Valorización_de_Instrumentos[[#This Row],[CODIGO_ISIN]],'BD(MSCI)'!C:C,0)),"Cuestionario Integra")</f>
        <v>Portafolio</v>
      </c>
      <c r="AU85" s="26"/>
    </row>
    <row r="86" spans="2:47" hidden="1" x14ac:dyDescent="0.25">
      <c r="B86" s="14" t="s">
        <v>6390</v>
      </c>
      <c r="C86" t="s">
        <v>249</v>
      </c>
      <c r="D86" t="s">
        <v>10</v>
      </c>
      <c r="E86" t="s">
        <v>250</v>
      </c>
      <c r="F86" t="s">
        <v>5779</v>
      </c>
      <c r="G86" t="str">
        <f>INDEX(Parametria!H:H,MATCH(Tabla_Consulta_desde_Reporte_de_Valorización_de_Instrumentos[[#This Row],[CODIGO_SBS]],Parametria!C:C,0),1)</f>
        <v>Buenaventura</v>
      </c>
      <c r="H86" t="s">
        <v>5778</v>
      </c>
      <c r="I86" t="s">
        <v>5852</v>
      </c>
      <c r="J86" t="s">
        <v>309</v>
      </c>
      <c r="K86" t="s">
        <v>50</v>
      </c>
      <c r="L86">
        <v>1000</v>
      </c>
      <c r="M86" s="5">
        <v>40443330.114596099</v>
      </c>
      <c r="N86">
        <v>12033482.137104999</v>
      </c>
      <c r="O86">
        <v>11255</v>
      </c>
      <c r="P86" s="15">
        <v>48248</v>
      </c>
      <c r="Q86">
        <v>2226</v>
      </c>
      <c r="R86">
        <v>3.3609</v>
      </c>
      <c r="S86" t="s">
        <v>155</v>
      </c>
      <c r="T86">
        <v>40403615.843588002</v>
      </c>
      <c r="U86" s="5">
        <v>12015587.89139</v>
      </c>
      <c r="V86" t="s">
        <v>310</v>
      </c>
      <c r="W86">
        <v>4052129000</v>
      </c>
      <c r="X86">
        <v>932087000</v>
      </c>
      <c r="Y86">
        <v>3120042000</v>
      </c>
      <c r="Z86">
        <v>1.589893</v>
      </c>
      <c r="AA86" t="str">
        <f>+MID(Tabla_Consulta_desde_Reporte_de_Valorización_de_Instrumentos[[#This Row],[CODIGO_SBS]],7,1)</f>
        <v>2</v>
      </c>
      <c r="AB86">
        <f>INDEX('Cálculo Caja'!F:F,MATCH(Tabla_Consulta_desde_Reporte_de_Valorización_de_Instrumentos[[#This Row],[PORTAFOLIO]],'Cálculo Caja'!A:A,0),1)</f>
        <v>26256910350.436607</v>
      </c>
      <c r="AC86" s="17">
        <f>Tabla_Consulta_desde_Reporte_de_Valorización_de_Instrumentos[[#This Row],[VALOR_VECTOR_LOCAL]]/Tabla_Consulta_desde_Reporte_de_Valorización_de_Instrumentos[[#This Row],[Patrimonio]]</f>
        <v>1.5402928057726942E-3</v>
      </c>
      <c r="AD86" s="4">
        <f>(Tabla_Consulta_desde_Reporte_de_Valorización_de_Instrumentos[[#This Row],[VALOR_VECTOR_LOCAL]]/INDEX('Tipo de Cambio'!$D:$D,MATCH("2",'Tipo de Cambio'!$E:$E,0),1))/1000000</f>
        <v>12.033482137104972</v>
      </c>
      <c r="AE86">
        <f>IF(Tabla_Consulta_desde_Reporte_de_Valorización_de_Instrumentos[[#This Row],[PORTAFOLIO]]="IN-FONDO0",Tabla_Consulta_desde_Reporte_de_Valorización_de_Instrumentos[[#This Row],[Inv MM$]],0)</f>
        <v>0</v>
      </c>
      <c r="AF86" s="26">
        <f>IF(Tabla_Consulta_desde_Reporte_de_Valorización_de_Instrumentos[[#This Row],[PORTAFOLIO]]="IN-FONDO1",Tabla_Consulta_desde_Reporte_de_Valorización_de_Instrumentos[[#This Row],[Inv MM$]],0)</f>
        <v>0</v>
      </c>
      <c r="AG86" s="26">
        <f>IF(Tabla_Consulta_desde_Reporte_de_Valorización_de_Instrumentos[[#This Row],[PORTAFOLIO]]="IN-FONDO2",Tabla_Consulta_desde_Reporte_de_Valorización_de_Instrumentos[[#This Row],[Inv MM$]],0)</f>
        <v>12.033482137104972</v>
      </c>
      <c r="AH86" s="26">
        <f>IF(Tabla_Consulta_desde_Reporte_de_Valorización_de_Instrumentos[[#This Row],[PORTAFOLIO]]="IN-FONDO3",Tabla_Consulta_desde_Reporte_de_Valorización_de_Instrumentos[[#This Row],[Inv MM$]],0)</f>
        <v>0</v>
      </c>
      <c r="AI8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27.819742799419949</v>
      </c>
      <c r="AJ86" s="26">
        <f>IFERROR(IFERROR(INDEX('BD(MSCI)'!$T:$T,MATCH(Tabla_Consulta_desde_Reporte_de_Valorización_de_Instrumentos[[#This Row],[CODIGO_ISIN]],'BD(MSCI)'!$C:$C,0),1),INDEX('BD(MSCI)'!$T:$T,MATCH(Tabla_Consulta_desde_Reporte_de_Valorización_de_Instrumentos[[#This Row],[CODIGO_SBS]],'BD(MSCI)'!$C:$C,0),1)),0)</f>
        <v>58.4</v>
      </c>
      <c r="AK86" s="26">
        <f>Tabla_Consulta_desde_Reporte_de_Valorización_de_Instrumentos[[#This Row],[C02-H]]*Tabla_Consulta_desde_Reporte_de_Valorización_de_Instrumentos[[#This Row],[Inv MM$]]</f>
        <v>702.75535680693031</v>
      </c>
      <c r="AL86" s="26">
        <f>Tabla_Consulta_desde_Reporte_de_Valorización_de_Instrumentos[[#This Row],[C02-H]]*Tabla_Consulta_desde_Reporte_de_Valorización_de_Instrumentos[[#This Row],[Weight]]</f>
        <v>8.9953099857125338E-2</v>
      </c>
      <c r="AM86" s="26" t="str">
        <f>INDEX(Parametria!G:G,MATCH(Tabla_Consulta_desde_Reporte_de_Valorización_de_Instrumentos[[#This Row],[CODIGO_SBS]],Parametria!C:C,0))</f>
        <v>22RFLC</v>
      </c>
      <c r="AN86" s="26" t="str">
        <f>INDEX(Parametria!F:F,MATCH(Tabla_Consulta_desde_Reporte_de_Valorización_de_Instrumentos[[#This Row],[CODIGO_SBS]],Parametria!C:C,0))</f>
        <v>BU</v>
      </c>
      <c r="AO86" s="26" t="str">
        <f>+INDEX(Parametria!J:J,MATCH(Tabla_Consulta_desde_Reporte_de_Valorización_de_Instrumentos[[#This Row],[CODIGO_SBS]],Parametria!C:C,0))</f>
        <v>RFLBU</v>
      </c>
      <c r="AP86" s="26">
        <f>Tabla_Consulta_desde_Reporte_de_Valorización_de_Instrumentos[[#This Row],[Huella]]/$AU$4</f>
        <v>6.5148777113974043E-2</v>
      </c>
      <c r="AQ86" s="26" t="str">
        <f>IFERROR(INDEX('BD(MSCI)'!W:W,MATCH(Tabla_Consulta_desde_Reporte_de_Valorización_de_Instrumentos[[#This Row],[CODIGO_ISIN]],'BD(MSCI)'!C:C,0)),IF(Tabla_Consulta_desde_Reporte_de_Valorización_de_Instrumentos[[#This Row],[Rank_rt]]="Cash","Cash","Cuestionario Integra"))</f>
        <v>Portafolio</v>
      </c>
      <c r="AR86" s="26" t="str">
        <f>IFERROR(INDEX('BD(MSCI)'!X:X,MATCH(Tabla_Consulta_desde_Reporte_de_Valorización_de_Instrumentos[[#This Row],[CODIGO_ISIN]],'BD(MSCI)'!C:C,0)),"Cuestionario Integra")</f>
        <v>Portafolio</v>
      </c>
      <c r="AU86" s="26"/>
    </row>
    <row r="87" spans="2:47" hidden="1" x14ac:dyDescent="0.25">
      <c r="B87" s="14" t="s">
        <v>6390</v>
      </c>
      <c r="C87" t="s">
        <v>249</v>
      </c>
      <c r="D87" t="s">
        <v>10</v>
      </c>
      <c r="E87" t="s">
        <v>250</v>
      </c>
      <c r="F87" t="s">
        <v>324</v>
      </c>
      <c r="G87" t="str">
        <f>INDEX(Parametria!H:H,MATCH(Tabla_Consulta_desde_Reporte_de_Valorización_de_Instrumentos[[#This Row],[CODIGO_SBS]],Parametria!C:C,0),1)</f>
        <v xml:space="preserve">Telefónica del Perú </v>
      </c>
      <c r="H87" t="s">
        <v>325</v>
      </c>
      <c r="I87" t="s">
        <v>326</v>
      </c>
      <c r="J87" t="s">
        <v>316</v>
      </c>
      <c r="K87" t="s">
        <v>121</v>
      </c>
      <c r="L87">
        <v>5000</v>
      </c>
      <c r="M87" s="5">
        <v>2320827.2221570001</v>
      </c>
      <c r="N87">
        <v>2320827.2221570001</v>
      </c>
      <c r="O87">
        <v>670</v>
      </c>
      <c r="P87" s="15">
        <v>46581</v>
      </c>
      <c r="Q87">
        <v>559</v>
      </c>
      <c r="R87">
        <v>1</v>
      </c>
      <c r="S87" t="s">
        <v>155</v>
      </c>
      <c r="T87">
        <v>2320827.2221570001</v>
      </c>
      <c r="U87" s="5">
        <v>2320827.2221570001</v>
      </c>
      <c r="V87" t="s">
        <v>317</v>
      </c>
      <c r="W87">
        <v>11275211000</v>
      </c>
      <c r="X87">
        <v>10043242000</v>
      </c>
      <c r="Y87">
        <v>1231969000</v>
      </c>
      <c r="Z87">
        <v>0</v>
      </c>
      <c r="AA87" t="str">
        <f>+MID(Tabla_Consulta_desde_Reporte_de_Valorización_de_Instrumentos[[#This Row],[CODIGO_SBS]],7,1)</f>
        <v>3</v>
      </c>
      <c r="AB87">
        <f>INDEX('Cálculo Caja'!F:F,MATCH(Tabla_Consulta_desde_Reporte_de_Valorización_de_Instrumentos[[#This Row],[PORTAFOLIO]],'Cálculo Caja'!A:A,0),1)</f>
        <v>26256910350.436607</v>
      </c>
      <c r="AC87" s="17">
        <f>Tabla_Consulta_desde_Reporte_de_Valorización_de_Instrumentos[[#This Row],[VALOR_VECTOR_LOCAL]]/Tabla_Consulta_desde_Reporte_de_Valorización_de_Instrumentos[[#This Row],[Patrimonio]]</f>
        <v>8.8389197022124456E-5</v>
      </c>
      <c r="AD87" s="4">
        <f>(Tabla_Consulta_desde_Reporte_de_Valorización_de_Instrumentos[[#This Row],[VALOR_VECTOR_LOCAL]]/INDEX('Tipo de Cambio'!$D:$D,MATCH("2",'Tipo de Cambio'!$E:$E,0),1))/1000000</f>
        <v>0.69053742216578895</v>
      </c>
      <c r="AE87">
        <f>IF(Tabla_Consulta_desde_Reporte_de_Valorización_de_Instrumentos[[#This Row],[PORTAFOLIO]]="IN-FONDO0",Tabla_Consulta_desde_Reporte_de_Valorización_de_Instrumentos[[#This Row],[Inv MM$]],0)</f>
        <v>0</v>
      </c>
      <c r="AF87" s="26">
        <f>IF(Tabla_Consulta_desde_Reporte_de_Valorización_de_Instrumentos[[#This Row],[PORTAFOLIO]]="IN-FONDO1",Tabla_Consulta_desde_Reporte_de_Valorización_de_Instrumentos[[#This Row],[Inv MM$]],0)</f>
        <v>0</v>
      </c>
      <c r="AG87" s="26">
        <f>IF(Tabla_Consulta_desde_Reporte_de_Valorización_de_Instrumentos[[#This Row],[PORTAFOLIO]]="IN-FONDO2",Tabla_Consulta_desde_Reporte_de_Valorización_de_Instrumentos[[#This Row],[Inv MM$]],0)</f>
        <v>0.69053742216578895</v>
      </c>
      <c r="AH87" s="26">
        <f>IF(Tabla_Consulta_desde_Reporte_de_Valorización_de_Instrumentos[[#This Row],[PORTAFOLIO]]="IN-FONDO3",Tabla_Consulta_desde_Reporte_de_Valorización_de_Instrumentos[[#This Row],[Inv MM$]],0)</f>
        <v>0</v>
      </c>
      <c r="AI8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0.86368710414168826</v>
      </c>
      <c r="AJ87" s="26">
        <f>IFERROR(IFERROR(INDEX('BD(MSCI)'!$T:$T,MATCH(Tabla_Consulta_desde_Reporte_de_Valorización_de_Instrumentos[[#This Row],[CODIGO_ISIN]],'BD(MSCI)'!$C:$C,0),1),INDEX('BD(MSCI)'!$T:$T,MATCH(Tabla_Consulta_desde_Reporte_de_Valorización_de_Instrumentos[[#This Row],[CODIGO_SBS]],'BD(MSCI)'!$C:$C,0),1)),0)</f>
        <v>2.4</v>
      </c>
      <c r="AK87" s="26">
        <f>Tabla_Consulta_desde_Reporte_de_Valorización_de_Instrumentos[[#This Row],[C02-H]]*Tabla_Consulta_desde_Reporte_de_Valorización_de_Instrumentos[[#This Row],[Inv MM$]]</f>
        <v>1.6572898131978935</v>
      </c>
      <c r="AL87" s="26">
        <f>Tabla_Consulta_desde_Reporte_de_Valorización_de_Instrumentos[[#This Row],[C02-H]]*Tabla_Consulta_desde_Reporte_de_Valorización_de_Instrumentos[[#This Row],[Weight]]</f>
        <v>2.1213407285309869E-4</v>
      </c>
      <c r="AM87" s="26" t="str">
        <f>INDEX(Parametria!G:G,MATCH(Tabla_Consulta_desde_Reporte_de_Valorización_de_Instrumentos[[#This Row],[CODIGO_SBS]],Parametria!C:C,0))</f>
        <v>22RFLC</v>
      </c>
      <c r="AN87" s="26" t="str">
        <f>INDEX(Parametria!F:F,MATCH(Tabla_Consulta_desde_Reporte_de_Valorización_de_Instrumentos[[#This Row],[CODIGO_SBS]],Parametria!C:C,0))</f>
        <v>BU</v>
      </c>
      <c r="AO87" s="26" t="str">
        <f>+INDEX(Parametria!J:J,MATCH(Tabla_Consulta_desde_Reporte_de_Valorización_de_Instrumentos[[#This Row],[CODIGO_SBS]],Parametria!C:C,0))</f>
        <v>RFLBU</v>
      </c>
      <c r="AP87" s="26">
        <f>Tabla_Consulta_desde_Reporte_de_Valorización_de_Instrumentos[[#This Row],[Huella]]/$AU$4</f>
        <v>1.5363867896200499E-4</v>
      </c>
      <c r="AQ87" s="26" t="str">
        <f>IFERROR(INDEX('BD(MSCI)'!W:W,MATCH(Tabla_Consulta_desde_Reporte_de_Valorización_de_Instrumentos[[#This Row],[CODIGO_ISIN]],'BD(MSCI)'!C:C,0)),IF(Tabla_Consulta_desde_Reporte_de_Valorización_de_Instrumentos[[#This Row],[Rank_rt]]="Cash","Cash","Cuestionario Integra"))</f>
        <v>Portafolio</v>
      </c>
      <c r="AR87" s="26" t="str">
        <f>IFERROR(INDEX('BD(MSCI)'!X:X,MATCH(Tabla_Consulta_desde_Reporte_de_Valorización_de_Instrumentos[[#This Row],[CODIGO_ISIN]],'BD(MSCI)'!C:C,0)),"Cuestionario Integra")</f>
        <v>Portafolio</v>
      </c>
      <c r="AU87" s="26"/>
    </row>
    <row r="88" spans="2:47" hidden="1" x14ac:dyDescent="0.25">
      <c r="B88" s="14" t="s">
        <v>6390</v>
      </c>
      <c r="C88" t="s">
        <v>249</v>
      </c>
      <c r="D88" t="s">
        <v>10</v>
      </c>
      <c r="E88" t="s">
        <v>250</v>
      </c>
      <c r="F88" t="s">
        <v>321</v>
      </c>
      <c r="G88" t="str">
        <f>INDEX(Parametria!H:H,MATCH(Tabla_Consulta_desde_Reporte_de_Valorización_de_Instrumentos[[#This Row],[CODIGO_SBS]],Parametria!C:C,0),1)</f>
        <v xml:space="preserve">Telefónica del Perú </v>
      </c>
      <c r="H88" t="s">
        <v>322</v>
      </c>
      <c r="I88" t="s">
        <v>323</v>
      </c>
      <c r="J88" t="s">
        <v>316</v>
      </c>
      <c r="K88" t="s">
        <v>90</v>
      </c>
      <c r="L88">
        <v>500000</v>
      </c>
      <c r="M88" s="5">
        <v>85028630.479128003</v>
      </c>
      <c r="N88">
        <v>85028630.479128003</v>
      </c>
      <c r="O88">
        <v>431</v>
      </c>
      <c r="P88" s="15">
        <v>46487</v>
      </c>
      <c r="Q88">
        <v>465</v>
      </c>
      <c r="R88">
        <v>1</v>
      </c>
      <c r="S88" t="s">
        <v>155</v>
      </c>
      <c r="T88">
        <v>85028630.479128003</v>
      </c>
      <c r="U88" s="5">
        <v>85028630.479128003</v>
      </c>
      <c r="V88" t="s">
        <v>317</v>
      </c>
      <c r="W88">
        <v>11275211000</v>
      </c>
      <c r="X88">
        <v>10043242000</v>
      </c>
      <c r="Y88">
        <v>1231969000</v>
      </c>
      <c r="Z88">
        <v>0</v>
      </c>
      <c r="AA88" t="str">
        <f>+MID(Tabla_Consulta_desde_Reporte_de_Valorización_de_Instrumentos[[#This Row],[CODIGO_SBS]],7,1)</f>
        <v>1</v>
      </c>
      <c r="AB88">
        <f>INDEX('Cálculo Caja'!F:F,MATCH(Tabla_Consulta_desde_Reporte_de_Valorización_de_Instrumentos[[#This Row],[PORTAFOLIO]],'Cálculo Caja'!A:A,0),1)</f>
        <v>26256910350.436607</v>
      </c>
      <c r="AC88" s="17">
        <f>Tabla_Consulta_desde_Reporte_de_Valorización_de_Instrumentos[[#This Row],[VALOR_VECTOR_LOCAL]]/Tabla_Consulta_desde_Reporte_de_Valorización_de_Instrumentos[[#This Row],[Patrimonio]]</f>
        <v>3.238333427059674E-3</v>
      </c>
      <c r="AD88" s="4">
        <f>(Tabla_Consulta_desde_Reporte_de_Valorización_de_Instrumentos[[#This Row],[VALOR_VECTOR_LOCAL]]/INDEX('Tipo de Cambio'!$D:$D,MATCH("2",'Tipo de Cambio'!$E:$E,0),1))/1000000</f>
        <v>25.299363408351336</v>
      </c>
      <c r="AE88">
        <f>IF(Tabla_Consulta_desde_Reporte_de_Valorización_de_Instrumentos[[#This Row],[PORTAFOLIO]]="IN-FONDO0",Tabla_Consulta_desde_Reporte_de_Valorización_de_Instrumentos[[#This Row],[Inv MM$]],0)</f>
        <v>0</v>
      </c>
      <c r="AF88" s="26">
        <f>IF(Tabla_Consulta_desde_Reporte_de_Valorización_de_Instrumentos[[#This Row],[PORTAFOLIO]]="IN-FONDO1",Tabla_Consulta_desde_Reporte_de_Valorización_de_Instrumentos[[#This Row],[Inv MM$]],0)</f>
        <v>0</v>
      </c>
      <c r="AG88" s="26">
        <f>IF(Tabla_Consulta_desde_Reporte_de_Valorización_de_Instrumentos[[#This Row],[PORTAFOLIO]]="IN-FONDO2",Tabla_Consulta_desde_Reporte_de_Valorización_de_Instrumentos[[#This Row],[Inv MM$]],0)</f>
        <v>25.299363408351336</v>
      </c>
      <c r="AH88" s="26">
        <f>IF(Tabla_Consulta_desde_Reporte_de_Valorización_de_Instrumentos[[#This Row],[PORTAFOLIO]]="IN-FONDO3",Tabla_Consulta_desde_Reporte_de_Valorización_de_Instrumentos[[#This Row],[Inv MM$]],0)</f>
        <v>0</v>
      </c>
      <c r="AI8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36.569613464971887</v>
      </c>
      <c r="AJ88" s="26">
        <f>IFERROR(IFERROR(INDEX('BD(MSCI)'!$T:$T,MATCH(Tabla_Consulta_desde_Reporte_de_Valorización_de_Instrumentos[[#This Row],[CODIGO_ISIN]],'BD(MSCI)'!$C:$C,0),1),INDEX('BD(MSCI)'!$T:$T,MATCH(Tabla_Consulta_desde_Reporte_de_Valorización_de_Instrumentos[[#This Row],[CODIGO_SBS]],'BD(MSCI)'!$C:$C,0),1)),0)</f>
        <v>2.4</v>
      </c>
      <c r="AK88" s="26">
        <f>Tabla_Consulta_desde_Reporte_de_Valorización_de_Instrumentos[[#This Row],[C02-H]]*Tabla_Consulta_desde_Reporte_de_Valorización_de_Instrumentos[[#This Row],[Inv MM$]]</f>
        <v>60.718472180043207</v>
      </c>
      <c r="AL88" s="26">
        <f>Tabla_Consulta_desde_Reporte_de_Valorización_de_Instrumentos[[#This Row],[C02-H]]*Tabla_Consulta_desde_Reporte_de_Valorización_de_Instrumentos[[#This Row],[Weight]]</f>
        <v>7.7720002249432171E-3</v>
      </c>
      <c r="AM88" s="26" t="str">
        <f>INDEX(Parametria!G:G,MATCH(Tabla_Consulta_desde_Reporte_de_Valorización_de_Instrumentos[[#This Row],[CODIGO_SBS]],Parametria!C:C,0))</f>
        <v>22RFLC</v>
      </c>
      <c r="AN88" s="26" t="str">
        <f>INDEX(Parametria!F:F,MATCH(Tabla_Consulta_desde_Reporte_de_Valorización_de_Instrumentos[[#This Row],[CODIGO_SBS]],Parametria!C:C,0))</f>
        <v>BU</v>
      </c>
      <c r="AO88" s="26" t="str">
        <f>+INDEX(Parametria!J:J,MATCH(Tabla_Consulta_desde_Reporte_de_Valorización_de_Instrumentos[[#This Row],[CODIGO_SBS]],Parametria!C:C,0))</f>
        <v>RFLBU</v>
      </c>
      <c r="AP88" s="26">
        <f>Tabla_Consulta_desde_Reporte_de_Valorización_de_Instrumentos[[#This Row],[Huella]]/$AU$4</f>
        <v>5.6288922915253376E-3</v>
      </c>
      <c r="AQ88" s="26" t="str">
        <f>IFERROR(INDEX('BD(MSCI)'!W:W,MATCH(Tabla_Consulta_desde_Reporte_de_Valorización_de_Instrumentos[[#This Row],[CODIGO_ISIN]],'BD(MSCI)'!C:C,0)),IF(Tabla_Consulta_desde_Reporte_de_Valorización_de_Instrumentos[[#This Row],[Rank_rt]]="Cash","Cash","Cuestionario Integra"))</f>
        <v>Portafolio</v>
      </c>
      <c r="AR88" s="26" t="str">
        <f>IFERROR(INDEX('BD(MSCI)'!X:X,MATCH(Tabla_Consulta_desde_Reporte_de_Valorización_de_Instrumentos[[#This Row],[CODIGO_ISIN]],'BD(MSCI)'!C:C,0)),"Cuestionario Integra")</f>
        <v>Portafolio</v>
      </c>
      <c r="AU88" s="26"/>
    </row>
    <row r="89" spans="2:47" hidden="1" x14ac:dyDescent="0.25">
      <c r="B89" s="14" t="s">
        <v>6390</v>
      </c>
      <c r="C89" t="s">
        <v>249</v>
      </c>
      <c r="D89" t="s">
        <v>10</v>
      </c>
      <c r="E89" t="s">
        <v>250</v>
      </c>
      <c r="F89" t="s">
        <v>329</v>
      </c>
      <c r="G89" t="str">
        <f>INDEX(Parametria!H:H,MATCH(Tabla_Consulta_desde_Reporte_de_Valorización_de_Instrumentos[[#This Row],[CODIGO_SBS]],Parametria!C:C,0),1)</f>
        <v xml:space="preserve">Telefónica del Perú </v>
      </c>
      <c r="H89" t="s">
        <v>330</v>
      </c>
      <c r="I89" t="s">
        <v>331</v>
      </c>
      <c r="J89" t="s">
        <v>316</v>
      </c>
      <c r="K89" t="s">
        <v>121</v>
      </c>
      <c r="L89">
        <v>5000</v>
      </c>
      <c r="M89" s="5">
        <v>654431.38035999995</v>
      </c>
      <c r="N89">
        <v>654431.38035999995</v>
      </c>
      <c r="O89">
        <v>200</v>
      </c>
      <c r="P89" s="15">
        <v>46955</v>
      </c>
      <c r="Q89">
        <v>933</v>
      </c>
      <c r="R89">
        <v>1</v>
      </c>
      <c r="S89" t="s">
        <v>155</v>
      </c>
      <c r="T89">
        <v>654431.38035999995</v>
      </c>
      <c r="U89" s="5">
        <v>654431.38035999995</v>
      </c>
      <c r="V89" t="s">
        <v>317</v>
      </c>
      <c r="W89">
        <v>11275211000</v>
      </c>
      <c r="X89">
        <v>10043242000</v>
      </c>
      <c r="Y89">
        <v>1231969000</v>
      </c>
      <c r="Z89">
        <v>0</v>
      </c>
      <c r="AA89" t="str">
        <f>+MID(Tabla_Consulta_desde_Reporte_de_Valorización_de_Instrumentos[[#This Row],[CODIGO_SBS]],7,1)</f>
        <v>3</v>
      </c>
      <c r="AB89">
        <f>INDEX('Cálculo Caja'!F:F,MATCH(Tabla_Consulta_desde_Reporte_de_Valorización_de_Instrumentos[[#This Row],[PORTAFOLIO]],'Cálculo Caja'!A:A,0),1)</f>
        <v>26256910350.436607</v>
      </c>
      <c r="AC89" s="17">
        <f>Tabla_Consulta_desde_Reporte_de_Valorización_de_Instrumentos[[#This Row],[VALOR_VECTOR_LOCAL]]/Tabla_Consulta_desde_Reporte_de_Valorización_de_Instrumentos[[#This Row],[Patrimonio]]</f>
        <v>2.4924157931213636E-5</v>
      </c>
      <c r="AD89" s="4">
        <f>(Tabla_Consulta_desde_Reporte_de_Valorización_de_Instrumentos[[#This Row],[VALOR_VECTOR_LOCAL]]/INDEX('Tipo de Cambio'!$D:$D,MATCH("2",'Tipo de Cambio'!$E:$E,0),1))/1000000</f>
        <v>0.19471908725638964</v>
      </c>
      <c r="AE89">
        <f>IF(Tabla_Consulta_desde_Reporte_de_Valorización_de_Instrumentos[[#This Row],[PORTAFOLIO]]="IN-FONDO0",Tabla_Consulta_desde_Reporte_de_Valorización_de_Instrumentos[[#This Row],[Inv MM$]],0)</f>
        <v>0</v>
      </c>
      <c r="AF89" s="26">
        <f>IF(Tabla_Consulta_desde_Reporte_de_Valorización_de_Instrumentos[[#This Row],[PORTAFOLIO]]="IN-FONDO1",Tabla_Consulta_desde_Reporte_de_Valorización_de_Instrumentos[[#This Row],[Inv MM$]],0)</f>
        <v>0</v>
      </c>
      <c r="AG89" s="26">
        <f>IF(Tabla_Consulta_desde_Reporte_de_Valorización_de_Instrumentos[[#This Row],[PORTAFOLIO]]="IN-FONDO2",Tabla_Consulta_desde_Reporte_de_Valorización_de_Instrumentos[[#This Row],[Inv MM$]],0)</f>
        <v>0.19471908725638964</v>
      </c>
      <c r="AH89" s="26">
        <f>IF(Tabla_Consulta_desde_Reporte_de_Valorización_de_Instrumentos[[#This Row],[PORTAFOLIO]]="IN-FONDO3",Tabla_Consulta_desde_Reporte_de_Valorización_de_Instrumentos[[#This Row],[Inv MM$]],0)</f>
        <v>0</v>
      </c>
      <c r="AI8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0.19471908725638964</v>
      </c>
      <c r="AJ89" s="26">
        <f>IFERROR(IFERROR(INDEX('BD(MSCI)'!$T:$T,MATCH(Tabla_Consulta_desde_Reporte_de_Valorización_de_Instrumentos[[#This Row],[CODIGO_ISIN]],'BD(MSCI)'!$C:$C,0),1),INDEX('BD(MSCI)'!$T:$T,MATCH(Tabla_Consulta_desde_Reporte_de_Valorización_de_Instrumentos[[#This Row],[CODIGO_SBS]],'BD(MSCI)'!$C:$C,0),1)),0)</f>
        <v>2.4</v>
      </c>
      <c r="AK89" s="26">
        <f>Tabla_Consulta_desde_Reporte_de_Valorización_de_Instrumentos[[#This Row],[C02-H]]*Tabla_Consulta_desde_Reporte_de_Valorización_de_Instrumentos[[#This Row],[Inv MM$]]</f>
        <v>0.46732580941533514</v>
      </c>
      <c r="AL89" s="26">
        <f>Tabla_Consulta_desde_Reporte_de_Valorización_de_Instrumentos[[#This Row],[C02-H]]*Tabla_Consulta_desde_Reporte_de_Valorización_de_Instrumentos[[#This Row],[Weight]]</f>
        <v>5.9817979034912724E-5</v>
      </c>
      <c r="AM89" s="26" t="str">
        <f>INDEX(Parametria!G:G,MATCH(Tabla_Consulta_desde_Reporte_de_Valorización_de_Instrumentos[[#This Row],[CODIGO_SBS]],Parametria!C:C,0))</f>
        <v>22RFLC</v>
      </c>
      <c r="AN89" s="26" t="str">
        <f>INDEX(Parametria!F:F,MATCH(Tabla_Consulta_desde_Reporte_de_Valorización_de_Instrumentos[[#This Row],[CODIGO_SBS]],Parametria!C:C,0))</f>
        <v>BU</v>
      </c>
      <c r="AO89" s="26" t="str">
        <f>+INDEX(Parametria!J:J,MATCH(Tabla_Consulta_desde_Reporte_de_Valorización_de_Instrumentos[[#This Row],[CODIGO_SBS]],Parametria!C:C,0))</f>
        <v>RFLBU</v>
      </c>
      <c r="AP89" s="26">
        <f>Tabla_Consulta_desde_Reporte_de_Valorización_de_Instrumentos[[#This Row],[Huella]]/$AU$4</f>
        <v>4.332333393450262E-5</v>
      </c>
      <c r="AQ89" s="26" t="str">
        <f>IFERROR(INDEX('BD(MSCI)'!W:W,MATCH(Tabla_Consulta_desde_Reporte_de_Valorización_de_Instrumentos[[#This Row],[CODIGO_ISIN]],'BD(MSCI)'!C:C,0)),IF(Tabla_Consulta_desde_Reporte_de_Valorización_de_Instrumentos[[#This Row],[Rank_rt]]="Cash","Cash","Cuestionario Integra"))</f>
        <v>Portafolio</v>
      </c>
      <c r="AR89" s="26" t="str">
        <f>IFERROR(INDEX('BD(MSCI)'!X:X,MATCH(Tabla_Consulta_desde_Reporte_de_Valorización_de_Instrumentos[[#This Row],[CODIGO_ISIN]],'BD(MSCI)'!C:C,0)),"Cuestionario Integra")</f>
        <v>Portafolio</v>
      </c>
      <c r="AU89" s="26"/>
    </row>
    <row r="90" spans="2:47" hidden="1" x14ac:dyDescent="0.25">
      <c r="B90" s="14" t="s">
        <v>6390</v>
      </c>
      <c r="C90" t="s">
        <v>249</v>
      </c>
      <c r="D90" t="s">
        <v>12</v>
      </c>
      <c r="E90" t="s">
        <v>250</v>
      </c>
      <c r="F90" t="s">
        <v>321</v>
      </c>
      <c r="G90" t="str">
        <f>INDEX(Parametria!H:H,MATCH(Tabla_Consulta_desde_Reporte_de_Valorización_de_Instrumentos[[#This Row],[CODIGO_SBS]],Parametria!C:C,0),1)</f>
        <v xml:space="preserve">Telefónica del Perú </v>
      </c>
      <c r="H90" t="s">
        <v>322</v>
      </c>
      <c r="I90" t="s">
        <v>323</v>
      </c>
      <c r="J90" t="s">
        <v>316</v>
      </c>
      <c r="K90" t="s">
        <v>90</v>
      </c>
      <c r="L90">
        <v>500000</v>
      </c>
      <c r="M90" s="5">
        <v>37878183.415296003</v>
      </c>
      <c r="N90">
        <v>37878183.415296003</v>
      </c>
      <c r="O90">
        <v>192</v>
      </c>
      <c r="P90" s="15">
        <v>46487</v>
      </c>
      <c r="Q90">
        <v>465</v>
      </c>
      <c r="R90">
        <v>1</v>
      </c>
      <c r="S90" t="s">
        <v>155</v>
      </c>
      <c r="T90">
        <v>37878183.415296003</v>
      </c>
      <c r="U90" s="5">
        <v>37878183.415296003</v>
      </c>
      <c r="V90" t="s">
        <v>317</v>
      </c>
      <c r="W90">
        <v>11275211000</v>
      </c>
      <c r="X90">
        <v>10043242000</v>
      </c>
      <c r="Y90">
        <v>1231969000</v>
      </c>
      <c r="Z90">
        <v>0</v>
      </c>
      <c r="AA90" t="str">
        <f>+MID(Tabla_Consulta_desde_Reporte_de_Valorización_de_Instrumentos[[#This Row],[CODIGO_SBS]],7,1)</f>
        <v>1</v>
      </c>
      <c r="AB90">
        <f>INDEX('Cálculo Caja'!F:F,MATCH(Tabla_Consulta_desde_Reporte_de_Valorización_de_Instrumentos[[#This Row],[PORTAFOLIO]],'Cálculo Caja'!A:A,0),1)</f>
        <v>7679510866.0565634</v>
      </c>
      <c r="AC90" s="17">
        <f>Tabla_Consulta_desde_Reporte_de_Valorización_de_Instrumentos[[#This Row],[VALOR_VECTOR_LOCAL]]/Tabla_Consulta_desde_Reporte_de_Valorización_de_Instrumentos[[#This Row],[Patrimonio]]</f>
        <v>4.9323692714229456E-3</v>
      </c>
      <c r="AD90" s="4">
        <f>(Tabla_Consulta_desde_Reporte_de_Valorización_de_Instrumentos[[#This Row],[VALOR_VECTOR_LOCAL]]/INDEX('Tipo de Cambio'!$D:$D,MATCH("2",'Tipo de Cambio'!$E:$E,0),1))/1000000</f>
        <v>11.270250056620549</v>
      </c>
      <c r="AE90">
        <f>IF(Tabla_Consulta_desde_Reporte_de_Valorización_de_Instrumentos[[#This Row],[PORTAFOLIO]]="IN-FONDO0",Tabla_Consulta_desde_Reporte_de_Valorización_de_Instrumentos[[#This Row],[Inv MM$]],0)</f>
        <v>0</v>
      </c>
      <c r="AF90" s="26">
        <f>IF(Tabla_Consulta_desde_Reporte_de_Valorización_de_Instrumentos[[#This Row],[PORTAFOLIO]]="IN-FONDO1",Tabla_Consulta_desde_Reporte_de_Valorización_de_Instrumentos[[#This Row],[Inv MM$]],0)</f>
        <v>11.270250056620549</v>
      </c>
      <c r="AG90" s="26">
        <f>IF(Tabla_Consulta_desde_Reporte_de_Valorización_de_Instrumentos[[#This Row],[PORTAFOLIO]]="IN-FONDO2",Tabla_Consulta_desde_Reporte_de_Valorización_de_Instrumentos[[#This Row],[Inv MM$]],0)</f>
        <v>0</v>
      </c>
      <c r="AH90" s="26">
        <f>IF(Tabla_Consulta_desde_Reporte_de_Valorización_de_Instrumentos[[#This Row],[PORTAFOLIO]]="IN-FONDO3",Tabla_Consulta_desde_Reporte_de_Valorización_de_Instrumentos[[#This Row],[Inv MM$]],0)</f>
        <v>0</v>
      </c>
      <c r="AI9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36.569613464971887</v>
      </c>
      <c r="AJ90" s="26">
        <f>IFERROR(IFERROR(INDEX('BD(MSCI)'!$T:$T,MATCH(Tabla_Consulta_desde_Reporte_de_Valorización_de_Instrumentos[[#This Row],[CODIGO_ISIN]],'BD(MSCI)'!$C:$C,0),1),INDEX('BD(MSCI)'!$T:$T,MATCH(Tabla_Consulta_desde_Reporte_de_Valorización_de_Instrumentos[[#This Row],[CODIGO_SBS]],'BD(MSCI)'!$C:$C,0),1)),0)</f>
        <v>2.4</v>
      </c>
      <c r="AK90" s="26">
        <f>Tabla_Consulta_desde_Reporte_de_Valorización_de_Instrumentos[[#This Row],[C02-H]]*Tabla_Consulta_desde_Reporte_de_Valorización_de_Instrumentos[[#This Row],[Inv MM$]]</f>
        <v>27.048600135889316</v>
      </c>
      <c r="AL90" s="26">
        <f>Tabla_Consulta_desde_Reporte_de_Valorización_de_Instrumentos[[#This Row],[C02-H]]*Tabla_Consulta_desde_Reporte_de_Valorización_de_Instrumentos[[#This Row],[Weight]]</f>
        <v>1.1837686251415069E-2</v>
      </c>
      <c r="AM90" s="26" t="str">
        <f>INDEX(Parametria!G:G,MATCH(Tabla_Consulta_desde_Reporte_de_Valorización_de_Instrumentos[[#This Row],[CODIGO_SBS]],Parametria!C:C,0))</f>
        <v>22RFLC</v>
      </c>
      <c r="AN90" s="26" t="str">
        <f>INDEX(Parametria!F:F,MATCH(Tabla_Consulta_desde_Reporte_de_Valorización_de_Instrumentos[[#This Row],[CODIGO_SBS]],Parametria!C:C,0))</f>
        <v>BU</v>
      </c>
      <c r="AO90" s="26" t="str">
        <f>+INDEX(Parametria!J:J,MATCH(Tabla_Consulta_desde_Reporte_de_Valorización_de_Instrumentos[[#This Row],[CODIGO_SBS]],Parametria!C:C,0))</f>
        <v>RFLBU</v>
      </c>
      <c r="AP90" s="26">
        <f>Tabla_Consulta_desde_Reporte_de_Valorización_de_Instrumentos[[#This Row],[Huella]]/$AU$4</f>
        <v>2.5075343850878532E-3</v>
      </c>
      <c r="AQ90" s="26" t="str">
        <f>IFERROR(INDEX('BD(MSCI)'!W:W,MATCH(Tabla_Consulta_desde_Reporte_de_Valorización_de_Instrumentos[[#This Row],[CODIGO_ISIN]],'BD(MSCI)'!C:C,0)),IF(Tabla_Consulta_desde_Reporte_de_Valorización_de_Instrumentos[[#This Row],[Rank_rt]]="Cash","Cash","Cuestionario Integra"))</f>
        <v>Portafolio</v>
      </c>
      <c r="AR90" s="26" t="str">
        <f>IFERROR(INDEX('BD(MSCI)'!X:X,MATCH(Tabla_Consulta_desde_Reporte_de_Valorización_de_Instrumentos[[#This Row],[CODIGO_ISIN]],'BD(MSCI)'!C:C,0)),"Cuestionario Integra")</f>
        <v>Portafolio</v>
      </c>
      <c r="AU90" s="26"/>
    </row>
    <row r="91" spans="2:47" hidden="1" x14ac:dyDescent="0.25">
      <c r="B91" s="14" t="s">
        <v>6390</v>
      </c>
      <c r="C91" t="s">
        <v>249</v>
      </c>
      <c r="D91" t="s">
        <v>12</v>
      </c>
      <c r="E91" t="s">
        <v>250</v>
      </c>
      <c r="F91" t="s">
        <v>324</v>
      </c>
      <c r="G91" t="str">
        <f>INDEX(Parametria!H:H,MATCH(Tabla_Consulta_desde_Reporte_de_Valorización_de_Instrumentos[[#This Row],[CODIGO_SBS]],Parametria!C:C,0),1)</f>
        <v xml:space="preserve">Telefónica del Perú </v>
      </c>
      <c r="H91" t="s">
        <v>325</v>
      </c>
      <c r="I91" t="s">
        <v>326</v>
      </c>
      <c r="J91" t="s">
        <v>316</v>
      </c>
      <c r="K91" t="s">
        <v>121</v>
      </c>
      <c r="L91">
        <v>5000</v>
      </c>
      <c r="M91" s="5">
        <v>581938.76615279994</v>
      </c>
      <c r="N91">
        <v>581938.76615279994</v>
      </c>
      <c r="O91">
        <v>168</v>
      </c>
      <c r="P91" s="15">
        <v>46581</v>
      </c>
      <c r="Q91">
        <v>559</v>
      </c>
      <c r="R91">
        <v>1</v>
      </c>
      <c r="S91" t="s">
        <v>155</v>
      </c>
      <c r="T91">
        <v>581938.76615279994</v>
      </c>
      <c r="U91" s="5">
        <v>581938.76615279994</v>
      </c>
      <c r="V91" t="s">
        <v>317</v>
      </c>
      <c r="W91">
        <v>11275211000</v>
      </c>
      <c r="X91">
        <v>10043242000</v>
      </c>
      <c r="Y91">
        <v>1231969000</v>
      </c>
      <c r="Z91">
        <v>0</v>
      </c>
      <c r="AA91" t="str">
        <f>+MID(Tabla_Consulta_desde_Reporte_de_Valorización_de_Instrumentos[[#This Row],[CODIGO_SBS]],7,1)</f>
        <v>3</v>
      </c>
      <c r="AB91">
        <f>INDEX('Cálculo Caja'!F:F,MATCH(Tabla_Consulta_desde_Reporte_de_Valorización_de_Instrumentos[[#This Row],[PORTAFOLIO]],'Cálculo Caja'!A:A,0),1)</f>
        <v>7679510866.0565634</v>
      </c>
      <c r="AC91" s="17">
        <f>Tabla_Consulta_desde_Reporte_de_Valorización_de_Instrumentos[[#This Row],[VALOR_VECTOR_LOCAL]]/Tabla_Consulta_desde_Reporte_de_Valorización_de_Instrumentos[[#This Row],[Patrimonio]]</f>
        <v>7.5778103098332624E-5</v>
      </c>
      <c r="AD91" s="4">
        <f>(Tabla_Consulta_desde_Reporte_de_Valorización_de_Instrumentos[[#This Row],[VALOR_VECTOR_LOCAL]]/INDEX('Tipo de Cambio'!$D:$D,MATCH("2",'Tipo de Cambio'!$E:$E,0),1))/1000000</f>
        <v>0.17314968197589931</v>
      </c>
      <c r="AE91">
        <f>IF(Tabla_Consulta_desde_Reporte_de_Valorización_de_Instrumentos[[#This Row],[PORTAFOLIO]]="IN-FONDO0",Tabla_Consulta_desde_Reporte_de_Valorización_de_Instrumentos[[#This Row],[Inv MM$]],0)</f>
        <v>0</v>
      </c>
      <c r="AF91" s="26">
        <f>IF(Tabla_Consulta_desde_Reporte_de_Valorización_de_Instrumentos[[#This Row],[PORTAFOLIO]]="IN-FONDO1",Tabla_Consulta_desde_Reporte_de_Valorización_de_Instrumentos[[#This Row],[Inv MM$]],0)</f>
        <v>0.17314968197589931</v>
      </c>
      <c r="AG91" s="26">
        <f>IF(Tabla_Consulta_desde_Reporte_de_Valorización_de_Instrumentos[[#This Row],[PORTAFOLIO]]="IN-FONDO2",Tabla_Consulta_desde_Reporte_de_Valorización_de_Instrumentos[[#This Row],[Inv MM$]],0)</f>
        <v>0</v>
      </c>
      <c r="AH91" s="26">
        <f>IF(Tabla_Consulta_desde_Reporte_de_Valorización_de_Instrumentos[[#This Row],[PORTAFOLIO]]="IN-FONDO3",Tabla_Consulta_desde_Reporte_de_Valorización_de_Instrumentos[[#This Row],[Inv MM$]],0)</f>
        <v>0</v>
      </c>
      <c r="AI9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0.86368710414168826</v>
      </c>
      <c r="AJ91" s="26">
        <f>IFERROR(IFERROR(INDEX('BD(MSCI)'!$T:$T,MATCH(Tabla_Consulta_desde_Reporte_de_Valorización_de_Instrumentos[[#This Row],[CODIGO_ISIN]],'BD(MSCI)'!$C:$C,0),1),INDEX('BD(MSCI)'!$T:$T,MATCH(Tabla_Consulta_desde_Reporte_de_Valorización_de_Instrumentos[[#This Row],[CODIGO_SBS]],'BD(MSCI)'!$C:$C,0),1)),0)</f>
        <v>2.4</v>
      </c>
      <c r="AK91" s="26">
        <f>Tabla_Consulta_desde_Reporte_de_Valorización_de_Instrumentos[[#This Row],[C02-H]]*Tabla_Consulta_desde_Reporte_de_Valorización_de_Instrumentos[[#This Row],[Inv MM$]]</f>
        <v>0.41555923674215833</v>
      </c>
      <c r="AL91" s="26">
        <f>Tabla_Consulta_desde_Reporte_de_Valorización_de_Instrumentos[[#This Row],[C02-H]]*Tabla_Consulta_desde_Reporte_de_Valorización_de_Instrumentos[[#This Row],[Weight]]</f>
        <v>1.818674474359983E-4</v>
      </c>
      <c r="AM91" s="26" t="str">
        <f>INDEX(Parametria!G:G,MATCH(Tabla_Consulta_desde_Reporte_de_Valorización_de_Instrumentos[[#This Row],[CODIGO_SBS]],Parametria!C:C,0))</f>
        <v>22RFLC</v>
      </c>
      <c r="AN91" s="26" t="str">
        <f>INDEX(Parametria!F:F,MATCH(Tabla_Consulta_desde_Reporte_de_Valorización_de_Instrumentos[[#This Row],[CODIGO_SBS]],Parametria!C:C,0))</f>
        <v>BU</v>
      </c>
      <c r="AO91" s="26" t="str">
        <f>+INDEX(Parametria!J:J,MATCH(Tabla_Consulta_desde_Reporte_de_Valorización_de_Instrumentos[[#This Row],[CODIGO_SBS]],Parametria!C:C,0))</f>
        <v>RFLBU</v>
      </c>
      <c r="AP91" s="26">
        <f>Tabla_Consulta_desde_Reporte_de_Valorización_de_Instrumentos[[#This Row],[Huella]]/$AU$4</f>
        <v>3.8524325471069901E-5</v>
      </c>
      <c r="AQ91" s="26" t="str">
        <f>IFERROR(INDEX('BD(MSCI)'!W:W,MATCH(Tabla_Consulta_desde_Reporte_de_Valorización_de_Instrumentos[[#This Row],[CODIGO_ISIN]],'BD(MSCI)'!C:C,0)),IF(Tabla_Consulta_desde_Reporte_de_Valorización_de_Instrumentos[[#This Row],[Rank_rt]]="Cash","Cash","Cuestionario Integra"))</f>
        <v>Portafolio</v>
      </c>
      <c r="AR91" s="26" t="str">
        <f>IFERROR(INDEX('BD(MSCI)'!X:X,MATCH(Tabla_Consulta_desde_Reporte_de_Valorización_de_Instrumentos[[#This Row],[CODIGO_ISIN]],'BD(MSCI)'!C:C,0)),"Cuestionario Integra")</f>
        <v>Portafolio</v>
      </c>
      <c r="AU91" s="26"/>
    </row>
    <row r="92" spans="2:47" hidden="1" x14ac:dyDescent="0.25">
      <c r="B92" s="14" t="s">
        <v>6390</v>
      </c>
      <c r="C92" t="s">
        <v>249</v>
      </c>
      <c r="D92" t="s">
        <v>12</v>
      </c>
      <c r="E92" t="s">
        <v>250</v>
      </c>
      <c r="F92" t="s">
        <v>318</v>
      </c>
      <c r="G92" t="str">
        <f>INDEX(Parametria!H:H,MATCH(Tabla_Consulta_desde_Reporte_de_Valorización_de_Instrumentos[[#This Row],[CODIGO_SBS]],Parametria!C:C,0),1)</f>
        <v xml:space="preserve">Telefónica del Perú </v>
      </c>
      <c r="H92" t="s">
        <v>319</v>
      </c>
      <c r="I92" t="s">
        <v>320</v>
      </c>
      <c r="J92" t="s">
        <v>316</v>
      </c>
      <c r="K92" t="s">
        <v>90</v>
      </c>
      <c r="L92">
        <v>5000</v>
      </c>
      <c r="M92" s="5">
        <v>5582694.2561788997</v>
      </c>
      <c r="N92">
        <v>5582694.2561788997</v>
      </c>
      <c r="O92">
        <v>2833</v>
      </c>
      <c r="P92" s="15">
        <v>46311</v>
      </c>
      <c r="Q92">
        <v>289</v>
      </c>
      <c r="R92">
        <v>1</v>
      </c>
      <c r="S92" t="s">
        <v>155</v>
      </c>
      <c r="T92">
        <v>5582694.2561788997</v>
      </c>
      <c r="U92" s="5">
        <v>5582694.2561788997</v>
      </c>
      <c r="V92" t="s">
        <v>317</v>
      </c>
      <c r="W92">
        <v>11275211000</v>
      </c>
      <c r="X92">
        <v>10043242000</v>
      </c>
      <c r="Y92">
        <v>1231969000</v>
      </c>
      <c r="Z92">
        <v>0</v>
      </c>
      <c r="AA92" t="str">
        <f>+MID(Tabla_Consulta_desde_Reporte_de_Valorización_de_Instrumentos[[#This Row],[CODIGO_SBS]],7,1)</f>
        <v>1</v>
      </c>
      <c r="AB92">
        <f>INDEX('Cálculo Caja'!F:F,MATCH(Tabla_Consulta_desde_Reporte_de_Valorización_de_Instrumentos[[#This Row],[PORTAFOLIO]],'Cálculo Caja'!A:A,0),1)</f>
        <v>7679510866.0565634</v>
      </c>
      <c r="AC92" s="17">
        <f>Tabla_Consulta_desde_Reporte_de_Valorización_de_Instrumentos[[#This Row],[VALOR_VECTOR_LOCAL]]/Tabla_Consulta_desde_Reporte_de_Valorización_de_Instrumentos[[#This Row],[Patrimonio]]</f>
        <v>7.2695961416688749E-4</v>
      </c>
      <c r="AD92" s="4">
        <f>(Tabla_Consulta_desde_Reporte_de_Valorización_de_Instrumentos[[#This Row],[VALOR_VECTOR_LOCAL]]/INDEX('Tipo de Cambio'!$D:$D,MATCH("2",'Tipo de Cambio'!$E:$E,0),1))/1000000</f>
        <v>1.6610712178817875</v>
      </c>
      <c r="AE92">
        <f>IF(Tabla_Consulta_desde_Reporte_de_Valorización_de_Instrumentos[[#This Row],[PORTAFOLIO]]="IN-FONDO0",Tabla_Consulta_desde_Reporte_de_Valorización_de_Instrumentos[[#This Row],[Inv MM$]],0)</f>
        <v>0</v>
      </c>
      <c r="AF92" s="26">
        <f>IF(Tabla_Consulta_desde_Reporte_de_Valorización_de_Instrumentos[[#This Row],[PORTAFOLIO]]="IN-FONDO1",Tabla_Consulta_desde_Reporte_de_Valorización_de_Instrumentos[[#This Row],[Inv MM$]],0)</f>
        <v>1.6610712178817875</v>
      </c>
      <c r="AG92" s="26">
        <f>IF(Tabla_Consulta_desde_Reporte_de_Valorización_de_Instrumentos[[#This Row],[PORTAFOLIO]]="IN-FONDO2",Tabla_Consulta_desde_Reporte_de_Valorización_de_Instrumentos[[#This Row],[Inv MM$]],0)</f>
        <v>0</v>
      </c>
      <c r="AH92" s="26">
        <f>IF(Tabla_Consulta_desde_Reporte_de_Valorización_de_Instrumentos[[#This Row],[PORTAFOLIO]]="IN-FONDO3",Tabla_Consulta_desde_Reporte_de_Valorización_de_Instrumentos[[#This Row],[Inv MM$]],0)</f>
        <v>0</v>
      </c>
      <c r="AI9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1.6610712178817875</v>
      </c>
      <c r="AJ92" s="26">
        <f>IFERROR(IFERROR(INDEX('BD(MSCI)'!$T:$T,MATCH(Tabla_Consulta_desde_Reporte_de_Valorización_de_Instrumentos[[#This Row],[CODIGO_ISIN]],'BD(MSCI)'!$C:$C,0),1),INDEX('BD(MSCI)'!$T:$T,MATCH(Tabla_Consulta_desde_Reporte_de_Valorización_de_Instrumentos[[#This Row],[CODIGO_SBS]],'BD(MSCI)'!$C:$C,0),1)),0)</f>
        <v>2.4</v>
      </c>
      <c r="AK92" s="26">
        <f>Tabla_Consulta_desde_Reporte_de_Valorización_de_Instrumentos[[#This Row],[C02-H]]*Tabla_Consulta_desde_Reporte_de_Valorización_de_Instrumentos[[#This Row],[Inv MM$]]</f>
        <v>3.9865709229162896</v>
      </c>
      <c r="AL92" s="26">
        <f>Tabla_Consulta_desde_Reporte_de_Valorización_de_Instrumentos[[#This Row],[C02-H]]*Tabla_Consulta_desde_Reporte_de_Valorización_de_Instrumentos[[#This Row],[Weight]]</f>
        <v>1.7447030740005299E-3</v>
      </c>
      <c r="AM92" s="26" t="str">
        <f>INDEX(Parametria!G:G,MATCH(Tabla_Consulta_desde_Reporte_de_Valorización_de_Instrumentos[[#This Row],[CODIGO_SBS]],Parametria!C:C,0))</f>
        <v>22RFLC</v>
      </c>
      <c r="AN92" s="26" t="str">
        <f>INDEX(Parametria!F:F,MATCH(Tabla_Consulta_desde_Reporte_de_Valorización_de_Instrumentos[[#This Row],[CODIGO_SBS]],Parametria!C:C,0))</f>
        <v>BU</v>
      </c>
      <c r="AO92" s="26" t="str">
        <f>+INDEX(Parametria!J:J,MATCH(Tabla_Consulta_desde_Reporte_de_Valorización_de_Instrumentos[[#This Row],[CODIGO_SBS]],Parametria!C:C,0))</f>
        <v>RFLBU</v>
      </c>
      <c r="AP92" s="26">
        <f>Tabla_Consulta_desde_Reporte_de_Valorización_de_Instrumentos[[#This Row],[Huella]]/$AU$4</f>
        <v>3.6957415975624741E-4</v>
      </c>
      <c r="AQ92" s="26" t="str">
        <f>IFERROR(INDEX('BD(MSCI)'!W:W,MATCH(Tabla_Consulta_desde_Reporte_de_Valorización_de_Instrumentos[[#This Row],[CODIGO_ISIN]],'BD(MSCI)'!C:C,0)),IF(Tabla_Consulta_desde_Reporte_de_Valorización_de_Instrumentos[[#This Row],[Rank_rt]]="Cash","Cash","Cuestionario Integra"))</f>
        <v>Portafolio</v>
      </c>
      <c r="AR92" s="26" t="str">
        <f>IFERROR(INDEX('BD(MSCI)'!X:X,MATCH(Tabla_Consulta_desde_Reporte_de_Valorización_de_Instrumentos[[#This Row],[CODIGO_ISIN]],'BD(MSCI)'!C:C,0)),"Cuestionario Integra")</f>
        <v>Portafolio</v>
      </c>
      <c r="AU92" s="26"/>
    </row>
    <row r="93" spans="2:47" hidden="1" x14ac:dyDescent="0.25">
      <c r="B93" s="14" t="s">
        <v>6390</v>
      </c>
      <c r="C93" t="s">
        <v>249</v>
      </c>
      <c r="D93" t="s">
        <v>12</v>
      </c>
      <c r="E93" t="s">
        <v>250</v>
      </c>
      <c r="F93" t="s">
        <v>6407</v>
      </c>
      <c r="G93" t="str">
        <f>INDEX(Parametria!H:H,MATCH(Tabla_Consulta_desde_Reporte_de_Valorización_de_Instrumentos[[#This Row],[CODIGO_SBS]],Parametria!C:C,0),1)</f>
        <v>Pluz Energía Perú S.A.A</v>
      </c>
      <c r="H93" t="s">
        <v>6408</v>
      </c>
      <c r="I93" t="s">
        <v>6409</v>
      </c>
      <c r="J93" t="s">
        <v>332</v>
      </c>
      <c r="K93" t="s">
        <v>90</v>
      </c>
      <c r="L93">
        <v>1000</v>
      </c>
      <c r="M93" s="5">
        <v>60258705.408</v>
      </c>
      <c r="N93">
        <v>60258705.408</v>
      </c>
      <c r="O93">
        <v>60000</v>
      </c>
      <c r="P93" s="15">
        <v>48932</v>
      </c>
      <c r="Q93">
        <v>2910</v>
      </c>
      <c r="R93">
        <v>1</v>
      </c>
      <c r="S93" t="s">
        <v>155</v>
      </c>
      <c r="T93">
        <v>60087730.272</v>
      </c>
      <c r="U93" s="5">
        <v>60087730.272</v>
      </c>
      <c r="V93" t="s">
        <v>333</v>
      </c>
      <c r="W93">
        <v>6803800000</v>
      </c>
      <c r="X93">
        <v>3267830000</v>
      </c>
      <c r="Y93">
        <v>3535970000</v>
      </c>
      <c r="Z93">
        <v>2.8495856000000002</v>
      </c>
      <c r="AA93" t="str">
        <f>+MID(Tabla_Consulta_desde_Reporte_de_Valorización_de_Instrumentos[[#This Row],[CODIGO_SBS]],7,1)</f>
        <v>1</v>
      </c>
      <c r="AB93">
        <f>INDEX('Cálculo Caja'!F:F,MATCH(Tabla_Consulta_desde_Reporte_de_Valorización_de_Instrumentos[[#This Row],[PORTAFOLIO]],'Cálculo Caja'!A:A,0),1)</f>
        <v>7679510866.0565634</v>
      </c>
      <c r="AC93" s="17">
        <f>Tabla_Consulta_desde_Reporte_de_Valorización_de_Instrumentos[[#This Row],[VALOR_VECTOR_LOCAL]]/Tabla_Consulta_desde_Reporte_de_Valorización_de_Instrumentos[[#This Row],[Patrimonio]]</f>
        <v>7.8466853500192921E-3</v>
      </c>
      <c r="AD93" s="4">
        <f>(Tabla_Consulta_desde_Reporte_de_Valorización_de_Instrumentos[[#This Row],[VALOR_VECTOR_LOCAL]]/INDEX('Tipo de Cambio'!$D:$D,MATCH("2",'Tipo de Cambio'!$E:$E,0),1))/1000000</f>
        <v>17.929336013567795</v>
      </c>
      <c r="AE93">
        <f>IF(Tabla_Consulta_desde_Reporte_de_Valorización_de_Instrumentos[[#This Row],[PORTAFOLIO]]="IN-FONDO0",Tabla_Consulta_desde_Reporte_de_Valorización_de_Instrumentos[[#This Row],[Inv MM$]],0)</f>
        <v>0</v>
      </c>
      <c r="AF93" s="26">
        <f>IF(Tabla_Consulta_desde_Reporte_de_Valorización_de_Instrumentos[[#This Row],[PORTAFOLIO]]="IN-FONDO1",Tabla_Consulta_desde_Reporte_de_Valorización_de_Instrumentos[[#This Row],[Inv MM$]],0)</f>
        <v>17.929336013567795</v>
      </c>
      <c r="AG93" s="26">
        <f>IF(Tabla_Consulta_desde_Reporte_de_Valorización_de_Instrumentos[[#This Row],[PORTAFOLIO]]="IN-FONDO2",Tabla_Consulta_desde_Reporte_de_Valorización_de_Instrumentos[[#This Row],[Inv MM$]],0)</f>
        <v>0</v>
      </c>
      <c r="AH93" s="26">
        <f>IF(Tabla_Consulta_desde_Reporte_de_Valorización_de_Instrumentos[[#This Row],[PORTAFOLIO]]="IN-FONDO3",Tabla_Consulta_desde_Reporte_de_Valorización_de_Instrumentos[[#This Row],[Inv MM$]],0)</f>
        <v>0</v>
      </c>
      <c r="AI9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17.929336013567795</v>
      </c>
      <c r="AJ93" s="26">
        <f>IFERROR(IFERROR(INDEX('BD(MSCI)'!$T:$T,MATCH(Tabla_Consulta_desde_Reporte_de_Valorización_de_Instrumentos[[#This Row],[CODIGO_ISIN]],'BD(MSCI)'!$C:$C,0),1),INDEX('BD(MSCI)'!$T:$T,MATCH(Tabla_Consulta_desde_Reporte_de_Valorización_de_Instrumentos[[#This Row],[CODIGO_SBS]],'BD(MSCI)'!$C:$C,0),1)),0)</f>
        <v>295.20288226000002</v>
      </c>
      <c r="AK93" s="26">
        <f>Tabla_Consulta_desde_Reporte_de_Valorización_de_Instrumentos[[#This Row],[C02-H]]*Tabla_Consulta_desde_Reporte_de_Valorización_de_Instrumentos[[#This Row],[Inv MM$]]</f>
        <v>5292.7916682132318</v>
      </c>
      <c r="AL93" s="26">
        <f>Tabla_Consulta_desde_Reporte_de_Valorización_de_Instrumentos[[#This Row],[C02-H]]*Tabla_Consulta_desde_Reporte_de_Valorización_de_Instrumentos[[#This Row],[Weight]]</f>
        <v>2.3163641315130121</v>
      </c>
      <c r="AM93" s="26" t="str">
        <f>INDEX(Parametria!G:G,MATCH(Tabla_Consulta_desde_Reporte_de_Valorización_de_Instrumentos[[#This Row],[CODIGO_SBS]],Parametria!C:C,0))</f>
        <v>22RFLC</v>
      </c>
      <c r="AN93" s="26" t="str">
        <f>INDEX(Parametria!F:F,MATCH(Tabla_Consulta_desde_Reporte_de_Valorización_de_Instrumentos[[#This Row],[CODIGO_SBS]],Parametria!C:C,0))</f>
        <v>BU</v>
      </c>
      <c r="AO93" s="26" t="str">
        <f>+INDEX(Parametria!J:J,MATCH(Tabla_Consulta_desde_Reporte_de_Valorización_de_Instrumentos[[#This Row],[CODIGO_SBS]],Parametria!C:C,0))</f>
        <v>RFLBU</v>
      </c>
      <c r="AP93" s="26">
        <f>Tabla_Consulta_desde_Reporte_de_Valorización_de_Instrumentos[[#This Row],[Huella]]/$AU$4</f>
        <v>0.49066705982841141</v>
      </c>
      <c r="AQ93" s="26" t="str">
        <f>IFERROR(INDEX('BD(MSCI)'!W:W,MATCH(Tabla_Consulta_desde_Reporte_de_Valorización_de_Instrumentos[[#This Row],[CODIGO_ISIN]],'BD(MSCI)'!C:C,0)),IF(Tabla_Consulta_desde_Reporte_de_Valorización_de_Instrumentos[[#This Row],[Rank_rt]]="Cash","Cash","Cuestionario Integra"))</f>
        <v>Proxies</v>
      </c>
      <c r="AR93" s="26" t="str">
        <f>IFERROR(INDEX('BD(MSCI)'!X:X,MATCH(Tabla_Consulta_desde_Reporte_de_Valorización_de_Instrumentos[[#This Row],[CODIGO_ISIN]],'BD(MSCI)'!C:C,0)),"Cuestionario Integra")</f>
        <v>BU</v>
      </c>
      <c r="AU93" s="26"/>
    </row>
    <row r="94" spans="2:47" hidden="1" x14ac:dyDescent="0.25">
      <c r="B94" s="14" t="s">
        <v>6390</v>
      </c>
      <c r="C94" t="s">
        <v>249</v>
      </c>
      <c r="D94" t="s">
        <v>12</v>
      </c>
      <c r="E94" t="s">
        <v>250</v>
      </c>
      <c r="F94" t="s">
        <v>6410</v>
      </c>
      <c r="G94" t="str">
        <f>INDEX(Parametria!H:H,MATCH(Tabla_Consulta_desde_Reporte_de_Valorización_de_Instrumentos[[#This Row],[CODIGO_SBS]],Parametria!C:C,0),1)</f>
        <v>Orazen</v>
      </c>
      <c r="H94" t="s">
        <v>6411</v>
      </c>
      <c r="I94" t="s">
        <v>6412</v>
      </c>
      <c r="J94" t="s">
        <v>336</v>
      </c>
      <c r="K94" t="s">
        <v>50</v>
      </c>
      <c r="L94">
        <v>1000</v>
      </c>
      <c r="M94" s="5">
        <v>72221175.800855994</v>
      </c>
      <c r="N94">
        <v>21488641.673616</v>
      </c>
      <c r="O94">
        <v>20848</v>
      </c>
      <c r="P94" s="15">
        <v>48474</v>
      </c>
      <c r="Q94">
        <v>2452</v>
      </c>
      <c r="R94">
        <v>3.3609</v>
      </c>
      <c r="S94" t="s">
        <v>155</v>
      </c>
      <c r="T94">
        <v>72233364.949398398</v>
      </c>
      <c r="U94" s="5">
        <v>21481402.768511999</v>
      </c>
      <c r="V94" t="s">
        <v>198</v>
      </c>
      <c r="W94">
        <v>1185890000</v>
      </c>
      <c r="X94">
        <v>384194000</v>
      </c>
      <c r="Y94">
        <v>801696000</v>
      </c>
      <c r="Z94">
        <v>0.347223</v>
      </c>
      <c r="AA94" t="str">
        <f>+MID(Tabla_Consulta_desde_Reporte_de_Valorización_de_Instrumentos[[#This Row],[CODIGO_SBS]],7,1)</f>
        <v>2</v>
      </c>
      <c r="AB94">
        <f>INDEX('Cálculo Caja'!F:F,MATCH(Tabla_Consulta_desde_Reporte_de_Valorización_de_Instrumentos[[#This Row],[PORTAFOLIO]],'Cálculo Caja'!A:A,0),1)</f>
        <v>7679510866.0565634</v>
      </c>
      <c r="AC94" s="17">
        <f>Tabla_Consulta_desde_Reporte_de_Valorización_de_Instrumentos[[#This Row],[VALOR_VECTOR_LOCAL]]/Tabla_Consulta_desde_Reporte_de_Valorización_de_Instrumentos[[#This Row],[Patrimonio]]</f>
        <v>9.4043978920680445E-3</v>
      </c>
      <c r="AD94" s="4">
        <f>(Tabla_Consulta_desde_Reporte_de_Valorización_de_Instrumentos[[#This Row],[VALOR_VECTOR_LOCAL]]/INDEX('Tipo de Cambio'!$D:$D,MATCH("2",'Tipo de Cambio'!$E:$E,0),1))/1000000</f>
        <v>21.488641673615994</v>
      </c>
      <c r="AE94">
        <f>IF(Tabla_Consulta_desde_Reporte_de_Valorización_de_Instrumentos[[#This Row],[PORTAFOLIO]]="IN-FONDO0",Tabla_Consulta_desde_Reporte_de_Valorización_de_Instrumentos[[#This Row],[Inv MM$]],0)</f>
        <v>0</v>
      </c>
      <c r="AF94" s="26">
        <f>IF(Tabla_Consulta_desde_Reporte_de_Valorización_de_Instrumentos[[#This Row],[PORTAFOLIO]]="IN-FONDO1",Tabla_Consulta_desde_Reporte_de_Valorización_de_Instrumentos[[#This Row],[Inv MM$]],0)</f>
        <v>21.488641673615994</v>
      </c>
      <c r="AG94" s="26">
        <f>IF(Tabla_Consulta_desde_Reporte_de_Valorización_de_Instrumentos[[#This Row],[PORTAFOLIO]]="IN-FONDO2",Tabla_Consulta_desde_Reporte_de_Valorización_de_Instrumentos[[#This Row],[Inv MM$]],0)</f>
        <v>0</v>
      </c>
      <c r="AH94" s="26">
        <f>IF(Tabla_Consulta_desde_Reporte_de_Valorización_de_Instrumentos[[#This Row],[PORTAFOLIO]]="IN-FONDO3",Tabla_Consulta_desde_Reporte_de_Valorización_de_Instrumentos[[#This Row],[Inv MM$]],0)</f>
        <v>0</v>
      </c>
      <c r="AI9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41.349761992538987</v>
      </c>
      <c r="AJ94" s="26">
        <f>IFERROR(IFERROR(INDEX('BD(MSCI)'!$T:$T,MATCH(Tabla_Consulta_desde_Reporte_de_Valorización_de_Instrumentos[[#This Row],[CODIGO_ISIN]],'BD(MSCI)'!$C:$C,0),1),INDEX('BD(MSCI)'!$T:$T,MATCH(Tabla_Consulta_desde_Reporte_de_Valorización_de_Instrumentos[[#This Row],[CODIGO_SBS]],'BD(MSCI)'!$C:$C,0),1)),0)</f>
        <v>295.20288226000002</v>
      </c>
      <c r="AK94" s="26">
        <f>Tabla_Consulta_desde_Reporte_de_Valorización_de_Instrumentos[[#This Row],[C02-H]]*Tabla_Consulta_desde_Reporte_de_Valorización_de_Instrumentos[[#This Row],[Inv MM$]]</f>
        <v>6343.5089579037922</v>
      </c>
      <c r="AL94" s="26">
        <f>Tabla_Consulta_desde_Reporte_de_Valorización_de_Instrumentos[[#This Row],[C02-H]]*Tabla_Consulta_desde_Reporte_de_Valorización_de_Instrumentos[[#This Row],[Weight]]</f>
        <v>2.7762053636583555</v>
      </c>
      <c r="AM94" s="26" t="str">
        <f>INDEX(Parametria!G:G,MATCH(Tabla_Consulta_desde_Reporte_de_Valorización_de_Instrumentos[[#This Row],[CODIGO_SBS]],Parametria!C:C,0))</f>
        <v>22RFLC</v>
      </c>
      <c r="AN94" s="26" t="str">
        <f>INDEX(Parametria!F:F,MATCH(Tabla_Consulta_desde_Reporte_de_Valorización_de_Instrumentos[[#This Row],[CODIGO_SBS]],Parametria!C:C,0))</f>
        <v>BU</v>
      </c>
      <c r="AO94" s="26" t="str">
        <f>+INDEX(Parametria!J:J,MATCH(Tabla_Consulta_desde_Reporte_de_Valorización_de_Instrumentos[[#This Row],[CODIGO_SBS]],Parametria!C:C,0))</f>
        <v>RFLBU</v>
      </c>
      <c r="AP94" s="26">
        <f>Tabla_Consulta_desde_Reporte_de_Valorización_de_Instrumentos[[#This Row],[Huella]]/$AU$4</f>
        <v>0.58807356958007662</v>
      </c>
      <c r="AQ94" s="26" t="str">
        <f>IFERROR(INDEX('BD(MSCI)'!W:W,MATCH(Tabla_Consulta_desde_Reporte_de_Valorización_de_Instrumentos[[#This Row],[CODIGO_ISIN]],'BD(MSCI)'!C:C,0)),IF(Tabla_Consulta_desde_Reporte_de_Valorización_de_Instrumentos[[#This Row],[Rank_rt]]="Cash","Cash","Cuestionario Integra"))</f>
        <v>Proxies</v>
      </c>
      <c r="AR94" s="26" t="str">
        <f>IFERROR(INDEX('BD(MSCI)'!X:X,MATCH(Tabla_Consulta_desde_Reporte_de_Valorización_de_Instrumentos[[#This Row],[CODIGO_ISIN]],'BD(MSCI)'!C:C,0)),"Cuestionario Integra")</f>
        <v>BU</v>
      </c>
      <c r="AU94" s="26"/>
    </row>
    <row r="95" spans="2:47" hidden="1" x14ac:dyDescent="0.25">
      <c r="B95" s="14" t="s">
        <v>6390</v>
      </c>
      <c r="C95" t="s">
        <v>249</v>
      </c>
      <c r="D95" t="s">
        <v>10</v>
      </c>
      <c r="E95" t="s">
        <v>250</v>
      </c>
      <c r="F95" t="s">
        <v>6410</v>
      </c>
      <c r="G95" t="str">
        <f>INDEX(Parametria!H:H,MATCH(Tabla_Consulta_desde_Reporte_de_Valorización_de_Instrumentos[[#This Row],[CODIGO_SBS]],Parametria!C:C,0),1)</f>
        <v>Orazen</v>
      </c>
      <c r="H95" t="s">
        <v>6411</v>
      </c>
      <c r="I95" t="s">
        <v>6412</v>
      </c>
      <c r="J95" t="s">
        <v>336</v>
      </c>
      <c r="K95" t="s">
        <v>50</v>
      </c>
      <c r="L95">
        <v>1000</v>
      </c>
      <c r="M95" s="5">
        <v>66751239.279868297</v>
      </c>
      <c r="N95">
        <v>19861120.318923</v>
      </c>
      <c r="O95">
        <v>19269</v>
      </c>
      <c r="P95" s="15">
        <v>48474</v>
      </c>
      <c r="Q95">
        <v>2452</v>
      </c>
      <c r="R95">
        <v>3.3609</v>
      </c>
      <c r="S95" t="s">
        <v>155</v>
      </c>
      <c r="T95">
        <v>66762505.238390103</v>
      </c>
      <c r="U95" s="5">
        <v>19854429.678936001</v>
      </c>
      <c r="V95" t="s">
        <v>198</v>
      </c>
      <c r="W95">
        <v>1185890000</v>
      </c>
      <c r="X95">
        <v>384194000</v>
      </c>
      <c r="Y95">
        <v>801696000</v>
      </c>
      <c r="Z95">
        <v>0.347223</v>
      </c>
      <c r="AA95" t="str">
        <f>+MID(Tabla_Consulta_desde_Reporte_de_Valorización_de_Instrumentos[[#This Row],[CODIGO_SBS]],7,1)</f>
        <v>2</v>
      </c>
      <c r="AB95">
        <f>INDEX('Cálculo Caja'!F:F,MATCH(Tabla_Consulta_desde_Reporte_de_Valorización_de_Instrumentos[[#This Row],[PORTAFOLIO]],'Cálculo Caja'!A:A,0),1)</f>
        <v>26256910350.436607</v>
      </c>
      <c r="AC95" s="17">
        <f>Tabla_Consulta_desde_Reporte_de_Valorización_de_Instrumentos[[#This Row],[VALOR_VECTOR_LOCAL]]/Tabla_Consulta_desde_Reporte_de_Valorización_de_Instrumentos[[#This Row],[Patrimonio]]</f>
        <v>2.54223510645297E-3</v>
      </c>
      <c r="AD95" s="4">
        <f>(Tabla_Consulta_desde_Reporte_de_Valorización_de_Instrumentos[[#This Row],[VALOR_VECTOR_LOCAL]]/INDEX('Tipo de Cambio'!$D:$D,MATCH("2",'Tipo de Cambio'!$E:$E,0),1))/1000000</f>
        <v>19.861120318922996</v>
      </c>
      <c r="AE95">
        <f>IF(Tabla_Consulta_desde_Reporte_de_Valorización_de_Instrumentos[[#This Row],[PORTAFOLIO]]="IN-FONDO0",Tabla_Consulta_desde_Reporte_de_Valorización_de_Instrumentos[[#This Row],[Inv MM$]],0)</f>
        <v>0</v>
      </c>
      <c r="AF95" s="26">
        <f>IF(Tabla_Consulta_desde_Reporte_de_Valorización_de_Instrumentos[[#This Row],[PORTAFOLIO]]="IN-FONDO1",Tabla_Consulta_desde_Reporte_de_Valorización_de_Instrumentos[[#This Row],[Inv MM$]],0)</f>
        <v>0</v>
      </c>
      <c r="AG95" s="26">
        <f>IF(Tabla_Consulta_desde_Reporte_de_Valorización_de_Instrumentos[[#This Row],[PORTAFOLIO]]="IN-FONDO2",Tabla_Consulta_desde_Reporte_de_Valorización_de_Instrumentos[[#This Row],[Inv MM$]],0)</f>
        <v>19.861120318922996</v>
      </c>
      <c r="AH95" s="26">
        <f>IF(Tabla_Consulta_desde_Reporte_de_Valorización_de_Instrumentos[[#This Row],[PORTAFOLIO]]="IN-FONDO3",Tabla_Consulta_desde_Reporte_de_Valorización_de_Instrumentos[[#This Row],[Inv MM$]],0)</f>
        <v>0</v>
      </c>
      <c r="AI9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41.349761992538987</v>
      </c>
      <c r="AJ95" s="26">
        <f>IFERROR(IFERROR(INDEX('BD(MSCI)'!$T:$T,MATCH(Tabla_Consulta_desde_Reporte_de_Valorización_de_Instrumentos[[#This Row],[CODIGO_ISIN]],'BD(MSCI)'!$C:$C,0),1),INDEX('BD(MSCI)'!$T:$T,MATCH(Tabla_Consulta_desde_Reporte_de_Valorización_de_Instrumentos[[#This Row],[CODIGO_SBS]],'BD(MSCI)'!$C:$C,0),1)),0)</f>
        <v>295.20288226000002</v>
      </c>
      <c r="AK95" s="26">
        <f>Tabla_Consulta_desde_Reporte_de_Valorización_de_Instrumentos[[#This Row],[C02-H]]*Tabla_Consulta_desde_Reporte_de_Valorización_de_Instrumentos[[#This Row],[Inv MM$]]</f>
        <v>5863.0599630587194</v>
      </c>
      <c r="AL95" s="26">
        <f>Tabla_Consulta_desde_Reporte_de_Valorización_de_Instrumentos[[#This Row],[C02-H]]*Tabla_Consulta_desde_Reporte_de_Valorización_de_Instrumentos[[#This Row],[Weight]]</f>
        <v>0.75047513080747474</v>
      </c>
      <c r="AM95" s="26" t="str">
        <f>INDEX(Parametria!G:G,MATCH(Tabla_Consulta_desde_Reporte_de_Valorización_de_Instrumentos[[#This Row],[CODIGO_SBS]],Parametria!C:C,0))</f>
        <v>22RFLC</v>
      </c>
      <c r="AN95" s="26" t="str">
        <f>INDEX(Parametria!F:F,MATCH(Tabla_Consulta_desde_Reporte_de_Valorización_de_Instrumentos[[#This Row],[CODIGO_SBS]],Parametria!C:C,0))</f>
        <v>BU</v>
      </c>
      <c r="AO95" s="26" t="str">
        <f>+INDEX(Parametria!J:J,MATCH(Tabla_Consulta_desde_Reporte_de_Valorización_de_Instrumentos[[#This Row],[CODIGO_SBS]],Parametria!C:C,0))</f>
        <v>RFLBU</v>
      </c>
      <c r="AP95" s="26">
        <f>Tabla_Consulta_desde_Reporte_de_Valorización_de_Instrumentos[[#This Row],[Huella]]/$AU$4</f>
        <v>0.54353365369524642</v>
      </c>
      <c r="AQ95" s="26" t="str">
        <f>IFERROR(INDEX('BD(MSCI)'!W:W,MATCH(Tabla_Consulta_desde_Reporte_de_Valorización_de_Instrumentos[[#This Row],[CODIGO_ISIN]],'BD(MSCI)'!C:C,0)),IF(Tabla_Consulta_desde_Reporte_de_Valorización_de_Instrumentos[[#This Row],[Rank_rt]]="Cash","Cash","Cuestionario Integra"))</f>
        <v>Proxies</v>
      </c>
      <c r="AR95" s="26" t="str">
        <f>IFERROR(INDEX('BD(MSCI)'!X:X,MATCH(Tabla_Consulta_desde_Reporte_de_Valorización_de_Instrumentos[[#This Row],[CODIGO_ISIN]],'BD(MSCI)'!C:C,0)),"Cuestionario Integra")</f>
        <v>BU</v>
      </c>
      <c r="AU95" s="26"/>
    </row>
    <row r="96" spans="2:47" hidden="1" x14ac:dyDescent="0.25">
      <c r="B96" s="14" t="s">
        <v>6390</v>
      </c>
      <c r="C96" t="s">
        <v>249</v>
      </c>
      <c r="D96" t="s">
        <v>10</v>
      </c>
      <c r="E96" t="s">
        <v>250</v>
      </c>
      <c r="F96" t="s">
        <v>6413</v>
      </c>
      <c r="G96" t="str">
        <f>INDEX(Parametria!H:H,MATCH(Tabla_Consulta_desde_Reporte_de_Valorización_de_Instrumentos[[#This Row],[CODIGO_SBS]],Parametria!C:C,0),1)</f>
        <v xml:space="preserve">Luz del Sur </v>
      </c>
      <c r="H96" t="s">
        <v>6414</v>
      </c>
      <c r="I96" t="s">
        <v>6415</v>
      </c>
      <c r="J96" t="s">
        <v>854</v>
      </c>
      <c r="K96" t="s">
        <v>90</v>
      </c>
      <c r="L96">
        <v>1000</v>
      </c>
      <c r="M96" s="5">
        <v>71901550</v>
      </c>
      <c r="N96">
        <v>71901550</v>
      </c>
      <c r="O96">
        <v>70000</v>
      </c>
      <c r="P96" s="15">
        <v>48496</v>
      </c>
      <c r="Q96">
        <v>2474</v>
      </c>
      <c r="R96">
        <v>1</v>
      </c>
      <c r="S96" t="s">
        <v>155</v>
      </c>
      <c r="T96">
        <v>71835575</v>
      </c>
      <c r="U96" s="5">
        <v>71835575</v>
      </c>
      <c r="V96" t="s">
        <v>855</v>
      </c>
      <c r="W96">
        <v>9755108000</v>
      </c>
      <c r="X96">
        <v>5037943000</v>
      </c>
      <c r="Y96">
        <v>4717165000</v>
      </c>
      <c r="Z96">
        <v>0.9425</v>
      </c>
      <c r="AA96" t="str">
        <f>+MID(Tabla_Consulta_desde_Reporte_de_Valorización_de_Instrumentos[[#This Row],[CODIGO_SBS]],7,1)</f>
        <v>1</v>
      </c>
      <c r="AB96">
        <f>INDEX('Cálculo Caja'!F:F,MATCH(Tabla_Consulta_desde_Reporte_de_Valorización_de_Instrumentos[[#This Row],[PORTAFOLIO]],'Cálculo Caja'!A:A,0),1)</f>
        <v>26256910350.436607</v>
      </c>
      <c r="AC96" s="17">
        <f>Tabla_Consulta_desde_Reporte_de_Valorización_de_Instrumentos[[#This Row],[VALOR_VECTOR_LOCAL]]/Tabla_Consulta_desde_Reporte_de_Valorización_de_Instrumentos[[#This Row],[Patrimonio]]</f>
        <v>2.7383857826518572E-3</v>
      </c>
      <c r="AD96" s="4">
        <f>(Tabla_Consulta_desde_Reporte_de_Valorización_de_Instrumentos[[#This Row],[VALOR_VECTOR_LOCAL]]/INDEX('Tipo de Cambio'!$D:$D,MATCH("2",'Tipo de Cambio'!$E:$E,0),1))/1000000</f>
        <v>21.39354042072064</v>
      </c>
      <c r="AE96">
        <f>IF(Tabla_Consulta_desde_Reporte_de_Valorización_de_Instrumentos[[#This Row],[PORTAFOLIO]]="IN-FONDO0",Tabla_Consulta_desde_Reporte_de_Valorización_de_Instrumentos[[#This Row],[Inv MM$]],0)</f>
        <v>0</v>
      </c>
      <c r="AF96" s="26">
        <f>IF(Tabla_Consulta_desde_Reporte_de_Valorización_de_Instrumentos[[#This Row],[PORTAFOLIO]]="IN-FONDO1",Tabla_Consulta_desde_Reporte_de_Valorización_de_Instrumentos[[#This Row],[Inv MM$]],0)</f>
        <v>0</v>
      </c>
      <c r="AG96" s="26">
        <f>IF(Tabla_Consulta_desde_Reporte_de_Valorización_de_Instrumentos[[#This Row],[PORTAFOLIO]]="IN-FONDO2",Tabla_Consulta_desde_Reporte_de_Valorización_de_Instrumentos[[#This Row],[Inv MM$]],0)</f>
        <v>21.39354042072064</v>
      </c>
      <c r="AH96" s="26">
        <f>IF(Tabla_Consulta_desde_Reporte_de_Valorización_de_Instrumentos[[#This Row],[PORTAFOLIO]]="IN-FONDO3",Tabla_Consulta_desde_Reporte_de_Valorización_de_Instrumentos[[#This Row],[Inv MM$]],0)</f>
        <v>0</v>
      </c>
      <c r="AI9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56.265011306495282</v>
      </c>
      <c r="AJ96" s="26">
        <f>IFERROR(IFERROR(INDEX('BD(MSCI)'!$T:$T,MATCH(Tabla_Consulta_desde_Reporte_de_Valorización_de_Instrumentos[[#This Row],[CODIGO_ISIN]],'BD(MSCI)'!$C:$C,0),1),INDEX('BD(MSCI)'!$T:$T,MATCH(Tabla_Consulta_desde_Reporte_de_Valorización_de_Instrumentos[[#This Row],[CODIGO_SBS]],'BD(MSCI)'!$C:$C,0),1)),0)</f>
        <v>108.97</v>
      </c>
      <c r="AK96" s="26">
        <f>Tabla_Consulta_desde_Reporte_de_Valorización_de_Instrumentos[[#This Row],[C02-H]]*Tabla_Consulta_desde_Reporte_de_Valorización_de_Instrumentos[[#This Row],[Inv MM$]]</f>
        <v>2331.2540996459284</v>
      </c>
      <c r="AL96" s="26">
        <f>Tabla_Consulta_desde_Reporte_de_Valorización_de_Instrumentos[[#This Row],[C02-H]]*Tabla_Consulta_desde_Reporte_de_Valorización_de_Instrumentos[[#This Row],[Weight]]</f>
        <v>0.29840189873557288</v>
      </c>
      <c r="AM96" s="26" t="str">
        <f>INDEX(Parametria!G:G,MATCH(Tabla_Consulta_desde_Reporte_de_Valorización_de_Instrumentos[[#This Row],[CODIGO_SBS]],Parametria!C:C,0))</f>
        <v>22RFLC</v>
      </c>
      <c r="AN96" s="26" t="str">
        <f>INDEX(Parametria!F:F,MATCH(Tabla_Consulta_desde_Reporte_de_Valorización_de_Instrumentos[[#This Row],[CODIGO_SBS]],Parametria!C:C,0))</f>
        <v>BU</v>
      </c>
      <c r="AO96" s="26" t="str">
        <f>+INDEX(Parametria!J:J,MATCH(Tabla_Consulta_desde_Reporte_de_Valorización_de_Instrumentos[[#This Row],[CODIGO_SBS]],Parametria!C:C,0))</f>
        <v>RFLBU</v>
      </c>
      <c r="AP96" s="26">
        <f>Tabla_Consulta_desde_Reporte_de_Valorización_de_Instrumentos[[#This Row],[Huella]]/$AU$4</f>
        <v>0.21611838638121789</v>
      </c>
      <c r="AQ96" s="26" t="str">
        <f>IFERROR(INDEX('BD(MSCI)'!W:W,MATCH(Tabla_Consulta_desde_Reporte_de_Valorización_de_Instrumentos[[#This Row],[CODIGO_ISIN]],'BD(MSCI)'!C:C,0)),IF(Tabla_Consulta_desde_Reporte_de_Valorización_de_Instrumentos[[#This Row],[Rank_rt]]="Cash","Cash","Cuestionario Integra"))</f>
        <v>Portafolio</v>
      </c>
      <c r="AR96" s="26" t="str">
        <f>IFERROR(INDEX('BD(MSCI)'!X:X,MATCH(Tabla_Consulta_desde_Reporte_de_Valorización_de_Instrumentos[[#This Row],[CODIGO_ISIN]],'BD(MSCI)'!C:C,0)),"Cuestionario Integra")</f>
        <v>Portafolio</v>
      </c>
      <c r="AU96" s="26"/>
    </row>
    <row r="97" spans="2:47" hidden="1" x14ac:dyDescent="0.25">
      <c r="B97" s="14" t="s">
        <v>6390</v>
      </c>
      <c r="C97" t="s">
        <v>249</v>
      </c>
      <c r="D97" t="s">
        <v>12</v>
      </c>
      <c r="E97" t="s">
        <v>250</v>
      </c>
      <c r="F97" t="s">
        <v>6413</v>
      </c>
      <c r="G97" t="str">
        <f>INDEX(Parametria!H:H,MATCH(Tabla_Consulta_desde_Reporte_de_Valorización_de_Instrumentos[[#This Row],[CODIGO_SBS]],Parametria!C:C,0),1)</f>
        <v xml:space="preserve">Luz del Sur </v>
      </c>
      <c r="H97" t="s">
        <v>6414</v>
      </c>
      <c r="I97" t="s">
        <v>6415</v>
      </c>
      <c r="J97" t="s">
        <v>854</v>
      </c>
      <c r="K97" t="s">
        <v>90</v>
      </c>
      <c r="L97">
        <v>1000</v>
      </c>
      <c r="M97" s="5">
        <v>117199526.5</v>
      </c>
      <c r="N97">
        <v>117199526.5</v>
      </c>
      <c r="O97">
        <v>114100</v>
      </c>
      <c r="P97" s="15">
        <v>48496</v>
      </c>
      <c r="Q97">
        <v>2474</v>
      </c>
      <c r="R97">
        <v>1</v>
      </c>
      <c r="S97" t="s">
        <v>155</v>
      </c>
      <c r="T97">
        <v>117091987.25</v>
      </c>
      <c r="U97" s="5">
        <v>117091987.25</v>
      </c>
      <c r="V97" t="s">
        <v>855</v>
      </c>
      <c r="W97">
        <v>9755108000</v>
      </c>
      <c r="X97">
        <v>5037943000</v>
      </c>
      <c r="Y97">
        <v>4717165000</v>
      </c>
      <c r="Z97">
        <v>0.9425</v>
      </c>
      <c r="AA97" t="str">
        <f>+MID(Tabla_Consulta_desde_Reporte_de_Valorización_de_Instrumentos[[#This Row],[CODIGO_SBS]],7,1)</f>
        <v>1</v>
      </c>
      <c r="AB97">
        <f>INDEX('Cálculo Caja'!F:F,MATCH(Tabla_Consulta_desde_Reporte_de_Valorización_de_Instrumentos[[#This Row],[PORTAFOLIO]],'Cálculo Caja'!A:A,0),1)</f>
        <v>7679510866.0565634</v>
      </c>
      <c r="AC97" s="17">
        <f>Tabla_Consulta_desde_Reporte_de_Valorización_de_Instrumentos[[#This Row],[VALOR_VECTOR_LOCAL]]/Tabla_Consulta_desde_Reporte_de_Valorización_de_Instrumentos[[#This Row],[Patrimonio]]</f>
        <v>1.526132699649165E-2</v>
      </c>
      <c r="AD97" s="4">
        <f>(Tabla_Consulta_desde_Reporte_de_Valorización_de_Instrumentos[[#This Row],[VALOR_VECTOR_LOCAL]]/INDEX('Tipo de Cambio'!$D:$D,MATCH("2",'Tipo de Cambio'!$E:$E,0),1))/1000000</f>
        <v>34.871470885774642</v>
      </c>
      <c r="AE97">
        <f>IF(Tabla_Consulta_desde_Reporte_de_Valorización_de_Instrumentos[[#This Row],[PORTAFOLIO]]="IN-FONDO0",Tabla_Consulta_desde_Reporte_de_Valorización_de_Instrumentos[[#This Row],[Inv MM$]],0)</f>
        <v>0</v>
      </c>
      <c r="AF97" s="26">
        <f>IF(Tabla_Consulta_desde_Reporte_de_Valorización_de_Instrumentos[[#This Row],[PORTAFOLIO]]="IN-FONDO1",Tabla_Consulta_desde_Reporte_de_Valorización_de_Instrumentos[[#This Row],[Inv MM$]],0)</f>
        <v>34.871470885774642</v>
      </c>
      <c r="AG97" s="26">
        <f>IF(Tabla_Consulta_desde_Reporte_de_Valorización_de_Instrumentos[[#This Row],[PORTAFOLIO]]="IN-FONDO2",Tabla_Consulta_desde_Reporte_de_Valorización_de_Instrumentos[[#This Row],[Inv MM$]],0)</f>
        <v>0</v>
      </c>
      <c r="AH97" s="26">
        <f>IF(Tabla_Consulta_desde_Reporte_de_Valorización_de_Instrumentos[[#This Row],[PORTAFOLIO]]="IN-FONDO3",Tabla_Consulta_desde_Reporte_de_Valorización_de_Instrumentos[[#This Row],[Inv MM$]],0)</f>
        <v>0</v>
      </c>
      <c r="AI9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56.265011306495282</v>
      </c>
      <c r="AJ97" s="26">
        <f>IFERROR(IFERROR(INDEX('BD(MSCI)'!$T:$T,MATCH(Tabla_Consulta_desde_Reporte_de_Valorización_de_Instrumentos[[#This Row],[CODIGO_ISIN]],'BD(MSCI)'!$C:$C,0),1),INDEX('BD(MSCI)'!$T:$T,MATCH(Tabla_Consulta_desde_Reporte_de_Valorización_de_Instrumentos[[#This Row],[CODIGO_SBS]],'BD(MSCI)'!$C:$C,0),1)),0)</f>
        <v>108.97</v>
      </c>
      <c r="AK97" s="26">
        <f>Tabla_Consulta_desde_Reporte_de_Valorización_de_Instrumentos[[#This Row],[C02-H]]*Tabla_Consulta_desde_Reporte_de_Valorización_de_Instrumentos[[#This Row],[Inv MM$]]</f>
        <v>3799.9441824228625</v>
      </c>
      <c r="AL97" s="26">
        <f>Tabla_Consulta_desde_Reporte_de_Valorización_de_Instrumentos[[#This Row],[C02-H]]*Tabla_Consulta_desde_Reporte_de_Valorización_de_Instrumentos[[#This Row],[Weight]]</f>
        <v>1.6630268028076951</v>
      </c>
      <c r="AM97" s="26" t="str">
        <f>INDEX(Parametria!G:G,MATCH(Tabla_Consulta_desde_Reporte_de_Valorización_de_Instrumentos[[#This Row],[CODIGO_SBS]],Parametria!C:C,0))</f>
        <v>22RFLC</v>
      </c>
      <c r="AN97" s="26" t="str">
        <f>INDEX(Parametria!F:F,MATCH(Tabla_Consulta_desde_Reporte_de_Valorización_de_Instrumentos[[#This Row],[CODIGO_SBS]],Parametria!C:C,0))</f>
        <v>BU</v>
      </c>
      <c r="AO97" s="26" t="str">
        <f>+INDEX(Parametria!J:J,MATCH(Tabla_Consulta_desde_Reporte_de_Valorización_de_Instrumentos[[#This Row],[CODIGO_SBS]],Parametria!C:C,0))</f>
        <v>RFLBU</v>
      </c>
      <c r="AP97" s="26">
        <f>Tabla_Consulta_desde_Reporte_de_Valorización_de_Instrumentos[[#This Row],[Huella]]/$AU$4</f>
        <v>0.35227296980138512</v>
      </c>
      <c r="AQ97" s="26" t="str">
        <f>IFERROR(INDEX('BD(MSCI)'!W:W,MATCH(Tabla_Consulta_desde_Reporte_de_Valorización_de_Instrumentos[[#This Row],[CODIGO_ISIN]],'BD(MSCI)'!C:C,0)),IF(Tabla_Consulta_desde_Reporte_de_Valorización_de_Instrumentos[[#This Row],[Rank_rt]]="Cash","Cash","Cuestionario Integra"))</f>
        <v>Portafolio</v>
      </c>
      <c r="AR97" s="26" t="str">
        <f>IFERROR(INDEX('BD(MSCI)'!X:X,MATCH(Tabla_Consulta_desde_Reporte_de_Valorización_de_Instrumentos[[#This Row],[CODIGO_ISIN]],'BD(MSCI)'!C:C,0)),"Cuestionario Integra")</f>
        <v>Portafolio</v>
      </c>
      <c r="AU97" s="26"/>
    </row>
    <row r="98" spans="2:47" hidden="1" x14ac:dyDescent="0.25">
      <c r="B98" s="14" t="s">
        <v>6390</v>
      </c>
      <c r="C98" t="s">
        <v>249</v>
      </c>
      <c r="D98" t="s">
        <v>10</v>
      </c>
      <c r="E98" t="s">
        <v>250</v>
      </c>
      <c r="F98" t="s">
        <v>340</v>
      </c>
      <c r="G98" t="str">
        <f>INDEX(Parametria!H:H,MATCH(Tabla_Consulta_desde_Reporte_de_Valorización_de_Instrumentos[[#This Row],[CODIGO_SBS]],Parametria!C:C,0),1)</f>
        <v>MINSUR</v>
      </c>
      <c r="H98" t="s">
        <v>341</v>
      </c>
      <c r="I98" t="s">
        <v>342</v>
      </c>
      <c r="J98" t="s">
        <v>343</v>
      </c>
      <c r="K98" t="s">
        <v>50</v>
      </c>
      <c r="L98">
        <v>1000</v>
      </c>
      <c r="M98" s="5">
        <v>10570088.979660001</v>
      </c>
      <c r="N98">
        <v>3145017.4</v>
      </c>
      <c r="O98">
        <v>3251</v>
      </c>
      <c r="P98" s="15">
        <v>48149</v>
      </c>
      <c r="Q98">
        <v>2127</v>
      </c>
      <c r="R98">
        <v>3.3609</v>
      </c>
      <c r="S98" t="s">
        <v>155</v>
      </c>
      <c r="T98">
        <v>10528506.800997401</v>
      </c>
      <c r="U98" s="5">
        <v>3131061.321893</v>
      </c>
      <c r="V98" t="s">
        <v>294</v>
      </c>
      <c r="W98">
        <v>2610762000</v>
      </c>
      <c r="X98">
        <v>781816000</v>
      </c>
      <c r="Y98">
        <v>1828946000</v>
      </c>
      <c r="Z98">
        <v>4.2928569999999997</v>
      </c>
      <c r="AA98" t="str">
        <f>+MID(Tabla_Consulta_desde_Reporte_de_Valorización_de_Instrumentos[[#This Row],[CODIGO_SBS]],7,1)</f>
        <v>2</v>
      </c>
      <c r="AB98">
        <f>INDEX('Cálculo Caja'!F:F,MATCH(Tabla_Consulta_desde_Reporte_de_Valorización_de_Instrumentos[[#This Row],[PORTAFOLIO]],'Cálculo Caja'!A:A,0),1)</f>
        <v>26256910350.436607</v>
      </c>
      <c r="AC98" s="17">
        <f>Tabla_Consulta_desde_Reporte_de_Valorización_de_Instrumentos[[#This Row],[VALOR_VECTOR_LOCAL]]/Tabla_Consulta_desde_Reporte_de_Valorización_de_Instrumentos[[#This Row],[Patrimonio]]</f>
        <v>4.0256408079194426E-4</v>
      </c>
      <c r="AD98" s="4">
        <f>(Tabla_Consulta_desde_Reporte_de_Valorización_de_Instrumentos[[#This Row],[VALOR_VECTOR_LOCAL]]/INDEX('Tipo de Cambio'!$D:$D,MATCH("2",'Tipo de Cambio'!$E:$E,0),1))/1000000</f>
        <v>3.1450174000000004</v>
      </c>
      <c r="AE98">
        <f>IF(Tabla_Consulta_desde_Reporte_de_Valorización_de_Instrumentos[[#This Row],[PORTAFOLIO]]="IN-FONDO0",Tabla_Consulta_desde_Reporte_de_Valorización_de_Instrumentos[[#This Row],[Inv MM$]],0)</f>
        <v>0</v>
      </c>
      <c r="AF98" s="26">
        <f>IF(Tabla_Consulta_desde_Reporte_de_Valorización_de_Instrumentos[[#This Row],[PORTAFOLIO]]="IN-FONDO1",Tabla_Consulta_desde_Reporte_de_Valorización_de_Instrumentos[[#This Row],[Inv MM$]],0)</f>
        <v>0</v>
      </c>
      <c r="AG98" s="26">
        <f>IF(Tabla_Consulta_desde_Reporte_de_Valorización_de_Instrumentos[[#This Row],[PORTAFOLIO]]="IN-FONDO2",Tabla_Consulta_desde_Reporte_de_Valorización_de_Instrumentos[[#This Row],[Inv MM$]],0)</f>
        <v>3.1450174000000004</v>
      </c>
      <c r="AH98" s="26">
        <f>IF(Tabla_Consulta_desde_Reporte_de_Valorización_de_Instrumentos[[#This Row],[PORTAFOLIO]]="IN-FONDO3",Tabla_Consulta_desde_Reporte_de_Valorización_de_Instrumentos[[#This Row],[Inv MM$]],0)</f>
        <v>0</v>
      </c>
      <c r="AI9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3.1450174000000004</v>
      </c>
      <c r="AJ98" s="26">
        <f>IFERROR(IFERROR(INDEX('BD(MSCI)'!$T:$T,MATCH(Tabla_Consulta_desde_Reporte_de_Valorización_de_Instrumentos[[#This Row],[CODIGO_ISIN]],'BD(MSCI)'!$C:$C,0),1),INDEX('BD(MSCI)'!$T:$T,MATCH(Tabla_Consulta_desde_Reporte_de_Valorización_de_Instrumentos[[#This Row],[CODIGO_SBS]],'BD(MSCI)'!$C:$C,0),1)),0)</f>
        <v>114.2</v>
      </c>
      <c r="AK98" s="26">
        <f>Tabla_Consulta_desde_Reporte_de_Valorización_de_Instrumentos[[#This Row],[C02-H]]*Tabla_Consulta_desde_Reporte_de_Valorización_de_Instrumentos[[#This Row],[Inv MM$]]</f>
        <v>359.16098708000004</v>
      </c>
      <c r="AL98" s="26">
        <f>Tabla_Consulta_desde_Reporte_de_Valorización_de_Instrumentos[[#This Row],[C02-H]]*Tabla_Consulta_desde_Reporte_de_Valorización_de_Instrumentos[[#This Row],[Weight]]</f>
        <v>4.5972818026440036E-2</v>
      </c>
      <c r="AM98" s="26" t="str">
        <f>INDEX(Parametria!G:G,MATCH(Tabla_Consulta_desde_Reporte_de_Valorización_de_Instrumentos[[#This Row],[CODIGO_SBS]],Parametria!C:C,0))</f>
        <v>22RFLC</v>
      </c>
      <c r="AN98" s="26" t="str">
        <f>INDEX(Parametria!F:F,MATCH(Tabla_Consulta_desde_Reporte_de_Valorización_de_Instrumentos[[#This Row],[CODIGO_SBS]],Parametria!C:C,0))</f>
        <v>BU</v>
      </c>
      <c r="AO98" s="26" t="str">
        <f>+INDEX(Parametria!J:J,MATCH(Tabla_Consulta_desde_Reporte_de_Valorización_de_Instrumentos[[#This Row],[CODIGO_SBS]],Parametria!C:C,0))</f>
        <v>RFLBU</v>
      </c>
      <c r="AP98" s="26">
        <f>Tabla_Consulta_desde_Reporte_de_Valorización_de_Instrumentos[[#This Row],[Huella]]/$AU$4</f>
        <v>3.329593843528434E-2</v>
      </c>
      <c r="AQ98" s="26" t="str">
        <f>IFERROR(INDEX('BD(MSCI)'!W:W,MATCH(Tabla_Consulta_desde_Reporte_de_Valorización_de_Instrumentos[[#This Row],[CODIGO_ISIN]],'BD(MSCI)'!C:C,0)),IF(Tabla_Consulta_desde_Reporte_de_Valorización_de_Instrumentos[[#This Row],[Rank_rt]]="Cash","Cash","Cuestionario Integra"))</f>
        <v>Portafolio</v>
      </c>
      <c r="AR98" s="26" t="str">
        <f>IFERROR(INDEX('BD(MSCI)'!X:X,MATCH(Tabla_Consulta_desde_Reporte_de_Valorización_de_Instrumentos[[#This Row],[CODIGO_ISIN]],'BD(MSCI)'!C:C,0)),"Cuestionario Integra")</f>
        <v>Portafolio</v>
      </c>
      <c r="AU98" s="26"/>
    </row>
    <row r="99" spans="2:47" hidden="1" x14ac:dyDescent="0.25">
      <c r="B99" s="14" t="s">
        <v>6390</v>
      </c>
      <c r="C99" t="s">
        <v>348</v>
      </c>
      <c r="D99" t="s">
        <v>9</v>
      </c>
      <c r="E99" t="s">
        <v>349</v>
      </c>
      <c r="F99" t="s">
        <v>5954</v>
      </c>
      <c r="G99" t="e">
        <f>INDEX(Parametria!H:H,MATCH(Tabla_Consulta_desde_Reporte_de_Valorización_de_Instrumentos[[#This Row],[CODIGO_SBS]],Parametria!C:C,0),1)</f>
        <v>#N/A</v>
      </c>
      <c r="H99" t="s">
        <v>5955</v>
      </c>
      <c r="I99" t="s">
        <v>5956</v>
      </c>
      <c r="J99" t="s">
        <v>4852</v>
      </c>
      <c r="K99" t="s">
        <v>90</v>
      </c>
      <c r="L99">
        <v>10000</v>
      </c>
      <c r="M99" s="5">
        <v>14247805.640058899</v>
      </c>
      <c r="N99">
        <v>14247805.640058899</v>
      </c>
      <c r="O99">
        <v>1443</v>
      </c>
      <c r="P99" s="15">
        <v>46122</v>
      </c>
      <c r="Q99">
        <v>100</v>
      </c>
      <c r="R99">
        <v>1</v>
      </c>
      <c r="S99" t="s">
        <v>155</v>
      </c>
      <c r="T99">
        <v>14248451.0902071</v>
      </c>
      <c r="U99" s="5">
        <v>14248451.0902071</v>
      </c>
      <c r="V99" t="s">
        <v>4853</v>
      </c>
      <c r="W99">
        <v>1453460000</v>
      </c>
      <c r="X99">
        <v>1237682000</v>
      </c>
      <c r="Y99">
        <v>215778000</v>
      </c>
      <c r="Z99">
        <v>-0.44729740000000001</v>
      </c>
      <c r="AA99" t="str">
        <f>+MID(Tabla_Consulta_desde_Reporte_de_Valorización_de_Instrumentos[[#This Row],[CODIGO_SBS]],7,1)</f>
        <v>1</v>
      </c>
      <c r="AB99">
        <f>INDEX('Cálculo Caja'!F:F,MATCH(Tabla_Consulta_desde_Reporte_de_Valorización_de_Instrumentos[[#This Row],[PORTAFOLIO]],'Cálculo Caja'!A:A,0),1)</f>
        <v>2847839359.3764262</v>
      </c>
      <c r="AC99" s="17">
        <f>Tabla_Consulta_desde_Reporte_de_Valorización_de_Instrumentos[[#This Row],[VALOR_VECTOR_LOCAL]]/Tabla_Consulta_desde_Reporte_de_Valorización_de_Instrumentos[[#This Row],[Patrimonio]]</f>
        <v>5.003022938477349E-3</v>
      </c>
      <c r="AD99" s="4">
        <f>(Tabla_Consulta_desde_Reporte_de_Valorización_de_Instrumentos[[#This Row],[VALOR_VECTOR_LOCAL]]/INDEX('Tipo de Cambio'!$D:$D,MATCH("2",'Tipo de Cambio'!$E:$E,0),1))/1000000</f>
        <v>4.2392828230708739</v>
      </c>
      <c r="AE99">
        <f>IF(Tabla_Consulta_desde_Reporte_de_Valorización_de_Instrumentos[[#This Row],[PORTAFOLIO]]="IN-FONDO0",Tabla_Consulta_desde_Reporte_de_Valorización_de_Instrumentos[[#This Row],[Inv MM$]],0)</f>
        <v>4.2392828230708739</v>
      </c>
      <c r="AF99" s="26">
        <f>IF(Tabla_Consulta_desde_Reporte_de_Valorización_de_Instrumentos[[#This Row],[PORTAFOLIO]]="IN-FONDO1",Tabla_Consulta_desde_Reporte_de_Valorización_de_Instrumentos[[#This Row],[Inv MM$]],0)</f>
        <v>0</v>
      </c>
      <c r="AG99" s="26">
        <f>IF(Tabla_Consulta_desde_Reporte_de_Valorización_de_Instrumentos[[#This Row],[PORTAFOLIO]]="IN-FONDO2",Tabla_Consulta_desde_Reporte_de_Valorización_de_Instrumentos[[#This Row],[Inv MM$]],0)</f>
        <v>0</v>
      </c>
      <c r="AH99" s="26">
        <f>IF(Tabla_Consulta_desde_Reporte_de_Valorización_de_Instrumentos[[#This Row],[PORTAFOLIO]]="IN-FONDO3",Tabla_Consulta_desde_Reporte_de_Valorización_de_Instrumentos[[#This Row],[Inv MM$]],0)</f>
        <v>0</v>
      </c>
      <c r="AI9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99" s="26">
        <f>IFERROR(IFERROR(INDEX('BD(MSCI)'!$T:$T,MATCH(Tabla_Consulta_desde_Reporte_de_Valorización_de_Instrumentos[[#This Row],[CODIGO_ISIN]],'BD(MSCI)'!$C:$C,0),1),INDEX('BD(MSCI)'!$T:$T,MATCH(Tabla_Consulta_desde_Reporte_de_Valorización_de_Instrumentos[[#This Row],[CODIGO_SBS]],'BD(MSCI)'!$C:$C,0),1)),0)</f>
        <v>0.43</v>
      </c>
      <c r="AK99" s="26">
        <f>Tabla_Consulta_desde_Reporte_de_Valorización_de_Instrumentos[[#This Row],[C02-H]]*Tabla_Consulta_desde_Reporte_de_Valorización_de_Instrumentos[[#This Row],[Inv MM$]]</f>
        <v>1.8228916139204758</v>
      </c>
      <c r="AL99" s="26">
        <f>Tabla_Consulta_desde_Reporte_de_Valorización_de_Instrumentos[[#This Row],[C02-H]]*Tabla_Consulta_desde_Reporte_de_Valorización_de_Instrumentos[[#This Row],[Weight]]</f>
        <v>2.1512998635452602E-3</v>
      </c>
      <c r="AM99" s="26" t="e">
        <f>INDEX(Parametria!G:G,MATCH(Tabla_Consulta_desde_Reporte_de_Valorización_de_Instrumentos[[#This Row],[CODIGO_SBS]],Parametria!C:C,0))</f>
        <v>#N/A</v>
      </c>
      <c r="AN99" s="26" t="e">
        <f>INDEX(Parametria!F:F,MATCH(Tabla_Consulta_desde_Reporte_de_Valorización_de_Instrumentos[[#This Row],[CODIGO_SBS]],Parametria!C:C,0))</f>
        <v>#N/A</v>
      </c>
      <c r="AO99" s="26" t="e">
        <f>+INDEX(Parametria!J:J,MATCH(Tabla_Consulta_desde_Reporte_de_Valorización_de_Instrumentos[[#This Row],[CODIGO_SBS]],Parametria!C:C,0))</f>
        <v>#N/A</v>
      </c>
      <c r="AP99" s="26">
        <f>Tabla_Consulta_desde_Reporte_de_Valorización_de_Instrumentos[[#This Row],[Huella]]/$AU$4</f>
        <v>1.6899075660957856E-4</v>
      </c>
      <c r="AQ99" s="26" t="str">
        <f>IFERROR(INDEX('BD(MSCI)'!W:W,MATCH(Tabla_Consulta_desde_Reporte_de_Valorización_de_Instrumentos[[#This Row],[CODIGO_ISIN]],'BD(MSCI)'!C:C,0)),IF(Tabla_Consulta_desde_Reporte_de_Valorización_de_Instrumentos[[#This Row],[Rank_rt]]="Cash","Cash","Cuestionario Integra"))</f>
        <v>Portafolio</v>
      </c>
      <c r="AR99" s="26" t="str">
        <f>IFERROR(INDEX('BD(MSCI)'!X:X,MATCH(Tabla_Consulta_desde_Reporte_de_Valorización_de_Instrumentos[[#This Row],[CODIGO_ISIN]],'BD(MSCI)'!C:C,0)),"Cuestionario Integra")</f>
        <v>Portafolio</v>
      </c>
      <c r="AU99" s="26"/>
    </row>
    <row r="100" spans="2:47" hidden="1" x14ac:dyDescent="0.25">
      <c r="B100" s="14" t="s">
        <v>6390</v>
      </c>
      <c r="C100" t="s">
        <v>348</v>
      </c>
      <c r="D100" t="s">
        <v>9</v>
      </c>
      <c r="E100" t="s">
        <v>349</v>
      </c>
      <c r="F100" t="s">
        <v>6416</v>
      </c>
      <c r="G100" t="e">
        <f>INDEX(Parametria!H:H,MATCH(Tabla_Consulta_desde_Reporte_de_Valorización_de_Instrumentos[[#This Row],[CODIGO_SBS]],Parametria!C:C,0),1)</f>
        <v>#N/A</v>
      </c>
      <c r="H100" t="s">
        <v>6417</v>
      </c>
      <c r="I100" t="s">
        <v>6418</v>
      </c>
      <c r="J100" t="s">
        <v>4852</v>
      </c>
      <c r="K100" t="s">
        <v>90</v>
      </c>
      <c r="L100">
        <v>10000</v>
      </c>
      <c r="M100" s="5">
        <v>15444386.817662001</v>
      </c>
      <c r="N100">
        <v>15444386.817662001</v>
      </c>
      <c r="O100">
        <v>1595</v>
      </c>
      <c r="P100" s="15">
        <v>46277</v>
      </c>
      <c r="Q100">
        <v>255</v>
      </c>
      <c r="R100">
        <v>1</v>
      </c>
      <c r="S100" t="s">
        <v>155</v>
      </c>
      <c r="T100">
        <v>15446790.353785999</v>
      </c>
      <c r="U100" s="5">
        <v>15446790.353785999</v>
      </c>
      <c r="V100" t="s">
        <v>4853</v>
      </c>
      <c r="W100">
        <v>1453460000</v>
      </c>
      <c r="X100">
        <v>1237682000</v>
      </c>
      <c r="Y100">
        <v>215778000</v>
      </c>
      <c r="Z100">
        <v>-1.5069192</v>
      </c>
      <c r="AA100" t="str">
        <f>+MID(Tabla_Consulta_desde_Reporte_de_Valorización_de_Instrumentos[[#This Row],[CODIGO_SBS]],7,1)</f>
        <v>1</v>
      </c>
      <c r="AB100">
        <f>INDEX('Cálculo Caja'!F:F,MATCH(Tabla_Consulta_desde_Reporte_de_Valorización_de_Instrumentos[[#This Row],[PORTAFOLIO]],'Cálculo Caja'!A:A,0),1)</f>
        <v>2847839359.3764262</v>
      </c>
      <c r="AC100" s="17">
        <f>Tabla_Consulta_desde_Reporte_de_Valorización_de_Instrumentos[[#This Row],[VALOR_VECTOR_LOCAL]]/Tabla_Consulta_desde_Reporte_de_Valorización_de_Instrumentos[[#This Row],[Patrimonio]]</f>
        <v>5.423194523529502E-3</v>
      </c>
      <c r="AD100" s="4">
        <f>(Tabla_Consulta_desde_Reporte_de_Valorización_de_Instrumentos[[#This Row],[VALOR_VECTOR_LOCAL]]/INDEX('Tipo de Cambio'!$D:$D,MATCH("2",'Tipo de Cambio'!$E:$E,0),1))/1000000</f>
        <v>4.5953128083733521</v>
      </c>
      <c r="AE100">
        <f>IF(Tabla_Consulta_desde_Reporte_de_Valorización_de_Instrumentos[[#This Row],[PORTAFOLIO]]="IN-FONDO0",Tabla_Consulta_desde_Reporte_de_Valorización_de_Instrumentos[[#This Row],[Inv MM$]],0)</f>
        <v>4.5953128083733521</v>
      </c>
      <c r="AF100" s="26">
        <f>IF(Tabla_Consulta_desde_Reporte_de_Valorización_de_Instrumentos[[#This Row],[PORTAFOLIO]]="IN-FONDO1",Tabla_Consulta_desde_Reporte_de_Valorización_de_Instrumentos[[#This Row],[Inv MM$]],0)</f>
        <v>0</v>
      </c>
      <c r="AG100" s="26">
        <f>IF(Tabla_Consulta_desde_Reporte_de_Valorización_de_Instrumentos[[#This Row],[PORTAFOLIO]]="IN-FONDO2",Tabla_Consulta_desde_Reporte_de_Valorización_de_Instrumentos[[#This Row],[Inv MM$]],0)</f>
        <v>0</v>
      </c>
      <c r="AH100" s="26">
        <f>IF(Tabla_Consulta_desde_Reporte_de_Valorización_de_Instrumentos[[#This Row],[PORTAFOLIO]]="IN-FONDO3",Tabla_Consulta_desde_Reporte_de_Valorización_de_Instrumentos[[#This Row],[Inv MM$]],0)</f>
        <v>0</v>
      </c>
      <c r="AI10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100" s="26">
        <f>IFERROR(IFERROR(INDEX('BD(MSCI)'!$T:$T,MATCH(Tabla_Consulta_desde_Reporte_de_Valorización_de_Instrumentos[[#This Row],[CODIGO_ISIN]],'BD(MSCI)'!$C:$C,0),1),INDEX('BD(MSCI)'!$T:$T,MATCH(Tabla_Consulta_desde_Reporte_de_Valorización_de_Instrumentos[[#This Row],[CODIGO_SBS]],'BD(MSCI)'!$C:$C,0),1)),0)</f>
        <v>0</v>
      </c>
      <c r="AK100" s="26">
        <f>Tabla_Consulta_desde_Reporte_de_Valorización_de_Instrumentos[[#This Row],[C02-H]]*Tabla_Consulta_desde_Reporte_de_Valorización_de_Instrumentos[[#This Row],[Inv MM$]]</f>
        <v>0</v>
      </c>
      <c r="AL100" s="26">
        <f>Tabla_Consulta_desde_Reporte_de_Valorización_de_Instrumentos[[#This Row],[C02-H]]*Tabla_Consulta_desde_Reporte_de_Valorización_de_Instrumentos[[#This Row],[Weight]]</f>
        <v>0</v>
      </c>
      <c r="AM100" s="26" t="e">
        <f>INDEX(Parametria!G:G,MATCH(Tabla_Consulta_desde_Reporte_de_Valorización_de_Instrumentos[[#This Row],[CODIGO_SBS]],Parametria!C:C,0))</f>
        <v>#N/A</v>
      </c>
      <c r="AN100" s="26" t="e">
        <f>INDEX(Parametria!F:F,MATCH(Tabla_Consulta_desde_Reporte_de_Valorización_de_Instrumentos[[#This Row],[CODIGO_SBS]],Parametria!C:C,0))</f>
        <v>#N/A</v>
      </c>
      <c r="AO100" s="26" t="e">
        <f>+INDEX(Parametria!J:J,MATCH(Tabla_Consulta_desde_Reporte_de_Valorización_de_Instrumentos[[#This Row],[CODIGO_SBS]],Parametria!C:C,0))</f>
        <v>#N/A</v>
      </c>
      <c r="AP100" s="26">
        <f>Tabla_Consulta_desde_Reporte_de_Valorización_de_Instrumentos[[#This Row],[Huella]]/$AU$4</f>
        <v>0</v>
      </c>
      <c r="AQ100" s="26" t="e">
        <f>IFERROR(INDEX('BD(MSCI)'!W:W,MATCH(Tabla_Consulta_desde_Reporte_de_Valorización_de_Instrumentos[[#This Row],[CODIGO_ISIN]],'BD(MSCI)'!C:C,0)),IF(Tabla_Consulta_desde_Reporte_de_Valorización_de_Instrumentos[[#This Row],[Rank_rt]]="Cash","Cash","Cuestionario Integra"))</f>
        <v>#N/A</v>
      </c>
      <c r="AR100" s="26" t="str">
        <f>IFERROR(INDEX('BD(MSCI)'!X:X,MATCH(Tabla_Consulta_desde_Reporte_de_Valorización_de_Instrumentos[[#This Row],[CODIGO_ISIN]],'BD(MSCI)'!C:C,0)),"Cuestionario Integra")</f>
        <v>Cuestionario Integra</v>
      </c>
      <c r="AU100" s="26"/>
    </row>
    <row r="101" spans="2:47" hidden="1" x14ac:dyDescent="0.25">
      <c r="B101" s="14" t="s">
        <v>6390</v>
      </c>
      <c r="C101" t="s">
        <v>348</v>
      </c>
      <c r="D101" t="s">
        <v>9</v>
      </c>
      <c r="E101" t="s">
        <v>349</v>
      </c>
      <c r="F101" t="s">
        <v>5853</v>
      </c>
      <c r="G101" t="e">
        <f>INDEX(Parametria!H:H,MATCH(Tabla_Consulta_desde_Reporte_de_Valorización_de_Instrumentos[[#This Row],[CODIGO_SBS]],Parametria!C:C,0),1)</f>
        <v>#N/A</v>
      </c>
      <c r="H101" t="s">
        <v>5854</v>
      </c>
      <c r="I101" t="s">
        <v>5855</v>
      </c>
      <c r="J101" t="s">
        <v>4852</v>
      </c>
      <c r="K101" t="s">
        <v>90</v>
      </c>
      <c r="L101">
        <v>10000</v>
      </c>
      <c r="M101" s="5">
        <v>18529935.317514598</v>
      </c>
      <c r="N101">
        <v>18529935.317514598</v>
      </c>
      <c r="O101">
        <v>1862</v>
      </c>
      <c r="P101" s="15">
        <v>46060</v>
      </c>
      <c r="Q101">
        <v>38</v>
      </c>
      <c r="R101">
        <v>1</v>
      </c>
      <c r="S101" t="s">
        <v>155</v>
      </c>
      <c r="T101">
        <v>18529001.435138602</v>
      </c>
      <c r="U101" s="5">
        <v>18529001.435138602</v>
      </c>
      <c r="V101" t="s">
        <v>4853</v>
      </c>
      <c r="W101">
        <v>1453460000</v>
      </c>
      <c r="X101">
        <v>1237682000</v>
      </c>
      <c r="Y101">
        <v>215778000</v>
      </c>
      <c r="Z101">
        <v>0.50154799999999999</v>
      </c>
      <c r="AA101" t="str">
        <f>+MID(Tabla_Consulta_desde_Reporte_de_Valorización_de_Instrumentos[[#This Row],[CODIGO_SBS]],7,1)</f>
        <v>1</v>
      </c>
      <c r="AB101">
        <f>INDEX('Cálculo Caja'!F:F,MATCH(Tabla_Consulta_desde_Reporte_de_Valorización_de_Instrumentos[[#This Row],[PORTAFOLIO]],'Cálculo Caja'!A:A,0),1)</f>
        <v>2847839359.3764262</v>
      </c>
      <c r="AC101" s="17">
        <f>Tabla_Consulta_desde_Reporte_de_Valorización_de_Instrumentos[[#This Row],[VALOR_VECTOR_LOCAL]]/Tabla_Consulta_desde_Reporte_de_Valorización_de_Instrumentos[[#This Row],[Patrimonio]]</f>
        <v>6.5066645197192526E-3</v>
      </c>
      <c r="AD101" s="4">
        <f>(Tabla_Consulta_desde_Reporte_de_Valorización_de_Instrumentos[[#This Row],[VALOR_VECTOR_LOCAL]]/INDEX('Tipo de Cambio'!$D:$D,MATCH("2",'Tipo de Cambio'!$E:$E,0),1))/1000000</f>
        <v>5.5133849021138976</v>
      </c>
      <c r="AE101">
        <f>IF(Tabla_Consulta_desde_Reporte_de_Valorización_de_Instrumentos[[#This Row],[PORTAFOLIO]]="IN-FONDO0",Tabla_Consulta_desde_Reporte_de_Valorización_de_Instrumentos[[#This Row],[Inv MM$]],0)</f>
        <v>5.5133849021138976</v>
      </c>
      <c r="AF101" s="26">
        <f>IF(Tabla_Consulta_desde_Reporte_de_Valorización_de_Instrumentos[[#This Row],[PORTAFOLIO]]="IN-FONDO1",Tabla_Consulta_desde_Reporte_de_Valorización_de_Instrumentos[[#This Row],[Inv MM$]],0)</f>
        <v>0</v>
      </c>
      <c r="AG101" s="26">
        <f>IF(Tabla_Consulta_desde_Reporte_de_Valorización_de_Instrumentos[[#This Row],[PORTAFOLIO]]="IN-FONDO2",Tabla_Consulta_desde_Reporte_de_Valorización_de_Instrumentos[[#This Row],[Inv MM$]],0)</f>
        <v>0</v>
      </c>
      <c r="AH101" s="26">
        <f>IF(Tabla_Consulta_desde_Reporte_de_Valorización_de_Instrumentos[[#This Row],[PORTAFOLIO]]="IN-FONDO3",Tabla_Consulta_desde_Reporte_de_Valorización_de_Instrumentos[[#This Row],[Inv MM$]],0)</f>
        <v>0</v>
      </c>
      <c r="AI10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101" s="26">
        <f>IFERROR(IFERROR(INDEX('BD(MSCI)'!$T:$T,MATCH(Tabla_Consulta_desde_Reporte_de_Valorización_de_Instrumentos[[#This Row],[CODIGO_ISIN]],'BD(MSCI)'!$C:$C,0),1),INDEX('BD(MSCI)'!$T:$T,MATCH(Tabla_Consulta_desde_Reporte_de_Valorización_de_Instrumentos[[#This Row],[CODIGO_SBS]],'BD(MSCI)'!$C:$C,0),1)),0)</f>
        <v>4.0032245</v>
      </c>
      <c r="AK101" s="26">
        <f>Tabla_Consulta_desde_Reporte_de_Valorización_de_Instrumentos[[#This Row],[C02-H]]*Tabla_Consulta_desde_Reporte_de_Valorización_de_Instrumentos[[#This Row],[Inv MM$]]</f>
        <v>22.071317518072458</v>
      </c>
      <c r="AL101" s="26">
        <f>Tabla_Consulta_desde_Reporte_de_Valorización_de_Instrumentos[[#This Row],[C02-H]]*Tabla_Consulta_desde_Reporte_de_Valorización_de_Instrumentos[[#This Row],[Weight]]</f>
        <v>2.6047638818620846E-2</v>
      </c>
      <c r="AM101" s="26" t="e">
        <f>INDEX(Parametria!G:G,MATCH(Tabla_Consulta_desde_Reporte_de_Valorización_de_Instrumentos[[#This Row],[CODIGO_SBS]],Parametria!C:C,0))</f>
        <v>#N/A</v>
      </c>
      <c r="AN101" s="26" t="e">
        <f>INDEX(Parametria!F:F,MATCH(Tabla_Consulta_desde_Reporte_de_Valorización_de_Instrumentos[[#This Row],[CODIGO_SBS]],Parametria!C:C,0))</f>
        <v>#N/A</v>
      </c>
      <c r="AO101" s="26" t="e">
        <f>+INDEX(Parametria!J:J,MATCH(Tabla_Consulta_desde_Reporte_de_Valorización_de_Instrumentos[[#This Row],[CODIGO_SBS]],Parametria!C:C,0))</f>
        <v>#N/A</v>
      </c>
      <c r="AP101" s="26">
        <f>Tabla_Consulta_desde_Reporte_de_Valorización_de_Instrumentos[[#This Row],[Huella]]/$AU$4</f>
        <v>2.0461165207335394E-3</v>
      </c>
      <c r="AQ101" s="26" t="str">
        <f>IFERROR(INDEX('BD(MSCI)'!W:W,MATCH(Tabla_Consulta_desde_Reporte_de_Valorización_de_Instrumentos[[#This Row],[CODIGO_ISIN]],'BD(MSCI)'!C:C,0)),IF(Tabla_Consulta_desde_Reporte_de_Valorización_de_Instrumentos[[#This Row],[Rank_rt]]="Cash","Cash","Cuestionario Integra"))</f>
        <v>Proxies</v>
      </c>
      <c r="AR101" s="26" t="str">
        <f>IFERROR(INDEX('BD(MSCI)'!X:X,MATCH(Tabla_Consulta_desde_Reporte_de_Valorización_de_Instrumentos[[#This Row],[CODIGO_ISIN]],'BD(MSCI)'!C:C,0)),"Cuestionario Integra")</f>
        <v>BU</v>
      </c>
      <c r="AU101" s="26"/>
    </row>
    <row r="102" spans="2:47" hidden="1" x14ac:dyDescent="0.25">
      <c r="B102" s="14" t="s">
        <v>6390</v>
      </c>
      <c r="C102" t="s">
        <v>348</v>
      </c>
      <c r="D102" t="s">
        <v>9</v>
      </c>
      <c r="E102" t="s">
        <v>349</v>
      </c>
      <c r="F102" t="s">
        <v>6419</v>
      </c>
      <c r="G102" t="e">
        <f>INDEX(Parametria!H:H,MATCH(Tabla_Consulta_desde_Reporte_de_Valorización_de_Instrumentos[[#This Row],[CODIGO_SBS]],Parametria!C:C,0),1)</f>
        <v>#N/A</v>
      </c>
      <c r="H102" t="s">
        <v>6420</v>
      </c>
      <c r="I102" t="s">
        <v>6421</v>
      </c>
      <c r="J102" t="s">
        <v>4852</v>
      </c>
      <c r="K102" t="s">
        <v>90</v>
      </c>
      <c r="L102">
        <v>10000</v>
      </c>
      <c r="M102" s="5">
        <v>19591286.4756</v>
      </c>
      <c r="N102">
        <v>19591286.4756</v>
      </c>
      <c r="O102">
        <v>2000</v>
      </c>
      <c r="P102" s="15">
        <v>46185</v>
      </c>
      <c r="Q102">
        <v>163</v>
      </c>
      <c r="R102">
        <v>1</v>
      </c>
      <c r="S102" t="s">
        <v>155</v>
      </c>
      <c r="T102">
        <v>19593456.614</v>
      </c>
      <c r="U102" s="5">
        <v>19593456.614</v>
      </c>
      <c r="V102" t="s">
        <v>4853</v>
      </c>
      <c r="W102">
        <v>1453460000</v>
      </c>
      <c r="X102">
        <v>1237682000</v>
      </c>
      <c r="Y102">
        <v>215778000</v>
      </c>
      <c r="Z102">
        <v>-1.0850692</v>
      </c>
      <c r="AA102" t="str">
        <f>+MID(Tabla_Consulta_desde_Reporte_de_Valorización_de_Instrumentos[[#This Row],[CODIGO_SBS]],7,1)</f>
        <v>1</v>
      </c>
      <c r="AB102">
        <f>INDEX('Cálculo Caja'!F:F,MATCH(Tabla_Consulta_desde_Reporte_de_Valorización_de_Instrumentos[[#This Row],[PORTAFOLIO]],'Cálculo Caja'!A:A,0),1)</f>
        <v>2847839359.3764262</v>
      </c>
      <c r="AC102" s="17">
        <f>Tabla_Consulta_desde_Reporte_de_Valorización_de_Instrumentos[[#This Row],[VALOR_VECTOR_LOCAL]]/Tabla_Consulta_desde_Reporte_de_Valorización_de_Instrumentos[[#This Row],[Patrimonio]]</f>
        <v>6.8793509757129638E-3</v>
      </c>
      <c r="AD102" s="4">
        <f>(Tabla_Consulta_desde_Reporte_de_Valorización_de_Instrumentos[[#This Row],[VALOR_VECTOR_LOCAL]]/INDEX('Tipo de Cambio'!$D:$D,MATCH("2",'Tipo de Cambio'!$E:$E,0),1))/1000000</f>
        <v>5.8291786353655271</v>
      </c>
      <c r="AE102">
        <f>IF(Tabla_Consulta_desde_Reporte_de_Valorización_de_Instrumentos[[#This Row],[PORTAFOLIO]]="IN-FONDO0",Tabla_Consulta_desde_Reporte_de_Valorización_de_Instrumentos[[#This Row],[Inv MM$]],0)</f>
        <v>5.8291786353655271</v>
      </c>
      <c r="AF102" s="26">
        <f>IF(Tabla_Consulta_desde_Reporte_de_Valorización_de_Instrumentos[[#This Row],[PORTAFOLIO]]="IN-FONDO1",Tabla_Consulta_desde_Reporte_de_Valorización_de_Instrumentos[[#This Row],[Inv MM$]],0)</f>
        <v>0</v>
      </c>
      <c r="AG102" s="26">
        <f>IF(Tabla_Consulta_desde_Reporte_de_Valorización_de_Instrumentos[[#This Row],[PORTAFOLIO]]="IN-FONDO2",Tabla_Consulta_desde_Reporte_de_Valorización_de_Instrumentos[[#This Row],[Inv MM$]],0)</f>
        <v>0</v>
      </c>
      <c r="AH102" s="26">
        <f>IF(Tabla_Consulta_desde_Reporte_de_Valorización_de_Instrumentos[[#This Row],[PORTAFOLIO]]="IN-FONDO3",Tabla_Consulta_desde_Reporte_de_Valorización_de_Instrumentos[[#This Row],[Inv MM$]],0)</f>
        <v>0</v>
      </c>
      <c r="AI10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102" s="26">
        <f>IFERROR(IFERROR(INDEX('BD(MSCI)'!$T:$T,MATCH(Tabla_Consulta_desde_Reporte_de_Valorización_de_Instrumentos[[#This Row],[CODIGO_ISIN]],'BD(MSCI)'!$C:$C,0),1),INDEX('BD(MSCI)'!$T:$T,MATCH(Tabla_Consulta_desde_Reporte_de_Valorización_de_Instrumentos[[#This Row],[CODIGO_SBS]],'BD(MSCI)'!$C:$C,0),1)),0)</f>
        <v>0</v>
      </c>
      <c r="AK102" s="26">
        <f>Tabla_Consulta_desde_Reporte_de_Valorización_de_Instrumentos[[#This Row],[C02-H]]*Tabla_Consulta_desde_Reporte_de_Valorización_de_Instrumentos[[#This Row],[Inv MM$]]</f>
        <v>0</v>
      </c>
      <c r="AL102" s="26">
        <f>Tabla_Consulta_desde_Reporte_de_Valorización_de_Instrumentos[[#This Row],[C02-H]]*Tabla_Consulta_desde_Reporte_de_Valorización_de_Instrumentos[[#This Row],[Weight]]</f>
        <v>0</v>
      </c>
      <c r="AM102" s="26" t="e">
        <f>INDEX(Parametria!G:G,MATCH(Tabla_Consulta_desde_Reporte_de_Valorización_de_Instrumentos[[#This Row],[CODIGO_SBS]],Parametria!C:C,0))</f>
        <v>#N/A</v>
      </c>
      <c r="AN102" s="26" t="e">
        <f>INDEX(Parametria!F:F,MATCH(Tabla_Consulta_desde_Reporte_de_Valorización_de_Instrumentos[[#This Row],[CODIGO_SBS]],Parametria!C:C,0))</f>
        <v>#N/A</v>
      </c>
      <c r="AO102" s="26" t="e">
        <f>+INDEX(Parametria!J:J,MATCH(Tabla_Consulta_desde_Reporte_de_Valorización_de_Instrumentos[[#This Row],[CODIGO_SBS]],Parametria!C:C,0))</f>
        <v>#N/A</v>
      </c>
      <c r="AP102" s="26">
        <f>Tabla_Consulta_desde_Reporte_de_Valorización_de_Instrumentos[[#This Row],[Huella]]/$AU$4</f>
        <v>0</v>
      </c>
      <c r="AQ102" s="26" t="e">
        <f>IFERROR(INDEX('BD(MSCI)'!W:W,MATCH(Tabla_Consulta_desde_Reporte_de_Valorización_de_Instrumentos[[#This Row],[CODIGO_ISIN]],'BD(MSCI)'!C:C,0)),IF(Tabla_Consulta_desde_Reporte_de_Valorización_de_Instrumentos[[#This Row],[Rank_rt]]="Cash","Cash","Cuestionario Integra"))</f>
        <v>#N/A</v>
      </c>
      <c r="AR102" s="26" t="str">
        <f>IFERROR(INDEX('BD(MSCI)'!X:X,MATCH(Tabla_Consulta_desde_Reporte_de_Valorización_de_Instrumentos[[#This Row],[CODIGO_ISIN]],'BD(MSCI)'!C:C,0)),"Cuestionario Integra")</f>
        <v>Cuestionario Integra</v>
      </c>
      <c r="AU102" s="26"/>
    </row>
    <row r="103" spans="2:47" hidden="1" x14ac:dyDescent="0.25">
      <c r="B103" s="14" t="s">
        <v>6390</v>
      </c>
      <c r="C103" t="s">
        <v>348</v>
      </c>
      <c r="D103" t="s">
        <v>9</v>
      </c>
      <c r="E103" t="s">
        <v>349</v>
      </c>
      <c r="F103" t="s">
        <v>6422</v>
      </c>
      <c r="G103" t="e">
        <f>INDEX(Parametria!H:H,MATCH(Tabla_Consulta_desde_Reporte_de_Valorización_de_Instrumentos[[#This Row],[CODIGO_SBS]],Parametria!C:C,0),1)</f>
        <v>#N/A</v>
      </c>
      <c r="H103" t="s">
        <v>6423</v>
      </c>
      <c r="I103" t="s">
        <v>6424</v>
      </c>
      <c r="J103" t="s">
        <v>4852</v>
      </c>
      <c r="K103" t="s">
        <v>90</v>
      </c>
      <c r="L103">
        <v>10000</v>
      </c>
      <c r="M103" s="5">
        <v>34826191.548178799</v>
      </c>
      <c r="N103">
        <v>34826191.548178799</v>
      </c>
      <c r="O103">
        <v>3628</v>
      </c>
      <c r="P103" s="15">
        <v>46346</v>
      </c>
      <c r="Q103">
        <v>324</v>
      </c>
      <c r="R103">
        <v>1</v>
      </c>
      <c r="S103" t="s">
        <v>155</v>
      </c>
      <c r="T103">
        <v>34831580.746629603</v>
      </c>
      <c r="U103" s="5">
        <v>34831580.746629603</v>
      </c>
      <c r="V103" t="s">
        <v>4853</v>
      </c>
      <c r="W103">
        <v>1453460000</v>
      </c>
      <c r="X103">
        <v>1237682000</v>
      </c>
      <c r="Y103">
        <v>215778000</v>
      </c>
      <c r="Z103">
        <v>-1.4854461000000001</v>
      </c>
      <c r="AA103" t="str">
        <f>+MID(Tabla_Consulta_desde_Reporte_de_Valorización_de_Instrumentos[[#This Row],[CODIGO_SBS]],7,1)</f>
        <v>1</v>
      </c>
      <c r="AB103">
        <f>INDEX('Cálculo Caja'!F:F,MATCH(Tabla_Consulta_desde_Reporte_de_Valorización_de_Instrumentos[[#This Row],[PORTAFOLIO]],'Cálculo Caja'!A:A,0),1)</f>
        <v>2847839359.3764262</v>
      </c>
      <c r="AC103" s="17">
        <f>Tabla_Consulta_desde_Reporte_de_Valorización_de_Instrumentos[[#This Row],[VALOR_VECTOR_LOCAL]]/Tabla_Consulta_desde_Reporte_de_Valorización_de_Instrumentos[[#This Row],[Patrimonio]]</f>
        <v>1.2228987366690681E-2</v>
      </c>
      <c r="AD103" s="4">
        <f>(Tabla_Consulta_desde_Reporte_de_Valorización_de_Instrumentos[[#This Row],[VALOR_VECTOR_LOCAL]]/INDEX('Tipo de Cambio'!$D:$D,MATCH("2",'Tipo de Cambio'!$E:$E,0),1))/1000000</f>
        <v>10.362162381558154</v>
      </c>
      <c r="AE103">
        <f>IF(Tabla_Consulta_desde_Reporte_de_Valorización_de_Instrumentos[[#This Row],[PORTAFOLIO]]="IN-FONDO0",Tabla_Consulta_desde_Reporte_de_Valorización_de_Instrumentos[[#This Row],[Inv MM$]],0)</f>
        <v>10.362162381558154</v>
      </c>
      <c r="AF103" s="26">
        <f>IF(Tabla_Consulta_desde_Reporte_de_Valorización_de_Instrumentos[[#This Row],[PORTAFOLIO]]="IN-FONDO1",Tabla_Consulta_desde_Reporte_de_Valorización_de_Instrumentos[[#This Row],[Inv MM$]],0)</f>
        <v>0</v>
      </c>
      <c r="AG103" s="26">
        <f>IF(Tabla_Consulta_desde_Reporte_de_Valorización_de_Instrumentos[[#This Row],[PORTAFOLIO]]="IN-FONDO2",Tabla_Consulta_desde_Reporte_de_Valorización_de_Instrumentos[[#This Row],[Inv MM$]],0)</f>
        <v>0</v>
      </c>
      <c r="AH103" s="26">
        <f>IF(Tabla_Consulta_desde_Reporte_de_Valorización_de_Instrumentos[[#This Row],[PORTAFOLIO]]="IN-FONDO3",Tabla_Consulta_desde_Reporte_de_Valorización_de_Instrumentos[[#This Row],[Inv MM$]],0)</f>
        <v>0</v>
      </c>
      <c r="AI10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103" s="26">
        <f>IFERROR(IFERROR(INDEX('BD(MSCI)'!$T:$T,MATCH(Tabla_Consulta_desde_Reporte_de_Valorización_de_Instrumentos[[#This Row],[CODIGO_ISIN]],'BD(MSCI)'!$C:$C,0),1),INDEX('BD(MSCI)'!$T:$T,MATCH(Tabla_Consulta_desde_Reporte_de_Valorización_de_Instrumentos[[#This Row],[CODIGO_SBS]],'BD(MSCI)'!$C:$C,0),1)),0)</f>
        <v>0</v>
      </c>
      <c r="AK103" s="26">
        <f>Tabla_Consulta_desde_Reporte_de_Valorización_de_Instrumentos[[#This Row],[C02-H]]*Tabla_Consulta_desde_Reporte_de_Valorización_de_Instrumentos[[#This Row],[Inv MM$]]</f>
        <v>0</v>
      </c>
      <c r="AL103" s="26">
        <f>Tabla_Consulta_desde_Reporte_de_Valorización_de_Instrumentos[[#This Row],[C02-H]]*Tabla_Consulta_desde_Reporte_de_Valorización_de_Instrumentos[[#This Row],[Weight]]</f>
        <v>0</v>
      </c>
      <c r="AM103" s="26" t="e">
        <f>INDEX(Parametria!G:G,MATCH(Tabla_Consulta_desde_Reporte_de_Valorización_de_Instrumentos[[#This Row],[CODIGO_SBS]],Parametria!C:C,0))</f>
        <v>#N/A</v>
      </c>
      <c r="AN103" s="26" t="e">
        <f>INDEX(Parametria!F:F,MATCH(Tabla_Consulta_desde_Reporte_de_Valorización_de_Instrumentos[[#This Row],[CODIGO_SBS]],Parametria!C:C,0))</f>
        <v>#N/A</v>
      </c>
      <c r="AO103" s="26" t="e">
        <f>+INDEX(Parametria!J:J,MATCH(Tabla_Consulta_desde_Reporte_de_Valorización_de_Instrumentos[[#This Row],[CODIGO_SBS]],Parametria!C:C,0))</f>
        <v>#N/A</v>
      </c>
      <c r="AP103" s="26">
        <f>Tabla_Consulta_desde_Reporte_de_Valorización_de_Instrumentos[[#This Row],[Huella]]/$AU$4</f>
        <v>0</v>
      </c>
      <c r="AQ103" s="26" t="e">
        <f>IFERROR(INDEX('BD(MSCI)'!W:W,MATCH(Tabla_Consulta_desde_Reporte_de_Valorización_de_Instrumentos[[#This Row],[CODIGO_ISIN]],'BD(MSCI)'!C:C,0)),IF(Tabla_Consulta_desde_Reporte_de_Valorización_de_Instrumentos[[#This Row],[Rank_rt]]="Cash","Cash","Cuestionario Integra"))</f>
        <v>#N/A</v>
      </c>
      <c r="AR103" s="26" t="str">
        <f>IFERROR(INDEX('BD(MSCI)'!X:X,MATCH(Tabla_Consulta_desde_Reporte_de_Valorización_de_Instrumentos[[#This Row],[CODIGO_ISIN]],'BD(MSCI)'!C:C,0)),"Cuestionario Integra")</f>
        <v>Cuestionario Integra</v>
      </c>
      <c r="AU103" s="26"/>
    </row>
    <row r="104" spans="2:47" hidden="1" x14ac:dyDescent="0.25">
      <c r="B104" s="14" t="s">
        <v>6390</v>
      </c>
      <c r="C104" t="s">
        <v>348</v>
      </c>
      <c r="D104" t="s">
        <v>9</v>
      </c>
      <c r="E104" t="s">
        <v>349</v>
      </c>
      <c r="F104" t="s">
        <v>6425</v>
      </c>
      <c r="G104" t="e">
        <f>INDEX(Parametria!H:H,MATCH(Tabla_Consulta_desde_Reporte_de_Valorización_de_Instrumentos[[#This Row],[CODIGO_SBS]],Parametria!C:C,0),1)</f>
        <v>#N/A</v>
      </c>
      <c r="H104" t="s">
        <v>6426</v>
      </c>
      <c r="I104" t="s">
        <v>6427</v>
      </c>
      <c r="J104" t="s">
        <v>332</v>
      </c>
      <c r="K104" t="s">
        <v>90</v>
      </c>
      <c r="L104">
        <v>1000</v>
      </c>
      <c r="M104" s="5">
        <v>4882320.4024999999</v>
      </c>
      <c r="N104">
        <v>4882320.4024999999</v>
      </c>
      <c r="O104">
        <v>5000</v>
      </c>
      <c r="P104" s="15">
        <v>46214</v>
      </c>
      <c r="Q104">
        <v>192</v>
      </c>
      <c r="R104">
        <v>1</v>
      </c>
      <c r="S104" t="s">
        <v>155</v>
      </c>
      <c r="T104">
        <v>4882973.5415000003</v>
      </c>
      <c r="U104" s="5">
        <v>4882973.5415000003</v>
      </c>
      <c r="V104" t="s">
        <v>333</v>
      </c>
      <c r="W104">
        <v>6803800000</v>
      </c>
      <c r="X104">
        <v>3267830000</v>
      </c>
      <c r="Y104">
        <v>3535970000</v>
      </c>
      <c r="Z104">
        <v>-0.13062779999999999</v>
      </c>
      <c r="AA104" t="str">
        <f>+MID(Tabla_Consulta_desde_Reporte_de_Valorización_de_Instrumentos[[#This Row],[CODIGO_SBS]],7,1)</f>
        <v>1</v>
      </c>
      <c r="AB104">
        <f>INDEX('Cálculo Caja'!F:F,MATCH(Tabla_Consulta_desde_Reporte_de_Valorización_de_Instrumentos[[#This Row],[PORTAFOLIO]],'Cálculo Caja'!A:A,0),1)</f>
        <v>2847839359.3764262</v>
      </c>
      <c r="AC104" s="17">
        <f>Tabla_Consulta_desde_Reporte_de_Valorización_de_Instrumentos[[#This Row],[VALOR_VECTOR_LOCAL]]/Tabla_Consulta_desde_Reporte_de_Valorización_de_Instrumentos[[#This Row],[Patrimonio]]</f>
        <v>1.714394594071855E-3</v>
      </c>
      <c r="AD104" s="4">
        <f>(Tabla_Consulta_desde_Reporte_de_Valorización_de_Instrumentos[[#This Row],[VALOR_VECTOR_LOCAL]]/INDEX('Tipo de Cambio'!$D:$D,MATCH("2",'Tipo de Cambio'!$E:$E,0),1))/1000000</f>
        <v>1.4526824369960427</v>
      </c>
      <c r="AE104">
        <f>IF(Tabla_Consulta_desde_Reporte_de_Valorización_de_Instrumentos[[#This Row],[PORTAFOLIO]]="IN-FONDO0",Tabla_Consulta_desde_Reporte_de_Valorización_de_Instrumentos[[#This Row],[Inv MM$]],0)</f>
        <v>1.4526824369960427</v>
      </c>
      <c r="AF104" s="26">
        <f>IF(Tabla_Consulta_desde_Reporte_de_Valorización_de_Instrumentos[[#This Row],[PORTAFOLIO]]="IN-FONDO1",Tabla_Consulta_desde_Reporte_de_Valorización_de_Instrumentos[[#This Row],[Inv MM$]],0)</f>
        <v>0</v>
      </c>
      <c r="AG104" s="26">
        <f>IF(Tabla_Consulta_desde_Reporte_de_Valorización_de_Instrumentos[[#This Row],[PORTAFOLIO]]="IN-FONDO2",Tabla_Consulta_desde_Reporte_de_Valorización_de_Instrumentos[[#This Row],[Inv MM$]],0)</f>
        <v>0</v>
      </c>
      <c r="AH104" s="26">
        <f>IF(Tabla_Consulta_desde_Reporte_de_Valorización_de_Instrumentos[[#This Row],[PORTAFOLIO]]="IN-FONDO3",Tabla_Consulta_desde_Reporte_de_Valorización_de_Instrumentos[[#This Row],[Inv MM$]],0)</f>
        <v>0</v>
      </c>
      <c r="AI10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104" s="26">
        <f>IFERROR(IFERROR(INDEX('BD(MSCI)'!$T:$T,MATCH(Tabla_Consulta_desde_Reporte_de_Valorización_de_Instrumentos[[#This Row],[CODIGO_ISIN]],'BD(MSCI)'!$C:$C,0),1),INDEX('BD(MSCI)'!$T:$T,MATCH(Tabla_Consulta_desde_Reporte_de_Valorización_de_Instrumentos[[#This Row],[CODIGO_SBS]],'BD(MSCI)'!$C:$C,0),1)),0)</f>
        <v>0</v>
      </c>
      <c r="AK104" s="26">
        <f>Tabla_Consulta_desde_Reporte_de_Valorización_de_Instrumentos[[#This Row],[C02-H]]*Tabla_Consulta_desde_Reporte_de_Valorización_de_Instrumentos[[#This Row],[Inv MM$]]</f>
        <v>0</v>
      </c>
      <c r="AL104" s="26">
        <f>Tabla_Consulta_desde_Reporte_de_Valorización_de_Instrumentos[[#This Row],[C02-H]]*Tabla_Consulta_desde_Reporte_de_Valorización_de_Instrumentos[[#This Row],[Weight]]</f>
        <v>0</v>
      </c>
      <c r="AM104" s="26" t="e">
        <f>INDEX(Parametria!G:G,MATCH(Tabla_Consulta_desde_Reporte_de_Valorización_de_Instrumentos[[#This Row],[CODIGO_SBS]],Parametria!C:C,0))</f>
        <v>#N/A</v>
      </c>
      <c r="AN104" s="26" t="e">
        <f>INDEX(Parametria!F:F,MATCH(Tabla_Consulta_desde_Reporte_de_Valorización_de_Instrumentos[[#This Row],[CODIGO_SBS]],Parametria!C:C,0))</f>
        <v>#N/A</v>
      </c>
      <c r="AO104" s="26" t="e">
        <f>+INDEX(Parametria!J:J,MATCH(Tabla_Consulta_desde_Reporte_de_Valorización_de_Instrumentos[[#This Row],[CODIGO_SBS]],Parametria!C:C,0))</f>
        <v>#N/A</v>
      </c>
      <c r="AP104" s="26">
        <f>Tabla_Consulta_desde_Reporte_de_Valorización_de_Instrumentos[[#This Row],[Huella]]/$AU$4</f>
        <v>0</v>
      </c>
      <c r="AQ104" s="26" t="e">
        <f>IFERROR(INDEX('BD(MSCI)'!W:W,MATCH(Tabla_Consulta_desde_Reporte_de_Valorización_de_Instrumentos[[#This Row],[CODIGO_ISIN]],'BD(MSCI)'!C:C,0)),IF(Tabla_Consulta_desde_Reporte_de_Valorización_de_Instrumentos[[#This Row],[Rank_rt]]="Cash","Cash","Cuestionario Integra"))</f>
        <v>#N/A</v>
      </c>
      <c r="AR104" s="26" t="str">
        <f>IFERROR(INDEX('BD(MSCI)'!X:X,MATCH(Tabla_Consulta_desde_Reporte_de_Valorización_de_Instrumentos[[#This Row],[CODIGO_ISIN]],'BD(MSCI)'!C:C,0)),"Cuestionario Integra")</f>
        <v>Cuestionario Integra</v>
      </c>
      <c r="AU104" s="26"/>
    </row>
    <row r="105" spans="2:47" hidden="1" x14ac:dyDescent="0.25">
      <c r="B105" s="14" t="s">
        <v>6390</v>
      </c>
      <c r="C105" t="s">
        <v>348</v>
      </c>
      <c r="D105" t="s">
        <v>9</v>
      </c>
      <c r="E105" t="s">
        <v>349</v>
      </c>
      <c r="F105" t="s">
        <v>5957</v>
      </c>
      <c r="G105" t="e">
        <f>INDEX(Parametria!H:H,MATCH(Tabla_Consulta_desde_Reporte_de_Valorización_de_Instrumentos[[#This Row],[CODIGO_SBS]],Parametria!C:C,0),1)</f>
        <v>#N/A</v>
      </c>
      <c r="H105" t="s">
        <v>5958</v>
      </c>
      <c r="I105" t="s">
        <v>5959</v>
      </c>
      <c r="J105" t="s">
        <v>854</v>
      </c>
      <c r="K105" t="s">
        <v>90</v>
      </c>
      <c r="L105">
        <v>1000</v>
      </c>
      <c r="M105" s="5">
        <v>4700592.2187072001</v>
      </c>
      <c r="N105">
        <v>4700592.2187072001</v>
      </c>
      <c r="O105">
        <v>4761</v>
      </c>
      <c r="P105" s="15">
        <v>46123</v>
      </c>
      <c r="Q105">
        <v>101</v>
      </c>
      <c r="R105">
        <v>1</v>
      </c>
      <c r="S105" t="s">
        <v>155</v>
      </c>
      <c r="T105">
        <v>4700814.3255465003</v>
      </c>
      <c r="U105" s="5">
        <v>4700814.3255465003</v>
      </c>
      <c r="V105" t="s">
        <v>855</v>
      </c>
      <c r="W105">
        <v>9755108000</v>
      </c>
      <c r="X105">
        <v>5037943000</v>
      </c>
      <c r="Y105">
        <v>4717165000</v>
      </c>
      <c r="Z105">
        <v>-4.66513E-2</v>
      </c>
      <c r="AA105" t="str">
        <f>+MID(Tabla_Consulta_desde_Reporte_de_Valorización_de_Instrumentos[[#This Row],[CODIGO_SBS]],7,1)</f>
        <v>1</v>
      </c>
      <c r="AB105">
        <f>INDEX('Cálculo Caja'!F:F,MATCH(Tabla_Consulta_desde_Reporte_de_Valorización_de_Instrumentos[[#This Row],[PORTAFOLIO]],'Cálculo Caja'!A:A,0),1)</f>
        <v>2847839359.3764262</v>
      </c>
      <c r="AC105" s="17">
        <f>Tabla_Consulta_desde_Reporte_de_Valorización_de_Instrumentos[[#This Row],[VALOR_VECTOR_LOCAL]]/Tabla_Consulta_desde_Reporte_de_Valorización_de_Instrumentos[[#This Row],[Patrimonio]]</f>
        <v>1.6505819414394426E-3</v>
      </c>
      <c r="AD105" s="4">
        <f>(Tabla_Consulta_desde_Reporte_de_Valorización_de_Instrumentos[[#This Row],[VALOR_VECTOR_LOCAL]]/INDEX('Tipo de Cambio'!$D:$D,MATCH("2",'Tipo de Cambio'!$E:$E,0),1))/1000000</f>
        <v>1.3986111513901636</v>
      </c>
      <c r="AE105">
        <f>IF(Tabla_Consulta_desde_Reporte_de_Valorización_de_Instrumentos[[#This Row],[PORTAFOLIO]]="IN-FONDO0",Tabla_Consulta_desde_Reporte_de_Valorización_de_Instrumentos[[#This Row],[Inv MM$]],0)</f>
        <v>1.3986111513901636</v>
      </c>
      <c r="AF105" s="26">
        <f>IF(Tabla_Consulta_desde_Reporte_de_Valorización_de_Instrumentos[[#This Row],[PORTAFOLIO]]="IN-FONDO1",Tabla_Consulta_desde_Reporte_de_Valorización_de_Instrumentos[[#This Row],[Inv MM$]],0)</f>
        <v>0</v>
      </c>
      <c r="AG105" s="26">
        <f>IF(Tabla_Consulta_desde_Reporte_de_Valorización_de_Instrumentos[[#This Row],[PORTAFOLIO]]="IN-FONDO2",Tabla_Consulta_desde_Reporte_de_Valorización_de_Instrumentos[[#This Row],[Inv MM$]],0)</f>
        <v>0</v>
      </c>
      <c r="AH105" s="26">
        <f>IF(Tabla_Consulta_desde_Reporte_de_Valorización_de_Instrumentos[[#This Row],[PORTAFOLIO]]="IN-FONDO3",Tabla_Consulta_desde_Reporte_de_Valorización_de_Instrumentos[[#This Row],[Inv MM$]],0)</f>
        <v>0</v>
      </c>
      <c r="AI10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105" s="26">
        <f>IFERROR(IFERROR(INDEX('BD(MSCI)'!$T:$T,MATCH(Tabla_Consulta_desde_Reporte_de_Valorización_de_Instrumentos[[#This Row],[CODIGO_ISIN]],'BD(MSCI)'!$C:$C,0),1),INDEX('BD(MSCI)'!$T:$T,MATCH(Tabla_Consulta_desde_Reporte_de_Valorización_de_Instrumentos[[#This Row],[CODIGO_SBS]],'BD(MSCI)'!$C:$C,0),1)),0)</f>
        <v>0</v>
      </c>
      <c r="AK105" s="26">
        <f>Tabla_Consulta_desde_Reporte_de_Valorización_de_Instrumentos[[#This Row],[C02-H]]*Tabla_Consulta_desde_Reporte_de_Valorización_de_Instrumentos[[#This Row],[Inv MM$]]</f>
        <v>0</v>
      </c>
      <c r="AL105" s="26">
        <f>Tabla_Consulta_desde_Reporte_de_Valorización_de_Instrumentos[[#This Row],[C02-H]]*Tabla_Consulta_desde_Reporte_de_Valorización_de_Instrumentos[[#This Row],[Weight]]</f>
        <v>0</v>
      </c>
      <c r="AM105" s="26" t="e">
        <f>INDEX(Parametria!G:G,MATCH(Tabla_Consulta_desde_Reporte_de_Valorización_de_Instrumentos[[#This Row],[CODIGO_SBS]],Parametria!C:C,0))</f>
        <v>#N/A</v>
      </c>
      <c r="AN105" s="26" t="e">
        <f>INDEX(Parametria!F:F,MATCH(Tabla_Consulta_desde_Reporte_de_Valorización_de_Instrumentos[[#This Row],[CODIGO_SBS]],Parametria!C:C,0))</f>
        <v>#N/A</v>
      </c>
      <c r="AO105" s="26" t="e">
        <f>+INDEX(Parametria!J:J,MATCH(Tabla_Consulta_desde_Reporte_de_Valorización_de_Instrumentos[[#This Row],[CODIGO_SBS]],Parametria!C:C,0))</f>
        <v>#N/A</v>
      </c>
      <c r="AP105" s="26">
        <f>Tabla_Consulta_desde_Reporte_de_Valorización_de_Instrumentos[[#This Row],[Huella]]/$AU$4</f>
        <v>0</v>
      </c>
      <c r="AQ105" s="26" t="e">
        <f>IFERROR(INDEX('BD(MSCI)'!W:W,MATCH(Tabla_Consulta_desde_Reporte_de_Valorización_de_Instrumentos[[#This Row],[CODIGO_ISIN]],'BD(MSCI)'!C:C,0)),IF(Tabla_Consulta_desde_Reporte_de_Valorización_de_Instrumentos[[#This Row],[Rank_rt]]="Cash","Cash","Cuestionario Integra"))</f>
        <v>#N/A</v>
      </c>
      <c r="AR105" s="26" t="str">
        <f>IFERROR(INDEX('BD(MSCI)'!X:X,MATCH(Tabla_Consulta_desde_Reporte_de_Valorización_de_Instrumentos[[#This Row],[CODIGO_ISIN]],'BD(MSCI)'!C:C,0)),"Cuestionario Integra")</f>
        <v>Cuestionario Integra</v>
      </c>
      <c r="AU105" s="26"/>
    </row>
    <row r="106" spans="2:47" hidden="1" x14ac:dyDescent="0.25">
      <c r="B106" s="14" t="s">
        <v>6390</v>
      </c>
      <c r="C106" t="s">
        <v>350</v>
      </c>
      <c r="D106" t="s">
        <v>10</v>
      </c>
      <c r="E106" t="s">
        <v>351</v>
      </c>
      <c r="F106" t="s">
        <v>355</v>
      </c>
      <c r="G106" t="str">
        <f>INDEX(Parametria!H:H,MATCH(Tabla_Consulta_desde_Reporte_de_Valorización_de_Instrumentos[[#This Row],[CODIGO_SBS]],Parametria!C:C,0),1)</f>
        <v>Fondo Mi Vivienda</v>
      </c>
      <c r="H106" t="s">
        <v>356</v>
      </c>
      <c r="I106" t="s">
        <v>357</v>
      </c>
      <c r="J106" t="s">
        <v>354</v>
      </c>
      <c r="K106" t="s">
        <v>90</v>
      </c>
      <c r="L106">
        <v>5000</v>
      </c>
      <c r="M106" s="5">
        <v>19086495.625355199</v>
      </c>
      <c r="N106">
        <v>19086495.625355199</v>
      </c>
      <c r="O106">
        <v>3664</v>
      </c>
      <c r="P106" s="15">
        <v>46216</v>
      </c>
      <c r="Q106">
        <v>194</v>
      </c>
      <c r="R106">
        <v>1</v>
      </c>
      <c r="S106" t="s">
        <v>155</v>
      </c>
      <c r="T106">
        <v>19089961.325644799</v>
      </c>
      <c r="U106" s="5">
        <v>19089961.325644799</v>
      </c>
      <c r="V106" t="s">
        <v>242</v>
      </c>
      <c r="W106">
        <v>13448377000</v>
      </c>
      <c r="X106">
        <v>9913193000</v>
      </c>
      <c r="Y106">
        <v>3535184000</v>
      </c>
      <c r="Z106">
        <v>-0.94587889999999997</v>
      </c>
      <c r="AA106" t="str">
        <f>+MID(Tabla_Consulta_desde_Reporte_de_Valorización_de_Instrumentos[[#This Row],[CODIGO_SBS]],7,1)</f>
        <v>1</v>
      </c>
      <c r="AB106">
        <f>INDEX('Cálculo Caja'!F:F,MATCH(Tabla_Consulta_desde_Reporte_de_Valorización_de_Instrumentos[[#This Row],[PORTAFOLIO]],'Cálculo Caja'!A:A,0),1)</f>
        <v>26256910350.436607</v>
      </c>
      <c r="AC106" s="17">
        <f>Tabla_Consulta_desde_Reporte_de_Valorización_de_Instrumentos[[#This Row],[VALOR_VECTOR_LOCAL]]/Tabla_Consulta_desde_Reporte_de_Valorización_de_Instrumentos[[#This Row],[Patrimonio]]</f>
        <v>7.2691323429216123E-4</v>
      </c>
      <c r="AD106" s="4">
        <f>(Tabla_Consulta_desde_Reporte_de_Valorización_de_Instrumentos[[#This Row],[VALOR_VECTOR_LOCAL]]/INDEX('Tipo de Cambio'!$D:$D,MATCH("2",'Tipo de Cambio'!$E:$E,0),1))/1000000</f>
        <v>5.6789834941102679</v>
      </c>
      <c r="AE106">
        <f>IF(Tabla_Consulta_desde_Reporte_de_Valorización_de_Instrumentos[[#This Row],[PORTAFOLIO]]="IN-FONDO0",Tabla_Consulta_desde_Reporte_de_Valorización_de_Instrumentos[[#This Row],[Inv MM$]],0)</f>
        <v>0</v>
      </c>
      <c r="AF106" s="26">
        <f>IF(Tabla_Consulta_desde_Reporte_de_Valorización_de_Instrumentos[[#This Row],[PORTAFOLIO]]="IN-FONDO1",Tabla_Consulta_desde_Reporte_de_Valorización_de_Instrumentos[[#This Row],[Inv MM$]],0)</f>
        <v>0</v>
      </c>
      <c r="AG106" s="26">
        <f>IF(Tabla_Consulta_desde_Reporte_de_Valorización_de_Instrumentos[[#This Row],[PORTAFOLIO]]="IN-FONDO2",Tabla_Consulta_desde_Reporte_de_Valorización_de_Instrumentos[[#This Row],[Inv MM$]],0)</f>
        <v>5.6789834941102679</v>
      </c>
      <c r="AH106" s="26">
        <f>IF(Tabla_Consulta_desde_Reporte_de_Valorización_de_Instrumentos[[#This Row],[PORTAFOLIO]]="IN-FONDO3",Tabla_Consulta_desde_Reporte_de_Valorización_de_Instrumentos[[#This Row],[Inv MM$]],0)</f>
        <v>0</v>
      </c>
      <c r="AI10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5.6789834941102679</v>
      </c>
      <c r="AJ106" s="26">
        <f>IFERROR(IFERROR(INDEX('BD(MSCI)'!$T:$T,MATCH(Tabla_Consulta_desde_Reporte_de_Valorización_de_Instrumentos[[#This Row],[CODIGO_ISIN]],'BD(MSCI)'!$C:$C,0),1),INDEX('BD(MSCI)'!$T:$T,MATCH(Tabla_Consulta_desde_Reporte_de_Valorización_de_Instrumentos[[#This Row],[CODIGO_SBS]],'BD(MSCI)'!$C:$C,0),1)),0)</f>
        <v>0.31</v>
      </c>
      <c r="AK106" s="26">
        <f>Tabla_Consulta_desde_Reporte_de_Valorización_de_Instrumentos[[#This Row],[C02-H]]*Tabla_Consulta_desde_Reporte_de_Valorización_de_Instrumentos[[#This Row],[Inv MM$]]</f>
        <v>1.7604848831741831</v>
      </c>
      <c r="AL106" s="26">
        <f>Tabla_Consulta_desde_Reporte_de_Valorización_de_Instrumentos[[#This Row],[C02-H]]*Tabla_Consulta_desde_Reporte_de_Valorización_de_Instrumentos[[#This Row],[Weight]]</f>
        <v>2.2534310263056998E-4</v>
      </c>
      <c r="AM106" s="26" t="str">
        <f>INDEX(Parametria!G:G,MATCH(Tabla_Consulta_desde_Reporte_de_Valorización_de_Instrumentos[[#This Row],[CODIGO_SBS]],Parametria!C:C,0))</f>
        <v>25RFLC</v>
      </c>
      <c r="AN106" s="26" t="str">
        <f>INDEX(Parametria!F:F,MATCH(Tabla_Consulta_desde_Reporte_de_Valorización_de_Instrumentos[[#This Row],[CODIGO_SBS]],Parametria!C:C,0))</f>
        <v>BU</v>
      </c>
      <c r="AO106" s="26" t="str">
        <f>+INDEX(Parametria!J:J,MATCH(Tabla_Consulta_desde_Reporte_de_Valorización_de_Instrumentos[[#This Row],[CODIGO_SBS]],Parametria!C:C,0))</f>
        <v>RFLBU</v>
      </c>
      <c r="AP106" s="26">
        <f>Tabla_Consulta_desde_Reporte_de_Valorización_de_Instrumentos[[#This Row],[Huella]]/$AU$4</f>
        <v>1.6320535468781276E-4</v>
      </c>
      <c r="AQ106" s="26" t="str">
        <f>IFERROR(INDEX('BD(MSCI)'!W:W,MATCH(Tabla_Consulta_desde_Reporte_de_Valorización_de_Instrumentos[[#This Row],[CODIGO_ISIN]],'BD(MSCI)'!C:C,0)),IF(Tabla_Consulta_desde_Reporte_de_Valorización_de_Instrumentos[[#This Row],[Rank_rt]]="Cash","Cash","Cuestionario Integra"))</f>
        <v>Portafolio</v>
      </c>
      <c r="AR106" s="26" t="str">
        <f>IFERROR(INDEX('BD(MSCI)'!X:X,MATCH(Tabla_Consulta_desde_Reporte_de_Valorización_de_Instrumentos[[#This Row],[CODIGO_ISIN]],'BD(MSCI)'!C:C,0)),"Cuestionario Integra")</f>
        <v>Portafolio</v>
      </c>
      <c r="AU106" s="26"/>
    </row>
    <row r="107" spans="2:47" hidden="1" x14ac:dyDescent="0.25">
      <c r="B107" s="14" t="s">
        <v>6390</v>
      </c>
      <c r="C107" t="s">
        <v>350</v>
      </c>
      <c r="D107" t="s">
        <v>10</v>
      </c>
      <c r="E107" t="s">
        <v>351</v>
      </c>
      <c r="F107" t="s">
        <v>360</v>
      </c>
      <c r="G107" t="str">
        <f>INDEX(Parametria!H:H,MATCH(Tabla_Consulta_desde_Reporte_de_Valorización_de_Instrumentos[[#This Row],[CODIGO_SBS]],Parametria!C:C,0),1)</f>
        <v>Fondo Mi Vivienda</v>
      </c>
      <c r="H107" t="s">
        <v>361</v>
      </c>
      <c r="I107" t="s">
        <v>362</v>
      </c>
      <c r="J107" t="s">
        <v>354</v>
      </c>
      <c r="K107" t="s">
        <v>90</v>
      </c>
      <c r="L107">
        <v>5000</v>
      </c>
      <c r="M107" s="5">
        <v>4974764.5104694003</v>
      </c>
      <c r="N107">
        <v>4974764.5104694003</v>
      </c>
      <c r="O107">
        <v>971</v>
      </c>
      <c r="P107" s="15">
        <v>46220</v>
      </c>
      <c r="Q107">
        <v>198</v>
      </c>
      <c r="R107">
        <v>1</v>
      </c>
      <c r="S107" t="s">
        <v>155</v>
      </c>
      <c r="T107">
        <v>4975702.1014665999</v>
      </c>
      <c r="U107" s="5">
        <v>4975702.1014665999</v>
      </c>
      <c r="V107" t="s">
        <v>242</v>
      </c>
      <c r="W107">
        <v>13448377000</v>
      </c>
      <c r="X107">
        <v>9913193000</v>
      </c>
      <c r="Y107">
        <v>3535184000</v>
      </c>
      <c r="Z107">
        <v>-0.96559320000000004</v>
      </c>
      <c r="AA107" t="str">
        <f>+MID(Tabla_Consulta_desde_Reporte_de_Valorización_de_Instrumentos[[#This Row],[CODIGO_SBS]],7,1)</f>
        <v>1</v>
      </c>
      <c r="AB107">
        <f>INDEX('Cálculo Caja'!F:F,MATCH(Tabla_Consulta_desde_Reporte_de_Valorización_de_Instrumentos[[#This Row],[PORTAFOLIO]],'Cálculo Caja'!A:A,0),1)</f>
        <v>26256910350.436607</v>
      </c>
      <c r="AC107" s="17">
        <f>Tabla_Consulta_desde_Reporte_de_Valorización_de_Instrumentos[[#This Row],[VALOR_VECTOR_LOCAL]]/Tabla_Consulta_desde_Reporte_de_Valorización_de_Instrumentos[[#This Row],[Patrimonio]]</f>
        <v>1.8946496156912378E-4</v>
      </c>
      <c r="AD107" s="4">
        <f>(Tabla_Consulta_desde_Reporte_de_Valorización_de_Instrumentos[[#This Row],[VALOR_VECTOR_LOCAL]]/INDEX('Tipo de Cambio'!$D:$D,MATCH("2",'Tipo de Cambio'!$E:$E,0),1))/1000000</f>
        <v>1.4801881967536672</v>
      </c>
      <c r="AE107">
        <f>IF(Tabla_Consulta_desde_Reporte_de_Valorización_de_Instrumentos[[#This Row],[PORTAFOLIO]]="IN-FONDO0",Tabla_Consulta_desde_Reporte_de_Valorización_de_Instrumentos[[#This Row],[Inv MM$]],0)</f>
        <v>0</v>
      </c>
      <c r="AF107" s="26">
        <f>IF(Tabla_Consulta_desde_Reporte_de_Valorización_de_Instrumentos[[#This Row],[PORTAFOLIO]]="IN-FONDO1",Tabla_Consulta_desde_Reporte_de_Valorización_de_Instrumentos[[#This Row],[Inv MM$]],0)</f>
        <v>0</v>
      </c>
      <c r="AG107" s="26">
        <f>IF(Tabla_Consulta_desde_Reporte_de_Valorización_de_Instrumentos[[#This Row],[PORTAFOLIO]]="IN-FONDO2",Tabla_Consulta_desde_Reporte_de_Valorización_de_Instrumentos[[#This Row],[Inv MM$]],0)</f>
        <v>1.4801881967536672</v>
      </c>
      <c r="AH107" s="26">
        <f>IF(Tabla_Consulta_desde_Reporte_de_Valorización_de_Instrumentos[[#This Row],[PORTAFOLIO]]="IN-FONDO3",Tabla_Consulta_desde_Reporte_de_Valorización_de_Instrumentos[[#This Row],[Inv MM$]],0)</f>
        <v>0</v>
      </c>
      <c r="AI10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1.4801881967536672</v>
      </c>
      <c r="AJ107" s="26">
        <f>IFERROR(IFERROR(INDEX('BD(MSCI)'!$T:$T,MATCH(Tabla_Consulta_desde_Reporte_de_Valorización_de_Instrumentos[[#This Row],[CODIGO_ISIN]],'BD(MSCI)'!$C:$C,0),1),INDEX('BD(MSCI)'!$T:$T,MATCH(Tabla_Consulta_desde_Reporte_de_Valorización_de_Instrumentos[[#This Row],[CODIGO_SBS]],'BD(MSCI)'!$C:$C,0),1)),0)</f>
        <v>0.31</v>
      </c>
      <c r="AK107" s="26">
        <f>Tabla_Consulta_desde_Reporte_de_Valorización_de_Instrumentos[[#This Row],[C02-H]]*Tabla_Consulta_desde_Reporte_de_Valorización_de_Instrumentos[[#This Row],[Inv MM$]]</f>
        <v>0.45885834099363682</v>
      </c>
      <c r="AL107" s="26">
        <f>Tabla_Consulta_desde_Reporte_de_Valorización_de_Instrumentos[[#This Row],[C02-H]]*Tabla_Consulta_desde_Reporte_de_Valorización_de_Instrumentos[[#This Row],[Weight]]</f>
        <v>5.873413808642837E-5</v>
      </c>
      <c r="AM107" s="26" t="str">
        <f>INDEX(Parametria!G:G,MATCH(Tabla_Consulta_desde_Reporte_de_Valorización_de_Instrumentos[[#This Row],[CODIGO_SBS]],Parametria!C:C,0))</f>
        <v>25RFLC</v>
      </c>
      <c r="AN107" s="26" t="str">
        <f>INDEX(Parametria!F:F,MATCH(Tabla_Consulta_desde_Reporte_de_Valorización_de_Instrumentos[[#This Row],[CODIGO_SBS]],Parametria!C:C,0))</f>
        <v>BU</v>
      </c>
      <c r="AO107" s="26" t="str">
        <f>+INDEX(Parametria!J:J,MATCH(Tabla_Consulta_desde_Reporte_de_Valorización_de_Instrumentos[[#This Row],[CODIGO_SBS]],Parametria!C:C,0))</f>
        <v>RFLBU</v>
      </c>
      <c r="AP107" s="26">
        <f>Tabla_Consulta_desde_Reporte_de_Valorización_de_Instrumentos[[#This Row],[Huella]]/$AU$4</f>
        <v>4.2538359181081577E-5</v>
      </c>
      <c r="AQ107" s="26" t="str">
        <f>IFERROR(INDEX('BD(MSCI)'!W:W,MATCH(Tabla_Consulta_desde_Reporte_de_Valorización_de_Instrumentos[[#This Row],[CODIGO_ISIN]],'BD(MSCI)'!C:C,0)),IF(Tabla_Consulta_desde_Reporte_de_Valorización_de_Instrumentos[[#This Row],[Rank_rt]]="Cash","Cash","Cuestionario Integra"))</f>
        <v>Portafolio</v>
      </c>
      <c r="AR107" s="26" t="str">
        <f>IFERROR(INDEX('BD(MSCI)'!X:X,MATCH(Tabla_Consulta_desde_Reporte_de_Valorización_de_Instrumentos[[#This Row],[CODIGO_ISIN]],'BD(MSCI)'!C:C,0)),"Cuestionario Integra")</f>
        <v>Portafolio</v>
      </c>
      <c r="AU107" s="26"/>
    </row>
    <row r="108" spans="2:47" hidden="1" x14ac:dyDescent="0.25">
      <c r="B108" s="14" t="s">
        <v>6390</v>
      </c>
      <c r="C108" t="s">
        <v>350</v>
      </c>
      <c r="D108" t="s">
        <v>10</v>
      </c>
      <c r="E108" t="s">
        <v>351</v>
      </c>
      <c r="F108" t="s">
        <v>367</v>
      </c>
      <c r="G108" t="str">
        <f>INDEX(Parametria!H:H,MATCH(Tabla_Consulta_desde_Reporte_de_Valorización_de_Instrumentos[[#This Row],[CODIGO_SBS]],Parametria!C:C,0),1)</f>
        <v>Intercorp Perú</v>
      </c>
      <c r="H108" t="s">
        <v>368</v>
      </c>
      <c r="I108" t="s">
        <v>369</v>
      </c>
      <c r="J108" t="s">
        <v>366</v>
      </c>
      <c r="K108" t="s">
        <v>90</v>
      </c>
      <c r="L108">
        <v>10000</v>
      </c>
      <c r="M108" s="5">
        <v>12364603.91268</v>
      </c>
      <c r="N108">
        <v>12364603.91268</v>
      </c>
      <c r="O108">
        <v>1200</v>
      </c>
      <c r="P108" s="15">
        <v>47324</v>
      </c>
      <c r="Q108">
        <v>1302</v>
      </c>
      <c r="R108">
        <v>1</v>
      </c>
      <c r="S108" t="s">
        <v>155</v>
      </c>
      <c r="T108">
        <v>12359737.19544</v>
      </c>
      <c r="U108" s="5">
        <v>12359737.19544</v>
      </c>
      <c r="V108" t="s">
        <v>227</v>
      </c>
      <c r="W108">
        <v>13456823000</v>
      </c>
      <c r="X108">
        <v>1811056000</v>
      </c>
      <c r="Y108">
        <v>11645767000</v>
      </c>
      <c r="Z108">
        <v>4.0555976999999999</v>
      </c>
      <c r="AA108" t="str">
        <f>+MID(Tabla_Consulta_desde_Reporte_de_Valorización_de_Instrumentos[[#This Row],[CODIGO_SBS]],7,1)</f>
        <v>1</v>
      </c>
      <c r="AB108">
        <f>INDEX('Cálculo Caja'!F:F,MATCH(Tabla_Consulta_desde_Reporte_de_Valorización_de_Instrumentos[[#This Row],[PORTAFOLIO]],'Cálculo Caja'!A:A,0),1)</f>
        <v>26256910350.436607</v>
      </c>
      <c r="AC108" s="17">
        <f>Tabla_Consulta_desde_Reporte_de_Valorización_de_Instrumentos[[#This Row],[VALOR_VECTOR_LOCAL]]/Tabla_Consulta_desde_Reporte_de_Valorización_de_Instrumentos[[#This Row],[Patrimonio]]</f>
        <v>4.7090856264718131E-4</v>
      </c>
      <c r="AD108" s="4">
        <f>(Tabla_Consulta_desde_Reporte_de_Valorización_de_Instrumentos[[#This Row],[VALOR_VECTOR_LOCAL]]/INDEX('Tipo de Cambio'!$D:$D,MATCH("2",'Tipo de Cambio'!$E:$E,0),1))/1000000</f>
        <v>3.6789562059805405</v>
      </c>
      <c r="AE108">
        <f>IF(Tabla_Consulta_desde_Reporte_de_Valorización_de_Instrumentos[[#This Row],[PORTAFOLIO]]="IN-FONDO0",Tabla_Consulta_desde_Reporte_de_Valorización_de_Instrumentos[[#This Row],[Inv MM$]],0)</f>
        <v>0</v>
      </c>
      <c r="AF108" s="26">
        <f>IF(Tabla_Consulta_desde_Reporte_de_Valorización_de_Instrumentos[[#This Row],[PORTAFOLIO]]="IN-FONDO1",Tabla_Consulta_desde_Reporte_de_Valorización_de_Instrumentos[[#This Row],[Inv MM$]],0)</f>
        <v>0</v>
      </c>
      <c r="AG108" s="26">
        <f>IF(Tabla_Consulta_desde_Reporte_de_Valorización_de_Instrumentos[[#This Row],[PORTAFOLIO]]="IN-FONDO2",Tabla_Consulta_desde_Reporte_de_Valorización_de_Instrumentos[[#This Row],[Inv MM$]],0)</f>
        <v>3.6789562059805405</v>
      </c>
      <c r="AH108" s="26">
        <f>IF(Tabla_Consulta_desde_Reporte_de_Valorización_de_Instrumentos[[#This Row],[PORTAFOLIO]]="IN-FONDO3",Tabla_Consulta_desde_Reporte_de_Valorización_de_Instrumentos[[#This Row],[Inv MM$]],0)</f>
        <v>0</v>
      </c>
      <c r="AI10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9.1973905149513513</v>
      </c>
      <c r="AJ108" s="26">
        <f>IFERROR(IFERROR(INDEX('BD(MSCI)'!$T:$T,MATCH(Tabla_Consulta_desde_Reporte_de_Valorización_de_Instrumentos[[#This Row],[CODIGO_ISIN]],'BD(MSCI)'!$C:$C,0),1),INDEX('BD(MSCI)'!$T:$T,MATCH(Tabla_Consulta_desde_Reporte_de_Valorización_de_Instrumentos[[#This Row],[CODIGO_SBS]],'BD(MSCI)'!$C:$C,0),1)),0)</f>
        <v>0.71</v>
      </c>
      <c r="AK108" s="26">
        <f>Tabla_Consulta_desde_Reporte_de_Valorización_de_Instrumentos[[#This Row],[C02-H]]*Tabla_Consulta_desde_Reporte_de_Valorización_de_Instrumentos[[#This Row],[Inv MM$]]</f>
        <v>2.6120589062461836</v>
      </c>
      <c r="AL108" s="26">
        <f>Tabla_Consulta_desde_Reporte_de_Valorización_de_Instrumentos[[#This Row],[C02-H]]*Tabla_Consulta_desde_Reporte_de_Valorización_de_Instrumentos[[#This Row],[Weight]]</f>
        <v>3.3434507947949872E-4</v>
      </c>
      <c r="AM108" s="26" t="str">
        <f>INDEX(Parametria!G:G,MATCH(Tabla_Consulta_desde_Reporte_de_Valorización_de_Instrumentos[[#This Row],[CODIGO_SBS]],Parametria!C:C,0))</f>
        <v>25RFLC</v>
      </c>
      <c r="AN108" s="26" t="str">
        <f>INDEX(Parametria!F:F,MATCH(Tabla_Consulta_desde_Reporte_de_Valorización_de_Instrumentos[[#This Row],[CODIGO_SBS]],Parametria!C:C,0))</f>
        <v>BU</v>
      </c>
      <c r="AO108" s="26" t="str">
        <f>+INDEX(Parametria!J:J,MATCH(Tabla_Consulta_desde_Reporte_de_Valorización_de_Instrumentos[[#This Row],[CODIGO_SBS]],Parametria!C:C,0))</f>
        <v>RFLBU</v>
      </c>
      <c r="AP108" s="26">
        <f>Tabla_Consulta_desde_Reporte_de_Valorización_de_Instrumentos[[#This Row],[Huella]]/$AU$4</f>
        <v>2.421503327485205E-4</v>
      </c>
      <c r="AQ108" s="26" t="s">
        <v>4795</v>
      </c>
      <c r="AR108" s="26" t="s">
        <v>4795</v>
      </c>
      <c r="AU108" s="26"/>
    </row>
    <row r="109" spans="2:47" hidden="1" x14ac:dyDescent="0.25">
      <c r="B109" s="14" t="s">
        <v>6390</v>
      </c>
      <c r="C109" t="s">
        <v>350</v>
      </c>
      <c r="D109" t="s">
        <v>10</v>
      </c>
      <c r="E109" t="s">
        <v>351</v>
      </c>
      <c r="F109" t="s">
        <v>363</v>
      </c>
      <c r="G109" t="str">
        <f>INDEX(Parametria!H:H,MATCH(Tabla_Consulta_desde_Reporte_de_Valorización_de_Instrumentos[[#This Row],[CODIGO_SBS]],Parametria!C:C,0),1)</f>
        <v>Intercorp Perú</v>
      </c>
      <c r="H109" t="s">
        <v>364</v>
      </c>
      <c r="I109" t="s">
        <v>365</v>
      </c>
      <c r="J109" t="s">
        <v>366</v>
      </c>
      <c r="K109" t="s">
        <v>90</v>
      </c>
      <c r="L109">
        <v>10000</v>
      </c>
      <c r="M109" s="5">
        <v>47258683.302510001</v>
      </c>
      <c r="N109">
        <v>47258683.302510001</v>
      </c>
      <c r="O109">
        <v>4300</v>
      </c>
      <c r="P109" s="15">
        <v>47524</v>
      </c>
      <c r="Q109">
        <v>1502</v>
      </c>
      <c r="R109">
        <v>1</v>
      </c>
      <c r="S109" t="s">
        <v>155</v>
      </c>
      <c r="T109">
        <v>47228357.162929997</v>
      </c>
      <c r="U109" s="5">
        <v>47228357.162929997</v>
      </c>
      <c r="V109" t="s">
        <v>227</v>
      </c>
      <c r="W109">
        <v>13456823000</v>
      </c>
      <c r="X109">
        <v>1811056000</v>
      </c>
      <c r="Y109">
        <v>11645767000</v>
      </c>
      <c r="Z109">
        <v>7.0525906000000003</v>
      </c>
      <c r="AA109" t="str">
        <f>+MID(Tabla_Consulta_desde_Reporte_de_Valorización_de_Instrumentos[[#This Row],[CODIGO_SBS]],7,1)</f>
        <v>1</v>
      </c>
      <c r="AB109">
        <f>INDEX('Cálculo Caja'!F:F,MATCH(Tabla_Consulta_desde_Reporte_de_Valorización_de_Instrumentos[[#This Row],[PORTAFOLIO]],'Cálculo Caja'!A:A,0),1)</f>
        <v>26256910350.436607</v>
      </c>
      <c r="AC109" s="17">
        <f>Tabla_Consulta_desde_Reporte_de_Valorización_de_Instrumentos[[#This Row],[VALOR_VECTOR_LOCAL]]/Tabla_Consulta_desde_Reporte_de_Valorización_de_Instrumentos[[#This Row],[Patrimonio]]</f>
        <v>1.7998569775260771E-3</v>
      </c>
      <c r="AD109" s="4">
        <f>(Tabla_Consulta_desde_Reporte_de_Valorización_de_Instrumentos[[#This Row],[VALOR_VECTOR_LOCAL]]/INDEX('Tipo de Cambio'!$D:$D,MATCH("2",'Tipo de Cambio'!$E:$E,0),1))/1000000</f>
        <v>14.061317891787915</v>
      </c>
      <c r="AE109">
        <f>IF(Tabla_Consulta_desde_Reporte_de_Valorización_de_Instrumentos[[#This Row],[PORTAFOLIO]]="IN-FONDO0",Tabla_Consulta_desde_Reporte_de_Valorización_de_Instrumentos[[#This Row],[Inv MM$]],0)</f>
        <v>0</v>
      </c>
      <c r="AF109" s="26">
        <f>IF(Tabla_Consulta_desde_Reporte_de_Valorización_de_Instrumentos[[#This Row],[PORTAFOLIO]]="IN-FONDO1",Tabla_Consulta_desde_Reporte_de_Valorización_de_Instrumentos[[#This Row],[Inv MM$]],0)</f>
        <v>0</v>
      </c>
      <c r="AG109" s="26">
        <f>IF(Tabla_Consulta_desde_Reporte_de_Valorización_de_Instrumentos[[#This Row],[PORTAFOLIO]]="IN-FONDO2",Tabla_Consulta_desde_Reporte_de_Valorización_de_Instrumentos[[#This Row],[Inv MM$]],0)</f>
        <v>14.061317891787915</v>
      </c>
      <c r="AH109" s="26">
        <f>IF(Tabla_Consulta_desde_Reporte_de_Valorización_de_Instrumentos[[#This Row],[PORTAFOLIO]]="IN-FONDO3",Tabla_Consulta_desde_Reporte_de_Valorización_de_Instrumentos[[#This Row],[Inv MM$]],0)</f>
        <v>0</v>
      </c>
      <c r="AI10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18.312413998607518</v>
      </c>
      <c r="AJ109" s="26">
        <f>IFERROR(IFERROR(INDEX('BD(MSCI)'!$T:$T,MATCH(Tabla_Consulta_desde_Reporte_de_Valorización_de_Instrumentos[[#This Row],[CODIGO_ISIN]],'BD(MSCI)'!$C:$C,0),1),INDEX('BD(MSCI)'!$T:$T,MATCH(Tabla_Consulta_desde_Reporte_de_Valorización_de_Instrumentos[[#This Row],[CODIGO_SBS]],'BD(MSCI)'!$C:$C,0),1)),0)</f>
        <v>0.71</v>
      </c>
      <c r="AK109" s="26">
        <f>Tabla_Consulta_desde_Reporte_de_Valorización_de_Instrumentos[[#This Row],[C02-H]]*Tabla_Consulta_desde_Reporte_de_Valorización_de_Instrumentos[[#This Row],[Inv MM$]]</f>
        <v>9.9835357031694194</v>
      </c>
      <c r="AL109" s="26">
        <f>Tabla_Consulta_desde_Reporte_de_Valorización_de_Instrumentos[[#This Row],[C02-H]]*Tabla_Consulta_desde_Reporte_de_Valorización_de_Instrumentos[[#This Row],[Weight]]</f>
        <v>1.2778984540435146E-3</v>
      </c>
      <c r="AM109" s="26" t="str">
        <f>INDEX(Parametria!G:G,MATCH(Tabla_Consulta_desde_Reporte_de_Valorización_de_Instrumentos[[#This Row],[CODIGO_SBS]],Parametria!C:C,0))</f>
        <v>25RFLC</v>
      </c>
      <c r="AN109" s="26" t="str">
        <f>INDEX(Parametria!F:F,MATCH(Tabla_Consulta_desde_Reporte_de_Valorización_de_Instrumentos[[#This Row],[CODIGO_SBS]],Parametria!C:C,0))</f>
        <v>BU</v>
      </c>
      <c r="AO109" s="26" t="str">
        <f>+INDEX(Parametria!J:J,MATCH(Tabla_Consulta_desde_Reporte_de_Valorización_de_Instrumentos[[#This Row],[CODIGO_SBS]],Parametria!C:C,0))</f>
        <v>RFLBU</v>
      </c>
      <c r="AP109" s="26">
        <f>Tabla_Consulta_desde_Reporte_de_Valorización_de_Instrumentos[[#This Row],[Huella]]/$AU$4</f>
        <v>9.2552142937827046E-4</v>
      </c>
      <c r="AQ109" s="26" t="s">
        <v>4795</v>
      </c>
      <c r="AR109" s="26" t="s">
        <v>4795</v>
      </c>
      <c r="AU109" s="26"/>
    </row>
    <row r="110" spans="2:47" hidden="1" x14ac:dyDescent="0.25">
      <c r="B110" s="14" t="s">
        <v>6390</v>
      </c>
      <c r="C110" t="s">
        <v>350</v>
      </c>
      <c r="D110" t="s">
        <v>12</v>
      </c>
      <c r="E110" t="s">
        <v>351</v>
      </c>
      <c r="F110" t="s">
        <v>367</v>
      </c>
      <c r="G110" t="str">
        <f>INDEX(Parametria!H:H,MATCH(Tabla_Consulta_desde_Reporte_de_Valorización_de_Instrumentos[[#This Row],[CODIGO_SBS]],Parametria!C:C,0),1)</f>
        <v>Intercorp Perú</v>
      </c>
      <c r="H110" t="s">
        <v>368</v>
      </c>
      <c r="I110" t="s">
        <v>369</v>
      </c>
      <c r="J110" t="s">
        <v>366</v>
      </c>
      <c r="K110" t="s">
        <v>90</v>
      </c>
      <c r="L110">
        <v>10000</v>
      </c>
      <c r="M110" s="5">
        <v>18546905.86902</v>
      </c>
      <c r="N110">
        <v>18546905.86902</v>
      </c>
      <c r="O110">
        <v>1800</v>
      </c>
      <c r="P110" s="15">
        <v>47324</v>
      </c>
      <c r="Q110">
        <v>1302</v>
      </c>
      <c r="R110">
        <v>1</v>
      </c>
      <c r="S110" t="s">
        <v>155</v>
      </c>
      <c r="T110">
        <v>18539605.793159999</v>
      </c>
      <c r="U110" s="5">
        <v>18539605.793159999</v>
      </c>
      <c r="V110" t="s">
        <v>227</v>
      </c>
      <c r="W110">
        <v>13456823000</v>
      </c>
      <c r="X110">
        <v>1811056000</v>
      </c>
      <c r="Y110">
        <v>11645767000</v>
      </c>
      <c r="Z110">
        <v>4.0555976999999999</v>
      </c>
      <c r="AA110" t="str">
        <f>+MID(Tabla_Consulta_desde_Reporte_de_Valorización_de_Instrumentos[[#This Row],[CODIGO_SBS]],7,1)</f>
        <v>1</v>
      </c>
      <c r="AB110">
        <f>INDEX('Cálculo Caja'!F:F,MATCH(Tabla_Consulta_desde_Reporte_de_Valorización_de_Instrumentos[[#This Row],[PORTAFOLIO]],'Cálculo Caja'!A:A,0),1)</f>
        <v>7679510866.0565634</v>
      </c>
      <c r="AC110" s="17">
        <f>Tabla_Consulta_desde_Reporte_de_Valorización_de_Instrumentos[[#This Row],[VALOR_VECTOR_LOCAL]]/Tabla_Consulta_desde_Reporte_de_Valorización_de_Instrumentos[[#This Row],[Patrimonio]]</f>
        <v>2.4151155187496797E-3</v>
      </c>
      <c r="AD110" s="4">
        <f>(Tabla_Consulta_desde_Reporte_de_Valorización_de_Instrumentos[[#This Row],[VALOR_VECTOR_LOCAL]]/INDEX('Tipo de Cambio'!$D:$D,MATCH("2",'Tipo de Cambio'!$E:$E,0),1))/1000000</f>
        <v>5.5184343089708117</v>
      </c>
      <c r="AE110">
        <f>IF(Tabla_Consulta_desde_Reporte_de_Valorización_de_Instrumentos[[#This Row],[PORTAFOLIO]]="IN-FONDO0",Tabla_Consulta_desde_Reporte_de_Valorización_de_Instrumentos[[#This Row],[Inv MM$]],0)</f>
        <v>0</v>
      </c>
      <c r="AF110" s="26">
        <f>IF(Tabla_Consulta_desde_Reporte_de_Valorización_de_Instrumentos[[#This Row],[PORTAFOLIO]]="IN-FONDO1",Tabla_Consulta_desde_Reporte_de_Valorización_de_Instrumentos[[#This Row],[Inv MM$]],0)</f>
        <v>5.5184343089708117</v>
      </c>
      <c r="AG110" s="26">
        <f>IF(Tabla_Consulta_desde_Reporte_de_Valorización_de_Instrumentos[[#This Row],[PORTAFOLIO]]="IN-FONDO2",Tabla_Consulta_desde_Reporte_de_Valorización_de_Instrumentos[[#This Row],[Inv MM$]],0)</f>
        <v>0</v>
      </c>
      <c r="AH110" s="26">
        <f>IF(Tabla_Consulta_desde_Reporte_de_Valorización_de_Instrumentos[[#This Row],[PORTAFOLIO]]="IN-FONDO3",Tabla_Consulta_desde_Reporte_de_Valorización_de_Instrumentos[[#This Row],[Inv MM$]],0)</f>
        <v>0</v>
      </c>
      <c r="AI11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9.1973905149513513</v>
      </c>
      <c r="AJ110" s="26">
        <f>IFERROR(IFERROR(INDEX('BD(MSCI)'!$T:$T,MATCH(Tabla_Consulta_desde_Reporte_de_Valorización_de_Instrumentos[[#This Row],[CODIGO_ISIN]],'BD(MSCI)'!$C:$C,0),1),INDEX('BD(MSCI)'!$T:$T,MATCH(Tabla_Consulta_desde_Reporte_de_Valorización_de_Instrumentos[[#This Row],[CODIGO_SBS]],'BD(MSCI)'!$C:$C,0),1)),0)</f>
        <v>0.71</v>
      </c>
      <c r="AK110" s="26">
        <f>Tabla_Consulta_desde_Reporte_de_Valorización_de_Instrumentos[[#This Row],[C02-H]]*Tabla_Consulta_desde_Reporte_de_Valorización_de_Instrumentos[[#This Row],[Inv MM$]]</f>
        <v>3.9180883593692761</v>
      </c>
      <c r="AL110" s="26">
        <f>Tabla_Consulta_desde_Reporte_de_Valorización_de_Instrumentos[[#This Row],[C02-H]]*Tabla_Consulta_desde_Reporte_de_Valorización_de_Instrumentos[[#This Row],[Weight]]</f>
        <v>1.7147320183122726E-3</v>
      </c>
      <c r="AM110" s="26" t="str">
        <f>INDEX(Parametria!G:G,MATCH(Tabla_Consulta_desde_Reporte_de_Valorización_de_Instrumentos[[#This Row],[CODIGO_SBS]],Parametria!C:C,0))</f>
        <v>25RFLC</v>
      </c>
      <c r="AN110" s="26" t="str">
        <f>INDEX(Parametria!F:F,MATCH(Tabla_Consulta_desde_Reporte_de_Valorización_de_Instrumentos[[#This Row],[CODIGO_SBS]],Parametria!C:C,0))</f>
        <v>BU</v>
      </c>
      <c r="AO110" s="26" t="str">
        <f>+INDEX(Parametria!J:J,MATCH(Tabla_Consulta_desde_Reporte_de_Valorización_de_Instrumentos[[#This Row],[CODIGO_SBS]],Parametria!C:C,0))</f>
        <v>RFLBU</v>
      </c>
      <c r="AP110" s="26">
        <f>Tabla_Consulta_desde_Reporte_de_Valorización_de_Instrumentos[[#This Row],[Huella]]/$AU$4</f>
        <v>3.6322549912278082E-4</v>
      </c>
      <c r="AQ110" s="26" t="s">
        <v>4795</v>
      </c>
      <c r="AR110" s="26" t="s">
        <v>4795</v>
      </c>
      <c r="AU110" s="26"/>
    </row>
    <row r="111" spans="2:47" hidden="1" x14ac:dyDescent="0.25">
      <c r="B111" s="14" t="s">
        <v>6390</v>
      </c>
      <c r="C111" t="s">
        <v>350</v>
      </c>
      <c r="D111" t="s">
        <v>12</v>
      </c>
      <c r="E111" t="s">
        <v>351</v>
      </c>
      <c r="F111" t="s">
        <v>363</v>
      </c>
      <c r="G111" t="str">
        <f>INDEX(Parametria!H:H,MATCH(Tabla_Consulta_desde_Reporte_de_Valorización_de_Instrumentos[[#This Row],[CODIGO_SBS]],Parametria!C:C,0),1)</f>
        <v>Intercorp Perú</v>
      </c>
      <c r="H111" t="s">
        <v>364</v>
      </c>
      <c r="I111" t="s">
        <v>365</v>
      </c>
      <c r="J111" t="s">
        <v>366</v>
      </c>
      <c r="K111" t="s">
        <v>90</v>
      </c>
      <c r="L111">
        <v>10000</v>
      </c>
      <c r="M111" s="5">
        <v>14287508.905409999</v>
      </c>
      <c r="N111">
        <v>14287508.905409999</v>
      </c>
      <c r="O111">
        <v>1300</v>
      </c>
      <c r="P111" s="15">
        <v>47524</v>
      </c>
      <c r="Q111">
        <v>1502</v>
      </c>
      <c r="R111">
        <v>1</v>
      </c>
      <c r="S111" t="s">
        <v>155</v>
      </c>
      <c r="T111">
        <v>14278340.537629999</v>
      </c>
      <c r="U111" s="5">
        <v>14278340.537629999</v>
      </c>
      <c r="V111" t="s">
        <v>227</v>
      </c>
      <c r="W111">
        <v>13456823000</v>
      </c>
      <c r="X111">
        <v>1811056000</v>
      </c>
      <c r="Y111">
        <v>11645767000</v>
      </c>
      <c r="Z111">
        <v>7.0525906000000003</v>
      </c>
      <c r="AA111" t="str">
        <f>+MID(Tabla_Consulta_desde_Reporte_de_Valorización_de_Instrumentos[[#This Row],[CODIGO_SBS]],7,1)</f>
        <v>1</v>
      </c>
      <c r="AB111">
        <f>INDEX('Cálculo Caja'!F:F,MATCH(Tabla_Consulta_desde_Reporte_de_Valorización_de_Instrumentos[[#This Row],[PORTAFOLIO]],'Cálculo Caja'!A:A,0),1)</f>
        <v>7679510866.0565634</v>
      </c>
      <c r="AC111" s="17">
        <f>Tabla_Consulta_desde_Reporte_de_Valorización_de_Instrumentos[[#This Row],[VALOR_VECTOR_LOCAL]]/Tabla_Consulta_desde_Reporte_de_Valorización_de_Instrumentos[[#This Row],[Patrimonio]]</f>
        <v>1.8604712141968294E-3</v>
      </c>
      <c r="AD111" s="4">
        <f>(Tabla_Consulta_desde_Reporte_de_Valorización_de_Instrumentos[[#This Row],[VALOR_VECTOR_LOCAL]]/INDEX('Tipo de Cambio'!$D:$D,MATCH("2",'Tipo de Cambio'!$E:$E,0),1))/1000000</f>
        <v>4.2510961068196016</v>
      </c>
      <c r="AE111">
        <f>IF(Tabla_Consulta_desde_Reporte_de_Valorización_de_Instrumentos[[#This Row],[PORTAFOLIO]]="IN-FONDO0",Tabla_Consulta_desde_Reporte_de_Valorización_de_Instrumentos[[#This Row],[Inv MM$]],0)</f>
        <v>0</v>
      </c>
      <c r="AF111" s="26">
        <f>IF(Tabla_Consulta_desde_Reporte_de_Valorización_de_Instrumentos[[#This Row],[PORTAFOLIO]]="IN-FONDO1",Tabla_Consulta_desde_Reporte_de_Valorización_de_Instrumentos[[#This Row],[Inv MM$]],0)</f>
        <v>4.2510961068196016</v>
      </c>
      <c r="AG111" s="26">
        <f>IF(Tabla_Consulta_desde_Reporte_de_Valorización_de_Instrumentos[[#This Row],[PORTAFOLIO]]="IN-FONDO2",Tabla_Consulta_desde_Reporte_de_Valorización_de_Instrumentos[[#This Row],[Inv MM$]],0)</f>
        <v>0</v>
      </c>
      <c r="AH111" s="26">
        <f>IF(Tabla_Consulta_desde_Reporte_de_Valorización_de_Instrumentos[[#This Row],[PORTAFOLIO]]="IN-FONDO3",Tabla_Consulta_desde_Reporte_de_Valorización_de_Instrumentos[[#This Row],[Inv MM$]],0)</f>
        <v>0</v>
      </c>
      <c r="AI11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18.312413998607518</v>
      </c>
      <c r="AJ111" s="26">
        <f>IFERROR(IFERROR(INDEX('BD(MSCI)'!$T:$T,MATCH(Tabla_Consulta_desde_Reporte_de_Valorización_de_Instrumentos[[#This Row],[CODIGO_ISIN]],'BD(MSCI)'!$C:$C,0),1),INDEX('BD(MSCI)'!$T:$T,MATCH(Tabla_Consulta_desde_Reporte_de_Valorización_de_Instrumentos[[#This Row],[CODIGO_SBS]],'BD(MSCI)'!$C:$C,0),1)),0)</f>
        <v>0.71</v>
      </c>
      <c r="AK111" s="26">
        <f>Tabla_Consulta_desde_Reporte_de_Valorización_de_Instrumentos[[#This Row],[C02-H]]*Tabla_Consulta_desde_Reporte_de_Valorización_de_Instrumentos[[#This Row],[Inv MM$]]</f>
        <v>3.0182782358419171</v>
      </c>
      <c r="AL111" s="26">
        <f>Tabla_Consulta_desde_Reporte_de_Valorización_de_Instrumentos[[#This Row],[C02-H]]*Tabla_Consulta_desde_Reporte_de_Valorización_de_Instrumentos[[#This Row],[Weight]]</f>
        <v>1.3209345620797488E-3</v>
      </c>
      <c r="AM111" s="26" t="str">
        <f>INDEX(Parametria!G:G,MATCH(Tabla_Consulta_desde_Reporte_de_Valorización_de_Instrumentos[[#This Row],[CODIGO_SBS]],Parametria!C:C,0))</f>
        <v>25RFLC</v>
      </c>
      <c r="AN111" s="26" t="str">
        <f>INDEX(Parametria!F:F,MATCH(Tabla_Consulta_desde_Reporte_de_Valorización_de_Instrumentos[[#This Row],[CODIGO_SBS]],Parametria!C:C,0))</f>
        <v>BU</v>
      </c>
      <c r="AO111" s="26" t="str">
        <f>+INDEX(Parametria!J:J,MATCH(Tabla_Consulta_desde_Reporte_de_Valorización_de_Instrumentos[[#This Row],[CODIGO_SBS]],Parametria!C:C,0))</f>
        <v>RFLBU</v>
      </c>
      <c r="AP111" s="26">
        <f>Tabla_Consulta_desde_Reporte_de_Valorización_de_Instrumentos[[#This Row],[Huella]]/$AU$4</f>
        <v>2.7980880423063986E-4</v>
      </c>
      <c r="AQ111" s="26" t="s">
        <v>4795</v>
      </c>
      <c r="AR111" s="26" t="s">
        <v>4795</v>
      </c>
      <c r="AU111" s="26"/>
    </row>
    <row r="112" spans="2:47" hidden="1" x14ac:dyDescent="0.25">
      <c r="B112" s="14" t="s">
        <v>6390</v>
      </c>
      <c r="C112" t="s">
        <v>350</v>
      </c>
      <c r="D112" t="s">
        <v>12</v>
      </c>
      <c r="E112" t="s">
        <v>351</v>
      </c>
      <c r="F112" t="s">
        <v>4845</v>
      </c>
      <c r="G112" t="str">
        <f>INDEX(Parametria!H:H,MATCH(Tabla_Consulta_desde_Reporte_de_Valorización_de_Instrumentos[[#This Row],[CODIGO_SBS]],Parametria!C:C,0),1)</f>
        <v>Banco de Crédito del Perú</v>
      </c>
      <c r="H112" t="s">
        <v>4998</v>
      </c>
      <c r="I112" t="s">
        <v>4999</v>
      </c>
      <c r="J112" t="s">
        <v>373</v>
      </c>
      <c r="K112" t="s">
        <v>90</v>
      </c>
      <c r="L112">
        <v>1000</v>
      </c>
      <c r="M112" s="5">
        <v>2019528.500613</v>
      </c>
      <c r="N112">
        <v>2019528.500613</v>
      </c>
      <c r="O112">
        <v>1839</v>
      </c>
      <c r="P112" s="15">
        <v>47129</v>
      </c>
      <c r="Q112">
        <v>1107</v>
      </c>
      <c r="R112">
        <v>1</v>
      </c>
      <c r="S112" t="s">
        <v>155</v>
      </c>
      <c r="T112">
        <v>2017652.2093710001</v>
      </c>
      <c r="U112" s="5">
        <v>2017652.2093710001</v>
      </c>
      <c r="V112" t="s">
        <v>228</v>
      </c>
      <c r="W112">
        <v>187469765000</v>
      </c>
      <c r="X112">
        <v>164938084000</v>
      </c>
      <c r="Y112">
        <v>22531681000</v>
      </c>
      <c r="Z112">
        <v>1.020278</v>
      </c>
      <c r="AA112" t="str">
        <f>+MID(Tabla_Consulta_desde_Reporte_de_Valorización_de_Instrumentos[[#This Row],[CODIGO_SBS]],7,1)</f>
        <v>1</v>
      </c>
      <c r="AB112">
        <f>INDEX('Cálculo Caja'!F:F,MATCH(Tabla_Consulta_desde_Reporte_de_Valorización_de_Instrumentos[[#This Row],[PORTAFOLIO]],'Cálculo Caja'!A:A,0),1)</f>
        <v>7679510866.0565634</v>
      </c>
      <c r="AC112" s="17">
        <f>Tabla_Consulta_desde_Reporte_de_Valorización_de_Instrumentos[[#This Row],[VALOR_VECTOR_LOCAL]]/Tabla_Consulta_desde_Reporte_de_Valorización_de_Instrumentos[[#This Row],[Patrimonio]]</f>
        <v>2.6297618895746545E-4</v>
      </c>
      <c r="AD112" s="4">
        <f>(Tabla_Consulta_desde_Reporte_de_Valorización_de_Instrumentos[[#This Row],[VALOR_VECTOR_LOCAL]]/INDEX('Tipo de Cambio'!$D:$D,MATCH("2",'Tipo de Cambio'!$E:$E,0),1))/1000000</f>
        <v>0.60088919652860839</v>
      </c>
      <c r="AE112">
        <f>IF(Tabla_Consulta_desde_Reporte_de_Valorización_de_Instrumentos[[#This Row],[PORTAFOLIO]]="IN-FONDO0",Tabla_Consulta_desde_Reporte_de_Valorización_de_Instrumentos[[#This Row],[Inv MM$]],0)</f>
        <v>0</v>
      </c>
      <c r="AF112" s="26">
        <f>IF(Tabla_Consulta_desde_Reporte_de_Valorización_de_Instrumentos[[#This Row],[PORTAFOLIO]]="IN-FONDO1",Tabla_Consulta_desde_Reporte_de_Valorización_de_Instrumentos[[#This Row],[Inv MM$]],0)</f>
        <v>0.60088919652860839</v>
      </c>
      <c r="AG112" s="26">
        <f>IF(Tabla_Consulta_desde_Reporte_de_Valorización_de_Instrumentos[[#This Row],[PORTAFOLIO]]="IN-FONDO2",Tabla_Consulta_desde_Reporte_de_Valorización_de_Instrumentos[[#This Row],[Inv MM$]],0)</f>
        <v>0</v>
      </c>
      <c r="AH112" s="26">
        <f>IF(Tabla_Consulta_desde_Reporte_de_Valorización_de_Instrumentos[[#This Row],[PORTAFOLIO]]="IN-FONDO3",Tabla_Consulta_desde_Reporte_de_Valorización_de_Instrumentos[[#This Row],[Inv MM$]],0)</f>
        <v>0</v>
      </c>
      <c r="AI11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49.544768281475193</v>
      </c>
      <c r="AJ112" s="26">
        <f>IFERROR(IFERROR(INDEX('BD(MSCI)'!$T:$T,MATCH(Tabla_Consulta_desde_Reporte_de_Valorización_de_Instrumentos[[#This Row],[CODIGO_ISIN]],'BD(MSCI)'!$C:$C,0),1),INDEX('BD(MSCI)'!$T:$T,MATCH(Tabla_Consulta_desde_Reporte_de_Valorización_de_Instrumentos[[#This Row],[CODIGO_SBS]],'BD(MSCI)'!$C:$C,0),1)),0)</f>
        <v>0.61</v>
      </c>
      <c r="AK112" s="26">
        <f>Tabla_Consulta_desde_Reporte_de_Valorización_de_Instrumentos[[#This Row],[C02-H]]*Tabla_Consulta_desde_Reporte_de_Valorización_de_Instrumentos[[#This Row],[Inv MM$]]</f>
        <v>0.36654240988245113</v>
      </c>
      <c r="AL112" s="26">
        <f>Tabla_Consulta_desde_Reporte_de_Valorización_de_Instrumentos[[#This Row],[C02-H]]*Tabla_Consulta_desde_Reporte_de_Valorización_de_Instrumentos[[#This Row],[Weight]]</f>
        <v>1.6041547526405393E-4</v>
      </c>
      <c r="AM112" s="26" t="str">
        <f>INDEX(Parametria!G:G,MATCH(Tabla_Consulta_desde_Reporte_de_Valorización_de_Instrumentos[[#This Row],[CODIGO_SBS]],Parametria!C:C,0))</f>
        <v>25RFLC</v>
      </c>
      <c r="AN112" s="26" t="str">
        <f>INDEX(Parametria!F:F,MATCH(Tabla_Consulta_desde_Reporte_de_Valorización_de_Instrumentos[[#This Row],[CODIGO_SBS]],Parametria!C:C,0))</f>
        <v>BU</v>
      </c>
      <c r="AO112" s="26" t="str">
        <f>+INDEX(Parametria!J:J,MATCH(Tabla_Consulta_desde_Reporte_de_Valorización_de_Instrumentos[[#This Row],[CODIGO_SBS]],Parametria!C:C,0))</f>
        <v>RFLBU</v>
      </c>
      <c r="AP112" s="26">
        <f>Tabla_Consulta_desde_Reporte_de_Valorización_de_Instrumentos[[#This Row],[Huella]]/$AU$4</f>
        <v>3.3980231574117016E-5</v>
      </c>
      <c r="AQ112" s="26" t="str">
        <f>IFERROR(INDEX('BD(MSCI)'!W:W,MATCH(Tabla_Consulta_desde_Reporte_de_Valorización_de_Instrumentos[[#This Row],[CODIGO_ISIN]],'BD(MSCI)'!C:C,0)),IF(Tabla_Consulta_desde_Reporte_de_Valorización_de_Instrumentos[[#This Row],[Rank_rt]]="Cash","Cash","Cuestionario Integra"))</f>
        <v>Portafolio</v>
      </c>
      <c r="AR112" s="26" t="str">
        <f>IFERROR(INDEX('BD(MSCI)'!X:X,MATCH(Tabla_Consulta_desde_Reporte_de_Valorización_de_Instrumentos[[#This Row],[CODIGO_ISIN]],'BD(MSCI)'!C:C,0)),"Cuestionario Integra")</f>
        <v>Portafolio</v>
      </c>
      <c r="AU112" s="26"/>
    </row>
    <row r="113" spans="2:47" hidden="1" x14ac:dyDescent="0.25">
      <c r="B113" s="14" t="s">
        <v>6390</v>
      </c>
      <c r="C113" t="s">
        <v>350</v>
      </c>
      <c r="D113" t="s">
        <v>10</v>
      </c>
      <c r="E113" t="s">
        <v>351</v>
      </c>
      <c r="F113" t="s">
        <v>4845</v>
      </c>
      <c r="G113" t="str">
        <f>INDEX(Parametria!H:H,MATCH(Tabla_Consulta_desde_Reporte_de_Valorización_de_Instrumentos[[#This Row],[CODIGO_SBS]],Parametria!C:C,0),1)</f>
        <v>Banco de Crédito del Perú</v>
      </c>
      <c r="H113" t="s">
        <v>4998</v>
      </c>
      <c r="I113" t="s">
        <v>4999</v>
      </c>
      <c r="J113" t="s">
        <v>373</v>
      </c>
      <c r="K113" t="s">
        <v>90</v>
      </c>
      <c r="L113">
        <v>1000</v>
      </c>
      <c r="M113" s="5">
        <v>164495483.21659699</v>
      </c>
      <c r="N113">
        <v>164495483.21659699</v>
      </c>
      <c r="O113">
        <v>149791</v>
      </c>
      <c r="P113" s="15">
        <v>47129</v>
      </c>
      <c r="Q113">
        <v>1107</v>
      </c>
      <c r="R113">
        <v>1</v>
      </c>
      <c r="S113" t="s">
        <v>155</v>
      </c>
      <c r="T113">
        <v>164342654.75469899</v>
      </c>
      <c r="U113" s="5">
        <v>164342654.75469899</v>
      </c>
      <c r="V113" t="s">
        <v>228</v>
      </c>
      <c r="W113">
        <v>187469765000</v>
      </c>
      <c r="X113">
        <v>164938084000</v>
      </c>
      <c r="Y113">
        <v>22531681000</v>
      </c>
      <c r="Z113">
        <v>1.020278</v>
      </c>
      <c r="AA113" t="str">
        <f>+MID(Tabla_Consulta_desde_Reporte_de_Valorización_de_Instrumentos[[#This Row],[CODIGO_SBS]],7,1)</f>
        <v>1</v>
      </c>
      <c r="AB113">
        <f>INDEX('Cálculo Caja'!F:F,MATCH(Tabla_Consulta_desde_Reporte_de_Valorización_de_Instrumentos[[#This Row],[PORTAFOLIO]],'Cálculo Caja'!A:A,0),1)</f>
        <v>26256910350.436607</v>
      </c>
      <c r="AC113" s="17">
        <f>Tabla_Consulta_desde_Reporte_de_Valorización_de_Instrumentos[[#This Row],[VALOR_VECTOR_LOCAL]]/Tabla_Consulta_desde_Reporte_de_Valorización_de_Instrumentos[[#This Row],[Patrimonio]]</f>
        <v>6.2648453691301004E-3</v>
      </c>
      <c r="AD113" s="4">
        <f>(Tabla_Consulta_desde_Reporte_de_Valorización_de_Instrumentos[[#This Row],[VALOR_VECTOR_LOCAL]]/INDEX('Tipo de Cambio'!$D:$D,MATCH("2",'Tipo de Cambio'!$E:$E,0),1))/1000000</f>
        <v>48.943879084946587</v>
      </c>
      <c r="AE113">
        <f>IF(Tabla_Consulta_desde_Reporte_de_Valorización_de_Instrumentos[[#This Row],[PORTAFOLIO]]="IN-FONDO0",Tabla_Consulta_desde_Reporte_de_Valorización_de_Instrumentos[[#This Row],[Inv MM$]],0)</f>
        <v>0</v>
      </c>
      <c r="AF113" s="26">
        <f>IF(Tabla_Consulta_desde_Reporte_de_Valorización_de_Instrumentos[[#This Row],[PORTAFOLIO]]="IN-FONDO1",Tabla_Consulta_desde_Reporte_de_Valorización_de_Instrumentos[[#This Row],[Inv MM$]],0)</f>
        <v>0</v>
      </c>
      <c r="AG113" s="26">
        <f>IF(Tabla_Consulta_desde_Reporte_de_Valorización_de_Instrumentos[[#This Row],[PORTAFOLIO]]="IN-FONDO2",Tabla_Consulta_desde_Reporte_de_Valorización_de_Instrumentos[[#This Row],[Inv MM$]],0)</f>
        <v>48.943879084946587</v>
      </c>
      <c r="AH113" s="26">
        <f>IF(Tabla_Consulta_desde_Reporte_de_Valorización_de_Instrumentos[[#This Row],[PORTAFOLIO]]="IN-FONDO3",Tabla_Consulta_desde_Reporte_de_Valorización_de_Instrumentos[[#This Row],[Inv MM$]],0)</f>
        <v>0</v>
      </c>
      <c r="AI11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49.544768281475193</v>
      </c>
      <c r="AJ113" s="26">
        <f>IFERROR(IFERROR(INDEX('BD(MSCI)'!$T:$T,MATCH(Tabla_Consulta_desde_Reporte_de_Valorización_de_Instrumentos[[#This Row],[CODIGO_ISIN]],'BD(MSCI)'!$C:$C,0),1),INDEX('BD(MSCI)'!$T:$T,MATCH(Tabla_Consulta_desde_Reporte_de_Valorización_de_Instrumentos[[#This Row],[CODIGO_SBS]],'BD(MSCI)'!$C:$C,0),1)),0)</f>
        <v>0.61</v>
      </c>
      <c r="AK113" s="26">
        <f>Tabla_Consulta_desde_Reporte_de_Valorización_de_Instrumentos[[#This Row],[C02-H]]*Tabla_Consulta_desde_Reporte_de_Valorización_de_Instrumentos[[#This Row],[Inv MM$]]</f>
        <v>29.855766241817417</v>
      </c>
      <c r="AL113" s="26">
        <f>Tabla_Consulta_desde_Reporte_de_Valorización_de_Instrumentos[[#This Row],[C02-H]]*Tabla_Consulta_desde_Reporte_de_Valorización_de_Instrumentos[[#This Row],[Weight]]</f>
        <v>3.8215556751693613E-3</v>
      </c>
      <c r="AM113" s="26" t="str">
        <f>INDEX(Parametria!G:G,MATCH(Tabla_Consulta_desde_Reporte_de_Valorización_de_Instrumentos[[#This Row],[CODIGO_SBS]],Parametria!C:C,0))</f>
        <v>25RFLC</v>
      </c>
      <c r="AN113" s="26" t="str">
        <f>INDEX(Parametria!F:F,MATCH(Tabla_Consulta_desde_Reporte_de_Valorización_de_Instrumentos[[#This Row],[CODIGO_SBS]],Parametria!C:C,0))</f>
        <v>BU</v>
      </c>
      <c r="AO113" s="26" t="str">
        <f>+INDEX(Parametria!J:J,MATCH(Tabla_Consulta_desde_Reporte_de_Valorización_de_Instrumentos[[#This Row],[CODIGO_SBS]],Parametria!C:C,0))</f>
        <v>RFLBU</v>
      </c>
      <c r="AP113" s="26">
        <f>Tabla_Consulta_desde_Reporte_de_Valorización_de_Instrumentos[[#This Row],[Huella]]/$AU$4</f>
        <v>2.7677720868507674E-3</v>
      </c>
      <c r="AQ113" s="26" t="str">
        <f>IFERROR(INDEX('BD(MSCI)'!W:W,MATCH(Tabla_Consulta_desde_Reporte_de_Valorización_de_Instrumentos[[#This Row],[CODIGO_ISIN]],'BD(MSCI)'!C:C,0)),IF(Tabla_Consulta_desde_Reporte_de_Valorización_de_Instrumentos[[#This Row],[Rank_rt]]="Cash","Cash","Cuestionario Integra"))</f>
        <v>Portafolio</v>
      </c>
      <c r="AR113" s="26" t="str">
        <f>IFERROR(INDEX('BD(MSCI)'!X:X,MATCH(Tabla_Consulta_desde_Reporte_de_Valorización_de_Instrumentos[[#This Row],[CODIGO_ISIN]],'BD(MSCI)'!C:C,0)),"Cuestionario Integra")</f>
        <v>Portafolio</v>
      </c>
      <c r="AU113" s="26"/>
    </row>
    <row r="114" spans="2:47" hidden="1" x14ac:dyDescent="0.25">
      <c r="B114" s="14" t="s">
        <v>6390</v>
      </c>
      <c r="C114" t="s">
        <v>350</v>
      </c>
      <c r="D114" t="s">
        <v>10</v>
      </c>
      <c r="E114" t="s">
        <v>351</v>
      </c>
      <c r="F114" t="s">
        <v>376</v>
      </c>
      <c r="G114" t="str">
        <f>INDEX(Parametria!H:H,MATCH(Tabla_Consulta_desde_Reporte_de_Valorización_de_Instrumentos[[#This Row],[CODIGO_SBS]],Parametria!C:C,0),1)</f>
        <v xml:space="preserve">Banco Internacional del Perú </v>
      </c>
      <c r="H114" t="s">
        <v>377</v>
      </c>
      <c r="I114" t="s">
        <v>378</v>
      </c>
      <c r="J114" t="s">
        <v>245</v>
      </c>
      <c r="K114" t="s">
        <v>90</v>
      </c>
      <c r="L114">
        <v>10000</v>
      </c>
      <c r="M114" s="5">
        <v>55762899.363049999</v>
      </c>
      <c r="N114">
        <v>55762899.363049999</v>
      </c>
      <c r="O114">
        <v>5500</v>
      </c>
      <c r="P114" s="15">
        <v>46296</v>
      </c>
      <c r="Q114">
        <v>274</v>
      </c>
      <c r="R114">
        <v>1</v>
      </c>
      <c r="S114" t="s">
        <v>155</v>
      </c>
      <c r="T114">
        <v>55777373.631650001</v>
      </c>
      <c r="U114" s="5">
        <v>55777373.631650001</v>
      </c>
      <c r="V114" t="s">
        <v>227</v>
      </c>
      <c r="W114">
        <v>71698610000</v>
      </c>
      <c r="X114">
        <v>64045988000</v>
      </c>
      <c r="Y114">
        <v>7652622000</v>
      </c>
      <c r="Z114">
        <v>-2.6316852000000002</v>
      </c>
      <c r="AA114" t="str">
        <f>+MID(Tabla_Consulta_desde_Reporte_de_Valorización_de_Instrumentos[[#This Row],[CODIGO_SBS]],7,1)</f>
        <v>1</v>
      </c>
      <c r="AB114">
        <f>INDEX('Cálculo Caja'!F:F,MATCH(Tabla_Consulta_desde_Reporte_de_Valorización_de_Instrumentos[[#This Row],[PORTAFOLIO]],'Cálculo Caja'!A:A,0),1)</f>
        <v>26256910350.436607</v>
      </c>
      <c r="AC114" s="17">
        <f>Tabla_Consulta_desde_Reporte_de_Valorización_de_Instrumentos[[#This Row],[VALOR_VECTOR_LOCAL]]/Tabla_Consulta_desde_Reporte_de_Valorización_de_Instrumentos[[#This Row],[Patrimonio]]</f>
        <v>2.1237418500049364E-3</v>
      </c>
      <c r="AD114" s="4">
        <f>(Tabla_Consulta_desde_Reporte_de_Valorización_de_Instrumentos[[#This Row],[VALOR_VECTOR_LOCAL]]/INDEX('Tipo de Cambio'!$D:$D,MATCH("2",'Tipo de Cambio'!$E:$E,0),1))/1000000</f>
        <v>16.591656807120117</v>
      </c>
      <c r="AE114">
        <f>IF(Tabla_Consulta_desde_Reporte_de_Valorización_de_Instrumentos[[#This Row],[PORTAFOLIO]]="IN-FONDO0",Tabla_Consulta_desde_Reporte_de_Valorización_de_Instrumentos[[#This Row],[Inv MM$]],0)</f>
        <v>0</v>
      </c>
      <c r="AF114" s="26">
        <f>IF(Tabla_Consulta_desde_Reporte_de_Valorización_de_Instrumentos[[#This Row],[PORTAFOLIO]]="IN-FONDO1",Tabla_Consulta_desde_Reporte_de_Valorización_de_Instrumentos[[#This Row],[Inv MM$]],0)</f>
        <v>0</v>
      </c>
      <c r="AG114" s="26">
        <f>IF(Tabla_Consulta_desde_Reporte_de_Valorización_de_Instrumentos[[#This Row],[PORTAFOLIO]]="IN-FONDO2",Tabla_Consulta_desde_Reporte_de_Valorización_de_Instrumentos[[#This Row],[Inv MM$]],0)</f>
        <v>16.591656807120117</v>
      </c>
      <c r="AH114" s="26">
        <f>IF(Tabla_Consulta_desde_Reporte_de_Valorización_de_Instrumentos[[#This Row],[PORTAFOLIO]]="IN-FONDO3",Tabla_Consulta_desde_Reporte_de_Valorización_de_Instrumentos[[#This Row],[Inv MM$]],0)</f>
        <v>0</v>
      </c>
      <c r="AI11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39.216643362283918</v>
      </c>
      <c r="AJ114" s="26">
        <f>IFERROR(IFERROR(INDEX('BD(MSCI)'!$T:$T,MATCH(Tabla_Consulta_desde_Reporte_de_Valorización_de_Instrumentos[[#This Row],[CODIGO_ISIN]],'BD(MSCI)'!$C:$C,0),1),INDEX('BD(MSCI)'!$T:$T,MATCH(Tabla_Consulta_desde_Reporte_de_Valorización_de_Instrumentos[[#This Row],[CODIGO_SBS]],'BD(MSCI)'!$C:$C,0),1)),0)</f>
        <v>0.47</v>
      </c>
      <c r="AK114" s="26">
        <f>Tabla_Consulta_desde_Reporte_de_Valorización_de_Instrumentos[[#This Row],[C02-H]]*Tabla_Consulta_desde_Reporte_de_Valorización_de_Instrumentos[[#This Row],[Inv MM$]]</f>
        <v>7.7980786993464548</v>
      </c>
      <c r="AL114" s="26">
        <f>Tabla_Consulta_desde_Reporte_de_Valorización_de_Instrumentos[[#This Row],[C02-H]]*Tabla_Consulta_desde_Reporte_de_Valorización_de_Instrumentos[[#This Row],[Weight]]</f>
        <v>9.9815866950231998E-4</v>
      </c>
      <c r="AM114" s="26" t="str">
        <f>INDEX(Parametria!G:G,MATCH(Tabla_Consulta_desde_Reporte_de_Valorización_de_Instrumentos[[#This Row],[CODIGO_SBS]],Parametria!C:C,0))</f>
        <v>25RFLC</v>
      </c>
      <c r="AN114" s="26" t="str">
        <f>INDEX(Parametria!F:F,MATCH(Tabla_Consulta_desde_Reporte_de_Valorización_de_Instrumentos[[#This Row],[CODIGO_SBS]],Parametria!C:C,0))</f>
        <v>BU</v>
      </c>
      <c r="AO114" s="26" t="str">
        <f>+INDEX(Parametria!J:J,MATCH(Tabla_Consulta_desde_Reporte_de_Valorización_de_Instrumentos[[#This Row],[CODIGO_SBS]],Parametria!C:C,0))</f>
        <v>RFLBU</v>
      </c>
      <c r="AP114" s="26">
        <f>Tabla_Consulta_desde_Reporte_de_Valorización_de_Instrumentos[[#This Row],[Huella]]/$AU$4</f>
        <v>7.2291912993631511E-4</v>
      </c>
      <c r="AQ114" s="26" t="str">
        <f>IFERROR(INDEX('BD(MSCI)'!W:W,MATCH(Tabla_Consulta_desde_Reporte_de_Valorización_de_Instrumentos[[#This Row],[CODIGO_ISIN]],'BD(MSCI)'!C:C,0)),IF(Tabla_Consulta_desde_Reporte_de_Valorización_de_Instrumentos[[#This Row],[Rank_rt]]="Cash","Cash","Cuestionario Integra"))</f>
        <v>Portafolio</v>
      </c>
      <c r="AR114" s="26" t="str">
        <f>IFERROR(INDEX('BD(MSCI)'!X:X,MATCH(Tabla_Consulta_desde_Reporte_de_Valorización_de_Instrumentos[[#This Row],[CODIGO_ISIN]],'BD(MSCI)'!C:C,0)),"Cuestionario Integra")</f>
        <v>Portafolio</v>
      </c>
      <c r="AU114" s="26"/>
    </row>
    <row r="115" spans="2:47" hidden="1" x14ac:dyDescent="0.25">
      <c r="B115" s="14" t="s">
        <v>6390</v>
      </c>
      <c r="C115" t="s">
        <v>350</v>
      </c>
      <c r="D115" t="s">
        <v>12</v>
      </c>
      <c r="E115" t="s">
        <v>351</v>
      </c>
      <c r="F115" t="s">
        <v>376</v>
      </c>
      <c r="G115" t="str">
        <f>INDEX(Parametria!H:H,MATCH(Tabla_Consulta_desde_Reporte_de_Valorización_de_Instrumentos[[#This Row],[CODIGO_SBS]],Parametria!C:C,0),1)</f>
        <v xml:space="preserve">Banco Internacional del Perú </v>
      </c>
      <c r="H115" t="s">
        <v>377</v>
      </c>
      <c r="I115" t="s">
        <v>378</v>
      </c>
      <c r="J115" t="s">
        <v>245</v>
      </c>
      <c r="K115" t="s">
        <v>90</v>
      </c>
      <c r="L115">
        <v>10000</v>
      </c>
      <c r="M115" s="5">
        <v>76040317.313250005</v>
      </c>
      <c r="N115">
        <v>76040317.313250005</v>
      </c>
      <c r="O115">
        <v>7500</v>
      </c>
      <c r="P115" s="15">
        <v>46296</v>
      </c>
      <c r="Q115">
        <v>274</v>
      </c>
      <c r="R115">
        <v>1</v>
      </c>
      <c r="S115" t="s">
        <v>155</v>
      </c>
      <c r="T115">
        <v>76060054.952250004</v>
      </c>
      <c r="U115" s="5">
        <v>76060054.952250004</v>
      </c>
      <c r="V115" t="s">
        <v>227</v>
      </c>
      <c r="W115">
        <v>71698610000</v>
      </c>
      <c r="X115">
        <v>64045988000</v>
      </c>
      <c r="Y115">
        <v>7652622000</v>
      </c>
      <c r="Z115">
        <v>-2.6316852000000002</v>
      </c>
      <c r="AA115" t="str">
        <f>+MID(Tabla_Consulta_desde_Reporte_de_Valorización_de_Instrumentos[[#This Row],[CODIGO_SBS]],7,1)</f>
        <v>1</v>
      </c>
      <c r="AB115">
        <f>INDEX('Cálculo Caja'!F:F,MATCH(Tabla_Consulta_desde_Reporte_de_Valorización_de_Instrumentos[[#This Row],[PORTAFOLIO]],'Cálculo Caja'!A:A,0),1)</f>
        <v>7679510866.0565634</v>
      </c>
      <c r="AC115" s="17">
        <f>Tabla_Consulta_desde_Reporte_de_Valorización_de_Instrumentos[[#This Row],[VALOR_VECTOR_LOCAL]]/Tabla_Consulta_desde_Reporte_de_Valorización_de_Instrumentos[[#This Row],[Patrimonio]]</f>
        <v>9.9017136168591414E-3</v>
      </c>
      <c r="AD115" s="4">
        <f>(Tabla_Consulta_desde_Reporte_de_Valorización_de_Instrumentos[[#This Row],[VALOR_VECTOR_LOCAL]]/INDEX('Tipo de Cambio'!$D:$D,MATCH("2",'Tipo de Cambio'!$E:$E,0),1))/1000000</f>
        <v>22.624986555163797</v>
      </c>
      <c r="AE115">
        <f>IF(Tabla_Consulta_desde_Reporte_de_Valorización_de_Instrumentos[[#This Row],[PORTAFOLIO]]="IN-FONDO0",Tabla_Consulta_desde_Reporte_de_Valorización_de_Instrumentos[[#This Row],[Inv MM$]],0)</f>
        <v>0</v>
      </c>
      <c r="AF115" s="26">
        <f>IF(Tabla_Consulta_desde_Reporte_de_Valorización_de_Instrumentos[[#This Row],[PORTAFOLIO]]="IN-FONDO1",Tabla_Consulta_desde_Reporte_de_Valorización_de_Instrumentos[[#This Row],[Inv MM$]],0)</f>
        <v>22.624986555163797</v>
      </c>
      <c r="AG115" s="26">
        <f>IF(Tabla_Consulta_desde_Reporte_de_Valorización_de_Instrumentos[[#This Row],[PORTAFOLIO]]="IN-FONDO2",Tabla_Consulta_desde_Reporte_de_Valorización_de_Instrumentos[[#This Row],[Inv MM$]],0)</f>
        <v>0</v>
      </c>
      <c r="AH115" s="26">
        <f>IF(Tabla_Consulta_desde_Reporte_de_Valorización_de_Instrumentos[[#This Row],[PORTAFOLIO]]="IN-FONDO3",Tabla_Consulta_desde_Reporte_de_Valorización_de_Instrumentos[[#This Row],[Inv MM$]],0)</f>
        <v>0</v>
      </c>
      <c r="AI11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39.216643362283918</v>
      </c>
      <c r="AJ115" s="26">
        <f>IFERROR(IFERROR(INDEX('BD(MSCI)'!$T:$T,MATCH(Tabla_Consulta_desde_Reporte_de_Valorización_de_Instrumentos[[#This Row],[CODIGO_ISIN]],'BD(MSCI)'!$C:$C,0),1),INDEX('BD(MSCI)'!$T:$T,MATCH(Tabla_Consulta_desde_Reporte_de_Valorización_de_Instrumentos[[#This Row],[CODIGO_SBS]],'BD(MSCI)'!$C:$C,0),1)),0)</f>
        <v>0.47</v>
      </c>
      <c r="AK115" s="26">
        <f>Tabla_Consulta_desde_Reporte_de_Valorización_de_Instrumentos[[#This Row],[C02-H]]*Tabla_Consulta_desde_Reporte_de_Valorización_de_Instrumentos[[#This Row],[Inv MM$]]</f>
        <v>10.633743680926985</v>
      </c>
      <c r="AL115" s="26">
        <f>Tabla_Consulta_desde_Reporte_de_Valorización_de_Instrumentos[[#This Row],[C02-H]]*Tabla_Consulta_desde_Reporte_de_Valorización_de_Instrumentos[[#This Row],[Weight]]</f>
        <v>4.6538053999237959E-3</v>
      </c>
      <c r="AM115" s="26" t="str">
        <f>INDEX(Parametria!G:G,MATCH(Tabla_Consulta_desde_Reporte_de_Valorización_de_Instrumentos[[#This Row],[CODIGO_SBS]],Parametria!C:C,0))</f>
        <v>25RFLC</v>
      </c>
      <c r="AN115" s="26" t="str">
        <f>INDEX(Parametria!F:F,MATCH(Tabla_Consulta_desde_Reporte_de_Valorización_de_Instrumentos[[#This Row],[CODIGO_SBS]],Parametria!C:C,0))</f>
        <v>BU</v>
      </c>
      <c r="AO115" s="26" t="str">
        <f>+INDEX(Parametria!J:J,MATCH(Tabla_Consulta_desde_Reporte_de_Valorización_de_Instrumentos[[#This Row],[CODIGO_SBS]],Parametria!C:C,0))</f>
        <v>RFLBU</v>
      </c>
      <c r="AP115" s="26">
        <f>Tabla_Consulta_desde_Reporte_de_Valorización_de_Instrumentos[[#This Row],[Huella]]/$AU$4</f>
        <v>9.8579881354952069E-4</v>
      </c>
      <c r="AQ115" s="26" t="str">
        <f>IFERROR(INDEX('BD(MSCI)'!W:W,MATCH(Tabla_Consulta_desde_Reporte_de_Valorización_de_Instrumentos[[#This Row],[CODIGO_ISIN]],'BD(MSCI)'!C:C,0)),IF(Tabla_Consulta_desde_Reporte_de_Valorización_de_Instrumentos[[#This Row],[Rank_rt]]="Cash","Cash","Cuestionario Integra"))</f>
        <v>Portafolio</v>
      </c>
      <c r="AR115" s="26" t="str">
        <f>IFERROR(INDEX('BD(MSCI)'!X:X,MATCH(Tabla_Consulta_desde_Reporte_de_Valorización_de_Instrumentos[[#This Row],[CODIGO_ISIN]],'BD(MSCI)'!C:C,0)),"Cuestionario Integra")</f>
        <v>Portafolio</v>
      </c>
      <c r="AU115" s="26"/>
    </row>
    <row r="116" spans="2:47" hidden="1" x14ac:dyDescent="0.25">
      <c r="B116" s="14" t="s">
        <v>6390</v>
      </c>
      <c r="C116" t="s">
        <v>379</v>
      </c>
      <c r="D116" t="s">
        <v>12</v>
      </c>
      <c r="E116" t="s">
        <v>380</v>
      </c>
      <c r="F116" t="s">
        <v>6428</v>
      </c>
      <c r="G116" t="str">
        <f>INDEX(Parametria!H:H,MATCH(Tabla_Consulta_desde_Reporte_de_Valorización_de_Instrumentos[[#This Row],[CODIGO_SBS]],Parametria!C:C,0),1)</f>
        <v>InRetail Shopping Malls</v>
      </c>
      <c r="H116" t="s">
        <v>6429</v>
      </c>
      <c r="I116" t="s">
        <v>6430</v>
      </c>
      <c r="J116" t="s">
        <v>384</v>
      </c>
      <c r="K116" t="s">
        <v>90</v>
      </c>
      <c r="L116">
        <v>10000</v>
      </c>
      <c r="M116" s="5">
        <v>62097322.586400002</v>
      </c>
      <c r="N116">
        <v>62097322.586400002</v>
      </c>
      <c r="O116">
        <v>6000</v>
      </c>
      <c r="P116" s="15">
        <v>48507</v>
      </c>
      <c r="Q116">
        <v>2485</v>
      </c>
      <c r="R116">
        <v>1</v>
      </c>
      <c r="S116" t="s">
        <v>155</v>
      </c>
      <c r="T116">
        <v>61970909.720399998</v>
      </c>
      <c r="U116" s="5">
        <v>61970909.720399998</v>
      </c>
      <c r="V116" t="s">
        <v>227</v>
      </c>
      <c r="W116">
        <v>5958165000</v>
      </c>
      <c r="X116">
        <v>3039391000</v>
      </c>
      <c r="Y116">
        <v>2918774000</v>
      </c>
      <c r="Z116">
        <v>21.068811</v>
      </c>
      <c r="AA116" t="str">
        <f>+MID(Tabla_Consulta_desde_Reporte_de_Valorización_de_Instrumentos[[#This Row],[CODIGO_SBS]],7,1)</f>
        <v>1</v>
      </c>
      <c r="AB116">
        <f>INDEX('Cálculo Caja'!F:F,MATCH(Tabla_Consulta_desde_Reporte_de_Valorización_de_Instrumentos[[#This Row],[PORTAFOLIO]],'Cálculo Caja'!A:A,0),1)</f>
        <v>7679510866.0565634</v>
      </c>
      <c r="AC116" s="17">
        <f>Tabla_Consulta_desde_Reporte_de_Valorización_de_Instrumentos[[#This Row],[VALOR_VECTOR_LOCAL]]/Tabla_Consulta_desde_Reporte_de_Valorización_de_Instrumentos[[#This Row],[Patrimonio]]</f>
        <v>8.086103876858897E-3</v>
      </c>
      <c r="AD116" s="4">
        <f>(Tabla_Consulta_desde_Reporte_de_Valorización_de_Instrumentos[[#This Row],[VALOR_VECTOR_LOCAL]]/INDEX('Tipo de Cambio'!$D:$D,MATCH("2",'Tipo de Cambio'!$E:$E,0),1))/1000000</f>
        <v>18.476396972953673</v>
      </c>
      <c r="AE116">
        <f>IF(Tabla_Consulta_desde_Reporte_de_Valorización_de_Instrumentos[[#This Row],[PORTAFOLIO]]="IN-FONDO0",Tabla_Consulta_desde_Reporte_de_Valorización_de_Instrumentos[[#This Row],[Inv MM$]],0)</f>
        <v>0</v>
      </c>
      <c r="AF116" s="26">
        <f>IF(Tabla_Consulta_desde_Reporte_de_Valorización_de_Instrumentos[[#This Row],[PORTAFOLIO]]="IN-FONDO1",Tabla_Consulta_desde_Reporte_de_Valorización_de_Instrumentos[[#This Row],[Inv MM$]],0)</f>
        <v>18.476396972953673</v>
      </c>
      <c r="AG116" s="26">
        <f>IF(Tabla_Consulta_desde_Reporte_de_Valorización_de_Instrumentos[[#This Row],[PORTAFOLIO]]="IN-FONDO2",Tabla_Consulta_desde_Reporte_de_Valorización_de_Instrumentos[[#This Row],[Inv MM$]],0)</f>
        <v>0</v>
      </c>
      <c r="AH116" s="26">
        <f>IF(Tabla_Consulta_desde_Reporte_de_Valorización_de_Instrumentos[[#This Row],[PORTAFOLIO]]="IN-FONDO3",Tabla_Consulta_desde_Reporte_de_Valorización_de_Instrumentos[[#This Row],[Inv MM$]],0)</f>
        <v>0</v>
      </c>
      <c r="AI11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18.476396972953673</v>
      </c>
      <c r="AJ116" s="26">
        <f>IFERROR(IFERROR(INDEX('BD(MSCI)'!$T:$T,MATCH(Tabla_Consulta_desde_Reporte_de_Valorización_de_Instrumentos[[#This Row],[CODIGO_ISIN]],'BD(MSCI)'!$C:$C,0),1),INDEX('BD(MSCI)'!$T:$T,MATCH(Tabla_Consulta_desde_Reporte_de_Valorización_de_Instrumentos[[#This Row],[CODIGO_SBS]],'BD(MSCI)'!$C:$C,0),1)),0)</f>
        <v>21.25</v>
      </c>
      <c r="AK116" s="26">
        <f>Tabla_Consulta_desde_Reporte_de_Valorización_de_Instrumentos[[#This Row],[C02-H]]*Tabla_Consulta_desde_Reporte_de_Valorización_de_Instrumentos[[#This Row],[Inv MM$]]</f>
        <v>392.62343567526557</v>
      </c>
      <c r="AL116" s="26">
        <f>Tabla_Consulta_desde_Reporte_de_Valorización_de_Instrumentos[[#This Row],[C02-H]]*Tabla_Consulta_desde_Reporte_de_Valorización_de_Instrumentos[[#This Row],[Weight]]</f>
        <v>0.17182970738325157</v>
      </c>
      <c r="AM116" s="26" t="str">
        <f>INDEX(Parametria!G:G,MATCH(Tabla_Consulta_desde_Reporte_de_Valorización_de_Instrumentos[[#This Row],[CODIGO_SBS]],Parametria!C:C,0))</f>
        <v>27RFLC</v>
      </c>
      <c r="AN116" s="26" t="str">
        <f>INDEX(Parametria!F:F,MATCH(Tabla_Consulta_desde_Reporte_de_Valorización_de_Instrumentos[[#This Row],[CODIGO_SBS]],Parametria!C:C,0))</f>
        <v>BU</v>
      </c>
      <c r="AO116" s="26" t="str">
        <f>+INDEX(Parametria!J:J,MATCH(Tabla_Consulta_desde_Reporte_de_Valorización_de_Instrumentos[[#This Row],[CODIGO_SBS]],Parametria!C:C,0))</f>
        <v>RFLBU</v>
      </c>
      <c r="AP116" s="26">
        <f>Tabla_Consulta_desde_Reporte_de_Valorización_de_Instrumentos[[#This Row],[Huella]]/$AU$4</f>
        <v>3.6398067197597986E-2</v>
      </c>
      <c r="AQ116" s="26" t="str">
        <f>IFERROR(INDEX('BD(MSCI)'!W:W,MATCH(Tabla_Consulta_desde_Reporte_de_Valorización_de_Instrumentos[[#This Row],[CODIGO_ISIN]],'BD(MSCI)'!C:C,0)),IF(Tabla_Consulta_desde_Reporte_de_Valorización_de_Instrumentos[[#This Row],[Rank_rt]]="Cash","Cash","Cuestionario Integra"))</f>
        <v>Portafolio</v>
      </c>
      <c r="AR116" s="26" t="str">
        <f>IFERROR(INDEX('BD(MSCI)'!X:X,MATCH(Tabla_Consulta_desde_Reporte_de_Valorización_de_Instrumentos[[#This Row],[CODIGO_ISIN]],'BD(MSCI)'!C:C,0)),"Cuestionario Integra")</f>
        <v>Portafolio</v>
      </c>
      <c r="AU116" s="26"/>
    </row>
    <row r="117" spans="2:47" hidden="1" x14ac:dyDescent="0.25">
      <c r="B117" s="14" t="s">
        <v>6390</v>
      </c>
      <c r="C117" t="s">
        <v>379</v>
      </c>
      <c r="D117" t="s">
        <v>12</v>
      </c>
      <c r="E117" t="s">
        <v>380</v>
      </c>
      <c r="F117" t="s">
        <v>6369</v>
      </c>
      <c r="G117" t="str">
        <f>INDEX(Parametria!H:H,MATCH(Tabla_Consulta_desde_Reporte_de_Valorización_de_Instrumentos[[#This Row],[CODIGO_SBS]],Parametria!C:C,0),1)</f>
        <v>InRetail Shopping Malls</v>
      </c>
      <c r="H117" t="s">
        <v>6368</v>
      </c>
      <c r="I117" t="s">
        <v>6431</v>
      </c>
      <c r="J117" t="s">
        <v>384</v>
      </c>
      <c r="K117" t="s">
        <v>50</v>
      </c>
      <c r="L117">
        <v>1000</v>
      </c>
      <c r="M117" s="5">
        <v>20899788.396389201</v>
      </c>
      <c r="N117">
        <v>6218509.4457999999</v>
      </c>
      <c r="O117">
        <v>6100</v>
      </c>
      <c r="P117" s="15">
        <v>48503</v>
      </c>
      <c r="Q117">
        <v>2481</v>
      </c>
      <c r="R117">
        <v>3.3609</v>
      </c>
      <c r="S117" t="s">
        <v>155</v>
      </c>
      <c r="T117">
        <v>20895306.434023499</v>
      </c>
      <c r="U117" s="5">
        <v>6214032.7229000004</v>
      </c>
      <c r="V117" t="s">
        <v>227</v>
      </c>
      <c r="W117">
        <v>5958165000</v>
      </c>
      <c r="X117">
        <v>3039391000</v>
      </c>
      <c r="Y117">
        <v>2918774000</v>
      </c>
      <c r="Z117">
        <v>0.73388900000000001</v>
      </c>
      <c r="AA117" t="str">
        <f>+MID(Tabla_Consulta_desde_Reporte_de_Valorización_de_Instrumentos[[#This Row],[CODIGO_SBS]],7,1)</f>
        <v>2</v>
      </c>
      <c r="AB117">
        <f>INDEX('Cálculo Caja'!F:F,MATCH(Tabla_Consulta_desde_Reporte_de_Valorización_de_Instrumentos[[#This Row],[PORTAFOLIO]],'Cálculo Caja'!A:A,0),1)</f>
        <v>7679510866.0565634</v>
      </c>
      <c r="AC117" s="17">
        <f>Tabla_Consulta_desde_Reporte_de_Valorización_de_Instrumentos[[#This Row],[VALOR_VECTOR_LOCAL]]/Tabla_Consulta_desde_Reporte_de_Valorización_de_Instrumentos[[#This Row],[Patrimonio]]</f>
        <v>2.7214999445819214E-3</v>
      </c>
      <c r="AD117" s="4">
        <f>(Tabla_Consulta_desde_Reporte_de_Valorización_de_Instrumentos[[#This Row],[VALOR_VECTOR_LOCAL]]/INDEX('Tipo de Cambio'!$D:$D,MATCH("2",'Tipo de Cambio'!$E:$E,0),1))/1000000</f>
        <v>6.2185094457999943</v>
      </c>
      <c r="AE117">
        <f>IF(Tabla_Consulta_desde_Reporte_de_Valorización_de_Instrumentos[[#This Row],[PORTAFOLIO]]="IN-FONDO0",Tabla_Consulta_desde_Reporte_de_Valorización_de_Instrumentos[[#This Row],[Inv MM$]],0)</f>
        <v>0</v>
      </c>
      <c r="AF117" s="26">
        <f>IF(Tabla_Consulta_desde_Reporte_de_Valorización_de_Instrumentos[[#This Row],[PORTAFOLIO]]="IN-FONDO1",Tabla_Consulta_desde_Reporte_de_Valorización_de_Instrumentos[[#This Row],[Inv MM$]],0)</f>
        <v>6.2185094457999943</v>
      </c>
      <c r="AG117" s="26">
        <f>IF(Tabla_Consulta_desde_Reporte_de_Valorización_de_Instrumentos[[#This Row],[PORTAFOLIO]]="IN-FONDO2",Tabla_Consulta_desde_Reporte_de_Valorización_de_Instrumentos[[#This Row],[Inv MM$]],0)</f>
        <v>0</v>
      </c>
      <c r="AH117" s="26">
        <f>IF(Tabla_Consulta_desde_Reporte_de_Valorización_de_Instrumentos[[#This Row],[PORTAFOLIO]]="IN-FONDO3",Tabla_Consulta_desde_Reporte_de_Valorización_de_Instrumentos[[#This Row],[Inv MM$]],0)</f>
        <v>0</v>
      </c>
      <c r="AI11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6.2185094457999943</v>
      </c>
      <c r="AJ117" s="26">
        <f>IFERROR(IFERROR(INDEX('BD(MSCI)'!$T:$T,MATCH(Tabla_Consulta_desde_Reporte_de_Valorización_de_Instrumentos[[#This Row],[CODIGO_ISIN]],'BD(MSCI)'!$C:$C,0),1),INDEX('BD(MSCI)'!$T:$T,MATCH(Tabla_Consulta_desde_Reporte_de_Valorización_de_Instrumentos[[#This Row],[CODIGO_SBS]],'BD(MSCI)'!$C:$C,0),1)),0)</f>
        <v>21.25</v>
      </c>
      <c r="AK117" s="26">
        <f>Tabla_Consulta_desde_Reporte_de_Valorización_de_Instrumentos[[#This Row],[C02-H]]*Tabla_Consulta_desde_Reporte_de_Valorización_de_Instrumentos[[#This Row],[Inv MM$]]</f>
        <v>132.14332572324989</v>
      </c>
      <c r="AL117" s="26">
        <f>Tabla_Consulta_desde_Reporte_de_Valorización_de_Instrumentos[[#This Row],[C02-H]]*Tabla_Consulta_desde_Reporte_de_Valorización_de_Instrumentos[[#This Row],[Weight]]</f>
        <v>5.7831873822365827E-2</v>
      </c>
      <c r="AM117" s="26" t="str">
        <f>INDEX(Parametria!G:G,MATCH(Tabla_Consulta_desde_Reporte_de_Valorización_de_Instrumentos[[#This Row],[CODIGO_SBS]],Parametria!C:C,0))</f>
        <v>27RFLC</v>
      </c>
      <c r="AN117" s="26" t="str">
        <f>INDEX(Parametria!F:F,MATCH(Tabla_Consulta_desde_Reporte_de_Valorización_de_Instrumentos[[#This Row],[CODIGO_SBS]],Parametria!C:C,0))</f>
        <v>BU</v>
      </c>
      <c r="AO117" s="26" t="str">
        <f>+INDEX(Parametria!J:J,MATCH(Tabla_Consulta_desde_Reporte_de_Valorización_de_Instrumentos[[#This Row],[CODIGO_SBS]],Parametria!C:C,0))</f>
        <v>RFLBU</v>
      </c>
      <c r="AP117" s="26">
        <f>Tabla_Consulta_desde_Reporte_de_Valorización_de_Instrumentos[[#This Row],[Huella]]/$AU$4</f>
        <v>1.2250317256576165E-2</v>
      </c>
      <c r="AQ117" s="26" t="str">
        <f>IFERROR(INDEX('BD(MSCI)'!W:W,MATCH(Tabla_Consulta_desde_Reporte_de_Valorización_de_Instrumentos[[#This Row],[CODIGO_ISIN]],'BD(MSCI)'!C:C,0)),IF(Tabla_Consulta_desde_Reporte_de_Valorización_de_Instrumentos[[#This Row],[Rank_rt]]="Cash","Cash","Cuestionario Integra"))</f>
        <v>Portafolio</v>
      </c>
      <c r="AR117" s="26" t="str">
        <f>IFERROR(INDEX('BD(MSCI)'!X:X,MATCH(Tabla_Consulta_desde_Reporte_de_Valorización_de_Instrumentos[[#This Row],[CODIGO_ISIN]],'BD(MSCI)'!C:C,0)),"Cuestionario Integra")</f>
        <v>Portafolio</v>
      </c>
      <c r="AU117" s="26"/>
    </row>
    <row r="118" spans="2:47" hidden="1" x14ac:dyDescent="0.25">
      <c r="B118" s="14" t="s">
        <v>6390</v>
      </c>
      <c r="C118" t="s">
        <v>379</v>
      </c>
      <c r="D118" t="s">
        <v>10</v>
      </c>
      <c r="E118" t="s">
        <v>380</v>
      </c>
      <c r="F118" t="s">
        <v>381</v>
      </c>
      <c r="G118" t="str">
        <f>INDEX(Parametria!H:H,MATCH(Tabla_Consulta_desde_Reporte_de_Valorización_de_Instrumentos[[#This Row],[CODIGO_SBS]],Parametria!C:C,0),1)</f>
        <v>TITIRSM1 - InRetail</v>
      </c>
      <c r="H118" t="s">
        <v>382</v>
      </c>
      <c r="I118" t="s">
        <v>383</v>
      </c>
      <c r="J118" t="s">
        <v>384</v>
      </c>
      <c r="K118" t="s">
        <v>90</v>
      </c>
      <c r="L118">
        <v>10000</v>
      </c>
      <c r="M118" s="5">
        <v>27463685.27375</v>
      </c>
      <c r="N118">
        <v>27463685.27375</v>
      </c>
      <c r="O118">
        <v>2500</v>
      </c>
      <c r="P118" s="15">
        <v>49150</v>
      </c>
      <c r="Q118">
        <v>3128</v>
      </c>
      <c r="R118">
        <v>1</v>
      </c>
      <c r="S118" t="s">
        <v>155</v>
      </c>
      <c r="T118">
        <v>27415348.517000001</v>
      </c>
      <c r="U118" s="5">
        <v>27415348.517000001</v>
      </c>
      <c r="V118" t="s">
        <v>227</v>
      </c>
      <c r="W118">
        <v>5958165000</v>
      </c>
      <c r="X118">
        <v>3039391000</v>
      </c>
      <c r="Y118">
        <v>2918774000</v>
      </c>
      <c r="Z118">
        <v>19.334702700000001</v>
      </c>
      <c r="AA118" t="str">
        <f>+MID(Tabla_Consulta_desde_Reporte_de_Valorización_de_Instrumentos[[#This Row],[CODIGO_SBS]],7,1)</f>
        <v>1</v>
      </c>
      <c r="AB118">
        <f>INDEX('Cálculo Caja'!F:F,MATCH(Tabla_Consulta_desde_Reporte_de_Valorización_de_Instrumentos[[#This Row],[PORTAFOLIO]],'Cálculo Caja'!A:A,0),1)</f>
        <v>26256910350.436607</v>
      </c>
      <c r="AC118" s="17">
        <f>Tabla_Consulta_desde_Reporte_de_Valorización_de_Instrumentos[[#This Row],[VALOR_VECTOR_LOCAL]]/Tabla_Consulta_desde_Reporte_de_Valorización_de_Instrumentos[[#This Row],[Patrimonio]]</f>
        <v>1.0459602789211384E-3</v>
      </c>
      <c r="AD118" s="4">
        <f>(Tabla_Consulta_desde_Reporte_de_Valorización_de_Instrumentos[[#This Row],[VALOR_VECTOR_LOCAL]]/INDEX('Tipo de Cambio'!$D:$D,MATCH("2",'Tipo de Cambio'!$E:$E,0),1))/1000000</f>
        <v>8.1715270533934365</v>
      </c>
      <c r="AE118">
        <f>IF(Tabla_Consulta_desde_Reporte_de_Valorización_de_Instrumentos[[#This Row],[PORTAFOLIO]]="IN-FONDO0",Tabla_Consulta_desde_Reporte_de_Valorización_de_Instrumentos[[#This Row],[Inv MM$]],0)</f>
        <v>0</v>
      </c>
      <c r="AF118" s="26">
        <f>IF(Tabla_Consulta_desde_Reporte_de_Valorización_de_Instrumentos[[#This Row],[PORTAFOLIO]]="IN-FONDO1",Tabla_Consulta_desde_Reporte_de_Valorización_de_Instrumentos[[#This Row],[Inv MM$]],0)</f>
        <v>0</v>
      </c>
      <c r="AG118" s="26">
        <f>IF(Tabla_Consulta_desde_Reporte_de_Valorización_de_Instrumentos[[#This Row],[PORTAFOLIO]]="IN-FONDO2",Tabla_Consulta_desde_Reporte_de_Valorización_de_Instrumentos[[#This Row],[Inv MM$]],0)</f>
        <v>8.1715270533934365</v>
      </c>
      <c r="AH118" s="26">
        <f>IF(Tabla_Consulta_desde_Reporte_de_Valorización_de_Instrumentos[[#This Row],[PORTAFOLIO]]="IN-FONDO3",Tabla_Consulta_desde_Reporte_de_Valorización_de_Instrumentos[[#This Row],[Inv MM$]],0)</f>
        <v>0</v>
      </c>
      <c r="AI11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8.1715270533934365</v>
      </c>
      <c r="AJ118" s="26">
        <f>IFERROR(IFERROR(INDEX('BD(MSCI)'!$T:$T,MATCH(Tabla_Consulta_desde_Reporte_de_Valorización_de_Instrumentos[[#This Row],[CODIGO_ISIN]],'BD(MSCI)'!$C:$C,0),1),INDEX('BD(MSCI)'!$T:$T,MATCH(Tabla_Consulta_desde_Reporte_de_Valorización_de_Instrumentos[[#This Row],[CODIGO_SBS]],'BD(MSCI)'!$C:$C,0),1)),0)</f>
        <v>21.25</v>
      </c>
      <c r="AK118" s="26">
        <f>Tabla_Consulta_desde_Reporte_de_Valorización_de_Instrumentos[[#This Row],[C02-H]]*Tabla_Consulta_desde_Reporte_de_Valorización_de_Instrumentos[[#This Row],[Inv MM$]]</f>
        <v>173.64494988461053</v>
      </c>
      <c r="AL118" s="26">
        <f>Tabla_Consulta_desde_Reporte_de_Valorización_de_Instrumentos[[#This Row],[C02-H]]*Tabla_Consulta_desde_Reporte_de_Valorización_de_Instrumentos[[#This Row],[Weight]]</f>
        <v>2.2226655927074193E-2</v>
      </c>
      <c r="AM118" s="26" t="str">
        <f>INDEX(Parametria!G:G,MATCH(Tabla_Consulta_desde_Reporte_de_Valorización_de_Instrumentos[[#This Row],[CODIGO_SBS]],Parametria!C:C,0))</f>
        <v>27RFLC</v>
      </c>
      <c r="AN118" s="26" t="str">
        <f>INDEX(Parametria!F:F,MATCH(Tabla_Consulta_desde_Reporte_de_Valorización_de_Instrumentos[[#This Row],[CODIGO_SBS]],Parametria!C:C,0))</f>
        <v>BU</v>
      </c>
      <c r="AO118" s="26" t="str">
        <f>+INDEX(Parametria!J:J,MATCH(Tabla_Consulta_desde_Reporte_de_Valorización_de_Instrumentos[[#This Row],[CODIGO_SBS]],Parametria!C:C,0))</f>
        <v>RFLBU</v>
      </c>
      <c r="AP118" s="26">
        <f>Tabla_Consulta_desde_Reporte_de_Valorización_de_Instrumentos[[#This Row],[Huella]]/$AU$4</f>
        <v>1.6097715979570489E-2</v>
      </c>
      <c r="AQ118" s="26" t="str">
        <f>IFERROR(INDEX('BD(MSCI)'!W:W,MATCH(Tabla_Consulta_desde_Reporte_de_Valorización_de_Instrumentos[[#This Row],[CODIGO_ISIN]],'BD(MSCI)'!C:C,0)),IF(Tabla_Consulta_desde_Reporte_de_Valorización_de_Instrumentos[[#This Row],[Rank_rt]]="Cash","Cash","Cuestionario Integra"))</f>
        <v>Portafolio</v>
      </c>
      <c r="AR118" s="26" t="str">
        <f>IFERROR(INDEX('BD(MSCI)'!X:X,MATCH(Tabla_Consulta_desde_Reporte_de_Valorización_de_Instrumentos[[#This Row],[CODIGO_ISIN]],'BD(MSCI)'!C:C,0)),"Cuestionario Integra")</f>
        <v>Portafolio</v>
      </c>
      <c r="AU118" s="26"/>
    </row>
    <row r="119" spans="2:47" hidden="1" x14ac:dyDescent="0.25">
      <c r="B119" s="14" t="s">
        <v>6390</v>
      </c>
      <c r="C119" t="s">
        <v>379</v>
      </c>
      <c r="D119" t="s">
        <v>10</v>
      </c>
      <c r="E119" t="s">
        <v>380</v>
      </c>
      <c r="F119" t="s">
        <v>387</v>
      </c>
      <c r="G119" t="str">
        <f>INDEX(Parametria!H:H,MATCH(Tabla_Consulta_desde_Reporte_de_Valorización_de_Instrumentos[[#This Row],[CODIGO_SBS]],Parametria!C:C,0),1)</f>
        <v>SINT1INR1U - InRetail</v>
      </c>
      <c r="H119" t="s">
        <v>388</v>
      </c>
      <c r="I119" t="s">
        <v>389</v>
      </c>
      <c r="J119" t="s">
        <v>390</v>
      </c>
      <c r="K119" t="s">
        <v>90</v>
      </c>
      <c r="L119">
        <v>10000</v>
      </c>
      <c r="M119" s="5">
        <v>126374962.28004999</v>
      </c>
      <c r="N119">
        <v>126374962.28004999</v>
      </c>
      <c r="O119">
        <v>12700</v>
      </c>
      <c r="P119" s="15">
        <v>46827</v>
      </c>
      <c r="Q119">
        <v>805</v>
      </c>
      <c r="R119">
        <v>1</v>
      </c>
      <c r="S119" t="s">
        <v>155</v>
      </c>
      <c r="T119">
        <v>126392285.98937</v>
      </c>
      <c r="U119" s="5">
        <v>126392285.98937</v>
      </c>
      <c r="V119" t="s">
        <v>227</v>
      </c>
      <c r="W119">
        <v>15587660000</v>
      </c>
      <c r="X119">
        <v>12914429000</v>
      </c>
      <c r="Y119">
        <v>2673231000</v>
      </c>
      <c r="Z119">
        <v>-1.3640715999999999</v>
      </c>
      <c r="AA119" t="str">
        <f>+MID(Tabla_Consulta_desde_Reporte_de_Valorización_de_Instrumentos[[#This Row],[CODIGO_SBS]],7,1)</f>
        <v>1</v>
      </c>
      <c r="AB119">
        <f>INDEX('Cálculo Caja'!F:F,MATCH(Tabla_Consulta_desde_Reporte_de_Valorización_de_Instrumentos[[#This Row],[PORTAFOLIO]],'Cálculo Caja'!A:A,0),1)</f>
        <v>26256910350.436607</v>
      </c>
      <c r="AC119" s="17">
        <f>Tabla_Consulta_desde_Reporte_de_Valorización_de_Instrumentos[[#This Row],[VALOR_VECTOR_LOCAL]]/Tabla_Consulta_desde_Reporte_de_Valorización_de_Instrumentos[[#This Row],[Patrimonio]]</f>
        <v>4.813017243590071E-3</v>
      </c>
      <c r="AD119" s="4">
        <f>(Tabla_Consulta_desde_Reporte_de_Valorización_de_Instrumentos[[#This Row],[VALOR_VECTOR_LOCAL]]/INDEX('Tipo de Cambio'!$D:$D,MATCH("2",'Tipo de Cambio'!$E:$E,0),1))/1000000</f>
        <v>37.60152407987443</v>
      </c>
      <c r="AE119">
        <f>IF(Tabla_Consulta_desde_Reporte_de_Valorización_de_Instrumentos[[#This Row],[PORTAFOLIO]]="IN-FONDO0",Tabla_Consulta_desde_Reporte_de_Valorización_de_Instrumentos[[#This Row],[Inv MM$]],0)</f>
        <v>0</v>
      </c>
      <c r="AF119" s="26">
        <f>IF(Tabla_Consulta_desde_Reporte_de_Valorización_de_Instrumentos[[#This Row],[PORTAFOLIO]]="IN-FONDO1",Tabla_Consulta_desde_Reporte_de_Valorización_de_Instrumentos[[#This Row],[Inv MM$]],0)</f>
        <v>0</v>
      </c>
      <c r="AG119" s="26">
        <f>IF(Tabla_Consulta_desde_Reporte_de_Valorización_de_Instrumentos[[#This Row],[PORTAFOLIO]]="IN-FONDO2",Tabla_Consulta_desde_Reporte_de_Valorización_de_Instrumentos[[#This Row],[Inv MM$]],0)</f>
        <v>37.60152407987443</v>
      </c>
      <c r="AH119" s="26">
        <f>IF(Tabla_Consulta_desde_Reporte_de_Valorización_de_Instrumentos[[#This Row],[PORTAFOLIO]]="IN-FONDO3",Tabla_Consulta_desde_Reporte_de_Valorización_de_Instrumentos[[#This Row],[Inv MM$]],0)</f>
        <v>0</v>
      </c>
      <c r="AI11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50.332748768335854</v>
      </c>
      <c r="AJ119" s="26">
        <f>IFERROR(IFERROR(INDEX('BD(MSCI)'!$T:$T,MATCH(Tabla_Consulta_desde_Reporte_de_Valorización_de_Instrumentos[[#This Row],[CODIGO_ISIN]],'BD(MSCI)'!$C:$C,0),1),INDEX('BD(MSCI)'!$T:$T,MATCH(Tabla_Consulta_desde_Reporte_de_Valorización_de_Instrumentos[[#This Row],[CODIGO_SBS]],'BD(MSCI)'!$C:$C,0),1)),0)</f>
        <v>21.25</v>
      </c>
      <c r="AK119" s="26">
        <f>Tabla_Consulta_desde_Reporte_de_Valorización_de_Instrumentos[[#This Row],[C02-H]]*Tabla_Consulta_desde_Reporte_de_Valorización_de_Instrumentos[[#This Row],[Inv MM$]]</f>
        <v>799.03238669733162</v>
      </c>
      <c r="AL119" s="26">
        <f>Tabla_Consulta_desde_Reporte_de_Valorización_de_Instrumentos[[#This Row],[C02-H]]*Tabla_Consulta_desde_Reporte_de_Valorización_de_Instrumentos[[#This Row],[Weight]]</f>
        <v>0.102276616426289</v>
      </c>
      <c r="AM119" s="26" t="str">
        <f>INDEX(Parametria!G:G,MATCH(Tabla_Consulta_desde_Reporte_de_Valorización_de_Instrumentos[[#This Row],[CODIGO_SBS]],Parametria!C:C,0))</f>
        <v>27RFLC</v>
      </c>
      <c r="AN119" s="26" t="str">
        <f>INDEX(Parametria!F:F,MATCH(Tabla_Consulta_desde_Reporte_de_Valorización_de_Instrumentos[[#This Row],[CODIGO_SBS]],Parametria!C:C,0))</f>
        <v>BU</v>
      </c>
      <c r="AO119" s="26" t="str">
        <f>+INDEX(Parametria!J:J,MATCH(Tabla_Consulta_desde_Reporte_de_Valorización_de_Instrumentos[[#This Row],[CODIGO_SBS]],Parametria!C:C,0))</f>
        <v>RFLBU</v>
      </c>
      <c r="AP119" s="26">
        <f>Tabla_Consulta_desde_Reporte_de_Valorización_de_Instrumentos[[#This Row],[Huella]]/$AU$4</f>
        <v>7.4074117491348609E-2</v>
      </c>
      <c r="AQ119" s="26" t="str">
        <f>IFERROR(INDEX('BD(MSCI)'!W:W,MATCH(Tabla_Consulta_desde_Reporte_de_Valorización_de_Instrumentos[[#This Row],[CODIGO_ISIN]],'BD(MSCI)'!C:C,0)),IF(Tabla_Consulta_desde_Reporte_de_Valorización_de_Instrumentos[[#This Row],[Rank_rt]]="Cash","Cash","Cuestionario Integra"))</f>
        <v>Portafolio</v>
      </c>
      <c r="AR119" s="26" t="str">
        <f>IFERROR(INDEX('BD(MSCI)'!X:X,MATCH(Tabla_Consulta_desde_Reporte_de_Valorización_de_Instrumentos[[#This Row],[CODIGO_ISIN]],'BD(MSCI)'!C:C,0)),"Cuestionario Integra")</f>
        <v>Portafolio</v>
      </c>
      <c r="AU119" s="26"/>
    </row>
    <row r="120" spans="2:47" hidden="1" x14ac:dyDescent="0.25">
      <c r="B120" s="14" t="s">
        <v>6390</v>
      </c>
      <c r="C120" t="s">
        <v>379</v>
      </c>
      <c r="D120" t="s">
        <v>12</v>
      </c>
      <c r="E120" t="s">
        <v>380</v>
      </c>
      <c r="F120" t="s">
        <v>387</v>
      </c>
      <c r="G120" t="str">
        <f>INDEX(Parametria!H:H,MATCH(Tabla_Consulta_desde_Reporte_de_Valorización_de_Instrumentos[[#This Row],[CODIGO_SBS]],Parametria!C:C,0),1)</f>
        <v>SINT1INR1U - InRetail</v>
      </c>
      <c r="H120" t="s">
        <v>388</v>
      </c>
      <c r="I120" t="s">
        <v>389</v>
      </c>
      <c r="J120" t="s">
        <v>390</v>
      </c>
      <c r="K120" t="s">
        <v>90</v>
      </c>
      <c r="L120">
        <v>10000</v>
      </c>
      <c r="M120" s="5">
        <v>42788373.05545</v>
      </c>
      <c r="N120">
        <v>42788373.05545</v>
      </c>
      <c r="O120">
        <v>4300</v>
      </c>
      <c r="P120" s="15">
        <v>46827</v>
      </c>
      <c r="Q120">
        <v>805</v>
      </c>
      <c r="R120">
        <v>1</v>
      </c>
      <c r="S120" t="s">
        <v>155</v>
      </c>
      <c r="T120">
        <v>42794238.563330002</v>
      </c>
      <c r="U120" s="5">
        <v>42794238.563330002</v>
      </c>
      <c r="V120" t="s">
        <v>227</v>
      </c>
      <c r="W120">
        <v>15587660000</v>
      </c>
      <c r="X120">
        <v>12914429000</v>
      </c>
      <c r="Y120">
        <v>2673231000</v>
      </c>
      <c r="Z120">
        <v>-1.3640715999999999</v>
      </c>
      <c r="AA120" t="str">
        <f>+MID(Tabla_Consulta_desde_Reporte_de_Valorización_de_Instrumentos[[#This Row],[CODIGO_SBS]],7,1)</f>
        <v>1</v>
      </c>
      <c r="AB120">
        <f>INDEX('Cálculo Caja'!F:F,MATCH(Tabla_Consulta_desde_Reporte_de_Valorización_de_Instrumentos[[#This Row],[PORTAFOLIO]],'Cálculo Caja'!A:A,0),1)</f>
        <v>7679510866.0565634</v>
      </c>
      <c r="AC120" s="17">
        <f>Tabla_Consulta_desde_Reporte_de_Valorización_de_Instrumentos[[#This Row],[VALOR_VECTOR_LOCAL]]/Tabla_Consulta_desde_Reporte_de_Valorización_de_Instrumentos[[#This Row],[Patrimonio]]</f>
        <v>5.5717576030232079E-3</v>
      </c>
      <c r="AD120" s="4">
        <f>(Tabla_Consulta_desde_Reporte_de_Valorización_de_Instrumentos[[#This Row],[VALOR_VECTOR_LOCAL]]/INDEX('Tipo de Cambio'!$D:$D,MATCH("2",'Tipo de Cambio'!$E:$E,0),1))/1000000</f>
        <v>12.731224688461424</v>
      </c>
      <c r="AE120">
        <f>IF(Tabla_Consulta_desde_Reporte_de_Valorización_de_Instrumentos[[#This Row],[PORTAFOLIO]]="IN-FONDO0",Tabla_Consulta_desde_Reporte_de_Valorización_de_Instrumentos[[#This Row],[Inv MM$]],0)</f>
        <v>0</v>
      </c>
      <c r="AF120" s="26">
        <f>IF(Tabla_Consulta_desde_Reporte_de_Valorización_de_Instrumentos[[#This Row],[PORTAFOLIO]]="IN-FONDO1",Tabla_Consulta_desde_Reporte_de_Valorización_de_Instrumentos[[#This Row],[Inv MM$]],0)</f>
        <v>12.731224688461424</v>
      </c>
      <c r="AG120" s="26">
        <f>IF(Tabla_Consulta_desde_Reporte_de_Valorización_de_Instrumentos[[#This Row],[PORTAFOLIO]]="IN-FONDO2",Tabla_Consulta_desde_Reporte_de_Valorización_de_Instrumentos[[#This Row],[Inv MM$]],0)</f>
        <v>0</v>
      </c>
      <c r="AH120" s="26">
        <f>IF(Tabla_Consulta_desde_Reporte_de_Valorización_de_Instrumentos[[#This Row],[PORTAFOLIO]]="IN-FONDO3",Tabla_Consulta_desde_Reporte_de_Valorización_de_Instrumentos[[#This Row],[Inv MM$]],0)</f>
        <v>0</v>
      </c>
      <c r="AI12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50.332748768335854</v>
      </c>
      <c r="AJ120" s="26">
        <f>IFERROR(IFERROR(INDEX('BD(MSCI)'!$T:$T,MATCH(Tabla_Consulta_desde_Reporte_de_Valorización_de_Instrumentos[[#This Row],[CODIGO_ISIN]],'BD(MSCI)'!$C:$C,0),1),INDEX('BD(MSCI)'!$T:$T,MATCH(Tabla_Consulta_desde_Reporte_de_Valorización_de_Instrumentos[[#This Row],[CODIGO_SBS]],'BD(MSCI)'!$C:$C,0),1)),0)</f>
        <v>21.25</v>
      </c>
      <c r="AK120" s="26">
        <f>Tabla_Consulta_desde_Reporte_de_Valorización_de_Instrumentos[[#This Row],[C02-H]]*Tabla_Consulta_desde_Reporte_de_Valorización_de_Instrumentos[[#This Row],[Inv MM$]]</f>
        <v>270.53852462980524</v>
      </c>
      <c r="AL120" s="26">
        <f>Tabla_Consulta_desde_Reporte_de_Valorización_de_Instrumentos[[#This Row],[C02-H]]*Tabla_Consulta_desde_Reporte_de_Valorización_de_Instrumentos[[#This Row],[Weight]]</f>
        <v>0.11839984906424317</v>
      </c>
      <c r="AM120" s="26" t="str">
        <f>INDEX(Parametria!G:G,MATCH(Tabla_Consulta_desde_Reporte_de_Valorización_de_Instrumentos[[#This Row],[CODIGO_SBS]],Parametria!C:C,0))</f>
        <v>27RFLC</v>
      </c>
      <c r="AN120" s="26" t="str">
        <f>INDEX(Parametria!F:F,MATCH(Tabla_Consulta_desde_Reporte_de_Valorización_de_Instrumentos[[#This Row],[CODIGO_SBS]],Parametria!C:C,0))</f>
        <v>BU</v>
      </c>
      <c r="AO120" s="26" t="str">
        <f>+INDEX(Parametria!J:J,MATCH(Tabla_Consulta_desde_Reporte_de_Valorización_de_Instrumentos[[#This Row],[CODIGO_SBS]],Parametria!C:C,0))</f>
        <v>RFLBU</v>
      </c>
      <c r="AP120" s="26">
        <f>Tabla_Consulta_desde_Reporte_de_Valorización_de_Instrumentos[[#This Row],[Huella]]/$AU$4</f>
        <v>2.5080213008881819E-2</v>
      </c>
      <c r="AQ120" s="26" t="str">
        <f>IFERROR(INDEX('BD(MSCI)'!W:W,MATCH(Tabla_Consulta_desde_Reporte_de_Valorización_de_Instrumentos[[#This Row],[CODIGO_ISIN]],'BD(MSCI)'!C:C,0)),IF(Tabla_Consulta_desde_Reporte_de_Valorización_de_Instrumentos[[#This Row],[Rank_rt]]="Cash","Cash","Cuestionario Integra"))</f>
        <v>Portafolio</v>
      </c>
      <c r="AR120" s="26" t="str">
        <f>IFERROR(INDEX('BD(MSCI)'!X:X,MATCH(Tabla_Consulta_desde_Reporte_de_Valorización_de_Instrumentos[[#This Row],[CODIGO_ISIN]],'BD(MSCI)'!C:C,0)),"Cuestionario Integra")</f>
        <v>Portafolio</v>
      </c>
      <c r="AU120" s="26"/>
    </row>
    <row r="121" spans="2:47" hidden="1" x14ac:dyDescent="0.25">
      <c r="B121" s="14" t="s">
        <v>6390</v>
      </c>
      <c r="C121" t="s">
        <v>379</v>
      </c>
      <c r="D121" t="s">
        <v>12</v>
      </c>
      <c r="E121" t="s">
        <v>380</v>
      </c>
      <c r="F121" t="s">
        <v>397</v>
      </c>
      <c r="G121" t="str">
        <f>INDEX(Parametria!H:H,MATCH(Tabla_Consulta_desde_Reporte_de_Valorización_de_Instrumentos[[#This Row],[CODIGO_SBS]],Parametria!C:C,0),1)</f>
        <v>Huascacocha Finance Limited</v>
      </c>
      <c r="H121" t="s">
        <v>398</v>
      </c>
      <c r="I121" t="s">
        <v>399</v>
      </c>
      <c r="J121" t="s">
        <v>396</v>
      </c>
      <c r="K121" t="s">
        <v>121</v>
      </c>
      <c r="L121">
        <v>1000</v>
      </c>
      <c r="M121" s="5">
        <v>483453.35047469998</v>
      </c>
      <c r="N121">
        <v>483453.35047469998</v>
      </c>
      <c r="O121">
        <v>2131</v>
      </c>
      <c r="P121" s="15">
        <v>46844</v>
      </c>
      <c r="Q121">
        <v>822</v>
      </c>
      <c r="R121">
        <v>1</v>
      </c>
      <c r="S121" t="s">
        <v>155</v>
      </c>
      <c r="T121">
        <v>483247.58026229998</v>
      </c>
      <c r="U121" s="5">
        <v>483247.58026229998</v>
      </c>
      <c r="V121" t="s">
        <v>156</v>
      </c>
      <c r="W121">
        <v>0</v>
      </c>
      <c r="X121">
        <v>0</v>
      </c>
      <c r="Y121">
        <v>0</v>
      </c>
      <c r="Z121">
        <v>9.6560400000000005E-2</v>
      </c>
      <c r="AA121" t="str">
        <f>+MID(Tabla_Consulta_desde_Reporte_de_Valorización_de_Instrumentos[[#This Row],[CODIGO_SBS]],7,1)</f>
        <v>3</v>
      </c>
      <c r="AB121">
        <f>INDEX('Cálculo Caja'!F:F,MATCH(Tabla_Consulta_desde_Reporte_de_Valorización_de_Instrumentos[[#This Row],[PORTAFOLIO]],'Cálculo Caja'!A:A,0),1)</f>
        <v>7679510866.0565634</v>
      </c>
      <c r="AC121" s="17">
        <f>Tabla_Consulta_desde_Reporte_de_Valorización_de_Instrumentos[[#This Row],[VALOR_VECTOR_LOCAL]]/Tabla_Consulta_desde_Reporte_de_Valorización_de_Instrumentos[[#This Row],[Patrimonio]]</f>
        <v>6.2953664485529106E-5</v>
      </c>
      <c r="AD121" s="4">
        <f>(Tabla_Consulta_desde_Reporte_de_Valorización_de_Instrumentos[[#This Row],[VALOR_VECTOR_LOCAL]]/INDEX('Tipo de Cambio'!$D:$D,MATCH("2",'Tipo de Cambio'!$E:$E,0),1))/1000000</f>
        <v>0.14384639545202177</v>
      </c>
      <c r="AE121">
        <f>IF(Tabla_Consulta_desde_Reporte_de_Valorización_de_Instrumentos[[#This Row],[PORTAFOLIO]]="IN-FONDO0",Tabla_Consulta_desde_Reporte_de_Valorización_de_Instrumentos[[#This Row],[Inv MM$]],0)</f>
        <v>0</v>
      </c>
      <c r="AF121" s="26">
        <f>IF(Tabla_Consulta_desde_Reporte_de_Valorización_de_Instrumentos[[#This Row],[PORTAFOLIO]]="IN-FONDO1",Tabla_Consulta_desde_Reporte_de_Valorización_de_Instrumentos[[#This Row],[Inv MM$]],0)</f>
        <v>0.14384639545202177</v>
      </c>
      <c r="AG121" s="26">
        <f>IF(Tabla_Consulta_desde_Reporte_de_Valorización_de_Instrumentos[[#This Row],[PORTAFOLIO]]="IN-FONDO2",Tabla_Consulta_desde_Reporte_de_Valorización_de_Instrumentos[[#This Row],[Inv MM$]],0)</f>
        <v>0</v>
      </c>
      <c r="AH121" s="26">
        <f>IF(Tabla_Consulta_desde_Reporte_de_Valorización_de_Instrumentos[[#This Row],[PORTAFOLIO]]="IN-FONDO3",Tabla_Consulta_desde_Reporte_de_Valorización_de_Instrumentos[[#This Row],[Inv MM$]],0)</f>
        <v>0</v>
      </c>
      <c r="AI12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1.7876509107254306</v>
      </c>
      <c r="AJ121" s="26">
        <f>IFERROR(IFERROR(INDEX('BD(MSCI)'!$T:$T,MATCH(Tabla_Consulta_desde_Reporte_de_Valorización_de_Instrumentos[[#This Row],[CODIGO_ISIN]],'BD(MSCI)'!$C:$C,0),1),INDEX('BD(MSCI)'!$T:$T,MATCH(Tabla_Consulta_desde_Reporte_de_Valorización_de_Instrumentos[[#This Row],[CODIGO_SBS]],'BD(MSCI)'!$C:$C,0),1)),0)</f>
        <v>295.20288226000002</v>
      </c>
      <c r="AK121" s="26">
        <f>Tabla_Consulta_desde_Reporte_de_Valorización_de_Instrumentos[[#This Row],[C02-H]]*Tabla_Consulta_desde_Reporte_de_Valorización_de_Instrumentos[[#This Row],[Inv MM$]]</f>
        <v>42.463870540148584</v>
      </c>
      <c r="AL121" s="26">
        <f>Tabla_Consulta_desde_Reporte_de_Valorización_de_Instrumentos[[#This Row],[C02-H]]*Tabla_Consulta_desde_Reporte_de_Valorización_de_Instrumentos[[#This Row],[Weight]]</f>
        <v>1.8584103204957195E-2</v>
      </c>
      <c r="AM121" s="26" t="str">
        <f>INDEX(Parametria!G:G,MATCH(Tabla_Consulta_desde_Reporte_de_Valorización_de_Instrumentos[[#This Row],[CODIGO_SBS]],Parametria!C:C,0))</f>
        <v>27RFLC</v>
      </c>
      <c r="AN121" s="26" t="str">
        <f>INDEX(Parametria!F:F,MATCH(Tabla_Consulta_desde_Reporte_de_Valorización_de_Instrumentos[[#This Row],[CODIGO_SBS]],Parametria!C:C,0))</f>
        <v>BU</v>
      </c>
      <c r="AO121" s="26" t="str">
        <f>+INDEX(Parametria!J:J,MATCH(Tabla_Consulta_desde_Reporte_de_Valorización_de_Instrumentos[[#This Row],[CODIGO_SBS]],Parametria!C:C,0))</f>
        <v>RFLBU</v>
      </c>
      <c r="AP121" s="26">
        <f>Tabla_Consulta_desde_Reporte_de_Valorización_de_Instrumentos[[#This Row],[Huella]]/$AU$4</f>
        <v>3.9366035568716802E-3</v>
      </c>
      <c r="AQ121" s="26" t="str">
        <f>IFERROR(INDEX('BD(MSCI)'!W:W,MATCH(Tabla_Consulta_desde_Reporte_de_Valorización_de_Instrumentos[[#This Row],[CODIGO_ISIN]],'BD(MSCI)'!C:C,0)),IF(Tabla_Consulta_desde_Reporte_de_Valorización_de_Instrumentos[[#This Row],[Rank_rt]]="Cash","Cash","Cuestionario Integra"))</f>
        <v>Proxies</v>
      </c>
      <c r="AR121" s="26" t="str">
        <f>IFERROR(INDEX('BD(MSCI)'!X:X,MATCH(Tabla_Consulta_desde_Reporte_de_Valorización_de_Instrumentos[[#This Row],[CODIGO_ISIN]],'BD(MSCI)'!C:C,0)),"Cuestionario Integra")</f>
        <v>BU</v>
      </c>
      <c r="AU121" s="26"/>
    </row>
    <row r="122" spans="2:47" hidden="1" x14ac:dyDescent="0.25">
      <c r="B122" s="14" t="s">
        <v>6390</v>
      </c>
      <c r="C122" t="s">
        <v>379</v>
      </c>
      <c r="D122" t="s">
        <v>12</v>
      </c>
      <c r="E122" t="s">
        <v>380</v>
      </c>
      <c r="F122" t="s">
        <v>393</v>
      </c>
      <c r="G122" t="str">
        <f>INDEX(Parametria!H:H,MATCH(Tabla_Consulta_desde_Reporte_de_Valorización_de_Instrumentos[[#This Row],[CODIGO_SBS]],Parametria!C:C,0),1)</f>
        <v>Huascacocha Finance Limited</v>
      </c>
      <c r="H122" t="s">
        <v>394</v>
      </c>
      <c r="I122" t="s">
        <v>395</v>
      </c>
      <c r="J122" t="s">
        <v>396</v>
      </c>
      <c r="K122" t="s">
        <v>121</v>
      </c>
      <c r="L122">
        <v>1000</v>
      </c>
      <c r="M122" s="5">
        <v>312930.38543830003</v>
      </c>
      <c r="N122">
        <v>312930.38543830003</v>
      </c>
      <c r="O122">
        <v>1379</v>
      </c>
      <c r="P122" s="15">
        <v>46844</v>
      </c>
      <c r="Q122">
        <v>822</v>
      </c>
      <c r="R122">
        <v>1</v>
      </c>
      <c r="S122" t="s">
        <v>155</v>
      </c>
      <c r="T122">
        <v>312797.48541650001</v>
      </c>
      <c r="U122" s="5">
        <v>312797.48541650001</v>
      </c>
      <c r="V122" t="s">
        <v>156</v>
      </c>
      <c r="W122">
        <v>0</v>
      </c>
      <c r="X122">
        <v>0</v>
      </c>
      <c r="Y122">
        <v>0</v>
      </c>
      <c r="Z122">
        <v>9.6374199999999993E-2</v>
      </c>
      <c r="AA122" t="str">
        <f>+MID(Tabla_Consulta_desde_Reporte_de_Valorización_de_Instrumentos[[#This Row],[CODIGO_SBS]],7,1)</f>
        <v>3</v>
      </c>
      <c r="AB122">
        <f>INDEX('Cálculo Caja'!F:F,MATCH(Tabla_Consulta_desde_Reporte_de_Valorización_de_Instrumentos[[#This Row],[PORTAFOLIO]],'Cálculo Caja'!A:A,0),1)</f>
        <v>7679510866.0565634</v>
      </c>
      <c r="AC122" s="17">
        <f>Tabla_Consulta_desde_Reporte_de_Valorización_de_Instrumentos[[#This Row],[VALOR_VECTOR_LOCAL]]/Tabla_Consulta_desde_Reporte_de_Valorización_de_Instrumentos[[#This Row],[Patrimonio]]</f>
        <v>4.0748739196587672E-5</v>
      </c>
      <c r="AD122" s="4">
        <f>(Tabla_Consulta_desde_Reporte_de_Valorización_de_Instrumentos[[#This Row],[VALOR_VECTOR_LOCAL]]/INDEX('Tipo de Cambio'!$D:$D,MATCH("2",'Tipo de Cambio'!$E:$E,0),1))/1000000</f>
        <v>9.310910334681187E-2</v>
      </c>
      <c r="AE122">
        <f>IF(Tabla_Consulta_desde_Reporte_de_Valorización_de_Instrumentos[[#This Row],[PORTAFOLIO]]="IN-FONDO0",Tabla_Consulta_desde_Reporte_de_Valorización_de_Instrumentos[[#This Row],[Inv MM$]],0)</f>
        <v>0</v>
      </c>
      <c r="AF122" s="26">
        <f>IF(Tabla_Consulta_desde_Reporte_de_Valorización_de_Instrumentos[[#This Row],[PORTAFOLIO]]="IN-FONDO1",Tabla_Consulta_desde_Reporte_de_Valorización_de_Instrumentos[[#This Row],[Inv MM$]],0)</f>
        <v>9.310910334681187E-2</v>
      </c>
      <c r="AG122" s="26">
        <f>IF(Tabla_Consulta_desde_Reporte_de_Valorización_de_Instrumentos[[#This Row],[PORTAFOLIO]]="IN-FONDO2",Tabla_Consulta_desde_Reporte_de_Valorización_de_Instrumentos[[#This Row],[Inv MM$]],0)</f>
        <v>0</v>
      </c>
      <c r="AH122" s="26">
        <f>IF(Tabla_Consulta_desde_Reporte_de_Valorización_de_Instrumentos[[#This Row],[PORTAFOLIO]]="IN-FONDO3",Tabla_Consulta_desde_Reporte_de_Valorización_de_Instrumentos[[#This Row],[Inv MM$]],0)</f>
        <v>0</v>
      </c>
      <c r="AI12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1.1568080258454878</v>
      </c>
      <c r="AJ122" s="26">
        <f>IFERROR(IFERROR(INDEX('BD(MSCI)'!$T:$T,MATCH(Tabla_Consulta_desde_Reporte_de_Valorización_de_Instrumentos[[#This Row],[CODIGO_ISIN]],'BD(MSCI)'!$C:$C,0),1),INDEX('BD(MSCI)'!$T:$T,MATCH(Tabla_Consulta_desde_Reporte_de_Valorización_de_Instrumentos[[#This Row],[CODIGO_SBS]],'BD(MSCI)'!$C:$C,0),1)),0)</f>
        <v>295.20288226000002</v>
      </c>
      <c r="AK122" s="26">
        <f>Tabla_Consulta_desde_Reporte_de_Valorización_de_Instrumentos[[#This Row],[C02-H]]*Tabla_Consulta_desde_Reporte_de_Valorización_de_Instrumentos[[#This Row],[Inv MM$]]</f>
        <v>27.486075672623077</v>
      </c>
      <c r="AL122" s="26">
        <f>Tabla_Consulta_desde_Reporte_de_Valorización_de_Instrumentos[[#This Row],[C02-H]]*Tabla_Consulta_desde_Reporte_de_Valorización_de_Instrumentos[[#This Row],[Weight]]</f>
        <v>1.2029145259293718E-2</v>
      </c>
      <c r="AM122" s="26" t="str">
        <f>INDEX(Parametria!G:G,MATCH(Tabla_Consulta_desde_Reporte_de_Valorización_de_Instrumentos[[#This Row],[CODIGO_SBS]],Parametria!C:C,0))</f>
        <v>27RFLC</v>
      </c>
      <c r="AN122" s="26" t="str">
        <f>INDEX(Parametria!F:F,MATCH(Tabla_Consulta_desde_Reporte_de_Valorización_de_Instrumentos[[#This Row],[CODIGO_SBS]],Parametria!C:C,0))</f>
        <v>BU</v>
      </c>
      <c r="AO122" s="26" t="str">
        <f>+INDEX(Parametria!J:J,MATCH(Tabla_Consulta_desde_Reporte_de_Valorización_de_Instrumentos[[#This Row],[CODIGO_SBS]],Parametria!C:C,0))</f>
        <v>RFLBU</v>
      </c>
      <c r="AP122" s="26">
        <f>Tabla_Consulta_desde_Reporte_de_Valorización_de_Instrumentos[[#This Row],[Huella]]/$AU$4</f>
        <v>2.5480904562147706E-3</v>
      </c>
      <c r="AQ122" s="26" t="str">
        <f>IFERROR(INDEX('BD(MSCI)'!W:W,MATCH(Tabla_Consulta_desde_Reporte_de_Valorización_de_Instrumentos[[#This Row],[CODIGO_ISIN]],'BD(MSCI)'!C:C,0)),IF(Tabla_Consulta_desde_Reporte_de_Valorización_de_Instrumentos[[#This Row],[Rank_rt]]="Cash","Cash","Cuestionario Integra"))</f>
        <v>Proxies</v>
      </c>
      <c r="AR122" s="26" t="str">
        <f>IFERROR(INDEX('BD(MSCI)'!X:X,MATCH(Tabla_Consulta_desde_Reporte_de_Valorización_de_Instrumentos[[#This Row],[CODIGO_ISIN]],'BD(MSCI)'!C:C,0)),"Cuestionario Integra")</f>
        <v>BU</v>
      </c>
      <c r="AU122" s="26"/>
    </row>
    <row r="123" spans="2:47" hidden="1" x14ac:dyDescent="0.25">
      <c r="B123" s="14" t="s">
        <v>6390</v>
      </c>
      <c r="C123" t="s">
        <v>379</v>
      </c>
      <c r="D123" t="s">
        <v>10</v>
      </c>
      <c r="E123" t="s">
        <v>380</v>
      </c>
      <c r="F123" t="s">
        <v>393</v>
      </c>
      <c r="G123" t="str">
        <f>INDEX(Parametria!H:H,MATCH(Tabla_Consulta_desde_Reporte_de_Valorización_de_Instrumentos[[#This Row],[CODIGO_SBS]],Parametria!C:C,0),1)</f>
        <v>Huascacocha Finance Limited</v>
      </c>
      <c r="H123" t="s">
        <v>394</v>
      </c>
      <c r="I123" t="s">
        <v>395</v>
      </c>
      <c r="J123" t="s">
        <v>396</v>
      </c>
      <c r="K123" t="s">
        <v>121</v>
      </c>
      <c r="L123">
        <v>1000</v>
      </c>
      <c r="M123" s="5">
        <v>3574985.7086258</v>
      </c>
      <c r="N123">
        <v>3574985.7086258</v>
      </c>
      <c r="O123">
        <v>15754</v>
      </c>
      <c r="P123" s="15">
        <v>46844</v>
      </c>
      <c r="Q123">
        <v>822</v>
      </c>
      <c r="R123">
        <v>1</v>
      </c>
      <c r="S123" t="s">
        <v>155</v>
      </c>
      <c r="T123">
        <v>3573467.4294790002</v>
      </c>
      <c r="U123" s="5">
        <v>3573467.4294790002</v>
      </c>
      <c r="V123" t="s">
        <v>156</v>
      </c>
      <c r="W123">
        <v>0</v>
      </c>
      <c r="X123">
        <v>0</v>
      </c>
      <c r="Y123">
        <v>0</v>
      </c>
      <c r="Z123">
        <v>9.6374199999999993E-2</v>
      </c>
      <c r="AA123" t="str">
        <f>+MID(Tabla_Consulta_desde_Reporte_de_Valorización_de_Instrumentos[[#This Row],[CODIGO_SBS]],7,1)</f>
        <v>3</v>
      </c>
      <c r="AB123">
        <f>INDEX('Cálculo Caja'!F:F,MATCH(Tabla_Consulta_desde_Reporte_de_Valorización_de_Instrumentos[[#This Row],[PORTAFOLIO]],'Cálculo Caja'!A:A,0),1)</f>
        <v>26256910350.436607</v>
      </c>
      <c r="AC123" s="17">
        <f>Tabla_Consulta_desde_Reporte_de_Valorización_de_Instrumentos[[#This Row],[VALOR_VECTOR_LOCAL]]/Tabla_Consulta_desde_Reporte_de_Valorización_de_Instrumentos[[#This Row],[Patrimonio]]</f>
        <v>1.3615408899647456E-4</v>
      </c>
      <c r="AD123" s="4">
        <f>(Tabla_Consulta_desde_Reporte_de_Valorización_de_Instrumentos[[#This Row],[VALOR_VECTOR_LOCAL]]/INDEX('Tipo de Cambio'!$D:$D,MATCH("2",'Tipo de Cambio'!$E:$E,0),1))/1000000</f>
        <v>1.0636989224986759</v>
      </c>
      <c r="AE123">
        <f>IF(Tabla_Consulta_desde_Reporte_de_Valorización_de_Instrumentos[[#This Row],[PORTAFOLIO]]="IN-FONDO0",Tabla_Consulta_desde_Reporte_de_Valorización_de_Instrumentos[[#This Row],[Inv MM$]],0)</f>
        <v>0</v>
      </c>
      <c r="AF123" s="26">
        <f>IF(Tabla_Consulta_desde_Reporte_de_Valorización_de_Instrumentos[[#This Row],[PORTAFOLIO]]="IN-FONDO1",Tabla_Consulta_desde_Reporte_de_Valorización_de_Instrumentos[[#This Row],[Inv MM$]],0)</f>
        <v>0</v>
      </c>
      <c r="AG123" s="26">
        <f>IF(Tabla_Consulta_desde_Reporte_de_Valorización_de_Instrumentos[[#This Row],[PORTAFOLIO]]="IN-FONDO2",Tabla_Consulta_desde_Reporte_de_Valorización_de_Instrumentos[[#This Row],[Inv MM$]],0)</f>
        <v>1.0636989224986759</v>
      </c>
      <c r="AH123" s="26">
        <f>IF(Tabla_Consulta_desde_Reporte_de_Valorización_de_Instrumentos[[#This Row],[PORTAFOLIO]]="IN-FONDO3",Tabla_Consulta_desde_Reporte_de_Valorización_de_Instrumentos[[#This Row],[Inv MM$]],0)</f>
        <v>0</v>
      </c>
      <c r="AI12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1.1568080258454878</v>
      </c>
      <c r="AJ123" s="26">
        <f>IFERROR(IFERROR(INDEX('BD(MSCI)'!$T:$T,MATCH(Tabla_Consulta_desde_Reporte_de_Valorización_de_Instrumentos[[#This Row],[CODIGO_ISIN]],'BD(MSCI)'!$C:$C,0),1),INDEX('BD(MSCI)'!$T:$T,MATCH(Tabla_Consulta_desde_Reporte_de_Valorización_de_Instrumentos[[#This Row],[CODIGO_SBS]],'BD(MSCI)'!$C:$C,0),1)),0)</f>
        <v>295.20288226000002</v>
      </c>
      <c r="AK123" s="26">
        <f>Tabla_Consulta_desde_Reporte_de_Valorización_de_Instrumentos[[#This Row],[C02-H]]*Tabla_Consulta_desde_Reporte_de_Valorización_de_Instrumentos[[#This Row],[Inv MM$]]</f>
        <v>314.00698777846554</v>
      </c>
      <c r="AL123" s="26">
        <f>Tabla_Consulta_desde_Reporte_de_Valorización_de_Instrumentos[[#This Row],[C02-H]]*Tabla_Consulta_desde_Reporte_de_Valorización_de_Instrumentos[[#This Row],[Weight]]</f>
        <v>4.0193079503243842E-2</v>
      </c>
      <c r="AM123" s="26" t="str">
        <f>INDEX(Parametria!G:G,MATCH(Tabla_Consulta_desde_Reporte_de_Valorización_de_Instrumentos[[#This Row],[CODIGO_SBS]],Parametria!C:C,0))</f>
        <v>27RFLC</v>
      </c>
      <c r="AN123" s="26" t="str">
        <f>INDEX(Parametria!F:F,MATCH(Tabla_Consulta_desde_Reporte_de_Valorización_de_Instrumentos[[#This Row],[CODIGO_SBS]],Parametria!C:C,0))</f>
        <v>BU</v>
      </c>
      <c r="AO123" s="26" t="str">
        <f>+INDEX(Parametria!J:J,MATCH(Tabla_Consulta_desde_Reporte_de_Valorización_de_Instrumentos[[#This Row],[CODIGO_SBS]],Parametria!C:C,0))</f>
        <v>RFLBU</v>
      </c>
      <c r="AP123" s="26">
        <f>Tabla_Consulta_desde_Reporte_de_Valorización_de_Instrumentos[[#This Row],[Huella]]/$AU$4</f>
        <v>2.9109947097322331E-2</v>
      </c>
      <c r="AQ123" s="26" t="str">
        <f>IFERROR(INDEX('BD(MSCI)'!W:W,MATCH(Tabla_Consulta_desde_Reporte_de_Valorización_de_Instrumentos[[#This Row],[CODIGO_ISIN]],'BD(MSCI)'!C:C,0)),IF(Tabla_Consulta_desde_Reporte_de_Valorización_de_Instrumentos[[#This Row],[Rank_rt]]="Cash","Cash","Cuestionario Integra"))</f>
        <v>Proxies</v>
      </c>
      <c r="AR123" s="26" t="str">
        <f>IFERROR(INDEX('BD(MSCI)'!X:X,MATCH(Tabla_Consulta_desde_Reporte_de_Valorización_de_Instrumentos[[#This Row],[CODIGO_ISIN]],'BD(MSCI)'!C:C,0)),"Cuestionario Integra")</f>
        <v>BU</v>
      </c>
      <c r="AU123" s="26"/>
    </row>
    <row r="124" spans="2:47" hidden="1" x14ac:dyDescent="0.25">
      <c r="B124" s="14" t="s">
        <v>6390</v>
      </c>
      <c r="C124" t="s">
        <v>379</v>
      </c>
      <c r="D124" t="s">
        <v>10</v>
      </c>
      <c r="E124" t="s">
        <v>380</v>
      </c>
      <c r="F124" t="s">
        <v>397</v>
      </c>
      <c r="G124" t="str">
        <f>INDEX(Parametria!H:H,MATCH(Tabla_Consulta_desde_Reporte_de_Valorización_de_Instrumentos[[#This Row],[CODIGO_SBS]],Parametria!C:C,0),1)</f>
        <v>Huascacocha Finance Limited</v>
      </c>
      <c r="H124" t="s">
        <v>398</v>
      </c>
      <c r="I124" t="s">
        <v>399</v>
      </c>
      <c r="J124" t="s">
        <v>396</v>
      </c>
      <c r="K124" t="s">
        <v>121</v>
      </c>
      <c r="L124">
        <v>1000</v>
      </c>
      <c r="M124" s="5">
        <v>5524662.5953823999</v>
      </c>
      <c r="N124">
        <v>5524662.5953823999</v>
      </c>
      <c r="O124">
        <v>24352</v>
      </c>
      <c r="P124" s="15">
        <v>46844</v>
      </c>
      <c r="Q124">
        <v>822</v>
      </c>
      <c r="R124">
        <v>1</v>
      </c>
      <c r="S124" t="s">
        <v>155</v>
      </c>
      <c r="T124">
        <v>5522311.1565215997</v>
      </c>
      <c r="U124" s="5">
        <v>5522311.1565215997</v>
      </c>
      <c r="V124" t="s">
        <v>156</v>
      </c>
      <c r="W124">
        <v>0</v>
      </c>
      <c r="X124">
        <v>0</v>
      </c>
      <c r="Y124">
        <v>0</v>
      </c>
      <c r="Z124">
        <v>9.6560400000000005E-2</v>
      </c>
      <c r="AA124" t="str">
        <f>+MID(Tabla_Consulta_desde_Reporte_de_Valorización_de_Instrumentos[[#This Row],[CODIGO_SBS]],7,1)</f>
        <v>3</v>
      </c>
      <c r="AB124">
        <f>INDEX('Cálculo Caja'!F:F,MATCH(Tabla_Consulta_desde_Reporte_de_Valorización_de_Instrumentos[[#This Row],[PORTAFOLIO]],'Cálculo Caja'!A:A,0),1)</f>
        <v>26256910350.436607</v>
      </c>
      <c r="AC124" s="17">
        <f>Tabla_Consulta_desde_Reporte_de_Valorización_de_Instrumentos[[#This Row],[VALOR_VECTOR_LOCAL]]/Tabla_Consulta_desde_Reporte_de_Valorización_de_Instrumentos[[#This Row],[Patrimonio]]</f>
        <v>2.104079467708787E-4</v>
      </c>
      <c r="AD124" s="4">
        <f>(Tabla_Consulta_desde_Reporte_de_Valorización_de_Instrumentos[[#This Row],[VALOR_VECTOR_LOCAL]]/INDEX('Tipo de Cambio'!$D:$D,MATCH("2",'Tipo de Cambio'!$E:$E,0),1))/1000000</f>
        <v>1.6438045152734089</v>
      </c>
      <c r="AE124">
        <f>IF(Tabla_Consulta_desde_Reporte_de_Valorización_de_Instrumentos[[#This Row],[PORTAFOLIO]]="IN-FONDO0",Tabla_Consulta_desde_Reporte_de_Valorización_de_Instrumentos[[#This Row],[Inv MM$]],0)</f>
        <v>0</v>
      </c>
      <c r="AF124" s="26">
        <f>IF(Tabla_Consulta_desde_Reporte_de_Valorización_de_Instrumentos[[#This Row],[PORTAFOLIO]]="IN-FONDO1",Tabla_Consulta_desde_Reporte_de_Valorización_de_Instrumentos[[#This Row],[Inv MM$]],0)</f>
        <v>0</v>
      </c>
      <c r="AG124" s="26">
        <f>IF(Tabla_Consulta_desde_Reporte_de_Valorización_de_Instrumentos[[#This Row],[PORTAFOLIO]]="IN-FONDO2",Tabla_Consulta_desde_Reporte_de_Valorización_de_Instrumentos[[#This Row],[Inv MM$]],0)</f>
        <v>1.6438045152734089</v>
      </c>
      <c r="AH124" s="26">
        <f>IF(Tabla_Consulta_desde_Reporte_de_Valorización_de_Instrumentos[[#This Row],[PORTAFOLIO]]="IN-FONDO3",Tabla_Consulta_desde_Reporte_de_Valorización_de_Instrumentos[[#This Row],[Inv MM$]],0)</f>
        <v>0</v>
      </c>
      <c r="AI12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1.7876509107254306</v>
      </c>
      <c r="AJ124" s="26">
        <f>IFERROR(IFERROR(INDEX('BD(MSCI)'!$T:$T,MATCH(Tabla_Consulta_desde_Reporte_de_Valorización_de_Instrumentos[[#This Row],[CODIGO_ISIN]],'BD(MSCI)'!$C:$C,0),1),INDEX('BD(MSCI)'!$T:$T,MATCH(Tabla_Consulta_desde_Reporte_de_Valorización_de_Instrumentos[[#This Row],[CODIGO_SBS]],'BD(MSCI)'!$C:$C,0),1)),0)</f>
        <v>295.20288226000002</v>
      </c>
      <c r="AK124" s="26">
        <f>Tabla_Consulta_desde_Reporte_de_Valorización_de_Instrumentos[[#This Row],[C02-H]]*Tabla_Consulta_desde_Reporte_de_Valorización_de_Instrumentos[[#This Row],[Inv MM$]]</f>
        <v>485.25583078071253</v>
      </c>
      <c r="AL124" s="26">
        <f>Tabla_Consulta_desde_Reporte_de_Valorización_de_Instrumentos[[#This Row],[C02-H]]*Tabla_Consulta_desde_Reporte_de_Valorización_de_Instrumentos[[#This Row],[Weight]]</f>
        <v>6.211303233717206E-2</v>
      </c>
      <c r="AM124" s="26" t="str">
        <f>INDEX(Parametria!G:G,MATCH(Tabla_Consulta_desde_Reporte_de_Valorización_de_Instrumentos[[#This Row],[CODIGO_SBS]],Parametria!C:C,0))</f>
        <v>27RFLC</v>
      </c>
      <c r="AN124" s="26" t="str">
        <f>INDEX(Parametria!F:F,MATCH(Tabla_Consulta_desde_Reporte_de_Valorización_de_Instrumentos[[#This Row],[CODIGO_SBS]],Parametria!C:C,0))</f>
        <v>BU</v>
      </c>
      <c r="AO124" s="26" t="str">
        <f>+INDEX(Parametria!J:J,MATCH(Tabla_Consulta_desde_Reporte_de_Valorización_de_Instrumentos[[#This Row],[CODIGO_SBS]],Parametria!C:C,0))</f>
        <v>RFLBU</v>
      </c>
      <c r="AP124" s="26">
        <f>Tabla_Consulta_desde_Reporte_de_Valorización_de_Instrumentos[[#This Row],[Huella]]/$AU$4</f>
        <v>4.4985532527892613E-2</v>
      </c>
      <c r="AQ124" s="26" t="str">
        <f>IFERROR(INDEX('BD(MSCI)'!W:W,MATCH(Tabla_Consulta_desde_Reporte_de_Valorización_de_Instrumentos[[#This Row],[CODIGO_ISIN]],'BD(MSCI)'!C:C,0)),IF(Tabla_Consulta_desde_Reporte_de_Valorización_de_Instrumentos[[#This Row],[Rank_rt]]="Cash","Cash","Cuestionario Integra"))</f>
        <v>Proxies</v>
      </c>
      <c r="AR124" s="26" t="str">
        <f>IFERROR(INDEX('BD(MSCI)'!X:X,MATCH(Tabla_Consulta_desde_Reporte_de_Valorización_de_Instrumentos[[#This Row],[CODIGO_ISIN]],'BD(MSCI)'!C:C,0)),"Cuestionario Integra")</f>
        <v>BU</v>
      </c>
      <c r="AU124" s="26"/>
    </row>
    <row r="125" spans="2:47" hidden="1" x14ac:dyDescent="0.25">
      <c r="B125" s="14" t="s">
        <v>6390</v>
      </c>
      <c r="C125" t="s">
        <v>379</v>
      </c>
      <c r="D125" t="s">
        <v>10</v>
      </c>
      <c r="E125" t="s">
        <v>380</v>
      </c>
      <c r="F125" t="s">
        <v>402</v>
      </c>
      <c r="G125" t="str">
        <f>INDEX(Parametria!H:H,MATCH(Tabla_Consulta_desde_Reporte_de_Valorización_de_Instrumentos[[#This Row],[CODIGO_SBS]],Parametria!C:C,0),1)</f>
        <v>ADP</v>
      </c>
      <c r="H125" t="s">
        <v>403</v>
      </c>
      <c r="I125" t="s">
        <v>404</v>
      </c>
      <c r="J125" t="s">
        <v>405</v>
      </c>
      <c r="K125" t="s">
        <v>90</v>
      </c>
      <c r="L125">
        <v>100</v>
      </c>
      <c r="M125" s="5">
        <v>206963.99310170001</v>
      </c>
      <c r="N125">
        <v>206963.99310170001</v>
      </c>
      <c r="O125">
        <v>247109</v>
      </c>
      <c r="P125" s="15">
        <v>46153</v>
      </c>
      <c r="Q125">
        <v>131</v>
      </c>
      <c r="R125">
        <v>1</v>
      </c>
      <c r="S125" t="s">
        <v>155</v>
      </c>
      <c r="T125">
        <v>206965.74757559999</v>
      </c>
      <c r="U125" s="5">
        <v>206965.74757559999</v>
      </c>
      <c r="V125" t="s">
        <v>228</v>
      </c>
      <c r="W125">
        <v>0</v>
      </c>
      <c r="X125">
        <v>0</v>
      </c>
      <c r="Y125">
        <v>0</v>
      </c>
      <c r="Z125">
        <v>-7.0999999999999998E-6</v>
      </c>
      <c r="AA125" t="str">
        <f>+MID(Tabla_Consulta_desde_Reporte_de_Valorización_de_Instrumentos[[#This Row],[CODIGO_SBS]],7,1)</f>
        <v>1</v>
      </c>
      <c r="AB125">
        <f>INDEX('Cálculo Caja'!F:F,MATCH(Tabla_Consulta_desde_Reporte_de_Valorización_de_Instrumentos[[#This Row],[PORTAFOLIO]],'Cálculo Caja'!A:A,0),1)</f>
        <v>26256910350.436607</v>
      </c>
      <c r="AC125" s="17">
        <f>Tabla_Consulta_desde_Reporte_de_Valorización_de_Instrumentos[[#This Row],[VALOR_VECTOR_LOCAL]]/Tabla_Consulta_desde_Reporte_de_Valorización_de_Instrumentos[[#This Row],[Patrimonio]]</f>
        <v>7.8822675760196046E-6</v>
      </c>
      <c r="AD125" s="4">
        <f>(Tabla_Consulta_desde_Reporte_de_Valorización_de_Instrumentos[[#This Row],[VALOR_VECTOR_LOCAL]]/INDEX('Tipo de Cambio'!$D:$D,MATCH("2",'Tipo de Cambio'!$E:$E,0),1))/1000000</f>
        <v>6.1579931893748698E-2</v>
      </c>
      <c r="AE125">
        <f>IF(Tabla_Consulta_desde_Reporte_de_Valorización_de_Instrumentos[[#This Row],[PORTAFOLIO]]="IN-FONDO0",Tabla_Consulta_desde_Reporte_de_Valorización_de_Instrumentos[[#This Row],[Inv MM$]],0)</f>
        <v>0</v>
      </c>
      <c r="AF125" s="26">
        <f>IF(Tabla_Consulta_desde_Reporte_de_Valorización_de_Instrumentos[[#This Row],[PORTAFOLIO]]="IN-FONDO1",Tabla_Consulta_desde_Reporte_de_Valorización_de_Instrumentos[[#This Row],[Inv MM$]],0)</f>
        <v>0</v>
      </c>
      <c r="AG125" s="26">
        <f>IF(Tabla_Consulta_desde_Reporte_de_Valorización_de_Instrumentos[[#This Row],[PORTAFOLIO]]="IN-FONDO2",Tabla_Consulta_desde_Reporte_de_Valorización_de_Instrumentos[[#This Row],[Inv MM$]],0)</f>
        <v>6.1579931893748698E-2</v>
      </c>
      <c r="AH125" s="26">
        <f>IF(Tabla_Consulta_desde_Reporte_de_Valorización_de_Instrumentos[[#This Row],[PORTAFOLIO]]="IN-FONDO3",Tabla_Consulta_desde_Reporte_de_Valorización_de_Instrumentos[[#This Row],[Inv MM$]],0)</f>
        <v>0</v>
      </c>
      <c r="AI12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6.1579931893748698E-2</v>
      </c>
      <c r="AJ125" s="26">
        <f>IFERROR(IFERROR(INDEX('BD(MSCI)'!$T:$T,MATCH(Tabla_Consulta_desde_Reporte_de_Valorización_de_Instrumentos[[#This Row],[CODIGO_ISIN]],'BD(MSCI)'!$C:$C,0),1),INDEX('BD(MSCI)'!$T:$T,MATCH(Tabla_Consulta_desde_Reporte_de_Valorización_de_Instrumentos[[#This Row],[CODIGO_SBS]],'BD(MSCI)'!$C:$C,0),1)),0)</f>
        <v>33.06438043</v>
      </c>
      <c r="AK125" s="26">
        <f>Tabla_Consulta_desde_Reporte_de_Valorización_de_Instrumentos[[#This Row],[C02-H]]*Tabla_Consulta_desde_Reporte_de_Valorización_de_Instrumentos[[#This Row],[Inv MM$]]</f>
        <v>2.0361022949883973</v>
      </c>
      <c r="AL125" s="26">
        <f>Tabla_Consulta_desde_Reporte_de_Valorización_de_Instrumentos[[#This Row],[C02-H]]*Tabla_Consulta_desde_Reporte_de_Valorización_de_Instrumentos[[#This Row],[Weight]]</f>
        <v>2.6062229378456613E-4</v>
      </c>
      <c r="AM125" s="26" t="str">
        <f>INDEX(Parametria!G:G,MATCH(Tabla_Consulta_desde_Reporte_de_Valorización_de_Instrumentos[[#This Row],[CODIGO_SBS]],Parametria!C:C,0))</f>
        <v>27RFLC</v>
      </c>
      <c r="AN125" s="26" t="str">
        <f>INDEX(Parametria!F:F,MATCH(Tabla_Consulta_desde_Reporte_de_Valorización_de_Instrumentos[[#This Row],[CODIGO_SBS]],Parametria!C:C,0))</f>
        <v>BU</v>
      </c>
      <c r="AO125" s="26" t="str">
        <f>+INDEX(Parametria!J:J,MATCH(Tabla_Consulta_desde_Reporte_de_Valorización_de_Instrumentos[[#This Row],[CODIGO_SBS]],Parametria!C:C,0))</f>
        <v>RFLBU</v>
      </c>
      <c r="AP125" s="26">
        <f>Tabla_Consulta_desde_Reporte_de_Valorización_de_Instrumentos[[#This Row],[Huella]]/$AU$4</f>
        <v>1.8875640478951662E-4</v>
      </c>
      <c r="AQ125" s="26" t="str">
        <f>IFERROR(INDEX('BD(MSCI)'!W:W,MATCH(Tabla_Consulta_desde_Reporte_de_Valorización_de_Instrumentos[[#This Row],[CODIGO_ISIN]],'BD(MSCI)'!C:C,0)),IF(Tabla_Consulta_desde_Reporte_de_Valorización_de_Instrumentos[[#This Row],[Rank_rt]]="Cash","Cash","Cuestionario Integra"))</f>
        <v>Proxies</v>
      </c>
      <c r="AR125" s="26" t="str">
        <f>IFERROR(INDEX('BD(MSCI)'!X:X,MATCH(Tabla_Consulta_desde_Reporte_de_Valorización_de_Instrumentos[[#This Row],[CODIGO_ISIN]],'BD(MSCI)'!C:C,0)),"Cuestionario Integra")</f>
        <v>BU</v>
      </c>
      <c r="AU125" s="26"/>
    </row>
    <row r="126" spans="2:47" hidden="1" x14ac:dyDescent="0.25">
      <c r="B126" s="14" t="s">
        <v>6390</v>
      </c>
      <c r="C126" t="s">
        <v>379</v>
      </c>
      <c r="D126" t="s">
        <v>10</v>
      </c>
      <c r="E126" t="s">
        <v>380</v>
      </c>
      <c r="F126" t="s">
        <v>415</v>
      </c>
      <c r="G126" t="str">
        <f>INDEX(Parametria!H:H,MATCH(Tabla_Consulta_desde_Reporte_de_Valorización_de_Instrumentos[[#This Row],[CODIGO_SBS]],Parametria!C:C,0),1)</f>
        <v>Internacional de Titulos Soc. Titulizadora</v>
      </c>
      <c r="H126" t="s">
        <v>416</v>
      </c>
      <c r="I126" t="s">
        <v>417</v>
      </c>
      <c r="J126" t="s">
        <v>411</v>
      </c>
      <c r="K126" t="s">
        <v>90</v>
      </c>
      <c r="L126">
        <v>1000</v>
      </c>
      <c r="M126" s="5">
        <v>43825878.975749999</v>
      </c>
      <c r="N126">
        <v>43825878.975749999</v>
      </c>
      <c r="O126">
        <v>47500</v>
      </c>
      <c r="P126" s="15">
        <v>49197</v>
      </c>
      <c r="Q126">
        <v>3175</v>
      </c>
      <c r="R126">
        <v>1</v>
      </c>
      <c r="S126" t="s">
        <v>155</v>
      </c>
      <c r="T126">
        <v>43788986.52375</v>
      </c>
      <c r="U126" s="5">
        <v>43788986.52375</v>
      </c>
      <c r="V126" t="s">
        <v>227</v>
      </c>
      <c r="W126">
        <v>0</v>
      </c>
      <c r="X126">
        <v>0</v>
      </c>
      <c r="Y126">
        <v>0</v>
      </c>
      <c r="Z126">
        <v>0.77668320000000002</v>
      </c>
      <c r="AA126" t="str">
        <f>+MID(Tabla_Consulta_desde_Reporte_de_Valorización_de_Instrumentos[[#This Row],[CODIGO_SBS]],7,1)</f>
        <v>1</v>
      </c>
      <c r="AB126">
        <f>INDEX('Cálculo Caja'!F:F,MATCH(Tabla_Consulta_desde_Reporte_de_Valorización_de_Instrumentos[[#This Row],[PORTAFOLIO]],'Cálculo Caja'!A:A,0),1)</f>
        <v>26256910350.436607</v>
      </c>
      <c r="AC126" s="17">
        <f>Tabla_Consulta_desde_Reporte_de_Valorización_de_Instrumentos[[#This Row],[VALOR_VECTOR_LOCAL]]/Tabla_Consulta_desde_Reporte_de_Valorización_de_Instrumentos[[#This Row],[Patrimonio]]</f>
        <v>1.6691178966157857E-3</v>
      </c>
      <c r="AD126" s="4">
        <f>(Tabla_Consulta_desde_Reporte_de_Valorización_de_Instrumentos[[#This Row],[VALOR_VECTOR_LOCAL]]/INDEX('Tipo de Cambio'!$D:$D,MATCH("2",'Tipo de Cambio'!$E:$E,0),1))/1000000</f>
        <v>13.03992352517183</v>
      </c>
      <c r="AE126">
        <f>IF(Tabla_Consulta_desde_Reporte_de_Valorización_de_Instrumentos[[#This Row],[PORTAFOLIO]]="IN-FONDO0",Tabla_Consulta_desde_Reporte_de_Valorización_de_Instrumentos[[#This Row],[Inv MM$]],0)</f>
        <v>0</v>
      </c>
      <c r="AF126" s="26">
        <f>IF(Tabla_Consulta_desde_Reporte_de_Valorización_de_Instrumentos[[#This Row],[PORTAFOLIO]]="IN-FONDO1",Tabla_Consulta_desde_Reporte_de_Valorización_de_Instrumentos[[#This Row],[Inv MM$]],0)</f>
        <v>0</v>
      </c>
      <c r="AG126" s="26">
        <f>IF(Tabla_Consulta_desde_Reporte_de_Valorización_de_Instrumentos[[#This Row],[PORTAFOLIO]]="IN-FONDO2",Tabla_Consulta_desde_Reporte_de_Valorización_de_Instrumentos[[#This Row],[Inv MM$]],0)</f>
        <v>13.03992352517183</v>
      </c>
      <c r="AH126" s="26">
        <f>IF(Tabla_Consulta_desde_Reporte_de_Valorización_de_Instrumentos[[#This Row],[PORTAFOLIO]]="IN-FONDO3",Tabla_Consulta_desde_Reporte_de_Valorización_de_Instrumentos[[#This Row],[Inv MM$]],0)</f>
        <v>0</v>
      </c>
      <c r="AI12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29.374143519860752</v>
      </c>
      <c r="AJ126" s="26">
        <f>IFERROR(IFERROR(INDEX('BD(MSCI)'!$T:$T,MATCH(Tabla_Consulta_desde_Reporte_de_Valorización_de_Instrumentos[[#This Row],[CODIGO_ISIN]],'BD(MSCI)'!$C:$C,0),1),INDEX('BD(MSCI)'!$T:$T,MATCH(Tabla_Consulta_desde_Reporte_de_Valorización_de_Instrumentos[[#This Row],[CODIGO_SBS]],'BD(MSCI)'!$C:$C,0),1)),0)</f>
        <v>12.22765594</v>
      </c>
      <c r="AK126" s="26">
        <f>Tabla_Consulta_desde_Reporte_de_Valorización_de_Instrumentos[[#This Row],[C02-H]]*Tabla_Consulta_desde_Reporte_de_Valorización_de_Instrumentos[[#This Row],[Inv MM$]]</f>
        <v>159.44769834971305</v>
      </c>
      <c r="AL126" s="26">
        <f>Tabla_Consulta_desde_Reporte_de_Valorización_de_Instrumentos[[#This Row],[C02-H]]*Tabla_Consulta_desde_Reporte_de_Valorización_de_Instrumentos[[#This Row],[Weight]]</f>
        <v>2.0409399363114318E-2</v>
      </c>
      <c r="AM126" s="26" t="str">
        <f>INDEX(Parametria!G:G,MATCH(Tabla_Consulta_desde_Reporte_de_Valorización_de_Instrumentos[[#This Row],[CODIGO_SBS]],Parametria!C:C,0))</f>
        <v>27RFLC</v>
      </c>
      <c r="AN126" s="26" t="str">
        <f>INDEX(Parametria!F:F,MATCH(Tabla_Consulta_desde_Reporte_de_Valorización_de_Instrumentos[[#This Row],[CODIGO_SBS]],Parametria!C:C,0))</f>
        <v>BU</v>
      </c>
      <c r="AO126" s="26" t="str">
        <f>+INDEX(Parametria!J:J,MATCH(Tabla_Consulta_desde_Reporte_de_Valorización_de_Instrumentos[[#This Row],[CODIGO_SBS]],Parametria!C:C,0))</f>
        <v>RFLBU</v>
      </c>
      <c r="AP126" s="26">
        <f>Tabla_Consulta_desde_Reporte_de_Valorización_de_Instrumentos[[#This Row],[Huella]]/$AU$4</f>
        <v>1.4781562972810598E-2</v>
      </c>
      <c r="AQ126" s="26" t="str">
        <f>IFERROR(INDEX('BD(MSCI)'!W:W,MATCH(Tabla_Consulta_desde_Reporte_de_Valorización_de_Instrumentos[[#This Row],[CODIGO_ISIN]],'BD(MSCI)'!C:C,0)),IF(Tabla_Consulta_desde_Reporte_de_Valorización_de_Instrumentos[[#This Row],[Rank_rt]]="Cash","Cash","Cuestionario Integra"))</f>
        <v>Proxies</v>
      </c>
      <c r="AR126" s="26" t="str">
        <f>IFERROR(INDEX('BD(MSCI)'!X:X,MATCH(Tabla_Consulta_desde_Reporte_de_Valorización_de_Instrumentos[[#This Row],[CODIGO_ISIN]],'BD(MSCI)'!C:C,0)),"Cuestionario Integra")</f>
        <v>BU</v>
      </c>
      <c r="AU126" s="26"/>
    </row>
    <row r="127" spans="2:47" hidden="1" x14ac:dyDescent="0.25">
      <c r="B127" s="14" t="s">
        <v>6390</v>
      </c>
      <c r="C127" t="s">
        <v>379</v>
      </c>
      <c r="D127" t="s">
        <v>12</v>
      </c>
      <c r="E127" t="s">
        <v>380</v>
      </c>
      <c r="F127" t="s">
        <v>408</v>
      </c>
      <c r="G127" t="str">
        <f>INDEX(Parametria!H:H,MATCH(Tabla_Consulta_desde_Reporte_de_Valorización_de_Instrumentos[[#This Row],[CODIGO_SBS]],Parametria!C:C,0),1)</f>
        <v>Internacional de Titulos Soc. Titulizadora</v>
      </c>
      <c r="H127" t="s">
        <v>409</v>
      </c>
      <c r="I127" t="s">
        <v>410</v>
      </c>
      <c r="J127" t="s">
        <v>411</v>
      </c>
      <c r="K127" t="s">
        <v>90</v>
      </c>
      <c r="L127">
        <v>1000</v>
      </c>
      <c r="M127" s="5">
        <v>18413306.34</v>
      </c>
      <c r="N127">
        <v>18413306.34</v>
      </c>
      <c r="O127">
        <v>18750</v>
      </c>
      <c r="P127" s="15">
        <v>49534</v>
      </c>
      <c r="Q127">
        <v>3512</v>
      </c>
      <c r="R127">
        <v>1</v>
      </c>
      <c r="S127" t="s">
        <v>155</v>
      </c>
      <c r="T127">
        <v>18388096.563749999</v>
      </c>
      <c r="U127" s="5">
        <v>18388096.563749999</v>
      </c>
      <c r="V127" t="s">
        <v>227</v>
      </c>
      <c r="W127">
        <v>0</v>
      </c>
      <c r="X127">
        <v>0</v>
      </c>
      <c r="Y127">
        <v>0</v>
      </c>
      <c r="Z127">
        <v>1.3445214000000001</v>
      </c>
      <c r="AA127" t="str">
        <f>+MID(Tabla_Consulta_desde_Reporte_de_Valorización_de_Instrumentos[[#This Row],[CODIGO_SBS]],7,1)</f>
        <v>1</v>
      </c>
      <c r="AB127">
        <f>INDEX('Cálculo Caja'!F:F,MATCH(Tabla_Consulta_desde_Reporte_de_Valorización_de_Instrumentos[[#This Row],[PORTAFOLIO]],'Cálculo Caja'!A:A,0),1)</f>
        <v>7679510866.0565634</v>
      </c>
      <c r="AC127" s="17">
        <f>Tabla_Consulta_desde_Reporte_de_Valorización_de_Instrumentos[[#This Row],[VALOR_VECTOR_LOCAL]]/Tabla_Consulta_desde_Reporte_de_Valorización_de_Instrumentos[[#This Row],[Patrimonio]]</f>
        <v>2.3977186387464872E-3</v>
      </c>
      <c r="AD127" s="4">
        <f>(Tabla_Consulta_desde_Reporte_de_Valorización_de_Instrumentos[[#This Row],[VALOR_VECTOR_LOCAL]]/INDEX('Tipo de Cambio'!$D:$D,MATCH("2",'Tipo de Cambio'!$E:$E,0),1))/1000000</f>
        <v>5.4786831920021415</v>
      </c>
      <c r="AE127">
        <f>IF(Tabla_Consulta_desde_Reporte_de_Valorización_de_Instrumentos[[#This Row],[PORTAFOLIO]]="IN-FONDO0",Tabla_Consulta_desde_Reporte_de_Valorización_de_Instrumentos[[#This Row],[Inv MM$]],0)</f>
        <v>0</v>
      </c>
      <c r="AF127" s="26">
        <f>IF(Tabla_Consulta_desde_Reporte_de_Valorización_de_Instrumentos[[#This Row],[PORTAFOLIO]]="IN-FONDO1",Tabla_Consulta_desde_Reporte_de_Valorización_de_Instrumentos[[#This Row],[Inv MM$]],0)</f>
        <v>5.4786831920021415</v>
      </c>
      <c r="AG127" s="26">
        <f>IF(Tabla_Consulta_desde_Reporte_de_Valorización_de_Instrumentos[[#This Row],[PORTAFOLIO]]="IN-FONDO2",Tabla_Consulta_desde_Reporte_de_Valorización_de_Instrumentos[[#This Row],[Inv MM$]],0)</f>
        <v>0</v>
      </c>
      <c r="AH127" s="26">
        <f>IF(Tabla_Consulta_desde_Reporte_de_Valorización_de_Instrumentos[[#This Row],[PORTAFOLIO]]="IN-FONDO3",Tabla_Consulta_desde_Reporte_de_Valorización_de_Instrumentos[[#This Row],[Inv MM$]],0)</f>
        <v>0</v>
      </c>
      <c r="AI12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5.4786831920021415</v>
      </c>
      <c r="AJ127" s="26">
        <f>IFERROR(IFERROR(INDEX('BD(MSCI)'!$T:$T,MATCH(Tabla_Consulta_desde_Reporte_de_Valorización_de_Instrumentos[[#This Row],[CODIGO_ISIN]],'BD(MSCI)'!$C:$C,0),1),INDEX('BD(MSCI)'!$T:$T,MATCH(Tabla_Consulta_desde_Reporte_de_Valorización_de_Instrumentos[[#This Row],[CODIGO_SBS]],'BD(MSCI)'!$C:$C,0),1)),0)</f>
        <v>12.22765594</v>
      </c>
      <c r="AK127" s="26">
        <f>Tabla_Consulta_desde_Reporte_de_Valorización_de_Instrumentos[[#This Row],[C02-H]]*Tabla_Consulta_desde_Reporte_de_Valorización_de_Instrumentos[[#This Row],[Inv MM$]]</f>
        <v>66.991453076063152</v>
      </c>
      <c r="AL127" s="26">
        <f>Tabla_Consulta_desde_Reporte_de_Valorización_de_Instrumentos[[#This Row],[C02-H]]*Tabla_Consulta_desde_Reporte_de_Valorización_de_Instrumentos[[#This Row],[Weight]]</f>
        <v>2.9318478555517197E-2</v>
      </c>
      <c r="AM127" s="26" t="str">
        <f>INDEX(Parametria!G:G,MATCH(Tabla_Consulta_desde_Reporte_de_Valorización_de_Instrumentos[[#This Row],[CODIGO_SBS]],Parametria!C:C,0))</f>
        <v>27RFLC</v>
      </c>
      <c r="AN127" s="26" t="str">
        <f>INDEX(Parametria!F:F,MATCH(Tabla_Consulta_desde_Reporte_de_Valorización_de_Instrumentos[[#This Row],[CODIGO_SBS]],Parametria!C:C,0))</f>
        <v>BU</v>
      </c>
      <c r="AO127" s="26" t="str">
        <f>+INDEX(Parametria!J:J,MATCH(Tabla_Consulta_desde_Reporte_de_Valorización_de_Instrumentos[[#This Row],[CODIGO_SBS]],Parametria!C:C,0))</f>
        <v>RFLBU</v>
      </c>
      <c r="AP127" s="26">
        <f>Tabla_Consulta_desde_Reporte_de_Valorización_de_Instrumentos[[#This Row],[Huella]]/$AU$4</f>
        <v>6.2104275730092149E-3</v>
      </c>
      <c r="AQ127" s="26" t="str">
        <f>IFERROR(INDEX('BD(MSCI)'!W:W,MATCH(Tabla_Consulta_desde_Reporte_de_Valorización_de_Instrumentos[[#This Row],[CODIGO_ISIN]],'BD(MSCI)'!C:C,0)),IF(Tabla_Consulta_desde_Reporte_de_Valorización_de_Instrumentos[[#This Row],[Rank_rt]]="Cash","Cash","Cuestionario Integra"))</f>
        <v>Proxies</v>
      </c>
      <c r="AR127" s="26" t="str">
        <f>IFERROR(INDEX('BD(MSCI)'!X:X,MATCH(Tabla_Consulta_desde_Reporte_de_Valorización_de_Instrumentos[[#This Row],[CODIGO_ISIN]],'BD(MSCI)'!C:C,0)),"Cuestionario Integra")</f>
        <v>BU</v>
      </c>
      <c r="AU127" s="26"/>
    </row>
    <row r="128" spans="2:47" hidden="1" x14ac:dyDescent="0.25">
      <c r="B128" s="14" t="s">
        <v>6390</v>
      </c>
      <c r="C128" t="s">
        <v>379</v>
      </c>
      <c r="D128" t="s">
        <v>12</v>
      </c>
      <c r="E128" t="s">
        <v>380</v>
      </c>
      <c r="F128" t="s">
        <v>415</v>
      </c>
      <c r="G128" t="str">
        <f>INDEX(Parametria!H:H,MATCH(Tabla_Consulta_desde_Reporte_de_Valorización_de_Instrumentos[[#This Row],[CODIGO_SBS]],Parametria!C:C,0),1)</f>
        <v>Internacional de Titulos Soc. Titulizadora</v>
      </c>
      <c r="H128" t="s">
        <v>416</v>
      </c>
      <c r="I128" t="s">
        <v>417</v>
      </c>
      <c r="J128" t="s">
        <v>411</v>
      </c>
      <c r="K128" t="s">
        <v>90</v>
      </c>
      <c r="L128">
        <v>1000</v>
      </c>
      <c r="M128" s="5">
        <v>54897679.980149999</v>
      </c>
      <c r="N128">
        <v>54897679.980149999</v>
      </c>
      <c r="O128">
        <v>59500</v>
      </c>
      <c r="P128" s="15">
        <v>49197</v>
      </c>
      <c r="Q128">
        <v>3175</v>
      </c>
      <c r="R128">
        <v>1</v>
      </c>
      <c r="S128" t="s">
        <v>155</v>
      </c>
      <c r="T128">
        <v>54851467.329750001</v>
      </c>
      <c r="U128" s="5">
        <v>54851467.329750001</v>
      </c>
      <c r="V128" t="s">
        <v>227</v>
      </c>
      <c r="W128">
        <v>0</v>
      </c>
      <c r="X128">
        <v>0</v>
      </c>
      <c r="Y128">
        <v>0</v>
      </c>
      <c r="Z128">
        <v>0.77668320000000002</v>
      </c>
      <c r="AA128" t="str">
        <f>+MID(Tabla_Consulta_desde_Reporte_de_Valorización_de_Instrumentos[[#This Row],[CODIGO_SBS]],7,1)</f>
        <v>1</v>
      </c>
      <c r="AB128">
        <f>INDEX('Cálculo Caja'!F:F,MATCH(Tabla_Consulta_desde_Reporte_de_Valorización_de_Instrumentos[[#This Row],[PORTAFOLIO]],'Cálculo Caja'!A:A,0),1)</f>
        <v>7679510866.0565634</v>
      </c>
      <c r="AC128" s="17">
        <f>Tabla_Consulta_desde_Reporte_de_Valorización_de_Instrumentos[[#This Row],[VALOR_VECTOR_LOCAL]]/Tabla_Consulta_desde_Reporte_de_Valorización_de_Instrumentos[[#This Row],[Patrimonio]]</f>
        <v>7.1485907029310595E-3</v>
      </c>
      <c r="AD128" s="4">
        <f>(Tabla_Consulta_desde_Reporte_de_Valorización_de_Instrumentos[[#This Row],[VALOR_VECTOR_LOCAL]]/INDEX('Tipo de Cambio'!$D:$D,MATCH("2",'Tipo de Cambio'!$E:$E,0),1))/1000000</f>
        <v>16.334219994688922</v>
      </c>
      <c r="AE128">
        <f>IF(Tabla_Consulta_desde_Reporte_de_Valorización_de_Instrumentos[[#This Row],[PORTAFOLIO]]="IN-FONDO0",Tabla_Consulta_desde_Reporte_de_Valorización_de_Instrumentos[[#This Row],[Inv MM$]],0)</f>
        <v>0</v>
      </c>
      <c r="AF128" s="26">
        <f>IF(Tabla_Consulta_desde_Reporte_de_Valorización_de_Instrumentos[[#This Row],[PORTAFOLIO]]="IN-FONDO1",Tabla_Consulta_desde_Reporte_de_Valorización_de_Instrumentos[[#This Row],[Inv MM$]],0)</f>
        <v>16.334219994688922</v>
      </c>
      <c r="AG128" s="26">
        <f>IF(Tabla_Consulta_desde_Reporte_de_Valorización_de_Instrumentos[[#This Row],[PORTAFOLIO]]="IN-FONDO2",Tabla_Consulta_desde_Reporte_de_Valorización_de_Instrumentos[[#This Row],[Inv MM$]],0)</f>
        <v>0</v>
      </c>
      <c r="AH128" s="26">
        <f>IF(Tabla_Consulta_desde_Reporte_de_Valorización_de_Instrumentos[[#This Row],[PORTAFOLIO]]="IN-FONDO3",Tabla_Consulta_desde_Reporte_de_Valorización_de_Instrumentos[[#This Row],[Inv MM$]],0)</f>
        <v>0</v>
      </c>
      <c r="AI12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29.374143519860752</v>
      </c>
      <c r="AJ128" s="26">
        <f>IFERROR(IFERROR(INDEX('BD(MSCI)'!$T:$T,MATCH(Tabla_Consulta_desde_Reporte_de_Valorización_de_Instrumentos[[#This Row],[CODIGO_ISIN]],'BD(MSCI)'!$C:$C,0),1),INDEX('BD(MSCI)'!$T:$T,MATCH(Tabla_Consulta_desde_Reporte_de_Valorización_de_Instrumentos[[#This Row],[CODIGO_SBS]],'BD(MSCI)'!$C:$C,0),1)),0)</f>
        <v>12.22765594</v>
      </c>
      <c r="AK128" s="26">
        <f>Tabla_Consulta_desde_Reporte_de_Valorización_de_Instrumentos[[#This Row],[C02-H]]*Tabla_Consulta_desde_Reporte_de_Valorización_de_Instrumentos[[#This Row],[Inv MM$]]</f>
        <v>199.72922214332476</v>
      </c>
      <c r="AL128" s="26">
        <f>Tabla_Consulta_desde_Reporte_de_Valorización_de_Instrumentos[[#This Row],[C02-H]]*Tabla_Consulta_desde_Reporte_de_Valorización_de_Instrumentos[[#This Row],[Weight]]</f>
        <v>8.7410507571323751E-2</v>
      </c>
      <c r="AM128" s="26" t="str">
        <f>INDEX(Parametria!G:G,MATCH(Tabla_Consulta_desde_Reporte_de_Valorización_de_Instrumentos[[#This Row],[CODIGO_SBS]],Parametria!C:C,0))</f>
        <v>27RFLC</v>
      </c>
      <c r="AN128" s="26" t="str">
        <f>INDEX(Parametria!F:F,MATCH(Tabla_Consulta_desde_Reporte_de_Valorización_de_Instrumentos[[#This Row],[CODIGO_SBS]],Parametria!C:C,0))</f>
        <v>BU</v>
      </c>
      <c r="AO128" s="26" t="str">
        <f>+INDEX(Parametria!J:J,MATCH(Tabla_Consulta_desde_Reporte_de_Valorización_de_Instrumentos[[#This Row],[CODIGO_SBS]],Parametria!C:C,0))</f>
        <v>RFLBU</v>
      </c>
      <c r="AP128" s="26">
        <f>Tabla_Consulta_desde_Reporte_de_Valorización_de_Instrumentos[[#This Row],[Huella]]/$AU$4</f>
        <v>1.8515852565941696E-2</v>
      </c>
      <c r="AQ128" s="26" t="str">
        <f>IFERROR(INDEX('BD(MSCI)'!W:W,MATCH(Tabla_Consulta_desde_Reporte_de_Valorización_de_Instrumentos[[#This Row],[CODIGO_ISIN]],'BD(MSCI)'!C:C,0)),IF(Tabla_Consulta_desde_Reporte_de_Valorización_de_Instrumentos[[#This Row],[Rank_rt]]="Cash","Cash","Cuestionario Integra"))</f>
        <v>Proxies</v>
      </c>
      <c r="AR128" s="26" t="str">
        <f>IFERROR(INDEX('BD(MSCI)'!X:X,MATCH(Tabla_Consulta_desde_Reporte_de_Valorización_de_Instrumentos[[#This Row],[CODIGO_ISIN]],'BD(MSCI)'!C:C,0)),"Cuestionario Integra")</f>
        <v>BU</v>
      </c>
      <c r="AU128" s="26"/>
    </row>
    <row r="129" spans="2:47" hidden="1" x14ac:dyDescent="0.25">
      <c r="B129" s="14" t="s">
        <v>6390</v>
      </c>
      <c r="C129" t="s">
        <v>379</v>
      </c>
      <c r="D129" t="s">
        <v>12</v>
      </c>
      <c r="E129" t="s">
        <v>380</v>
      </c>
      <c r="F129" t="s">
        <v>412</v>
      </c>
      <c r="G129" t="str">
        <f>INDEX(Parametria!H:H,MATCH(Tabla_Consulta_desde_Reporte_de_Valorización_de_Instrumentos[[#This Row],[CODIGO_SBS]],Parametria!C:C,0),1)</f>
        <v>Colegios Peruanos - Internacional de Titulos Soc. Titulizadora</v>
      </c>
      <c r="H129" t="s">
        <v>413</v>
      </c>
      <c r="I129" t="s">
        <v>414</v>
      </c>
      <c r="J129" t="s">
        <v>411</v>
      </c>
      <c r="K129" t="s">
        <v>90</v>
      </c>
      <c r="L129">
        <v>975</v>
      </c>
      <c r="M129" s="5">
        <v>24515266.39144</v>
      </c>
      <c r="N129">
        <v>24515266.39144</v>
      </c>
      <c r="O129">
        <v>30700</v>
      </c>
      <c r="P129" s="15">
        <v>50273</v>
      </c>
      <c r="Q129">
        <v>4251</v>
      </c>
      <c r="R129">
        <v>1</v>
      </c>
      <c r="S129" t="s">
        <v>155</v>
      </c>
      <c r="T129">
        <v>24466296.382429998</v>
      </c>
      <c r="U129" s="5">
        <v>24466296.382429998</v>
      </c>
      <c r="V129" t="s">
        <v>227</v>
      </c>
      <c r="W129">
        <v>0</v>
      </c>
      <c r="X129">
        <v>0</v>
      </c>
      <c r="Y129">
        <v>0</v>
      </c>
      <c r="Z129">
        <v>1.5951143000000001</v>
      </c>
      <c r="AA129" t="str">
        <f>+MID(Tabla_Consulta_desde_Reporte_de_Valorización_de_Instrumentos[[#This Row],[CODIGO_SBS]],7,1)</f>
        <v>1</v>
      </c>
      <c r="AB129">
        <f>INDEX('Cálculo Caja'!F:F,MATCH(Tabla_Consulta_desde_Reporte_de_Valorización_de_Instrumentos[[#This Row],[PORTAFOLIO]],'Cálculo Caja'!A:A,0),1)</f>
        <v>7679510866.0565634</v>
      </c>
      <c r="AC129" s="17">
        <f>Tabla_Consulta_desde_Reporte_de_Valorización_de_Instrumentos[[#This Row],[VALOR_VECTOR_LOCAL]]/Tabla_Consulta_desde_Reporte_de_Valorización_de_Instrumentos[[#This Row],[Patrimonio]]</f>
        <v>3.1922952931543432E-3</v>
      </c>
      <c r="AD129" s="4">
        <f>(Tabla_Consulta_desde_Reporte_de_Valorización_de_Instrumentos[[#This Row],[VALOR_VECTOR_LOCAL]]/INDEX('Tipo de Cambio'!$D:$D,MATCH("2",'Tipo de Cambio'!$E:$E,0),1))/1000000</f>
        <v>7.2942564168645303</v>
      </c>
      <c r="AE129">
        <f>IF(Tabla_Consulta_desde_Reporte_de_Valorización_de_Instrumentos[[#This Row],[PORTAFOLIO]]="IN-FONDO0",Tabla_Consulta_desde_Reporte_de_Valorización_de_Instrumentos[[#This Row],[Inv MM$]],0)</f>
        <v>0</v>
      </c>
      <c r="AF129" s="26">
        <f>IF(Tabla_Consulta_desde_Reporte_de_Valorización_de_Instrumentos[[#This Row],[PORTAFOLIO]]="IN-FONDO1",Tabla_Consulta_desde_Reporte_de_Valorización_de_Instrumentos[[#This Row],[Inv MM$]],0)</f>
        <v>7.2942564168645303</v>
      </c>
      <c r="AG129" s="26">
        <f>IF(Tabla_Consulta_desde_Reporte_de_Valorización_de_Instrumentos[[#This Row],[PORTAFOLIO]]="IN-FONDO2",Tabla_Consulta_desde_Reporte_de_Valorización_de_Instrumentos[[#This Row],[Inv MM$]],0)</f>
        <v>0</v>
      </c>
      <c r="AH129" s="26">
        <f>IF(Tabla_Consulta_desde_Reporte_de_Valorización_de_Instrumentos[[#This Row],[PORTAFOLIO]]="IN-FONDO3",Tabla_Consulta_desde_Reporte_de_Valorización_de_Instrumentos[[#This Row],[Inv MM$]],0)</f>
        <v>0</v>
      </c>
      <c r="AI12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7.2942564168645303</v>
      </c>
      <c r="AJ129" s="26">
        <f>IFERROR(IFERROR(INDEX('BD(MSCI)'!$T:$T,MATCH(Tabla_Consulta_desde_Reporte_de_Valorización_de_Instrumentos[[#This Row],[CODIGO_ISIN]],'BD(MSCI)'!$C:$C,0),1),INDEX('BD(MSCI)'!$T:$T,MATCH(Tabla_Consulta_desde_Reporte_de_Valorización_de_Instrumentos[[#This Row],[CODIGO_SBS]],'BD(MSCI)'!$C:$C,0),1)),0)</f>
        <v>12.22765594</v>
      </c>
      <c r="AK129" s="26">
        <f>Tabla_Consulta_desde_Reporte_de_Valorización_de_Instrumentos[[#This Row],[C02-H]]*Tabla_Consulta_desde_Reporte_de_Valorización_de_Instrumentos[[#This Row],[Inv MM$]]</f>
        <v>89.191657803556694</v>
      </c>
      <c r="AL129" s="26">
        <f>Tabla_Consulta_desde_Reporte_de_Valorización_de_Instrumentos[[#This Row],[C02-H]]*Tabla_Consulta_desde_Reporte_de_Valorización_de_Instrumentos[[#This Row],[Weight]]</f>
        <v>3.9034288503572746E-2</v>
      </c>
      <c r="AM129" s="26" t="str">
        <f>INDEX(Parametria!G:G,MATCH(Tabla_Consulta_desde_Reporte_de_Valorización_de_Instrumentos[[#This Row],[CODIGO_SBS]],Parametria!C:C,0))</f>
        <v>27RFLC</v>
      </c>
      <c r="AN129" s="26" t="str">
        <f>INDEX(Parametria!F:F,MATCH(Tabla_Consulta_desde_Reporte_de_Valorización_de_Instrumentos[[#This Row],[CODIGO_SBS]],Parametria!C:C,0))</f>
        <v>BU</v>
      </c>
      <c r="AO129" s="26" t="str">
        <f>+INDEX(Parametria!J:J,MATCH(Tabla_Consulta_desde_Reporte_de_Valorización_de_Instrumentos[[#This Row],[CODIGO_SBS]],Parametria!C:C,0))</f>
        <v>RFLBU</v>
      </c>
      <c r="AP129" s="26">
        <f>Tabla_Consulta_desde_Reporte_de_Valorización_de_Instrumentos[[#This Row],[Huella]]/$AU$4</f>
        <v>8.2684925534707143E-3</v>
      </c>
      <c r="AQ129" s="26" t="str">
        <f>IFERROR(INDEX('BD(MSCI)'!W:W,MATCH(Tabla_Consulta_desde_Reporte_de_Valorización_de_Instrumentos[[#This Row],[CODIGO_ISIN]],'BD(MSCI)'!C:C,0)),IF(Tabla_Consulta_desde_Reporte_de_Valorización_de_Instrumentos[[#This Row],[Rank_rt]]="Cash","Cash","Cuestionario Integra"))</f>
        <v>Proxies</v>
      </c>
      <c r="AR129" s="26" t="str">
        <f>IFERROR(INDEX('BD(MSCI)'!X:X,MATCH(Tabla_Consulta_desde_Reporte_de_Valorización_de_Instrumentos[[#This Row],[CODIGO_ISIN]],'BD(MSCI)'!C:C,0)),"Cuestionario Integra")</f>
        <v>BU</v>
      </c>
      <c r="AU129" s="26"/>
    </row>
    <row r="130" spans="2:47" hidden="1" x14ac:dyDescent="0.25">
      <c r="B130" s="14" t="s">
        <v>6390</v>
      </c>
      <c r="C130" t="s">
        <v>379</v>
      </c>
      <c r="D130" t="s">
        <v>12</v>
      </c>
      <c r="E130" t="s">
        <v>380</v>
      </c>
      <c r="F130" t="s">
        <v>418</v>
      </c>
      <c r="G130" t="str">
        <f>INDEX(Parametria!H:H,MATCH(Tabla_Consulta_desde_Reporte_de_Valorización_de_Instrumentos[[#This Row],[CODIGO_SBS]],Parametria!C:C,0),1)</f>
        <v>Casa Andina (Scotia Sociedad Titulizadora)</v>
      </c>
      <c r="H130" t="s">
        <v>419</v>
      </c>
      <c r="I130" t="s">
        <v>420</v>
      </c>
      <c r="J130" t="s">
        <v>421</v>
      </c>
      <c r="K130" t="s">
        <v>50</v>
      </c>
      <c r="L130">
        <v>10000</v>
      </c>
      <c r="M130" s="5">
        <v>26724804.714830499</v>
      </c>
      <c r="N130">
        <v>7951681.012476</v>
      </c>
      <c r="O130">
        <v>920</v>
      </c>
      <c r="P130" s="15">
        <v>49290</v>
      </c>
      <c r="Q130">
        <v>3268</v>
      </c>
      <c r="R130">
        <v>3.3609</v>
      </c>
      <c r="S130" t="s">
        <v>155</v>
      </c>
      <c r="T130">
        <v>26707721.564821701</v>
      </c>
      <c r="U130" s="5">
        <v>7942580.6116760001</v>
      </c>
      <c r="V130" t="s">
        <v>240</v>
      </c>
      <c r="W130">
        <v>0</v>
      </c>
      <c r="X130">
        <v>0</v>
      </c>
      <c r="Y130">
        <v>0</v>
      </c>
      <c r="Z130">
        <v>9.8917400000000004</v>
      </c>
      <c r="AA130" t="str">
        <f>+MID(Tabla_Consulta_desde_Reporte_de_Valorización_de_Instrumentos[[#This Row],[CODIGO_SBS]],7,1)</f>
        <v>2</v>
      </c>
      <c r="AB130">
        <f>INDEX('Cálculo Caja'!F:F,MATCH(Tabla_Consulta_desde_Reporte_de_Valorización_de_Instrumentos[[#This Row],[PORTAFOLIO]],'Cálculo Caja'!A:A,0),1)</f>
        <v>7679510866.0565634</v>
      </c>
      <c r="AC130" s="17">
        <f>Tabla_Consulta_desde_Reporte_de_Valorización_de_Instrumentos[[#This Row],[VALOR_VECTOR_LOCAL]]/Tabla_Consulta_desde_Reporte_de_Valorización_de_Instrumentos[[#This Row],[Patrimonio]]</f>
        <v>3.4800139202815807E-3</v>
      </c>
      <c r="AD130" s="4">
        <f>(Tabla_Consulta_desde_Reporte_de_Valorización_de_Instrumentos[[#This Row],[VALOR_VECTOR_LOCAL]]/INDEX('Tipo de Cambio'!$D:$D,MATCH("2",'Tipo de Cambio'!$E:$E,0),1))/1000000</f>
        <v>7.9516810124759729</v>
      </c>
      <c r="AE130">
        <f>IF(Tabla_Consulta_desde_Reporte_de_Valorización_de_Instrumentos[[#This Row],[PORTAFOLIO]]="IN-FONDO0",Tabla_Consulta_desde_Reporte_de_Valorización_de_Instrumentos[[#This Row],[Inv MM$]],0)</f>
        <v>0</v>
      </c>
      <c r="AF130" s="26">
        <f>IF(Tabla_Consulta_desde_Reporte_de_Valorización_de_Instrumentos[[#This Row],[PORTAFOLIO]]="IN-FONDO1",Tabla_Consulta_desde_Reporte_de_Valorización_de_Instrumentos[[#This Row],[Inv MM$]],0)</f>
        <v>7.9516810124759729</v>
      </c>
      <c r="AG130" s="26">
        <f>IF(Tabla_Consulta_desde_Reporte_de_Valorización_de_Instrumentos[[#This Row],[PORTAFOLIO]]="IN-FONDO2",Tabla_Consulta_desde_Reporte_de_Valorización_de_Instrumentos[[#This Row],[Inv MM$]],0)</f>
        <v>0</v>
      </c>
      <c r="AH130" s="26">
        <f>IF(Tabla_Consulta_desde_Reporte_de_Valorización_de_Instrumentos[[#This Row],[PORTAFOLIO]]="IN-FONDO3",Tabla_Consulta_desde_Reporte_de_Valorización_de_Instrumentos[[#This Row],[Inv MM$]],0)</f>
        <v>0</v>
      </c>
      <c r="AI13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8.3838375892409474</v>
      </c>
      <c r="AJ130" s="26">
        <f>IFERROR(IFERROR(INDEX('BD(MSCI)'!$T:$T,MATCH(Tabla_Consulta_desde_Reporte_de_Valorización_de_Instrumentos[[#This Row],[CODIGO_ISIN]],'BD(MSCI)'!$C:$C,0),1),INDEX('BD(MSCI)'!$T:$T,MATCH(Tabla_Consulta_desde_Reporte_de_Valorización_de_Instrumentos[[#This Row],[CODIGO_SBS]],'BD(MSCI)'!$C:$C,0),1)),0)</f>
        <v>12.22765594</v>
      </c>
      <c r="AK130" s="26">
        <f>Tabla_Consulta_desde_Reporte_de_Valorización_de_Instrumentos[[#This Row],[C02-H]]*Tabla_Consulta_desde_Reporte_de_Valorización_de_Instrumentos[[#This Row],[Inv MM$]]</f>
        <v>97.230419565187049</v>
      </c>
      <c r="AL130" s="26">
        <f>Tabla_Consulta_desde_Reporte_de_Valorización_de_Instrumentos[[#This Row],[C02-H]]*Tabla_Consulta_desde_Reporte_de_Valorización_de_Instrumentos[[#This Row],[Weight]]</f>
        <v>4.2552412883613756E-2</v>
      </c>
      <c r="AM130" s="26" t="str">
        <f>INDEX(Parametria!G:G,MATCH(Tabla_Consulta_desde_Reporte_de_Valorización_de_Instrumentos[[#This Row],[CODIGO_SBS]],Parametria!C:C,0))</f>
        <v>27RFLC</v>
      </c>
      <c r="AN130" s="26" t="str">
        <f>INDEX(Parametria!F:F,MATCH(Tabla_Consulta_desde_Reporte_de_Valorización_de_Instrumentos[[#This Row],[CODIGO_SBS]],Parametria!C:C,0))</f>
        <v>BU</v>
      </c>
      <c r="AO130" s="26" t="str">
        <f>+INDEX(Parametria!J:J,MATCH(Tabla_Consulta_desde_Reporte_de_Valorización_de_Instrumentos[[#This Row],[CODIGO_SBS]],Parametria!C:C,0))</f>
        <v>RFLBU</v>
      </c>
      <c r="AP130" s="26">
        <f>Tabla_Consulta_desde_Reporte_de_Valorización_de_Instrumentos[[#This Row],[Huella]]/$AU$4</f>
        <v>9.0137241525016631E-3</v>
      </c>
      <c r="AQ130" s="26" t="str">
        <f>IFERROR(INDEX('BD(MSCI)'!W:W,MATCH(Tabla_Consulta_desde_Reporte_de_Valorización_de_Instrumentos[[#This Row],[CODIGO_ISIN]],'BD(MSCI)'!C:C,0)),IF(Tabla_Consulta_desde_Reporte_de_Valorización_de_Instrumentos[[#This Row],[Rank_rt]]="Cash","Cash","Cuestionario Integra"))</f>
        <v>Proxies</v>
      </c>
      <c r="AR130" s="26" t="str">
        <f>IFERROR(INDEX('BD(MSCI)'!X:X,MATCH(Tabla_Consulta_desde_Reporte_de_Valorización_de_Instrumentos[[#This Row],[CODIGO_ISIN]],'BD(MSCI)'!C:C,0)),"Cuestionario Integra")</f>
        <v>BU</v>
      </c>
      <c r="AU130" s="26"/>
    </row>
    <row r="131" spans="2:47" hidden="1" x14ac:dyDescent="0.25">
      <c r="B131" s="14" t="s">
        <v>6390</v>
      </c>
      <c r="C131" t="s">
        <v>379</v>
      </c>
      <c r="D131" t="s">
        <v>10</v>
      </c>
      <c r="E131" t="s">
        <v>380</v>
      </c>
      <c r="F131" t="s">
        <v>418</v>
      </c>
      <c r="G131" t="str">
        <f>INDEX(Parametria!H:H,MATCH(Tabla_Consulta_desde_Reporte_de_Valorización_de_Instrumentos[[#This Row],[CODIGO_SBS]],Parametria!C:C,0),1)</f>
        <v>Casa Andina (Scotia Sociedad Titulizadora)</v>
      </c>
      <c r="H131" t="s">
        <v>419</v>
      </c>
      <c r="I131" t="s">
        <v>420</v>
      </c>
      <c r="J131" t="s">
        <v>421</v>
      </c>
      <c r="K131" t="s">
        <v>50</v>
      </c>
      <c r="L131">
        <v>10000</v>
      </c>
      <c r="M131" s="5">
        <v>1452435.0388493999</v>
      </c>
      <c r="N131">
        <v>432156.57676500001</v>
      </c>
      <c r="O131">
        <v>50</v>
      </c>
      <c r="P131" s="15">
        <v>49290</v>
      </c>
      <c r="Q131">
        <v>3268</v>
      </c>
      <c r="R131">
        <v>3.3609</v>
      </c>
      <c r="S131" t="s">
        <v>155</v>
      </c>
      <c r="T131">
        <v>1451506.6067836999</v>
      </c>
      <c r="U131" s="5">
        <v>431661.98976500001</v>
      </c>
      <c r="V131" t="s">
        <v>240</v>
      </c>
      <c r="W131">
        <v>0</v>
      </c>
      <c r="X131">
        <v>0</v>
      </c>
      <c r="Y131">
        <v>0</v>
      </c>
      <c r="Z131">
        <v>9.8917400000000004</v>
      </c>
      <c r="AA131" t="str">
        <f>+MID(Tabla_Consulta_desde_Reporte_de_Valorización_de_Instrumentos[[#This Row],[CODIGO_SBS]],7,1)</f>
        <v>2</v>
      </c>
      <c r="AB131">
        <f>INDEX('Cálculo Caja'!F:F,MATCH(Tabla_Consulta_desde_Reporte_de_Valorización_de_Instrumentos[[#This Row],[PORTAFOLIO]],'Cálculo Caja'!A:A,0),1)</f>
        <v>26256910350.436607</v>
      </c>
      <c r="AC131" s="17">
        <f>Tabla_Consulta_desde_Reporte_de_Valorización_de_Instrumentos[[#This Row],[VALOR_VECTOR_LOCAL]]/Tabla_Consulta_desde_Reporte_de_Valorización_de_Instrumentos[[#This Row],[Patrimonio]]</f>
        <v>5.5316296527829991E-5</v>
      </c>
      <c r="AD131" s="4">
        <f>(Tabla_Consulta_desde_Reporte_de_Valorización_de_Instrumentos[[#This Row],[VALOR_VECTOR_LOCAL]]/INDEX('Tipo de Cambio'!$D:$D,MATCH("2",'Tipo de Cambio'!$E:$E,0),1))/1000000</f>
        <v>0.43215657676497365</v>
      </c>
      <c r="AE131">
        <f>IF(Tabla_Consulta_desde_Reporte_de_Valorización_de_Instrumentos[[#This Row],[PORTAFOLIO]]="IN-FONDO0",Tabla_Consulta_desde_Reporte_de_Valorización_de_Instrumentos[[#This Row],[Inv MM$]],0)</f>
        <v>0</v>
      </c>
      <c r="AF131" s="26">
        <f>IF(Tabla_Consulta_desde_Reporte_de_Valorización_de_Instrumentos[[#This Row],[PORTAFOLIO]]="IN-FONDO1",Tabla_Consulta_desde_Reporte_de_Valorización_de_Instrumentos[[#This Row],[Inv MM$]],0)</f>
        <v>0</v>
      </c>
      <c r="AG131" s="26">
        <f>IF(Tabla_Consulta_desde_Reporte_de_Valorización_de_Instrumentos[[#This Row],[PORTAFOLIO]]="IN-FONDO2",Tabla_Consulta_desde_Reporte_de_Valorización_de_Instrumentos[[#This Row],[Inv MM$]],0)</f>
        <v>0.43215657676497365</v>
      </c>
      <c r="AH131" s="26">
        <f>IF(Tabla_Consulta_desde_Reporte_de_Valorización_de_Instrumentos[[#This Row],[PORTAFOLIO]]="IN-FONDO3",Tabla_Consulta_desde_Reporte_de_Valorización_de_Instrumentos[[#This Row],[Inv MM$]],0)</f>
        <v>0</v>
      </c>
      <c r="AI13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8.3838375892409474</v>
      </c>
      <c r="AJ131" s="26">
        <f>IFERROR(IFERROR(INDEX('BD(MSCI)'!$T:$T,MATCH(Tabla_Consulta_desde_Reporte_de_Valorización_de_Instrumentos[[#This Row],[CODIGO_ISIN]],'BD(MSCI)'!$C:$C,0),1),INDEX('BD(MSCI)'!$T:$T,MATCH(Tabla_Consulta_desde_Reporte_de_Valorización_de_Instrumentos[[#This Row],[CODIGO_SBS]],'BD(MSCI)'!$C:$C,0),1)),0)</f>
        <v>12.22765594</v>
      </c>
      <c r="AK131" s="26">
        <f>Tabla_Consulta_desde_Reporte_de_Valorización_de_Instrumentos[[#This Row],[C02-H]]*Tabla_Consulta_desde_Reporte_de_Valorización_de_Instrumentos[[#This Row],[Inv MM$]]</f>
        <v>5.2842619328902964</v>
      </c>
      <c r="AL131" s="26">
        <f>Tabla_Consulta_desde_Reporte_de_Valorización_de_Instrumentos[[#This Row],[C02-H]]*Tabla_Consulta_desde_Reporte_de_Valorización_de_Instrumentos[[#This Row],[Weight]]</f>
        <v>6.7638864181732172E-4</v>
      </c>
      <c r="AM131" s="26" t="str">
        <f>INDEX(Parametria!G:G,MATCH(Tabla_Consulta_desde_Reporte_de_Valorización_de_Instrumentos[[#This Row],[CODIGO_SBS]],Parametria!C:C,0))</f>
        <v>27RFLC</v>
      </c>
      <c r="AN131" s="26" t="str">
        <f>INDEX(Parametria!F:F,MATCH(Tabla_Consulta_desde_Reporte_de_Valorización_de_Instrumentos[[#This Row],[CODIGO_SBS]],Parametria!C:C,0))</f>
        <v>BU</v>
      </c>
      <c r="AO131" s="26" t="str">
        <f>+INDEX(Parametria!J:J,MATCH(Tabla_Consulta_desde_Reporte_de_Valorización_de_Instrumentos[[#This Row],[CODIGO_SBS]],Parametria!C:C,0))</f>
        <v>RFLBU</v>
      </c>
      <c r="AP131" s="26">
        <f>Tabla_Consulta_desde_Reporte_de_Valorización_de_Instrumentos[[#This Row],[Huella]]/$AU$4</f>
        <v>4.8987631263593177E-4</v>
      </c>
      <c r="AQ131" s="26" t="str">
        <f>IFERROR(INDEX('BD(MSCI)'!W:W,MATCH(Tabla_Consulta_desde_Reporte_de_Valorización_de_Instrumentos[[#This Row],[CODIGO_ISIN]],'BD(MSCI)'!C:C,0)),IF(Tabla_Consulta_desde_Reporte_de_Valorización_de_Instrumentos[[#This Row],[Rank_rt]]="Cash","Cash","Cuestionario Integra"))</f>
        <v>Proxies</v>
      </c>
      <c r="AR131" s="26" t="str">
        <f>IFERROR(INDEX('BD(MSCI)'!X:X,MATCH(Tabla_Consulta_desde_Reporte_de_Valorización_de_Instrumentos[[#This Row],[CODIGO_ISIN]],'BD(MSCI)'!C:C,0)),"Cuestionario Integra")</f>
        <v>BU</v>
      </c>
      <c r="AU131" s="26"/>
    </row>
    <row r="132" spans="2:47" hidden="1" x14ac:dyDescent="0.25">
      <c r="B132" s="14" t="s">
        <v>6390</v>
      </c>
      <c r="C132" t="s">
        <v>422</v>
      </c>
      <c r="D132" t="s">
        <v>10</v>
      </c>
      <c r="E132" t="s">
        <v>423</v>
      </c>
      <c r="F132" t="s">
        <v>424</v>
      </c>
      <c r="G132" t="str">
        <f>INDEX(Parametria!H:H,MATCH(Tabla_Consulta_desde_Reporte_de_Valorización_de_Instrumentos[[#This Row],[CODIGO_SBS]],Parametria!C:C,0),1)</f>
        <v>Inretail Peru Corp</v>
      </c>
      <c r="H132" t="s">
        <v>425</v>
      </c>
      <c r="I132" t="s">
        <v>426</v>
      </c>
      <c r="J132" t="s">
        <v>427</v>
      </c>
      <c r="K132" t="s">
        <v>50</v>
      </c>
      <c r="L132">
        <v>10</v>
      </c>
      <c r="M132" s="5">
        <v>388490448.9202975</v>
      </c>
      <c r="N132">
        <v>115591195.489392</v>
      </c>
      <c r="O132">
        <v>4620255</v>
      </c>
      <c r="P132" s="15"/>
      <c r="R132">
        <v>3.3609</v>
      </c>
      <c r="S132" t="s">
        <v>428</v>
      </c>
      <c r="T132">
        <v>385203840.19855142</v>
      </c>
      <c r="U132" s="5">
        <v>114555356.0335905</v>
      </c>
      <c r="V132" t="s">
        <v>227</v>
      </c>
      <c r="W132">
        <v>8247269000</v>
      </c>
      <c r="X132">
        <v>3281203000</v>
      </c>
      <c r="Y132">
        <v>4966066000</v>
      </c>
      <c r="Z132">
        <v>0.22419529999999999</v>
      </c>
      <c r="AA132" t="str">
        <f>+MID(Tabla_Consulta_desde_Reporte_de_Valorización_de_Instrumentos[[#This Row],[CODIGO_SBS]],7,1)</f>
        <v>2</v>
      </c>
      <c r="AB132">
        <f>INDEX('Cálculo Caja'!F:F,MATCH(Tabla_Consulta_desde_Reporte_de_Valorización_de_Instrumentos[[#This Row],[PORTAFOLIO]],'Cálculo Caja'!A:A,0),1)</f>
        <v>26256910350.436607</v>
      </c>
      <c r="AC132" s="17">
        <f>Tabla_Consulta_desde_Reporte_de_Valorización_de_Instrumentos[[#This Row],[VALOR_VECTOR_LOCAL]]/Tabla_Consulta_desde_Reporte_de_Valorización_de_Instrumentos[[#This Row],[Patrimonio]]</f>
        <v>1.4795741149104299E-2</v>
      </c>
      <c r="AD132" s="4">
        <f>(Tabla_Consulta_desde_Reporte_de_Valorización_de_Instrumentos[[#This Row],[VALOR_VECTOR_LOCAL]]/INDEX('Tipo de Cambio'!$D:$D,MATCH("2",'Tipo de Cambio'!$E:$E,0),1))/1000000</f>
        <v>115.59119548939198</v>
      </c>
      <c r="AE132">
        <f>IF(Tabla_Consulta_desde_Reporte_de_Valorización_de_Instrumentos[[#This Row],[PORTAFOLIO]]="IN-FONDO0",Tabla_Consulta_desde_Reporte_de_Valorización_de_Instrumentos[[#This Row],[Inv MM$]],0)</f>
        <v>0</v>
      </c>
      <c r="AF132" s="26">
        <f>IF(Tabla_Consulta_desde_Reporte_de_Valorización_de_Instrumentos[[#This Row],[PORTAFOLIO]]="IN-FONDO1",Tabla_Consulta_desde_Reporte_de_Valorización_de_Instrumentos[[#This Row],[Inv MM$]],0)</f>
        <v>0</v>
      </c>
      <c r="AG132" s="26">
        <f>IF(Tabla_Consulta_desde_Reporte_de_Valorización_de_Instrumentos[[#This Row],[PORTAFOLIO]]="IN-FONDO2",Tabla_Consulta_desde_Reporte_de_Valorización_de_Instrumentos[[#This Row],[Inv MM$]],0)</f>
        <v>115.59119548939198</v>
      </c>
      <c r="AH132" s="26">
        <f>IF(Tabla_Consulta_desde_Reporte_de_Valorización_de_Instrumentos[[#This Row],[PORTAFOLIO]]="IN-FONDO3",Tabla_Consulta_desde_Reporte_de_Valorización_de_Instrumentos[[#This Row],[Inv MM$]],0)</f>
        <v>0</v>
      </c>
      <c r="AI13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140.69979510814073</v>
      </c>
      <c r="AJ132" s="26">
        <f>IFERROR(IFERROR(INDEX('BD(MSCI)'!$T:$T,MATCH(Tabla_Consulta_desde_Reporte_de_Valorización_de_Instrumentos[[#This Row],[CODIGO_ISIN]],'BD(MSCI)'!$C:$C,0),1),INDEX('BD(MSCI)'!$T:$T,MATCH(Tabla_Consulta_desde_Reporte_de_Valorización_de_Instrumentos[[#This Row],[CODIGO_SBS]],'BD(MSCI)'!$C:$C,0),1)),0)</f>
        <v>21.25</v>
      </c>
      <c r="AK132" s="26">
        <f>Tabla_Consulta_desde_Reporte_de_Valorización_de_Instrumentos[[#This Row],[C02-H]]*Tabla_Consulta_desde_Reporte_de_Valorización_de_Instrumentos[[#This Row],[Inv MM$]]</f>
        <v>2456.3129041495795</v>
      </c>
      <c r="AL132" s="26">
        <f>Tabla_Consulta_desde_Reporte_de_Valorización_de_Instrumentos[[#This Row],[C02-H]]*Tabla_Consulta_desde_Reporte_de_Valorización_de_Instrumentos[[#This Row],[Weight]]</f>
        <v>0.31440949941846635</v>
      </c>
      <c r="AM132" s="26" t="str">
        <f>INDEX(Parametria!G:G,MATCH(Tabla_Consulta_desde_Reporte_de_Valorización_de_Instrumentos[[#This Row],[CODIGO_SBS]],Parametria!C:C,0))</f>
        <v>30RVL</v>
      </c>
      <c r="AN132" s="26" t="str">
        <f>INDEX(Parametria!F:F,MATCH(Tabla_Consulta_desde_Reporte_de_Valorización_de_Instrumentos[[#This Row],[CODIGO_SBS]],Parametria!C:C,0))</f>
        <v>BU</v>
      </c>
      <c r="AO132" s="26" t="str">
        <f>+INDEX(Parametria!J:J,MATCH(Tabla_Consulta_desde_Reporte_de_Valorización_de_Instrumentos[[#This Row],[CODIGO_SBS]],Parametria!C:C,0))</f>
        <v>RVLBU</v>
      </c>
      <c r="AP132" s="26">
        <f>Tabla_Consulta_desde_Reporte_de_Valorización_de_Instrumentos[[#This Row],[Huella]]/$AU$4</f>
        <v>0.22771193469334663</v>
      </c>
      <c r="AQ132" s="26" t="str">
        <f>IFERROR(INDEX('BD(MSCI)'!W:W,MATCH(Tabla_Consulta_desde_Reporte_de_Valorización_de_Instrumentos[[#This Row],[CODIGO_ISIN]],'BD(MSCI)'!C:C,0)),IF(Tabla_Consulta_desde_Reporte_de_Valorización_de_Instrumentos[[#This Row],[Rank_rt]]="Cash","Cash","Cuestionario Integra"))</f>
        <v>Portafolio</v>
      </c>
      <c r="AR132" s="26" t="str">
        <f>IFERROR(INDEX('BD(MSCI)'!X:X,MATCH(Tabla_Consulta_desde_Reporte_de_Valorización_de_Instrumentos[[#This Row],[CODIGO_ISIN]],'BD(MSCI)'!C:C,0)),"Cuestionario Integra")</f>
        <v>Portafolio</v>
      </c>
      <c r="AU132" s="26"/>
    </row>
    <row r="133" spans="2:47" hidden="1" x14ac:dyDescent="0.25">
      <c r="B133" s="14" t="s">
        <v>6390</v>
      </c>
      <c r="C133" t="s">
        <v>422</v>
      </c>
      <c r="D133" t="s">
        <v>12</v>
      </c>
      <c r="E133" t="s">
        <v>423</v>
      </c>
      <c r="F133" t="s">
        <v>424</v>
      </c>
      <c r="G133" t="str">
        <f>INDEX(Parametria!H:H,MATCH(Tabla_Consulta_desde_Reporte_de_Valorización_de_Instrumentos[[#This Row],[CODIGO_SBS]],Parametria!C:C,0),1)</f>
        <v>Inretail Peru Corp</v>
      </c>
      <c r="H133" t="s">
        <v>425</v>
      </c>
      <c r="I133" t="s">
        <v>426</v>
      </c>
      <c r="J133" t="s">
        <v>427</v>
      </c>
      <c r="K133" t="s">
        <v>50</v>
      </c>
      <c r="L133">
        <v>10</v>
      </c>
      <c r="M133" s="5">
        <v>15939421.514521601</v>
      </c>
      <c r="N133">
        <v>4742605.1100960001</v>
      </c>
      <c r="O133">
        <v>189565</v>
      </c>
      <c r="P133" s="15"/>
      <c r="R133">
        <v>3.3609</v>
      </c>
      <c r="S133" t="s">
        <v>428</v>
      </c>
      <c r="T133">
        <v>15804574.8486259</v>
      </c>
      <c r="U133" s="5">
        <v>4700105.5280515002</v>
      </c>
      <c r="V133" t="s">
        <v>227</v>
      </c>
      <c r="W133">
        <v>8247269000</v>
      </c>
      <c r="X133">
        <v>3281203000</v>
      </c>
      <c r="Y133">
        <v>4966066000</v>
      </c>
      <c r="Z133">
        <v>0.22419529999999999</v>
      </c>
      <c r="AA133" t="str">
        <f>+MID(Tabla_Consulta_desde_Reporte_de_Valorización_de_Instrumentos[[#This Row],[CODIGO_SBS]],7,1)</f>
        <v>2</v>
      </c>
      <c r="AB133">
        <f>INDEX('Cálculo Caja'!F:F,MATCH(Tabla_Consulta_desde_Reporte_de_Valorización_de_Instrumentos[[#This Row],[PORTAFOLIO]],'Cálculo Caja'!A:A,0),1)</f>
        <v>7679510866.0565634</v>
      </c>
      <c r="AC133" s="17">
        <f>Tabla_Consulta_desde_Reporte_de_Valorización_de_Instrumentos[[#This Row],[VALOR_VECTOR_LOCAL]]/Tabla_Consulta_desde_Reporte_de_Valorización_de_Instrumentos[[#This Row],[Patrimonio]]</f>
        <v>2.0755777018265369E-3</v>
      </c>
      <c r="AD133" s="4">
        <f>(Tabla_Consulta_desde_Reporte_de_Valorización_de_Instrumentos[[#This Row],[VALOR_VECTOR_LOCAL]]/INDEX('Tipo de Cambio'!$D:$D,MATCH("2",'Tipo de Cambio'!$E:$E,0),1))/1000000</f>
        <v>4.7426051100959858</v>
      </c>
      <c r="AE133">
        <f>IF(Tabla_Consulta_desde_Reporte_de_Valorización_de_Instrumentos[[#This Row],[PORTAFOLIO]]="IN-FONDO0",Tabla_Consulta_desde_Reporte_de_Valorización_de_Instrumentos[[#This Row],[Inv MM$]],0)</f>
        <v>0</v>
      </c>
      <c r="AF133" s="26">
        <f>IF(Tabla_Consulta_desde_Reporte_de_Valorización_de_Instrumentos[[#This Row],[PORTAFOLIO]]="IN-FONDO1",Tabla_Consulta_desde_Reporte_de_Valorización_de_Instrumentos[[#This Row],[Inv MM$]],0)</f>
        <v>4.7426051100959858</v>
      </c>
      <c r="AG133" s="26">
        <f>IF(Tabla_Consulta_desde_Reporte_de_Valorización_de_Instrumentos[[#This Row],[PORTAFOLIO]]="IN-FONDO2",Tabla_Consulta_desde_Reporte_de_Valorización_de_Instrumentos[[#This Row],[Inv MM$]],0)</f>
        <v>0</v>
      </c>
      <c r="AH133" s="26">
        <f>IF(Tabla_Consulta_desde_Reporte_de_Valorización_de_Instrumentos[[#This Row],[PORTAFOLIO]]="IN-FONDO3",Tabla_Consulta_desde_Reporte_de_Valorización_de_Instrumentos[[#This Row],[Inv MM$]],0)</f>
        <v>0</v>
      </c>
      <c r="AI13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140.69979510814073</v>
      </c>
      <c r="AJ133" s="26">
        <f>IFERROR(IFERROR(INDEX('BD(MSCI)'!$T:$T,MATCH(Tabla_Consulta_desde_Reporte_de_Valorización_de_Instrumentos[[#This Row],[CODIGO_ISIN]],'BD(MSCI)'!$C:$C,0),1),INDEX('BD(MSCI)'!$T:$T,MATCH(Tabla_Consulta_desde_Reporte_de_Valorización_de_Instrumentos[[#This Row],[CODIGO_SBS]],'BD(MSCI)'!$C:$C,0),1)),0)</f>
        <v>21.25</v>
      </c>
      <c r="AK133" s="26">
        <f>Tabla_Consulta_desde_Reporte_de_Valorización_de_Instrumentos[[#This Row],[C02-H]]*Tabla_Consulta_desde_Reporte_de_Valorización_de_Instrumentos[[#This Row],[Inv MM$]]</f>
        <v>100.7803585895397</v>
      </c>
      <c r="AL133" s="26">
        <f>Tabla_Consulta_desde_Reporte_de_Valorización_de_Instrumentos[[#This Row],[C02-H]]*Tabla_Consulta_desde_Reporte_de_Valorización_de_Instrumentos[[#This Row],[Weight]]</f>
        <v>4.4106026163813906E-2</v>
      </c>
      <c r="AM133" s="26" t="str">
        <f>INDEX(Parametria!G:G,MATCH(Tabla_Consulta_desde_Reporte_de_Valorización_de_Instrumentos[[#This Row],[CODIGO_SBS]],Parametria!C:C,0))</f>
        <v>30RVL</v>
      </c>
      <c r="AN133" s="26" t="str">
        <f>INDEX(Parametria!F:F,MATCH(Tabla_Consulta_desde_Reporte_de_Valorización_de_Instrumentos[[#This Row],[CODIGO_SBS]],Parametria!C:C,0))</f>
        <v>BU</v>
      </c>
      <c r="AO133" s="26" t="str">
        <f>+INDEX(Parametria!J:J,MATCH(Tabla_Consulta_desde_Reporte_de_Valorización_de_Instrumentos[[#This Row],[CODIGO_SBS]],Parametria!C:C,0))</f>
        <v>RVLBU</v>
      </c>
      <c r="AP133" s="26">
        <f>Tabla_Consulta_desde_Reporte_de_Valorización_de_Instrumentos[[#This Row],[Huella]]/$AU$4</f>
        <v>9.3428204504175938E-3</v>
      </c>
      <c r="AQ133" s="26" t="str">
        <f>IFERROR(INDEX('BD(MSCI)'!W:W,MATCH(Tabla_Consulta_desde_Reporte_de_Valorización_de_Instrumentos[[#This Row],[CODIGO_ISIN]],'BD(MSCI)'!C:C,0)),IF(Tabla_Consulta_desde_Reporte_de_Valorización_de_Instrumentos[[#This Row],[Rank_rt]]="Cash","Cash","Cuestionario Integra"))</f>
        <v>Portafolio</v>
      </c>
      <c r="AR133" s="26" t="str">
        <f>IFERROR(INDEX('BD(MSCI)'!X:X,MATCH(Tabla_Consulta_desde_Reporte_de_Valorización_de_Instrumentos[[#This Row],[CODIGO_ISIN]],'BD(MSCI)'!C:C,0)),"Cuestionario Integra")</f>
        <v>Portafolio</v>
      </c>
      <c r="AU133" s="26"/>
    </row>
    <row r="134" spans="2:47" hidden="1" x14ac:dyDescent="0.25">
      <c r="B134" s="14" t="s">
        <v>6390</v>
      </c>
      <c r="C134" t="s">
        <v>422</v>
      </c>
      <c r="D134" t="s">
        <v>11</v>
      </c>
      <c r="E134" t="s">
        <v>423</v>
      </c>
      <c r="F134" t="s">
        <v>424</v>
      </c>
      <c r="G134" t="str">
        <f>INDEX(Parametria!H:H,MATCH(Tabla_Consulta_desde_Reporte_de_Valorización_de_Instrumentos[[#This Row],[CODIGO_SBS]],Parametria!C:C,0),1)</f>
        <v>Inretail Peru Corp</v>
      </c>
      <c r="H134" t="s">
        <v>425</v>
      </c>
      <c r="I134" t="s">
        <v>426</v>
      </c>
      <c r="J134" t="s">
        <v>427</v>
      </c>
      <c r="K134" t="s">
        <v>50</v>
      </c>
      <c r="L134">
        <v>10</v>
      </c>
      <c r="M134" s="5">
        <v>68448070.944131106</v>
      </c>
      <c r="N134">
        <v>20365994.508652799</v>
      </c>
      <c r="O134">
        <v>814042</v>
      </c>
      <c r="P134" s="15"/>
      <c r="R134">
        <v>3.3609</v>
      </c>
      <c r="S134" t="s">
        <v>428</v>
      </c>
      <c r="T134">
        <v>67869003.871628106</v>
      </c>
      <c r="U134" s="5">
        <v>20183490.118250199</v>
      </c>
      <c r="V134" t="s">
        <v>227</v>
      </c>
      <c r="W134">
        <v>8247269000</v>
      </c>
      <c r="X134">
        <v>3281203000</v>
      </c>
      <c r="Y134">
        <v>4966066000</v>
      </c>
      <c r="Z134">
        <v>0.22419529999999999</v>
      </c>
      <c r="AA134" t="str">
        <f>+MID(Tabla_Consulta_desde_Reporte_de_Valorización_de_Instrumentos[[#This Row],[CODIGO_SBS]],7,1)</f>
        <v>2</v>
      </c>
      <c r="AB134">
        <f>INDEX('Cálculo Caja'!F:F,MATCH(Tabla_Consulta_desde_Reporte_de_Valorización_de_Instrumentos[[#This Row],[PORTAFOLIO]],'Cálculo Caja'!A:A,0),1)</f>
        <v>3164069580.822104</v>
      </c>
      <c r="AC134" s="17">
        <f>Tabla_Consulta_desde_Reporte_de_Valorización_de_Instrumentos[[#This Row],[VALOR_VECTOR_LOCAL]]/Tabla_Consulta_desde_Reporte_de_Valorización_de_Instrumentos[[#This Row],[Patrimonio]]</f>
        <v>2.1632922157908612E-2</v>
      </c>
      <c r="AD134" s="4">
        <f>(Tabla_Consulta_desde_Reporte_de_Valorización_de_Instrumentos[[#This Row],[VALOR_VECTOR_LOCAL]]/INDEX('Tipo de Cambio'!$D:$D,MATCH("2",'Tipo de Cambio'!$E:$E,0),1))/1000000</f>
        <v>20.365994508652772</v>
      </c>
      <c r="AE134">
        <f>IF(Tabla_Consulta_desde_Reporte_de_Valorización_de_Instrumentos[[#This Row],[PORTAFOLIO]]="IN-FONDO0",Tabla_Consulta_desde_Reporte_de_Valorización_de_Instrumentos[[#This Row],[Inv MM$]],0)</f>
        <v>0</v>
      </c>
      <c r="AF134" s="26">
        <f>IF(Tabla_Consulta_desde_Reporte_de_Valorización_de_Instrumentos[[#This Row],[PORTAFOLIO]]="IN-FONDO1",Tabla_Consulta_desde_Reporte_de_Valorización_de_Instrumentos[[#This Row],[Inv MM$]],0)</f>
        <v>0</v>
      </c>
      <c r="AG134" s="26">
        <f>IF(Tabla_Consulta_desde_Reporte_de_Valorización_de_Instrumentos[[#This Row],[PORTAFOLIO]]="IN-FONDO2",Tabla_Consulta_desde_Reporte_de_Valorización_de_Instrumentos[[#This Row],[Inv MM$]],0)</f>
        <v>0</v>
      </c>
      <c r="AH134" s="26">
        <f>IF(Tabla_Consulta_desde_Reporte_de_Valorización_de_Instrumentos[[#This Row],[PORTAFOLIO]]="IN-FONDO3",Tabla_Consulta_desde_Reporte_de_Valorización_de_Instrumentos[[#This Row],[Inv MM$]],0)</f>
        <v>20.365994508652772</v>
      </c>
      <c r="AI13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140.69979510814073</v>
      </c>
      <c r="AJ134" s="26">
        <f>IFERROR(IFERROR(INDEX('BD(MSCI)'!$T:$T,MATCH(Tabla_Consulta_desde_Reporte_de_Valorización_de_Instrumentos[[#This Row],[CODIGO_ISIN]],'BD(MSCI)'!$C:$C,0),1),INDEX('BD(MSCI)'!$T:$T,MATCH(Tabla_Consulta_desde_Reporte_de_Valorización_de_Instrumentos[[#This Row],[CODIGO_SBS]],'BD(MSCI)'!$C:$C,0),1)),0)</f>
        <v>21.25</v>
      </c>
      <c r="AK134" s="26">
        <f>Tabla_Consulta_desde_Reporte_de_Valorización_de_Instrumentos[[#This Row],[C02-H]]*Tabla_Consulta_desde_Reporte_de_Valorización_de_Instrumentos[[#This Row],[Inv MM$]]</f>
        <v>432.77738330887138</v>
      </c>
      <c r="AL134" s="26">
        <f>Tabla_Consulta_desde_Reporte_de_Valorización_de_Instrumentos[[#This Row],[C02-H]]*Tabla_Consulta_desde_Reporte_de_Valorización_de_Instrumentos[[#This Row],[Weight]]</f>
        <v>0.45969959585555803</v>
      </c>
      <c r="AM134" s="26" t="str">
        <f>INDEX(Parametria!G:G,MATCH(Tabla_Consulta_desde_Reporte_de_Valorización_de_Instrumentos[[#This Row],[CODIGO_SBS]],Parametria!C:C,0))</f>
        <v>30RVL</v>
      </c>
      <c r="AN134" s="26" t="str">
        <f>INDEX(Parametria!F:F,MATCH(Tabla_Consulta_desde_Reporte_de_Valorización_de_Instrumentos[[#This Row],[CODIGO_SBS]],Parametria!C:C,0))</f>
        <v>BU</v>
      </c>
      <c r="AO134" s="26" t="str">
        <f>+INDEX(Parametria!J:J,MATCH(Tabla_Consulta_desde_Reporte_de_Valorización_de_Instrumentos[[#This Row],[CODIGO_SBS]],Parametria!C:C,0))</f>
        <v>RVLBU</v>
      </c>
      <c r="AP134" s="26">
        <f>Tabla_Consulta_desde_Reporte_de_Valorización_de_Instrumentos[[#This Row],[Huella]]/$AU$4</f>
        <v>4.0120529871541952E-2</v>
      </c>
      <c r="AQ134" s="26" t="str">
        <f>IFERROR(INDEX('BD(MSCI)'!W:W,MATCH(Tabla_Consulta_desde_Reporte_de_Valorización_de_Instrumentos[[#This Row],[CODIGO_ISIN]],'BD(MSCI)'!C:C,0)),IF(Tabla_Consulta_desde_Reporte_de_Valorización_de_Instrumentos[[#This Row],[Rank_rt]]="Cash","Cash","Cuestionario Integra"))</f>
        <v>Portafolio</v>
      </c>
      <c r="AR134" s="26" t="str">
        <f>IFERROR(INDEX('BD(MSCI)'!X:X,MATCH(Tabla_Consulta_desde_Reporte_de_Valorización_de_Instrumentos[[#This Row],[CODIGO_ISIN]],'BD(MSCI)'!C:C,0)),"Cuestionario Integra")</f>
        <v>Portafolio</v>
      </c>
      <c r="AU134" s="26"/>
    </row>
    <row r="135" spans="2:47" hidden="1" x14ac:dyDescent="0.25">
      <c r="B135" s="14" t="s">
        <v>6390</v>
      </c>
      <c r="C135" t="s">
        <v>422</v>
      </c>
      <c r="D135" t="s">
        <v>11</v>
      </c>
      <c r="E135" t="s">
        <v>423</v>
      </c>
      <c r="F135" t="s">
        <v>429</v>
      </c>
      <c r="G135" t="str">
        <f>INDEX(Parametria!H:H,MATCH(Tabla_Consulta_desde_Reporte_de_Valorización_de_Instrumentos[[#This Row],[CODIGO_SBS]],Parametria!C:C,0),1)</f>
        <v>Ferreyros S.A.A.</v>
      </c>
      <c r="H135" t="s">
        <v>430</v>
      </c>
      <c r="I135" t="s">
        <v>431</v>
      </c>
      <c r="J135" t="s">
        <v>432</v>
      </c>
      <c r="K135" t="s">
        <v>90</v>
      </c>
      <c r="L135">
        <v>1</v>
      </c>
      <c r="M135" s="5">
        <v>99472294.527117595</v>
      </c>
      <c r="N135">
        <v>99472294.527117595</v>
      </c>
      <c r="O135">
        <v>25515237</v>
      </c>
      <c r="P135" s="15"/>
      <c r="R135">
        <v>1</v>
      </c>
      <c r="S135" t="s">
        <v>428</v>
      </c>
      <c r="T135">
        <v>98073021.0693717</v>
      </c>
      <c r="U135" s="5">
        <v>98073021.0693717</v>
      </c>
      <c r="V135" t="s">
        <v>433</v>
      </c>
      <c r="W135">
        <v>2788216000</v>
      </c>
      <c r="X135">
        <v>117726000</v>
      </c>
      <c r="Y135">
        <v>2670490000</v>
      </c>
      <c r="Z135">
        <v>5.4840699999999999E-2</v>
      </c>
      <c r="AA135" t="str">
        <f>+MID(Tabla_Consulta_desde_Reporte_de_Valorización_de_Instrumentos[[#This Row],[CODIGO_SBS]],7,1)</f>
        <v>1</v>
      </c>
      <c r="AB135">
        <f>INDEX('Cálculo Caja'!F:F,MATCH(Tabla_Consulta_desde_Reporte_de_Valorización_de_Instrumentos[[#This Row],[PORTAFOLIO]],'Cálculo Caja'!A:A,0),1)</f>
        <v>3164069580.822104</v>
      </c>
      <c r="AC135" s="17">
        <f>Tabla_Consulta_desde_Reporte_de_Valorización_de_Instrumentos[[#This Row],[VALOR_VECTOR_LOCAL]]/Tabla_Consulta_desde_Reporte_de_Valorización_de_Instrumentos[[#This Row],[Patrimonio]]</f>
        <v>3.1438086927681352E-2</v>
      </c>
      <c r="AD135" s="4">
        <f>(Tabla_Consulta_desde_Reporte_de_Valorización_de_Instrumentos[[#This Row],[VALOR_VECTOR_LOCAL]]/INDEX('Tipo de Cambio'!$D:$D,MATCH("2",'Tipo de Cambio'!$E:$E,0),1))/1000000</f>
        <v>29.59692181472748</v>
      </c>
      <c r="AE135">
        <f>IF(Tabla_Consulta_desde_Reporte_de_Valorización_de_Instrumentos[[#This Row],[PORTAFOLIO]]="IN-FONDO0",Tabla_Consulta_desde_Reporte_de_Valorización_de_Instrumentos[[#This Row],[Inv MM$]],0)</f>
        <v>0</v>
      </c>
      <c r="AF135" s="26">
        <f>IF(Tabla_Consulta_desde_Reporte_de_Valorización_de_Instrumentos[[#This Row],[PORTAFOLIO]]="IN-FONDO1",Tabla_Consulta_desde_Reporte_de_Valorización_de_Instrumentos[[#This Row],[Inv MM$]],0)</f>
        <v>0</v>
      </c>
      <c r="AG135" s="26">
        <f>IF(Tabla_Consulta_desde_Reporte_de_Valorización_de_Instrumentos[[#This Row],[PORTAFOLIO]]="IN-FONDO2",Tabla_Consulta_desde_Reporte_de_Valorización_de_Instrumentos[[#This Row],[Inv MM$]],0)</f>
        <v>0</v>
      </c>
      <c r="AH135" s="26">
        <f>IF(Tabla_Consulta_desde_Reporte_de_Valorización_de_Instrumentos[[#This Row],[PORTAFOLIO]]="IN-FONDO3",Tabla_Consulta_desde_Reporte_de_Valorización_de_Instrumentos[[#This Row],[Inv MM$]],0)</f>
        <v>29.59692181472748</v>
      </c>
      <c r="AI13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159.64177885238479</v>
      </c>
      <c r="AJ135" s="26">
        <f>IFERROR(IFERROR(INDEX('BD(MSCI)'!$T:$T,MATCH(Tabla_Consulta_desde_Reporte_de_Valorización_de_Instrumentos[[#This Row],[CODIGO_ISIN]],'BD(MSCI)'!$C:$C,0),1),INDEX('BD(MSCI)'!$T:$T,MATCH(Tabla_Consulta_desde_Reporte_de_Valorización_de_Instrumentos[[#This Row],[CODIGO_SBS]],'BD(MSCI)'!$C:$C,0),1)),0)</f>
        <v>7.95</v>
      </c>
      <c r="AK135" s="26">
        <f>Tabla_Consulta_desde_Reporte_de_Valorización_de_Instrumentos[[#This Row],[C02-H]]*Tabla_Consulta_desde_Reporte_de_Valorización_de_Instrumentos[[#This Row],[Inv MM$]]</f>
        <v>235.29552842708347</v>
      </c>
      <c r="AL135" s="26">
        <f>Tabla_Consulta_desde_Reporte_de_Valorización_de_Instrumentos[[#This Row],[C02-H]]*Tabla_Consulta_desde_Reporte_de_Valorización_de_Instrumentos[[#This Row],[Weight]]</f>
        <v>0.24993279107506675</v>
      </c>
      <c r="AM135" s="26" t="str">
        <f>INDEX(Parametria!G:G,MATCH(Tabla_Consulta_desde_Reporte_de_Valorización_de_Instrumentos[[#This Row],[CODIGO_SBS]],Parametria!C:C,0))</f>
        <v>30RVL</v>
      </c>
      <c r="AN135" s="26" t="str">
        <f>INDEX(Parametria!F:F,MATCH(Tabla_Consulta_desde_Reporte_de_Valorización_de_Instrumentos[[#This Row],[CODIGO_SBS]],Parametria!C:C,0))</f>
        <v>BU</v>
      </c>
      <c r="AO135" s="26" t="str">
        <f>+INDEX(Parametria!J:J,MATCH(Tabla_Consulta_desde_Reporte_de_Valorización_de_Instrumentos[[#This Row],[CODIGO_SBS]],Parametria!C:C,0))</f>
        <v>RVLBU</v>
      </c>
      <c r="AP135" s="26">
        <f>Tabla_Consulta_desde_Reporte_de_Valorización_de_Instrumentos[[#This Row],[Huella]]/$AU$4</f>
        <v>2.1813018981543298E-2</v>
      </c>
      <c r="AQ135" s="26" t="str">
        <f>IFERROR(INDEX('BD(MSCI)'!W:W,MATCH(Tabla_Consulta_desde_Reporte_de_Valorización_de_Instrumentos[[#This Row],[CODIGO_ISIN]],'BD(MSCI)'!C:C,0)),IF(Tabla_Consulta_desde_Reporte_de_Valorización_de_Instrumentos[[#This Row],[Rank_rt]]="Cash","Cash","Cuestionario Integra"))</f>
        <v>Portafolio</v>
      </c>
      <c r="AR135" s="26" t="str">
        <f>IFERROR(INDEX('BD(MSCI)'!X:X,MATCH(Tabla_Consulta_desde_Reporte_de_Valorización_de_Instrumentos[[#This Row],[CODIGO_ISIN]],'BD(MSCI)'!C:C,0)),"Cuestionario Integra")</f>
        <v>Portafolio</v>
      </c>
      <c r="AU135" s="26"/>
    </row>
    <row r="136" spans="2:47" hidden="1" x14ac:dyDescent="0.25">
      <c r="B136" s="14" t="s">
        <v>6390</v>
      </c>
      <c r="C136" t="s">
        <v>422</v>
      </c>
      <c r="D136" t="s">
        <v>12</v>
      </c>
      <c r="E136" t="s">
        <v>423</v>
      </c>
      <c r="F136" t="s">
        <v>429</v>
      </c>
      <c r="G136" t="str">
        <f>INDEX(Parametria!H:H,MATCH(Tabla_Consulta_desde_Reporte_de_Valorización_de_Instrumentos[[#This Row],[CODIGO_SBS]],Parametria!C:C,0),1)</f>
        <v>Ferreyros S.A.A.</v>
      </c>
      <c r="H136" t="s">
        <v>430</v>
      </c>
      <c r="I136" t="s">
        <v>431</v>
      </c>
      <c r="J136" t="s">
        <v>432</v>
      </c>
      <c r="K136" t="s">
        <v>90</v>
      </c>
      <c r="L136">
        <v>1</v>
      </c>
      <c r="M136" s="5">
        <v>70359786.479683995</v>
      </c>
      <c r="N136">
        <v>70359786.479683995</v>
      </c>
      <c r="O136">
        <v>18047705</v>
      </c>
      <c r="P136" s="15"/>
      <c r="R136">
        <v>1</v>
      </c>
      <c r="S136" t="s">
        <v>428</v>
      </c>
      <c r="T136">
        <v>69370037.704090506</v>
      </c>
      <c r="U136" s="5">
        <v>69370037.704090506</v>
      </c>
      <c r="V136" t="s">
        <v>433</v>
      </c>
      <c r="W136">
        <v>2788216000</v>
      </c>
      <c r="X136">
        <v>117726000</v>
      </c>
      <c r="Y136">
        <v>2670490000</v>
      </c>
      <c r="Z136">
        <v>5.4840699999999999E-2</v>
      </c>
      <c r="AA136" t="str">
        <f>+MID(Tabla_Consulta_desde_Reporte_de_Valorización_de_Instrumentos[[#This Row],[CODIGO_SBS]],7,1)</f>
        <v>1</v>
      </c>
      <c r="AB136">
        <f>INDEX('Cálculo Caja'!F:F,MATCH(Tabla_Consulta_desde_Reporte_de_Valorización_de_Instrumentos[[#This Row],[PORTAFOLIO]],'Cálculo Caja'!A:A,0),1)</f>
        <v>7679510866.0565634</v>
      </c>
      <c r="AC136" s="17">
        <f>Tabla_Consulta_desde_Reporte_de_Valorización_de_Instrumentos[[#This Row],[VALOR_VECTOR_LOCAL]]/Tabla_Consulta_desde_Reporte_de_Valorización_de_Instrumentos[[#This Row],[Patrimonio]]</f>
        <v>9.1620140536130025E-3</v>
      </c>
      <c r="AD136" s="4">
        <f>(Tabla_Consulta_desde_Reporte_de_Valorización_de_Instrumentos[[#This Row],[VALOR_VECTOR_LOCAL]]/INDEX('Tipo de Cambio'!$D:$D,MATCH("2",'Tipo de Cambio'!$E:$E,0),1))/1000000</f>
        <v>20.934805105681214</v>
      </c>
      <c r="AE136">
        <f>IF(Tabla_Consulta_desde_Reporte_de_Valorización_de_Instrumentos[[#This Row],[PORTAFOLIO]]="IN-FONDO0",Tabla_Consulta_desde_Reporte_de_Valorización_de_Instrumentos[[#This Row],[Inv MM$]],0)</f>
        <v>0</v>
      </c>
      <c r="AF136" s="26">
        <f>IF(Tabla_Consulta_desde_Reporte_de_Valorización_de_Instrumentos[[#This Row],[PORTAFOLIO]]="IN-FONDO1",Tabla_Consulta_desde_Reporte_de_Valorización_de_Instrumentos[[#This Row],[Inv MM$]],0)</f>
        <v>20.934805105681214</v>
      </c>
      <c r="AG136" s="26">
        <f>IF(Tabla_Consulta_desde_Reporte_de_Valorización_de_Instrumentos[[#This Row],[PORTAFOLIO]]="IN-FONDO2",Tabla_Consulta_desde_Reporte_de_Valorización_de_Instrumentos[[#This Row],[Inv MM$]],0)</f>
        <v>0</v>
      </c>
      <c r="AH136" s="26">
        <f>IF(Tabla_Consulta_desde_Reporte_de_Valorización_de_Instrumentos[[#This Row],[PORTAFOLIO]]="IN-FONDO3",Tabla_Consulta_desde_Reporte_de_Valorización_de_Instrumentos[[#This Row],[Inv MM$]],0)</f>
        <v>0</v>
      </c>
      <c r="AI13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159.64177885238479</v>
      </c>
      <c r="AJ136" s="26">
        <f>IFERROR(IFERROR(INDEX('BD(MSCI)'!$T:$T,MATCH(Tabla_Consulta_desde_Reporte_de_Valorización_de_Instrumentos[[#This Row],[CODIGO_ISIN]],'BD(MSCI)'!$C:$C,0),1),INDEX('BD(MSCI)'!$T:$T,MATCH(Tabla_Consulta_desde_Reporte_de_Valorización_de_Instrumentos[[#This Row],[CODIGO_SBS]],'BD(MSCI)'!$C:$C,0),1)),0)</f>
        <v>7.95</v>
      </c>
      <c r="AK136" s="26">
        <f>Tabla_Consulta_desde_Reporte_de_Valorización_de_Instrumentos[[#This Row],[C02-H]]*Tabla_Consulta_desde_Reporte_de_Valorización_de_Instrumentos[[#This Row],[Inv MM$]]</f>
        <v>166.43170059016566</v>
      </c>
      <c r="AL136" s="26">
        <f>Tabla_Consulta_desde_Reporte_de_Valorización_de_Instrumentos[[#This Row],[C02-H]]*Tabla_Consulta_desde_Reporte_de_Valorización_de_Instrumentos[[#This Row],[Weight]]</f>
        <v>7.2838011726223367E-2</v>
      </c>
      <c r="AM136" s="26" t="str">
        <f>INDEX(Parametria!G:G,MATCH(Tabla_Consulta_desde_Reporte_de_Valorización_de_Instrumentos[[#This Row],[CODIGO_SBS]],Parametria!C:C,0))</f>
        <v>30RVL</v>
      </c>
      <c r="AN136" s="26" t="str">
        <f>INDEX(Parametria!F:F,MATCH(Tabla_Consulta_desde_Reporte_de_Valorización_de_Instrumentos[[#This Row],[CODIGO_SBS]],Parametria!C:C,0))</f>
        <v>BU</v>
      </c>
      <c r="AO136" s="26" t="str">
        <f>+INDEX(Parametria!J:J,MATCH(Tabla_Consulta_desde_Reporte_de_Valorización_de_Instrumentos[[#This Row],[CODIGO_SBS]],Parametria!C:C,0))</f>
        <v>RVLBU</v>
      </c>
      <c r="AP136" s="26">
        <f>Tabla_Consulta_desde_Reporte_de_Valorización_de_Instrumentos[[#This Row],[Huella]]/$AU$4</f>
        <v>1.5429013327930048E-2</v>
      </c>
      <c r="AQ136" s="26" t="str">
        <f>IFERROR(INDEX('BD(MSCI)'!W:W,MATCH(Tabla_Consulta_desde_Reporte_de_Valorización_de_Instrumentos[[#This Row],[CODIGO_ISIN]],'BD(MSCI)'!C:C,0)),IF(Tabla_Consulta_desde_Reporte_de_Valorización_de_Instrumentos[[#This Row],[Rank_rt]]="Cash","Cash","Cuestionario Integra"))</f>
        <v>Portafolio</v>
      </c>
      <c r="AR136" s="26" t="str">
        <f>IFERROR(INDEX('BD(MSCI)'!X:X,MATCH(Tabla_Consulta_desde_Reporte_de_Valorización_de_Instrumentos[[#This Row],[CODIGO_ISIN]],'BD(MSCI)'!C:C,0)),"Cuestionario Integra")</f>
        <v>Portafolio</v>
      </c>
      <c r="AU136" s="26"/>
    </row>
    <row r="137" spans="2:47" hidden="1" x14ac:dyDescent="0.25">
      <c r="B137" s="14" t="s">
        <v>6390</v>
      </c>
      <c r="C137" t="s">
        <v>422</v>
      </c>
      <c r="D137" t="s">
        <v>10</v>
      </c>
      <c r="E137" t="s">
        <v>423</v>
      </c>
      <c r="F137" t="s">
        <v>429</v>
      </c>
      <c r="G137" t="str">
        <f>INDEX(Parametria!H:H,MATCH(Tabla_Consulta_desde_Reporte_de_Valorización_de_Instrumentos[[#This Row],[CODIGO_SBS]],Parametria!C:C,0),1)</f>
        <v>Ferreyros S.A.A.</v>
      </c>
      <c r="H137" t="s">
        <v>430</v>
      </c>
      <c r="I137" t="s">
        <v>431</v>
      </c>
      <c r="J137" t="s">
        <v>432</v>
      </c>
      <c r="K137" t="s">
        <v>90</v>
      </c>
      <c r="L137">
        <v>1</v>
      </c>
      <c r="M137" s="5">
        <v>366707973.53817838</v>
      </c>
      <c r="N137">
        <v>366707973.53817838</v>
      </c>
      <c r="O137">
        <v>94062783</v>
      </c>
      <c r="P137" s="15"/>
      <c r="R137">
        <v>1</v>
      </c>
      <c r="S137" t="s">
        <v>428</v>
      </c>
      <c r="T137">
        <v>361549504.6745103</v>
      </c>
      <c r="U137" s="5">
        <v>361549504.6745103</v>
      </c>
      <c r="V137" t="s">
        <v>433</v>
      </c>
      <c r="W137">
        <v>2788216000</v>
      </c>
      <c r="X137">
        <v>117726000</v>
      </c>
      <c r="Y137">
        <v>2670490000</v>
      </c>
      <c r="Z137">
        <v>5.4840699999999999E-2</v>
      </c>
      <c r="AA137" t="str">
        <f>+MID(Tabla_Consulta_desde_Reporte_de_Valorización_de_Instrumentos[[#This Row],[CODIGO_SBS]],7,1)</f>
        <v>1</v>
      </c>
      <c r="AB137">
        <f>INDEX('Cálculo Caja'!F:F,MATCH(Tabla_Consulta_desde_Reporte_de_Valorización_de_Instrumentos[[#This Row],[PORTAFOLIO]],'Cálculo Caja'!A:A,0),1)</f>
        <v>26256910350.436607</v>
      </c>
      <c r="AC137" s="17">
        <f>Tabla_Consulta_desde_Reporte_de_Valorización_de_Instrumentos[[#This Row],[VALOR_VECTOR_LOCAL]]/Tabla_Consulta_desde_Reporte_de_Valorización_de_Instrumentos[[#This Row],[Patrimonio]]</f>
        <v>1.3966150953936614E-2</v>
      </c>
      <c r="AD137" s="4">
        <f>(Tabla_Consulta_desde_Reporte_de_Valorización_de_Instrumentos[[#This Row],[VALOR_VECTOR_LOCAL]]/INDEX('Tipo de Cambio'!$D:$D,MATCH("2",'Tipo de Cambio'!$E:$E,0),1))/1000000</f>
        <v>109.11005193197607</v>
      </c>
      <c r="AE137">
        <f>IF(Tabla_Consulta_desde_Reporte_de_Valorización_de_Instrumentos[[#This Row],[PORTAFOLIO]]="IN-FONDO0",Tabla_Consulta_desde_Reporte_de_Valorización_de_Instrumentos[[#This Row],[Inv MM$]],0)</f>
        <v>0</v>
      </c>
      <c r="AF137" s="26">
        <f>IF(Tabla_Consulta_desde_Reporte_de_Valorización_de_Instrumentos[[#This Row],[PORTAFOLIO]]="IN-FONDO1",Tabla_Consulta_desde_Reporte_de_Valorización_de_Instrumentos[[#This Row],[Inv MM$]],0)</f>
        <v>0</v>
      </c>
      <c r="AG137" s="26">
        <f>IF(Tabla_Consulta_desde_Reporte_de_Valorización_de_Instrumentos[[#This Row],[PORTAFOLIO]]="IN-FONDO2",Tabla_Consulta_desde_Reporte_de_Valorización_de_Instrumentos[[#This Row],[Inv MM$]],0)</f>
        <v>109.11005193197607</v>
      </c>
      <c r="AH137" s="26">
        <f>IF(Tabla_Consulta_desde_Reporte_de_Valorización_de_Instrumentos[[#This Row],[PORTAFOLIO]]="IN-FONDO3",Tabla_Consulta_desde_Reporte_de_Valorización_de_Instrumentos[[#This Row],[Inv MM$]],0)</f>
        <v>0</v>
      </c>
      <c r="AI13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159.64177885238479</v>
      </c>
      <c r="AJ137" s="26">
        <f>IFERROR(IFERROR(INDEX('BD(MSCI)'!$T:$T,MATCH(Tabla_Consulta_desde_Reporte_de_Valorización_de_Instrumentos[[#This Row],[CODIGO_ISIN]],'BD(MSCI)'!$C:$C,0),1),INDEX('BD(MSCI)'!$T:$T,MATCH(Tabla_Consulta_desde_Reporte_de_Valorización_de_Instrumentos[[#This Row],[CODIGO_SBS]],'BD(MSCI)'!$C:$C,0),1)),0)</f>
        <v>7.95</v>
      </c>
      <c r="AK137" s="26">
        <f>Tabla_Consulta_desde_Reporte_de_Valorización_de_Instrumentos[[#This Row],[C02-H]]*Tabla_Consulta_desde_Reporte_de_Valorización_de_Instrumentos[[#This Row],[Inv MM$]]</f>
        <v>867.42491285920983</v>
      </c>
      <c r="AL137" s="26">
        <f>Tabla_Consulta_desde_Reporte_de_Valorización_de_Instrumentos[[#This Row],[C02-H]]*Tabla_Consulta_desde_Reporte_de_Valorización_de_Instrumentos[[#This Row],[Weight]]</f>
        <v>0.11103090008379608</v>
      </c>
      <c r="AM137" s="26" t="str">
        <f>INDEX(Parametria!G:G,MATCH(Tabla_Consulta_desde_Reporte_de_Valorización_de_Instrumentos[[#This Row],[CODIGO_SBS]],Parametria!C:C,0))</f>
        <v>30RVL</v>
      </c>
      <c r="AN137" s="26" t="str">
        <f>INDEX(Parametria!F:F,MATCH(Tabla_Consulta_desde_Reporte_de_Valorización_de_Instrumentos[[#This Row],[CODIGO_SBS]],Parametria!C:C,0))</f>
        <v>BU</v>
      </c>
      <c r="AO137" s="26" t="str">
        <f>+INDEX(Parametria!J:J,MATCH(Tabla_Consulta_desde_Reporte_de_Valorización_de_Instrumentos[[#This Row],[CODIGO_SBS]],Parametria!C:C,0))</f>
        <v>RVLBU</v>
      </c>
      <c r="AP137" s="26">
        <f>Tabla_Consulta_desde_Reporte_de_Valorización_de_Instrumentos[[#This Row],[Huella]]/$AU$4</f>
        <v>8.0414431229299907E-2</v>
      </c>
      <c r="AQ137" s="26" t="str">
        <f>IFERROR(INDEX('BD(MSCI)'!W:W,MATCH(Tabla_Consulta_desde_Reporte_de_Valorización_de_Instrumentos[[#This Row],[CODIGO_ISIN]],'BD(MSCI)'!C:C,0)),IF(Tabla_Consulta_desde_Reporte_de_Valorización_de_Instrumentos[[#This Row],[Rank_rt]]="Cash","Cash","Cuestionario Integra"))</f>
        <v>Portafolio</v>
      </c>
      <c r="AR137" s="26" t="str">
        <f>IFERROR(INDEX('BD(MSCI)'!X:X,MATCH(Tabla_Consulta_desde_Reporte_de_Valorización_de_Instrumentos[[#This Row],[CODIGO_ISIN]],'BD(MSCI)'!C:C,0)),"Cuestionario Integra")</f>
        <v>Portafolio</v>
      </c>
      <c r="AU137" s="26"/>
    </row>
    <row r="138" spans="2:47" hidden="1" x14ac:dyDescent="0.25">
      <c r="B138" s="14" t="s">
        <v>6390</v>
      </c>
      <c r="C138" t="s">
        <v>422</v>
      </c>
      <c r="D138" t="s">
        <v>10</v>
      </c>
      <c r="E138" t="s">
        <v>423</v>
      </c>
      <c r="F138" t="s">
        <v>5283</v>
      </c>
      <c r="G138" t="str">
        <f>INDEX(Parametria!H:H,MATCH(Tabla_Consulta_desde_Reporte_de_Valorización_de_Instrumentos[[#This Row],[CODIGO_SBS]],Parametria!C:C,0),1)</f>
        <v>Puerto Chancay B</v>
      </c>
      <c r="H138" t="s">
        <v>5284</v>
      </c>
      <c r="I138" t="s">
        <v>5285</v>
      </c>
      <c r="J138" t="s">
        <v>5282</v>
      </c>
      <c r="K138" t="s">
        <v>90</v>
      </c>
      <c r="L138">
        <v>0.1</v>
      </c>
      <c r="M138" s="5">
        <v>33791427.8752416</v>
      </c>
      <c r="N138">
        <v>33791427.8752416</v>
      </c>
      <c r="O138">
        <v>234904776</v>
      </c>
      <c r="P138" s="15"/>
      <c r="R138">
        <v>1</v>
      </c>
      <c r="S138" t="s">
        <v>428</v>
      </c>
      <c r="T138">
        <v>33791427.8752416</v>
      </c>
      <c r="U138" s="5">
        <v>33791427.8752416</v>
      </c>
      <c r="V138" t="s">
        <v>156</v>
      </c>
      <c r="W138">
        <v>148030515</v>
      </c>
      <c r="X138">
        <v>16201420</v>
      </c>
      <c r="Y138">
        <v>131829095</v>
      </c>
      <c r="Z138">
        <v>0</v>
      </c>
      <c r="AA138" t="str">
        <f>+MID(Tabla_Consulta_desde_Reporte_de_Valorización_de_Instrumentos[[#This Row],[CODIGO_SBS]],7,1)</f>
        <v>1</v>
      </c>
      <c r="AB138">
        <f>INDEX('Cálculo Caja'!F:F,MATCH(Tabla_Consulta_desde_Reporte_de_Valorización_de_Instrumentos[[#This Row],[PORTAFOLIO]],'Cálculo Caja'!A:A,0),1)</f>
        <v>26256910350.436607</v>
      </c>
      <c r="AC138" s="17">
        <f>Tabla_Consulta_desde_Reporte_de_Valorización_de_Instrumentos[[#This Row],[VALOR_VECTOR_LOCAL]]/Tabla_Consulta_desde_Reporte_de_Valorización_de_Instrumentos[[#This Row],[Patrimonio]]</f>
        <v>1.286953698064468E-3</v>
      </c>
      <c r="AD138" s="4">
        <f>(Tabla_Consulta_desde_Reporte_de_Valorización_de_Instrumentos[[#This Row],[VALOR_VECTOR_LOCAL]]/INDEX('Tipo de Cambio'!$D:$D,MATCH("2",'Tipo de Cambio'!$E:$E,0),1))/1000000</f>
        <v>10.054279471344461</v>
      </c>
      <c r="AE138">
        <f>IF(Tabla_Consulta_desde_Reporte_de_Valorización_de_Instrumentos[[#This Row],[PORTAFOLIO]]="IN-FONDO0",Tabla_Consulta_desde_Reporte_de_Valorización_de_Instrumentos[[#This Row],[Inv MM$]],0)</f>
        <v>0</v>
      </c>
      <c r="AF138" s="26">
        <f>IF(Tabla_Consulta_desde_Reporte_de_Valorización_de_Instrumentos[[#This Row],[PORTAFOLIO]]="IN-FONDO1",Tabla_Consulta_desde_Reporte_de_Valorización_de_Instrumentos[[#This Row],[Inv MM$]],0)</f>
        <v>0</v>
      </c>
      <c r="AG138" s="26">
        <f>IF(Tabla_Consulta_desde_Reporte_de_Valorización_de_Instrumentos[[#This Row],[PORTAFOLIO]]="IN-FONDO2",Tabla_Consulta_desde_Reporte_de_Valorización_de_Instrumentos[[#This Row],[Inv MM$]],0)</f>
        <v>10.054279471344461</v>
      </c>
      <c r="AH138" s="26">
        <f>IF(Tabla_Consulta_desde_Reporte_de_Valorización_de_Instrumentos[[#This Row],[PORTAFOLIO]]="IN-FONDO3",Tabla_Consulta_desde_Reporte_de_Valorización_de_Instrumentos[[#This Row],[Inv MM$]],0)</f>
        <v>0</v>
      </c>
      <c r="AI13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16.311205760709335</v>
      </c>
      <c r="AJ138" s="26">
        <f>IFERROR(IFERROR(INDEX('BD(MSCI)'!$T:$T,MATCH(Tabla_Consulta_desde_Reporte_de_Valorización_de_Instrumentos[[#This Row],[CODIGO_ISIN]],'BD(MSCI)'!$C:$C,0),1),INDEX('BD(MSCI)'!$T:$T,MATCH(Tabla_Consulta_desde_Reporte_de_Valorización_de_Instrumentos[[#This Row],[CODIGO_SBS]],'BD(MSCI)'!$C:$C,0),1)),0)</f>
        <v>33.06438043</v>
      </c>
      <c r="AK138" s="26">
        <f>Tabla_Consulta_desde_Reporte_de_Valorización_de_Instrumentos[[#This Row],[C02-H]]*Tabla_Consulta_desde_Reporte_de_Valorización_de_Instrumentos[[#This Row],[Inv MM$]]</f>
        <v>332.43852139007254</v>
      </c>
      <c r="AL138" s="26">
        <f>Tabla_Consulta_desde_Reporte_de_Valorización_de_Instrumentos[[#This Row],[C02-H]]*Tabla_Consulta_desde_Reporte_de_Valorización_de_Instrumentos[[#This Row],[Weight]]</f>
        <v>4.2552326668598921E-2</v>
      </c>
      <c r="AM138" s="26" t="str">
        <f>INDEX(Parametria!G:G,MATCH(Tabla_Consulta_desde_Reporte_de_Valorización_de_Instrumentos[[#This Row],[CODIGO_SBS]],Parametria!C:C,0))</f>
        <v>30RVL</v>
      </c>
      <c r="AN138" s="26" t="str">
        <f>INDEX(Parametria!F:F,MATCH(Tabla_Consulta_desde_Reporte_de_Valorización_de_Instrumentos[[#This Row],[CODIGO_SBS]],Parametria!C:C,0))</f>
        <v>BU</v>
      </c>
      <c r="AO138" s="26" t="str">
        <f>+INDEX(Parametria!J:J,MATCH(Tabla_Consulta_desde_Reporte_de_Valorización_de_Instrumentos[[#This Row],[CODIGO_SBS]],Parametria!C:C,0))</f>
        <v>RVLBU</v>
      </c>
      <c r="AP138" s="26">
        <f>Tabla_Consulta_desde_Reporte_de_Valorización_de_Instrumentos[[#This Row],[Huella]]/$AU$4</f>
        <v>3.0818638270573968E-2</v>
      </c>
      <c r="AQ138" s="26" t="str">
        <f>IFERROR(INDEX('BD(MSCI)'!W:W,MATCH(Tabla_Consulta_desde_Reporte_de_Valorización_de_Instrumentos[[#This Row],[CODIGO_ISIN]],'BD(MSCI)'!C:C,0)),IF(Tabla_Consulta_desde_Reporte_de_Valorización_de_Instrumentos[[#This Row],[Rank_rt]]="Cash","Cash","Cuestionario Integra"))</f>
        <v>Proxies</v>
      </c>
      <c r="AR138" s="26" t="str">
        <f>IFERROR(INDEX('BD(MSCI)'!X:X,MATCH(Tabla_Consulta_desde_Reporte_de_Valorización_de_Instrumentos[[#This Row],[CODIGO_ISIN]],'BD(MSCI)'!C:C,0)),"Cuestionario Integra")</f>
        <v>BU</v>
      </c>
      <c r="AU138" s="26"/>
    </row>
    <row r="139" spans="2:47" hidden="1" x14ac:dyDescent="0.25">
      <c r="B139" s="14" t="s">
        <v>6390</v>
      </c>
      <c r="C139" t="s">
        <v>422</v>
      </c>
      <c r="D139" t="s">
        <v>11</v>
      </c>
      <c r="E139" t="s">
        <v>423</v>
      </c>
      <c r="F139" t="s">
        <v>5279</v>
      </c>
      <c r="G139" t="str">
        <f>INDEX(Parametria!H:H,MATCH(Tabla_Consulta_desde_Reporte_de_Valorización_de_Instrumentos[[#This Row],[CODIGO_SBS]],Parametria!C:C,0),1)</f>
        <v>Puerto Chancay A</v>
      </c>
      <c r="H139" t="s">
        <v>5280</v>
      </c>
      <c r="I139" t="s">
        <v>5281</v>
      </c>
      <c r="J139" t="s">
        <v>5282</v>
      </c>
      <c r="K139" t="s">
        <v>90</v>
      </c>
      <c r="L139">
        <v>0.1</v>
      </c>
      <c r="M139" s="5">
        <v>519.70700480000005</v>
      </c>
      <c r="N139">
        <v>519.70700480000005</v>
      </c>
      <c r="O139">
        <v>464</v>
      </c>
      <c r="P139" s="15"/>
      <c r="R139">
        <v>1</v>
      </c>
      <c r="S139" t="s">
        <v>428</v>
      </c>
      <c r="T139">
        <v>519.70700480000005</v>
      </c>
      <c r="U139" s="5">
        <v>519.70700480000005</v>
      </c>
      <c r="V139" t="s">
        <v>156</v>
      </c>
      <c r="W139">
        <v>148030515</v>
      </c>
      <c r="X139">
        <v>16201420</v>
      </c>
      <c r="Y139">
        <v>131829095</v>
      </c>
      <c r="Z139">
        <v>0</v>
      </c>
      <c r="AA139" t="str">
        <f>+MID(Tabla_Consulta_desde_Reporte_de_Valorización_de_Instrumentos[[#This Row],[CODIGO_SBS]],7,1)</f>
        <v>1</v>
      </c>
      <c r="AB139">
        <f>INDEX('Cálculo Caja'!F:F,MATCH(Tabla_Consulta_desde_Reporte_de_Valorización_de_Instrumentos[[#This Row],[PORTAFOLIO]],'Cálculo Caja'!A:A,0),1)</f>
        <v>3164069580.822104</v>
      </c>
      <c r="AC139" s="17">
        <f>Tabla_Consulta_desde_Reporte_de_Valorización_de_Instrumentos[[#This Row],[VALOR_VECTOR_LOCAL]]/Tabla_Consulta_desde_Reporte_de_Valorización_de_Instrumentos[[#This Row],[Patrimonio]]</f>
        <v>1.6425271048083817E-7</v>
      </c>
      <c r="AD139" s="4">
        <f>(Tabla_Consulta_desde_Reporte_de_Valorización_de_Instrumentos[[#This Row],[VALOR_VECTOR_LOCAL]]/INDEX('Tipo de Cambio'!$D:$D,MATCH("2",'Tipo de Cambio'!$E:$E,0),1))/1000000</f>
        <v>1.5463328417983279E-4</v>
      </c>
      <c r="AE139">
        <f>IF(Tabla_Consulta_desde_Reporte_de_Valorización_de_Instrumentos[[#This Row],[PORTAFOLIO]]="IN-FONDO0",Tabla_Consulta_desde_Reporte_de_Valorización_de_Instrumentos[[#This Row],[Inv MM$]],0)</f>
        <v>0</v>
      </c>
      <c r="AF139" s="26">
        <f>IF(Tabla_Consulta_desde_Reporte_de_Valorización_de_Instrumentos[[#This Row],[PORTAFOLIO]]="IN-FONDO1",Tabla_Consulta_desde_Reporte_de_Valorización_de_Instrumentos[[#This Row],[Inv MM$]],0)</f>
        <v>0</v>
      </c>
      <c r="AG139" s="26">
        <f>IF(Tabla_Consulta_desde_Reporte_de_Valorización_de_Instrumentos[[#This Row],[PORTAFOLIO]]="IN-FONDO2",Tabla_Consulta_desde_Reporte_de_Valorización_de_Instrumentos[[#This Row],[Inv MM$]],0)</f>
        <v>0</v>
      </c>
      <c r="AH139" s="26">
        <f>IF(Tabla_Consulta_desde_Reporte_de_Valorización_de_Instrumentos[[#This Row],[PORTAFOLIO]]="IN-FONDO3",Tabla_Consulta_desde_Reporte_de_Valorización_de_Instrumentos[[#This Row],[Inv MM$]],0)</f>
        <v>1.5463328417983279E-4</v>
      </c>
      <c r="AI13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3.3326138831860514E-4</v>
      </c>
      <c r="AJ139" s="26">
        <f>IFERROR(IFERROR(INDEX('BD(MSCI)'!$T:$T,MATCH(Tabla_Consulta_desde_Reporte_de_Valorización_de_Instrumentos[[#This Row],[CODIGO_ISIN]],'BD(MSCI)'!$C:$C,0),1),INDEX('BD(MSCI)'!$T:$T,MATCH(Tabla_Consulta_desde_Reporte_de_Valorización_de_Instrumentos[[#This Row],[CODIGO_SBS]],'BD(MSCI)'!$C:$C,0),1)),0)</f>
        <v>33.06438043</v>
      </c>
      <c r="AK139" s="26">
        <f>Tabla_Consulta_desde_Reporte_de_Valorización_de_Instrumentos[[#This Row],[C02-H]]*Tabla_Consulta_desde_Reporte_de_Valorización_de_Instrumentos[[#This Row],[Inv MM$]]</f>
        <v>5.1128537352622917E-3</v>
      </c>
      <c r="AL139" s="26">
        <f>Tabla_Consulta_desde_Reporte_de_Valorización_de_Instrumentos[[#This Row],[C02-H]]*Tabla_Consulta_desde_Reporte_de_Valorización_de_Instrumentos[[#This Row],[Weight]]</f>
        <v>5.4309141059970812E-6</v>
      </c>
      <c r="AM139" s="26" t="str">
        <f>INDEX(Parametria!G:G,MATCH(Tabla_Consulta_desde_Reporte_de_Valorización_de_Instrumentos[[#This Row],[CODIGO_SBS]],Parametria!C:C,0))</f>
        <v>30RVL</v>
      </c>
      <c r="AN139" s="26" t="str">
        <f>INDEX(Parametria!F:F,MATCH(Tabla_Consulta_desde_Reporte_de_Valorización_de_Instrumentos[[#This Row],[CODIGO_SBS]],Parametria!C:C,0))</f>
        <v>BU</v>
      </c>
      <c r="AO139" s="26" t="str">
        <f>+INDEX(Parametria!J:J,MATCH(Tabla_Consulta_desde_Reporte_de_Valorización_de_Instrumentos[[#This Row],[CODIGO_SBS]],Parametria!C:C,0))</f>
        <v>RVLBU</v>
      </c>
      <c r="AP139" s="26">
        <f>Tabla_Consulta_desde_Reporte_de_Valorización_de_Instrumentos[[#This Row],[Huella]]/$AU$4</f>
        <v>4.7398595427066235E-7</v>
      </c>
      <c r="AQ139" s="26" t="str">
        <f>IFERROR(INDEX('BD(MSCI)'!W:W,MATCH(Tabla_Consulta_desde_Reporte_de_Valorización_de_Instrumentos[[#This Row],[CODIGO_ISIN]],'BD(MSCI)'!C:C,0)),IF(Tabla_Consulta_desde_Reporte_de_Valorización_de_Instrumentos[[#This Row],[Rank_rt]]="Cash","Cash","Cuestionario Integra"))</f>
        <v>Proxies</v>
      </c>
      <c r="AR139" s="26" t="str">
        <f>IFERROR(INDEX('BD(MSCI)'!X:X,MATCH(Tabla_Consulta_desde_Reporte_de_Valorización_de_Instrumentos[[#This Row],[CODIGO_ISIN]],'BD(MSCI)'!C:C,0)),"Cuestionario Integra")</f>
        <v>BU</v>
      </c>
      <c r="AU139" s="26"/>
    </row>
    <row r="140" spans="2:47" hidden="1" x14ac:dyDescent="0.25">
      <c r="B140" s="14" t="s">
        <v>6390</v>
      </c>
      <c r="C140" t="s">
        <v>422</v>
      </c>
      <c r="D140" t="s">
        <v>10</v>
      </c>
      <c r="E140" t="s">
        <v>423</v>
      </c>
      <c r="F140" t="s">
        <v>5279</v>
      </c>
      <c r="G140" t="str">
        <f>INDEX(Parametria!H:H,MATCH(Tabla_Consulta_desde_Reporte_de_Valorización_de_Instrumentos[[#This Row],[CODIGO_SBS]],Parametria!C:C,0),1)</f>
        <v>Puerto Chancay A</v>
      </c>
      <c r="H140" t="s">
        <v>5280</v>
      </c>
      <c r="I140" t="s">
        <v>5281</v>
      </c>
      <c r="J140" t="s">
        <v>5282</v>
      </c>
      <c r="K140" t="s">
        <v>90</v>
      </c>
      <c r="L140">
        <v>0.1</v>
      </c>
      <c r="M140" s="5">
        <v>525.30729580000002</v>
      </c>
      <c r="N140">
        <v>525.30729580000002</v>
      </c>
      <c r="O140">
        <v>469</v>
      </c>
      <c r="P140" s="15"/>
      <c r="R140">
        <v>1</v>
      </c>
      <c r="S140" t="s">
        <v>428</v>
      </c>
      <c r="T140">
        <v>525.30729580000002</v>
      </c>
      <c r="U140" s="5">
        <v>525.30729580000002</v>
      </c>
      <c r="V140" t="s">
        <v>156</v>
      </c>
      <c r="W140">
        <v>148030515</v>
      </c>
      <c r="X140">
        <v>16201420</v>
      </c>
      <c r="Y140">
        <v>131829095</v>
      </c>
      <c r="Z140">
        <v>0</v>
      </c>
      <c r="AA140" t="str">
        <f>+MID(Tabla_Consulta_desde_Reporte_de_Valorización_de_Instrumentos[[#This Row],[CODIGO_SBS]],7,1)</f>
        <v>1</v>
      </c>
      <c r="AB140">
        <f>INDEX('Cálculo Caja'!F:F,MATCH(Tabla_Consulta_desde_Reporte_de_Valorización_de_Instrumentos[[#This Row],[PORTAFOLIO]],'Cálculo Caja'!A:A,0),1)</f>
        <v>26256910350.436607</v>
      </c>
      <c r="AC140" s="17">
        <f>Tabla_Consulta_desde_Reporte_de_Valorización_de_Instrumentos[[#This Row],[VALOR_VECTOR_LOCAL]]/Tabla_Consulta_desde_Reporte_de_Valorización_de_Instrumentos[[#This Row],[Patrimonio]]</f>
        <v>2.0006439782480541E-8</v>
      </c>
      <c r="AD140" s="4">
        <f>(Tabla_Consulta_desde_Reporte_de_Valorización_de_Instrumentos[[#This Row],[VALOR_VECTOR_LOCAL]]/INDEX('Tipo de Cambio'!$D:$D,MATCH("2",'Tipo de Cambio'!$E:$E,0),1))/1000000</f>
        <v>1.562995911214258E-4</v>
      </c>
      <c r="AE140">
        <f>IF(Tabla_Consulta_desde_Reporte_de_Valorización_de_Instrumentos[[#This Row],[PORTAFOLIO]]="IN-FONDO0",Tabla_Consulta_desde_Reporte_de_Valorización_de_Instrumentos[[#This Row],[Inv MM$]],0)</f>
        <v>0</v>
      </c>
      <c r="AF140" s="26">
        <f>IF(Tabla_Consulta_desde_Reporte_de_Valorización_de_Instrumentos[[#This Row],[PORTAFOLIO]]="IN-FONDO1",Tabla_Consulta_desde_Reporte_de_Valorización_de_Instrumentos[[#This Row],[Inv MM$]],0)</f>
        <v>0</v>
      </c>
      <c r="AG140" s="26">
        <f>IF(Tabla_Consulta_desde_Reporte_de_Valorización_de_Instrumentos[[#This Row],[PORTAFOLIO]]="IN-FONDO2",Tabla_Consulta_desde_Reporte_de_Valorización_de_Instrumentos[[#This Row],[Inv MM$]],0)</f>
        <v>1.562995911214258E-4</v>
      </c>
      <c r="AH140" s="26">
        <f>IF(Tabla_Consulta_desde_Reporte_de_Valorización_de_Instrumentos[[#This Row],[PORTAFOLIO]]="IN-FONDO3",Tabla_Consulta_desde_Reporte_de_Valorización_de_Instrumentos[[#This Row],[Inv MM$]],0)</f>
        <v>0</v>
      </c>
      <c r="AI14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3.3326138831860514E-4</v>
      </c>
      <c r="AJ140" s="26">
        <f>IFERROR(IFERROR(INDEX('BD(MSCI)'!$T:$T,MATCH(Tabla_Consulta_desde_Reporte_de_Valorización_de_Instrumentos[[#This Row],[CODIGO_ISIN]],'BD(MSCI)'!$C:$C,0),1),INDEX('BD(MSCI)'!$T:$T,MATCH(Tabla_Consulta_desde_Reporte_de_Valorización_de_Instrumentos[[#This Row],[CODIGO_SBS]],'BD(MSCI)'!$C:$C,0),1)),0)</f>
        <v>33.06438043</v>
      </c>
      <c r="AK140" s="26">
        <f>Tabla_Consulta_desde_Reporte_de_Valorización_de_Instrumentos[[#This Row],[C02-H]]*Tabla_Consulta_desde_Reporte_de_Valorización_de_Instrumentos[[#This Row],[Inv MM$]]</f>
        <v>5.1679491418922729E-3</v>
      </c>
      <c r="AL140" s="26">
        <f>Tabla_Consulta_desde_Reporte_de_Valorización_de_Instrumentos[[#This Row],[C02-H]]*Tabla_Consulta_desde_Reporte_de_Valorización_de_Instrumentos[[#This Row],[Weight]]</f>
        <v>6.6150053601782303E-7</v>
      </c>
      <c r="AM140" s="26" t="str">
        <f>INDEX(Parametria!G:G,MATCH(Tabla_Consulta_desde_Reporte_de_Valorización_de_Instrumentos[[#This Row],[CODIGO_SBS]],Parametria!C:C,0))</f>
        <v>30RVL</v>
      </c>
      <c r="AN140" s="26" t="str">
        <f>INDEX(Parametria!F:F,MATCH(Tabla_Consulta_desde_Reporte_de_Valorización_de_Instrumentos[[#This Row],[CODIGO_SBS]],Parametria!C:C,0))</f>
        <v>BU</v>
      </c>
      <c r="AO140" s="26" t="str">
        <f>+INDEX(Parametria!J:J,MATCH(Tabla_Consulta_desde_Reporte_de_Valorización_de_Instrumentos[[#This Row],[CODIGO_SBS]],Parametria!C:C,0))</f>
        <v>RVLBU</v>
      </c>
      <c r="AP140" s="26">
        <f>Tabla_Consulta_desde_Reporte_de_Valorización_de_Instrumentos[[#This Row],[Huella]]/$AU$4</f>
        <v>4.7909356153650996E-7</v>
      </c>
      <c r="AQ140" s="26" t="str">
        <f>IFERROR(INDEX('BD(MSCI)'!W:W,MATCH(Tabla_Consulta_desde_Reporte_de_Valorización_de_Instrumentos[[#This Row],[CODIGO_ISIN]],'BD(MSCI)'!C:C,0)),IF(Tabla_Consulta_desde_Reporte_de_Valorización_de_Instrumentos[[#This Row],[Rank_rt]]="Cash","Cash","Cuestionario Integra"))</f>
        <v>Proxies</v>
      </c>
      <c r="AR140" s="26" t="str">
        <f>IFERROR(INDEX('BD(MSCI)'!X:X,MATCH(Tabla_Consulta_desde_Reporte_de_Valorización_de_Instrumentos[[#This Row],[CODIGO_ISIN]],'BD(MSCI)'!C:C,0)),"Cuestionario Integra")</f>
        <v>BU</v>
      </c>
      <c r="AU140" s="26"/>
    </row>
    <row r="141" spans="2:47" hidden="1" x14ac:dyDescent="0.25">
      <c r="B141" s="14" t="s">
        <v>6390</v>
      </c>
      <c r="C141" t="s">
        <v>422</v>
      </c>
      <c r="D141" t="s">
        <v>12</v>
      </c>
      <c r="E141" t="s">
        <v>423</v>
      </c>
      <c r="F141" t="s">
        <v>5283</v>
      </c>
      <c r="G141" t="str">
        <f>INDEX(Parametria!H:H,MATCH(Tabla_Consulta_desde_Reporte_de_Valorización_de_Instrumentos[[#This Row],[CODIGO_SBS]],Parametria!C:C,0),1)</f>
        <v>Puerto Chancay B</v>
      </c>
      <c r="H141" t="s">
        <v>5284</v>
      </c>
      <c r="I141" t="s">
        <v>5285</v>
      </c>
      <c r="J141" t="s">
        <v>5282</v>
      </c>
      <c r="K141" t="s">
        <v>90</v>
      </c>
      <c r="L141">
        <v>0.1</v>
      </c>
      <c r="M141" s="5">
        <v>4466719.9202207997</v>
      </c>
      <c r="N141">
        <v>4466719.9202207997</v>
      </c>
      <c r="O141">
        <v>31050888</v>
      </c>
      <c r="P141" s="15"/>
      <c r="R141">
        <v>1</v>
      </c>
      <c r="S141" t="s">
        <v>428</v>
      </c>
      <c r="T141">
        <v>4466719.9202207997</v>
      </c>
      <c r="U141" s="5">
        <v>4466719.9202207997</v>
      </c>
      <c r="V141" t="s">
        <v>156</v>
      </c>
      <c r="W141">
        <v>148030515</v>
      </c>
      <c r="X141">
        <v>16201420</v>
      </c>
      <c r="Y141">
        <v>131829095</v>
      </c>
      <c r="Z141">
        <v>0</v>
      </c>
      <c r="AA141" t="str">
        <f>+MID(Tabla_Consulta_desde_Reporte_de_Valorización_de_Instrumentos[[#This Row],[CODIGO_SBS]],7,1)</f>
        <v>1</v>
      </c>
      <c r="AB141">
        <f>INDEX('Cálculo Caja'!F:F,MATCH(Tabla_Consulta_desde_Reporte_de_Valorización_de_Instrumentos[[#This Row],[PORTAFOLIO]],'Cálculo Caja'!A:A,0),1)</f>
        <v>7679510866.0565634</v>
      </c>
      <c r="AC141" s="17">
        <f>Tabla_Consulta_desde_Reporte_de_Valorización_de_Instrumentos[[#This Row],[VALOR_VECTOR_LOCAL]]/Tabla_Consulta_desde_Reporte_de_Valorización_de_Instrumentos[[#This Row],[Patrimonio]]</f>
        <v>5.8164120060871338E-4</v>
      </c>
      <c r="AD141" s="4">
        <f>(Tabla_Consulta_desde_Reporte_de_Valorización_de_Instrumentos[[#This Row],[VALOR_VECTOR_LOCAL]]/INDEX('Tipo de Cambio'!$D:$D,MATCH("2",'Tipo de Cambio'!$E:$E,0),1))/1000000</f>
        <v>1.3290249398139782</v>
      </c>
      <c r="AE141">
        <f>IF(Tabla_Consulta_desde_Reporte_de_Valorización_de_Instrumentos[[#This Row],[PORTAFOLIO]]="IN-FONDO0",Tabla_Consulta_desde_Reporte_de_Valorización_de_Instrumentos[[#This Row],[Inv MM$]],0)</f>
        <v>0</v>
      </c>
      <c r="AF141" s="26">
        <f>IF(Tabla_Consulta_desde_Reporte_de_Valorización_de_Instrumentos[[#This Row],[PORTAFOLIO]]="IN-FONDO1",Tabla_Consulta_desde_Reporte_de_Valorización_de_Instrumentos[[#This Row],[Inv MM$]],0)</f>
        <v>1.3290249398139782</v>
      </c>
      <c r="AG141" s="26">
        <f>IF(Tabla_Consulta_desde_Reporte_de_Valorización_de_Instrumentos[[#This Row],[PORTAFOLIO]]="IN-FONDO2",Tabla_Consulta_desde_Reporte_de_Valorización_de_Instrumentos[[#This Row],[Inv MM$]],0)</f>
        <v>0</v>
      </c>
      <c r="AH141" s="26">
        <f>IF(Tabla_Consulta_desde_Reporte_de_Valorización_de_Instrumentos[[#This Row],[PORTAFOLIO]]="IN-FONDO3",Tabla_Consulta_desde_Reporte_de_Valorización_de_Instrumentos[[#This Row],[Inv MM$]],0)</f>
        <v>0</v>
      </c>
      <c r="AI14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16.311205760709335</v>
      </c>
      <c r="AJ141" s="26">
        <f>IFERROR(IFERROR(INDEX('BD(MSCI)'!$T:$T,MATCH(Tabla_Consulta_desde_Reporte_de_Valorización_de_Instrumentos[[#This Row],[CODIGO_ISIN]],'BD(MSCI)'!$C:$C,0),1),INDEX('BD(MSCI)'!$T:$T,MATCH(Tabla_Consulta_desde_Reporte_de_Valorización_de_Instrumentos[[#This Row],[CODIGO_SBS]],'BD(MSCI)'!$C:$C,0),1)),0)</f>
        <v>33.06438043</v>
      </c>
      <c r="AK141" s="26">
        <f>Tabla_Consulta_desde_Reporte_de_Valorización_de_Instrumentos[[#This Row],[C02-H]]*Tabla_Consulta_desde_Reporte_de_Valorización_de_Instrumentos[[#This Row],[Inv MM$]]</f>
        <v>43.943386210967226</v>
      </c>
      <c r="AL141" s="26">
        <f>Tabla_Consulta_desde_Reporte_de_Valorización_de_Instrumentos[[#This Row],[C02-H]]*Tabla_Consulta_desde_Reporte_de_Valorización_de_Instrumentos[[#This Row],[Weight]]</f>
        <v>1.9231605930688445E-2</v>
      </c>
      <c r="AM141" s="26" t="str">
        <f>INDEX(Parametria!G:G,MATCH(Tabla_Consulta_desde_Reporte_de_Valorización_de_Instrumentos[[#This Row],[CODIGO_SBS]],Parametria!C:C,0))</f>
        <v>30RVL</v>
      </c>
      <c r="AN141" s="26" t="str">
        <f>INDEX(Parametria!F:F,MATCH(Tabla_Consulta_desde_Reporte_de_Valorización_de_Instrumentos[[#This Row],[CODIGO_SBS]],Parametria!C:C,0))</f>
        <v>BU</v>
      </c>
      <c r="AO141" s="26" t="str">
        <f>+INDEX(Parametria!J:J,MATCH(Tabla_Consulta_desde_Reporte_de_Valorización_de_Instrumentos[[#This Row],[CODIGO_SBS]],Parametria!C:C,0))</f>
        <v>RVLBU</v>
      </c>
      <c r="AP141" s="26">
        <f>Tabla_Consulta_desde_Reporte_de_Valorización_de_Instrumentos[[#This Row],[Huella]]/$AU$4</f>
        <v>4.0737617239936658E-3</v>
      </c>
      <c r="AQ141" s="26" t="str">
        <f>IFERROR(INDEX('BD(MSCI)'!W:W,MATCH(Tabla_Consulta_desde_Reporte_de_Valorización_de_Instrumentos[[#This Row],[CODIGO_ISIN]],'BD(MSCI)'!C:C,0)),IF(Tabla_Consulta_desde_Reporte_de_Valorización_de_Instrumentos[[#This Row],[Rank_rt]]="Cash","Cash","Cuestionario Integra"))</f>
        <v>Proxies</v>
      </c>
      <c r="AR141" s="26" t="str">
        <f>IFERROR(INDEX('BD(MSCI)'!X:X,MATCH(Tabla_Consulta_desde_Reporte_de_Valorización_de_Instrumentos[[#This Row],[CODIGO_ISIN]],'BD(MSCI)'!C:C,0)),"Cuestionario Integra")</f>
        <v>BU</v>
      </c>
      <c r="AU141" s="26"/>
    </row>
    <row r="142" spans="2:47" hidden="1" x14ac:dyDescent="0.25">
      <c r="B142" s="14" t="s">
        <v>6390</v>
      </c>
      <c r="C142" t="s">
        <v>422</v>
      </c>
      <c r="D142" t="s">
        <v>12</v>
      </c>
      <c r="E142" t="s">
        <v>423</v>
      </c>
      <c r="F142" t="s">
        <v>5279</v>
      </c>
      <c r="G142" t="str">
        <f>INDEX(Parametria!H:H,MATCH(Tabla_Consulta_desde_Reporte_de_Valorización_de_Instrumentos[[#This Row],[CODIGO_SBS]],Parametria!C:C,0),1)</f>
        <v>Puerto Chancay A</v>
      </c>
      <c r="H142" t="s">
        <v>5280</v>
      </c>
      <c r="I142" t="s">
        <v>5281</v>
      </c>
      <c r="J142" t="s">
        <v>5282</v>
      </c>
      <c r="K142" t="s">
        <v>90</v>
      </c>
      <c r="L142">
        <v>0.1</v>
      </c>
      <c r="M142" s="5">
        <v>75.043899400000001</v>
      </c>
      <c r="N142">
        <v>75.043899400000001</v>
      </c>
      <c r="O142">
        <v>67</v>
      </c>
      <c r="P142" s="15"/>
      <c r="R142">
        <v>1</v>
      </c>
      <c r="S142" t="s">
        <v>428</v>
      </c>
      <c r="T142">
        <v>75.043899400000001</v>
      </c>
      <c r="U142" s="5">
        <v>75.043899400000001</v>
      </c>
      <c r="V142" t="s">
        <v>156</v>
      </c>
      <c r="W142">
        <v>148030515</v>
      </c>
      <c r="X142">
        <v>16201420</v>
      </c>
      <c r="Y142">
        <v>131829095</v>
      </c>
      <c r="Z142">
        <v>0</v>
      </c>
      <c r="AA142" t="str">
        <f>+MID(Tabla_Consulta_desde_Reporte_de_Valorización_de_Instrumentos[[#This Row],[CODIGO_SBS]],7,1)</f>
        <v>1</v>
      </c>
      <c r="AB142">
        <f>INDEX('Cálculo Caja'!F:F,MATCH(Tabla_Consulta_desde_Reporte_de_Valorización_de_Instrumentos[[#This Row],[PORTAFOLIO]],'Cálculo Caja'!A:A,0),1)</f>
        <v>7679510866.0565634</v>
      </c>
      <c r="AC142" s="17">
        <f>Tabla_Consulta_desde_Reporte_de_Valorización_de_Instrumentos[[#This Row],[VALOR_VECTOR_LOCAL]]/Tabla_Consulta_desde_Reporte_de_Valorización_de_Instrumentos[[#This Row],[Patrimonio]]</f>
        <v>9.7719634373712554E-9</v>
      </c>
      <c r="AD142" s="4">
        <f>(Tabla_Consulta_desde_Reporte_de_Valorización_de_Instrumentos[[#This Row],[VALOR_VECTOR_LOCAL]]/INDEX('Tipo de Cambio'!$D:$D,MATCH("2",'Tipo de Cambio'!$E:$E,0),1))/1000000</f>
        <v>2.2328513017346544E-5</v>
      </c>
      <c r="AE142">
        <f>IF(Tabla_Consulta_desde_Reporte_de_Valorización_de_Instrumentos[[#This Row],[PORTAFOLIO]]="IN-FONDO0",Tabla_Consulta_desde_Reporte_de_Valorización_de_Instrumentos[[#This Row],[Inv MM$]],0)</f>
        <v>0</v>
      </c>
      <c r="AF142" s="26">
        <f>IF(Tabla_Consulta_desde_Reporte_de_Valorización_de_Instrumentos[[#This Row],[PORTAFOLIO]]="IN-FONDO1",Tabla_Consulta_desde_Reporte_de_Valorización_de_Instrumentos[[#This Row],[Inv MM$]],0)</f>
        <v>2.2328513017346544E-5</v>
      </c>
      <c r="AG142" s="26">
        <f>IF(Tabla_Consulta_desde_Reporte_de_Valorización_de_Instrumentos[[#This Row],[PORTAFOLIO]]="IN-FONDO2",Tabla_Consulta_desde_Reporte_de_Valorización_de_Instrumentos[[#This Row],[Inv MM$]],0)</f>
        <v>0</v>
      </c>
      <c r="AH142" s="26">
        <f>IF(Tabla_Consulta_desde_Reporte_de_Valorización_de_Instrumentos[[#This Row],[PORTAFOLIO]]="IN-FONDO3",Tabla_Consulta_desde_Reporte_de_Valorización_de_Instrumentos[[#This Row],[Inv MM$]],0)</f>
        <v>0</v>
      </c>
      <c r="AI14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3.3326138831860514E-4</v>
      </c>
      <c r="AJ142" s="26">
        <f>IFERROR(IFERROR(INDEX('BD(MSCI)'!$T:$T,MATCH(Tabla_Consulta_desde_Reporte_de_Valorización_de_Instrumentos[[#This Row],[CODIGO_ISIN]],'BD(MSCI)'!$C:$C,0),1),INDEX('BD(MSCI)'!$T:$T,MATCH(Tabla_Consulta_desde_Reporte_de_Valorización_de_Instrumentos[[#This Row],[CODIGO_SBS]],'BD(MSCI)'!$C:$C,0),1)),0)</f>
        <v>33.06438043</v>
      </c>
      <c r="AK142" s="26">
        <f>Tabla_Consulta_desde_Reporte_de_Valorización_de_Instrumentos[[#This Row],[C02-H]]*Tabla_Consulta_desde_Reporte_de_Valorización_de_Instrumentos[[#This Row],[Inv MM$]]</f>
        <v>7.3827844884175335E-4</v>
      </c>
      <c r="AL142" s="26">
        <f>Tabla_Consulta_desde_Reporte_de_Valorización_de_Instrumentos[[#This Row],[C02-H]]*Tabla_Consulta_desde_Reporte_de_Valorización_de_Instrumentos[[#This Row],[Weight]]</f>
        <v>3.2310391664129367E-7</v>
      </c>
      <c r="AM142" s="26" t="str">
        <f>INDEX(Parametria!G:G,MATCH(Tabla_Consulta_desde_Reporte_de_Valorización_de_Instrumentos[[#This Row],[CODIGO_SBS]],Parametria!C:C,0))</f>
        <v>30RVL</v>
      </c>
      <c r="AN142" s="26" t="str">
        <f>INDEX(Parametria!F:F,MATCH(Tabla_Consulta_desde_Reporte_de_Valorización_de_Instrumentos[[#This Row],[CODIGO_SBS]],Parametria!C:C,0))</f>
        <v>BU</v>
      </c>
      <c r="AO142" s="26" t="str">
        <f>+INDEX(Parametria!J:J,MATCH(Tabla_Consulta_desde_Reporte_de_Valorización_de_Instrumentos[[#This Row],[CODIGO_SBS]],Parametria!C:C,0))</f>
        <v>RVLBU</v>
      </c>
      <c r="AP142" s="26">
        <f>Tabla_Consulta_desde_Reporte_de_Valorización_de_Instrumentos[[#This Row],[Huella]]/$AU$4</f>
        <v>6.8441937362358572E-8</v>
      </c>
      <c r="AQ142" s="26" t="str">
        <f>IFERROR(INDEX('BD(MSCI)'!W:W,MATCH(Tabla_Consulta_desde_Reporte_de_Valorización_de_Instrumentos[[#This Row],[CODIGO_ISIN]],'BD(MSCI)'!C:C,0)),IF(Tabla_Consulta_desde_Reporte_de_Valorización_de_Instrumentos[[#This Row],[Rank_rt]]="Cash","Cash","Cuestionario Integra"))</f>
        <v>Proxies</v>
      </c>
      <c r="AR142" s="26" t="str">
        <f>IFERROR(INDEX('BD(MSCI)'!X:X,MATCH(Tabla_Consulta_desde_Reporte_de_Valorización_de_Instrumentos[[#This Row],[CODIGO_ISIN]],'BD(MSCI)'!C:C,0)),"Cuestionario Integra")</f>
        <v>BU</v>
      </c>
      <c r="AU142" s="26"/>
    </row>
    <row r="143" spans="2:47" hidden="1" x14ac:dyDescent="0.25">
      <c r="B143" s="14" t="s">
        <v>6390</v>
      </c>
      <c r="C143" t="s">
        <v>422</v>
      </c>
      <c r="D143" t="s">
        <v>11</v>
      </c>
      <c r="E143" t="s">
        <v>423</v>
      </c>
      <c r="F143" t="s">
        <v>5283</v>
      </c>
      <c r="G143" t="str">
        <f>INDEX(Parametria!H:H,MATCH(Tabla_Consulta_desde_Reporte_de_Valorización_de_Instrumentos[[#This Row],[CODIGO_SBS]],Parametria!C:C,0),1)</f>
        <v>Puerto Chancay B</v>
      </c>
      <c r="H143" t="s">
        <v>5284</v>
      </c>
      <c r="I143" t="s">
        <v>5285</v>
      </c>
      <c r="J143" t="s">
        <v>5282</v>
      </c>
      <c r="K143" t="s">
        <v>90</v>
      </c>
      <c r="L143">
        <v>0.1</v>
      </c>
      <c r="M143" s="5">
        <v>16562183.645705599</v>
      </c>
      <c r="N143">
        <v>16562183.645705599</v>
      </c>
      <c r="O143">
        <v>115133816</v>
      </c>
      <c r="P143" s="15"/>
      <c r="R143">
        <v>1</v>
      </c>
      <c r="S143" t="s">
        <v>428</v>
      </c>
      <c r="T143">
        <v>16562183.645705599</v>
      </c>
      <c r="U143" s="5">
        <v>16562183.645705599</v>
      </c>
      <c r="V143" t="s">
        <v>156</v>
      </c>
      <c r="W143">
        <v>148030515</v>
      </c>
      <c r="X143">
        <v>16201420</v>
      </c>
      <c r="Y143">
        <v>131829095</v>
      </c>
      <c r="Z143">
        <v>0</v>
      </c>
      <c r="AA143" t="str">
        <f>+MID(Tabla_Consulta_desde_Reporte_de_Valorización_de_Instrumentos[[#This Row],[CODIGO_SBS]],7,1)</f>
        <v>1</v>
      </c>
      <c r="AB143">
        <f>INDEX('Cálculo Caja'!F:F,MATCH(Tabla_Consulta_desde_Reporte_de_Valorización_de_Instrumentos[[#This Row],[PORTAFOLIO]],'Cálculo Caja'!A:A,0),1)</f>
        <v>3164069580.822104</v>
      </c>
      <c r="AC143" s="17">
        <f>Tabla_Consulta_desde_Reporte_de_Valorización_de_Instrumentos[[#This Row],[VALOR_VECTOR_LOCAL]]/Tabla_Consulta_desde_Reporte_de_Valorización_de_Instrumentos[[#This Row],[Patrimonio]]</f>
        <v>5.2344562035207621E-3</v>
      </c>
      <c r="AD143" s="4">
        <f>(Tabla_Consulta_desde_Reporte_de_Valorización_de_Instrumentos[[#This Row],[VALOR_VECTOR_LOCAL]]/INDEX('Tipo de Cambio'!$D:$D,MATCH("2",'Tipo de Cambio'!$E:$E,0),1))/1000000</f>
        <v>4.9279013495508934</v>
      </c>
      <c r="AE143">
        <f>IF(Tabla_Consulta_desde_Reporte_de_Valorización_de_Instrumentos[[#This Row],[PORTAFOLIO]]="IN-FONDO0",Tabla_Consulta_desde_Reporte_de_Valorización_de_Instrumentos[[#This Row],[Inv MM$]],0)</f>
        <v>0</v>
      </c>
      <c r="AF143" s="26">
        <f>IF(Tabla_Consulta_desde_Reporte_de_Valorización_de_Instrumentos[[#This Row],[PORTAFOLIO]]="IN-FONDO1",Tabla_Consulta_desde_Reporte_de_Valorización_de_Instrumentos[[#This Row],[Inv MM$]],0)</f>
        <v>0</v>
      </c>
      <c r="AG143" s="26">
        <f>IF(Tabla_Consulta_desde_Reporte_de_Valorización_de_Instrumentos[[#This Row],[PORTAFOLIO]]="IN-FONDO2",Tabla_Consulta_desde_Reporte_de_Valorización_de_Instrumentos[[#This Row],[Inv MM$]],0)</f>
        <v>0</v>
      </c>
      <c r="AH143" s="26">
        <f>IF(Tabla_Consulta_desde_Reporte_de_Valorización_de_Instrumentos[[#This Row],[PORTAFOLIO]]="IN-FONDO3",Tabla_Consulta_desde_Reporte_de_Valorización_de_Instrumentos[[#This Row],[Inv MM$]],0)</f>
        <v>4.9279013495508934</v>
      </c>
      <c r="AI14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16.311205760709335</v>
      </c>
      <c r="AJ143" s="26">
        <f>IFERROR(IFERROR(INDEX('BD(MSCI)'!$T:$T,MATCH(Tabla_Consulta_desde_Reporte_de_Valorización_de_Instrumentos[[#This Row],[CODIGO_ISIN]],'BD(MSCI)'!$C:$C,0),1),INDEX('BD(MSCI)'!$T:$T,MATCH(Tabla_Consulta_desde_Reporte_de_Valorización_de_Instrumentos[[#This Row],[CODIGO_SBS]],'BD(MSCI)'!$C:$C,0),1)),0)</f>
        <v>33.06438043</v>
      </c>
      <c r="AK143" s="26">
        <f>Tabla_Consulta_desde_Reporte_de_Valorización_de_Instrumentos[[#This Row],[C02-H]]*Tabla_Consulta_desde_Reporte_de_Valorización_de_Instrumentos[[#This Row],[Inv MM$]]</f>
        <v>162.93800494306115</v>
      </c>
      <c r="AL143" s="26">
        <f>Tabla_Consulta_desde_Reporte_de_Valorización_de_Instrumentos[[#This Row],[C02-H]]*Tabla_Consulta_desde_Reporte_de_Valorización_de_Instrumentos[[#This Row],[Weight]]</f>
        <v>0.17307405125738398</v>
      </c>
      <c r="AM143" s="26" t="str">
        <f>INDEX(Parametria!G:G,MATCH(Tabla_Consulta_desde_Reporte_de_Valorización_de_Instrumentos[[#This Row],[CODIGO_SBS]],Parametria!C:C,0))</f>
        <v>30RVL</v>
      </c>
      <c r="AN143" s="26" t="str">
        <f>INDEX(Parametria!F:F,MATCH(Tabla_Consulta_desde_Reporte_de_Valorización_de_Instrumentos[[#This Row],[CODIGO_SBS]],Parametria!C:C,0))</f>
        <v>BU</v>
      </c>
      <c r="AO143" s="26" t="str">
        <f>+INDEX(Parametria!J:J,MATCH(Tabla_Consulta_desde_Reporte_de_Valorización_de_Instrumentos[[#This Row],[CODIGO_SBS]],Parametria!C:C,0))</f>
        <v>RVLBU</v>
      </c>
      <c r="AP143" s="26">
        <f>Tabla_Consulta_desde_Reporte_de_Valorización_de_Instrumentos[[#This Row],[Huella]]/$AU$4</f>
        <v>1.5105131059637634E-2</v>
      </c>
      <c r="AQ143" s="26" t="str">
        <f>IFERROR(INDEX('BD(MSCI)'!W:W,MATCH(Tabla_Consulta_desde_Reporte_de_Valorización_de_Instrumentos[[#This Row],[CODIGO_ISIN]],'BD(MSCI)'!C:C,0)),IF(Tabla_Consulta_desde_Reporte_de_Valorización_de_Instrumentos[[#This Row],[Rank_rt]]="Cash","Cash","Cuestionario Integra"))</f>
        <v>Proxies</v>
      </c>
      <c r="AR143" s="26" t="str">
        <f>IFERROR(INDEX('BD(MSCI)'!X:X,MATCH(Tabla_Consulta_desde_Reporte_de_Valorización_de_Instrumentos[[#This Row],[CODIGO_ISIN]],'BD(MSCI)'!C:C,0)),"Cuestionario Integra")</f>
        <v>BU</v>
      </c>
      <c r="AU143" s="26"/>
    </row>
    <row r="144" spans="2:47" hidden="1" x14ac:dyDescent="0.25">
      <c r="B144" s="14" t="s">
        <v>6390</v>
      </c>
      <c r="C144" t="s">
        <v>422</v>
      </c>
      <c r="D144" t="s">
        <v>11</v>
      </c>
      <c r="E144" t="s">
        <v>423</v>
      </c>
      <c r="F144" t="s">
        <v>434</v>
      </c>
      <c r="G144" t="str">
        <f>INDEX(Parametria!H:H,MATCH(Tabla_Consulta_desde_Reporte_de_Valorización_de_Instrumentos[[#This Row],[CODIGO_SBS]],Parametria!C:C,0),1)</f>
        <v>Alicorp S.A.</v>
      </c>
      <c r="H144" t="s">
        <v>435</v>
      </c>
      <c r="I144" t="s">
        <v>436</v>
      </c>
      <c r="J144" t="s">
        <v>301</v>
      </c>
      <c r="K144" t="s">
        <v>90</v>
      </c>
      <c r="L144">
        <v>1</v>
      </c>
      <c r="M144" s="5">
        <v>7679913.9241110003</v>
      </c>
      <c r="N144">
        <v>7679913.9241110003</v>
      </c>
      <c r="O144">
        <v>719290</v>
      </c>
      <c r="P144" s="15"/>
      <c r="R144">
        <v>1</v>
      </c>
      <c r="S144" t="s">
        <v>428</v>
      </c>
      <c r="T144">
        <v>7679913.9241110003</v>
      </c>
      <c r="U144" s="5">
        <v>7679913.9241110003</v>
      </c>
      <c r="V144" t="s">
        <v>302</v>
      </c>
      <c r="W144">
        <v>9255978000</v>
      </c>
      <c r="X144">
        <v>6603309000</v>
      </c>
      <c r="Y144">
        <v>2652669000</v>
      </c>
      <c r="Z144">
        <v>0</v>
      </c>
      <c r="AA144" t="str">
        <f>+MID(Tabla_Consulta_desde_Reporte_de_Valorización_de_Instrumentos[[#This Row],[CODIGO_SBS]],7,1)</f>
        <v>1</v>
      </c>
      <c r="AB144">
        <f>INDEX('Cálculo Caja'!F:F,MATCH(Tabla_Consulta_desde_Reporte_de_Valorización_de_Instrumentos[[#This Row],[PORTAFOLIO]],'Cálculo Caja'!A:A,0),1)</f>
        <v>3164069580.822104</v>
      </c>
      <c r="AC144" s="17">
        <f>Tabla_Consulta_desde_Reporte_de_Valorización_de_Instrumentos[[#This Row],[VALOR_VECTOR_LOCAL]]/Tabla_Consulta_desde_Reporte_de_Valorización_de_Instrumentos[[#This Row],[Patrimonio]]</f>
        <v>2.4272266231628089E-3</v>
      </c>
      <c r="AD144" s="4">
        <f>(Tabla_Consulta_desde_Reporte_de_Valorización_de_Instrumentos[[#This Row],[VALOR_VECTOR_LOCAL]]/INDEX('Tipo de Cambio'!$D:$D,MATCH("2",'Tipo de Cambio'!$E:$E,0),1))/1000000</f>
        <v>2.285076593802553</v>
      </c>
      <c r="AE144">
        <f>IF(Tabla_Consulta_desde_Reporte_de_Valorización_de_Instrumentos[[#This Row],[PORTAFOLIO]]="IN-FONDO0",Tabla_Consulta_desde_Reporte_de_Valorización_de_Instrumentos[[#This Row],[Inv MM$]],0)</f>
        <v>0</v>
      </c>
      <c r="AF144" s="26">
        <f>IF(Tabla_Consulta_desde_Reporte_de_Valorización_de_Instrumentos[[#This Row],[PORTAFOLIO]]="IN-FONDO1",Tabla_Consulta_desde_Reporte_de_Valorización_de_Instrumentos[[#This Row],[Inv MM$]],0)</f>
        <v>0</v>
      </c>
      <c r="AG144" s="26">
        <f>IF(Tabla_Consulta_desde_Reporte_de_Valorización_de_Instrumentos[[#This Row],[PORTAFOLIO]]="IN-FONDO2",Tabla_Consulta_desde_Reporte_de_Valorización_de_Instrumentos[[#This Row],[Inv MM$]],0)</f>
        <v>0</v>
      </c>
      <c r="AH144" s="26">
        <f>IF(Tabla_Consulta_desde_Reporte_de_Valorización_de_Instrumentos[[#This Row],[PORTAFOLIO]]="IN-FONDO3",Tabla_Consulta_desde_Reporte_de_Valorización_de_Instrumentos[[#This Row],[Inv MM$]],0)</f>
        <v>2.285076593802553</v>
      </c>
      <c r="AI14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28.138833268601179</v>
      </c>
      <c r="AJ144" s="26">
        <f>IFERROR(IFERROR(INDEX('BD(MSCI)'!$T:$T,MATCH(Tabla_Consulta_desde_Reporte_de_Valorización_de_Instrumentos[[#This Row],[CODIGO_ISIN]],'BD(MSCI)'!$C:$C,0),1),INDEX('BD(MSCI)'!$T:$T,MATCH(Tabla_Consulta_desde_Reporte_de_Valorización_de_Instrumentos[[#This Row],[CODIGO_SBS]],'BD(MSCI)'!$C:$C,0),1)),0)</f>
        <v>36.6</v>
      </c>
      <c r="AK144" s="26">
        <f>Tabla_Consulta_desde_Reporte_de_Valorización_de_Instrumentos[[#This Row],[C02-H]]*Tabla_Consulta_desde_Reporte_de_Valorización_de_Instrumentos[[#This Row],[Inv MM$]]</f>
        <v>83.633803333173447</v>
      </c>
      <c r="AL144" s="26">
        <f>Tabla_Consulta_desde_Reporte_de_Valorización_de_Instrumentos[[#This Row],[C02-H]]*Tabla_Consulta_desde_Reporte_de_Valorización_de_Instrumentos[[#This Row],[Weight]]</f>
        <v>8.8836494407758815E-2</v>
      </c>
      <c r="AM144" s="26" t="str">
        <f>INDEX(Parametria!G:G,MATCH(Tabla_Consulta_desde_Reporte_de_Valorización_de_Instrumentos[[#This Row],[CODIGO_SBS]],Parametria!C:C,0))</f>
        <v>30RVL</v>
      </c>
      <c r="AN144" s="26" t="str">
        <f>INDEX(Parametria!F:F,MATCH(Tabla_Consulta_desde_Reporte_de_Valorización_de_Instrumentos[[#This Row],[CODIGO_SBS]],Parametria!C:C,0))</f>
        <v>BU</v>
      </c>
      <c r="AO144" s="26" t="str">
        <f>+INDEX(Parametria!J:J,MATCH(Tabla_Consulta_desde_Reporte_de_Valorización_de_Instrumentos[[#This Row],[CODIGO_SBS]],Parametria!C:C,0))</f>
        <v>RVLBU</v>
      </c>
      <c r="AP144" s="26">
        <f>Tabla_Consulta_desde_Reporte_de_Valorización_de_Instrumentos[[#This Row],[Huella]]/$AU$4</f>
        <v>7.7532529062510928E-3</v>
      </c>
      <c r="AQ144" s="26" t="str">
        <f>IFERROR(INDEX('BD(MSCI)'!W:W,MATCH(Tabla_Consulta_desde_Reporte_de_Valorización_de_Instrumentos[[#This Row],[CODIGO_ISIN]],'BD(MSCI)'!C:C,0)),IF(Tabla_Consulta_desde_Reporte_de_Valorización_de_Instrumentos[[#This Row],[Rank_rt]]="Cash","Cash","Cuestionario Integra"))</f>
        <v>Portafolio</v>
      </c>
      <c r="AR144" s="26" t="str">
        <f>IFERROR(INDEX('BD(MSCI)'!X:X,MATCH(Tabla_Consulta_desde_Reporte_de_Valorización_de_Instrumentos[[#This Row],[CODIGO_ISIN]],'BD(MSCI)'!C:C,0)),"Cuestionario Integra")</f>
        <v>Portafolio</v>
      </c>
      <c r="AU144" s="26"/>
    </row>
    <row r="145" spans="2:50" hidden="1" x14ac:dyDescent="0.25">
      <c r="B145" s="14" t="s">
        <v>6390</v>
      </c>
      <c r="C145" t="s">
        <v>422</v>
      </c>
      <c r="D145" t="s">
        <v>12</v>
      </c>
      <c r="E145" t="s">
        <v>423</v>
      </c>
      <c r="F145" t="s">
        <v>434</v>
      </c>
      <c r="G145" t="str">
        <f>INDEX(Parametria!H:H,MATCH(Tabla_Consulta_desde_Reporte_de_Valorización_de_Instrumentos[[#This Row],[CODIGO_SBS]],Parametria!C:C,0),1)</f>
        <v>Alicorp S.A.</v>
      </c>
      <c r="H145" t="s">
        <v>435</v>
      </c>
      <c r="I145" t="s">
        <v>436</v>
      </c>
      <c r="J145" t="s">
        <v>301</v>
      </c>
      <c r="K145" t="s">
        <v>90</v>
      </c>
      <c r="L145">
        <v>1</v>
      </c>
      <c r="M145" s="5">
        <v>400753.36683060002</v>
      </c>
      <c r="N145">
        <v>400753.36683060002</v>
      </c>
      <c r="O145">
        <v>37534</v>
      </c>
      <c r="P145" s="15"/>
      <c r="R145">
        <v>1</v>
      </c>
      <c r="S145" t="s">
        <v>428</v>
      </c>
      <c r="T145">
        <v>400753.36683060002</v>
      </c>
      <c r="U145" s="5">
        <v>400753.36683060002</v>
      </c>
      <c r="V145" t="s">
        <v>302</v>
      </c>
      <c r="W145">
        <v>9255978000</v>
      </c>
      <c r="X145">
        <v>6603309000</v>
      </c>
      <c r="Y145">
        <v>2652669000</v>
      </c>
      <c r="Z145">
        <v>0</v>
      </c>
      <c r="AA145" t="str">
        <f>+MID(Tabla_Consulta_desde_Reporte_de_Valorización_de_Instrumentos[[#This Row],[CODIGO_SBS]],7,1)</f>
        <v>1</v>
      </c>
      <c r="AB145">
        <f>INDEX('Cálculo Caja'!F:F,MATCH(Tabla_Consulta_desde_Reporte_de_Valorización_de_Instrumentos[[#This Row],[PORTAFOLIO]],'Cálculo Caja'!A:A,0),1)</f>
        <v>7679510866.0565634</v>
      </c>
      <c r="AC145" s="17">
        <f>Tabla_Consulta_desde_Reporte_de_Valorización_de_Instrumentos[[#This Row],[VALOR_VECTOR_LOCAL]]/Tabla_Consulta_desde_Reporte_de_Valorización_de_Instrumentos[[#This Row],[Patrimonio]]</f>
        <v>5.2184751583844986E-5</v>
      </c>
      <c r="AD145" s="4">
        <f>(Tabla_Consulta_desde_Reporte_de_Valorización_de_Instrumentos[[#This Row],[VALOR_VECTOR_LOCAL]]/INDEX('Tipo de Cambio'!$D:$D,MATCH("2",'Tipo de Cambio'!$E:$E,0),1))/1000000</f>
        <v>0.11923989610836384</v>
      </c>
      <c r="AE145">
        <f>IF(Tabla_Consulta_desde_Reporte_de_Valorización_de_Instrumentos[[#This Row],[PORTAFOLIO]]="IN-FONDO0",Tabla_Consulta_desde_Reporte_de_Valorización_de_Instrumentos[[#This Row],[Inv MM$]],0)</f>
        <v>0</v>
      </c>
      <c r="AF145" s="26">
        <f>IF(Tabla_Consulta_desde_Reporte_de_Valorización_de_Instrumentos[[#This Row],[PORTAFOLIO]]="IN-FONDO1",Tabla_Consulta_desde_Reporte_de_Valorización_de_Instrumentos[[#This Row],[Inv MM$]],0)</f>
        <v>0.11923989610836384</v>
      </c>
      <c r="AG145" s="26">
        <f>IF(Tabla_Consulta_desde_Reporte_de_Valorización_de_Instrumentos[[#This Row],[PORTAFOLIO]]="IN-FONDO2",Tabla_Consulta_desde_Reporte_de_Valorización_de_Instrumentos[[#This Row],[Inv MM$]],0)</f>
        <v>0</v>
      </c>
      <c r="AH145" s="26">
        <f>IF(Tabla_Consulta_desde_Reporte_de_Valorización_de_Instrumentos[[#This Row],[PORTAFOLIO]]="IN-FONDO3",Tabla_Consulta_desde_Reporte_de_Valorización_de_Instrumentos[[#This Row],[Inv MM$]],0)</f>
        <v>0</v>
      </c>
      <c r="AI14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28.138833268601179</v>
      </c>
      <c r="AJ145" s="26">
        <f>IFERROR(IFERROR(INDEX('BD(MSCI)'!$T:$T,MATCH(Tabla_Consulta_desde_Reporte_de_Valorización_de_Instrumentos[[#This Row],[CODIGO_ISIN]],'BD(MSCI)'!$C:$C,0),1),INDEX('BD(MSCI)'!$T:$T,MATCH(Tabla_Consulta_desde_Reporte_de_Valorización_de_Instrumentos[[#This Row],[CODIGO_SBS]],'BD(MSCI)'!$C:$C,0),1)),0)</f>
        <v>36.6</v>
      </c>
      <c r="AK145" s="26">
        <f>Tabla_Consulta_desde_Reporte_de_Valorización_de_Instrumentos[[#This Row],[C02-H]]*Tabla_Consulta_desde_Reporte_de_Valorización_de_Instrumentos[[#This Row],[Inv MM$]]</f>
        <v>4.3641801975661165</v>
      </c>
      <c r="AL145" s="26">
        <f>Tabla_Consulta_desde_Reporte_de_Valorización_de_Instrumentos[[#This Row],[C02-H]]*Tabla_Consulta_desde_Reporte_de_Valorización_de_Instrumentos[[#This Row],[Weight]]</f>
        <v>1.9099619079687266E-3</v>
      </c>
      <c r="AM145" s="26" t="str">
        <f>INDEX(Parametria!G:G,MATCH(Tabla_Consulta_desde_Reporte_de_Valorización_de_Instrumentos[[#This Row],[CODIGO_SBS]],Parametria!C:C,0))</f>
        <v>30RVL</v>
      </c>
      <c r="AN145" s="26" t="str">
        <f>INDEX(Parametria!F:F,MATCH(Tabla_Consulta_desde_Reporte_de_Valorización_de_Instrumentos[[#This Row],[CODIGO_SBS]],Parametria!C:C,0))</f>
        <v>BU</v>
      </c>
      <c r="AO145" s="26" t="str">
        <f>+INDEX(Parametria!J:J,MATCH(Tabla_Consulta_desde_Reporte_de_Valorización_de_Instrumentos[[#This Row],[CODIGO_SBS]],Parametria!C:C,0))</f>
        <v>RVLBU</v>
      </c>
      <c r="AP145" s="26">
        <f>Tabla_Consulta_desde_Reporte_de_Valorización_de_Instrumentos[[#This Row],[Huella]]/$AU$4</f>
        <v>4.0458034253670769E-4</v>
      </c>
      <c r="AQ145" s="26" t="str">
        <f>IFERROR(INDEX('BD(MSCI)'!W:W,MATCH(Tabla_Consulta_desde_Reporte_de_Valorización_de_Instrumentos[[#This Row],[CODIGO_ISIN]],'BD(MSCI)'!C:C,0)),IF(Tabla_Consulta_desde_Reporte_de_Valorización_de_Instrumentos[[#This Row],[Rank_rt]]="Cash","Cash","Cuestionario Integra"))</f>
        <v>Portafolio</v>
      </c>
      <c r="AR145" s="26" t="str">
        <f>IFERROR(INDEX('BD(MSCI)'!X:X,MATCH(Tabla_Consulta_desde_Reporte_de_Valorización_de_Instrumentos[[#This Row],[CODIGO_ISIN]],'BD(MSCI)'!C:C,0)),"Cuestionario Integra")</f>
        <v>Portafolio</v>
      </c>
      <c r="AU145" s="26"/>
    </row>
    <row r="146" spans="2:50" hidden="1" x14ac:dyDescent="0.25">
      <c r="B146" s="14" t="s">
        <v>6390</v>
      </c>
      <c r="C146" t="s">
        <v>422</v>
      </c>
      <c r="D146" t="s">
        <v>10</v>
      </c>
      <c r="E146" t="s">
        <v>423</v>
      </c>
      <c r="F146" t="s">
        <v>434</v>
      </c>
      <c r="G146" t="str">
        <f>INDEX(Parametria!H:H,MATCH(Tabla_Consulta_desde_Reporte_de_Valorización_de_Instrumentos[[#This Row],[CODIGO_SBS]],Parametria!C:C,0),1)</f>
        <v>Alicorp S.A.</v>
      </c>
      <c r="H146" t="s">
        <v>435</v>
      </c>
      <c r="I146" t="s">
        <v>436</v>
      </c>
      <c r="J146" t="s">
        <v>301</v>
      </c>
      <c r="K146" t="s">
        <v>90</v>
      </c>
      <c r="L146">
        <v>1</v>
      </c>
      <c r="M146" s="5">
        <v>86491137.441500098</v>
      </c>
      <c r="N146">
        <v>86491137.441500098</v>
      </c>
      <c r="O146">
        <v>8100639</v>
      </c>
      <c r="P146" s="15"/>
      <c r="R146">
        <v>1</v>
      </c>
      <c r="S146" t="s">
        <v>428</v>
      </c>
      <c r="T146">
        <v>86491137.441500098</v>
      </c>
      <c r="U146" s="5">
        <v>86491137.441500098</v>
      </c>
      <c r="V146" t="s">
        <v>302</v>
      </c>
      <c r="W146">
        <v>9255978000</v>
      </c>
      <c r="X146">
        <v>6603309000</v>
      </c>
      <c r="Y146">
        <v>2652669000</v>
      </c>
      <c r="Z146">
        <v>0</v>
      </c>
      <c r="AA146" t="str">
        <f>+MID(Tabla_Consulta_desde_Reporte_de_Valorización_de_Instrumentos[[#This Row],[CODIGO_SBS]],7,1)</f>
        <v>1</v>
      </c>
      <c r="AB146">
        <f>INDEX('Cálculo Caja'!F:F,MATCH(Tabla_Consulta_desde_Reporte_de_Valorización_de_Instrumentos[[#This Row],[PORTAFOLIO]],'Cálculo Caja'!A:A,0),1)</f>
        <v>26256910350.436607</v>
      </c>
      <c r="AC146" s="17">
        <f>Tabla_Consulta_desde_Reporte_de_Valorización_de_Instrumentos[[#This Row],[VALOR_VECTOR_LOCAL]]/Tabla_Consulta_desde_Reporte_de_Valorización_de_Instrumentos[[#This Row],[Patrimonio]]</f>
        <v>3.2940333149312022E-3</v>
      </c>
      <c r="AD146" s="4">
        <f>(Tabla_Consulta_desde_Reporte_de_Valorización_de_Instrumentos[[#This Row],[VALOR_VECTOR_LOCAL]]/INDEX('Tipo de Cambio'!$D:$D,MATCH("2",'Tipo de Cambio'!$E:$E,0),1))/1000000</f>
        <v>25.73451677869026</v>
      </c>
      <c r="AE146">
        <f>IF(Tabla_Consulta_desde_Reporte_de_Valorización_de_Instrumentos[[#This Row],[PORTAFOLIO]]="IN-FONDO0",Tabla_Consulta_desde_Reporte_de_Valorización_de_Instrumentos[[#This Row],[Inv MM$]],0)</f>
        <v>0</v>
      </c>
      <c r="AF146" s="26">
        <f>IF(Tabla_Consulta_desde_Reporte_de_Valorización_de_Instrumentos[[#This Row],[PORTAFOLIO]]="IN-FONDO1",Tabla_Consulta_desde_Reporte_de_Valorización_de_Instrumentos[[#This Row],[Inv MM$]],0)</f>
        <v>0</v>
      </c>
      <c r="AG146" s="26">
        <f>IF(Tabla_Consulta_desde_Reporte_de_Valorización_de_Instrumentos[[#This Row],[PORTAFOLIO]]="IN-FONDO2",Tabla_Consulta_desde_Reporte_de_Valorización_de_Instrumentos[[#This Row],[Inv MM$]],0)</f>
        <v>25.73451677869026</v>
      </c>
      <c r="AH146" s="26">
        <f>IF(Tabla_Consulta_desde_Reporte_de_Valorización_de_Instrumentos[[#This Row],[PORTAFOLIO]]="IN-FONDO3",Tabla_Consulta_desde_Reporte_de_Valorización_de_Instrumentos[[#This Row],[Inv MM$]],0)</f>
        <v>0</v>
      </c>
      <c r="AI14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28.138833268601179</v>
      </c>
      <c r="AJ146" s="26">
        <f>IFERROR(IFERROR(INDEX('BD(MSCI)'!$T:$T,MATCH(Tabla_Consulta_desde_Reporte_de_Valorización_de_Instrumentos[[#This Row],[CODIGO_ISIN]],'BD(MSCI)'!$C:$C,0),1),INDEX('BD(MSCI)'!$T:$T,MATCH(Tabla_Consulta_desde_Reporte_de_Valorización_de_Instrumentos[[#This Row],[CODIGO_SBS]],'BD(MSCI)'!$C:$C,0),1)),0)</f>
        <v>36.6</v>
      </c>
      <c r="AK146" s="26">
        <f>Tabla_Consulta_desde_Reporte_de_Valorización_de_Instrumentos[[#This Row],[C02-H]]*Tabla_Consulta_desde_Reporte_de_Valorización_de_Instrumentos[[#This Row],[Inv MM$]]</f>
        <v>941.88331410006356</v>
      </c>
      <c r="AL146" s="26">
        <f>Tabla_Consulta_desde_Reporte_de_Valorización_de_Instrumentos[[#This Row],[C02-H]]*Tabla_Consulta_desde_Reporte_de_Valorización_de_Instrumentos[[#This Row],[Weight]]</f>
        <v>0.120561619326482</v>
      </c>
      <c r="AM146" s="26" t="str">
        <f>INDEX(Parametria!G:G,MATCH(Tabla_Consulta_desde_Reporte_de_Valorización_de_Instrumentos[[#This Row],[CODIGO_SBS]],Parametria!C:C,0))</f>
        <v>30RVL</v>
      </c>
      <c r="AN146" s="26" t="str">
        <f>INDEX(Parametria!F:F,MATCH(Tabla_Consulta_desde_Reporte_de_Valorización_de_Instrumentos[[#This Row],[CODIGO_SBS]],Parametria!C:C,0))</f>
        <v>BU</v>
      </c>
      <c r="AO146" s="26" t="str">
        <f>+INDEX(Parametria!J:J,MATCH(Tabla_Consulta_desde_Reporte_de_Valorización_de_Instrumentos[[#This Row],[CODIGO_SBS]],Parametria!C:C,0))</f>
        <v>RVLBU</v>
      </c>
      <c r="AP146" s="26">
        <f>Tabla_Consulta_desde_Reporte_de_Valorización_de_Instrumentos[[#This Row],[Huella]]/$AU$4</f>
        <v>8.7317080550599807E-2</v>
      </c>
      <c r="AQ146" s="26" t="str">
        <f>IFERROR(INDEX('BD(MSCI)'!W:W,MATCH(Tabla_Consulta_desde_Reporte_de_Valorización_de_Instrumentos[[#This Row],[CODIGO_ISIN]],'BD(MSCI)'!C:C,0)),IF(Tabla_Consulta_desde_Reporte_de_Valorización_de_Instrumentos[[#This Row],[Rank_rt]]="Cash","Cash","Cuestionario Integra"))</f>
        <v>Portafolio</v>
      </c>
      <c r="AR146" s="26" t="str">
        <f>IFERROR(INDEX('BD(MSCI)'!X:X,MATCH(Tabla_Consulta_desde_Reporte_de_Valorización_de_Instrumentos[[#This Row],[CODIGO_ISIN]],'BD(MSCI)'!C:C,0)),"Cuestionario Integra")</f>
        <v>Portafolio</v>
      </c>
      <c r="AU146" s="26"/>
    </row>
    <row r="147" spans="2:50" hidden="1" x14ac:dyDescent="0.25">
      <c r="B147" s="14" t="s">
        <v>6390</v>
      </c>
      <c r="C147" t="s">
        <v>422</v>
      </c>
      <c r="D147" t="s">
        <v>10</v>
      </c>
      <c r="E147" t="s">
        <v>423</v>
      </c>
      <c r="F147" t="s">
        <v>439</v>
      </c>
      <c r="G147" t="str">
        <f>INDEX(Parametria!H:H,MATCH(Tabla_Consulta_desde_Reporte_de_Valorización_de_Instrumentos[[#This Row],[CODIGO_SBS]],Parametria!C:C,0),1)</f>
        <v>Buenaventura</v>
      </c>
      <c r="H147" t="s">
        <v>440</v>
      </c>
      <c r="I147" t="s">
        <v>441</v>
      </c>
      <c r="J147" t="s">
        <v>309</v>
      </c>
      <c r="K147" t="s">
        <v>90</v>
      </c>
      <c r="L147">
        <v>10</v>
      </c>
      <c r="M147" s="5">
        <v>93565.851500000004</v>
      </c>
      <c r="N147">
        <v>93565.851500000004</v>
      </c>
      <c r="O147">
        <v>1000</v>
      </c>
      <c r="P147" s="15"/>
      <c r="R147">
        <v>1</v>
      </c>
      <c r="S147" t="s">
        <v>428</v>
      </c>
      <c r="T147">
        <v>95844.074999999997</v>
      </c>
      <c r="U147" s="5">
        <v>95844.074999999997</v>
      </c>
      <c r="V147" t="s">
        <v>310</v>
      </c>
      <c r="W147">
        <v>4052129000</v>
      </c>
      <c r="X147">
        <v>932087000</v>
      </c>
      <c r="Y147">
        <v>3120042000</v>
      </c>
      <c r="Z147">
        <v>-2.2782235000000002</v>
      </c>
      <c r="AA147" t="str">
        <f>+MID(Tabla_Consulta_desde_Reporte_de_Valorización_de_Instrumentos[[#This Row],[CODIGO_SBS]],7,1)</f>
        <v>1</v>
      </c>
      <c r="AB147">
        <f>INDEX('Cálculo Caja'!F:F,MATCH(Tabla_Consulta_desde_Reporte_de_Valorización_de_Instrumentos[[#This Row],[PORTAFOLIO]],'Cálculo Caja'!A:A,0),1)</f>
        <v>26256910350.436607</v>
      </c>
      <c r="AC147" s="17">
        <f>Tabla_Consulta_desde_Reporte_de_Valorización_de_Instrumentos[[#This Row],[VALOR_VECTOR_LOCAL]]/Tabla_Consulta_desde_Reporte_de_Valorización_de_Instrumentos[[#This Row],[Patrimonio]]</f>
        <v>3.5634753004533973E-6</v>
      </c>
      <c r="AD147" s="4">
        <f>(Tabla_Consulta_desde_Reporte_de_Valorización_de_Instrumentos[[#This Row],[VALOR_VECTOR_LOCAL]]/INDEX('Tipo de Cambio'!$D:$D,MATCH("2",'Tipo de Cambio'!$E:$E,0),1))/1000000</f>
        <v>2.7839522598113602E-2</v>
      </c>
      <c r="AE147">
        <f>IF(Tabla_Consulta_desde_Reporte_de_Valorización_de_Instrumentos[[#This Row],[PORTAFOLIO]]="IN-FONDO0",Tabla_Consulta_desde_Reporte_de_Valorización_de_Instrumentos[[#This Row],[Inv MM$]],0)</f>
        <v>0</v>
      </c>
      <c r="AF147" s="26">
        <f>IF(Tabla_Consulta_desde_Reporte_de_Valorización_de_Instrumentos[[#This Row],[PORTAFOLIO]]="IN-FONDO1",Tabla_Consulta_desde_Reporte_de_Valorización_de_Instrumentos[[#This Row],[Inv MM$]],0)</f>
        <v>0</v>
      </c>
      <c r="AG147" s="26">
        <f>IF(Tabla_Consulta_desde_Reporte_de_Valorización_de_Instrumentos[[#This Row],[PORTAFOLIO]]="IN-FONDO2",Tabla_Consulta_desde_Reporte_de_Valorización_de_Instrumentos[[#This Row],[Inv MM$]],0)</f>
        <v>2.7839522598113602E-2</v>
      </c>
      <c r="AH147" s="26">
        <f>IF(Tabla_Consulta_desde_Reporte_de_Valorización_de_Instrumentos[[#This Row],[PORTAFOLIO]]="IN-FONDO3",Tabla_Consulta_desde_Reporte_de_Valorización_de_Instrumentos[[#This Row],[Inv MM$]],0)</f>
        <v>0</v>
      </c>
      <c r="AI14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2.7839522598113602E-2</v>
      </c>
      <c r="AJ147" s="26">
        <f>IFERROR(IFERROR(INDEX('BD(MSCI)'!$T:$T,MATCH(Tabla_Consulta_desde_Reporte_de_Valorización_de_Instrumentos[[#This Row],[CODIGO_ISIN]],'BD(MSCI)'!$C:$C,0),1),INDEX('BD(MSCI)'!$T:$T,MATCH(Tabla_Consulta_desde_Reporte_de_Valorización_de_Instrumentos[[#This Row],[CODIGO_SBS]],'BD(MSCI)'!$C:$C,0),1)),0)</f>
        <v>58.4</v>
      </c>
      <c r="AK147" s="26">
        <f>Tabla_Consulta_desde_Reporte_de_Valorización_de_Instrumentos[[#This Row],[C02-H]]*Tabla_Consulta_desde_Reporte_de_Valorización_de_Instrumentos[[#This Row],[Inv MM$]]</f>
        <v>1.6258281197298343</v>
      </c>
      <c r="AL147" s="26">
        <f>Tabla_Consulta_desde_Reporte_de_Valorización_de_Instrumentos[[#This Row],[C02-H]]*Tabla_Consulta_desde_Reporte_de_Valorización_de_Instrumentos[[#This Row],[Weight]]</f>
        <v>2.0810695754647839E-4</v>
      </c>
      <c r="AM147" s="26" t="str">
        <f>INDEX(Parametria!G:G,MATCH(Tabla_Consulta_desde_Reporte_de_Valorización_de_Instrumentos[[#This Row],[CODIGO_SBS]],Parametria!C:C,0))</f>
        <v>30RVL</v>
      </c>
      <c r="AN147" s="26" t="str">
        <f>INDEX(Parametria!F:F,MATCH(Tabla_Consulta_desde_Reporte_de_Valorización_de_Instrumentos[[#This Row],[CODIGO_SBS]],Parametria!C:C,0))</f>
        <v>BU</v>
      </c>
      <c r="AO147" s="26" t="str">
        <f>+INDEX(Parametria!J:J,MATCH(Tabla_Consulta_desde_Reporte_de_Valorización_de_Instrumentos[[#This Row],[CODIGO_SBS]],Parametria!C:C,0))</f>
        <v>RVLBU</v>
      </c>
      <c r="AP147" s="26">
        <f>Tabla_Consulta_desde_Reporte_de_Valorización_de_Instrumentos[[#This Row],[Huella]]/$AU$4</f>
        <v>1.5072202975325072E-4</v>
      </c>
      <c r="AQ147" s="26" t="str">
        <f>IFERROR(INDEX('BD(MSCI)'!W:W,MATCH(Tabla_Consulta_desde_Reporte_de_Valorización_de_Instrumentos[[#This Row],[CODIGO_ISIN]],'BD(MSCI)'!C:C,0)),IF(Tabla_Consulta_desde_Reporte_de_Valorización_de_Instrumentos[[#This Row],[Rank_rt]]="Cash","Cash","Cuestionario Integra"))</f>
        <v>Portafolio</v>
      </c>
      <c r="AR147" s="26" t="str">
        <f>IFERROR(INDEX('BD(MSCI)'!X:X,MATCH(Tabla_Consulta_desde_Reporte_de_Valorización_de_Instrumentos[[#This Row],[CODIGO_ISIN]],'BD(MSCI)'!C:C,0)),"Cuestionario Integra")</f>
        <v>Portafolio</v>
      </c>
      <c r="AU147" s="26"/>
    </row>
    <row r="148" spans="2:50" hidden="1" x14ac:dyDescent="0.25">
      <c r="B148" s="14" t="s">
        <v>6390</v>
      </c>
      <c r="C148" t="s">
        <v>422</v>
      </c>
      <c r="D148" t="s">
        <v>10</v>
      </c>
      <c r="E148" t="s">
        <v>423</v>
      </c>
      <c r="F148" t="s">
        <v>442</v>
      </c>
      <c r="G148" t="str">
        <f>INDEX(Parametria!H:H,MATCH(Tabla_Consulta_desde_Reporte_de_Valorización_de_Instrumentos[[#This Row],[CODIGO_SBS]],Parametria!C:C,0),1)</f>
        <v>Sociedad Minera Cerro Verde S.A.A.</v>
      </c>
      <c r="H148" t="s">
        <v>443</v>
      </c>
      <c r="I148" t="s">
        <v>444</v>
      </c>
      <c r="J148" t="s">
        <v>445</v>
      </c>
      <c r="K148" t="s">
        <v>50</v>
      </c>
      <c r="L148">
        <v>2.83</v>
      </c>
      <c r="M148" s="5">
        <v>99220112.990915507</v>
      </c>
      <c r="N148">
        <v>29521887.884470101</v>
      </c>
      <c r="O148">
        <v>602713</v>
      </c>
      <c r="P148" s="15"/>
      <c r="R148">
        <v>3.3609</v>
      </c>
      <c r="S148" t="s">
        <v>428</v>
      </c>
      <c r="T148">
        <v>98254985.655109495</v>
      </c>
      <c r="U148" s="5">
        <v>29219944.5830933</v>
      </c>
      <c r="V148" t="s">
        <v>446</v>
      </c>
      <c r="W148">
        <v>8303997000</v>
      </c>
      <c r="X148">
        <v>1275414000</v>
      </c>
      <c r="Y148">
        <v>7028583000</v>
      </c>
      <c r="Z148">
        <v>0.50097360000000002</v>
      </c>
      <c r="AA148" t="str">
        <f>+MID(Tabla_Consulta_desde_Reporte_de_Valorización_de_Instrumentos[[#This Row],[CODIGO_SBS]],7,1)</f>
        <v>2</v>
      </c>
      <c r="AB148">
        <f>INDEX('Cálculo Caja'!F:F,MATCH(Tabla_Consulta_desde_Reporte_de_Valorización_de_Instrumentos[[#This Row],[PORTAFOLIO]],'Cálculo Caja'!A:A,0),1)</f>
        <v>26256910350.436607</v>
      </c>
      <c r="AC148" s="17">
        <f>Tabla_Consulta_desde_Reporte_de_Valorización_de_Instrumentos[[#This Row],[VALOR_VECTOR_LOCAL]]/Tabla_Consulta_desde_Reporte_de_Valorización_de_Instrumentos[[#This Row],[Patrimonio]]</f>
        <v>3.7788190486496309E-3</v>
      </c>
      <c r="AD148" s="4">
        <f>(Tabla_Consulta_desde_Reporte_de_Valorización_de_Instrumentos[[#This Row],[VALOR_VECTOR_LOCAL]]/INDEX('Tipo de Cambio'!$D:$D,MATCH("2",'Tipo de Cambio'!$E:$E,0),1))/1000000</f>
        <v>29.521887884470082</v>
      </c>
      <c r="AE148">
        <f>IF(Tabla_Consulta_desde_Reporte_de_Valorización_de_Instrumentos[[#This Row],[PORTAFOLIO]]="IN-FONDO0",Tabla_Consulta_desde_Reporte_de_Valorización_de_Instrumentos[[#This Row],[Inv MM$]],0)</f>
        <v>0</v>
      </c>
      <c r="AF148" s="26">
        <f>IF(Tabla_Consulta_desde_Reporte_de_Valorización_de_Instrumentos[[#This Row],[PORTAFOLIO]]="IN-FONDO1",Tabla_Consulta_desde_Reporte_de_Valorización_de_Instrumentos[[#This Row],[Inv MM$]],0)</f>
        <v>0</v>
      </c>
      <c r="AG148" s="26">
        <f>IF(Tabla_Consulta_desde_Reporte_de_Valorización_de_Instrumentos[[#This Row],[PORTAFOLIO]]="IN-FONDO2",Tabla_Consulta_desde_Reporte_de_Valorización_de_Instrumentos[[#This Row],[Inv MM$]],0)</f>
        <v>29.521887884470082</v>
      </c>
      <c r="AH148" s="26">
        <f>IF(Tabla_Consulta_desde_Reporte_de_Valorización_de_Instrumentos[[#This Row],[PORTAFOLIO]]="IN-FONDO3",Tabla_Consulta_desde_Reporte_de_Valorización_de_Instrumentos[[#This Row],[Inv MM$]],0)</f>
        <v>0</v>
      </c>
      <c r="AI14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41.127114412631045</v>
      </c>
      <c r="AJ148" s="26">
        <f>IFERROR(IFERROR(INDEX('BD(MSCI)'!$T:$T,MATCH(Tabla_Consulta_desde_Reporte_de_Valorización_de_Instrumentos[[#This Row],[CODIGO_ISIN]],'BD(MSCI)'!$C:$C,0),1),INDEX('BD(MSCI)'!$T:$T,MATCH(Tabla_Consulta_desde_Reporte_de_Valorización_de_Instrumentos[[#This Row],[CODIGO_SBS]],'BD(MSCI)'!$C:$C,0),1)),0)</f>
        <v>267.09083670000001</v>
      </c>
      <c r="AK148" s="26">
        <f>Tabla_Consulta_desde_Reporte_de_Valorización_de_Instrumentos[[#This Row],[C02-H]]*Tabla_Consulta_desde_Reporte_de_Valorización_de_Instrumentos[[#This Row],[Inv MM$]]</f>
        <v>7885.0257360267078</v>
      </c>
      <c r="AL148" s="26">
        <f>Tabla_Consulta_desde_Reporte_de_Valorización_de_Instrumentos[[#This Row],[C02-H]]*Tabla_Consulta_desde_Reporte_de_Valorización_de_Instrumentos[[#This Row],[Weight]]</f>
        <v>1.009287941441728</v>
      </c>
      <c r="AM148" s="26" t="str">
        <f>INDEX(Parametria!G:G,MATCH(Tabla_Consulta_desde_Reporte_de_Valorización_de_Instrumentos[[#This Row],[CODIGO_SBS]],Parametria!C:C,0))</f>
        <v>30RVL</v>
      </c>
      <c r="AN148" s="26" t="str">
        <f>INDEX(Parametria!F:F,MATCH(Tabla_Consulta_desde_Reporte_de_Valorización_de_Instrumentos[[#This Row],[CODIGO_SBS]],Parametria!C:C,0))</f>
        <v>BU</v>
      </c>
      <c r="AO148" s="26" t="str">
        <f>+INDEX(Parametria!J:J,MATCH(Tabla_Consulta_desde_Reporte_de_Valorización_de_Instrumentos[[#This Row],[CODIGO_SBS]],Parametria!C:C,0))</f>
        <v>RVLBU</v>
      </c>
      <c r="AP148" s="26">
        <f>Tabla_Consulta_desde_Reporte_de_Valorización_de_Instrumentos[[#This Row],[Huella]]/$AU$4</f>
        <v>0.73097953539396932</v>
      </c>
      <c r="AQ148" s="26" t="str">
        <f>IFERROR(INDEX('BD(MSCI)'!W:W,MATCH(Tabla_Consulta_desde_Reporte_de_Valorización_de_Instrumentos[[#This Row],[CODIGO_ISIN]],'BD(MSCI)'!C:C,0)),IF(Tabla_Consulta_desde_Reporte_de_Valorización_de_Instrumentos[[#This Row],[Rank_rt]]="Cash","Cash","Cuestionario Integra"))</f>
        <v>Proxies</v>
      </c>
      <c r="AR148" s="26" t="str">
        <f>IFERROR(INDEX('BD(MSCI)'!X:X,MATCH(Tabla_Consulta_desde_Reporte_de_Valorización_de_Instrumentos[[#This Row],[CODIGO_ISIN]],'BD(MSCI)'!C:C,0)),"Cuestionario Integra")</f>
        <v>BU</v>
      </c>
      <c r="AU148" s="26"/>
      <c r="AX148">
        <v>49934.007867907021</v>
      </c>
    </row>
    <row r="149" spans="2:50" hidden="1" x14ac:dyDescent="0.25">
      <c r="B149" s="14" t="s">
        <v>6390</v>
      </c>
      <c r="C149" t="s">
        <v>422</v>
      </c>
      <c r="D149" t="s">
        <v>11</v>
      </c>
      <c r="E149" t="s">
        <v>423</v>
      </c>
      <c r="F149" t="s">
        <v>442</v>
      </c>
      <c r="G149" t="str">
        <f>INDEX(Parametria!H:H,MATCH(Tabla_Consulta_desde_Reporte_de_Valorización_de_Instrumentos[[#This Row],[CODIGO_SBS]],Parametria!C:C,0),1)</f>
        <v>Sociedad Minera Cerro Verde S.A.A.</v>
      </c>
      <c r="H149" t="s">
        <v>443</v>
      </c>
      <c r="I149" t="s">
        <v>444</v>
      </c>
      <c r="J149" t="s">
        <v>445</v>
      </c>
      <c r="K149" t="s">
        <v>50</v>
      </c>
      <c r="L149">
        <v>2.83</v>
      </c>
      <c r="M149" s="5">
        <v>21228892.807594098</v>
      </c>
      <c r="N149">
        <v>6316430.9582535001</v>
      </c>
      <c r="O149">
        <v>128955</v>
      </c>
      <c r="P149" s="15"/>
      <c r="R149">
        <v>3.3609</v>
      </c>
      <c r="S149" t="s">
        <v>428</v>
      </c>
      <c r="T149">
        <v>21022396.522316001</v>
      </c>
      <c r="U149" s="5">
        <v>6251827.9076655004</v>
      </c>
      <c r="V149" t="s">
        <v>446</v>
      </c>
      <c r="W149">
        <v>8303997000</v>
      </c>
      <c r="X149">
        <v>1275414000</v>
      </c>
      <c r="Y149">
        <v>7028583000</v>
      </c>
      <c r="Z149">
        <v>0.50097360000000002</v>
      </c>
      <c r="AA149" t="str">
        <f>+MID(Tabla_Consulta_desde_Reporte_de_Valorización_de_Instrumentos[[#This Row],[CODIGO_SBS]],7,1)</f>
        <v>2</v>
      </c>
      <c r="AB149">
        <f>INDEX('Cálculo Caja'!F:F,MATCH(Tabla_Consulta_desde_Reporte_de_Valorización_de_Instrumentos[[#This Row],[PORTAFOLIO]],'Cálculo Caja'!A:A,0),1)</f>
        <v>3164069580.822104</v>
      </c>
      <c r="AC149" s="17">
        <f>Tabla_Consulta_desde_Reporte_de_Valorización_de_Instrumentos[[#This Row],[VALOR_VECTOR_LOCAL]]/Tabla_Consulta_desde_Reporte_de_Valorización_de_Instrumentos[[#This Row],[Patrimonio]]</f>
        <v>6.709363452771574E-3</v>
      </c>
      <c r="AD149" s="4">
        <f>(Tabla_Consulta_desde_Reporte_de_Valorización_de_Instrumentos[[#This Row],[VALOR_VECTOR_LOCAL]]/INDEX('Tipo de Cambio'!$D:$D,MATCH("2",'Tipo de Cambio'!$E:$E,0),1))/1000000</f>
        <v>6.3164309582534734</v>
      </c>
      <c r="AE149">
        <f>IF(Tabla_Consulta_desde_Reporte_de_Valorización_de_Instrumentos[[#This Row],[PORTAFOLIO]]="IN-FONDO0",Tabla_Consulta_desde_Reporte_de_Valorización_de_Instrumentos[[#This Row],[Inv MM$]],0)</f>
        <v>0</v>
      </c>
      <c r="AF149" s="26">
        <f>IF(Tabla_Consulta_desde_Reporte_de_Valorización_de_Instrumentos[[#This Row],[PORTAFOLIO]]="IN-FONDO1",Tabla_Consulta_desde_Reporte_de_Valorización_de_Instrumentos[[#This Row],[Inv MM$]],0)</f>
        <v>0</v>
      </c>
      <c r="AG149" s="26">
        <f>IF(Tabla_Consulta_desde_Reporte_de_Valorización_de_Instrumentos[[#This Row],[PORTAFOLIO]]="IN-FONDO2",Tabla_Consulta_desde_Reporte_de_Valorización_de_Instrumentos[[#This Row],[Inv MM$]],0)</f>
        <v>0</v>
      </c>
      <c r="AH149" s="26">
        <f>IF(Tabla_Consulta_desde_Reporte_de_Valorización_de_Instrumentos[[#This Row],[PORTAFOLIO]]="IN-FONDO3",Tabla_Consulta_desde_Reporte_de_Valorización_de_Instrumentos[[#This Row],[Inv MM$]],0)</f>
        <v>6.3164309582534734</v>
      </c>
      <c r="AI14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41.127114412631045</v>
      </c>
      <c r="AJ149" s="26">
        <f>IFERROR(IFERROR(INDEX('BD(MSCI)'!$T:$T,MATCH(Tabla_Consulta_desde_Reporte_de_Valorización_de_Instrumentos[[#This Row],[CODIGO_ISIN]],'BD(MSCI)'!$C:$C,0),1),INDEX('BD(MSCI)'!$T:$T,MATCH(Tabla_Consulta_desde_Reporte_de_Valorización_de_Instrumentos[[#This Row],[CODIGO_SBS]],'BD(MSCI)'!$C:$C,0),1)),0)</f>
        <v>267.09083670000001</v>
      </c>
      <c r="AK149" s="26">
        <f>Tabla_Consulta_desde_Reporte_de_Valorización_de_Instrumentos[[#This Row],[C02-H]]*Tabla_Consulta_desde_Reporte_de_Valorización_de_Instrumentos[[#This Row],[Inv MM$]]</f>
        <v>1687.0608295977031</v>
      </c>
      <c r="AL149" s="26">
        <f>Tabla_Consulta_desde_Reporte_de_Valorización_de_Instrumentos[[#This Row],[C02-H]]*Tabla_Consulta_desde_Reporte_de_Valorización_de_Instrumentos[[#This Row],[Weight]]</f>
        <v>1.7920094983251607</v>
      </c>
      <c r="AM149" s="26" t="str">
        <f>INDEX(Parametria!G:G,MATCH(Tabla_Consulta_desde_Reporte_de_Valorización_de_Instrumentos[[#This Row],[CODIGO_SBS]],Parametria!C:C,0))</f>
        <v>30RVL</v>
      </c>
      <c r="AN149" s="26" t="str">
        <f>INDEX(Parametria!F:F,MATCH(Tabla_Consulta_desde_Reporte_de_Valorización_de_Instrumentos[[#This Row],[CODIGO_SBS]],Parametria!C:C,0))</f>
        <v>BU</v>
      </c>
      <c r="AO149" s="26" t="str">
        <f>+INDEX(Parametria!J:J,MATCH(Tabla_Consulta_desde_Reporte_de_Valorización_de_Instrumentos[[#This Row],[CODIGO_SBS]],Parametria!C:C,0))</f>
        <v>RVLBU</v>
      </c>
      <c r="AP149" s="26">
        <f>Tabla_Consulta_desde_Reporte_de_Valorización_de_Instrumentos[[#This Row],[Huella]]/$AU$4</f>
        <v>0.15639859433383546</v>
      </c>
      <c r="AQ149" s="26" t="str">
        <f>IFERROR(INDEX('BD(MSCI)'!W:W,MATCH(Tabla_Consulta_desde_Reporte_de_Valorización_de_Instrumentos[[#This Row],[CODIGO_ISIN]],'BD(MSCI)'!C:C,0)),IF(Tabla_Consulta_desde_Reporte_de_Valorización_de_Instrumentos[[#This Row],[Rank_rt]]="Cash","Cash","Cuestionario Integra"))</f>
        <v>Proxies</v>
      </c>
      <c r="AR149" s="26" t="str">
        <f>IFERROR(INDEX('BD(MSCI)'!X:X,MATCH(Tabla_Consulta_desde_Reporte_de_Valorización_de_Instrumentos[[#This Row],[CODIGO_ISIN]],'BD(MSCI)'!C:C,0)),"Cuestionario Integra")</f>
        <v>BU</v>
      </c>
      <c r="AU149" s="26"/>
      <c r="AX149">
        <v>76832.842052018634</v>
      </c>
    </row>
    <row r="150" spans="2:50" hidden="1" x14ac:dyDescent="0.25">
      <c r="B150" s="14" t="s">
        <v>6390</v>
      </c>
      <c r="C150" t="s">
        <v>422</v>
      </c>
      <c r="D150" t="s">
        <v>12</v>
      </c>
      <c r="E150" t="s">
        <v>423</v>
      </c>
      <c r="F150" t="s">
        <v>442</v>
      </c>
      <c r="G150" t="str">
        <f>INDEX(Parametria!H:H,MATCH(Tabla_Consulta_desde_Reporte_de_Valorización_de_Instrumentos[[#This Row],[CODIGO_SBS]],Parametria!C:C,0),1)</f>
        <v>Sociedad Minera Cerro Verde S.A.A.</v>
      </c>
      <c r="H150" t="s">
        <v>443</v>
      </c>
      <c r="I150" t="s">
        <v>444</v>
      </c>
      <c r="J150" t="s">
        <v>445</v>
      </c>
      <c r="K150" t="s">
        <v>50</v>
      </c>
      <c r="L150">
        <v>2.83</v>
      </c>
      <c r="M150" s="5">
        <v>17775113.030902099</v>
      </c>
      <c r="N150">
        <v>5288795.5699075004</v>
      </c>
      <c r="O150">
        <v>107975</v>
      </c>
      <c r="P150" s="15"/>
      <c r="R150">
        <v>3.3609</v>
      </c>
      <c r="S150" t="s">
        <v>428</v>
      </c>
      <c r="T150">
        <v>18009765.079313401</v>
      </c>
      <c r="U150" s="5">
        <v>5355904.6806974998</v>
      </c>
      <c r="V150" t="s">
        <v>446</v>
      </c>
      <c r="W150">
        <v>8303997000</v>
      </c>
      <c r="X150">
        <v>1275414000</v>
      </c>
      <c r="Y150">
        <v>7028583000</v>
      </c>
      <c r="Z150">
        <v>0.50097360000000002</v>
      </c>
      <c r="AA150" t="str">
        <f>+MID(Tabla_Consulta_desde_Reporte_de_Valorización_de_Instrumentos[[#This Row],[CODIGO_SBS]],7,1)</f>
        <v>2</v>
      </c>
      <c r="AB150">
        <f>INDEX('Cálculo Caja'!F:F,MATCH(Tabla_Consulta_desde_Reporte_de_Valorización_de_Instrumentos[[#This Row],[PORTAFOLIO]],'Cálculo Caja'!A:A,0),1)</f>
        <v>7679510866.0565634</v>
      </c>
      <c r="AC150" s="17">
        <f>Tabla_Consulta_desde_Reporte_de_Valorización_de_Instrumentos[[#This Row],[VALOR_VECTOR_LOCAL]]/Tabla_Consulta_desde_Reporte_de_Valorización_de_Instrumentos[[#This Row],[Patrimonio]]</f>
        <v>2.3146152588269775E-3</v>
      </c>
      <c r="AD150" s="4">
        <f>(Tabla_Consulta_desde_Reporte_de_Valorización_de_Instrumentos[[#This Row],[VALOR_VECTOR_LOCAL]]/INDEX('Tipo de Cambio'!$D:$D,MATCH("2",'Tipo de Cambio'!$E:$E,0),1))/1000000</f>
        <v>5.2887955699074949</v>
      </c>
      <c r="AE150">
        <f>IF(Tabla_Consulta_desde_Reporte_de_Valorización_de_Instrumentos[[#This Row],[PORTAFOLIO]]="IN-FONDO0",Tabla_Consulta_desde_Reporte_de_Valorización_de_Instrumentos[[#This Row],[Inv MM$]],0)</f>
        <v>0</v>
      </c>
      <c r="AF150" s="26">
        <f>IF(Tabla_Consulta_desde_Reporte_de_Valorización_de_Instrumentos[[#This Row],[PORTAFOLIO]]="IN-FONDO1",Tabla_Consulta_desde_Reporte_de_Valorización_de_Instrumentos[[#This Row],[Inv MM$]],0)</f>
        <v>5.2887955699074949</v>
      </c>
      <c r="AG150" s="26">
        <f>IF(Tabla_Consulta_desde_Reporte_de_Valorización_de_Instrumentos[[#This Row],[PORTAFOLIO]]="IN-FONDO2",Tabla_Consulta_desde_Reporte_de_Valorización_de_Instrumentos[[#This Row],[Inv MM$]],0)</f>
        <v>0</v>
      </c>
      <c r="AH150" s="26">
        <f>IF(Tabla_Consulta_desde_Reporte_de_Valorización_de_Instrumentos[[#This Row],[PORTAFOLIO]]="IN-FONDO3",Tabla_Consulta_desde_Reporte_de_Valorización_de_Instrumentos[[#This Row],[Inv MM$]],0)</f>
        <v>0</v>
      </c>
      <c r="AI15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41.127114412631045</v>
      </c>
      <c r="AJ150" s="26">
        <f>IFERROR(IFERROR(INDEX('BD(MSCI)'!$T:$T,MATCH(Tabla_Consulta_desde_Reporte_de_Valorización_de_Instrumentos[[#This Row],[CODIGO_ISIN]],'BD(MSCI)'!$C:$C,0),1),INDEX('BD(MSCI)'!$T:$T,MATCH(Tabla_Consulta_desde_Reporte_de_Valorización_de_Instrumentos[[#This Row],[CODIGO_SBS]],'BD(MSCI)'!$C:$C,0),1)),0)</f>
        <v>267.09083670000001</v>
      </c>
      <c r="AK150" s="26">
        <f>Tabla_Consulta_desde_Reporte_de_Valorización_de_Instrumentos[[#This Row],[C02-H]]*Tabla_Consulta_desde_Reporte_de_Valorización_de_Instrumentos[[#This Row],[Inv MM$]]</f>
        <v>1412.5888339018461</v>
      </c>
      <c r="AL150" s="26">
        <f>Tabla_Consulta_desde_Reporte_de_Valorización_de_Instrumentos[[#This Row],[C02-H]]*Tabla_Consulta_desde_Reporte_de_Valorización_de_Instrumentos[[#This Row],[Weight]]</f>
        <v>0.61821252611868449</v>
      </c>
      <c r="AM150" s="26" t="str">
        <f>INDEX(Parametria!G:G,MATCH(Tabla_Consulta_desde_Reporte_de_Valorización_de_Instrumentos[[#This Row],[CODIGO_SBS]],Parametria!C:C,0))</f>
        <v>30RVL</v>
      </c>
      <c r="AN150" s="26" t="str">
        <f>INDEX(Parametria!F:F,MATCH(Tabla_Consulta_desde_Reporte_de_Valorización_de_Instrumentos[[#This Row],[CODIGO_SBS]],Parametria!C:C,0))</f>
        <v>BU</v>
      </c>
      <c r="AO150" s="26" t="str">
        <f>+INDEX(Parametria!J:J,MATCH(Tabla_Consulta_desde_Reporte_de_Valorización_de_Instrumentos[[#This Row],[CODIGO_SBS]],Parametria!C:C,0))</f>
        <v>RVLBU</v>
      </c>
      <c r="AP150" s="26">
        <f>Tabla_Consulta_desde_Reporte_de_Valorización_de_Instrumentos[[#This Row],[Huella]]/$AU$4</f>
        <v>0.13095372977547159</v>
      </c>
      <c r="AQ150" s="26" t="str">
        <f>IFERROR(INDEX('BD(MSCI)'!W:W,MATCH(Tabla_Consulta_desde_Reporte_de_Valorización_de_Instrumentos[[#This Row],[CODIGO_ISIN]],'BD(MSCI)'!C:C,0)),IF(Tabla_Consulta_desde_Reporte_de_Valorización_de_Instrumentos[[#This Row],[Rank_rt]]="Cash","Cash","Cuestionario Integra"))</f>
        <v>Proxies</v>
      </c>
      <c r="AR150" s="26" t="str">
        <f>IFERROR(INDEX('BD(MSCI)'!X:X,MATCH(Tabla_Consulta_desde_Reporte_de_Valorización_de_Instrumentos[[#This Row],[CODIGO_ISIN]],'BD(MSCI)'!C:C,0)),"Cuestionario Integra")</f>
        <v>BU</v>
      </c>
      <c r="AU150" s="26"/>
      <c r="AX150">
        <v>79111.658503135346</v>
      </c>
    </row>
    <row r="151" spans="2:50" hidden="1" x14ac:dyDescent="0.25">
      <c r="B151" s="14" t="s">
        <v>6390</v>
      </c>
      <c r="C151" t="s">
        <v>422</v>
      </c>
      <c r="D151" t="s">
        <v>12</v>
      </c>
      <c r="E151" t="s">
        <v>423</v>
      </c>
      <c r="F151" t="s">
        <v>447</v>
      </c>
      <c r="G151" t="str">
        <f>INDEX(Parametria!H:H,MATCH(Tabla_Consulta_desde_Reporte_de_Valorización_de_Instrumentos[[#This Row],[CODIGO_SBS]],Parametria!C:C,0),1)</f>
        <v>Unión Andina de Cementos</v>
      </c>
      <c r="H151" t="s">
        <v>448</v>
      </c>
      <c r="I151" t="s">
        <v>449</v>
      </c>
      <c r="J151" t="s">
        <v>450</v>
      </c>
      <c r="K151" t="s">
        <v>90</v>
      </c>
      <c r="L151">
        <v>1</v>
      </c>
      <c r="M151" s="5">
        <v>7950988.5717551997</v>
      </c>
      <c r="N151">
        <v>7950988.5717551997</v>
      </c>
      <c r="O151">
        <v>4543932</v>
      </c>
      <c r="P151" s="15"/>
      <c r="R151">
        <v>1</v>
      </c>
      <c r="S151" t="s">
        <v>428</v>
      </c>
      <c r="T151">
        <v>7942025.6658851998</v>
      </c>
      <c r="U151" s="5">
        <v>7942025.6658851998</v>
      </c>
      <c r="V151" t="s">
        <v>451</v>
      </c>
      <c r="W151">
        <v>6648909000</v>
      </c>
      <c r="X151">
        <v>1203766000</v>
      </c>
      <c r="Y151">
        <v>5445143000</v>
      </c>
      <c r="Z151">
        <v>1.9724999999999999E-3</v>
      </c>
      <c r="AA151" t="str">
        <f>+MID(Tabla_Consulta_desde_Reporte_de_Valorización_de_Instrumentos[[#This Row],[CODIGO_SBS]],7,1)</f>
        <v>1</v>
      </c>
      <c r="AB151">
        <f>INDEX('Cálculo Caja'!F:F,MATCH(Tabla_Consulta_desde_Reporte_de_Valorización_de_Instrumentos[[#This Row],[PORTAFOLIO]],'Cálculo Caja'!A:A,0),1)</f>
        <v>7679510866.0565634</v>
      </c>
      <c r="AC151" s="17">
        <f>Tabla_Consulta_desde_Reporte_de_Valorización_de_Instrumentos[[#This Row],[VALOR_VECTOR_LOCAL]]/Tabla_Consulta_desde_Reporte_de_Valorización_de_Instrumentos[[#This Row],[Patrimonio]]</f>
        <v>1.0353509110715069E-3</v>
      </c>
      <c r="AD151" s="4">
        <f>(Tabla_Consulta_desde_Reporte_de_Valorización_de_Instrumentos[[#This Row],[VALOR_VECTOR_LOCAL]]/INDEX('Tipo de Cambio'!$D:$D,MATCH("2",'Tipo de Cambio'!$E:$E,0),1))/1000000</f>
        <v>2.3657319681499596</v>
      </c>
      <c r="AE151">
        <f>IF(Tabla_Consulta_desde_Reporte_de_Valorización_de_Instrumentos[[#This Row],[PORTAFOLIO]]="IN-FONDO0",Tabla_Consulta_desde_Reporte_de_Valorización_de_Instrumentos[[#This Row],[Inv MM$]],0)</f>
        <v>0</v>
      </c>
      <c r="AF151" s="26">
        <f>IF(Tabla_Consulta_desde_Reporte_de_Valorización_de_Instrumentos[[#This Row],[PORTAFOLIO]]="IN-FONDO1",Tabla_Consulta_desde_Reporte_de_Valorización_de_Instrumentos[[#This Row],[Inv MM$]],0)</f>
        <v>2.3657319681499596</v>
      </c>
      <c r="AG151" s="26">
        <f>IF(Tabla_Consulta_desde_Reporte_de_Valorización_de_Instrumentos[[#This Row],[PORTAFOLIO]]="IN-FONDO2",Tabla_Consulta_desde_Reporte_de_Valorización_de_Instrumentos[[#This Row],[Inv MM$]],0)</f>
        <v>0</v>
      </c>
      <c r="AH151" s="26">
        <f>IF(Tabla_Consulta_desde_Reporte_de_Valorización_de_Instrumentos[[#This Row],[PORTAFOLIO]]="IN-FONDO3",Tabla_Consulta_desde_Reporte_de_Valorización_de_Instrumentos[[#This Row],[Inv MM$]],0)</f>
        <v>0</v>
      </c>
      <c r="AI15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36.888817097214194</v>
      </c>
      <c r="AJ151" s="26">
        <f>IFERROR(IFERROR(INDEX('BD(MSCI)'!$T:$T,MATCH(Tabla_Consulta_desde_Reporte_de_Valorización_de_Instrumentos[[#This Row],[CODIGO_ISIN]],'BD(MSCI)'!$C:$C,0),1),INDEX('BD(MSCI)'!$T:$T,MATCH(Tabla_Consulta_desde_Reporte_de_Valorización_de_Instrumentos[[#This Row],[CODIGO_SBS]],'BD(MSCI)'!$C:$C,0),1)),0)</f>
        <v>2001.5</v>
      </c>
      <c r="AK151" s="26">
        <f>Tabla_Consulta_desde_Reporte_de_Valorización_de_Instrumentos[[#This Row],[C02-H]]*Tabla_Consulta_desde_Reporte_de_Valorización_de_Instrumentos[[#This Row],[Inv MM$]]</f>
        <v>4735.0125342521442</v>
      </c>
      <c r="AL151" s="26">
        <f>Tabla_Consulta_desde_Reporte_de_Valorización_de_Instrumentos[[#This Row],[C02-H]]*Tabla_Consulta_desde_Reporte_de_Valorización_de_Instrumentos[[#This Row],[Weight]]</f>
        <v>2.0722548485096208</v>
      </c>
      <c r="AM151" s="26" t="str">
        <f>INDEX(Parametria!G:G,MATCH(Tabla_Consulta_desde_Reporte_de_Valorización_de_Instrumentos[[#This Row],[CODIGO_SBS]],Parametria!C:C,0))</f>
        <v>30RVL</v>
      </c>
      <c r="AN151" s="26" t="str">
        <f>INDEX(Parametria!F:F,MATCH(Tabla_Consulta_desde_Reporte_de_Valorización_de_Instrumentos[[#This Row],[CODIGO_SBS]],Parametria!C:C,0))</f>
        <v>BU</v>
      </c>
      <c r="AO151" s="26" t="str">
        <f>+INDEX(Parametria!J:J,MATCH(Tabla_Consulta_desde_Reporte_de_Valorización_de_Instrumentos[[#This Row],[CODIGO_SBS]],Parametria!C:C,0))</f>
        <v>RVLBU</v>
      </c>
      <c r="AP151" s="26">
        <f>Tabla_Consulta_desde_Reporte_de_Valorización_de_Instrumentos[[#This Row],[Huella]]/$AU$4</f>
        <v>0.4389582708091912</v>
      </c>
      <c r="AQ151" s="26" t="str">
        <f>IFERROR(INDEX('BD(MSCI)'!W:W,MATCH(Tabla_Consulta_desde_Reporte_de_Valorización_de_Instrumentos[[#This Row],[CODIGO_ISIN]],'BD(MSCI)'!C:C,0)),IF(Tabla_Consulta_desde_Reporte_de_Valorización_de_Instrumentos[[#This Row],[Rank_rt]]="Cash","Cash","Cuestionario Integra"))</f>
        <v>Portafolio</v>
      </c>
      <c r="AR151" s="26" t="str">
        <f>IFERROR(INDEX('BD(MSCI)'!X:X,MATCH(Tabla_Consulta_desde_Reporte_de_Valorización_de_Instrumentos[[#This Row],[CODIGO_ISIN]],'BD(MSCI)'!C:C,0)),"Cuestionario Integra")</f>
        <v>Portafolio</v>
      </c>
      <c r="AU151" s="26"/>
      <c r="AX151">
        <v>132368.23493707995</v>
      </c>
    </row>
    <row r="152" spans="2:50" hidden="1" x14ac:dyDescent="0.25">
      <c r="B152" s="14" t="s">
        <v>6390</v>
      </c>
      <c r="C152" t="s">
        <v>422</v>
      </c>
      <c r="D152" t="s">
        <v>11</v>
      </c>
      <c r="E152" t="s">
        <v>423</v>
      </c>
      <c r="F152" t="s">
        <v>447</v>
      </c>
      <c r="G152" t="str">
        <f>INDEX(Parametria!H:H,MATCH(Tabla_Consulta_desde_Reporte_de_Valorización_de_Instrumentos[[#This Row],[CODIGO_SBS]],Parametria!C:C,0),1)</f>
        <v>Unión Andina de Cementos</v>
      </c>
      <c r="H152" t="s">
        <v>448</v>
      </c>
      <c r="I152" t="s">
        <v>449</v>
      </c>
      <c r="J152" t="s">
        <v>450</v>
      </c>
      <c r="K152" t="s">
        <v>90</v>
      </c>
      <c r="L152">
        <v>1</v>
      </c>
      <c r="M152" s="5">
        <v>10688064.6091436</v>
      </c>
      <c r="N152">
        <v>10688064.6091436</v>
      </c>
      <c r="O152">
        <v>6108151</v>
      </c>
      <c r="P152" s="15"/>
      <c r="R152">
        <v>1</v>
      </c>
      <c r="S152" t="s">
        <v>428</v>
      </c>
      <c r="T152">
        <v>10676016.2812961</v>
      </c>
      <c r="U152" s="5">
        <v>10676016.2812961</v>
      </c>
      <c r="V152" t="s">
        <v>451</v>
      </c>
      <c r="W152">
        <v>6648909000</v>
      </c>
      <c r="X152">
        <v>1203766000</v>
      </c>
      <c r="Y152">
        <v>5445143000</v>
      </c>
      <c r="Z152">
        <v>1.9724999999999999E-3</v>
      </c>
      <c r="AA152" t="str">
        <f>+MID(Tabla_Consulta_desde_Reporte_de_Valorización_de_Instrumentos[[#This Row],[CODIGO_SBS]],7,1)</f>
        <v>1</v>
      </c>
      <c r="AB152">
        <f>INDEX('Cálculo Caja'!F:F,MATCH(Tabla_Consulta_desde_Reporte_de_Valorización_de_Instrumentos[[#This Row],[PORTAFOLIO]],'Cálculo Caja'!A:A,0),1)</f>
        <v>3164069580.822104</v>
      </c>
      <c r="AC152" s="17">
        <f>Tabla_Consulta_desde_Reporte_de_Valorización_de_Instrumentos[[#This Row],[VALOR_VECTOR_LOCAL]]/Tabla_Consulta_desde_Reporte_de_Valorización_de_Instrumentos[[#This Row],[Patrimonio]]</f>
        <v>3.3779486626733962E-3</v>
      </c>
      <c r="AD152" s="4">
        <f>(Tabla_Consulta_desde_Reporte_de_Valorización_de_Instrumentos[[#This Row],[VALOR_VECTOR_LOCAL]]/INDEX('Tipo de Cambio'!$D:$D,MATCH("2",'Tipo de Cambio'!$E:$E,0),1))/1000000</f>
        <v>3.1801197920627211</v>
      </c>
      <c r="AE152">
        <f>IF(Tabla_Consulta_desde_Reporte_de_Valorización_de_Instrumentos[[#This Row],[PORTAFOLIO]]="IN-FONDO0",Tabla_Consulta_desde_Reporte_de_Valorización_de_Instrumentos[[#This Row],[Inv MM$]],0)</f>
        <v>0</v>
      </c>
      <c r="AF152" s="26">
        <f>IF(Tabla_Consulta_desde_Reporte_de_Valorización_de_Instrumentos[[#This Row],[PORTAFOLIO]]="IN-FONDO1",Tabla_Consulta_desde_Reporte_de_Valorización_de_Instrumentos[[#This Row],[Inv MM$]],0)</f>
        <v>0</v>
      </c>
      <c r="AG152" s="26">
        <f>IF(Tabla_Consulta_desde_Reporte_de_Valorización_de_Instrumentos[[#This Row],[PORTAFOLIO]]="IN-FONDO2",Tabla_Consulta_desde_Reporte_de_Valorización_de_Instrumentos[[#This Row],[Inv MM$]],0)</f>
        <v>0</v>
      </c>
      <c r="AH152" s="26">
        <f>IF(Tabla_Consulta_desde_Reporte_de_Valorización_de_Instrumentos[[#This Row],[PORTAFOLIO]]="IN-FONDO3",Tabla_Consulta_desde_Reporte_de_Valorización_de_Instrumentos[[#This Row],[Inv MM$]],0)</f>
        <v>3.1801197920627211</v>
      </c>
      <c r="AI15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36.888817097214194</v>
      </c>
      <c r="AJ152" s="26">
        <f>IFERROR(IFERROR(INDEX('BD(MSCI)'!$T:$T,MATCH(Tabla_Consulta_desde_Reporte_de_Valorización_de_Instrumentos[[#This Row],[CODIGO_ISIN]],'BD(MSCI)'!$C:$C,0),1),INDEX('BD(MSCI)'!$T:$T,MATCH(Tabla_Consulta_desde_Reporte_de_Valorización_de_Instrumentos[[#This Row],[CODIGO_SBS]],'BD(MSCI)'!$C:$C,0),1)),0)</f>
        <v>2001.5</v>
      </c>
      <c r="AK152" s="26">
        <f>Tabla_Consulta_desde_Reporte_de_Valorización_de_Instrumentos[[#This Row],[C02-H]]*Tabla_Consulta_desde_Reporte_de_Valorización_de_Instrumentos[[#This Row],[Inv MM$]]</f>
        <v>6365.0097638135367</v>
      </c>
      <c r="AL152" s="26">
        <f>Tabla_Consulta_desde_Reporte_de_Valorización_de_Instrumentos[[#This Row],[C02-H]]*Tabla_Consulta_desde_Reporte_de_Valorización_de_Instrumentos[[#This Row],[Weight]]</f>
        <v>6.7609642483408026</v>
      </c>
      <c r="AM152" s="26" t="str">
        <f>INDEX(Parametria!G:G,MATCH(Tabla_Consulta_desde_Reporte_de_Valorización_de_Instrumentos[[#This Row],[CODIGO_SBS]],Parametria!C:C,0))</f>
        <v>30RVL</v>
      </c>
      <c r="AN152" s="26" t="str">
        <f>INDEX(Parametria!F:F,MATCH(Tabla_Consulta_desde_Reporte_de_Valorización_de_Instrumentos[[#This Row],[CODIGO_SBS]],Parametria!C:C,0))</f>
        <v>BU</v>
      </c>
      <c r="AO152" s="26" t="str">
        <f>+INDEX(Parametria!J:J,MATCH(Tabla_Consulta_desde_Reporte_de_Valorización_de_Instrumentos[[#This Row],[CODIGO_SBS]],Parametria!C:C,0))</f>
        <v>RVLBU</v>
      </c>
      <c r="AP152" s="26">
        <f>Tabla_Consulta_desde_Reporte_de_Valorización_de_Instrumentos[[#This Row],[Huella]]/$AU$4</f>
        <v>0.5900667969506217</v>
      </c>
      <c r="AQ152" s="26" t="str">
        <f>IFERROR(INDEX('BD(MSCI)'!W:W,MATCH(Tabla_Consulta_desde_Reporte_de_Valorización_de_Instrumentos[[#This Row],[CODIGO_ISIN]],'BD(MSCI)'!C:C,0)),IF(Tabla_Consulta_desde_Reporte_de_Valorización_de_Instrumentos[[#This Row],[Rank_rt]]="Cash","Cash","Cuestionario Integra"))</f>
        <v>Portafolio</v>
      </c>
      <c r="AR152" s="26" t="str">
        <f>IFERROR(INDEX('BD(MSCI)'!X:X,MATCH(Tabla_Consulta_desde_Reporte_de_Valorización_de_Instrumentos[[#This Row],[CODIGO_ISIN]],'BD(MSCI)'!C:C,0)),"Cuestionario Integra")</f>
        <v>Portafolio</v>
      </c>
      <c r="AU152" s="26"/>
    </row>
    <row r="153" spans="2:50" hidden="1" x14ac:dyDescent="0.25">
      <c r="B153" s="14" t="s">
        <v>6390</v>
      </c>
      <c r="C153" t="s">
        <v>422</v>
      </c>
      <c r="D153" t="s">
        <v>10</v>
      </c>
      <c r="E153" t="s">
        <v>423</v>
      </c>
      <c r="F153" t="s">
        <v>447</v>
      </c>
      <c r="G153" t="str">
        <f>INDEX(Parametria!H:H,MATCH(Tabla_Consulta_desde_Reporte_de_Valorización_de_Instrumentos[[#This Row],[CODIGO_SBS]],Parametria!C:C,0),1)</f>
        <v>Unión Andina de Cementos</v>
      </c>
      <c r="H153" t="s">
        <v>448</v>
      </c>
      <c r="I153" t="s">
        <v>449</v>
      </c>
      <c r="J153" t="s">
        <v>450</v>
      </c>
      <c r="K153" t="s">
        <v>90</v>
      </c>
      <c r="L153">
        <v>1</v>
      </c>
      <c r="M153" s="5">
        <v>105340572.20112839</v>
      </c>
      <c r="N153">
        <v>105340572.20112839</v>
      </c>
      <c r="O153">
        <v>60201369</v>
      </c>
      <c r="P153" s="15"/>
      <c r="R153">
        <v>1</v>
      </c>
      <c r="S153" t="s">
        <v>428</v>
      </c>
      <c r="T153">
        <v>105221825.0007759</v>
      </c>
      <c r="U153" s="5">
        <v>105221825.0007759</v>
      </c>
      <c r="V153" t="s">
        <v>451</v>
      </c>
      <c r="W153">
        <v>6648909000</v>
      </c>
      <c r="X153">
        <v>1203766000</v>
      </c>
      <c r="Y153">
        <v>5445143000</v>
      </c>
      <c r="Z153">
        <v>1.9724999999999999E-3</v>
      </c>
      <c r="AA153" t="str">
        <f>+MID(Tabla_Consulta_desde_Reporte_de_Valorización_de_Instrumentos[[#This Row],[CODIGO_SBS]],7,1)</f>
        <v>1</v>
      </c>
      <c r="AB153">
        <f>INDEX('Cálculo Caja'!F:F,MATCH(Tabla_Consulta_desde_Reporte_de_Valorización_de_Instrumentos[[#This Row],[PORTAFOLIO]],'Cálculo Caja'!A:A,0),1)</f>
        <v>26256910350.436607</v>
      </c>
      <c r="AC153" s="17">
        <f>Tabla_Consulta_desde_Reporte_de_Valorización_de_Instrumentos[[#This Row],[VALOR_VECTOR_LOCAL]]/Tabla_Consulta_desde_Reporte_de_Valorización_de_Instrumentos[[#This Row],[Patrimonio]]</f>
        <v>4.0119180358696221E-3</v>
      </c>
      <c r="AD153" s="4">
        <f>(Tabla_Consulta_desde_Reporte_de_Valorización_de_Instrumentos[[#This Row],[VALOR_VECTOR_LOCAL]]/INDEX('Tipo de Cambio'!$D:$D,MATCH("2",'Tipo de Cambio'!$E:$E,0),1))/1000000</f>
        <v>31.342965337001512</v>
      </c>
      <c r="AE153">
        <f>IF(Tabla_Consulta_desde_Reporte_de_Valorización_de_Instrumentos[[#This Row],[PORTAFOLIO]]="IN-FONDO0",Tabla_Consulta_desde_Reporte_de_Valorización_de_Instrumentos[[#This Row],[Inv MM$]],0)</f>
        <v>0</v>
      </c>
      <c r="AF153" s="26">
        <f>IF(Tabla_Consulta_desde_Reporte_de_Valorización_de_Instrumentos[[#This Row],[PORTAFOLIO]]="IN-FONDO1",Tabla_Consulta_desde_Reporte_de_Valorización_de_Instrumentos[[#This Row],[Inv MM$]],0)</f>
        <v>0</v>
      </c>
      <c r="AG153" s="26">
        <f>IF(Tabla_Consulta_desde_Reporte_de_Valorización_de_Instrumentos[[#This Row],[PORTAFOLIO]]="IN-FONDO2",Tabla_Consulta_desde_Reporte_de_Valorización_de_Instrumentos[[#This Row],[Inv MM$]],0)</f>
        <v>31.342965337001512</v>
      </c>
      <c r="AH153" s="26">
        <f>IF(Tabla_Consulta_desde_Reporte_de_Valorización_de_Instrumentos[[#This Row],[PORTAFOLIO]]="IN-FONDO3",Tabla_Consulta_desde_Reporte_de_Valorización_de_Instrumentos[[#This Row],[Inv MM$]],0)</f>
        <v>0</v>
      </c>
      <c r="AI15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36.888817097214194</v>
      </c>
      <c r="AJ153" s="26">
        <f>IFERROR(IFERROR(INDEX('BD(MSCI)'!$T:$T,MATCH(Tabla_Consulta_desde_Reporte_de_Valorización_de_Instrumentos[[#This Row],[CODIGO_ISIN]],'BD(MSCI)'!$C:$C,0),1),INDEX('BD(MSCI)'!$T:$T,MATCH(Tabla_Consulta_desde_Reporte_de_Valorización_de_Instrumentos[[#This Row],[CODIGO_SBS]],'BD(MSCI)'!$C:$C,0),1)),0)</f>
        <v>2001.5</v>
      </c>
      <c r="AK153" s="26">
        <f>Tabla_Consulta_desde_Reporte_de_Valorización_de_Instrumentos[[#This Row],[C02-H]]*Tabla_Consulta_desde_Reporte_de_Valorización_de_Instrumentos[[#This Row],[Inv MM$]]</f>
        <v>62732.945122008525</v>
      </c>
      <c r="AL153" s="26">
        <f>Tabla_Consulta_desde_Reporte_de_Valorización_de_Instrumentos[[#This Row],[C02-H]]*Tabla_Consulta_desde_Reporte_de_Valorización_de_Instrumentos[[#This Row],[Weight]]</f>
        <v>8.0298539487930487</v>
      </c>
      <c r="AM153" s="26" t="str">
        <f>INDEX(Parametria!G:G,MATCH(Tabla_Consulta_desde_Reporte_de_Valorización_de_Instrumentos[[#This Row],[CODIGO_SBS]],Parametria!C:C,0))</f>
        <v>30RVL</v>
      </c>
      <c r="AN153" s="26" t="str">
        <f>INDEX(Parametria!F:F,MATCH(Tabla_Consulta_desde_Reporte_de_Valorización_de_Instrumentos[[#This Row],[CODIGO_SBS]],Parametria!C:C,0))</f>
        <v>BU</v>
      </c>
      <c r="AO153" s="26" t="str">
        <f>+INDEX(Parametria!J:J,MATCH(Tabla_Consulta_desde_Reporte_de_Valorización_de_Instrumentos[[#This Row],[CODIGO_SBS]],Parametria!C:C,0))</f>
        <v>RVLBU</v>
      </c>
      <c r="AP153" s="26">
        <f>Tabla_Consulta_desde_Reporte_de_Valorización_de_Instrumentos[[#This Row],[Huella]]/$AU$4</f>
        <v>5.8156435520131122</v>
      </c>
      <c r="AQ153" s="26" t="str">
        <f>IFERROR(INDEX('BD(MSCI)'!W:W,MATCH(Tabla_Consulta_desde_Reporte_de_Valorización_de_Instrumentos[[#This Row],[CODIGO_ISIN]],'BD(MSCI)'!C:C,0)),IF(Tabla_Consulta_desde_Reporte_de_Valorización_de_Instrumentos[[#This Row],[Rank_rt]]="Cash","Cash","Cuestionario Integra"))</f>
        <v>Portafolio</v>
      </c>
      <c r="AR153" s="26" t="str">
        <f>IFERROR(INDEX('BD(MSCI)'!X:X,MATCH(Tabla_Consulta_desde_Reporte_de_Valorización_de_Instrumentos[[#This Row],[CODIGO_ISIN]],'BD(MSCI)'!C:C,0)),"Cuestionario Integra")</f>
        <v>Portafolio</v>
      </c>
      <c r="AU153" s="26"/>
    </row>
    <row r="154" spans="2:50" hidden="1" x14ac:dyDescent="0.25">
      <c r="B154" s="14" t="s">
        <v>6390</v>
      </c>
      <c r="C154" t="s">
        <v>422</v>
      </c>
      <c r="D154" t="s">
        <v>10</v>
      </c>
      <c r="E154" t="s">
        <v>423</v>
      </c>
      <c r="F154" t="s">
        <v>452</v>
      </c>
      <c r="G154" t="str">
        <f>INDEX(Parametria!H:H,MATCH(Tabla_Consulta_desde_Reporte_de_Valorización_de_Instrumentos[[#This Row],[CODIGO_SBS]],Parametria!C:C,0),1)</f>
        <v>Banco Continental</v>
      </c>
      <c r="H154" t="s">
        <v>453</v>
      </c>
      <c r="I154" t="s">
        <v>454</v>
      </c>
      <c r="J154" t="s">
        <v>243</v>
      </c>
      <c r="K154" t="s">
        <v>90</v>
      </c>
      <c r="L154">
        <v>1</v>
      </c>
      <c r="M154" s="5">
        <v>50550121.107822597</v>
      </c>
      <c r="N154">
        <v>50550121.107822597</v>
      </c>
      <c r="O154">
        <v>28241334</v>
      </c>
      <c r="P154" s="15"/>
      <c r="R154">
        <v>1</v>
      </c>
      <c r="S154" t="s">
        <v>428</v>
      </c>
      <c r="T154">
        <v>50084365.027494602</v>
      </c>
      <c r="U154" s="5">
        <v>50084365.027494602</v>
      </c>
      <c r="V154" t="s">
        <v>215</v>
      </c>
      <c r="W154">
        <v>107848509000</v>
      </c>
      <c r="X154">
        <v>95703702000</v>
      </c>
      <c r="Y154">
        <v>12144807000</v>
      </c>
      <c r="Z154">
        <v>1.6492E-2</v>
      </c>
      <c r="AA154" t="str">
        <f>+MID(Tabla_Consulta_desde_Reporte_de_Valorización_de_Instrumentos[[#This Row],[CODIGO_SBS]],7,1)</f>
        <v>1</v>
      </c>
      <c r="AB154">
        <f>INDEX('Cálculo Caja'!F:F,MATCH(Tabla_Consulta_desde_Reporte_de_Valorización_de_Instrumentos[[#This Row],[PORTAFOLIO]],'Cálculo Caja'!A:A,0),1)</f>
        <v>26256910350.436607</v>
      </c>
      <c r="AC154" s="17">
        <f>Tabla_Consulta_desde_Reporte_de_Valorización_de_Instrumentos[[#This Row],[VALOR_VECTOR_LOCAL]]/Tabla_Consulta_desde_Reporte_de_Valorización_de_Instrumentos[[#This Row],[Patrimonio]]</f>
        <v>1.9252120844820584E-3</v>
      </c>
      <c r="AD154" s="4">
        <f>(Tabla_Consulta_desde_Reporte_de_Valorización_de_Instrumentos[[#This Row],[VALOR_VECTOR_LOCAL]]/INDEX('Tipo de Cambio'!$D:$D,MATCH("2",'Tipo de Cambio'!$E:$E,0),1))/1000000</f>
        <v>15.040650155560296</v>
      </c>
      <c r="AE154">
        <f>IF(Tabla_Consulta_desde_Reporte_de_Valorización_de_Instrumentos[[#This Row],[PORTAFOLIO]]="IN-FONDO0",Tabla_Consulta_desde_Reporte_de_Valorización_de_Instrumentos[[#This Row],[Inv MM$]],0)</f>
        <v>0</v>
      </c>
      <c r="AF154" s="26">
        <f>IF(Tabla_Consulta_desde_Reporte_de_Valorización_de_Instrumentos[[#This Row],[PORTAFOLIO]]="IN-FONDO1",Tabla_Consulta_desde_Reporte_de_Valorización_de_Instrumentos[[#This Row],[Inv MM$]],0)</f>
        <v>0</v>
      </c>
      <c r="AG154" s="26">
        <f>IF(Tabla_Consulta_desde_Reporte_de_Valorización_de_Instrumentos[[#This Row],[PORTAFOLIO]]="IN-FONDO2",Tabla_Consulta_desde_Reporte_de_Valorización_de_Instrumentos[[#This Row],[Inv MM$]],0)</f>
        <v>15.040650155560296</v>
      </c>
      <c r="AH154" s="26">
        <f>IF(Tabla_Consulta_desde_Reporte_de_Valorización_de_Instrumentos[[#This Row],[PORTAFOLIO]]="IN-FONDO3",Tabla_Consulta_desde_Reporte_de_Valorización_de_Instrumentos[[#This Row],[Inv MM$]],0)</f>
        <v>0</v>
      </c>
      <c r="AI15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19.619299900093608</v>
      </c>
      <c r="AJ154" s="26">
        <f>IFERROR(IFERROR(INDEX('BD(MSCI)'!$T:$T,MATCH(Tabla_Consulta_desde_Reporte_de_Valorización_de_Instrumentos[[#This Row],[CODIGO_ISIN]],'BD(MSCI)'!$C:$C,0),1),INDEX('BD(MSCI)'!$T:$T,MATCH(Tabla_Consulta_desde_Reporte_de_Valorización_de_Instrumentos[[#This Row],[CODIGO_SBS]],'BD(MSCI)'!$C:$C,0),1)),0)</f>
        <v>0.77</v>
      </c>
      <c r="AK154" s="26">
        <f>Tabla_Consulta_desde_Reporte_de_Valorización_de_Instrumentos[[#This Row],[C02-H]]*Tabla_Consulta_desde_Reporte_de_Valorización_de_Instrumentos[[#This Row],[Inv MM$]]</f>
        <v>11.581300619781429</v>
      </c>
      <c r="AL154" s="26">
        <f>Tabla_Consulta_desde_Reporte_de_Valorización_de_Instrumentos[[#This Row],[C02-H]]*Tabla_Consulta_desde_Reporte_de_Valorización_de_Instrumentos[[#This Row],[Weight]]</f>
        <v>1.482413305051185E-3</v>
      </c>
      <c r="AM154" s="26" t="str">
        <f>INDEX(Parametria!G:G,MATCH(Tabla_Consulta_desde_Reporte_de_Valorización_de_Instrumentos[[#This Row],[CODIGO_SBS]],Parametria!C:C,0))</f>
        <v>30RVL</v>
      </c>
      <c r="AN154" s="26" t="str">
        <f>INDEX(Parametria!F:F,MATCH(Tabla_Consulta_desde_Reporte_de_Valorización_de_Instrumentos[[#This Row],[CODIGO_SBS]],Parametria!C:C,0))</f>
        <v>BU</v>
      </c>
      <c r="AO154" s="26" t="str">
        <f>+INDEX(Parametria!J:J,MATCH(Tabla_Consulta_desde_Reporte_de_Valorización_de_Instrumentos[[#This Row],[CODIGO_SBS]],Parametria!C:C,0))</f>
        <v>RVLBU</v>
      </c>
      <c r="AP154" s="26">
        <f>Tabla_Consulta_desde_Reporte_de_Valorización_de_Instrumentos[[#This Row],[Huella]]/$AU$4</f>
        <v>1.0736418662054502E-3</v>
      </c>
      <c r="AQ154" s="26" t="str">
        <f>IFERROR(INDEX('BD(MSCI)'!W:W,MATCH(Tabla_Consulta_desde_Reporte_de_Valorización_de_Instrumentos[[#This Row],[CODIGO_ISIN]],'BD(MSCI)'!C:C,0)),IF(Tabla_Consulta_desde_Reporte_de_Valorización_de_Instrumentos[[#This Row],[Rank_rt]]="Cash","Cash","Cuestionario Integra"))</f>
        <v>Portafolio</v>
      </c>
      <c r="AR154" s="26" t="str">
        <f>IFERROR(INDEX('BD(MSCI)'!X:X,MATCH(Tabla_Consulta_desde_Reporte_de_Valorización_de_Instrumentos[[#This Row],[CODIGO_ISIN]],'BD(MSCI)'!C:C,0)),"Cuestionario Integra")</f>
        <v>Portafolio</v>
      </c>
      <c r="AU154" s="26"/>
    </row>
    <row r="155" spans="2:50" hidden="1" x14ac:dyDescent="0.25">
      <c r="B155" s="14" t="s">
        <v>6390</v>
      </c>
      <c r="C155" t="s">
        <v>422</v>
      </c>
      <c r="D155" t="s">
        <v>11</v>
      </c>
      <c r="E155" t="s">
        <v>423</v>
      </c>
      <c r="F155" t="s">
        <v>452</v>
      </c>
      <c r="G155" t="str">
        <f>INDEX(Parametria!H:H,MATCH(Tabla_Consulta_desde_Reporte_de_Valorización_de_Instrumentos[[#This Row],[CODIGO_SBS]],Parametria!C:C,0),1)</f>
        <v>Banco Continental</v>
      </c>
      <c r="H155" t="s">
        <v>453</v>
      </c>
      <c r="I155" t="s">
        <v>454</v>
      </c>
      <c r="J155" t="s">
        <v>243</v>
      </c>
      <c r="K155" t="s">
        <v>90</v>
      </c>
      <c r="L155">
        <v>1</v>
      </c>
      <c r="M155" s="5">
        <v>14389860.3506175</v>
      </c>
      <c r="N155">
        <v>14389860.3506175</v>
      </c>
      <c r="O155">
        <v>8039325</v>
      </c>
      <c r="P155" s="15"/>
      <c r="R155">
        <v>1</v>
      </c>
      <c r="S155" t="s">
        <v>428</v>
      </c>
      <c r="T155">
        <v>14257275.802717499</v>
      </c>
      <c r="U155" s="5">
        <v>14257275.802717499</v>
      </c>
      <c r="V155" t="s">
        <v>215</v>
      </c>
      <c r="W155">
        <v>107848509000</v>
      </c>
      <c r="X155">
        <v>95703702000</v>
      </c>
      <c r="Y155">
        <v>12144807000</v>
      </c>
      <c r="Z155">
        <v>1.6492E-2</v>
      </c>
      <c r="AA155" t="str">
        <f>+MID(Tabla_Consulta_desde_Reporte_de_Valorización_de_Instrumentos[[#This Row],[CODIGO_SBS]],7,1)</f>
        <v>1</v>
      </c>
      <c r="AB155">
        <f>INDEX('Cálculo Caja'!F:F,MATCH(Tabla_Consulta_desde_Reporte_de_Valorización_de_Instrumentos[[#This Row],[PORTAFOLIO]],'Cálculo Caja'!A:A,0),1)</f>
        <v>3164069580.822104</v>
      </c>
      <c r="AC155" s="17">
        <f>Tabla_Consulta_desde_Reporte_de_Valorización_de_Instrumentos[[#This Row],[VALOR_VECTOR_LOCAL]]/Tabla_Consulta_desde_Reporte_de_Valorización_de_Instrumentos[[#This Row],[Patrimonio]]</f>
        <v>4.5478963034936348E-3</v>
      </c>
      <c r="AD155" s="4">
        <f>(Tabla_Consulta_desde_Reporte_de_Valorización_de_Instrumentos[[#This Row],[VALOR_VECTOR_LOCAL]]/INDEX('Tipo de Cambio'!$D:$D,MATCH("2",'Tipo de Cambio'!$E:$E,0),1))/1000000</f>
        <v>4.2815496892551099</v>
      </c>
      <c r="AE155">
        <f>IF(Tabla_Consulta_desde_Reporte_de_Valorización_de_Instrumentos[[#This Row],[PORTAFOLIO]]="IN-FONDO0",Tabla_Consulta_desde_Reporte_de_Valorización_de_Instrumentos[[#This Row],[Inv MM$]],0)</f>
        <v>0</v>
      </c>
      <c r="AF155" s="26">
        <f>IF(Tabla_Consulta_desde_Reporte_de_Valorización_de_Instrumentos[[#This Row],[PORTAFOLIO]]="IN-FONDO1",Tabla_Consulta_desde_Reporte_de_Valorización_de_Instrumentos[[#This Row],[Inv MM$]],0)</f>
        <v>0</v>
      </c>
      <c r="AG155" s="26">
        <f>IF(Tabla_Consulta_desde_Reporte_de_Valorización_de_Instrumentos[[#This Row],[PORTAFOLIO]]="IN-FONDO2",Tabla_Consulta_desde_Reporte_de_Valorización_de_Instrumentos[[#This Row],[Inv MM$]],0)</f>
        <v>0</v>
      </c>
      <c r="AH155" s="26">
        <f>IF(Tabla_Consulta_desde_Reporte_de_Valorización_de_Instrumentos[[#This Row],[PORTAFOLIO]]="IN-FONDO3",Tabla_Consulta_desde_Reporte_de_Valorización_de_Instrumentos[[#This Row],[Inv MM$]],0)</f>
        <v>4.2815496892551099</v>
      </c>
      <c r="AI15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19.619299900093608</v>
      </c>
      <c r="AJ155" s="26">
        <f>IFERROR(IFERROR(INDEX('BD(MSCI)'!$T:$T,MATCH(Tabla_Consulta_desde_Reporte_de_Valorización_de_Instrumentos[[#This Row],[CODIGO_ISIN]],'BD(MSCI)'!$C:$C,0),1),INDEX('BD(MSCI)'!$T:$T,MATCH(Tabla_Consulta_desde_Reporte_de_Valorización_de_Instrumentos[[#This Row],[CODIGO_SBS]],'BD(MSCI)'!$C:$C,0),1)),0)</f>
        <v>0.77</v>
      </c>
      <c r="AK155" s="26">
        <f>Tabla_Consulta_desde_Reporte_de_Valorización_de_Instrumentos[[#This Row],[C02-H]]*Tabla_Consulta_desde_Reporte_de_Valorización_de_Instrumentos[[#This Row],[Inv MM$]]</f>
        <v>3.2967932607264347</v>
      </c>
      <c r="AL155" s="26">
        <f>Tabla_Consulta_desde_Reporte_de_Valorización_de_Instrumentos[[#This Row],[C02-H]]*Tabla_Consulta_desde_Reporte_de_Valorización_de_Instrumentos[[#This Row],[Weight]]</f>
        <v>3.501880153690099E-3</v>
      </c>
      <c r="AM155" s="26" t="str">
        <f>INDEX(Parametria!G:G,MATCH(Tabla_Consulta_desde_Reporte_de_Valorización_de_Instrumentos[[#This Row],[CODIGO_SBS]],Parametria!C:C,0))</f>
        <v>30RVL</v>
      </c>
      <c r="AN155" s="26" t="str">
        <f>INDEX(Parametria!F:F,MATCH(Tabla_Consulta_desde_Reporte_de_Valorización_de_Instrumentos[[#This Row],[CODIGO_SBS]],Parametria!C:C,0))</f>
        <v>BU</v>
      </c>
      <c r="AO155" s="26" t="str">
        <f>+INDEX(Parametria!J:J,MATCH(Tabla_Consulta_desde_Reporte_de_Valorización_de_Instrumentos[[#This Row],[CODIGO_SBS]],Parametria!C:C,0))</f>
        <v>RVLBU</v>
      </c>
      <c r="AP155" s="26">
        <f>Tabla_Consulta_desde_Reporte_de_Valorización_de_Instrumentos[[#This Row],[Huella]]/$AU$4</f>
        <v>3.0562847689957317E-4</v>
      </c>
      <c r="AQ155" s="26" t="str">
        <f>IFERROR(INDEX('BD(MSCI)'!W:W,MATCH(Tabla_Consulta_desde_Reporte_de_Valorización_de_Instrumentos[[#This Row],[CODIGO_ISIN]],'BD(MSCI)'!C:C,0)),IF(Tabla_Consulta_desde_Reporte_de_Valorización_de_Instrumentos[[#This Row],[Rank_rt]]="Cash","Cash","Cuestionario Integra"))</f>
        <v>Portafolio</v>
      </c>
      <c r="AR155" s="26" t="str">
        <f>IFERROR(INDEX('BD(MSCI)'!X:X,MATCH(Tabla_Consulta_desde_Reporte_de_Valorización_de_Instrumentos[[#This Row],[CODIGO_ISIN]],'BD(MSCI)'!C:C,0)),"Cuestionario Integra")</f>
        <v>Portafolio</v>
      </c>
      <c r="AU155" s="26"/>
    </row>
    <row r="156" spans="2:50" hidden="1" x14ac:dyDescent="0.25">
      <c r="B156" s="14" t="s">
        <v>6390</v>
      </c>
      <c r="C156" t="s">
        <v>422</v>
      </c>
      <c r="D156" t="s">
        <v>12</v>
      </c>
      <c r="E156" t="s">
        <v>423</v>
      </c>
      <c r="F156" t="s">
        <v>452</v>
      </c>
      <c r="G156" t="str">
        <f>INDEX(Parametria!H:H,MATCH(Tabla_Consulta_desde_Reporte_de_Valorización_de_Instrumentos[[#This Row],[CODIGO_SBS]],Parametria!C:C,0),1)</f>
        <v>Banco Continental</v>
      </c>
      <c r="H156" t="s">
        <v>453</v>
      </c>
      <c r="I156" t="s">
        <v>454</v>
      </c>
      <c r="J156" t="s">
        <v>243</v>
      </c>
      <c r="K156" t="s">
        <v>90</v>
      </c>
      <c r="L156">
        <v>1</v>
      </c>
      <c r="M156" s="5">
        <v>998523.57578449999</v>
      </c>
      <c r="N156">
        <v>998523.57578449999</v>
      </c>
      <c r="O156">
        <v>557855</v>
      </c>
      <c r="P156" s="15"/>
      <c r="R156">
        <v>1</v>
      </c>
      <c r="S156" t="s">
        <v>428</v>
      </c>
      <c r="T156">
        <v>989323.4311245</v>
      </c>
      <c r="U156" s="5">
        <v>989323.4311245</v>
      </c>
      <c r="V156" t="s">
        <v>215</v>
      </c>
      <c r="W156">
        <v>107848509000</v>
      </c>
      <c r="X156">
        <v>95703702000</v>
      </c>
      <c r="Y156">
        <v>12144807000</v>
      </c>
      <c r="Z156">
        <v>1.6492E-2</v>
      </c>
      <c r="AA156" t="str">
        <f>+MID(Tabla_Consulta_desde_Reporte_de_Valorización_de_Instrumentos[[#This Row],[CODIGO_SBS]],7,1)</f>
        <v>1</v>
      </c>
      <c r="AB156">
        <f>INDEX('Cálculo Caja'!F:F,MATCH(Tabla_Consulta_desde_Reporte_de_Valorización_de_Instrumentos[[#This Row],[PORTAFOLIO]],'Cálculo Caja'!A:A,0),1)</f>
        <v>7679510866.0565634</v>
      </c>
      <c r="AC156" s="17">
        <f>Tabla_Consulta_desde_Reporte_de_Valorización_de_Instrumentos[[#This Row],[VALOR_VECTOR_LOCAL]]/Tabla_Consulta_desde_Reporte_de_Valorización_de_Instrumentos[[#This Row],[Patrimonio]]</f>
        <v>1.3002437176018255E-4</v>
      </c>
      <c r="AD156" s="4">
        <f>(Tabla_Consulta_desde_Reporte_de_Valorización_de_Instrumentos[[#This Row],[VALOR_VECTOR_LOCAL]]/INDEX('Tipo de Cambio'!$D:$D,MATCH("2",'Tipo de Cambio'!$E:$E,0),1))/1000000</f>
        <v>0.29710005527819933</v>
      </c>
      <c r="AE156">
        <f>IF(Tabla_Consulta_desde_Reporte_de_Valorización_de_Instrumentos[[#This Row],[PORTAFOLIO]]="IN-FONDO0",Tabla_Consulta_desde_Reporte_de_Valorización_de_Instrumentos[[#This Row],[Inv MM$]],0)</f>
        <v>0</v>
      </c>
      <c r="AF156" s="26">
        <f>IF(Tabla_Consulta_desde_Reporte_de_Valorización_de_Instrumentos[[#This Row],[PORTAFOLIO]]="IN-FONDO1",Tabla_Consulta_desde_Reporte_de_Valorización_de_Instrumentos[[#This Row],[Inv MM$]],0)</f>
        <v>0.29710005527819933</v>
      </c>
      <c r="AG156" s="26">
        <f>IF(Tabla_Consulta_desde_Reporte_de_Valorización_de_Instrumentos[[#This Row],[PORTAFOLIO]]="IN-FONDO2",Tabla_Consulta_desde_Reporte_de_Valorización_de_Instrumentos[[#This Row],[Inv MM$]],0)</f>
        <v>0</v>
      </c>
      <c r="AH156" s="26">
        <f>IF(Tabla_Consulta_desde_Reporte_de_Valorización_de_Instrumentos[[#This Row],[PORTAFOLIO]]="IN-FONDO3",Tabla_Consulta_desde_Reporte_de_Valorización_de_Instrumentos[[#This Row],[Inv MM$]],0)</f>
        <v>0</v>
      </c>
      <c r="AI15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19.619299900093608</v>
      </c>
      <c r="AJ156" s="26">
        <f>IFERROR(IFERROR(INDEX('BD(MSCI)'!$T:$T,MATCH(Tabla_Consulta_desde_Reporte_de_Valorización_de_Instrumentos[[#This Row],[CODIGO_ISIN]],'BD(MSCI)'!$C:$C,0),1),INDEX('BD(MSCI)'!$T:$T,MATCH(Tabla_Consulta_desde_Reporte_de_Valorización_de_Instrumentos[[#This Row],[CODIGO_SBS]],'BD(MSCI)'!$C:$C,0),1)),0)</f>
        <v>0.77</v>
      </c>
      <c r="AK156" s="26">
        <f>Tabla_Consulta_desde_Reporte_de_Valorización_de_Instrumentos[[#This Row],[C02-H]]*Tabla_Consulta_desde_Reporte_de_Valorización_de_Instrumentos[[#This Row],[Inv MM$]]</f>
        <v>0.22876704256421349</v>
      </c>
      <c r="AL156" s="26">
        <f>Tabla_Consulta_desde_Reporte_de_Valorización_de_Instrumentos[[#This Row],[C02-H]]*Tabla_Consulta_desde_Reporte_de_Valorización_de_Instrumentos[[#This Row],[Weight]]</f>
        <v>1.0011876625534057E-4</v>
      </c>
      <c r="AM156" s="26" t="str">
        <f>INDEX(Parametria!G:G,MATCH(Tabla_Consulta_desde_Reporte_de_Valorización_de_Instrumentos[[#This Row],[CODIGO_SBS]],Parametria!C:C,0))</f>
        <v>30RVL</v>
      </c>
      <c r="AN156" s="26" t="str">
        <f>INDEX(Parametria!F:F,MATCH(Tabla_Consulta_desde_Reporte_de_Valorización_de_Instrumentos[[#This Row],[CODIGO_SBS]],Parametria!C:C,0))</f>
        <v>BU</v>
      </c>
      <c r="AO156" s="26" t="str">
        <f>+INDEX(Parametria!J:J,MATCH(Tabla_Consulta_desde_Reporte_de_Valorización_de_Instrumentos[[#This Row],[CODIGO_SBS]],Parametria!C:C,0))</f>
        <v>RVLBU</v>
      </c>
      <c r="AP156" s="26">
        <f>Tabla_Consulta_desde_Reporte_de_Valorización_de_Instrumentos[[#This Row],[Huella]]/$AU$4</f>
        <v>2.1207797169639417E-5</v>
      </c>
      <c r="AQ156" s="26" t="str">
        <f>IFERROR(INDEX('BD(MSCI)'!W:W,MATCH(Tabla_Consulta_desde_Reporte_de_Valorización_de_Instrumentos[[#This Row],[CODIGO_ISIN]],'BD(MSCI)'!C:C,0)),IF(Tabla_Consulta_desde_Reporte_de_Valorización_de_Instrumentos[[#This Row],[Rank_rt]]="Cash","Cash","Cuestionario Integra"))</f>
        <v>Portafolio</v>
      </c>
      <c r="AR156" s="26" t="str">
        <f>IFERROR(INDEX('BD(MSCI)'!X:X,MATCH(Tabla_Consulta_desde_Reporte_de_Valorización_de_Instrumentos[[#This Row],[CODIGO_ISIN]],'BD(MSCI)'!C:C,0)),"Cuestionario Integra")</f>
        <v>Portafolio</v>
      </c>
      <c r="AU156" s="26"/>
    </row>
    <row r="157" spans="2:50" hidden="1" x14ac:dyDescent="0.25">
      <c r="B157" s="14" t="s">
        <v>6390</v>
      </c>
      <c r="C157" t="s">
        <v>422</v>
      </c>
      <c r="D157" t="s">
        <v>12</v>
      </c>
      <c r="E157" t="s">
        <v>423</v>
      </c>
      <c r="F157" t="s">
        <v>455</v>
      </c>
      <c r="G157" t="str">
        <f>INDEX(Parametria!H:H,MATCH(Tabla_Consulta_desde_Reporte_de_Valorización_de_Instrumentos[[#This Row],[CODIGO_SBS]],Parametria!C:C,0),1)</f>
        <v>Cementos Pacasmayo-CM</v>
      </c>
      <c r="H157" t="s">
        <v>456</v>
      </c>
      <c r="I157" t="s">
        <v>457</v>
      </c>
      <c r="J157" t="s">
        <v>313</v>
      </c>
      <c r="K157" t="s">
        <v>90</v>
      </c>
      <c r="L157">
        <v>1</v>
      </c>
      <c r="M157" s="5">
        <v>27056061.042269401</v>
      </c>
      <c r="N157">
        <v>27056061.042269401</v>
      </c>
      <c r="O157">
        <v>3871542</v>
      </c>
      <c r="P157" s="15"/>
      <c r="R157">
        <v>1</v>
      </c>
      <c r="S157" t="s">
        <v>428</v>
      </c>
      <c r="T157">
        <v>27056061.042269401</v>
      </c>
      <c r="U157" s="5">
        <v>27056061.042269401</v>
      </c>
      <c r="V157" t="s">
        <v>314</v>
      </c>
      <c r="W157">
        <v>3144080000</v>
      </c>
      <c r="X157">
        <v>1867883000</v>
      </c>
      <c r="Y157">
        <v>1276197000</v>
      </c>
      <c r="Z157">
        <v>0</v>
      </c>
      <c r="AA157" t="str">
        <f>+MID(Tabla_Consulta_desde_Reporte_de_Valorización_de_Instrumentos[[#This Row],[CODIGO_SBS]],7,1)</f>
        <v>1</v>
      </c>
      <c r="AB157">
        <f>INDEX('Cálculo Caja'!F:F,MATCH(Tabla_Consulta_desde_Reporte_de_Valorización_de_Instrumentos[[#This Row],[PORTAFOLIO]],'Cálculo Caja'!A:A,0),1)</f>
        <v>7679510866.0565634</v>
      </c>
      <c r="AC157" s="17">
        <f>Tabla_Consulta_desde_Reporte_de_Valorización_de_Instrumentos[[#This Row],[VALOR_VECTOR_LOCAL]]/Tabla_Consulta_desde_Reporte_de_Valorización_de_Instrumentos[[#This Row],[Patrimonio]]</f>
        <v>3.523149001827341E-3</v>
      </c>
      <c r="AD157" s="4">
        <f>(Tabla_Consulta_desde_Reporte_de_Valorización_de_Instrumentos[[#This Row],[VALOR_VECTOR_LOCAL]]/INDEX('Tipo de Cambio'!$D:$D,MATCH("2",'Tipo de Cambio'!$E:$E,0),1))/1000000</f>
        <v>8.0502428046860661</v>
      </c>
      <c r="AE157">
        <f>IF(Tabla_Consulta_desde_Reporte_de_Valorización_de_Instrumentos[[#This Row],[PORTAFOLIO]]="IN-FONDO0",Tabla_Consulta_desde_Reporte_de_Valorización_de_Instrumentos[[#This Row],[Inv MM$]],0)</f>
        <v>0</v>
      </c>
      <c r="AF157" s="26">
        <f>IF(Tabla_Consulta_desde_Reporte_de_Valorización_de_Instrumentos[[#This Row],[PORTAFOLIO]]="IN-FONDO1",Tabla_Consulta_desde_Reporte_de_Valorización_de_Instrumentos[[#This Row],[Inv MM$]],0)</f>
        <v>8.0502428046860661</v>
      </c>
      <c r="AG157" s="26">
        <f>IF(Tabla_Consulta_desde_Reporte_de_Valorización_de_Instrumentos[[#This Row],[PORTAFOLIO]]="IN-FONDO2",Tabla_Consulta_desde_Reporte_de_Valorización_de_Instrumentos[[#This Row],[Inv MM$]],0)</f>
        <v>0</v>
      </c>
      <c r="AH157" s="26">
        <f>IF(Tabla_Consulta_desde_Reporte_de_Valorización_de_Instrumentos[[#This Row],[PORTAFOLIO]]="IN-FONDO3",Tabla_Consulta_desde_Reporte_de_Valorización_de_Instrumentos[[#This Row],[Inv MM$]],0)</f>
        <v>0</v>
      </c>
      <c r="AI15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45.554096691039454</v>
      </c>
      <c r="AJ157" s="26">
        <f>IFERROR(IFERROR(INDEX('BD(MSCI)'!$T:$T,MATCH(Tabla_Consulta_desde_Reporte_de_Valorización_de_Instrumentos[[#This Row],[CODIGO_ISIN]],'BD(MSCI)'!$C:$C,0),1),INDEX('BD(MSCI)'!$T:$T,MATCH(Tabla_Consulta_desde_Reporte_de_Valorización_de_Instrumentos[[#This Row],[CODIGO_SBS]],'BD(MSCI)'!$C:$C,0),1)),0)</f>
        <v>2525.98</v>
      </c>
      <c r="AK157" s="26">
        <f>Tabla_Consulta_desde_Reporte_de_Valorización_de_Instrumentos[[#This Row],[C02-H]]*Tabla_Consulta_desde_Reporte_de_Valorización_de_Instrumentos[[#This Row],[Inv MM$]]</f>
        <v>20334.75231978091</v>
      </c>
      <c r="AL157" s="26">
        <f>Tabla_Consulta_desde_Reporte_de_Valorización_de_Instrumentos[[#This Row],[C02-H]]*Tabla_Consulta_desde_Reporte_de_Valorización_de_Instrumentos[[#This Row],[Weight]]</f>
        <v>8.8994039156358262</v>
      </c>
      <c r="AM157" s="26" t="str">
        <f>INDEX(Parametria!G:G,MATCH(Tabla_Consulta_desde_Reporte_de_Valorización_de_Instrumentos[[#This Row],[CODIGO_SBS]],Parametria!C:C,0))</f>
        <v>30RVL</v>
      </c>
      <c r="AN157" s="26" t="str">
        <f>INDEX(Parametria!F:F,MATCH(Tabla_Consulta_desde_Reporte_de_Valorización_de_Instrumentos[[#This Row],[CODIGO_SBS]],Parametria!C:C,0))</f>
        <v>BU</v>
      </c>
      <c r="AO157" s="26" t="str">
        <f>+INDEX(Parametria!J:J,MATCH(Tabla_Consulta_desde_Reporte_de_Valorización_de_Instrumentos[[#This Row],[CODIGO_SBS]],Parametria!C:C,0))</f>
        <v>RVLBU</v>
      </c>
      <c r="AP157" s="26">
        <f>Tabla_Consulta_desde_Reporte_de_Valorización_de_Instrumentos[[#This Row],[Huella]]/$AU$4</f>
        <v>1.8851286350467966</v>
      </c>
      <c r="AQ157" s="26" t="str">
        <f>IFERROR(INDEX('BD(MSCI)'!W:W,MATCH(Tabla_Consulta_desde_Reporte_de_Valorización_de_Instrumentos[[#This Row],[CODIGO_ISIN]],'BD(MSCI)'!C:C,0)),IF(Tabla_Consulta_desde_Reporte_de_Valorización_de_Instrumentos[[#This Row],[Rank_rt]]="Cash","Cash","Cuestionario Integra"))</f>
        <v>Portafolio</v>
      </c>
      <c r="AR157" s="26" t="str">
        <f>IFERROR(INDEX('BD(MSCI)'!X:X,MATCH(Tabla_Consulta_desde_Reporte_de_Valorización_de_Instrumentos[[#This Row],[CODIGO_ISIN]],'BD(MSCI)'!C:C,0)),"Cuestionario Integra")</f>
        <v>Portafolio</v>
      </c>
      <c r="AU157" s="26"/>
    </row>
    <row r="158" spans="2:50" hidden="1" x14ac:dyDescent="0.25">
      <c r="B158" s="14" t="s">
        <v>6390</v>
      </c>
      <c r="C158" t="s">
        <v>422</v>
      </c>
      <c r="D158" t="s">
        <v>11</v>
      </c>
      <c r="E158" t="s">
        <v>423</v>
      </c>
      <c r="F158" t="s">
        <v>455</v>
      </c>
      <c r="G158" t="str">
        <f>INDEX(Parametria!H:H,MATCH(Tabla_Consulta_desde_Reporte_de_Valorización_de_Instrumentos[[#This Row],[CODIGO_SBS]],Parametria!C:C,0),1)</f>
        <v>Cementos Pacasmayo-CM</v>
      </c>
      <c r="H158" t="s">
        <v>456</v>
      </c>
      <c r="I158" t="s">
        <v>457</v>
      </c>
      <c r="J158" t="s">
        <v>313</v>
      </c>
      <c r="K158" t="s">
        <v>90</v>
      </c>
      <c r="L158">
        <v>1</v>
      </c>
      <c r="M158" s="5">
        <v>32926558.095194701</v>
      </c>
      <c r="N158">
        <v>32926558.095194701</v>
      </c>
      <c r="O158">
        <v>4711571</v>
      </c>
      <c r="P158" s="15"/>
      <c r="R158">
        <v>1</v>
      </c>
      <c r="S158" t="s">
        <v>428</v>
      </c>
      <c r="T158">
        <v>32926558.095194701</v>
      </c>
      <c r="U158" s="5">
        <v>32926558.095194701</v>
      </c>
      <c r="V158" t="s">
        <v>314</v>
      </c>
      <c r="W158">
        <v>3144080000</v>
      </c>
      <c r="X158">
        <v>1867883000</v>
      </c>
      <c r="Y158">
        <v>1276197000</v>
      </c>
      <c r="Z158">
        <v>0</v>
      </c>
      <c r="AA158" t="str">
        <f>+MID(Tabla_Consulta_desde_Reporte_de_Valorización_de_Instrumentos[[#This Row],[CODIGO_SBS]],7,1)</f>
        <v>1</v>
      </c>
      <c r="AB158">
        <f>INDEX('Cálculo Caja'!F:F,MATCH(Tabla_Consulta_desde_Reporte_de_Valorización_de_Instrumentos[[#This Row],[PORTAFOLIO]],'Cálculo Caja'!A:A,0),1)</f>
        <v>3164069580.822104</v>
      </c>
      <c r="AC158" s="17">
        <f>Tabla_Consulta_desde_Reporte_de_Valorización_de_Instrumentos[[#This Row],[VALOR_VECTOR_LOCAL]]/Tabla_Consulta_desde_Reporte_de_Valorización_de_Instrumentos[[#This Row],[Patrimonio]]</f>
        <v>1.0406395072588625E-2</v>
      </c>
      <c r="AD158" s="4">
        <f>(Tabla_Consulta_desde_Reporte_de_Valorización_de_Instrumentos[[#This Row],[VALOR_VECTOR_LOCAL]]/INDEX('Tipo de Cambio'!$D:$D,MATCH("2",'Tipo de Cambio'!$E:$E,0),1))/1000000</f>
        <v>9.7969466795187898</v>
      </c>
      <c r="AE158">
        <f>IF(Tabla_Consulta_desde_Reporte_de_Valorización_de_Instrumentos[[#This Row],[PORTAFOLIO]]="IN-FONDO0",Tabla_Consulta_desde_Reporte_de_Valorización_de_Instrumentos[[#This Row],[Inv MM$]],0)</f>
        <v>0</v>
      </c>
      <c r="AF158" s="26">
        <f>IF(Tabla_Consulta_desde_Reporte_de_Valorización_de_Instrumentos[[#This Row],[PORTAFOLIO]]="IN-FONDO1",Tabla_Consulta_desde_Reporte_de_Valorización_de_Instrumentos[[#This Row],[Inv MM$]],0)</f>
        <v>0</v>
      </c>
      <c r="AG158" s="26">
        <f>IF(Tabla_Consulta_desde_Reporte_de_Valorización_de_Instrumentos[[#This Row],[PORTAFOLIO]]="IN-FONDO2",Tabla_Consulta_desde_Reporte_de_Valorización_de_Instrumentos[[#This Row],[Inv MM$]],0)</f>
        <v>0</v>
      </c>
      <c r="AH158" s="26">
        <f>IF(Tabla_Consulta_desde_Reporte_de_Valorización_de_Instrumentos[[#This Row],[PORTAFOLIO]]="IN-FONDO3",Tabla_Consulta_desde_Reporte_de_Valorización_de_Instrumentos[[#This Row],[Inv MM$]],0)</f>
        <v>9.7969466795187898</v>
      </c>
      <c r="AI15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45.554096691039454</v>
      </c>
      <c r="AJ158" s="26">
        <f>IFERROR(IFERROR(INDEX('BD(MSCI)'!$T:$T,MATCH(Tabla_Consulta_desde_Reporte_de_Valorización_de_Instrumentos[[#This Row],[CODIGO_ISIN]],'BD(MSCI)'!$C:$C,0),1),INDEX('BD(MSCI)'!$T:$T,MATCH(Tabla_Consulta_desde_Reporte_de_Valorización_de_Instrumentos[[#This Row],[CODIGO_SBS]],'BD(MSCI)'!$C:$C,0),1)),0)</f>
        <v>2525.98</v>
      </c>
      <c r="AK158" s="26">
        <f>Tabla_Consulta_desde_Reporte_de_Valorización_de_Instrumentos[[#This Row],[C02-H]]*Tabla_Consulta_desde_Reporte_de_Valorización_de_Instrumentos[[#This Row],[Inv MM$]]</f>
        <v>24746.891373530874</v>
      </c>
      <c r="AL158" s="26">
        <f>Tabla_Consulta_desde_Reporte_de_Valorización_de_Instrumentos[[#This Row],[C02-H]]*Tabla_Consulta_desde_Reporte_de_Valorización_de_Instrumentos[[#This Row],[Weight]]</f>
        <v>26.286345825457413</v>
      </c>
      <c r="AM158" s="26" t="str">
        <f>INDEX(Parametria!G:G,MATCH(Tabla_Consulta_desde_Reporte_de_Valorización_de_Instrumentos[[#This Row],[CODIGO_SBS]],Parametria!C:C,0))</f>
        <v>30RVL</v>
      </c>
      <c r="AN158" s="26" t="str">
        <f>INDEX(Parametria!F:F,MATCH(Tabla_Consulta_desde_Reporte_de_Valorización_de_Instrumentos[[#This Row],[CODIGO_SBS]],Parametria!C:C,0))</f>
        <v>BU</v>
      </c>
      <c r="AO158" s="26" t="str">
        <f>+INDEX(Parametria!J:J,MATCH(Tabla_Consulta_desde_Reporte_de_Valorización_de_Instrumentos[[#This Row],[CODIGO_SBS]],Parametria!C:C,0))</f>
        <v>RVLBU</v>
      </c>
      <c r="AP158" s="26">
        <f>Tabla_Consulta_desde_Reporte_de_Valorización_de_Instrumentos[[#This Row],[Huella]]/$AU$4</f>
        <v>2.294154992547174</v>
      </c>
      <c r="AQ158" s="26" t="str">
        <f>IFERROR(INDEX('BD(MSCI)'!W:W,MATCH(Tabla_Consulta_desde_Reporte_de_Valorización_de_Instrumentos[[#This Row],[CODIGO_ISIN]],'BD(MSCI)'!C:C,0)),IF(Tabla_Consulta_desde_Reporte_de_Valorización_de_Instrumentos[[#This Row],[Rank_rt]]="Cash","Cash","Cuestionario Integra"))</f>
        <v>Portafolio</v>
      </c>
      <c r="AR158" s="26" t="str">
        <f>IFERROR(INDEX('BD(MSCI)'!X:X,MATCH(Tabla_Consulta_desde_Reporte_de_Valorización_de_Instrumentos[[#This Row],[CODIGO_ISIN]],'BD(MSCI)'!C:C,0)),"Cuestionario Integra")</f>
        <v>Portafolio</v>
      </c>
      <c r="AU158" s="26"/>
    </row>
    <row r="159" spans="2:50" hidden="1" x14ac:dyDescent="0.25">
      <c r="B159" s="14" t="s">
        <v>6390</v>
      </c>
      <c r="C159" t="s">
        <v>422</v>
      </c>
      <c r="D159" t="s">
        <v>10</v>
      </c>
      <c r="E159" t="s">
        <v>423</v>
      </c>
      <c r="F159" t="s">
        <v>455</v>
      </c>
      <c r="G159" t="str">
        <f>INDEX(Parametria!H:H,MATCH(Tabla_Consulta_desde_Reporte_de_Valorización_de_Instrumentos[[#This Row],[CODIGO_SBS]],Parametria!C:C,0),1)</f>
        <v>Cementos Pacasmayo-CM</v>
      </c>
      <c r="H159" t="s">
        <v>456</v>
      </c>
      <c r="I159" t="s">
        <v>457</v>
      </c>
      <c r="J159" t="s">
        <v>313</v>
      </c>
      <c r="K159" t="s">
        <v>90</v>
      </c>
      <c r="L159">
        <v>1</v>
      </c>
      <c r="M159" s="5">
        <v>93120144.431450397</v>
      </c>
      <c r="N159">
        <v>93120144.431450397</v>
      </c>
      <c r="O159">
        <v>13324872</v>
      </c>
      <c r="P159" s="15"/>
      <c r="R159">
        <v>1</v>
      </c>
      <c r="S159" t="s">
        <v>428</v>
      </c>
      <c r="T159">
        <v>93120144.431450397</v>
      </c>
      <c r="U159" s="5">
        <v>93120144.431450397</v>
      </c>
      <c r="V159" t="s">
        <v>314</v>
      </c>
      <c r="W159">
        <v>3144080000</v>
      </c>
      <c r="X159">
        <v>1867883000</v>
      </c>
      <c r="Y159">
        <v>1276197000</v>
      </c>
      <c r="Z159">
        <v>0</v>
      </c>
      <c r="AA159" t="str">
        <f>+MID(Tabla_Consulta_desde_Reporte_de_Valorización_de_Instrumentos[[#This Row],[CODIGO_SBS]],7,1)</f>
        <v>1</v>
      </c>
      <c r="AB159">
        <f>INDEX('Cálculo Caja'!F:F,MATCH(Tabla_Consulta_desde_Reporte_de_Valorización_de_Instrumentos[[#This Row],[PORTAFOLIO]],'Cálculo Caja'!A:A,0),1)</f>
        <v>26256910350.436607</v>
      </c>
      <c r="AC159" s="17">
        <f>Tabla_Consulta_desde_Reporte_de_Valorización_de_Instrumentos[[#This Row],[VALOR_VECTOR_LOCAL]]/Tabla_Consulta_desde_Reporte_de_Valorización_de_Instrumentos[[#This Row],[Patrimonio]]</f>
        <v>3.5465004522096015E-3</v>
      </c>
      <c r="AD159" s="4">
        <f>(Tabla_Consulta_desde_Reporte_de_Valorización_de_Instrumentos[[#This Row],[VALOR_VECTOR_LOCAL]]/INDEX('Tipo de Cambio'!$D:$D,MATCH("2",'Tipo de Cambio'!$E:$E,0),1))/1000000</f>
        <v>27.706907206834597</v>
      </c>
      <c r="AE159">
        <f>IF(Tabla_Consulta_desde_Reporte_de_Valorización_de_Instrumentos[[#This Row],[PORTAFOLIO]]="IN-FONDO0",Tabla_Consulta_desde_Reporte_de_Valorización_de_Instrumentos[[#This Row],[Inv MM$]],0)</f>
        <v>0</v>
      </c>
      <c r="AF159" s="26">
        <f>IF(Tabla_Consulta_desde_Reporte_de_Valorización_de_Instrumentos[[#This Row],[PORTAFOLIO]]="IN-FONDO1",Tabla_Consulta_desde_Reporte_de_Valorización_de_Instrumentos[[#This Row],[Inv MM$]],0)</f>
        <v>0</v>
      </c>
      <c r="AG159" s="26">
        <f>IF(Tabla_Consulta_desde_Reporte_de_Valorización_de_Instrumentos[[#This Row],[PORTAFOLIO]]="IN-FONDO2",Tabla_Consulta_desde_Reporte_de_Valorización_de_Instrumentos[[#This Row],[Inv MM$]],0)</f>
        <v>27.706907206834597</v>
      </c>
      <c r="AH159" s="26">
        <f>IF(Tabla_Consulta_desde_Reporte_de_Valorización_de_Instrumentos[[#This Row],[PORTAFOLIO]]="IN-FONDO3",Tabla_Consulta_desde_Reporte_de_Valorización_de_Instrumentos[[#This Row],[Inv MM$]],0)</f>
        <v>0</v>
      </c>
      <c r="AI15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45.554096691039454</v>
      </c>
      <c r="AJ159" s="26">
        <f>IFERROR(IFERROR(INDEX('BD(MSCI)'!$T:$T,MATCH(Tabla_Consulta_desde_Reporte_de_Valorización_de_Instrumentos[[#This Row],[CODIGO_ISIN]],'BD(MSCI)'!$C:$C,0),1),INDEX('BD(MSCI)'!$T:$T,MATCH(Tabla_Consulta_desde_Reporte_de_Valorización_de_Instrumentos[[#This Row],[CODIGO_SBS]],'BD(MSCI)'!$C:$C,0),1)),0)</f>
        <v>2525.98</v>
      </c>
      <c r="AK159" s="26">
        <f>Tabla_Consulta_desde_Reporte_de_Valorización_de_Instrumentos[[#This Row],[C02-H]]*Tabla_Consulta_desde_Reporte_de_Valorización_de_Instrumentos[[#This Row],[Inv MM$]]</f>
        <v>69987.093466320061</v>
      </c>
      <c r="AL159" s="26">
        <f>Tabla_Consulta_desde_Reporte_de_Valorización_de_Instrumentos[[#This Row],[C02-H]]*Tabla_Consulta_desde_Reporte_de_Valorización_de_Instrumentos[[#This Row],[Weight]]</f>
        <v>8.9583892122724098</v>
      </c>
      <c r="AM159" s="26" t="str">
        <f>INDEX(Parametria!G:G,MATCH(Tabla_Consulta_desde_Reporte_de_Valorización_de_Instrumentos[[#This Row],[CODIGO_SBS]],Parametria!C:C,0))</f>
        <v>30RVL</v>
      </c>
      <c r="AN159" s="26" t="str">
        <f>INDEX(Parametria!F:F,MATCH(Tabla_Consulta_desde_Reporte_de_Valorización_de_Instrumentos[[#This Row],[CODIGO_SBS]],Parametria!C:C,0))</f>
        <v>BU</v>
      </c>
      <c r="AO159" s="26" t="str">
        <f>+INDEX(Parametria!J:J,MATCH(Tabla_Consulta_desde_Reporte_de_Valorización_de_Instrumentos[[#This Row],[CODIGO_SBS]],Parametria!C:C,0))</f>
        <v>RVLBU</v>
      </c>
      <c r="AP159" s="26">
        <f>Tabla_Consulta_desde_Reporte_de_Valorización_de_Instrumentos[[#This Row],[Huella]]/$AU$4</f>
        <v>6.48813774086224</v>
      </c>
      <c r="AQ159" s="26" t="str">
        <f>IFERROR(INDEX('BD(MSCI)'!W:W,MATCH(Tabla_Consulta_desde_Reporte_de_Valorización_de_Instrumentos[[#This Row],[CODIGO_ISIN]],'BD(MSCI)'!C:C,0)),IF(Tabla_Consulta_desde_Reporte_de_Valorización_de_Instrumentos[[#This Row],[Rank_rt]]="Cash","Cash","Cuestionario Integra"))</f>
        <v>Portafolio</v>
      </c>
      <c r="AR159" s="26" t="str">
        <f>IFERROR(INDEX('BD(MSCI)'!X:X,MATCH(Tabla_Consulta_desde_Reporte_de_Valorización_de_Instrumentos[[#This Row],[CODIGO_ISIN]],'BD(MSCI)'!C:C,0)),"Cuestionario Integra")</f>
        <v>Portafolio</v>
      </c>
      <c r="AU159" s="26"/>
    </row>
    <row r="160" spans="2:50" hidden="1" x14ac:dyDescent="0.25">
      <c r="B160" s="14" t="s">
        <v>6390</v>
      </c>
      <c r="C160" t="s">
        <v>422</v>
      </c>
      <c r="D160" t="s">
        <v>10</v>
      </c>
      <c r="E160" t="s">
        <v>423</v>
      </c>
      <c r="F160" t="s">
        <v>458</v>
      </c>
      <c r="G160" t="str">
        <f>INDEX(Parametria!H:H,MATCH(Tabla_Consulta_desde_Reporte_de_Valorización_de_Instrumentos[[#This Row],[CODIGO_SBS]],Parametria!C:C,0),1)</f>
        <v>Credicorp LTD.</v>
      </c>
      <c r="H160" t="s">
        <v>459</v>
      </c>
      <c r="I160" t="s">
        <v>460</v>
      </c>
      <c r="J160" t="s">
        <v>461</v>
      </c>
      <c r="K160" t="s">
        <v>50</v>
      </c>
      <c r="L160">
        <v>5</v>
      </c>
      <c r="M160" s="5">
        <v>1232852604.2658</v>
      </c>
      <c r="N160">
        <v>366822162</v>
      </c>
      <c r="O160">
        <v>1278126</v>
      </c>
      <c r="P160" s="15"/>
      <c r="R160">
        <v>3.3609</v>
      </c>
      <c r="S160" t="s">
        <v>428</v>
      </c>
      <c r="T160">
        <v>1246369681.404</v>
      </c>
      <c r="U160" s="5">
        <v>370656540</v>
      </c>
      <c r="V160" t="s">
        <v>228</v>
      </c>
      <c r="W160">
        <v>241171741000</v>
      </c>
      <c r="X160">
        <v>206735531000</v>
      </c>
      <c r="Y160">
        <v>34436210000</v>
      </c>
      <c r="Z160">
        <v>-3</v>
      </c>
      <c r="AA160" t="str">
        <f>+MID(Tabla_Consulta_desde_Reporte_de_Valorización_de_Instrumentos[[#This Row],[CODIGO_SBS]],7,1)</f>
        <v>2</v>
      </c>
      <c r="AB160">
        <f>INDEX('Cálculo Caja'!F:F,MATCH(Tabla_Consulta_desde_Reporte_de_Valorización_de_Instrumentos[[#This Row],[PORTAFOLIO]],'Cálculo Caja'!A:A,0),1)</f>
        <v>26256910350.436607</v>
      </c>
      <c r="AC160" s="17">
        <f>Tabla_Consulta_desde_Reporte_de_Valorización_de_Instrumentos[[#This Row],[VALOR_VECTOR_LOCAL]]/Tabla_Consulta_desde_Reporte_de_Valorización_de_Instrumentos[[#This Row],[Patrimonio]]</f>
        <v>4.6953452931498461E-2</v>
      </c>
      <c r="AD160" s="4">
        <f>(Tabla_Consulta_desde_Reporte_de_Valorización_de_Instrumentos[[#This Row],[VALOR_VECTOR_LOCAL]]/INDEX('Tipo de Cambio'!$D:$D,MATCH("2",'Tipo de Cambio'!$E:$E,0),1))/1000000</f>
        <v>366.82216199999999</v>
      </c>
      <c r="AE160">
        <f>IF(Tabla_Consulta_desde_Reporte_de_Valorización_de_Instrumentos[[#This Row],[PORTAFOLIO]]="IN-FONDO0",Tabla_Consulta_desde_Reporte_de_Valorización_de_Instrumentos[[#This Row],[Inv MM$]],0)</f>
        <v>0</v>
      </c>
      <c r="AF160" s="26">
        <f>IF(Tabla_Consulta_desde_Reporte_de_Valorización_de_Instrumentos[[#This Row],[PORTAFOLIO]]="IN-FONDO1",Tabla_Consulta_desde_Reporte_de_Valorización_de_Instrumentos[[#This Row],[Inv MM$]],0)</f>
        <v>0</v>
      </c>
      <c r="AG160" s="26">
        <f>IF(Tabla_Consulta_desde_Reporte_de_Valorización_de_Instrumentos[[#This Row],[PORTAFOLIO]]="IN-FONDO2",Tabla_Consulta_desde_Reporte_de_Valorización_de_Instrumentos[[#This Row],[Inv MM$]],0)</f>
        <v>366.82216199999999</v>
      </c>
      <c r="AH160" s="26">
        <f>IF(Tabla_Consulta_desde_Reporte_de_Valorización_de_Instrumentos[[#This Row],[PORTAFOLIO]]="IN-FONDO3",Tabla_Consulta_desde_Reporte_de_Valorización_de_Instrumentos[[#This Row],[Inv MM$]],0)</f>
        <v>0</v>
      </c>
      <c r="AI16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431.71372299999996</v>
      </c>
      <c r="AJ160" s="26">
        <f>IFERROR(IFERROR(INDEX('BD(MSCI)'!$T:$T,MATCH(Tabla_Consulta_desde_Reporte_de_Valorización_de_Instrumentos[[#This Row],[CODIGO_ISIN]],'BD(MSCI)'!$C:$C,0),1),INDEX('BD(MSCI)'!$T:$T,MATCH(Tabla_Consulta_desde_Reporte_de_Valorización_de_Instrumentos[[#This Row],[CODIGO_SBS]],'BD(MSCI)'!$C:$C,0),1)),0)</f>
        <v>0.73</v>
      </c>
      <c r="AK160" s="26">
        <f>Tabla_Consulta_desde_Reporte_de_Valorización_de_Instrumentos[[#This Row],[C02-H]]*Tabla_Consulta_desde_Reporte_de_Valorización_de_Instrumentos[[#This Row],[Inv MM$]]</f>
        <v>267.78017826000001</v>
      </c>
      <c r="AL160" s="26">
        <f>Tabla_Consulta_desde_Reporte_de_Valorización_de_Instrumentos[[#This Row],[C02-H]]*Tabla_Consulta_desde_Reporte_de_Valorización_de_Instrumentos[[#This Row],[Weight]]</f>
        <v>3.4276020639993875E-2</v>
      </c>
      <c r="AM160" s="26" t="str">
        <f>INDEX(Parametria!G:G,MATCH(Tabla_Consulta_desde_Reporte_de_Valorización_de_Instrumentos[[#This Row],[CODIGO_SBS]],Parametria!C:C,0))</f>
        <v>30RVL</v>
      </c>
      <c r="AN160" s="26" t="str">
        <f>INDEX(Parametria!F:F,MATCH(Tabla_Consulta_desde_Reporte_de_Valorización_de_Instrumentos[[#This Row],[CODIGO_SBS]],Parametria!C:C,0))</f>
        <v>BU</v>
      </c>
      <c r="AO160" s="26" t="str">
        <f>+INDEX(Parametria!J:J,MATCH(Tabla_Consulta_desde_Reporte_de_Valorización_de_Instrumentos[[#This Row],[CODIGO_SBS]],Parametria!C:C,0))</f>
        <v>RVLBU</v>
      </c>
      <c r="AP160" s="26">
        <f>Tabla_Consulta_desde_Reporte_de_Valorización_de_Instrumentos[[#This Row],[Huella]]/$AU$4</f>
        <v>2.4824501129763477E-2</v>
      </c>
      <c r="AQ160" s="26" t="str">
        <f>IFERROR(INDEX('BD(MSCI)'!W:W,MATCH(Tabla_Consulta_desde_Reporte_de_Valorización_de_Instrumentos[[#This Row],[CODIGO_ISIN]],'BD(MSCI)'!C:C,0)),IF(Tabla_Consulta_desde_Reporte_de_Valorización_de_Instrumentos[[#This Row],[Rank_rt]]="Cash","Cash","Cuestionario Integra"))</f>
        <v>Portafolio</v>
      </c>
      <c r="AR160" s="26" t="str">
        <f>IFERROR(INDEX('BD(MSCI)'!X:X,MATCH(Tabla_Consulta_desde_Reporte_de_Valorización_de_Instrumentos[[#This Row],[CODIGO_ISIN]],'BD(MSCI)'!C:C,0)),"Cuestionario Integra")</f>
        <v>Portafolio</v>
      </c>
      <c r="AU160" s="26"/>
    </row>
    <row r="161" spans="2:47" hidden="1" x14ac:dyDescent="0.25">
      <c r="B161" s="14" t="s">
        <v>6390</v>
      </c>
      <c r="C161" t="s">
        <v>422</v>
      </c>
      <c r="D161" t="s">
        <v>11</v>
      </c>
      <c r="E161" t="s">
        <v>423</v>
      </c>
      <c r="F161" t="s">
        <v>458</v>
      </c>
      <c r="G161" t="str">
        <f>INDEX(Parametria!H:H,MATCH(Tabla_Consulta_desde_Reporte_de_Valorización_de_Instrumentos[[#This Row],[CODIGO_SBS]],Parametria!C:C,0),1)</f>
        <v>Credicorp LTD.</v>
      </c>
      <c r="H161" t="s">
        <v>459</v>
      </c>
      <c r="I161" t="s">
        <v>460</v>
      </c>
      <c r="J161" t="s">
        <v>461</v>
      </c>
      <c r="K161" t="s">
        <v>50</v>
      </c>
      <c r="L161">
        <v>5</v>
      </c>
      <c r="M161" s="5">
        <v>177484336.35659999</v>
      </c>
      <c r="N161">
        <v>52808574</v>
      </c>
      <c r="O161">
        <v>184002</v>
      </c>
      <c r="P161" s="15"/>
      <c r="R161">
        <v>3.3609</v>
      </c>
      <c r="S161" t="s">
        <v>428</v>
      </c>
      <c r="T161">
        <v>179430286.308</v>
      </c>
      <c r="U161" s="5">
        <v>53360580</v>
      </c>
      <c r="V161" t="s">
        <v>228</v>
      </c>
      <c r="W161">
        <v>241171741000</v>
      </c>
      <c r="X161">
        <v>206735531000</v>
      </c>
      <c r="Y161">
        <v>34436210000</v>
      </c>
      <c r="Z161">
        <v>-3</v>
      </c>
      <c r="AA161" t="str">
        <f>+MID(Tabla_Consulta_desde_Reporte_de_Valorización_de_Instrumentos[[#This Row],[CODIGO_SBS]],7,1)</f>
        <v>2</v>
      </c>
      <c r="AB161">
        <f>INDEX('Cálculo Caja'!F:F,MATCH(Tabla_Consulta_desde_Reporte_de_Valorización_de_Instrumentos[[#This Row],[PORTAFOLIO]],'Cálculo Caja'!A:A,0),1)</f>
        <v>3164069580.822104</v>
      </c>
      <c r="AC161" s="17">
        <f>Tabla_Consulta_desde_Reporte_de_Valorización_de_Instrumentos[[#This Row],[VALOR_VECTOR_LOCAL]]/Tabla_Consulta_desde_Reporte_de_Valorización_de_Instrumentos[[#This Row],[Patrimonio]]</f>
        <v>5.6093689415795067E-2</v>
      </c>
      <c r="AD161" s="4">
        <f>(Tabla_Consulta_desde_Reporte_de_Valorización_de_Instrumentos[[#This Row],[VALOR_VECTOR_LOCAL]]/INDEX('Tipo de Cambio'!$D:$D,MATCH("2",'Tipo de Cambio'!$E:$E,0),1))/1000000</f>
        <v>52.808573999999993</v>
      </c>
      <c r="AE161">
        <f>IF(Tabla_Consulta_desde_Reporte_de_Valorización_de_Instrumentos[[#This Row],[PORTAFOLIO]]="IN-FONDO0",Tabla_Consulta_desde_Reporte_de_Valorización_de_Instrumentos[[#This Row],[Inv MM$]],0)</f>
        <v>0</v>
      </c>
      <c r="AF161" s="26">
        <f>IF(Tabla_Consulta_desde_Reporte_de_Valorización_de_Instrumentos[[#This Row],[PORTAFOLIO]]="IN-FONDO1",Tabla_Consulta_desde_Reporte_de_Valorización_de_Instrumentos[[#This Row],[Inv MM$]],0)</f>
        <v>0</v>
      </c>
      <c r="AG161" s="26">
        <f>IF(Tabla_Consulta_desde_Reporte_de_Valorización_de_Instrumentos[[#This Row],[PORTAFOLIO]]="IN-FONDO2",Tabla_Consulta_desde_Reporte_de_Valorización_de_Instrumentos[[#This Row],[Inv MM$]],0)</f>
        <v>0</v>
      </c>
      <c r="AH161" s="26">
        <f>IF(Tabla_Consulta_desde_Reporte_de_Valorización_de_Instrumentos[[#This Row],[PORTAFOLIO]]="IN-FONDO3",Tabla_Consulta_desde_Reporte_de_Valorización_de_Instrumentos[[#This Row],[Inv MM$]],0)</f>
        <v>52.808573999999993</v>
      </c>
      <c r="AI16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431.71372299999996</v>
      </c>
      <c r="AJ161" s="26">
        <f>IFERROR(IFERROR(INDEX('BD(MSCI)'!$T:$T,MATCH(Tabla_Consulta_desde_Reporte_de_Valorización_de_Instrumentos[[#This Row],[CODIGO_ISIN]],'BD(MSCI)'!$C:$C,0),1),INDEX('BD(MSCI)'!$T:$T,MATCH(Tabla_Consulta_desde_Reporte_de_Valorización_de_Instrumentos[[#This Row],[CODIGO_SBS]],'BD(MSCI)'!$C:$C,0),1)),0)</f>
        <v>0.73</v>
      </c>
      <c r="AK161" s="26">
        <f>Tabla_Consulta_desde_Reporte_de_Valorización_de_Instrumentos[[#This Row],[C02-H]]*Tabla_Consulta_desde_Reporte_de_Valorización_de_Instrumentos[[#This Row],[Inv MM$]]</f>
        <v>38.550259019999991</v>
      </c>
      <c r="AL161" s="26">
        <f>Tabla_Consulta_desde_Reporte_de_Valorización_de_Instrumentos[[#This Row],[C02-H]]*Tabla_Consulta_desde_Reporte_de_Valorización_de_Instrumentos[[#This Row],[Weight]]</f>
        <v>4.0948393273530399E-2</v>
      </c>
      <c r="AM161" s="26" t="str">
        <f>INDEX(Parametria!G:G,MATCH(Tabla_Consulta_desde_Reporte_de_Valorización_de_Instrumentos[[#This Row],[CODIGO_SBS]],Parametria!C:C,0))</f>
        <v>30RVL</v>
      </c>
      <c r="AN161" s="26" t="str">
        <f>INDEX(Parametria!F:F,MATCH(Tabla_Consulta_desde_Reporte_de_Valorización_de_Instrumentos[[#This Row],[CODIGO_SBS]],Parametria!C:C,0))</f>
        <v>BU</v>
      </c>
      <c r="AO161" s="26" t="str">
        <f>+INDEX(Parametria!J:J,MATCH(Tabla_Consulta_desde_Reporte_de_Valorización_de_Instrumentos[[#This Row],[CODIGO_SBS]],Parametria!C:C,0))</f>
        <v>RVLBU</v>
      </c>
      <c r="AP161" s="26">
        <f>Tabla_Consulta_desde_Reporte_de_Valorización_de_Instrumentos[[#This Row],[Huella]]/$AU$4</f>
        <v>3.5737930821208067E-3</v>
      </c>
      <c r="AQ161" s="26" t="str">
        <f>IFERROR(INDEX('BD(MSCI)'!W:W,MATCH(Tabla_Consulta_desde_Reporte_de_Valorización_de_Instrumentos[[#This Row],[CODIGO_ISIN]],'BD(MSCI)'!C:C,0)),IF(Tabla_Consulta_desde_Reporte_de_Valorización_de_Instrumentos[[#This Row],[Rank_rt]]="Cash","Cash","Cuestionario Integra"))</f>
        <v>Portafolio</v>
      </c>
      <c r="AR161" s="26" t="str">
        <f>IFERROR(INDEX('BD(MSCI)'!X:X,MATCH(Tabla_Consulta_desde_Reporte_de_Valorización_de_Instrumentos[[#This Row],[CODIGO_ISIN]],'BD(MSCI)'!C:C,0)),"Cuestionario Integra")</f>
        <v>Portafolio</v>
      </c>
      <c r="AU161" s="26"/>
    </row>
    <row r="162" spans="2:47" hidden="1" x14ac:dyDescent="0.25">
      <c r="B162" s="14" t="s">
        <v>6390</v>
      </c>
      <c r="C162" t="s">
        <v>422</v>
      </c>
      <c r="D162" t="s">
        <v>12</v>
      </c>
      <c r="E162" t="s">
        <v>423</v>
      </c>
      <c r="F162" t="s">
        <v>458</v>
      </c>
      <c r="G162" t="str">
        <f>INDEX(Parametria!H:H,MATCH(Tabla_Consulta_desde_Reporte_de_Valorización_de_Instrumentos[[#This Row],[CODIGO_SBS]],Parametria!C:C,0),1)</f>
        <v>Credicorp LTD.</v>
      </c>
      <c r="H162" t="s">
        <v>459</v>
      </c>
      <c r="I162" t="s">
        <v>460</v>
      </c>
      <c r="J162" t="s">
        <v>461</v>
      </c>
      <c r="K162" t="s">
        <v>50</v>
      </c>
      <c r="L162">
        <v>5</v>
      </c>
      <c r="M162" s="5">
        <v>40609711.008299999</v>
      </c>
      <c r="N162">
        <v>12082987</v>
      </c>
      <c r="O162">
        <v>42101</v>
      </c>
      <c r="P162" s="15"/>
      <c r="R162">
        <v>3.3609</v>
      </c>
      <c r="S162" t="s">
        <v>428</v>
      </c>
      <c r="T162">
        <v>41054958.553999998</v>
      </c>
      <c r="U162" s="5">
        <v>12209290</v>
      </c>
      <c r="V162" t="s">
        <v>228</v>
      </c>
      <c r="W162">
        <v>241171741000</v>
      </c>
      <c r="X162">
        <v>206735531000</v>
      </c>
      <c r="Y162">
        <v>34436210000</v>
      </c>
      <c r="Z162">
        <v>-3</v>
      </c>
      <c r="AA162" t="str">
        <f>+MID(Tabla_Consulta_desde_Reporte_de_Valorización_de_Instrumentos[[#This Row],[CODIGO_SBS]],7,1)</f>
        <v>2</v>
      </c>
      <c r="AB162">
        <f>INDEX('Cálculo Caja'!F:F,MATCH(Tabla_Consulta_desde_Reporte_de_Valorización_de_Instrumentos[[#This Row],[PORTAFOLIO]],'Cálculo Caja'!A:A,0),1)</f>
        <v>7679510866.0565634</v>
      </c>
      <c r="AC162" s="17">
        <f>Tabla_Consulta_desde_Reporte_de_Valorización_de_Instrumentos[[#This Row],[VALOR_VECTOR_LOCAL]]/Tabla_Consulta_desde_Reporte_de_Valorización_de_Instrumentos[[#This Row],[Patrimonio]]</f>
        <v>5.2880595804343363E-3</v>
      </c>
      <c r="AD162" s="4">
        <f>(Tabla_Consulta_desde_Reporte_de_Valorización_de_Instrumentos[[#This Row],[VALOR_VECTOR_LOCAL]]/INDEX('Tipo de Cambio'!$D:$D,MATCH("2",'Tipo de Cambio'!$E:$E,0),1))/1000000</f>
        <v>12.082986999999999</v>
      </c>
      <c r="AE162">
        <f>IF(Tabla_Consulta_desde_Reporte_de_Valorización_de_Instrumentos[[#This Row],[PORTAFOLIO]]="IN-FONDO0",Tabla_Consulta_desde_Reporte_de_Valorización_de_Instrumentos[[#This Row],[Inv MM$]],0)</f>
        <v>0</v>
      </c>
      <c r="AF162" s="26">
        <f>IF(Tabla_Consulta_desde_Reporte_de_Valorización_de_Instrumentos[[#This Row],[PORTAFOLIO]]="IN-FONDO1",Tabla_Consulta_desde_Reporte_de_Valorización_de_Instrumentos[[#This Row],[Inv MM$]],0)</f>
        <v>12.082986999999999</v>
      </c>
      <c r="AG162" s="26">
        <f>IF(Tabla_Consulta_desde_Reporte_de_Valorización_de_Instrumentos[[#This Row],[PORTAFOLIO]]="IN-FONDO2",Tabla_Consulta_desde_Reporte_de_Valorización_de_Instrumentos[[#This Row],[Inv MM$]],0)</f>
        <v>0</v>
      </c>
      <c r="AH162" s="26">
        <f>IF(Tabla_Consulta_desde_Reporte_de_Valorización_de_Instrumentos[[#This Row],[PORTAFOLIO]]="IN-FONDO3",Tabla_Consulta_desde_Reporte_de_Valorización_de_Instrumentos[[#This Row],[Inv MM$]],0)</f>
        <v>0</v>
      </c>
      <c r="AI16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431.71372299999996</v>
      </c>
      <c r="AJ162" s="26">
        <f>IFERROR(IFERROR(INDEX('BD(MSCI)'!$T:$T,MATCH(Tabla_Consulta_desde_Reporte_de_Valorización_de_Instrumentos[[#This Row],[CODIGO_ISIN]],'BD(MSCI)'!$C:$C,0),1),INDEX('BD(MSCI)'!$T:$T,MATCH(Tabla_Consulta_desde_Reporte_de_Valorización_de_Instrumentos[[#This Row],[CODIGO_SBS]],'BD(MSCI)'!$C:$C,0),1)),0)</f>
        <v>0.73</v>
      </c>
      <c r="AK162" s="26">
        <f>Tabla_Consulta_desde_Reporte_de_Valorización_de_Instrumentos[[#This Row],[C02-H]]*Tabla_Consulta_desde_Reporte_de_Valorización_de_Instrumentos[[#This Row],[Inv MM$]]</f>
        <v>8.8205805099999992</v>
      </c>
      <c r="AL162" s="26">
        <f>Tabla_Consulta_desde_Reporte_de_Valorización_de_Instrumentos[[#This Row],[C02-H]]*Tabla_Consulta_desde_Reporte_de_Valorización_de_Instrumentos[[#This Row],[Weight]]</f>
        <v>3.8602834937170654E-3</v>
      </c>
      <c r="AM162" s="26" t="str">
        <f>INDEX(Parametria!G:G,MATCH(Tabla_Consulta_desde_Reporte_de_Valorización_de_Instrumentos[[#This Row],[CODIGO_SBS]],Parametria!C:C,0))</f>
        <v>30RVL</v>
      </c>
      <c r="AN162" s="26" t="str">
        <f>INDEX(Parametria!F:F,MATCH(Tabla_Consulta_desde_Reporte_de_Valorización_de_Instrumentos[[#This Row],[CODIGO_SBS]],Parametria!C:C,0))</f>
        <v>BU</v>
      </c>
      <c r="AO162" s="26" t="str">
        <f>+INDEX(Parametria!J:J,MATCH(Tabla_Consulta_desde_Reporte_de_Valorización_de_Instrumentos[[#This Row],[CODIGO_SBS]],Parametria!C:C,0))</f>
        <v>RVLBU</v>
      </c>
      <c r="AP162" s="26">
        <f>Tabla_Consulta_desde_Reporte_de_Valorización_de_Instrumentos[[#This Row],[Huella]]/$AU$4</f>
        <v>8.177099300571086E-4</v>
      </c>
      <c r="AQ162" s="26" t="str">
        <f>IFERROR(INDEX('BD(MSCI)'!W:W,MATCH(Tabla_Consulta_desde_Reporte_de_Valorización_de_Instrumentos[[#This Row],[CODIGO_ISIN]],'BD(MSCI)'!C:C,0)),IF(Tabla_Consulta_desde_Reporte_de_Valorización_de_Instrumentos[[#This Row],[Rank_rt]]="Cash","Cash","Cuestionario Integra"))</f>
        <v>Portafolio</v>
      </c>
      <c r="AR162" s="26" t="str">
        <f>IFERROR(INDEX('BD(MSCI)'!X:X,MATCH(Tabla_Consulta_desde_Reporte_de_Valorización_de_Instrumentos[[#This Row],[CODIGO_ISIN]],'BD(MSCI)'!C:C,0)),"Cuestionario Integra")</f>
        <v>Portafolio</v>
      </c>
      <c r="AU162" s="26"/>
    </row>
    <row r="163" spans="2:47" hidden="1" x14ac:dyDescent="0.25">
      <c r="B163" s="14" t="s">
        <v>6390</v>
      </c>
      <c r="C163" t="s">
        <v>422</v>
      </c>
      <c r="D163" t="s">
        <v>11</v>
      </c>
      <c r="E163" t="s">
        <v>423</v>
      </c>
      <c r="F163" t="s">
        <v>462</v>
      </c>
      <c r="G163" t="str">
        <f>INDEX(Parametria!H:H,MATCH(Tabla_Consulta_desde_Reporte_de_Valorización_de_Instrumentos[[#This Row],[CODIGO_SBS]],Parametria!C:C,0),1)</f>
        <v>Edegel S.A.A.</v>
      </c>
      <c r="H163" t="s">
        <v>463</v>
      </c>
      <c r="I163" t="s">
        <v>464</v>
      </c>
      <c r="J163" t="s">
        <v>465</v>
      </c>
      <c r="K163" t="s">
        <v>90</v>
      </c>
      <c r="L163">
        <v>1</v>
      </c>
      <c r="M163" s="5">
        <v>20470968.785618</v>
      </c>
      <c r="N163">
        <v>20470968.785618</v>
      </c>
      <c r="O163">
        <v>7636630</v>
      </c>
      <c r="P163" s="15"/>
      <c r="R163">
        <v>1</v>
      </c>
      <c r="S163" t="s">
        <v>428</v>
      </c>
      <c r="T163">
        <v>20233950.700307999</v>
      </c>
      <c r="U163" s="5">
        <v>20233950.700307999</v>
      </c>
      <c r="V163" t="s">
        <v>333</v>
      </c>
      <c r="W163">
        <v>6244522000</v>
      </c>
      <c r="X163">
        <v>3045282000</v>
      </c>
      <c r="Y163">
        <v>3199240000</v>
      </c>
      <c r="Z163">
        <v>3.1036999999999999E-2</v>
      </c>
      <c r="AA163" t="str">
        <f>+MID(Tabla_Consulta_desde_Reporte_de_Valorización_de_Instrumentos[[#This Row],[CODIGO_SBS]],7,1)</f>
        <v>1</v>
      </c>
      <c r="AB163">
        <f>INDEX('Cálculo Caja'!F:F,MATCH(Tabla_Consulta_desde_Reporte_de_Valorización_de_Instrumentos[[#This Row],[PORTAFOLIO]],'Cálculo Caja'!A:A,0),1)</f>
        <v>3164069580.822104</v>
      </c>
      <c r="AC163" s="17">
        <f>Tabla_Consulta_desde_Reporte_de_Valorización_de_Instrumentos[[#This Row],[VALOR_VECTOR_LOCAL]]/Tabla_Consulta_desde_Reporte_de_Valorización_de_Instrumentos[[#This Row],[Patrimonio]]</f>
        <v>6.4698225695463789E-3</v>
      </c>
      <c r="AD163" s="4">
        <f>(Tabla_Consulta_desde_Reporte_de_Valorización_de_Instrumentos[[#This Row],[VALOR_VECTOR_LOCAL]]/INDEX('Tipo de Cambio'!$D:$D,MATCH("2",'Tipo de Cambio'!$E:$E,0),1))/1000000</f>
        <v>6.0909187377244187</v>
      </c>
      <c r="AE163">
        <f>IF(Tabla_Consulta_desde_Reporte_de_Valorización_de_Instrumentos[[#This Row],[PORTAFOLIO]]="IN-FONDO0",Tabla_Consulta_desde_Reporte_de_Valorización_de_Instrumentos[[#This Row],[Inv MM$]],0)</f>
        <v>0</v>
      </c>
      <c r="AF163" s="26">
        <f>IF(Tabla_Consulta_desde_Reporte_de_Valorización_de_Instrumentos[[#This Row],[PORTAFOLIO]]="IN-FONDO1",Tabla_Consulta_desde_Reporte_de_Valorización_de_Instrumentos[[#This Row],[Inv MM$]],0)</f>
        <v>0</v>
      </c>
      <c r="AG163" s="26">
        <f>IF(Tabla_Consulta_desde_Reporte_de_Valorización_de_Instrumentos[[#This Row],[PORTAFOLIO]]="IN-FONDO2",Tabla_Consulta_desde_Reporte_de_Valorización_de_Instrumentos[[#This Row],[Inv MM$]],0)</f>
        <v>0</v>
      </c>
      <c r="AH163" s="26">
        <f>IF(Tabla_Consulta_desde_Reporte_de_Valorización_de_Instrumentos[[#This Row],[PORTAFOLIO]]="IN-FONDO3",Tabla_Consulta_desde_Reporte_de_Valorización_de_Instrumentos[[#This Row],[Inv MM$]],0)</f>
        <v>6.0909187377244187</v>
      </c>
      <c r="AI16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45.316507032475286</v>
      </c>
      <c r="AJ163" s="26">
        <f>IFERROR(IFERROR(INDEX('BD(MSCI)'!$T:$T,MATCH(Tabla_Consulta_desde_Reporte_de_Valorización_de_Instrumentos[[#This Row],[CODIGO_ISIN]],'BD(MSCI)'!$C:$C,0),1),INDEX('BD(MSCI)'!$T:$T,MATCH(Tabla_Consulta_desde_Reporte_de_Valorización_de_Instrumentos[[#This Row],[CODIGO_SBS]],'BD(MSCI)'!$C:$C,0),1)),0)</f>
        <v>295.20288226000002</v>
      </c>
      <c r="AK163" s="26">
        <f>Tabla_Consulta_desde_Reporte_de_Valorización_de_Instrumentos[[#This Row],[C02-H]]*Tabla_Consulta_desde_Reporte_de_Valorización_de_Instrumentos[[#This Row],[Inv MM$]]</f>
        <v>1798.0567669876896</v>
      </c>
      <c r="AL163" s="26">
        <f>Tabla_Consulta_desde_Reporte_de_Valorización_de_Instrumentos[[#This Row],[C02-H]]*Tabla_Consulta_desde_Reporte_de_Valorización_de_Instrumentos[[#This Row],[Weight]]</f>
        <v>1.9099102702408906</v>
      </c>
      <c r="AM163" s="26" t="str">
        <f>INDEX(Parametria!G:G,MATCH(Tabla_Consulta_desde_Reporte_de_Valorización_de_Instrumentos[[#This Row],[CODIGO_SBS]],Parametria!C:C,0))</f>
        <v>30RVL</v>
      </c>
      <c r="AN163" s="26" t="str">
        <f>INDEX(Parametria!F:F,MATCH(Tabla_Consulta_desde_Reporte_de_Valorización_de_Instrumentos[[#This Row],[CODIGO_SBS]],Parametria!C:C,0))</f>
        <v>BU</v>
      </c>
      <c r="AO163" s="26" t="str">
        <f>+INDEX(Parametria!J:J,MATCH(Tabla_Consulta_desde_Reporte_de_Valorización_de_Instrumentos[[#This Row],[CODIGO_SBS]],Parametria!C:C,0))</f>
        <v>RVLBU</v>
      </c>
      <c r="AP163" s="26">
        <f>Tabla_Consulta_desde_Reporte_de_Valorización_de_Instrumentos[[#This Row],[Huella]]/$AU$4</f>
        <v>0.16668844771671548</v>
      </c>
      <c r="AQ163" s="26" t="str">
        <f>IFERROR(INDEX('BD(MSCI)'!W:W,MATCH(Tabla_Consulta_desde_Reporte_de_Valorización_de_Instrumentos[[#This Row],[CODIGO_ISIN]],'BD(MSCI)'!C:C,0)),IF(Tabla_Consulta_desde_Reporte_de_Valorización_de_Instrumentos[[#This Row],[Rank_rt]]="Cash","Cash","Cuestionario Integra"))</f>
        <v>Proxies</v>
      </c>
      <c r="AR163" s="26" t="str">
        <f>IFERROR(INDEX('BD(MSCI)'!X:X,MATCH(Tabla_Consulta_desde_Reporte_de_Valorización_de_Instrumentos[[#This Row],[CODIGO_ISIN]],'BD(MSCI)'!C:C,0)),"Cuestionario Integra")</f>
        <v>BU</v>
      </c>
      <c r="AU163" s="26"/>
    </row>
    <row r="164" spans="2:47" hidden="1" x14ac:dyDescent="0.25">
      <c r="B164" s="14" t="s">
        <v>6390</v>
      </c>
      <c r="C164" t="s">
        <v>422</v>
      </c>
      <c r="D164" t="s">
        <v>10</v>
      </c>
      <c r="E164" t="s">
        <v>423</v>
      </c>
      <c r="F164" t="s">
        <v>462</v>
      </c>
      <c r="G164" t="str">
        <f>INDEX(Parametria!H:H,MATCH(Tabla_Consulta_desde_Reporte_de_Valorización_de_Instrumentos[[#This Row],[CODIGO_SBS]],Parametria!C:C,0),1)</f>
        <v>Edegel S.A.A.</v>
      </c>
      <c r="H164" t="s">
        <v>463</v>
      </c>
      <c r="I164" t="s">
        <v>464</v>
      </c>
      <c r="J164" t="s">
        <v>465</v>
      </c>
      <c r="K164" t="s">
        <v>90</v>
      </c>
      <c r="L164">
        <v>1</v>
      </c>
      <c r="M164" s="5">
        <v>116318887.01761121</v>
      </c>
      <c r="N164">
        <v>116318887.01761121</v>
      </c>
      <c r="O164">
        <v>43392392</v>
      </c>
      <c r="P164" s="15"/>
      <c r="R164">
        <v>1</v>
      </c>
      <c r="S164" t="s">
        <v>428</v>
      </c>
      <c r="T164">
        <v>114972117.3471072</v>
      </c>
      <c r="U164" s="5">
        <v>114972117.3471072</v>
      </c>
      <c r="V164" t="s">
        <v>333</v>
      </c>
      <c r="W164">
        <v>6244522000</v>
      </c>
      <c r="X164">
        <v>3045282000</v>
      </c>
      <c r="Y164">
        <v>3199240000</v>
      </c>
      <c r="Z164">
        <v>3.1036999999999999E-2</v>
      </c>
      <c r="AA164" t="str">
        <f>+MID(Tabla_Consulta_desde_Reporte_de_Valorización_de_Instrumentos[[#This Row],[CODIGO_SBS]],7,1)</f>
        <v>1</v>
      </c>
      <c r="AB164">
        <f>INDEX('Cálculo Caja'!F:F,MATCH(Tabla_Consulta_desde_Reporte_de_Valorización_de_Instrumentos[[#This Row],[PORTAFOLIO]],'Cálculo Caja'!A:A,0),1)</f>
        <v>26256910350.436607</v>
      </c>
      <c r="AC164" s="17">
        <f>Tabla_Consulta_desde_Reporte_de_Valorización_de_Instrumentos[[#This Row],[VALOR_VECTOR_LOCAL]]/Tabla_Consulta_desde_Reporte_de_Valorización_de_Instrumentos[[#This Row],[Patrimonio]]</f>
        <v>4.4300294842449742E-3</v>
      </c>
      <c r="AD164" s="4">
        <f>(Tabla_Consulta_desde_Reporte_de_Valorización_de_Instrumentos[[#This Row],[VALOR_VECTOR_LOCAL]]/INDEX('Tipo de Cambio'!$D:$D,MATCH("2",'Tipo de Cambio'!$E:$E,0),1))/1000000</f>
        <v>34.60944598697111</v>
      </c>
      <c r="AE164">
        <f>IF(Tabla_Consulta_desde_Reporte_de_Valorización_de_Instrumentos[[#This Row],[PORTAFOLIO]]="IN-FONDO0",Tabla_Consulta_desde_Reporte_de_Valorización_de_Instrumentos[[#This Row],[Inv MM$]],0)</f>
        <v>0</v>
      </c>
      <c r="AF164" s="26">
        <f>IF(Tabla_Consulta_desde_Reporte_de_Valorización_de_Instrumentos[[#This Row],[PORTAFOLIO]]="IN-FONDO1",Tabla_Consulta_desde_Reporte_de_Valorización_de_Instrumentos[[#This Row],[Inv MM$]],0)</f>
        <v>0</v>
      </c>
      <c r="AG164" s="26">
        <f>IF(Tabla_Consulta_desde_Reporte_de_Valorización_de_Instrumentos[[#This Row],[PORTAFOLIO]]="IN-FONDO2",Tabla_Consulta_desde_Reporte_de_Valorización_de_Instrumentos[[#This Row],[Inv MM$]],0)</f>
        <v>34.60944598697111</v>
      </c>
      <c r="AH164" s="26">
        <f>IF(Tabla_Consulta_desde_Reporte_de_Valorización_de_Instrumentos[[#This Row],[PORTAFOLIO]]="IN-FONDO3",Tabla_Consulta_desde_Reporte_de_Valorización_de_Instrumentos[[#This Row],[Inv MM$]],0)</f>
        <v>0</v>
      </c>
      <c r="AI16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45.316507032475286</v>
      </c>
      <c r="AJ164" s="26">
        <f>IFERROR(IFERROR(INDEX('BD(MSCI)'!$T:$T,MATCH(Tabla_Consulta_desde_Reporte_de_Valorización_de_Instrumentos[[#This Row],[CODIGO_ISIN]],'BD(MSCI)'!$C:$C,0),1),INDEX('BD(MSCI)'!$T:$T,MATCH(Tabla_Consulta_desde_Reporte_de_Valorización_de_Instrumentos[[#This Row],[CODIGO_SBS]],'BD(MSCI)'!$C:$C,0),1)),0)</f>
        <v>295.20288226000002</v>
      </c>
      <c r="AK164" s="26">
        <f>Tabla_Consulta_desde_Reporte_de_Valorización_de_Instrumentos[[#This Row],[C02-H]]*Tabla_Consulta_desde_Reporte_de_Valorización_de_Instrumentos[[#This Row],[Inv MM$]]</f>
        <v>10216.808208775663</v>
      </c>
      <c r="AL164" s="26">
        <f>Tabla_Consulta_desde_Reporte_de_Valorización_de_Instrumentos[[#This Row],[C02-H]]*Tabla_Consulta_desde_Reporte_de_Valorización_de_Instrumentos[[#This Row],[Weight]]</f>
        <v>1.3077574722458978</v>
      </c>
      <c r="AM164" s="26" t="str">
        <f>INDEX(Parametria!G:G,MATCH(Tabla_Consulta_desde_Reporte_de_Valorización_de_Instrumentos[[#This Row],[CODIGO_SBS]],Parametria!C:C,0))</f>
        <v>30RVL</v>
      </c>
      <c r="AN164" s="26" t="str">
        <f>INDEX(Parametria!F:F,MATCH(Tabla_Consulta_desde_Reporte_de_Valorización_de_Instrumentos[[#This Row],[CODIGO_SBS]],Parametria!C:C,0))</f>
        <v>BU</v>
      </c>
      <c r="AO164" s="26" t="str">
        <f>+INDEX(Parametria!J:J,MATCH(Tabla_Consulta_desde_Reporte_de_Valorización_de_Instrumentos[[#This Row],[CODIGO_SBS]],Parametria!C:C,0))</f>
        <v>RVLBU</v>
      </c>
      <c r="AP164" s="26">
        <f>Tabla_Consulta_desde_Reporte_de_Valorización_de_Instrumentos[[#This Row],[Huella]]/$AU$4</f>
        <v>0.94714690448473005</v>
      </c>
      <c r="AQ164" s="26" t="str">
        <f>IFERROR(INDEX('BD(MSCI)'!W:W,MATCH(Tabla_Consulta_desde_Reporte_de_Valorización_de_Instrumentos[[#This Row],[CODIGO_ISIN]],'BD(MSCI)'!C:C,0)),IF(Tabla_Consulta_desde_Reporte_de_Valorización_de_Instrumentos[[#This Row],[Rank_rt]]="Cash","Cash","Cuestionario Integra"))</f>
        <v>Proxies</v>
      </c>
      <c r="AR164" s="26" t="str">
        <f>IFERROR(INDEX('BD(MSCI)'!X:X,MATCH(Tabla_Consulta_desde_Reporte_de_Valorización_de_Instrumentos[[#This Row],[CODIGO_ISIN]],'BD(MSCI)'!C:C,0)),"Cuestionario Integra")</f>
        <v>BU</v>
      </c>
      <c r="AU164" s="26"/>
    </row>
    <row r="165" spans="2:47" hidden="1" x14ac:dyDescent="0.25">
      <c r="B165" s="14" t="s">
        <v>6390</v>
      </c>
      <c r="C165" t="s">
        <v>422</v>
      </c>
      <c r="D165" t="s">
        <v>12</v>
      </c>
      <c r="E165" t="s">
        <v>423</v>
      </c>
      <c r="F165" t="s">
        <v>462</v>
      </c>
      <c r="G165" t="str">
        <f>INDEX(Parametria!H:H,MATCH(Tabla_Consulta_desde_Reporte_de_Valorización_de_Instrumentos[[#This Row],[CODIGO_SBS]],Parametria!C:C,0),1)</f>
        <v>Edegel S.A.A.</v>
      </c>
      <c r="H165" t="s">
        <v>463</v>
      </c>
      <c r="I165" t="s">
        <v>464</v>
      </c>
      <c r="J165" t="s">
        <v>465</v>
      </c>
      <c r="K165" t="s">
        <v>90</v>
      </c>
      <c r="L165">
        <v>1</v>
      </c>
      <c r="M165" s="5">
        <v>15514392.682217</v>
      </c>
      <c r="N165">
        <v>15514392.682217</v>
      </c>
      <c r="O165">
        <v>5787595</v>
      </c>
      <c r="P165" s="15"/>
      <c r="R165">
        <v>1</v>
      </c>
      <c r="S165" t="s">
        <v>428</v>
      </c>
      <c r="T165">
        <v>15334763.096201999</v>
      </c>
      <c r="U165" s="5">
        <v>15334763.096201999</v>
      </c>
      <c r="V165" t="s">
        <v>333</v>
      </c>
      <c r="W165">
        <v>6244522000</v>
      </c>
      <c r="X165">
        <v>3045282000</v>
      </c>
      <c r="Y165">
        <v>3199240000</v>
      </c>
      <c r="Z165">
        <v>3.1036999999999999E-2</v>
      </c>
      <c r="AA165" t="str">
        <f>+MID(Tabla_Consulta_desde_Reporte_de_Valorización_de_Instrumentos[[#This Row],[CODIGO_SBS]],7,1)</f>
        <v>1</v>
      </c>
      <c r="AB165">
        <f>INDEX('Cálculo Caja'!F:F,MATCH(Tabla_Consulta_desde_Reporte_de_Valorización_de_Instrumentos[[#This Row],[PORTAFOLIO]],'Cálculo Caja'!A:A,0),1)</f>
        <v>7679510866.0565634</v>
      </c>
      <c r="AC165" s="17">
        <f>Tabla_Consulta_desde_Reporte_de_Valorización_de_Instrumentos[[#This Row],[VALOR_VECTOR_LOCAL]]/Tabla_Consulta_desde_Reporte_de_Valorización_de_Instrumentos[[#This Row],[Patrimonio]]</f>
        <v>2.020231881016096E-3</v>
      </c>
      <c r="AD165" s="4">
        <f>(Tabla_Consulta_desde_Reporte_de_Valorización_de_Instrumentos[[#This Row],[VALOR_VECTOR_LOCAL]]/INDEX('Tipo de Cambio'!$D:$D,MATCH("2",'Tipo de Cambio'!$E:$E,0),1))/1000000</f>
        <v>4.6161423077797608</v>
      </c>
      <c r="AE165">
        <f>IF(Tabla_Consulta_desde_Reporte_de_Valorización_de_Instrumentos[[#This Row],[PORTAFOLIO]]="IN-FONDO0",Tabla_Consulta_desde_Reporte_de_Valorización_de_Instrumentos[[#This Row],[Inv MM$]],0)</f>
        <v>0</v>
      </c>
      <c r="AF165" s="26">
        <f>IF(Tabla_Consulta_desde_Reporte_de_Valorización_de_Instrumentos[[#This Row],[PORTAFOLIO]]="IN-FONDO1",Tabla_Consulta_desde_Reporte_de_Valorización_de_Instrumentos[[#This Row],[Inv MM$]],0)</f>
        <v>4.6161423077797608</v>
      </c>
      <c r="AG165" s="26">
        <f>IF(Tabla_Consulta_desde_Reporte_de_Valorización_de_Instrumentos[[#This Row],[PORTAFOLIO]]="IN-FONDO2",Tabla_Consulta_desde_Reporte_de_Valorización_de_Instrumentos[[#This Row],[Inv MM$]],0)</f>
        <v>0</v>
      </c>
      <c r="AH165" s="26">
        <f>IF(Tabla_Consulta_desde_Reporte_de_Valorización_de_Instrumentos[[#This Row],[PORTAFOLIO]]="IN-FONDO3",Tabla_Consulta_desde_Reporte_de_Valorización_de_Instrumentos[[#This Row],[Inv MM$]],0)</f>
        <v>0</v>
      </c>
      <c r="AI16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45.316507032475286</v>
      </c>
      <c r="AJ165" s="26">
        <f>IFERROR(IFERROR(INDEX('BD(MSCI)'!$T:$T,MATCH(Tabla_Consulta_desde_Reporte_de_Valorización_de_Instrumentos[[#This Row],[CODIGO_ISIN]],'BD(MSCI)'!$C:$C,0),1),INDEX('BD(MSCI)'!$T:$T,MATCH(Tabla_Consulta_desde_Reporte_de_Valorización_de_Instrumentos[[#This Row],[CODIGO_SBS]],'BD(MSCI)'!$C:$C,0),1)),0)</f>
        <v>295.20288226000002</v>
      </c>
      <c r="AK165" s="26">
        <f>Tabla_Consulta_desde_Reporte_de_Valorización_de_Instrumentos[[#This Row],[C02-H]]*Tabla_Consulta_desde_Reporte_de_Valorización_de_Instrumentos[[#This Row],[Inv MM$]]</f>
        <v>1362.6985141789135</v>
      </c>
      <c r="AL165" s="26">
        <f>Tabla_Consulta_desde_Reporte_de_Valorización_de_Instrumentos[[#This Row],[C02-H]]*Tabla_Consulta_desde_Reporte_de_Valorización_de_Instrumentos[[#This Row],[Weight]]</f>
        <v>0.59637827410949296</v>
      </c>
      <c r="AM165" s="26" t="str">
        <f>INDEX(Parametria!G:G,MATCH(Tabla_Consulta_desde_Reporte_de_Valorización_de_Instrumentos[[#This Row],[CODIGO_SBS]],Parametria!C:C,0))</f>
        <v>30RVL</v>
      </c>
      <c r="AN165" s="26" t="str">
        <f>INDEX(Parametria!F:F,MATCH(Tabla_Consulta_desde_Reporte_de_Valorización_de_Instrumentos[[#This Row],[CODIGO_SBS]],Parametria!C:C,0))</f>
        <v>BU</v>
      </c>
      <c r="AO165" s="26" t="str">
        <f>+INDEX(Parametria!J:J,MATCH(Tabla_Consulta_desde_Reporte_de_Valorización_de_Instrumentos[[#This Row],[CODIGO_SBS]],Parametria!C:C,0))</f>
        <v>RVLBU</v>
      </c>
      <c r="AP165" s="26">
        <f>Tabla_Consulta_desde_Reporte_de_Valorización_de_Instrumentos[[#This Row],[Huella]]/$AU$4</f>
        <v>0.12632865891931702</v>
      </c>
      <c r="AQ165" s="26" t="str">
        <f>IFERROR(INDEX('BD(MSCI)'!W:W,MATCH(Tabla_Consulta_desde_Reporte_de_Valorización_de_Instrumentos[[#This Row],[CODIGO_ISIN]],'BD(MSCI)'!C:C,0)),IF(Tabla_Consulta_desde_Reporte_de_Valorización_de_Instrumentos[[#This Row],[Rank_rt]]="Cash","Cash","Cuestionario Integra"))</f>
        <v>Proxies</v>
      </c>
      <c r="AR165" s="26" t="str">
        <f>IFERROR(INDEX('BD(MSCI)'!X:X,MATCH(Tabla_Consulta_desde_Reporte_de_Valorización_de_Instrumentos[[#This Row],[CODIGO_ISIN]],'BD(MSCI)'!C:C,0)),"Cuestionario Integra")</f>
        <v>BU</v>
      </c>
      <c r="AU165" s="26"/>
    </row>
    <row r="166" spans="2:47" hidden="1" x14ac:dyDescent="0.25">
      <c r="B166" s="14" t="s">
        <v>6390</v>
      </c>
      <c r="C166" t="s">
        <v>422</v>
      </c>
      <c r="D166" t="s">
        <v>10</v>
      </c>
      <c r="E166" t="s">
        <v>423</v>
      </c>
      <c r="F166" t="s">
        <v>466</v>
      </c>
      <c r="G166" t="str">
        <f>INDEX(Parametria!H:H,MATCH(Tabla_Consulta_desde_Reporte_de_Valorización_de_Instrumentos[[#This Row],[CODIGO_SBS]],Parametria!C:C,0),1)</f>
        <v>Edelnor S.A.A.</v>
      </c>
      <c r="H166" t="s">
        <v>467</v>
      </c>
      <c r="I166" t="s">
        <v>468</v>
      </c>
      <c r="J166" t="s">
        <v>332</v>
      </c>
      <c r="K166" t="s">
        <v>90</v>
      </c>
      <c r="L166">
        <v>1</v>
      </c>
      <c r="M166" s="5">
        <v>25018740.0391992</v>
      </c>
      <c r="N166">
        <v>25018740.0391992</v>
      </c>
      <c r="O166">
        <v>20850771</v>
      </c>
      <c r="P166" s="15"/>
      <c r="R166">
        <v>1</v>
      </c>
      <c r="S166" t="s">
        <v>428</v>
      </c>
      <c r="T166">
        <v>25018740.0391992</v>
      </c>
      <c r="U166" s="5">
        <v>25018740.0391992</v>
      </c>
      <c r="V166" t="s">
        <v>333</v>
      </c>
      <c r="W166">
        <v>6803800000</v>
      </c>
      <c r="X166">
        <v>3267830000</v>
      </c>
      <c r="Y166">
        <v>3535970000</v>
      </c>
      <c r="Z166">
        <v>0</v>
      </c>
      <c r="AA166" t="str">
        <f>+MID(Tabla_Consulta_desde_Reporte_de_Valorización_de_Instrumentos[[#This Row],[CODIGO_SBS]],7,1)</f>
        <v>1</v>
      </c>
      <c r="AB166">
        <f>INDEX('Cálculo Caja'!F:F,MATCH(Tabla_Consulta_desde_Reporte_de_Valorización_de_Instrumentos[[#This Row],[PORTAFOLIO]],'Cálculo Caja'!A:A,0),1)</f>
        <v>26256910350.436607</v>
      </c>
      <c r="AC166" s="17">
        <f>Tabla_Consulta_desde_Reporte_de_Valorización_de_Instrumentos[[#This Row],[VALOR_VECTOR_LOCAL]]/Tabla_Consulta_desde_Reporte_de_Valorización_de_Instrumentos[[#This Row],[Patrimonio]]</f>
        <v>9.5284402107055903E-4</v>
      </c>
      <c r="AD166" s="4">
        <f>(Tabla_Consulta_desde_Reporte_de_Valorización_de_Instrumentos[[#This Row],[VALOR_VECTOR_LOCAL]]/INDEX('Tipo de Cambio'!$D:$D,MATCH("2",'Tipo de Cambio'!$E:$E,0),1))/1000000</f>
        <v>7.4440596385489597</v>
      </c>
      <c r="AE166">
        <f>IF(Tabla_Consulta_desde_Reporte_de_Valorización_de_Instrumentos[[#This Row],[PORTAFOLIO]]="IN-FONDO0",Tabla_Consulta_desde_Reporte_de_Valorización_de_Instrumentos[[#This Row],[Inv MM$]],0)</f>
        <v>0</v>
      </c>
      <c r="AF166" s="26">
        <f>IF(Tabla_Consulta_desde_Reporte_de_Valorización_de_Instrumentos[[#This Row],[PORTAFOLIO]]="IN-FONDO1",Tabla_Consulta_desde_Reporte_de_Valorización_de_Instrumentos[[#This Row],[Inv MM$]],0)</f>
        <v>0</v>
      </c>
      <c r="AG166" s="26">
        <f>IF(Tabla_Consulta_desde_Reporte_de_Valorización_de_Instrumentos[[#This Row],[PORTAFOLIO]]="IN-FONDO2",Tabla_Consulta_desde_Reporte_de_Valorización_de_Instrumentos[[#This Row],[Inv MM$]],0)</f>
        <v>7.4440596385489597</v>
      </c>
      <c r="AH166" s="26">
        <f>IF(Tabla_Consulta_desde_Reporte_de_Valorización_de_Instrumentos[[#This Row],[PORTAFOLIO]]="IN-FONDO3",Tabla_Consulta_desde_Reporte_de_Valorización_de_Instrumentos[[#This Row],[Inv MM$]],0)</f>
        <v>0</v>
      </c>
      <c r="AI16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8.6202650393892117</v>
      </c>
      <c r="AJ166" s="26">
        <f>IFERROR(IFERROR(INDEX('BD(MSCI)'!$T:$T,MATCH(Tabla_Consulta_desde_Reporte_de_Valorización_de_Instrumentos[[#This Row],[CODIGO_ISIN]],'BD(MSCI)'!$C:$C,0),1),INDEX('BD(MSCI)'!$T:$T,MATCH(Tabla_Consulta_desde_Reporte_de_Valorización_de_Instrumentos[[#This Row],[CODIGO_SBS]],'BD(MSCI)'!$C:$C,0),1)),0)</f>
        <v>295.20288226000002</v>
      </c>
      <c r="AK166" s="26">
        <f>Tabla_Consulta_desde_Reporte_de_Valorización_de_Instrumentos[[#This Row],[C02-H]]*Tabla_Consulta_desde_Reporte_de_Valorización_de_Instrumentos[[#This Row],[Inv MM$]]</f>
        <v>2197.5078610149867</v>
      </c>
      <c r="AL166" s="26">
        <f>Tabla_Consulta_desde_Reporte_de_Valorización_de_Instrumentos[[#This Row],[C02-H]]*Tabla_Consulta_desde_Reporte_de_Valorización_de_Instrumentos[[#This Row],[Weight]]</f>
        <v>0.28128230136423721</v>
      </c>
      <c r="AM166" s="26" t="str">
        <f>INDEX(Parametria!G:G,MATCH(Tabla_Consulta_desde_Reporte_de_Valorización_de_Instrumentos[[#This Row],[CODIGO_SBS]],Parametria!C:C,0))</f>
        <v>30RVL</v>
      </c>
      <c r="AN166" s="26" t="str">
        <f>INDEX(Parametria!F:F,MATCH(Tabla_Consulta_desde_Reporte_de_Valorización_de_Instrumentos[[#This Row],[CODIGO_SBS]],Parametria!C:C,0))</f>
        <v>BU</v>
      </c>
      <c r="AO166" s="26" t="str">
        <f>+INDEX(Parametria!J:J,MATCH(Tabla_Consulta_desde_Reporte_de_Valorización_de_Instrumentos[[#This Row],[CODIGO_SBS]],Parametria!C:C,0))</f>
        <v>RVLBU</v>
      </c>
      <c r="AP166" s="26">
        <f>Tabla_Consulta_desde_Reporte_de_Valorización_de_Instrumentos[[#This Row],[Huella]]/$AU$4</f>
        <v>0.20371947144446068</v>
      </c>
      <c r="AQ166" s="26" t="str">
        <f>IFERROR(INDEX('BD(MSCI)'!W:W,MATCH(Tabla_Consulta_desde_Reporte_de_Valorización_de_Instrumentos[[#This Row],[CODIGO_ISIN]],'BD(MSCI)'!C:C,0)),IF(Tabla_Consulta_desde_Reporte_de_Valorización_de_Instrumentos[[#This Row],[Rank_rt]]="Cash","Cash","Cuestionario Integra"))</f>
        <v>Proxies</v>
      </c>
      <c r="AR166" s="26" t="str">
        <f>IFERROR(INDEX('BD(MSCI)'!X:X,MATCH(Tabla_Consulta_desde_Reporte_de_Valorización_de_Instrumentos[[#This Row],[CODIGO_ISIN]],'BD(MSCI)'!C:C,0)),"Cuestionario Integra")</f>
        <v>BU</v>
      </c>
      <c r="AU166" s="26"/>
    </row>
    <row r="167" spans="2:47" hidden="1" x14ac:dyDescent="0.25">
      <c r="B167" s="14" t="s">
        <v>6390</v>
      </c>
      <c r="C167" t="s">
        <v>422</v>
      </c>
      <c r="D167" t="s">
        <v>11</v>
      </c>
      <c r="E167" t="s">
        <v>423</v>
      </c>
      <c r="F167" t="s">
        <v>466</v>
      </c>
      <c r="G167" t="str">
        <f>INDEX(Parametria!H:H,MATCH(Tabla_Consulta_desde_Reporte_de_Valorización_de_Instrumentos[[#This Row],[CODIGO_SBS]],Parametria!C:C,0),1)</f>
        <v>Edelnor S.A.A.</v>
      </c>
      <c r="H167" t="s">
        <v>467</v>
      </c>
      <c r="I167" t="s">
        <v>468</v>
      </c>
      <c r="J167" t="s">
        <v>332</v>
      </c>
      <c r="K167" t="s">
        <v>90</v>
      </c>
      <c r="L167">
        <v>1</v>
      </c>
      <c r="M167" s="5">
        <v>1813811.9799184001</v>
      </c>
      <c r="N167">
        <v>1813811.9799184001</v>
      </c>
      <c r="O167">
        <v>1511642</v>
      </c>
      <c r="P167" s="15"/>
      <c r="R167">
        <v>1</v>
      </c>
      <c r="S167" t="s">
        <v>428</v>
      </c>
      <c r="T167">
        <v>1813811.9799184001</v>
      </c>
      <c r="U167" s="5">
        <v>1813811.9799184001</v>
      </c>
      <c r="V167" t="s">
        <v>333</v>
      </c>
      <c r="W167">
        <v>6803800000</v>
      </c>
      <c r="X167">
        <v>3267830000</v>
      </c>
      <c r="Y167">
        <v>3535970000</v>
      </c>
      <c r="Z167">
        <v>0</v>
      </c>
      <c r="AA167" t="str">
        <f>+MID(Tabla_Consulta_desde_Reporte_de_Valorización_de_Instrumentos[[#This Row],[CODIGO_SBS]],7,1)</f>
        <v>1</v>
      </c>
      <c r="AB167">
        <f>INDEX('Cálculo Caja'!F:F,MATCH(Tabla_Consulta_desde_Reporte_de_Valorización_de_Instrumentos[[#This Row],[PORTAFOLIO]],'Cálculo Caja'!A:A,0),1)</f>
        <v>3164069580.822104</v>
      </c>
      <c r="AC167" s="17">
        <f>Tabla_Consulta_desde_Reporte_de_Valorización_de_Instrumentos[[#This Row],[VALOR_VECTOR_LOCAL]]/Tabla_Consulta_desde_Reporte_de_Valorización_de_Instrumentos[[#This Row],[Patrimonio]]</f>
        <v>5.7325287373962449E-4</v>
      </c>
      <c r="AD167" s="4">
        <f>(Tabla_Consulta_desde_Reporte_de_Valorización_de_Instrumentos[[#This Row],[VALOR_VECTOR_LOCAL]]/INDEX('Tipo de Cambio'!$D:$D,MATCH("2",'Tipo de Cambio'!$E:$E,0),1))/1000000</f>
        <v>0.53968043676348598</v>
      </c>
      <c r="AE167">
        <f>IF(Tabla_Consulta_desde_Reporte_de_Valorización_de_Instrumentos[[#This Row],[PORTAFOLIO]]="IN-FONDO0",Tabla_Consulta_desde_Reporte_de_Valorización_de_Instrumentos[[#This Row],[Inv MM$]],0)</f>
        <v>0</v>
      </c>
      <c r="AF167" s="26">
        <f>IF(Tabla_Consulta_desde_Reporte_de_Valorización_de_Instrumentos[[#This Row],[PORTAFOLIO]]="IN-FONDO1",Tabla_Consulta_desde_Reporte_de_Valorización_de_Instrumentos[[#This Row],[Inv MM$]],0)</f>
        <v>0</v>
      </c>
      <c r="AG167" s="26">
        <f>IF(Tabla_Consulta_desde_Reporte_de_Valorización_de_Instrumentos[[#This Row],[PORTAFOLIO]]="IN-FONDO2",Tabla_Consulta_desde_Reporte_de_Valorización_de_Instrumentos[[#This Row],[Inv MM$]],0)</f>
        <v>0</v>
      </c>
      <c r="AH167" s="26">
        <f>IF(Tabla_Consulta_desde_Reporte_de_Valorización_de_Instrumentos[[#This Row],[PORTAFOLIO]]="IN-FONDO3",Tabla_Consulta_desde_Reporte_de_Valorización_de_Instrumentos[[#This Row],[Inv MM$]],0)</f>
        <v>0.53968043676348598</v>
      </c>
      <c r="AI16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8.6202650393892117</v>
      </c>
      <c r="AJ167" s="26">
        <f>IFERROR(IFERROR(INDEX('BD(MSCI)'!$T:$T,MATCH(Tabla_Consulta_desde_Reporte_de_Valorización_de_Instrumentos[[#This Row],[CODIGO_ISIN]],'BD(MSCI)'!$C:$C,0),1),INDEX('BD(MSCI)'!$T:$T,MATCH(Tabla_Consulta_desde_Reporte_de_Valorización_de_Instrumentos[[#This Row],[CODIGO_SBS]],'BD(MSCI)'!$C:$C,0),1)),0)</f>
        <v>295.20288226000002</v>
      </c>
      <c r="AK167" s="26">
        <f>Tabla_Consulta_desde_Reporte_de_Valorización_de_Instrumentos[[#This Row],[C02-H]]*Tabla_Consulta_desde_Reporte_de_Valorización_de_Instrumentos[[#This Row],[Inv MM$]]</f>
        <v>159.31522043191674</v>
      </c>
      <c r="AL167" s="26">
        <f>Tabla_Consulta_desde_Reporte_de_Valorización_de_Instrumentos[[#This Row],[C02-H]]*Tabla_Consulta_desde_Reporte_de_Valorización_de_Instrumentos[[#This Row],[Weight]]</f>
        <v>0.16922590059176504</v>
      </c>
      <c r="AM167" s="26" t="str">
        <f>INDEX(Parametria!G:G,MATCH(Tabla_Consulta_desde_Reporte_de_Valorización_de_Instrumentos[[#This Row],[CODIGO_SBS]],Parametria!C:C,0))</f>
        <v>30RVL</v>
      </c>
      <c r="AN167" s="26" t="str">
        <f>INDEX(Parametria!F:F,MATCH(Tabla_Consulta_desde_Reporte_de_Valorización_de_Instrumentos[[#This Row],[CODIGO_SBS]],Parametria!C:C,0))</f>
        <v>BU</v>
      </c>
      <c r="AO167" s="26" t="str">
        <f>+INDEX(Parametria!J:J,MATCH(Tabla_Consulta_desde_Reporte_de_Valorización_de_Instrumentos[[#This Row],[CODIGO_SBS]],Parametria!C:C,0))</f>
        <v>RVLBU</v>
      </c>
      <c r="AP167" s="26">
        <f>Tabla_Consulta_desde_Reporte_de_Valorización_de_Instrumentos[[#This Row],[Huella]]/$AU$4</f>
        <v>1.4769281637271229E-2</v>
      </c>
      <c r="AQ167" s="26" t="str">
        <f>IFERROR(INDEX('BD(MSCI)'!W:W,MATCH(Tabla_Consulta_desde_Reporte_de_Valorización_de_Instrumentos[[#This Row],[CODIGO_ISIN]],'BD(MSCI)'!C:C,0)),IF(Tabla_Consulta_desde_Reporte_de_Valorización_de_Instrumentos[[#This Row],[Rank_rt]]="Cash","Cash","Cuestionario Integra"))</f>
        <v>Proxies</v>
      </c>
      <c r="AR167" s="26" t="str">
        <f>IFERROR(INDEX('BD(MSCI)'!X:X,MATCH(Tabla_Consulta_desde_Reporte_de_Valorización_de_Instrumentos[[#This Row],[CODIGO_ISIN]],'BD(MSCI)'!C:C,0)),"Cuestionario Integra")</f>
        <v>BU</v>
      </c>
      <c r="AU167" s="26"/>
    </row>
    <row r="168" spans="2:47" hidden="1" x14ac:dyDescent="0.25">
      <c r="B168" s="14" t="s">
        <v>6390</v>
      </c>
      <c r="C168" t="s">
        <v>422</v>
      </c>
      <c r="D168" t="s">
        <v>12</v>
      </c>
      <c r="E168" t="s">
        <v>423</v>
      </c>
      <c r="F168" t="s">
        <v>466</v>
      </c>
      <c r="G168" t="str">
        <f>INDEX(Parametria!H:H,MATCH(Tabla_Consulta_desde_Reporte_de_Valorización_de_Instrumentos[[#This Row],[CODIGO_SBS]],Parametria!C:C,0),1)</f>
        <v>Edelnor S.A.A.</v>
      </c>
      <c r="H168" t="s">
        <v>467</v>
      </c>
      <c r="I168" t="s">
        <v>468</v>
      </c>
      <c r="J168" t="s">
        <v>332</v>
      </c>
      <c r="K168" t="s">
        <v>90</v>
      </c>
      <c r="L168">
        <v>1</v>
      </c>
      <c r="M168" s="5">
        <v>2139296.7517655999</v>
      </c>
      <c r="N168">
        <v>2139296.7517655999</v>
      </c>
      <c r="O168">
        <v>1782903</v>
      </c>
      <c r="P168" s="15"/>
      <c r="R168">
        <v>1</v>
      </c>
      <c r="S168" t="s">
        <v>428</v>
      </c>
      <c r="T168">
        <v>2139296.7517655999</v>
      </c>
      <c r="U168" s="5">
        <v>2139296.7517655999</v>
      </c>
      <c r="V168" t="s">
        <v>333</v>
      </c>
      <c r="W168">
        <v>6803800000</v>
      </c>
      <c r="X168">
        <v>3267830000</v>
      </c>
      <c r="Y168">
        <v>3535970000</v>
      </c>
      <c r="Z168">
        <v>0</v>
      </c>
      <c r="AA168" t="str">
        <f>+MID(Tabla_Consulta_desde_Reporte_de_Valorización_de_Instrumentos[[#This Row],[CODIGO_SBS]],7,1)</f>
        <v>1</v>
      </c>
      <c r="AB168">
        <f>INDEX('Cálculo Caja'!F:F,MATCH(Tabla_Consulta_desde_Reporte_de_Valorización_de_Instrumentos[[#This Row],[PORTAFOLIO]],'Cálculo Caja'!A:A,0),1)</f>
        <v>7679510866.0565634</v>
      </c>
      <c r="AC168" s="17">
        <f>Tabla_Consulta_desde_Reporte_de_Valorización_de_Instrumentos[[#This Row],[VALOR_VECTOR_LOCAL]]/Tabla_Consulta_desde_Reporte_de_Valorización_de_Instrumentos[[#This Row],[Patrimonio]]</f>
        <v>2.7857200661324553E-4</v>
      </c>
      <c r="AD168" s="4">
        <f>(Tabla_Consulta_desde_Reporte_de_Valorización_de_Instrumentos[[#This Row],[VALOR_VECTOR_LOCAL]]/INDEX('Tipo de Cambio'!$D:$D,MATCH("2",'Tipo de Cambio'!$E:$E,0),1))/1000000</f>
        <v>0.63652496407676507</v>
      </c>
      <c r="AE168">
        <f>IF(Tabla_Consulta_desde_Reporte_de_Valorización_de_Instrumentos[[#This Row],[PORTAFOLIO]]="IN-FONDO0",Tabla_Consulta_desde_Reporte_de_Valorización_de_Instrumentos[[#This Row],[Inv MM$]],0)</f>
        <v>0</v>
      </c>
      <c r="AF168" s="26">
        <f>IF(Tabla_Consulta_desde_Reporte_de_Valorización_de_Instrumentos[[#This Row],[PORTAFOLIO]]="IN-FONDO1",Tabla_Consulta_desde_Reporte_de_Valorización_de_Instrumentos[[#This Row],[Inv MM$]],0)</f>
        <v>0.63652496407676507</v>
      </c>
      <c r="AG168" s="26">
        <f>IF(Tabla_Consulta_desde_Reporte_de_Valorización_de_Instrumentos[[#This Row],[PORTAFOLIO]]="IN-FONDO2",Tabla_Consulta_desde_Reporte_de_Valorización_de_Instrumentos[[#This Row],[Inv MM$]],0)</f>
        <v>0</v>
      </c>
      <c r="AH168" s="26">
        <f>IF(Tabla_Consulta_desde_Reporte_de_Valorización_de_Instrumentos[[#This Row],[PORTAFOLIO]]="IN-FONDO3",Tabla_Consulta_desde_Reporte_de_Valorización_de_Instrumentos[[#This Row],[Inv MM$]],0)</f>
        <v>0</v>
      </c>
      <c r="AI16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8.6202650393892117</v>
      </c>
      <c r="AJ168" s="26">
        <f>IFERROR(IFERROR(INDEX('BD(MSCI)'!$T:$T,MATCH(Tabla_Consulta_desde_Reporte_de_Valorización_de_Instrumentos[[#This Row],[CODIGO_ISIN]],'BD(MSCI)'!$C:$C,0),1),INDEX('BD(MSCI)'!$T:$T,MATCH(Tabla_Consulta_desde_Reporte_de_Valorización_de_Instrumentos[[#This Row],[CODIGO_SBS]],'BD(MSCI)'!$C:$C,0),1)),0)</f>
        <v>295.20288226000002</v>
      </c>
      <c r="AK168" s="26">
        <f>Tabla_Consulta_desde_Reporte_de_Valorización_de_Instrumentos[[#This Row],[C02-H]]*Tabla_Consulta_desde_Reporte_de_Valorización_de_Instrumentos[[#This Row],[Inv MM$]]</f>
        <v>187.90400402590402</v>
      </c>
      <c r="AL168" s="26">
        <f>Tabla_Consulta_desde_Reporte_de_Valorización_de_Instrumentos[[#This Row],[C02-H]]*Tabla_Consulta_desde_Reporte_de_Valorización_de_Instrumentos[[#This Row],[Weight]]</f>
        <v>8.2235259269181862E-2</v>
      </c>
      <c r="AM168" s="26" t="str">
        <f>INDEX(Parametria!G:G,MATCH(Tabla_Consulta_desde_Reporte_de_Valorización_de_Instrumentos[[#This Row],[CODIGO_SBS]],Parametria!C:C,0))</f>
        <v>30RVL</v>
      </c>
      <c r="AN168" s="26" t="str">
        <f>INDEX(Parametria!F:F,MATCH(Tabla_Consulta_desde_Reporte_de_Valorización_de_Instrumentos[[#This Row],[CODIGO_SBS]],Parametria!C:C,0))</f>
        <v>BU</v>
      </c>
      <c r="AO168" s="26" t="str">
        <f>+INDEX(Parametria!J:J,MATCH(Tabla_Consulta_desde_Reporte_de_Valorización_de_Instrumentos[[#This Row],[CODIGO_SBS]],Parametria!C:C,0))</f>
        <v>RVLBU</v>
      </c>
      <c r="AP168" s="26">
        <f>Tabla_Consulta_desde_Reporte_de_Valorización_de_Instrumentos[[#This Row],[Huella]]/$AU$4</f>
        <v>1.7419598383040285E-2</v>
      </c>
      <c r="AQ168" s="26" t="str">
        <f>IFERROR(INDEX('BD(MSCI)'!W:W,MATCH(Tabla_Consulta_desde_Reporte_de_Valorización_de_Instrumentos[[#This Row],[CODIGO_ISIN]],'BD(MSCI)'!C:C,0)),IF(Tabla_Consulta_desde_Reporte_de_Valorización_de_Instrumentos[[#This Row],[Rank_rt]]="Cash","Cash","Cuestionario Integra"))</f>
        <v>Proxies</v>
      </c>
      <c r="AR168" s="26" t="str">
        <f>IFERROR(INDEX('BD(MSCI)'!X:X,MATCH(Tabla_Consulta_desde_Reporte_de_Valorización_de_Instrumentos[[#This Row],[CODIGO_ISIN]],'BD(MSCI)'!C:C,0)),"Cuestionario Integra")</f>
        <v>BU</v>
      </c>
      <c r="AU168" s="26"/>
    </row>
    <row r="169" spans="2:47" hidden="1" x14ac:dyDescent="0.25">
      <c r="B169" s="14" t="s">
        <v>6390</v>
      </c>
      <c r="C169" t="s">
        <v>422</v>
      </c>
      <c r="D169" t="s">
        <v>12</v>
      </c>
      <c r="E169" t="s">
        <v>423</v>
      </c>
      <c r="F169" t="s">
        <v>469</v>
      </c>
      <c r="G169" t="str">
        <f>INDEX(Parametria!H:H,MATCH(Tabla_Consulta_desde_Reporte_de_Valorización_de_Instrumentos[[#This Row],[CODIGO_SBS]],Parametria!C:C,0),1)</f>
        <v>Energía del Sur S.A.</v>
      </c>
      <c r="H169" t="s">
        <v>470</v>
      </c>
      <c r="I169" t="s">
        <v>471</v>
      </c>
      <c r="J169" t="s">
        <v>337</v>
      </c>
      <c r="K169" t="s">
        <v>90</v>
      </c>
      <c r="L169">
        <v>1</v>
      </c>
      <c r="M169" s="5">
        <v>11479549.081369</v>
      </c>
      <c r="N169">
        <v>11479549.081369</v>
      </c>
      <c r="O169">
        <v>2744470</v>
      </c>
      <c r="P169" s="15"/>
      <c r="R169">
        <v>1</v>
      </c>
      <c r="S169" t="s">
        <v>428</v>
      </c>
      <c r="T169">
        <v>11269229.092941999</v>
      </c>
      <c r="U169" s="5">
        <v>11269229.092941999</v>
      </c>
      <c r="V169" t="s">
        <v>338</v>
      </c>
      <c r="W169">
        <v>2350760000</v>
      </c>
      <c r="X169">
        <v>1139686000</v>
      </c>
      <c r="Y169">
        <v>1211074000</v>
      </c>
      <c r="Z169">
        <v>7.6634099999999997E-2</v>
      </c>
      <c r="AA169" t="str">
        <f>+MID(Tabla_Consulta_desde_Reporte_de_Valorización_de_Instrumentos[[#This Row],[CODIGO_SBS]],7,1)</f>
        <v>1</v>
      </c>
      <c r="AB169">
        <f>INDEX('Cálculo Caja'!F:F,MATCH(Tabla_Consulta_desde_Reporte_de_Valorización_de_Instrumentos[[#This Row],[PORTAFOLIO]],'Cálculo Caja'!A:A,0),1)</f>
        <v>7679510866.0565634</v>
      </c>
      <c r="AC169" s="17">
        <f>Tabla_Consulta_desde_Reporte_de_Valorización_de_Instrumentos[[#This Row],[VALOR_VECTOR_LOCAL]]/Tabla_Consulta_desde_Reporte_de_Valorización_de_Instrumentos[[#This Row],[Patrimonio]]</f>
        <v>1.4948281578854982E-3</v>
      </c>
      <c r="AD169" s="4">
        <f>(Tabla_Consulta_desde_Reporte_de_Valorización_de_Instrumentos[[#This Row],[VALOR_VECTOR_LOCAL]]/INDEX('Tipo de Cambio'!$D:$D,MATCH("2",'Tipo de Cambio'!$E:$E,0),1))/1000000</f>
        <v>3.4156175671305302</v>
      </c>
      <c r="AE169">
        <f>IF(Tabla_Consulta_desde_Reporte_de_Valorización_de_Instrumentos[[#This Row],[PORTAFOLIO]]="IN-FONDO0",Tabla_Consulta_desde_Reporte_de_Valorización_de_Instrumentos[[#This Row],[Inv MM$]],0)</f>
        <v>0</v>
      </c>
      <c r="AF169" s="26">
        <f>IF(Tabla_Consulta_desde_Reporte_de_Valorización_de_Instrumentos[[#This Row],[PORTAFOLIO]]="IN-FONDO1",Tabla_Consulta_desde_Reporte_de_Valorización_de_Instrumentos[[#This Row],[Inv MM$]],0)</f>
        <v>3.4156175671305302</v>
      </c>
      <c r="AG169" s="26">
        <f>IF(Tabla_Consulta_desde_Reporte_de_Valorización_de_Instrumentos[[#This Row],[PORTAFOLIO]]="IN-FONDO2",Tabla_Consulta_desde_Reporte_de_Valorización_de_Instrumentos[[#This Row],[Inv MM$]],0)</f>
        <v>0</v>
      </c>
      <c r="AH169" s="26">
        <f>IF(Tabla_Consulta_desde_Reporte_de_Valorización_de_Instrumentos[[#This Row],[PORTAFOLIO]]="IN-FONDO3",Tabla_Consulta_desde_Reporte_de_Valorización_de_Instrumentos[[#This Row],[Inv MM$]],0)</f>
        <v>0</v>
      </c>
      <c r="AI16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65.55503731960745</v>
      </c>
      <c r="AJ169" s="26">
        <f>IFERROR(IFERROR(INDEX('BD(MSCI)'!$T:$T,MATCH(Tabla_Consulta_desde_Reporte_de_Valorización_de_Instrumentos[[#This Row],[CODIGO_ISIN]],'BD(MSCI)'!$C:$C,0),1),INDEX('BD(MSCI)'!$T:$T,MATCH(Tabla_Consulta_desde_Reporte_de_Valorización_de_Instrumentos[[#This Row],[CODIGO_SBS]],'BD(MSCI)'!$C:$C,0),1)),0)</f>
        <v>295.20288226000002</v>
      </c>
      <c r="AK169" s="26">
        <f>Tabla_Consulta_desde_Reporte_de_Valorización_de_Instrumentos[[#This Row],[C02-H]]*Tabla_Consulta_desde_Reporte_de_Valorización_de_Instrumentos[[#This Row],[Inv MM$]]</f>
        <v>1008.3001505148217</v>
      </c>
      <c r="AL169" s="26">
        <f>Tabla_Consulta_desde_Reporte_de_Valorización_de_Instrumentos[[#This Row],[C02-H]]*Tabla_Consulta_desde_Reporte_de_Valorización_de_Instrumentos[[#This Row],[Weight]]</f>
        <v>0.44127758069120543</v>
      </c>
      <c r="AM169" s="26" t="str">
        <f>INDEX(Parametria!G:G,MATCH(Tabla_Consulta_desde_Reporte_de_Valorización_de_Instrumentos[[#This Row],[CODIGO_SBS]],Parametria!C:C,0))</f>
        <v>30RVL</v>
      </c>
      <c r="AN169" s="26" t="str">
        <f>INDEX(Parametria!F:F,MATCH(Tabla_Consulta_desde_Reporte_de_Valorización_de_Instrumentos[[#This Row],[CODIGO_SBS]],Parametria!C:C,0))</f>
        <v>BU</v>
      </c>
      <c r="AO169" s="26" t="str">
        <f>+INDEX(Parametria!J:J,MATCH(Tabla_Consulta_desde_Reporte_de_Valorización_de_Instrumentos[[#This Row],[CODIGO_SBS]],Parametria!C:C,0))</f>
        <v>RVLBU</v>
      </c>
      <c r="AP169" s="26">
        <f>Tabla_Consulta_desde_Reporte_de_Valorización_de_Instrumentos[[#This Row],[Huella]]/$AU$4</f>
        <v>9.3474238415408667E-2</v>
      </c>
      <c r="AQ169" s="26" t="str">
        <f>IFERROR(INDEX('BD(MSCI)'!W:W,MATCH(Tabla_Consulta_desde_Reporte_de_Valorización_de_Instrumentos[[#This Row],[CODIGO_ISIN]],'BD(MSCI)'!C:C,0)),IF(Tabla_Consulta_desde_Reporte_de_Valorización_de_Instrumentos[[#This Row],[Rank_rt]]="Cash","Cash","Cuestionario Integra"))</f>
        <v>Proxies</v>
      </c>
      <c r="AR169" s="26" t="str">
        <f>IFERROR(INDEX('BD(MSCI)'!X:X,MATCH(Tabla_Consulta_desde_Reporte_de_Valorización_de_Instrumentos[[#This Row],[CODIGO_ISIN]],'BD(MSCI)'!C:C,0)),"Cuestionario Integra")</f>
        <v>BU</v>
      </c>
      <c r="AU169" s="26"/>
    </row>
    <row r="170" spans="2:47" hidden="1" x14ac:dyDescent="0.25">
      <c r="B170" s="14" t="s">
        <v>6390</v>
      </c>
      <c r="C170" t="s">
        <v>422</v>
      </c>
      <c r="D170" t="s">
        <v>11</v>
      </c>
      <c r="E170" t="s">
        <v>423</v>
      </c>
      <c r="F170" t="s">
        <v>469</v>
      </c>
      <c r="G170" t="str">
        <f>INDEX(Parametria!H:H,MATCH(Tabla_Consulta_desde_Reporte_de_Valorización_de_Instrumentos[[#This Row],[CODIGO_SBS]],Parametria!C:C,0),1)</f>
        <v>Energía del Sur S.A.</v>
      </c>
      <c r="H170" t="s">
        <v>470</v>
      </c>
      <c r="I170" t="s">
        <v>471</v>
      </c>
      <c r="J170" t="s">
        <v>337</v>
      </c>
      <c r="K170" t="s">
        <v>90</v>
      </c>
      <c r="L170">
        <v>1</v>
      </c>
      <c r="M170" s="5">
        <v>30756764.883895501</v>
      </c>
      <c r="N170">
        <v>30756764.883895501</v>
      </c>
      <c r="O170">
        <v>7353165</v>
      </c>
      <c r="P170" s="15"/>
      <c r="R170">
        <v>1</v>
      </c>
      <c r="S170" t="s">
        <v>428</v>
      </c>
      <c r="T170">
        <v>30193261.701969001</v>
      </c>
      <c r="U170" s="5">
        <v>30193261.701969001</v>
      </c>
      <c r="V170" t="s">
        <v>338</v>
      </c>
      <c r="W170">
        <v>2350760000</v>
      </c>
      <c r="X170">
        <v>1139686000</v>
      </c>
      <c r="Y170">
        <v>1211074000</v>
      </c>
      <c r="Z170">
        <v>7.6634099999999997E-2</v>
      </c>
      <c r="AA170" t="str">
        <f>+MID(Tabla_Consulta_desde_Reporte_de_Valorización_de_Instrumentos[[#This Row],[CODIGO_SBS]],7,1)</f>
        <v>1</v>
      </c>
      <c r="AB170">
        <f>INDEX('Cálculo Caja'!F:F,MATCH(Tabla_Consulta_desde_Reporte_de_Valorización_de_Instrumentos[[#This Row],[PORTAFOLIO]],'Cálculo Caja'!A:A,0),1)</f>
        <v>3164069580.822104</v>
      </c>
      <c r="AC170" s="17">
        <f>Tabla_Consulta_desde_Reporte_de_Valorización_de_Instrumentos[[#This Row],[VALOR_VECTOR_LOCAL]]/Tabla_Consulta_desde_Reporte_de_Valorización_de_Instrumentos[[#This Row],[Patrimonio]]</f>
        <v>9.7206348021917164E-3</v>
      </c>
      <c r="AD170" s="4">
        <f>(Tabla_Consulta_desde_Reporte_de_Valorización_de_Instrumentos[[#This Row],[VALOR_VECTOR_LOCAL]]/INDEX('Tipo de Cambio'!$D:$D,MATCH("2",'Tipo de Cambio'!$E:$E,0),1))/1000000</f>
        <v>9.1513478187079347</v>
      </c>
      <c r="AE170">
        <f>IF(Tabla_Consulta_desde_Reporte_de_Valorización_de_Instrumentos[[#This Row],[PORTAFOLIO]]="IN-FONDO0",Tabla_Consulta_desde_Reporte_de_Valorización_de_Instrumentos[[#This Row],[Inv MM$]],0)</f>
        <v>0</v>
      </c>
      <c r="AF170" s="26">
        <f>IF(Tabla_Consulta_desde_Reporte_de_Valorización_de_Instrumentos[[#This Row],[PORTAFOLIO]]="IN-FONDO1",Tabla_Consulta_desde_Reporte_de_Valorización_de_Instrumentos[[#This Row],[Inv MM$]],0)</f>
        <v>0</v>
      </c>
      <c r="AG170" s="26">
        <f>IF(Tabla_Consulta_desde_Reporte_de_Valorización_de_Instrumentos[[#This Row],[PORTAFOLIO]]="IN-FONDO2",Tabla_Consulta_desde_Reporte_de_Valorización_de_Instrumentos[[#This Row],[Inv MM$]],0)</f>
        <v>0</v>
      </c>
      <c r="AH170" s="26">
        <f>IF(Tabla_Consulta_desde_Reporte_de_Valorización_de_Instrumentos[[#This Row],[PORTAFOLIO]]="IN-FONDO3",Tabla_Consulta_desde_Reporte_de_Valorización_de_Instrumentos[[#This Row],[Inv MM$]],0)</f>
        <v>9.1513478187079347</v>
      </c>
      <c r="AI17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65.55503731960745</v>
      </c>
      <c r="AJ170" s="26">
        <f>IFERROR(IFERROR(INDEX('BD(MSCI)'!$T:$T,MATCH(Tabla_Consulta_desde_Reporte_de_Valorización_de_Instrumentos[[#This Row],[CODIGO_ISIN]],'BD(MSCI)'!$C:$C,0),1),INDEX('BD(MSCI)'!$T:$T,MATCH(Tabla_Consulta_desde_Reporte_de_Valorización_de_Instrumentos[[#This Row],[CODIGO_SBS]],'BD(MSCI)'!$C:$C,0),1)),0)</f>
        <v>295.20288226000002</v>
      </c>
      <c r="AK170" s="26">
        <f>Tabla_Consulta_desde_Reporte_de_Valorización_de_Instrumentos[[#This Row],[C02-H]]*Tabla_Consulta_desde_Reporte_de_Valorización_de_Instrumentos[[#This Row],[Inv MM$]]</f>
        <v>2701.5042526463467</v>
      </c>
      <c r="AL170" s="26">
        <f>Tabla_Consulta_desde_Reporte_de_Valorización_de_Instrumentos[[#This Row],[C02-H]]*Tabla_Consulta_desde_Reporte_de_Valorización_de_Instrumentos[[#This Row],[Weight]]</f>
        <v>2.86955941100386</v>
      </c>
      <c r="AM170" s="26" t="str">
        <f>INDEX(Parametria!G:G,MATCH(Tabla_Consulta_desde_Reporte_de_Valorización_de_Instrumentos[[#This Row],[CODIGO_SBS]],Parametria!C:C,0))</f>
        <v>30RVL</v>
      </c>
      <c r="AN170" s="26" t="str">
        <f>INDEX(Parametria!F:F,MATCH(Tabla_Consulta_desde_Reporte_de_Valorización_de_Instrumentos[[#This Row],[CODIGO_SBS]],Parametria!C:C,0))</f>
        <v>BU</v>
      </c>
      <c r="AO170" s="26" t="str">
        <f>+INDEX(Parametria!J:J,MATCH(Tabla_Consulta_desde_Reporte_de_Valorización_de_Instrumentos[[#This Row],[CODIGO_SBS]],Parametria!C:C,0))</f>
        <v>RVLBU</v>
      </c>
      <c r="AP170" s="26">
        <f>Tabla_Consulta_desde_Reporte_de_Valorización_de_Instrumentos[[#This Row],[Huella]]/$AU$4</f>
        <v>0.25044234344621674</v>
      </c>
      <c r="AQ170" s="26" t="str">
        <f>IFERROR(INDEX('BD(MSCI)'!W:W,MATCH(Tabla_Consulta_desde_Reporte_de_Valorización_de_Instrumentos[[#This Row],[CODIGO_ISIN]],'BD(MSCI)'!C:C,0)),IF(Tabla_Consulta_desde_Reporte_de_Valorización_de_Instrumentos[[#This Row],[Rank_rt]]="Cash","Cash","Cuestionario Integra"))</f>
        <v>Proxies</v>
      </c>
      <c r="AR170" s="26" t="str">
        <f>IFERROR(INDEX('BD(MSCI)'!X:X,MATCH(Tabla_Consulta_desde_Reporte_de_Valorización_de_Instrumentos[[#This Row],[CODIGO_ISIN]],'BD(MSCI)'!C:C,0)),"Cuestionario Integra")</f>
        <v>BU</v>
      </c>
      <c r="AU170" s="26"/>
    </row>
    <row r="171" spans="2:47" hidden="1" x14ac:dyDescent="0.25">
      <c r="B171" s="14" t="s">
        <v>6390</v>
      </c>
      <c r="C171" t="s">
        <v>422</v>
      </c>
      <c r="D171" t="s">
        <v>10</v>
      </c>
      <c r="E171" t="s">
        <v>423</v>
      </c>
      <c r="F171" t="s">
        <v>469</v>
      </c>
      <c r="G171" t="str">
        <f>INDEX(Parametria!H:H,MATCH(Tabla_Consulta_desde_Reporte_de_Valorización_de_Instrumentos[[#This Row],[CODIGO_SBS]],Parametria!C:C,0),1)</f>
        <v>Energía del Sur S.A.</v>
      </c>
      <c r="H171" t="s">
        <v>470</v>
      </c>
      <c r="I171" t="s">
        <v>471</v>
      </c>
      <c r="J171" t="s">
        <v>337</v>
      </c>
      <c r="K171" t="s">
        <v>90</v>
      </c>
      <c r="L171">
        <v>1</v>
      </c>
      <c r="M171" s="5">
        <v>178087610.96220419</v>
      </c>
      <c r="N171">
        <v>178087610.96220419</v>
      </c>
      <c r="O171">
        <v>42576246</v>
      </c>
      <c r="P171" s="15"/>
      <c r="R171">
        <v>1</v>
      </c>
      <c r="S171" t="s">
        <v>428</v>
      </c>
      <c r="T171">
        <v>174824818.66861561</v>
      </c>
      <c r="U171" s="5">
        <v>174824818.66861561</v>
      </c>
      <c r="V171" t="s">
        <v>338</v>
      </c>
      <c r="W171">
        <v>2350760000</v>
      </c>
      <c r="X171">
        <v>1139686000</v>
      </c>
      <c r="Y171">
        <v>1211074000</v>
      </c>
      <c r="Z171">
        <v>7.6634099999999997E-2</v>
      </c>
      <c r="AA171" t="str">
        <f>+MID(Tabla_Consulta_desde_Reporte_de_Valorización_de_Instrumentos[[#This Row],[CODIGO_SBS]],7,1)</f>
        <v>1</v>
      </c>
      <c r="AB171">
        <f>INDEX('Cálculo Caja'!F:F,MATCH(Tabla_Consulta_desde_Reporte_de_Valorización_de_Instrumentos[[#This Row],[PORTAFOLIO]],'Cálculo Caja'!A:A,0),1)</f>
        <v>26256910350.436607</v>
      </c>
      <c r="AC171" s="17">
        <f>Tabla_Consulta_desde_Reporte_de_Valorización_de_Instrumentos[[#This Row],[VALOR_VECTOR_LOCAL]]/Tabla_Consulta_desde_Reporte_de_Valorización_de_Instrumentos[[#This Row],[Patrimonio]]</f>
        <v>6.7825044373220744E-3</v>
      </c>
      <c r="AD171" s="4">
        <f>(Tabla_Consulta_desde_Reporte_de_Valorización_de_Instrumentos[[#This Row],[VALOR_VECTOR_LOCAL]]/INDEX('Tipo de Cambio'!$D:$D,MATCH("2",'Tipo de Cambio'!$E:$E,0),1))/1000000</f>
        <v>52.988071933768985</v>
      </c>
      <c r="AE171">
        <f>IF(Tabla_Consulta_desde_Reporte_de_Valorización_de_Instrumentos[[#This Row],[PORTAFOLIO]]="IN-FONDO0",Tabla_Consulta_desde_Reporte_de_Valorización_de_Instrumentos[[#This Row],[Inv MM$]],0)</f>
        <v>0</v>
      </c>
      <c r="AF171" s="26">
        <f>IF(Tabla_Consulta_desde_Reporte_de_Valorización_de_Instrumentos[[#This Row],[PORTAFOLIO]]="IN-FONDO1",Tabla_Consulta_desde_Reporte_de_Valorización_de_Instrumentos[[#This Row],[Inv MM$]],0)</f>
        <v>0</v>
      </c>
      <c r="AG171" s="26">
        <f>IF(Tabla_Consulta_desde_Reporte_de_Valorización_de_Instrumentos[[#This Row],[PORTAFOLIO]]="IN-FONDO2",Tabla_Consulta_desde_Reporte_de_Valorización_de_Instrumentos[[#This Row],[Inv MM$]],0)</f>
        <v>52.988071933768985</v>
      </c>
      <c r="AH171" s="26">
        <f>IF(Tabla_Consulta_desde_Reporte_de_Valorización_de_Instrumentos[[#This Row],[PORTAFOLIO]]="IN-FONDO3",Tabla_Consulta_desde_Reporte_de_Valorización_de_Instrumentos[[#This Row],[Inv MM$]],0)</f>
        <v>0</v>
      </c>
      <c r="AI17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65.55503731960745</v>
      </c>
      <c r="AJ171" s="26">
        <f>IFERROR(IFERROR(INDEX('BD(MSCI)'!$T:$T,MATCH(Tabla_Consulta_desde_Reporte_de_Valorización_de_Instrumentos[[#This Row],[CODIGO_ISIN]],'BD(MSCI)'!$C:$C,0),1),INDEX('BD(MSCI)'!$T:$T,MATCH(Tabla_Consulta_desde_Reporte_de_Valorización_de_Instrumentos[[#This Row],[CODIGO_SBS]],'BD(MSCI)'!$C:$C,0),1)),0)</f>
        <v>295.20288226000002</v>
      </c>
      <c r="AK171" s="26">
        <f>Tabla_Consulta_desde_Reporte_de_Valorización_de_Instrumentos[[#This Row],[C02-H]]*Tabla_Consulta_desde_Reporte_de_Valorización_de_Instrumentos[[#This Row],[Inv MM$]]</f>
        <v>15642.231560248818</v>
      </c>
      <c r="AL171" s="26">
        <f>Tabla_Consulta_desde_Reporte_de_Valorización_de_Instrumentos[[#This Row],[C02-H]]*Tabla_Consulta_desde_Reporte_de_Valorización_de_Instrumentos[[#This Row],[Weight]]</f>
        <v>2.0022148588387161</v>
      </c>
      <c r="AM171" s="26" t="str">
        <f>INDEX(Parametria!G:G,MATCH(Tabla_Consulta_desde_Reporte_de_Valorización_de_Instrumentos[[#This Row],[CODIGO_SBS]],Parametria!C:C,0))</f>
        <v>30RVL</v>
      </c>
      <c r="AN171" s="26" t="str">
        <f>INDEX(Parametria!F:F,MATCH(Tabla_Consulta_desde_Reporte_de_Valorización_de_Instrumentos[[#This Row],[CODIGO_SBS]],Parametria!C:C,0))</f>
        <v>BU</v>
      </c>
      <c r="AO171" s="26" t="str">
        <f>+INDEX(Parametria!J:J,MATCH(Tabla_Consulta_desde_Reporte_de_Valorización_de_Instrumentos[[#This Row],[CODIGO_SBS]],Parametria!C:C,0))</f>
        <v>RVLBU</v>
      </c>
      <c r="AP171" s="26">
        <f>Tabla_Consulta_desde_Reporte_de_Valorización_de_Instrumentos[[#This Row],[Huella]]/$AU$4</f>
        <v>1.4501095546451919</v>
      </c>
      <c r="AQ171" s="26" t="str">
        <f>IFERROR(INDEX('BD(MSCI)'!W:W,MATCH(Tabla_Consulta_desde_Reporte_de_Valorización_de_Instrumentos[[#This Row],[CODIGO_ISIN]],'BD(MSCI)'!C:C,0)),IF(Tabla_Consulta_desde_Reporte_de_Valorización_de_Instrumentos[[#This Row],[Rank_rt]]="Cash","Cash","Cuestionario Integra"))</f>
        <v>Proxies</v>
      </c>
      <c r="AR171" s="26" t="str">
        <f>IFERROR(INDEX('BD(MSCI)'!X:X,MATCH(Tabla_Consulta_desde_Reporte_de_Valorización_de_Instrumentos[[#This Row],[CODIGO_ISIN]],'BD(MSCI)'!C:C,0)),"Cuestionario Integra")</f>
        <v>BU</v>
      </c>
      <c r="AU171" s="26"/>
    </row>
    <row r="172" spans="2:47" hidden="1" x14ac:dyDescent="0.25">
      <c r="B172" s="14" t="s">
        <v>6390</v>
      </c>
      <c r="C172" t="s">
        <v>422</v>
      </c>
      <c r="D172" t="s">
        <v>10</v>
      </c>
      <c r="E172" t="s">
        <v>423</v>
      </c>
      <c r="F172" t="s">
        <v>472</v>
      </c>
      <c r="G172" t="str">
        <f>INDEX(Parametria!H:H,MATCH(Tabla_Consulta_desde_Reporte_de_Valorización_de_Instrumentos[[#This Row],[CODIGO_SBS]],Parametria!C:C,0),1)</f>
        <v>Graña y Montero S.A.A.</v>
      </c>
      <c r="H172" t="s">
        <v>473</v>
      </c>
      <c r="I172" t="s">
        <v>474</v>
      </c>
      <c r="J172" t="s">
        <v>475</v>
      </c>
      <c r="K172" t="s">
        <v>90</v>
      </c>
      <c r="L172">
        <v>1</v>
      </c>
      <c r="M172" s="5">
        <v>22132282.7332476</v>
      </c>
      <c r="N172">
        <v>22132282.7332476</v>
      </c>
      <c r="O172">
        <v>67207682</v>
      </c>
      <c r="P172" s="15"/>
      <c r="R172">
        <v>1</v>
      </c>
      <c r="S172" t="s">
        <v>428</v>
      </c>
      <c r="T172">
        <v>22132282.7332476</v>
      </c>
      <c r="U172" s="5">
        <v>22132282.7332476</v>
      </c>
      <c r="V172" t="s">
        <v>260</v>
      </c>
      <c r="W172">
        <v>2661442000</v>
      </c>
      <c r="X172">
        <v>1470849000</v>
      </c>
      <c r="Y172">
        <v>1190593000</v>
      </c>
      <c r="Z172">
        <v>0</v>
      </c>
      <c r="AA172" t="str">
        <f>+MID(Tabla_Consulta_desde_Reporte_de_Valorización_de_Instrumentos[[#This Row],[CODIGO_SBS]],7,1)</f>
        <v>1</v>
      </c>
      <c r="AB172">
        <f>INDEX('Cálculo Caja'!F:F,MATCH(Tabla_Consulta_desde_Reporte_de_Valorización_de_Instrumentos[[#This Row],[PORTAFOLIO]],'Cálculo Caja'!A:A,0),1)</f>
        <v>26256910350.436607</v>
      </c>
      <c r="AC172" s="17">
        <f>Tabla_Consulta_desde_Reporte_de_Valorización_de_Instrumentos[[#This Row],[VALOR_VECTOR_LOCAL]]/Tabla_Consulta_desde_Reporte_de_Valorización_de_Instrumentos[[#This Row],[Patrimonio]]</f>
        <v>8.429126823323894E-4</v>
      </c>
      <c r="AD172" s="4">
        <f>(Tabla_Consulta_desde_Reporte_de_Valorización_de_Instrumentos[[#This Row],[VALOR_VECTOR_LOCAL]]/INDEX('Tipo de Cambio'!$D:$D,MATCH("2",'Tipo de Cambio'!$E:$E,0),1))/1000000</f>
        <v>6.5852250091486209</v>
      </c>
      <c r="AE172">
        <f>IF(Tabla_Consulta_desde_Reporte_de_Valorización_de_Instrumentos[[#This Row],[PORTAFOLIO]]="IN-FONDO0",Tabla_Consulta_desde_Reporte_de_Valorización_de_Instrumentos[[#This Row],[Inv MM$]],0)</f>
        <v>0</v>
      </c>
      <c r="AF172" s="26">
        <f>IF(Tabla_Consulta_desde_Reporte_de_Valorización_de_Instrumentos[[#This Row],[PORTAFOLIO]]="IN-FONDO1",Tabla_Consulta_desde_Reporte_de_Valorización_de_Instrumentos[[#This Row],[Inv MM$]],0)</f>
        <v>0</v>
      </c>
      <c r="AG172" s="26">
        <f>IF(Tabla_Consulta_desde_Reporte_de_Valorización_de_Instrumentos[[#This Row],[PORTAFOLIO]]="IN-FONDO2",Tabla_Consulta_desde_Reporte_de_Valorización_de_Instrumentos[[#This Row],[Inv MM$]],0)</f>
        <v>6.5852250091486209</v>
      </c>
      <c r="AH172" s="26">
        <f>IF(Tabla_Consulta_desde_Reporte_de_Valorización_de_Instrumentos[[#This Row],[PORTAFOLIO]]="IN-FONDO3",Tabla_Consulta_desde_Reporte_de_Valorización_de_Instrumentos[[#This Row],[Inv MM$]],0)</f>
        <v>0</v>
      </c>
      <c r="AI17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17.572722965478889</v>
      </c>
      <c r="AJ172" s="26">
        <f>IFERROR(IFERROR(INDEX('BD(MSCI)'!$T:$T,MATCH(Tabla_Consulta_desde_Reporte_de_Valorización_de_Instrumentos[[#This Row],[CODIGO_ISIN]],'BD(MSCI)'!$C:$C,0),1),INDEX('BD(MSCI)'!$T:$T,MATCH(Tabla_Consulta_desde_Reporte_de_Valorización_de_Instrumentos[[#This Row],[CODIGO_SBS]],'BD(MSCI)'!$C:$C,0),1)),0)</f>
        <v>128.26</v>
      </c>
      <c r="AK172" s="26">
        <f>Tabla_Consulta_desde_Reporte_de_Valorización_de_Instrumentos[[#This Row],[C02-H]]*Tabla_Consulta_desde_Reporte_de_Valorización_de_Instrumentos[[#This Row],[Inv MM$]]</f>
        <v>844.62095967340201</v>
      </c>
      <c r="AL172" s="26">
        <f>Tabla_Consulta_desde_Reporte_de_Valorización_de_Instrumentos[[#This Row],[C02-H]]*Tabla_Consulta_desde_Reporte_de_Valorización_de_Instrumentos[[#This Row],[Weight]]</f>
        <v>0.10811198063595226</v>
      </c>
      <c r="AM172" s="26" t="str">
        <f>INDEX(Parametria!G:G,MATCH(Tabla_Consulta_desde_Reporte_de_Valorización_de_Instrumentos[[#This Row],[CODIGO_SBS]],Parametria!C:C,0))</f>
        <v>30RVL</v>
      </c>
      <c r="AN172" s="26" t="str">
        <f>INDEX(Parametria!F:F,MATCH(Tabla_Consulta_desde_Reporte_de_Valorización_de_Instrumentos[[#This Row],[CODIGO_SBS]],Parametria!C:C,0))</f>
        <v>BU</v>
      </c>
      <c r="AO172" s="26" t="str">
        <f>+INDEX(Parametria!J:J,MATCH(Tabla_Consulta_desde_Reporte_de_Valorización_de_Instrumentos[[#This Row],[CODIGO_SBS]],Parametria!C:C,0))</f>
        <v>RVLBU</v>
      </c>
      <c r="AP172" s="26">
        <f>Tabla_Consulta_desde_Reporte_de_Valorización_de_Instrumentos[[#This Row],[Huella]]/$AU$4</f>
        <v>7.8300395883955889E-2</v>
      </c>
      <c r="AQ172" s="26" t="str">
        <f>IFERROR(INDEX('BD(MSCI)'!W:W,MATCH(Tabla_Consulta_desde_Reporte_de_Valorización_de_Instrumentos[[#This Row],[CODIGO_ISIN]],'BD(MSCI)'!C:C,0)),IF(Tabla_Consulta_desde_Reporte_de_Valorización_de_Instrumentos[[#This Row],[Rank_rt]]="Cash","Cash","Cuestionario Integra"))</f>
        <v>Portafolio</v>
      </c>
      <c r="AR172" s="26" t="str">
        <f>IFERROR(INDEX('BD(MSCI)'!X:X,MATCH(Tabla_Consulta_desde_Reporte_de_Valorización_de_Instrumentos[[#This Row],[CODIGO_ISIN]],'BD(MSCI)'!C:C,0)),"Cuestionario Integra")</f>
        <v>Portafolio</v>
      </c>
      <c r="AU172" s="26"/>
    </row>
    <row r="173" spans="2:47" hidden="1" x14ac:dyDescent="0.25">
      <c r="B173" s="14" t="s">
        <v>6390</v>
      </c>
      <c r="C173" t="s">
        <v>422</v>
      </c>
      <c r="D173" t="s">
        <v>11</v>
      </c>
      <c r="E173" t="s">
        <v>423</v>
      </c>
      <c r="F173" t="s">
        <v>472</v>
      </c>
      <c r="G173" t="str">
        <f>INDEX(Parametria!H:H,MATCH(Tabla_Consulta_desde_Reporte_de_Valorización_de_Instrumentos[[#This Row],[CODIGO_SBS]],Parametria!C:C,0),1)</f>
        <v>Graña y Montero S.A.A.</v>
      </c>
      <c r="H173" t="s">
        <v>473</v>
      </c>
      <c r="I173" t="s">
        <v>474</v>
      </c>
      <c r="J173" t="s">
        <v>475</v>
      </c>
      <c r="K173" t="s">
        <v>90</v>
      </c>
      <c r="L173">
        <v>1</v>
      </c>
      <c r="M173" s="5">
        <v>33775323.707712598</v>
      </c>
      <c r="N173">
        <v>33775323.707712598</v>
      </c>
      <c r="O173">
        <v>102563357</v>
      </c>
      <c r="P173" s="15"/>
      <c r="R173">
        <v>1</v>
      </c>
      <c r="S173" t="s">
        <v>428</v>
      </c>
      <c r="T173">
        <v>33775323.707712598</v>
      </c>
      <c r="U173" s="5">
        <v>33775323.707712598</v>
      </c>
      <c r="V173" t="s">
        <v>260</v>
      </c>
      <c r="W173">
        <v>2661442000</v>
      </c>
      <c r="X173">
        <v>1470849000</v>
      </c>
      <c r="Y173">
        <v>1190593000</v>
      </c>
      <c r="Z173">
        <v>0</v>
      </c>
      <c r="AA173" t="str">
        <f>+MID(Tabla_Consulta_desde_Reporte_de_Valorización_de_Instrumentos[[#This Row],[CODIGO_SBS]],7,1)</f>
        <v>1</v>
      </c>
      <c r="AB173">
        <f>INDEX('Cálculo Caja'!F:F,MATCH(Tabla_Consulta_desde_Reporte_de_Valorización_de_Instrumentos[[#This Row],[PORTAFOLIO]],'Cálculo Caja'!A:A,0),1)</f>
        <v>3164069580.822104</v>
      </c>
      <c r="AC173" s="17">
        <f>Tabla_Consulta_desde_Reporte_de_Valorización_de_Instrumentos[[#This Row],[VALOR_VECTOR_LOCAL]]/Tabla_Consulta_desde_Reporte_de_Valorización_de_Instrumentos[[#This Row],[Patrimonio]]</f>
        <v>1.0674646320178878E-2</v>
      </c>
      <c r="AD173" s="4">
        <f>(Tabla_Consulta_desde_Reporte_de_Valorización_de_Instrumentos[[#This Row],[VALOR_VECTOR_LOCAL]]/INDEX('Tipo de Cambio'!$D:$D,MATCH("2",'Tipo de Cambio'!$E:$E,0),1))/1000000</f>
        <v>10.049487847812371</v>
      </c>
      <c r="AE173">
        <f>IF(Tabla_Consulta_desde_Reporte_de_Valorización_de_Instrumentos[[#This Row],[PORTAFOLIO]]="IN-FONDO0",Tabla_Consulta_desde_Reporte_de_Valorización_de_Instrumentos[[#This Row],[Inv MM$]],0)</f>
        <v>0</v>
      </c>
      <c r="AF173" s="26">
        <f>IF(Tabla_Consulta_desde_Reporte_de_Valorización_de_Instrumentos[[#This Row],[PORTAFOLIO]]="IN-FONDO1",Tabla_Consulta_desde_Reporte_de_Valorización_de_Instrumentos[[#This Row],[Inv MM$]],0)</f>
        <v>0</v>
      </c>
      <c r="AG173" s="26">
        <f>IF(Tabla_Consulta_desde_Reporte_de_Valorización_de_Instrumentos[[#This Row],[PORTAFOLIO]]="IN-FONDO2",Tabla_Consulta_desde_Reporte_de_Valorización_de_Instrumentos[[#This Row],[Inv MM$]],0)</f>
        <v>0</v>
      </c>
      <c r="AH173" s="26">
        <f>IF(Tabla_Consulta_desde_Reporte_de_Valorización_de_Instrumentos[[#This Row],[PORTAFOLIO]]="IN-FONDO3",Tabla_Consulta_desde_Reporte_de_Valorización_de_Instrumentos[[#This Row],[Inv MM$]],0)</f>
        <v>10.049487847812371</v>
      </c>
      <c r="AI17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17.572722965478889</v>
      </c>
      <c r="AJ173" s="26">
        <f>IFERROR(IFERROR(INDEX('BD(MSCI)'!$T:$T,MATCH(Tabla_Consulta_desde_Reporte_de_Valorización_de_Instrumentos[[#This Row],[CODIGO_ISIN]],'BD(MSCI)'!$C:$C,0),1),INDEX('BD(MSCI)'!$T:$T,MATCH(Tabla_Consulta_desde_Reporte_de_Valorización_de_Instrumentos[[#This Row],[CODIGO_SBS]],'BD(MSCI)'!$C:$C,0),1)),0)</f>
        <v>128.26</v>
      </c>
      <c r="AK173" s="26">
        <f>Tabla_Consulta_desde_Reporte_de_Valorización_de_Instrumentos[[#This Row],[C02-H]]*Tabla_Consulta_desde_Reporte_de_Valorización_de_Instrumentos[[#This Row],[Inv MM$]]</f>
        <v>1288.9473113604145</v>
      </c>
      <c r="AL173" s="26">
        <f>Tabla_Consulta_desde_Reporte_de_Valorización_de_Instrumentos[[#This Row],[C02-H]]*Tabla_Consulta_desde_Reporte_de_Valorización_de_Instrumentos[[#This Row],[Weight]]</f>
        <v>1.3691301370261428</v>
      </c>
      <c r="AM173" s="26" t="str">
        <f>INDEX(Parametria!G:G,MATCH(Tabla_Consulta_desde_Reporte_de_Valorización_de_Instrumentos[[#This Row],[CODIGO_SBS]],Parametria!C:C,0))</f>
        <v>30RVL</v>
      </c>
      <c r="AN173" s="26" t="str">
        <f>INDEX(Parametria!F:F,MATCH(Tabla_Consulta_desde_Reporte_de_Valorización_de_Instrumentos[[#This Row],[CODIGO_SBS]],Parametria!C:C,0))</f>
        <v>BU</v>
      </c>
      <c r="AO173" s="26" t="str">
        <f>+INDEX(Parametria!J:J,MATCH(Tabla_Consulta_desde_Reporte_de_Valorización_de_Instrumentos[[#This Row],[CODIGO_SBS]],Parametria!C:C,0))</f>
        <v>RVLBU</v>
      </c>
      <c r="AP173" s="26">
        <f>Tabla_Consulta_desde_Reporte_de_Valorización_de_Instrumentos[[#This Row],[Huella]]/$AU$4</f>
        <v>0.11949157026852225</v>
      </c>
      <c r="AQ173" s="26" t="str">
        <f>IFERROR(INDEX('BD(MSCI)'!W:W,MATCH(Tabla_Consulta_desde_Reporte_de_Valorización_de_Instrumentos[[#This Row],[CODIGO_ISIN]],'BD(MSCI)'!C:C,0)),IF(Tabla_Consulta_desde_Reporte_de_Valorización_de_Instrumentos[[#This Row],[Rank_rt]]="Cash","Cash","Cuestionario Integra"))</f>
        <v>Portafolio</v>
      </c>
      <c r="AR173" s="26" t="str">
        <f>IFERROR(INDEX('BD(MSCI)'!X:X,MATCH(Tabla_Consulta_desde_Reporte_de_Valorización_de_Instrumentos[[#This Row],[CODIGO_ISIN]],'BD(MSCI)'!C:C,0)),"Cuestionario Integra")</f>
        <v>Portafolio</v>
      </c>
      <c r="AU173" s="26"/>
    </row>
    <row r="174" spans="2:47" hidden="1" x14ac:dyDescent="0.25">
      <c r="B174" s="14" t="s">
        <v>6390</v>
      </c>
      <c r="C174" t="s">
        <v>422</v>
      </c>
      <c r="D174" t="s">
        <v>12</v>
      </c>
      <c r="E174" t="s">
        <v>423</v>
      </c>
      <c r="F174" t="s">
        <v>472</v>
      </c>
      <c r="G174" t="str">
        <f>INDEX(Parametria!H:H,MATCH(Tabla_Consulta_desde_Reporte_de_Valorización_de_Instrumentos[[#This Row],[CODIGO_SBS]],Parametria!C:C,0),1)</f>
        <v>Graña y Montero S.A.A.</v>
      </c>
      <c r="H174" t="s">
        <v>473</v>
      </c>
      <c r="I174" t="s">
        <v>474</v>
      </c>
      <c r="J174" t="s">
        <v>475</v>
      </c>
      <c r="K174" t="s">
        <v>90</v>
      </c>
      <c r="L174">
        <v>1</v>
      </c>
      <c r="M174" s="5">
        <v>3152558.1737178001</v>
      </c>
      <c r="N174">
        <v>3152558.1737178001</v>
      </c>
      <c r="O174">
        <v>9573171</v>
      </c>
      <c r="P174" s="15"/>
      <c r="R174">
        <v>1</v>
      </c>
      <c r="S174" t="s">
        <v>428</v>
      </c>
      <c r="T174">
        <v>3152558.1737178001</v>
      </c>
      <c r="U174" s="5">
        <v>3152558.1737178001</v>
      </c>
      <c r="V174" t="s">
        <v>260</v>
      </c>
      <c r="W174">
        <v>2661442000</v>
      </c>
      <c r="X174">
        <v>1470849000</v>
      </c>
      <c r="Y174">
        <v>1190593000</v>
      </c>
      <c r="Z174">
        <v>0</v>
      </c>
      <c r="AA174" t="str">
        <f>+MID(Tabla_Consulta_desde_Reporte_de_Valorización_de_Instrumentos[[#This Row],[CODIGO_SBS]],7,1)</f>
        <v>1</v>
      </c>
      <c r="AB174">
        <f>INDEX('Cálculo Caja'!F:F,MATCH(Tabla_Consulta_desde_Reporte_de_Valorización_de_Instrumentos[[#This Row],[PORTAFOLIO]],'Cálculo Caja'!A:A,0),1)</f>
        <v>7679510866.0565634</v>
      </c>
      <c r="AC174" s="17">
        <f>Tabla_Consulta_desde_Reporte_de_Valorización_de_Instrumentos[[#This Row],[VALOR_VECTOR_LOCAL]]/Tabla_Consulta_desde_Reporte_de_Valorización_de_Instrumentos[[#This Row],[Patrimonio]]</f>
        <v>4.1051549098681617E-4</v>
      </c>
      <c r="AD174" s="4">
        <f>(Tabla_Consulta_desde_Reporte_de_Valorización_de_Instrumentos[[#This Row],[VALOR_VECTOR_LOCAL]]/INDEX('Tipo de Cambio'!$D:$D,MATCH("2",'Tipo de Cambio'!$E:$E,0),1))/1000000</f>
        <v>0.93801010851789701</v>
      </c>
      <c r="AE174">
        <f>IF(Tabla_Consulta_desde_Reporte_de_Valorización_de_Instrumentos[[#This Row],[PORTAFOLIO]]="IN-FONDO0",Tabla_Consulta_desde_Reporte_de_Valorización_de_Instrumentos[[#This Row],[Inv MM$]],0)</f>
        <v>0</v>
      </c>
      <c r="AF174" s="26">
        <f>IF(Tabla_Consulta_desde_Reporte_de_Valorización_de_Instrumentos[[#This Row],[PORTAFOLIO]]="IN-FONDO1",Tabla_Consulta_desde_Reporte_de_Valorización_de_Instrumentos[[#This Row],[Inv MM$]],0)</f>
        <v>0.93801010851789701</v>
      </c>
      <c r="AG174" s="26">
        <f>IF(Tabla_Consulta_desde_Reporte_de_Valorización_de_Instrumentos[[#This Row],[PORTAFOLIO]]="IN-FONDO2",Tabla_Consulta_desde_Reporte_de_Valorización_de_Instrumentos[[#This Row],[Inv MM$]],0)</f>
        <v>0</v>
      </c>
      <c r="AH174" s="26">
        <f>IF(Tabla_Consulta_desde_Reporte_de_Valorización_de_Instrumentos[[#This Row],[PORTAFOLIO]]="IN-FONDO3",Tabla_Consulta_desde_Reporte_de_Valorización_de_Instrumentos[[#This Row],[Inv MM$]],0)</f>
        <v>0</v>
      </c>
      <c r="AI17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17.572722965478889</v>
      </c>
      <c r="AJ174" s="26">
        <f>IFERROR(IFERROR(INDEX('BD(MSCI)'!$T:$T,MATCH(Tabla_Consulta_desde_Reporte_de_Valorización_de_Instrumentos[[#This Row],[CODIGO_ISIN]],'BD(MSCI)'!$C:$C,0),1),INDEX('BD(MSCI)'!$T:$T,MATCH(Tabla_Consulta_desde_Reporte_de_Valorización_de_Instrumentos[[#This Row],[CODIGO_SBS]],'BD(MSCI)'!$C:$C,0),1)),0)</f>
        <v>128.26</v>
      </c>
      <c r="AK174" s="26">
        <f>Tabla_Consulta_desde_Reporte_de_Valorización_de_Instrumentos[[#This Row],[C02-H]]*Tabla_Consulta_desde_Reporte_de_Valorización_de_Instrumentos[[#This Row],[Inv MM$]]</f>
        <v>120.30917651850547</v>
      </c>
      <c r="AL174" s="26">
        <f>Tabla_Consulta_desde_Reporte_de_Valorización_de_Instrumentos[[#This Row],[C02-H]]*Tabla_Consulta_desde_Reporte_de_Valorización_de_Instrumentos[[#This Row],[Weight]]</f>
        <v>5.2652716873969038E-2</v>
      </c>
      <c r="AM174" s="26" t="str">
        <f>INDEX(Parametria!G:G,MATCH(Tabla_Consulta_desde_Reporte_de_Valorización_de_Instrumentos[[#This Row],[CODIGO_SBS]],Parametria!C:C,0))</f>
        <v>30RVL</v>
      </c>
      <c r="AN174" s="26" t="str">
        <f>INDEX(Parametria!F:F,MATCH(Tabla_Consulta_desde_Reporte_de_Valorización_de_Instrumentos[[#This Row],[CODIGO_SBS]],Parametria!C:C,0))</f>
        <v>BU</v>
      </c>
      <c r="AO174" s="26" t="str">
        <f>+INDEX(Parametria!J:J,MATCH(Tabla_Consulta_desde_Reporte_de_Valorización_de_Instrumentos[[#This Row],[CODIGO_SBS]],Parametria!C:C,0))</f>
        <v>RVLBU</v>
      </c>
      <c r="AP174" s="26">
        <f>Tabla_Consulta_desde_Reporte_de_Valorización_de_Instrumentos[[#This Row],[Huella]]/$AU$4</f>
        <v>1.1153235119235418E-2</v>
      </c>
      <c r="AQ174" s="26" t="str">
        <f>IFERROR(INDEX('BD(MSCI)'!W:W,MATCH(Tabla_Consulta_desde_Reporte_de_Valorización_de_Instrumentos[[#This Row],[CODIGO_ISIN]],'BD(MSCI)'!C:C,0)),IF(Tabla_Consulta_desde_Reporte_de_Valorización_de_Instrumentos[[#This Row],[Rank_rt]]="Cash","Cash","Cuestionario Integra"))</f>
        <v>Portafolio</v>
      </c>
      <c r="AR174" s="26" t="str">
        <f>IFERROR(INDEX('BD(MSCI)'!X:X,MATCH(Tabla_Consulta_desde_Reporte_de_Valorización_de_Instrumentos[[#This Row],[CODIGO_ISIN]],'BD(MSCI)'!C:C,0)),"Cuestionario Integra")</f>
        <v>Portafolio</v>
      </c>
      <c r="AU174" s="26"/>
    </row>
    <row r="175" spans="2:47" hidden="1" x14ac:dyDescent="0.25">
      <c r="B175" s="14" t="s">
        <v>6390</v>
      </c>
      <c r="C175" t="s">
        <v>422</v>
      </c>
      <c r="D175" t="s">
        <v>12</v>
      </c>
      <c r="E175" t="s">
        <v>423</v>
      </c>
      <c r="F175" t="s">
        <v>477</v>
      </c>
      <c r="G175" t="str">
        <f>INDEX(Parametria!H:H,MATCH(Tabla_Consulta_desde_Reporte_de_Valorización_de_Instrumentos[[#This Row],[CODIGO_SBS]],Parametria!C:C,0),1)</f>
        <v>Intergroup</v>
      </c>
      <c r="H175" t="s">
        <v>478</v>
      </c>
      <c r="I175" t="s">
        <v>479</v>
      </c>
      <c r="J175" t="s">
        <v>375</v>
      </c>
      <c r="K175" t="s">
        <v>50</v>
      </c>
      <c r="L175">
        <v>9.7200000000000006</v>
      </c>
      <c r="M175" s="5">
        <v>3686042.7420839998</v>
      </c>
      <c r="N175">
        <v>1096742.76</v>
      </c>
      <c r="O175">
        <v>25891</v>
      </c>
      <c r="P175" s="15"/>
      <c r="R175">
        <v>3.3609</v>
      </c>
      <c r="S175" t="s">
        <v>428</v>
      </c>
      <c r="T175">
        <v>3670494.9894559998</v>
      </c>
      <c r="U175" s="5">
        <v>1091564.56</v>
      </c>
      <c r="V175" t="s">
        <v>227</v>
      </c>
      <c r="W175">
        <v>11377231000</v>
      </c>
      <c r="X175">
        <v>1127997000</v>
      </c>
      <c r="Y175">
        <v>10249234000</v>
      </c>
      <c r="Z175">
        <v>0.2</v>
      </c>
      <c r="AA175" t="str">
        <f>+MID(Tabla_Consulta_desde_Reporte_de_Valorización_de_Instrumentos[[#This Row],[CODIGO_SBS]],7,1)</f>
        <v>2</v>
      </c>
      <c r="AB175">
        <f>INDEX('Cálculo Caja'!F:F,MATCH(Tabla_Consulta_desde_Reporte_de_Valorización_de_Instrumentos[[#This Row],[PORTAFOLIO]],'Cálculo Caja'!A:A,0),1)</f>
        <v>7679510866.0565634</v>
      </c>
      <c r="AC175" s="17">
        <f>Tabla_Consulta_desde_Reporte_de_Valorización_de_Instrumentos[[#This Row],[VALOR_VECTOR_LOCAL]]/Tabla_Consulta_desde_Reporte_de_Valorización_de_Instrumentos[[#This Row],[Patrimonio]]</f>
        <v>4.7998405189792853E-4</v>
      </c>
      <c r="AD175" s="4">
        <f>(Tabla_Consulta_desde_Reporte_de_Valorización_de_Instrumentos[[#This Row],[VALOR_VECTOR_LOCAL]]/INDEX('Tipo de Cambio'!$D:$D,MATCH("2",'Tipo de Cambio'!$E:$E,0),1))/1000000</f>
        <v>1.0967427599999999</v>
      </c>
      <c r="AE175">
        <f>IF(Tabla_Consulta_desde_Reporte_de_Valorización_de_Instrumentos[[#This Row],[PORTAFOLIO]]="IN-FONDO0",Tabla_Consulta_desde_Reporte_de_Valorización_de_Instrumentos[[#This Row],[Inv MM$]],0)</f>
        <v>0</v>
      </c>
      <c r="AF175" s="26">
        <f>IF(Tabla_Consulta_desde_Reporte_de_Valorización_de_Instrumentos[[#This Row],[PORTAFOLIO]]="IN-FONDO1",Tabla_Consulta_desde_Reporte_de_Valorización_de_Instrumentos[[#This Row],[Inv MM$]],0)</f>
        <v>1.0967427599999999</v>
      </c>
      <c r="AG175" s="26">
        <f>IF(Tabla_Consulta_desde_Reporte_de_Valorización_de_Instrumentos[[#This Row],[PORTAFOLIO]]="IN-FONDO2",Tabla_Consulta_desde_Reporte_de_Valorización_de_Instrumentos[[#This Row],[Inv MM$]],0)</f>
        <v>0</v>
      </c>
      <c r="AH175" s="26">
        <f>IF(Tabla_Consulta_desde_Reporte_de_Valorización_de_Instrumentos[[#This Row],[PORTAFOLIO]]="IN-FONDO3",Tabla_Consulta_desde_Reporte_de_Valorización_de_Instrumentos[[#This Row],[Inv MM$]],0)</f>
        <v>0</v>
      </c>
      <c r="AI17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107.38844567999999</v>
      </c>
      <c r="AJ175" s="26">
        <f>IFERROR(IFERROR(INDEX('BD(MSCI)'!$T:$T,MATCH(Tabla_Consulta_desde_Reporte_de_Valorización_de_Instrumentos[[#This Row],[CODIGO_ISIN]],'BD(MSCI)'!$C:$C,0),1),INDEX('BD(MSCI)'!$T:$T,MATCH(Tabla_Consulta_desde_Reporte_de_Valorización_de_Instrumentos[[#This Row],[CODIGO_SBS]],'BD(MSCI)'!$C:$C,0),1)),0)</f>
        <v>0.71</v>
      </c>
      <c r="AK175" s="26">
        <f>Tabla_Consulta_desde_Reporte_de_Valorización_de_Instrumentos[[#This Row],[C02-H]]*Tabla_Consulta_desde_Reporte_de_Valorización_de_Instrumentos[[#This Row],[Inv MM$]]</f>
        <v>0.77868735959999991</v>
      </c>
      <c r="AL175" s="26">
        <f>Tabla_Consulta_desde_Reporte_de_Valorización_de_Instrumentos[[#This Row],[C02-H]]*Tabla_Consulta_desde_Reporte_de_Valorización_de_Instrumentos[[#This Row],[Weight]]</f>
        <v>3.4078867684752921E-4</v>
      </c>
      <c r="AM175" s="26" t="str">
        <f>INDEX(Parametria!G:G,MATCH(Tabla_Consulta_desde_Reporte_de_Valorización_de_Instrumentos[[#This Row],[CODIGO_SBS]],Parametria!C:C,0))</f>
        <v>30RVL</v>
      </c>
      <c r="AN175" s="26" t="str">
        <f>INDEX(Parametria!F:F,MATCH(Tabla_Consulta_desde_Reporte_de_Valorización_de_Instrumentos[[#This Row],[CODIGO_SBS]],Parametria!C:C,0))</f>
        <v>BU</v>
      </c>
      <c r="AO175" s="26" t="str">
        <f>+INDEX(Parametria!J:J,MATCH(Tabla_Consulta_desde_Reporte_de_Valorización_de_Instrumentos[[#This Row],[CODIGO_SBS]],Parametria!C:C,0))</f>
        <v>RVLBU</v>
      </c>
      <c r="AP175" s="26">
        <f>Tabla_Consulta_desde_Reporte_de_Valorización_de_Instrumentos[[#This Row],[Huella]]/$AU$4</f>
        <v>7.2188036335362528E-5</v>
      </c>
      <c r="AQ175" s="26" t="str">
        <f>IFERROR(INDEX('BD(MSCI)'!W:W,MATCH(Tabla_Consulta_desde_Reporte_de_Valorización_de_Instrumentos[[#This Row],[CODIGO_ISIN]],'BD(MSCI)'!C:C,0)),IF(Tabla_Consulta_desde_Reporte_de_Valorización_de_Instrumentos[[#This Row],[Rank_rt]]="Cash","Cash","Cuestionario Integra"))</f>
        <v>Portafolio</v>
      </c>
      <c r="AR175" s="26" t="str">
        <f>IFERROR(INDEX('BD(MSCI)'!X:X,MATCH(Tabla_Consulta_desde_Reporte_de_Valorización_de_Instrumentos[[#This Row],[CODIGO_ISIN]],'BD(MSCI)'!C:C,0)),"Cuestionario Integra")</f>
        <v>Portafolio</v>
      </c>
      <c r="AU175" s="26"/>
    </row>
    <row r="176" spans="2:47" hidden="1" x14ac:dyDescent="0.25">
      <c r="B176" s="14" t="s">
        <v>6390</v>
      </c>
      <c r="C176" t="s">
        <v>422</v>
      </c>
      <c r="D176" t="s">
        <v>10</v>
      </c>
      <c r="E176" t="s">
        <v>423</v>
      </c>
      <c r="F176" t="s">
        <v>477</v>
      </c>
      <c r="G176" t="str">
        <f>INDEX(Parametria!H:H,MATCH(Tabla_Consulta_desde_Reporte_de_Valorización_de_Instrumentos[[#This Row],[CODIGO_SBS]],Parametria!C:C,0),1)</f>
        <v>Intergroup</v>
      </c>
      <c r="H176" t="s">
        <v>478</v>
      </c>
      <c r="I176" t="s">
        <v>479</v>
      </c>
      <c r="J176" t="s">
        <v>375</v>
      </c>
      <c r="K176" t="s">
        <v>50</v>
      </c>
      <c r="L176">
        <v>9.7200000000000006</v>
      </c>
      <c r="M176" s="5">
        <v>340025662.02808797</v>
      </c>
      <c r="N176">
        <v>101171014.31999999</v>
      </c>
      <c r="O176">
        <v>2388362</v>
      </c>
      <c r="P176" s="15"/>
      <c r="R176">
        <v>3.3609</v>
      </c>
      <c r="S176" t="s">
        <v>428</v>
      </c>
      <c r="T176">
        <v>338591431.54019201</v>
      </c>
      <c r="U176" s="5">
        <v>100693341.92</v>
      </c>
      <c r="V176" t="s">
        <v>227</v>
      </c>
      <c r="W176">
        <v>11377231000</v>
      </c>
      <c r="X176">
        <v>1127997000</v>
      </c>
      <c r="Y176">
        <v>10249234000</v>
      </c>
      <c r="Z176">
        <v>0.2</v>
      </c>
      <c r="AA176" t="str">
        <f>+MID(Tabla_Consulta_desde_Reporte_de_Valorización_de_Instrumentos[[#This Row],[CODIGO_SBS]],7,1)</f>
        <v>2</v>
      </c>
      <c r="AB176">
        <f>INDEX('Cálculo Caja'!F:F,MATCH(Tabla_Consulta_desde_Reporte_de_Valorización_de_Instrumentos[[#This Row],[PORTAFOLIO]],'Cálculo Caja'!A:A,0),1)</f>
        <v>26256910350.436607</v>
      </c>
      <c r="AC176" s="17">
        <f>Tabla_Consulta_desde_Reporte_de_Valorización_de_Instrumentos[[#This Row],[VALOR_VECTOR_LOCAL]]/Tabla_Consulta_desde_Reporte_de_Valorización_de_Instrumentos[[#This Row],[Patrimonio]]</f>
        <v>1.2949949460540164E-2</v>
      </c>
      <c r="AD176" s="4">
        <f>(Tabla_Consulta_desde_Reporte_de_Valorización_de_Instrumentos[[#This Row],[VALOR_VECTOR_LOCAL]]/INDEX('Tipo de Cambio'!$D:$D,MATCH("2",'Tipo de Cambio'!$E:$E,0),1))/1000000</f>
        <v>101.17101432</v>
      </c>
      <c r="AE176">
        <f>IF(Tabla_Consulta_desde_Reporte_de_Valorización_de_Instrumentos[[#This Row],[PORTAFOLIO]]="IN-FONDO0",Tabla_Consulta_desde_Reporte_de_Valorización_de_Instrumentos[[#This Row],[Inv MM$]],0)</f>
        <v>0</v>
      </c>
      <c r="AF176" s="26">
        <f>IF(Tabla_Consulta_desde_Reporte_de_Valorización_de_Instrumentos[[#This Row],[PORTAFOLIO]]="IN-FONDO1",Tabla_Consulta_desde_Reporte_de_Valorización_de_Instrumentos[[#This Row],[Inv MM$]],0)</f>
        <v>0</v>
      </c>
      <c r="AG176" s="26">
        <f>IF(Tabla_Consulta_desde_Reporte_de_Valorización_de_Instrumentos[[#This Row],[PORTAFOLIO]]="IN-FONDO2",Tabla_Consulta_desde_Reporte_de_Valorización_de_Instrumentos[[#This Row],[Inv MM$]],0)</f>
        <v>101.17101432</v>
      </c>
      <c r="AH176" s="26">
        <f>IF(Tabla_Consulta_desde_Reporte_de_Valorización_de_Instrumentos[[#This Row],[PORTAFOLIO]]="IN-FONDO3",Tabla_Consulta_desde_Reporte_de_Valorización_de_Instrumentos[[#This Row],[Inv MM$]],0)</f>
        <v>0</v>
      </c>
      <c r="AI17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107.38844567999999</v>
      </c>
      <c r="AJ176" s="26">
        <f>IFERROR(IFERROR(INDEX('BD(MSCI)'!$T:$T,MATCH(Tabla_Consulta_desde_Reporte_de_Valorización_de_Instrumentos[[#This Row],[CODIGO_ISIN]],'BD(MSCI)'!$C:$C,0),1),INDEX('BD(MSCI)'!$T:$T,MATCH(Tabla_Consulta_desde_Reporte_de_Valorización_de_Instrumentos[[#This Row],[CODIGO_SBS]],'BD(MSCI)'!$C:$C,0),1)),0)</f>
        <v>0.71</v>
      </c>
      <c r="AK176" s="26">
        <f>Tabla_Consulta_desde_Reporte_de_Valorización_de_Instrumentos[[#This Row],[C02-H]]*Tabla_Consulta_desde_Reporte_de_Valorización_de_Instrumentos[[#This Row],[Inv MM$]]</f>
        <v>71.831420167199994</v>
      </c>
      <c r="AL176" s="26">
        <f>Tabla_Consulta_desde_Reporte_de_Valorización_de_Instrumentos[[#This Row],[C02-H]]*Tabla_Consulta_desde_Reporte_de_Valorización_de_Instrumentos[[#This Row],[Weight]]</f>
        <v>9.194464116983516E-3</v>
      </c>
      <c r="AM176" s="26" t="str">
        <f>INDEX(Parametria!G:G,MATCH(Tabla_Consulta_desde_Reporte_de_Valorización_de_Instrumentos[[#This Row],[CODIGO_SBS]],Parametria!C:C,0))</f>
        <v>30RVL</v>
      </c>
      <c r="AN176" s="26" t="str">
        <f>INDEX(Parametria!F:F,MATCH(Tabla_Consulta_desde_Reporte_de_Valorización_de_Instrumentos[[#This Row],[CODIGO_SBS]],Parametria!C:C,0))</f>
        <v>BU</v>
      </c>
      <c r="AO176" s="26" t="str">
        <f>+INDEX(Parametria!J:J,MATCH(Tabla_Consulta_desde_Reporte_de_Valorización_de_Instrumentos[[#This Row],[CODIGO_SBS]],Parametria!C:C,0))</f>
        <v>RVLBU</v>
      </c>
      <c r="AP176" s="26">
        <f>Tabla_Consulta_desde_Reporte_de_Valorización_de_Instrumentos[[#This Row],[Huella]]/$AU$4</f>
        <v>6.6591156323818753E-3</v>
      </c>
      <c r="AQ176" s="26" t="str">
        <f>IFERROR(INDEX('BD(MSCI)'!W:W,MATCH(Tabla_Consulta_desde_Reporte_de_Valorización_de_Instrumentos[[#This Row],[CODIGO_ISIN]],'BD(MSCI)'!C:C,0)),IF(Tabla_Consulta_desde_Reporte_de_Valorización_de_Instrumentos[[#This Row],[Rank_rt]]="Cash","Cash","Cuestionario Integra"))</f>
        <v>Portafolio</v>
      </c>
      <c r="AR176" s="26" t="str">
        <f>IFERROR(INDEX('BD(MSCI)'!X:X,MATCH(Tabla_Consulta_desde_Reporte_de_Valorización_de_Instrumentos[[#This Row],[CODIGO_ISIN]],'BD(MSCI)'!C:C,0)),"Cuestionario Integra")</f>
        <v>Portafolio</v>
      </c>
      <c r="AU176" s="26"/>
    </row>
    <row r="177" spans="2:47" hidden="1" x14ac:dyDescent="0.25">
      <c r="B177" s="14" t="s">
        <v>6390</v>
      </c>
      <c r="C177" t="s">
        <v>422</v>
      </c>
      <c r="D177" t="s">
        <v>11</v>
      </c>
      <c r="E177" t="s">
        <v>423</v>
      </c>
      <c r="F177" t="s">
        <v>477</v>
      </c>
      <c r="G177" t="str">
        <f>INDEX(Parametria!H:H,MATCH(Tabla_Consulta_desde_Reporte_de_Valorización_de_Instrumentos[[#This Row],[CODIGO_SBS]],Parametria!C:C,0),1)</f>
        <v>Intergroup</v>
      </c>
      <c r="H177" t="s">
        <v>478</v>
      </c>
      <c r="I177" t="s">
        <v>479</v>
      </c>
      <c r="J177" t="s">
        <v>375</v>
      </c>
      <c r="K177" t="s">
        <v>50</v>
      </c>
      <c r="L177">
        <v>9.7200000000000006</v>
      </c>
      <c r="M177" s="5">
        <v>17210122.31574</v>
      </c>
      <c r="N177">
        <v>5120688.5999999996</v>
      </c>
      <c r="O177">
        <v>120885</v>
      </c>
      <c r="P177" s="15"/>
      <c r="R177">
        <v>3.3609</v>
      </c>
      <c r="S177" t="s">
        <v>428</v>
      </c>
      <c r="T177">
        <v>17137529.906160001</v>
      </c>
      <c r="U177" s="5">
        <v>5096511.5999999996</v>
      </c>
      <c r="V177" t="s">
        <v>227</v>
      </c>
      <c r="W177">
        <v>11377231000</v>
      </c>
      <c r="X177">
        <v>1127997000</v>
      </c>
      <c r="Y177">
        <v>10249234000</v>
      </c>
      <c r="Z177">
        <v>0.2</v>
      </c>
      <c r="AA177" t="str">
        <f>+MID(Tabla_Consulta_desde_Reporte_de_Valorización_de_Instrumentos[[#This Row],[CODIGO_SBS]],7,1)</f>
        <v>2</v>
      </c>
      <c r="AB177">
        <f>INDEX('Cálculo Caja'!F:F,MATCH(Tabla_Consulta_desde_Reporte_de_Valorización_de_Instrumentos[[#This Row],[PORTAFOLIO]],'Cálculo Caja'!A:A,0),1)</f>
        <v>3164069580.822104</v>
      </c>
      <c r="AC177" s="17">
        <f>Tabla_Consulta_desde_Reporte_de_Valorización_de_Instrumentos[[#This Row],[VALOR_VECTOR_LOCAL]]/Tabla_Consulta_desde_Reporte_de_Valorización_de_Instrumentos[[#This Row],[Patrimonio]]</f>
        <v>5.4392363619476351E-3</v>
      </c>
      <c r="AD177" s="4">
        <f>(Tabla_Consulta_desde_Reporte_de_Valorización_de_Instrumentos[[#This Row],[VALOR_VECTOR_LOCAL]]/INDEX('Tipo de Cambio'!$D:$D,MATCH("2",'Tipo de Cambio'!$E:$E,0),1))/1000000</f>
        <v>5.1206886000000003</v>
      </c>
      <c r="AE177">
        <f>IF(Tabla_Consulta_desde_Reporte_de_Valorización_de_Instrumentos[[#This Row],[PORTAFOLIO]]="IN-FONDO0",Tabla_Consulta_desde_Reporte_de_Valorización_de_Instrumentos[[#This Row],[Inv MM$]],0)</f>
        <v>0</v>
      </c>
      <c r="AF177" s="26">
        <f>IF(Tabla_Consulta_desde_Reporte_de_Valorización_de_Instrumentos[[#This Row],[PORTAFOLIO]]="IN-FONDO1",Tabla_Consulta_desde_Reporte_de_Valorización_de_Instrumentos[[#This Row],[Inv MM$]],0)</f>
        <v>0</v>
      </c>
      <c r="AG177" s="26">
        <f>IF(Tabla_Consulta_desde_Reporte_de_Valorización_de_Instrumentos[[#This Row],[PORTAFOLIO]]="IN-FONDO2",Tabla_Consulta_desde_Reporte_de_Valorización_de_Instrumentos[[#This Row],[Inv MM$]],0)</f>
        <v>0</v>
      </c>
      <c r="AH177" s="26">
        <f>IF(Tabla_Consulta_desde_Reporte_de_Valorización_de_Instrumentos[[#This Row],[PORTAFOLIO]]="IN-FONDO3",Tabla_Consulta_desde_Reporte_de_Valorización_de_Instrumentos[[#This Row],[Inv MM$]],0)</f>
        <v>5.1206886000000003</v>
      </c>
      <c r="AI17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107.38844567999999</v>
      </c>
      <c r="AJ177" s="26">
        <f>IFERROR(IFERROR(INDEX('BD(MSCI)'!$T:$T,MATCH(Tabla_Consulta_desde_Reporte_de_Valorización_de_Instrumentos[[#This Row],[CODIGO_ISIN]],'BD(MSCI)'!$C:$C,0),1),INDEX('BD(MSCI)'!$T:$T,MATCH(Tabla_Consulta_desde_Reporte_de_Valorización_de_Instrumentos[[#This Row],[CODIGO_SBS]],'BD(MSCI)'!$C:$C,0),1)),0)</f>
        <v>0.71</v>
      </c>
      <c r="AK177" s="26">
        <f>Tabla_Consulta_desde_Reporte_de_Valorización_de_Instrumentos[[#This Row],[C02-H]]*Tabla_Consulta_desde_Reporte_de_Valorización_de_Instrumentos[[#This Row],[Inv MM$]]</f>
        <v>3.6356889059999999</v>
      </c>
      <c r="AL177" s="26">
        <f>Tabla_Consulta_desde_Reporte_de_Valorización_de_Instrumentos[[#This Row],[C02-H]]*Tabla_Consulta_desde_Reporte_de_Valorización_de_Instrumentos[[#This Row],[Weight]]</f>
        <v>3.8618578169828206E-3</v>
      </c>
      <c r="AM177" s="26" t="str">
        <f>INDEX(Parametria!G:G,MATCH(Tabla_Consulta_desde_Reporte_de_Valorización_de_Instrumentos[[#This Row],[CODIGO_SBS]],Parametria!C:C,0))</f>
        <v>30RVL</v>
      </c>
      <c r="AN177" s="26" t="str">
        <f>INDEX(Parametria!F:F,MATCH(Tabla_Consulta_desde_Reporte_de_Valorización_de_Instrumentos[[#This Row],[CODIGO_SBS]],Parametria!C:C,0))</f>
        <v>BU</v>
      </c>
      <c r="AO177" s="26" t="str">
        <f>+INDEX(Parametria!J:J,MATCH(Tabla_Consulta_desde_Reporte_de_Valorización_de_Instrumentos[[#This Row],[CODIGO_SBS]],Parametria!C:C,0))</f>
        <v>RVLBU</v>
      </c>
      <c r="AP177" s="26">
        <f>Tabla_Consulta_desde_Reporte_de_Valorización_de_Instrumentos[[#This Row],[Huella]]/$AU$4</f>
        <v>3.3704572138582137E-4</v>
      </c>
      <c r="AQ177" s="26" t="str">
        <f>IFERROR(INDEX('BD(MSCI)'!W:W,MATCH(Tabla_Consulta_desde_Reporte_de_Valorización_de_Instrumentos[[#This Row],[CODIGO_ISIN]],'BD(MSCI)'!C:C,0)),IF(Tabla_Consulta_desde_Reporte_de_Valorización_de_Instrumentos[[#This Row],[Rank_rt]]="Cash","Cash","Cuestionario Integra"))</f>
        <v>Portafolio</v>
      </c>
      <c r="AR177" s="26" t="str">
        <f>IFERROR(INDEX('BD(MSCI)'!X:X,MATCH(Tabla_Consulta_desde_Reporte_de_Valorización_de_Instrumentos[[#This Row],[CODIGO_ISIN]],'BD(MSCI)'!C:C,0)),"Cuestionario Integra")</f>
        <v>Portafolio</v>
      </c>
      <c r="AU177" s="26"/>
    </row>
    <row r="178" spans="2:47" hidden="1" x14ac:dyDescent="0.25">
      <c r="B178" s="14" t="s">
        <v>6390</v>
      </c>
      <c r="C178" t="s">
        <v>422</v>
      </c>
      <c r="D178" t="s">
        <v>10</v>
      </c>
      <c r="E178" t="s">
        <v>423</v>
      </c>
      <c r="F178" t="s">
        <v>480</v>
      </c>
      <c r="G178" t="str">
        <f>INDEX(Parametria!H:H,MATCH(Tabla_Consulta_desde_Reporte_de_Valorización_de_Instrumentos[[#This Row],[CODIGO_SBS]],Parametria!C:C,0),1)</f>
        <v>Nexa Perú (Milpo)</v>
      </c>
      <c r="H178" t="s">
        <v>481</v>
      </c>
      <c r="I178" t="s">
        <v>482</v>
      </c>
      <c r="J178" t="s">
        <v>483</v>
      </c>
      <c r="K178" t="s">
        <v>90</v>
      </c>
      <c r="L178">
        <v>1</v>
      </c>
      <c r="M178" s="5">
        <v>229890569.86023879</v>
      </c>
      <c r="N178">
        <v>229890569.86023879</v>
      </c>
      <c r="O178">
        <v>97915123</v>
      </c>
      <c r="P178" s="15"/>
      <c r="R178">
        <v>1</v>
      </c>
      <c r="S178" t="s">
        <v>428</v>
      </c>
      <c r="T178">
        <v>229890569.86023879</v>
      </c>
      <c r="U178" s="5">
        <v>229890569.86023879</v>
      </c>
      <c r="V178" t="s">
        <v>484</v>
      </c>
      <c r="W178">
        <v>1000143000</v>
      </c>
      <c r="X178">
        <v>200866000</v>
      </c>
      <c r="Y178">
        <v>799277000</v>
      </c>
      <c r="Z178">
        <v>0</v>
      </c>
      <c r="AA178" t="str">
        <f>+MID(Tabla_Consulta_desde_Reporte_de_Valorización_de_Instrumentos[[#This Row],[CODIGO_SBS]],7,1)</f>
        <v>1</v>
      </c>
      <c r="AB178">
        <f>INDEX('Cálculo Caja'!F:F,MATCH(Tabla_Consulta_desde_Reporte_de_Valorización_de_Instrumentos[[#This Row],[PORTAFOLIO]],'Cálculo Caja'!A:A,0),1)</f>
        <v>26256910350.436607</v>
      </c>
      <c r="AC178" s="17">
        <f>Tabla_Consulta_desde_Reporte_de_Valorización_de_Instrumentos[[#This Row],[VALOR_VECTOR_LOCAL]]/Tabla_Consulta_desde_Reporte_de_Valorización_de_Instrumentos[[#This Row],[Patrimonio]]</f>
        <v>8.7554311147814128E-3</v>
      </c>
      <c r="AD178" s="4">
        <f>(Tabla_Consulta_desde_Reporte_de_Valorización_de_Instrumentos[[#This Row],[VALOR_VECTOR_LOCAL]]/INDEX('Tipo de Cambio'!$D:$D,MATCH("2",'Tipo de Cambio'!$E:$E,0),1))/1000000</f>
        <v>68.401490630556921</v>
      </c>
      <c r="AE178">
        <f>IF(Tabla_Consulta_desde_Reporte_de_Valorización_de_Instrumentos[[#This Row],[PORTAFOLIO]]="IN-FONDO0",Tabla_Consulta_desde_Reporte_de_Valorización_de_Instrumentos[[#This Row],[Inv MM$]],0)</f>
        <v>0</v>
      </c>
      <c r="AF178" s="26">
        <f>IF(Tabla_Consulta_desde_Reporte_de_Valorización_de_Instrumentos[[#This Row],[PORTAFOLIO]]="IN-FONDO1",Tabla_Consulta_desde_Reporte_de_Valorización_de_Instrumentos[[#This Row],[Inv MM$]],0)</f>
        <v>0</v>
      </c>
      <c r="AG178" s="26">
        <f>IF(Tabla_Consulta_desde_Reporte_de_Valorización_de_Instrumentos[[#This Row],[PORTAFOLIO]]="IN-FONDO2",Tabla_Consulta_desde_Reporte_de_Valorización_de_Instrumentos[[#This Row],[Inv MM$]],0)</f>
        <v>68.401490630556921</v>
      </c>
      <c r="AH178" s="26">
        <f>IF(Tabla_Consulta_desde_Reporte_de_Valorización_de_Instrumentos[[#This Row],[PORTAFOLIO]]="IN-FONDO3",Tabla_Consulta_desde_Reporte_de_Valorización_de_Instrumentos[[#This Row],[Inv MM$]],0)</f>
        <v>0</v>
      </c>
      <c r="AI17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83.092252044235522</v>
      </c>
      <c r="AJ178" s="26">
        <f>IFERROR(IFERROR(INDEX('BD(MSCI)'!$T:$T,MATCH(Tabla_Consulta_desde_Reporte_de_Valorización_de_Instrumentos[[#This Row],[CODIGO_ISIN]],'BD(MSCI)'!$C:$C,0),1),INDEX('BD(MSCI)'!$T:$T,MATCH(Tabla_Consulta_desde_Reporte_de_Valorización_de_Instrumentos[[#This Row],[CODIGO_SBS]],'BD(MSCI)'!$C:$C,0),1)),0)</f>
        <v>277.81</v>
      </c>
      <c r="AK178" s="26">
        <f>Tabla_Consulta_desde_Reporte_de_Valorización_de_Instrumentos[[#This Row],[C02-H]]*Tabla_Consulta_desde_Reporte_de_Valorización_de_Instrumentos[[#This Row],[Inv MM$]]</f>
        <v>19002.618112075019</v>
      </c>
      <c r="AL178" s="26">
        <f>Tabla_Consulta_desde_Reporte_de_Valorización_de_Instrumentos[[#This Row],[C02-H]]*Tabla_Consulta_desde_Reporte_de_Valorización_de_Instrumentos[[#This Row],[Weight]]</f>
        <v>2.4323463179974243</v>
      </c>
      <c r="AM178" s="26" t="str">
        <f>INDEX(Parametria!G:G,MATCH(Tabla_Consulta_desde_Reporte_de_Valorización_de_Instrumentos[[#This Row],[CODIGO_SBS]],Parametria!C:C,0))</f>
        <v>30RVL</v>
      </c>
      <c r="AN178" s="26" t="str">
        <f>INDEX(Parametria!F:F,MATCH(Tabla_Consulta_desde_Reporte_de_Valorización_de_Instrumentos[[#This Row],[CODIGO_SBS]],Parametria!C:C,0))</f>
        <v>BU</v>
      </c>
      <c r="AO178" s="26" t="str">
        <f>+INDEX(Parametria!J:J,MATCH(Tabla_Consulta_desde_Reporte_de_Valorización_de_Instrumentos[[#This Row],[CODIGO_SBS]],Parametria!C:C,0))</f>
        <v>RVLBU</v>
      </c>
      <c r="AP178" s="26">
        <f>Tabla_Consulta_desde_Reporte_de_Valorización_de_Instrumentos[[#This Row],[Huella]]/$AU$4</f>
        <v>1.7616334332769228</v>
      </c>
      <c r="AQ178" s="26" t="str">
        <f>IFERROR(INDEX('BD(MSCI)'!W:W,MATCH(Tabla_Consulta_desde_Reporte_de_Valorización_de_Instrumentos[[#This Row],[CODIGO_ISIN]],'BD(MSCI)'!C:C,0)),IF(Tabla_Consulta_desde_Reporte_de_Valorización_de_Instrumentos[[#This Row],[Rank_rt]]="Cash","Cash","Cuestionario Integra"))</f>
        <v>Portafolio</v>
      </c>
      <c r="AR178" s="26" t="str">
        <f>IFERROR(INDEX('BD(MSCI)'!X:X,MATCH(Tabla_Consulta_desde_Reporte_de_Valorización_de_Instrumentos[[#This Row],[CODIGO_ISIN]],'BD(MSCI)'!C:C,0)),"Cuestionario Integra")</f>
        <v>Portafolio</v>
      </c>
      <c r="AU178" s="26"/>
    </row>
    <row r="179" spans="2:47" hidden="1" x14ac:dyDescent="0.25">
      <c r="B179" s="14" t="s">
        <v>6390</v>
      </c>
      <c r="C179" t="s">
        <v>422</v>
      </c>
      <c r="D179" t="s">
        <v>11</v>
      </c>
      <c r="E179" t="s">
        <v>423</v>
      </c>
      <c r="F179" t="s">
        <v>480</v>
      </c>
      <c r="G179" t="str">
        <f>INDEX(Parametria!H:H,MATCH(Tabla_Consulta_desde_Reporte_de_Valorización_de_Instrumentos[[#This Row],[CODIGO_SBS]],Parametria!C:C,0),1)</f>
        <v>Nexa Perú (Milpo)</v>
      </c>
      <c r="H179" t="s">
        <v>481</v>
      </c>
      <c r="I179" t="s">
        <v>482</v>
      </c>
      <c r="J179" t="s">
        <v>483</v>
      </c>
      <c r="K179" t="s">
        <v>90</v>
      </c>
      <c r="L179">
        <v>1</v>
      </c>
      <c r="M179" s="5">
        <v>27987948.4231508</v>
      </c>
      <c r="N179">
        <v>27987948.4231508</v>
      </c>
      <c r="O179">
        <v>11920643</v>
      </c>
      <c r="P179" s="15"/>
      <c r="R179">
        <v>1</v>
      </c>
      <c r="S179" t="s">
        <v>428</v>
      </c>
      <c r="T179">
        <v>27987948.4231508</v>
      </c>
      <c r="U179" s="5">
        <v>27987948.4231508</v>
      </c>
      <c r="V179" t="s">
        <v>484</v>
      </c>
      <c r="W179">
        <v>1000143000</v>
      </c>
      <c r="X179">
        <v>200866000</v>
      </c>
      <c r="Y179">
        <v>799277000</v>
      </c>
      <c r="Z179">
        <v>0</v>
      </c>
      <c r="AA179" t="str">
        <f>+MID(Tabla_Consulta_desde_Reporte_de_Valorización_de_Instrumentos[[#This Row],[CODIGO_SBS]],7,1)</f>
        <v>1</v>
      </c>
      <c r="AB179">
        <f>INDEX('Cálculo Caja'!F:F,MATCH(Tabla_Consulta_desde_Reporte_de_Valorización_de_Instrumentos[[#This Row],[PORTAFOLIO]],'Cálculo Caja'!A:A,0),1)</f>
        <v>3164069580.822104</v>
      </c>
      <c r="AC179" s="17">
        <f>Tabla_Consulta_desde_Reporte_de_Valorización_de_Instrumentos[[#This Row],[VALOR_VECTOR_LOCAL]]/Tabla_Consulta_desde_Reporte_de_Valorización_de_Instrumentos[[#This Row],[Patrimonio]]</f>
        <v>8.8455540272533561E-3</v>
      </c>
      <c r="AD179" s="4">
        <f>(Tabla_Consulta_desde_Reporte_de_Valorización_de_Instrumentos[[#This Row],[VALOR_VECTOR_LOCAL]]/INDEX('Tipo de Cambio'!$D:$D,MATCH("2",'Tipo de Cambio'!$E:$E,0),1))/1000000</f>
        <v>8.3275159698743799</v>
      </c>
      <c r="AE179">
        <f>IF(Tabla_Consulta_desde_Reporte_de_Valorización_de_Instrumentos[[#This Row],[PORTAFOLIO]]="IN-FONDO0",Tabla_Consulta_desde_Reporte_de_Valorización_de_Instrumentos[[#This Row],[Inv MM$]],0)</f>
        <v>0</v>
      </c>
      <c r="AF179" s="26">
        <f>IF(Tabla_Consulta_desde_Reporte_de_Valorización_de_Instrumentos[[#This Row],[PORTAFOLIO]]="IN-FONDO1",Tabla_Consulta_desde_Reporte_de_Valorización_de_Instrumentos[[#This Row],[Inv MM$]],0)</f>
        <v>0</v>
      </c>
      <c r="AG179" s="26">
        <f>IF(Tabla_Consulta_desde_Reporte_de_Valorización_de_Instrumentos[[#This Row],[PORTAFOLIO]]="IN-FONDO2",Tabla_Consulta_desde_Reporte_de_Valorización_de_Instrumentos[[#This Row],[Inv MM$]],0)</f>
        <v>0</v>
      </c>
      <c r="AH179" s="26">
        <f>IF(Tabla_Consulta_desde_Reporte_de_Valorización_de_Instrumentos[[#This Row],[PORTAFOLIO]]="IN-FONDO3",Tabla_Consulta_desde_Reporte_de_Valorización_de_Instrumentos[[#This Row],[Inv MM$]],0)</f>
        <v>8.3275159698743799</v>
      </c>
      <c r="AI17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83.092252044235522</v>
      </c>
      <c r="AJ179" s="26">
        <f>IFERROR(IFERROR(INDEX('BD(MSCI)'!$T:$T,MATCH(Tabla_Consulta_desde_Reporte_de_Valorización_de_Instrumentos[[#This Row],[CODIGO_ISIN]],'BD(MSCI)'!$C:$C,0),1),INDEX('BD(MSCI)'!$T:$T,MATCH(Tabla_Consulta_desde_Reporte_de_Valorización_de_Instrumentos[[#This Row],[CODIGO_SBS]],'BD(MSCI)'!$C:$C,0),1)),0)</f>
        <v>277.81</v>
      </c>
      <c r="AK179" s="26">
        <f>Tabla_Consulta_desde_Reporte_de_Valorización_de_Instrumentos[[#This Row],[C02-H]]*Tabla_Consulta_desde_Reporte_de_Valorización_de_Instrumentos[[#This Row],[Inv MM$]]</f>
        <v>2313.4672115908015</v>
      </c>
      <c r="AL179" s="26">
        <f>Tabla_Consulta_desde_Reporte_de_Valorización_de_Instrumentos[[#This Row],[C02-H]]*Tabla_Consulta_desde_Reporte_de_Valorización_de_Instrumentos[[#This Row],[Weight]]</f>
        <v>2.457383364311255</v>
      </c>
      <c r="AM179" s="26" t="str">
        <f>INDEX(Parametria!G:G,MATCH(Tabla_Consulta_desde_Reporte_de_Valorización_de_Instrumentos[[#This Row],[CODIGO_SBS]],Parametria!C:C,0))</f>
        <v>30RVL</v>
      </c>
      <c r="AN179" s="26" t="str">
        <f>INDEX(Parametria!F:F,MATCH(Tabla_Consulta_desde_Reporte_de_Valorización_de_Instrumentos[[#This Row],[CODIGO_SBS]],Parametria!C:C,0))</f>
        <v>BU</v>
      </c>
      <c r="AO179" s="26" t="str">
        <f>+INDEX(Parametria!J:J,MATCH(Tabla_Consulta_desde_Reporte_de_Valorización_de_Instrumentos[[#This Row],[CODIGO_SBS]],Parametria!C:C,0))</f>
        <v>RVLBU</v>
      </c>
      <c r="AP179" s="26">
        <f>Tabla_Consulta_desde_Reporte_de_Valorización_de_Instrumentos[[#This Row],[Huella]]/$AU$4</f>
        <v>0.21446945692912547</v>
      </c>
      <c r="AQ179" s="26" t="str">
        <f>IFERROR(INDEX('BD(MSCI)'!W:W,MATCH(Tabla_Consulta_desde_Reporte_de_Valorización_de_Instrumentos[[#This Row],[CODIGO_ISIN]],'BD(MSCI)'!C:C,0)),IF(Tabla_Consulta_desde_Reporte_de_Valorización_de_Instrumentos[[#This Row],[Rank_rt]]="Cash","Cash","Cuestionario Integra"))</f>
        <v>Portafolio</v>
      </c>
      <c r="AR179" s="26" t="str">
        <f>IFERROR(INDEX('BD(MSCI)'!X:X,MATCH(Tabla_Consulta_desde_Reporte_de_Valorización_de_Instrumentos[[#This Row],[CODIGO_ISIN]],'BD(MSCI)'!C:C,0)),"Cuestionario Integra")</f>
        <v>Portafolio</v>
      </c>
      <c r="AU179" s="26"/>
    </row>
    <row r="180" spans="2:47" hidden="1" x14ac:dyDescent="0.25">
      <c r="B180" s="14" t="s">
        <v>6390</v>
      </c>
      <c r="C180" t="s">
        <v>422</v>
      </c>
      <c r="D180" t="s">
        <v>12</v>
      </c>
      <c r="E180" t="s">
        <v>423</v>
      </c>
      <c r="F180" t="s">
        <v>480</v>
      </c>
      <c r="G180" t="str">
        <f>INDEX(Parametria!H:H,MATCH(Tabla_Consulta_desde_Reporte_de_Valorización_de_Instrumentos[[#This Row],[CODIGO_SBS]],Parametria!C:C,0),1)</f>
        <v>Nexa Perú (Milpo)</v>
      </c>
      <c r="H180" t="s">
        <v>481</v>
      </c>
      <c r="I180" t="s">
        <v>482</v>
      </c>
      <c r="J180" t="s">
        <v>483</v>
      </c>
      <c r="K180" t="s">
        <v>90</v>
      </c>
      <c r="L180">
        <v>1</v>
      </c>
      <c r="M180" s="5">
        <v>21386231.612081598</v>
      </c>
      <c r="N180">
        <v>21386231.612081598</v>
      </c>
      <c r="O180">
        <v>9108836</v>
      </c>
      <c r="P180" s="15"/>
      <c r="R180">
        <v>1</v>
      </c>
      <c r="S180" t="s">
        <v>428</v>
      </c>
      <c r="T180">
        <v>21386231.612081598</v>
      </c>
      <c r="U180" s="5">
        <v>21386231.612081598</v>
      </c>
      <c r="V180" t="s">
        <v>484</v>
      </c>
      <c r="W180">
        <v>1000143000</v>
      </c>
      <c r="X180">
        <v>200866000</v>
      </c>
      <c r="Y180">
        <v>799277000</v>
      </c>
      <c r="Z180">
        <v>0</v>
      </c>
      <c r="AA180" t="str">
        <f>+MID(Tabla_Consulta_desde_Reporte_de_Valorización_de_Instrumentos[[#This Row],[CODIGO_SBS]],7,1)</f>
        <v>1</v>
      </c>
      <c r="AB180">
        <f>INDEX('Cálculo Caja'!F:F,MATCH(Tabla_Consulta_desde_Reporte_de_Valorización_de_Instrumentos[[#This Row],[PORTAFOLIO]],'Cálculo Caja'!A:A,0),1)</f>
        <v>7679510866.0565634</v>
      </c>
      <c r="AC180" s="17">
        <f>Tabla_Consulta_desde_Reporte_de_Valorización_de_Instrumentos[[#This Row],[VALOR_VECTOR_LOCAL]]/Tabla_Consulta_desde_Reporte_de_Valorización_de_Instrumentos[[#This Row],[Patrimonio]]</f>
        <v>2.7848429392305098E-3</v>
      </c>
      <c r="AD180" s="4">
        <f>(Tabla_Consulta_desde_Reporte_de_Valorización_de_Instrumentos[[#This Row],[VALOR_VECTOR_LOCAL]]/INDEX('Tipo de Cambio'!$D:$D,MATCH("2",'Tipo de Cambio'!$E:$E,0),1))/1000000</f>
        <v>6.3632454438042183</v>
      </c>
      <c r="AE180">
        <f>IF(Tabla_Consulta_desde_Reporte_de_Valorización_de_Instrumentos[[#This Row],[PORTAFOLIO]]="IN-FONDO0",Tabla_Consulta_desde_Reporte_de_Valorización_de_Instrumentos[[#This Row],[Inv MM$]],0)</f>
        <v>0</v>
      </c>
      <c r="AF180" s="26">
        <f>IF(Tabla_Consulta_desde_Reporte_de_Valorización_de_Instrumentos[[#This Row],[PORTAFOLIO]]="IN-FONDO1",Tabla_Consulta_desde_Reporte_de_Valorización_de_Instrumentos[[#This Row],[Inv MM$]],0)</f>
        <v>6.3632454438042183</v>
      </c>
      <c r="AG180" s="26">
        <f>IF(Tabla_Consulta_desde_Reporte_de_Valorización_de_Instrumentos[[#This Row],[PORTAFOLIO]]="IN-FONDO2",Tabla_Consulta_desde_Reporte_de_Valorización_de_Instrumentos[[#This Row],[Inv MM$]],0)</f>
        <v>0</v>
      </c>
      <c r="AH180" s="26">
        <f>IF(Tabla_Consulta_desde_Reporte_de_Valorización_de_Instrumentos[[#This Row],[PORTAFOLIO]]="IN-FONDO3",Tabla_Consulta_desde_Reporte_de_Valorización_de_Instrumentos[[#This Row],[Inv MM$]],0)</f>
        <v>0</v>
      </c>
      <c r="AI18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83.092252044235522</v>
      </c>
      <c r="AJ180" s="26">
        <f>IFERROR(IFERROR(INDEX('BD(MSCI)'!$T:$T,MATCH(Tabla_Consulta_desde_Reporte_de_Valorización_de_Instrumentos[[#This Row],[CODIGO_ISIN]],'BD(MSCI)'!$C:$C,0),1),INDEX('BD(MSCI)'!$T:$T,MATCH(Tabla_Consulta_desde_Reporte_de_Valorización_de_Instrumentos[[#This Row],[CODIGO_SBS]],'BD(MSCI)'!$C:$C,0),1)),0)</f>
        <v>277.81</v>
      </c>
      <c r="AK180" s="26">
        <f>Tabla_Consulta_desde_Reporte_de_Valorización_de_Instrumentos[[#This Row],[C02-H]]*Tabla_Consulta_desde_Reporte_de_Valorización_de_Instrumentos[[#This Row],[Inv MM$]]</f>
        <v>1767.7732167432498</v>
      </c>
      <c r="AL180" s="26">
        <f>Tabla_Consulta_desde_Reporte_de_Valorización_de_Instrumentos[[#This Row],[C02-H]]*Tabla_Consulta_desde_Reporte_de_Valorización_de_Instrumentos[[#This Row],[Weight]]</f>
        <v>0.7736572169476279</v>
      </c>
      <c r="AM180" s="26" t="str">
        <f>INDEX(Parametria!G:G,MATCH(Tabla_Consulta_desde_Reporte_de_Valorización_de_Instrumentos[[#This Row],[CODIGO_SBS]],Parametria!C:C,0))</f>
        <v>30RVL</v>
      </c>
      <c r="AN180" s="26" t="str">
        <f>INDEX(Parametria!F:F,MATCH(Tabla_Consulta_desde_Reporte_de_Valorización_de_Instrumentos[[#This Row],[CODIGO_SBS]],Parametria!C:C,0))</f>
        <v>BU</v>
      </c>
      <c r="AO180" s="26" t="str">
        <f>+INDEX(Parametria!J:J,MATCH(Tabla_Consulta_desde_Reporte_de_Valorización_de_Instrumentos[[#This Row],[CODIGO_SBS]],Parametria!C:C,0))</f>
        <v>RVLBU</v>
      </c>
      <c r="AP180" s="26">
        <f>Tabla_Consulta_desde_Reporte_de_Valorización_de_Instrumentos[[#This Row],[Huella]]/$AU$4</f>
        <v>0.16388101801022537</v>
      </c>
      <c r="AQ180" s="26" t="str">
        <f>IFERROR(INDEX('BD(MSCI)'!W:W,MATCH(Tabla_Consulta_desde_Reporte_de_Valorización_de_Instrumentos[[#This Row],[CODIGO_ISIN]],'BD(MSCI)'!C:C,0)),IF(Tabla_Consulta_desde_Reporte_de_Valorización_de_Instrumentos[[#This Row],[Rank_rt]]="Cash","Cash","Cuestionario Integra"))</f>
        <v>Portafolio</v>
      </c>
      <c r="AR180" s="26" t="str">
        <f>IFERROR(INDEX('BD(MSCI)'!X:X,MATCH(Tabla_Consulta_desde_Reporte_de_Valorización_de_Instrumentos[[#This Row],[CODIGO_ISIN]],'BD(MSCI)'!C:C,0)),"Cuestionario Integra")</f>
        <v>Portafolio</v>
      </c>
      <c r="AU180" s="26"/>
    </row>
    <row r="181" spans="2:47" hidden="1" x14ac:dyDescent="0.25">
      <c r="B181" s="14" t="s">
        <v>6390</v>
      </c>
      <c r="C181" t="s">
        <v>422</v>
      </c>
      <c r="D181" t="s">
        <v>12</v>
      </c>
      <c r="E181" t="s">
        <v>423</v>
      </c>
      <c r="F181" t="s">
        <v>488</v>
      </c>
      <c r="G181" t="str">
        <f>INDEX(Parametria!H:H,MATCH(Tabla_Consulta_desde_Reporte_de_Valorización_de_Instrumentos[[#This Row],[CODIGO_SBS]],Parametria!C:C,0),1)</f>
        <v>Volcan A</v>
      </c>
      <c r="H181" t="s">
        <v>489</v>
      </c>
      <c r="I181" t="s">
        <v>490</v>
      </c>
      <c r="J181" t="s">
        <v>346</v>
      </c>
      <c r="K181" t="s">
        <v>90</v>
      </c>
      <c r="L181">
        <v>0.66</v>
      </c>
      <c r="M181" s="5">
        <v>50.92</v>
      </c>
      <c r="N181">
        <v>50.92</v>
      </c>
      <c r="O181">
        <v>67</v>
      </c>
      <c r="P181" s="15"/>
      <c r="R181">
        <v>1</v>
      </c>
      <c r="S181" t="s">
        <v>428</v>
      </c>
      <c r="T181">
        <v>50.92</v>
      </c>
      <c r="U181" s="5">
        <v>50.92</v>
      </c>
      <c r="V181" t="s">
        <v>347</v>
      </c>
      <c r="W181">
        <v>1998706000</v>
      </c>
      <c r="X181">
        <v>1233496000</v>
      </c>
      <c r="Y181">
        <v>765210000</v>
      </c>
      <c r="Z181">
        <v>0</v>
      </c>
      <c r="AA181" t="str">
        <f>+MID(Tabla_Consulta_desde_Reporte_de_Valorización_de_Instrumentos[[#This Row],[CODIGO_SBS]],7,1)</f>
        <v>1</v>
      </c>
      <c r="AB181">
        <f>INDEX('Cálculo Caja'!F:F,MATCH(Tabla_Consulta_desde_Reporte_de_Valorización_de_Instrumentos[[#This Row],[PORTAFOLIO]],'Cálculo Caja'!A:A,0),1)</f>
        <v>7679510866.0565634</v>
      </c>
      <c r="AC181" s="17">
        <f>Tabla_Consulta_desde_Reporte_de_Valorización_de_Instrumentos[[#This Row],[VALOR_VECTOR_LOCAL]]/Tabla_Consulta_desde_Reporte_de_Valorización_de_Instrumentos[[#This Row],[Patrimonio]]</f>
        <v>6.6306306336600674E-9</v>
      </c>
      <c r="AD181" s="4">
        <f>(Tabla_Consulta_desde_Reporte_de_Valorización_de_Instrumentos[[#This Row],[VALOR_VECTOR_LOCAL]]/INDEX('Tipo de Cambio'!$D:$D,MATCH("2",'Tipo de Cambio'!$E:$E,0),1))/1000000</f>
        <v>1.5150703680561754E-5</v>
      </c>
      <c r="AE181">
        <f>IF(Tabla_Consulta_desde_Reporte_de_Valorización_de_Instrumentos[[#This Row],[PORTAFOLIO]]="IN-FONDO0",Tabla_Consulta_desde_Reporte_de_Valorización_de_Instrumentos[[#This Row],[Inv MM$]],0)</f>
        <v>0</v>
      </c>
      <c r="AF181" s="26">
        <f>IF(Tabla_Consulta_desde_Reporte_de_Valorización_de_Instrumentos[[#This Row],[PORTAFOLIO]]="IN-FONDO1",Tabla_Consulta_desde_Reporte_de_Valorización_de_Instrumentos[[#This Row],[Inv MM$]],0)</f>
        <v>1.5150703680561754E-5</v>
      </c>
      <c r="AG181" s="26">
        <f>IF(Tabla_Consulta_desde_Reporte_de_Valorización_de_Instrumentos[[#This Row],[PORTAFOLIO]]="IN-FONDO2",Tabla_Consulta_desde_Reporte_de_Valorización_de_Instrumentos[[#This Row],[Inv MM$]],0)</f>
        <v>0</v>
      </c>
      <c r="AH181" s="26">
        <f>IF(Tabla_Consulta_desde_Reporte_de_Valorización_de_Instrumentos[[#This Row],[PORTAFOLIO]]="IN-FONDO3",Tabla_Consulta_desde_Reporte_de_Valorización_de_Instrumentos[[#This Row],[Inv MM$]],0)</f>
        <v>0</v>
      </c>
      <c r="AI18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2.2612990568002619E-4</v>
      </c>
      <c r="AJ181" s="26">
        <f>IFERROR(IFERROR(INDEX('BD(MSCI)'!$T:$T,MATCH(Tabla_Consulta_desde_Reporte_de_Valorización_de_Instrumentos[[#This Row],[CODIGO_ISIN]],'BD(MSCI)'!$C:$C,0),1),INDEX('BD(MSCI)'!$T:$T,MATCH(Tabla_Consulta_desde_Reporte_de_Valorización_de_Instrumentos[[#This Row],[CODIGO_SBS]],'BD(MSCI)'!$C:$C,0),1)),0)</f>
        <v>161.47999999999999</v>
      </c>
      <c r="AK181" s="26">
        <f>Tabla_Consulta_desde_Reporte_de_Valorización_de_Instrumentos[[#This Row],[C02-H]]*Tabla_Consulta_desde_Reporte_de_Valorización_de_Instrumentos[[#This Row],[Inv MM$]]</f>
        <v>2.446535630337112E-3</v>
      </c>
      <c r="AL181" s="26">
        <f>Tabla_Consulta_desde_Reporte_de_Valorización_de_Instrumentos[[#This Row],[C02-H]]*Tabla_Consulta_desde_Reporte_de_Valorización_de_Instrumentos[[#This Row],[Weight]]</f>
        <v>1.0707142347234277E-6</v>
      </c>
      <c r="AM181" s="26" t="str">
        <f>INDEX(Parametria!G:G,MATCH(Tabla_Consulta_desde_Reporte_de_Valorización_de_Instrumentos[[#This Row],[CODIGO_SBS]],Parametria!C:C,0))</f>
        <v>30RVL</v>
      </c>
      <c r="AN181" s="26" t="str">
        <f>INDEX(Parametria!F:F,MATCH(Tabla_Consulta_desde_Reporte_de_Valorización_de_Instrumentos[[#This Row],[CODIGO_SBS]],Parametria!C:C,0))</f>
        <v>BU</v>
      </c>
      <c r="AO181" s="26" t="str">
        <f>+INDEX(Parametria!J:J,MATCH(Tabla_Consulta_desde_Reporte_de_Valorización_de_Instrumentos[[#This Row],[CODIGO_SBS]],Parametria!C:C,0))</f>
        <v>RVLBU</v>
      </c>
      <c r="AP181" s="26">
        <f>Tabla_Consulta_desde_Reporte_de_Valorización_de_Instrumentos[[#This Row],[Huella]]/$AU$4</f>
        <v>2.2680553472610208E-7</v>
      </c>
      <c r="AQ181" s="26" t="str">
        <f>IFERROR(INDEX('BD(MSCI)'!W:W,MATCH(Tabla_Consulta_desde_Reporte_de_Valorización_de_Instrumentos[[#This Row],[CODIGO_ISIN]],'BD(MSCI)'!C:C,0)),IF(Tabla_Consulta_desde_Reporte_de_Valorización_de_Instrumentos[[#This Row],[Rank_rt]]="Cash","Cash","Cuestionario Integra"))</f>
        <v>Portafolio</v>
      </c>
      <c r="AR181" s="26" t="str">
        <f>IFERROR(INDEX('BD(MSCI)'!X:X,MATCH(Tabla_Consulta_desde_Reporte_de_Valorización_de_Instrumentos[[#This Row],[CODIGO_ISIN]],'BD(MSCI)'!C:C,0)),"Cuestionario Integra")</f>
        <v>Portafolio</v>
      </c>
      <c r="AU181" s="26"/>
    </row>
    <row r="182" spans="2:47" hidden="1" x14ac:dyDescent="0.25">
      <c r="B182" s="14" t="s">
        <v>6390</v>
      </c>
      <c r="C182" t="s">
        <v>422</v>
      </c>
      <c r="D182" t="s">
        <v>11</v>
      </c>
      <c r="E182" t="s">
        <v>423</v>
      </c>
      <c r="F182" t="s">
        <v>488</v>
      </c>
      <c r="G182" t="str">
        <f>INDEX(Parametria!H:H,MATCH(Tabla_Consulta_desde_Reporte_de_Valorización_de_Instrumentos[[#This Row],[CODIGO_SBS]],Parametria!C:C,0),1)</f>
        <v>Volcan A</v>
      </c>
      <c r="H182" t="s">
        <v>489</v>
      </c>
      <c r="I182" t="s">
        <v>490</v>
      </c>
      <c r="J182" t="s">
        <v>346</v>
      </c>
      <c r="K182" t="s">
        <v>90</v>
      </c>
      <c r="L182">
        <v>0.66</v>
      </c>
      <c r="M182" s="5">
        <v>352.64</v>
      </c>
      <c r="N182">
        <v>352.64</v>
      </c>
      <c r="O182">
        <v>464</v>
      </c>
      <c r="P182" s="15"/>
      <c r="R182">
        <v>1</v>
      </c>
      <c r="S182" t="s">
        <v>428</v>
      </c>
      <c r="T182">
        <v>352.64</v>
      </c>
      <c r="U182" s="5">
        <v>352.64</v>
      </c>
      <c r="V182" t="s">
        <v>347</v>
      </c>
      <c r="W182">
        <v>1998706000</v>
      </c>
      <c r="X182">
        <v>1233496000</v>
      </c>
      <c r="Y182">
        <v>765210000</v>
      </c>
      <c r="Z182">
        <v>0</v>
      </c>
      <c r="AA182" t="str">
        <f>+MID(Tabla_Consulta_desde_Reporte_de_Valorización_de_Instrumentos[[#This Row],[CODIGO_SBS]],7,1)</f>
        <v>1</v>
      </c>
      <c r="AB182">
        <f>INDEX('Cálculo Caja'!F:F,MATCH(Tabla_Consulta_desde_Reporte_de_Valorización_de_Instrumentos[[#This Row],[PORTAFOLIO]],'Cálculo Caja'!A:A,0),1)</f>
        <v>3164069580.822104</v>
      </c>
      <c r="AC182" s="17">
        <f>Tabla_Consulta_desde_Reporte_de_Valorización_de_Instrumentos[[#This Row],[VALOR_VECTOR_LOCAL]]/Tabla_Consulta_desde_Reporte_de_Valorización_de_Instrumentos[[#This Row],[Patrimonio]]</f>
        <v>1.1145140490506386E-7</v>
      </c>
      <c r="AD182" s="4">
        <f>(Tabla_Consulta_desde_Reporte_de_Valorización_de_Instrumentos[[#This Row],[VALOR_VECTOR_LOCAL]]/INDEX('Tipo de Cambio'!$D:$D,MATCH("2",'Tipo de Cambio'!$E:$E,0),1))/1000000</f>
        <v>1.0492427623553214E-4</v>
      </c>
      <c r="AE182">
        <f>IF(Tabla_Consulta_desde_Reporte_de_Valorización_de_Instrumentos[[#This Row],[PORTAFOLIO]]="IN-FONDO0",Tabla_Consulta_desde_Reporte_de_Valorización_de_Instrumentos[[#This Row],[Inv MM$]],0)</f>
        <v>0</v>
      </c>
      <c r="AF182" s="26">
        <f>IF(Tabla_Consulta_desde_Reporte_de_Valorización_de_Instrumentos[[#This Row],[PORTAFOLIO]]="IN-FONDO1",Tabla_Consulta_desde_Reporte_de_Valorización_de_Instrumentos[[#This Row],[Inv MM$]],0)</f>
        <v>0</v>
      </c>
      <c r="AG182" s="26">
        <f>IF(Tabla_Consulta_desde_Reporte_de_Valorización_de_Instrumentos[[#This Row],[PORTAFOLIO]]="IN-FONDO2",Tabla_Consulta_desde_Reporte_de_Valorización_de_Instrumentos[[#This Row],[Inv MM$]],0)</f>
        <v>0</v>
      </c>
      <c r="AH182" s="26">
        <f>IF(Tabla_Consulta_desde_Reporte_de_Valorización_de_Instrumentos[[#This Row],[PORTAFOLIO]]="IN-FONDO3",Tabla_Consulta_desde_Reporte_de_Valorización_de_Instrumentos[[#This Row],[Inv MM$]],0)</f>
        <v>1.0492427623553214E-4</v>
      </c>
      <c r="AI18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2.2612990568002619E-4</v>
      </c>
      <c r="AJ182" s="26">
        <f>IFERROR(IFERROR(INDEX('BD(MSCI)'!$T:$T,MATCH(Tabla_Consulta_desde_Reporte_de_Valorización_de_Instrumentos[[#This Row],[CODIGO_ISIN]],'BD(MSCI)'!$C:$C,0),1),INDEX('BD(MSCI)'!$T:$T,MATCH(Tabla_Consulta_desde_Reporte_de_Valorización_de_Instrumentos[[#This Row],[CODIGO_SBS]],'BD(MSCI)'!$C:$C,0),1)),0)</f>
        <v>161.47999999999999</v>
      </c>
      <c r="AK182" s="26">
        <f>Tabla_Consulta_desde_Reporte_de_Valorización_de_Instrumentos[[#This Row],[C02-H]]*Tabla_Consulta_desde_Reporte_de_Valorización_de_Instrumentos[[#This Row],[Inv MM$]]</f>
        <v>1.6943172126513729E-2</v>
      </c>
      <c r="AL182" s="26">
        <f>Tabla_Consulta_desde_Reporte_de_Valorización_de_Instrumentos[[#This Row],[C02-H]]*Tabla_Consulta_desde_Reporte_de_Valorización_de_Instrumentos[[#This Row],[Weight]]</f>
        <v>1.7997172864069712E-5</v>
      </c>
      <c r="AM182" s="26" t="str">
        <f>INDEX(Parametria!G:G,MATCH(Tabla_Consulta_desde_Reporte_de_Valorización_de_Instrumentos[[#This Row],[CODIGO_SBS]],Parametria!C:C,0))</f>
        <v>30RVL</v>
      </c>
      <c r="AN182" s="26" t="str">
        <f>INDEX(Parametria!F:F,MATCH(Tabla_Consulta_desde_Reporte_de_Valorización_de_Instrumentos[[#This Row],[CODIGO_SBS]],Parametria!C:C,0))</f>
        <v>BU</v>
      </c>
      <c r="AO182" s="26" t="str">
        <f>+INDEX(Parametria!J:J,MATCH(Tabla_Consulta_desde_Reporte_de_Valorización_de_Instrumentos[[#This Row],[CODIGO_SBS]],Parametria!C:C,0))</f>
        <v>RVLBU</v>
      </c>
      <c r="AP182" s="26">
        <f>Tabla_Consulta_desde_Reporte_de_Valorización_de_Instrumentos[[#This Row],[Huella]]/$AU$4</f>
        <v>1.5707129569091247E-6</v>
      </c>
      <c r="AQ182" s="26" t="str">
        <f>IFERROR(INDEX('BD(MSCI)'!W:W,MATCH(Tabla_Consulta_desde_Reporte_de_Valorización_de_Instrumentos[[#This Row],[CODIGO_ISIN]],'BD(MSCI)'!C:C,0)),IF(Tabla_Consulta_desde_Reporte_de_Valorización_de_Instrumentos[[#This Row],[Rank_rt]]="Cash","Cash","Cuestionario Integra"))</f>
        <v>Portafolio</v>
      </c>
      <c r="AR182" s="26" t="str">
        <f>IFERROR(INDEX('BD(MSCI)'!X:X,MATCH(Tabla_Consulta_desde_Reporte_de_Valorización_de_Instrumentos[[#This Row],[CODIGO_ISIN]],'BD(MSCI)'!C:C,0)),"Cuestionario Integra")</f>
        <v>Portafolio</v>
      </c>
      <c r="AU182" s="26"/>
    </row>
    <row r="183" spans="2:47" hidden="1" x14ac:dyDescent="0.25">
      <c r="B183" s="14" t="s">
        <v>6390</v>
      </c>
      <c r="C183" t="s">
        <v>422</v>
      </c>
      <c r="D183" t="s">
        <v>10</v>
      </c>
      <c r="E183" t="s">
        <v>423</v>
      </c>
      <c r="F183" t="s">
        <v>488</v>
      </c>
      <c r="G183" t="str">
        <f>INDEX(Parametria!H:H,MATCH(Tabla_Consulta_desde_Reporte_de_Valorización_de_Instrumentos[[#This Row],[CODIGO_SBS]],Parametria!C:C,0),1)</f>
        <v>Volcan A</v>
      </c>
      <c r="H183" t="s">
        <v>489</v>
      </c>
      <c r="I183" t="s">
        <v>490</v>
      </c>
      <c r="J183" t="s">
        <v>346</v>
      </c>
      <c r="K183" t="s">
        <v>90</v>
      </c>
      <c r="L183">
        <v>0.66</v>
      </c>
      <c r="M183" s="5">
        <v>356.44</v>
      </c>
      <c r="N183">
        <v>356.44</v>
      </c>
      <c r="O183">
        <v>469</v>
      </c>
      <c r="P183" s="15"/>
      <c r="R183">
        <v>1</v>
      </c>
      <c r="S183" t="s">
        <v>428</v>
      </c>
      <c r="T183">
        <v>356.44</v>
      </c>
      <c r="U183" s="5">
        <v>356.44</v>
      </c>
      <c r="V183" t="s">
        <v>347</v>
      </c>
      <c r="W183">
        <v>1998706000</v>
      </c>
      <c r="X183">
        <v>1233496000</v>
      </c>
      <c r="Y183">
        <v>765210000</v>
      </c>
      <c r="Z183">
        <v>0</v>
      </c>
      <c r="AA183" t="str">
        <f>+MID(Tabla_Consulta_desde_Reporte_de_Valorización_de_Instrumentos[[#This Row],[CODIGO_SBS]],7,1)</f>
        <v>1</v>
      </c>
      <c r="AB183">
        <f>INDEX('Cálculo Caja'!F:F,MATCH(Tabla_Consulta_desde_Reporte_de_Valorización_de_Instrumentos[[#This Row],[PORTAFOLIO]],'Cálculo Caja'!A:A,0),1)</f>
        <v>26256910350.436607</v>
      </c>
      <c r="AC183" s="17">
        <f>Tabla_Consulta_desde_Reporte_de_Valorización_de_Instrumentos[[#This Row],[VALOR_VECTOR_LOCAL]]/Tabla_Consulta_desde_Reporte_de_Valorización_de_Instrumentos[[#This Row],[Patrimonio]]</f>
        <v>1.3575093003814632E-8</v>
      </c>
      <c r="AD183" s="4">
        <f>(Tabla_Consulta_desde_Reporte_de_Valorización_de_Instrumentos[[#This Row],[VALOR_VECTOR_LOCAL]]/INDEX('Tipo de Cambio'!$D:$D,MATCH("2",'Tipo de Cambio'!$E:$E,0),1))/1000000</f>
        <v>1.0605492576393228E-4</v>
      </c>
      <c r="AE183">
        <f>IF(Tabla_Consulta_desde_Reporte_de_Valorización_de_Instrumentos[[#This Row],[PORTAFOLIO]]="IN-FONDO0",Tabla_Consulta_desde_Reporte_de_Valorización_de_Instrumentos[[#This Row],[Inv MM$]],0)</f>
        <v>0</v>
      </c>
      <c r="AF183" s="26">
        <f>IF(Tabla_Consulta_desde_Reporte_de_Valorización_de_Instrumentos[[#This Row],[PORTAFOLIO]]="IN-FONDO1",Tabla_Consulta_desde_Reporte_de_Valorización_de_Instrumentos[[#This Row],[Inv MM$]],0)</f>
        <v>0</v>
      </c>
      <c r="AG183" s="26">
        <f>IF(Tabla_Consulta_desde_Reporte_de_Valorización_de_Instrumentos[[#This Row],[PORTAFOLIO]]="IN-FONDO2",Tabla_Consulta_desde_Reporte_de_Valorización_de_Instrumentos[[#This Row],[Inv MM$]],0)</f>
        <v>1.0605492576393228E-4</v>
      </c>
      <c r="AH183" s="26">
        <f>IF(Tabla_Consulta_desde_Reporte_de_Valorización_de_Instrumentos[[#This Row],[PORTAFOLIO]]="IN-FONDO3",Tabla_Consulta_desde_Reporte_de_Valorización_de_Instrumentos[[#This Row],[Inv MM$]],0)</f>
        <v>0</v>
      </c>
      <c r="AI18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2.2612990568002619E-4</v>
      </c>
      <c r="AJ183" s="26">
        <f>IFERROR(IFERROR(INDEX('BD(MSCI)'!$T:$T,MATCH(Tabla_Consulta_desde_Reporte_de_Valorización_de_Instrumentos[[#This Row],[CODIGO_ISIN]],'BD(MSCI)'!$C:$C,0),1),INDEX('BD(MSCI)'!$T:$T,MATCH(Tabla_Consulta_desde_Reporte_de_Valorización_de_Instrumentos[[#This Row],[CODIGO_SBS]],'BD(MSCI)'!$C:$C,0),1)),0)</f>
        <v>161.47999999999999</v>
      </c>
      <c r="AK183" s="26">
        <f>Tabla_Consulta_desde_Reporte_de_Valorización_de_Instrumentos[[#This Row],[C02-H]]*Tabla_Consulta_desde_Reporte_de_Valorización_de_Instrumentos[[#This Row],[Inv MM$]]</f>
        <v>1.7125749412359784E-2</v>
      </c>
      <c r="AL183" s="26">
        <f>Tabla_Consulta_desde_Reporte_de_Valorización_de_Instrumentos[[#This Row],[C02-H]]*Tabla_Consulta_desde_Reporte_de_Valorización_de_Instrumentos[[#This Row],[Weight]]</f>
        <v>2.1921060182559867E-6</v>
      </c>
      <c r="AM183" s="26" t="str">
        <f>INDEX(Parametria!G:G,MATCH(Tabla_Consulta_desde_Reporte_de_Valorización_de_Instrumentos[[#This Row],[CODIGO_SBS]],Parametria!C:C,0))</f>
        <v>30RVL</v>
      </c>
      <c r="AN183" s="26" t="str">
        <f>INDEX(Parametria!F:F,MATCH(Tabla_Consulta_desde_Reporte_de_Valorización_de_Instrumentos[[#This Row],[CODIGO_SBS]],Parametria!C:C,0))</f>
        <v>BU</v>
      </c>
      <c r="AO183" s="26" t="str">
        <f>+INDEX(Parametria!J:J,MATCH(Tabla_Consulta_desde_Reporte_de_Valorización_de_Instrumentos[[#This Row],[CODIGO_SBS]],Parametria!C:C,0))</f>
        <v>RVLBU</v>
      </c>
      <c r="AP183" s="26">
        <f>Tabla_Consulta_desde_Reporte_de_Valorización_de_Instrumentos[[#This Row],[Huella]]/$AU$4</f>
        <v>1.5876387430827146E-6</v>
      </c>
      <c r="AQ183" s="26" t="str">
        <f>IFERROR(INDEX('BD(MSCI)'!W:W,MATCH(Tabla_Consulta_desde_Reporte_de_Valorización_de_Instrumentos[[#This Row],[CODIGO_ISIN]],'BD(MSCI)'!C:C,0)),IF(Tabla_Consulta_desde_Reporte_de_Valorización_de_Instrumentos[[#This Row],[Rank_rt]]="Cash","Cash","Cuestionario Integra"))</f>
        <v>Portafolio</v>
      </c>
      <c r="AR183" s="26" t="str">
        <f>IFERROR(INDEX('BD(MSCI)'!X:X,MATCH(Tabla_Consulta_desde_Reporte_de_Valorización_de_Instrumentos[[#This Row],[CODIGO_ISIN]],'BD(MSCI)'!C:C,0)),"Cuestionario Integra")</f>
        <v>Portafolio</v>
      </c>
      <c r="AU183" s="26"/>
    </row>
    <row r="184" spans="2:47" hidden="1" x14ac:dyDescent="0.25">
      <c r="B184" s="14" t="s">
        <v>6390</v>
      </c>
      <c r="C184" t="s">
        <v>422</v>
      </c>
      <c r="D184" t="s">
        <v>11</v>
      </c>
      <c r="E184" t="s">
        <v>423</v>
      </c>
      <c r="F184" t="s">
        <v>485</v>
      </c>
      <c r="G184" t="str">
        <f>INDEX(Parametria!H:H,MATCH(Tabla_Consulta_desde_Reporte_de_Valorización_de_Instrumentos[[#This Row],[CODIGO_SBS]],Parametria!C:C,0),1)</f>
        <v>Volcan B</v>
      </c>
      <c r="H184" t="s">
        <v>486</v>
      </c>
      <c r="I184" t="s">
        <v>487</v>
      </c>
      <c r="J184" t="s">
        <v>346</v>
      </c>
      <c r="K184" t="s">
        <v>90</v>
      </c>
      <c r="L184">
        <v>0.66</v>
      </c>
      <c r="M184" s="5">
        <v>26371648.897955999</v>
      </c>
      <c r="N184">
        <v>26371648.897955999</v>
      </c>
      <c r="O184">
        <v>35930684</v>
      </c>
      <c r="P184" s="15"/>
      <c r="R184">
        <v>1</v>
      </c>
      <c r="S184" t="s">
        <v>428</v>
      </c>
      <c r="T184">
        <v>27221495.808197599</v>
      </c>
      <c r="U184" s="5">
        <v>27221495.808197599</v>
      </c>
      <c r="V184" t="s">
        <v>347</v>
      </c>
      <c r="W184">
        <v>1998706000</v>
      </c>
      <c r="X184">
        <v>1233496000</v>
      </c>
      <c r="Y184">
        <v>765210000</v>
      </c>
      <c r="Z184">
        <v>-2.3652400000000001E-2</v>
      </c>
      <c r="AA184" t="str">
        <f>+MID(Tabla_Consulta_desde_Reporte_de_Valorización_de_Instrumentos[[#This Row],[CODIGO_SBS]],7,1)</f>
        <v>1</v>
      </c>
      <c r="AB184">
        <f>INDEX('Cálculo Caja'!F:F,MATCH(Tabla_Consulta_desde_Reporte_de_Valorización_de_Instrumentos[[#This Row],[PORTAFOLIO]],'Cálculo Caja'!A:A,0),1)</f>
        <v>3164069580.822104</v>
      </c>
      <c r="AC184" s="17">
        <f>Tabla_Consulta_desde_Reporte_de_Valorización_de_Instrumentos[[#This Row],[VALOR_VECTOR_LOCAL]]/Tabla_Consulta_desde_Reporte_de_Valorización_de_Instrumentos[[#This Row],[Patrimonio]]</f>
        <v>8.3347247032108523E-3</v>
      </c>
      <c r="AD184" s="4">
        <f>(Tabla_Consulta_desde_Reporte_de_Valorización_de_Instrumentos[[#This Row],[VALOR_VECTOR_LOCAL]]/INDEX('Tipo de Cambio'!$D:$D,MATCH("2",'Tipo de Cambio'!$E:$E,0),1))/1000000</f>
        <v>7.8466032604231009</v>
      </c>
      <c r="AE184">
        <f>IF(Tabla_Consulta_desde_Reporte_de_Valorización_de_Instrumentos[[#This Row],[PORTAFOLIO]]="IN-FONDO0",Tabla_Consulta_desde_Reporte_de_Valorización_de_Instrumentos[[#This Row],[Inv MM$]],0)</f>
        <v>0</v>
      </c>
      <c r="AF184" s="26">
        <f>IF(Tabla_Consulta_desde_Reporte_de_Valorización_de_Instrumentos[[#This Row],[PORTAFOLIO]]="IN-FONDO1",Tabla_Consulta_desde_Reporte_de_Valorización_de_Instrumentos[[#This Row],[Inv MM$]],0)</f>
        <v>0</v>
      </c>
      <c r="AG184" s="26">
        <f>IF(Tabla_Consulta_desde_Reporte_de_Valorización_de_Instrumentos[[#This Row],[PORTAFOLIO]]="IN-FONDO2",Tabla_Consulta_desde_Reporte_de_Valorización_de_Instrumentos[[#This Row],[Inv MM$]],0)</f>
        <v>0</v>
      </c>
      <c r="AH184" s="26">
        <f>IF(Tabla_Consulta_desde_Reporte_de_Valorización_de_Instrumentos[[#This Row],[PORTAFOLIO]]="IN-FONDO3",Tabla_Consulta_desde_Reporte_de_Valorización_de_Instrumentos[[#This Row],[Inv MM$]],0)</f>
        <v>7.8466032604231009</v>
      </c>
      <c r="AI18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26.079329759437652</v>
      </c>
      <c r="AJ184" s="26">
        <f>IFERROR(IFERROR(INDEX('BD(MSCI)'!$T:$T,MATCH(Tabla_Consulta_desde_Reporte_de_Valorización_de_Instrumentos[[#This Row],[CODIGO_ISIN]],'BD(MSCI)'!$C:$C,0),1),INDEX('BD(MSCI)'!$T:$T,MATCH(Tabla_Consulta_desde_Reporte_de_Valorización_de_Instrumentos[[#This Row],[CODIGO_SBS]],'BD(MSCI)'!$C:$C,0),1)),0)</f>
        <v>161.47999999999999</v>
      </c>
      <c r="AK184" s="26">
        <f>Tabla_Consulta_desde_Reporte_de_Valorización_de_Instrumentos[[#This Row],[C02-H]]*Tabla_Consulta_desde_Reporte_de_Valorización_de_Instrumentos[[#This Row],[Inv MM$]]</f>
        <v>1267.0694944931222</v>
      </c>
      <c r="AL184" s="26">
        <f>Tabla_Consulta_desde_Reporte_de_Valorización_de_Instrumentos[[#This Row],[C02-H]]*Tabla_Consulta_desde_Reporte_de_Valorización_de_Instrumentos[[#This Row],[Weight]]</f>
        <v>1.3458913450744883</v>
      </c>
      <c r="AM184" s="26" t="str">
        <f>INDEX(Parametria!G:G,MATCH(Tabla_Consulta_desde_Reporte_de_Valorización_de_Instrumentos[[#This Row],[CODIGO_SBS]],Parametria!C:C,0))</f>
        <v>30RVL</v>
      </c>
      <c r="AN184" s="26" t="str">
        <f>INDEX(Parametria!F:F,MATCH(Tabla_Consulta_desde_Reporte_de_Valorización_de_Instrumentos[[#This Row],[CODIGO_SBS]],Parametria!C:C,0))</f>
        <v>BU</v>
      </c>
      <c r="AO184" s="26" t="str">
        <f>+INDEX(Parametria!J:J,MATCH(Tabla_Consulta_desde_Reporte_de_Valorización_de_Instrumentos[[#This Row],[CODIGO_SBS]],Parametria!C:C,0))</f>
        <v>RVLBU</v>
      </c>
      <c r="AP184" s="26">
        <f>Tabla_Consulta_desde_Reporte_de_Valorización_de_Instrumentos[[#This Row],[Huella]]/$AU$4</f>
        <v>0.11746339218204892</v>
      </c>
      <c r="AQ184" s="26" t="str">
        <f>IFERROR(INDEX('BD(MSCI)'!W:W,MATCH(Tabla_Consulta_desde_Reporte_de_Valorización_de_Instrumentos[[#This Row],[CODIGO_ISIN]],'BD(MSCI)'!C:C,0)),IF(Tabla_Consulta_desde_Reporte_de_Valorización_de_Instrumentos[[#This Row],[Rank_rt]]="Cash","Cash","Cuestionario Integra"))</f>
        <v>Portafolio</v>
      </c>
      <c r="AR184" s="26" t="str">
        <f>IFERROR(INDEX('BD(MSCI)'!X:X,MATCH(Tabla_Consulta_desde_Reporte_de_Valorización_de_Instrumentos[[#This Row],[CODIGO_ISIN]],'BD(MSCI)'!C:C,0)),"Cuestionario Integra")</f>
        <v>Portafolio</v>
      </c>
      <c r="AU184" s="26"/>
    </row>
    <row r="185" spans="2:47" hidden="1" x14ac:dyDescent="0.25">
      <c r="B185" s="14" t="s">
        <v>6390</v>
      </c>
      <c r="C185" t="s">
        <v>422</v>
      </c>
      <c r="D185" t="s">
        <v>12</v>
      </c>
      <c r="E185" t="s">
        <v>423</v>
      </c>
      <c r="F185" t="s">
        <v>485</v>
      </c>
      <c r="G185" t="str">
        <f>INDEX(Parametria!H:H,MATCH(Tabla_Consulta_desde_Reporte_de_Valorización_de_Instrumentos[[#This Row],[CODIGO_SBS]],Parametria!C:C,0),1)</f>
        <v>Volcan B</v>
      </c>
      <c r="H185" t="s">
        <v>486</v>
      </c>
      <c r="I185" t="s">
        <v>487</v>
      </c>
      <c r="J185" t="s">
        <v>346</v>
      </c>
      <c r="K185" t="s">
        <v>90</v>
      </c>
      <c r="L185">
        <v>0.66</v>
      </c>
      <c r="M185" s="5">
        <v>3307980.3694830001</v>
      </c>
      <c r="N185">
        <v>3307980.3694830001</v>
      </c>
      <c r="O185">
        <v>4507037</v>
      </c>
      <c r="P185" s="15"/>
      <c r="R185">
        <v>1</v>
      </c>
      <c r="S185" t="s">
        <v>428</v>
      </c>
      <c r="T185">
        <v>3414582.6114218002</v>
      </c>
      <c r="U185" s="5">
        <v>3414582.6114218002</v>
      </c>
      <c r="V185" t="s">
        <v>347</v>
      </c>
      <c r="W185">
        <v>1998706000</v>
      </c>
      <c r="X185">
        <v>1233496000</v>
      </c>
      <c r="Y185">
        <v>765210000</v>
      </c>
      <c r="Z185">
        <v>-2.3652400000000001E-2</v>
      </c>
      <c r="AA185" t="str">
        <f>+MID(Tabla_Consulta_desde_Reporte_de_Valorización_de_Instrumentos[[#This Row],[CODIGO_SBS]],7,1)</f>
        <v>1</v>
      </c>
      <c r="AB185">
        <f>INDEX('Cálculo Caja'!F:F,MATCH(Tabla_Consulta_desde_Reporte_de_Valorización_de_Instrumentos[[#This Row],[PORTAFOLIO]],'Cálculo Caja'!A:A,0),1)</f>
        <v>7679510866.0565634</v>
      </c>
      <c r="AC185" s="17">
        <f>Tabla_Consulta_desde_Reporte_de_Valorización_de_Instrumentos[[#This Row],[VALOR_VECTOR_LOCAL]]/Tabla_Consulta_desde_Reporte_de_Valorización_de_Instrumentos[[#This Row],[Patrimonio]]</f>
        <v>4.3075404504006536E-4</v>
      </c>
      <c r="AD185" s="4">
        <f>(Tabla_Consulta_desde_Reporte_de_Valorización_de_Instrumentos[[#This Row],[VALOR_VECTOR_LOCAL]]/INDEX('Tipo de Cambio'!$D:$D,MATCH("2",'Tipo de Cambio'!$E:$E,0),1))/1000000</f>
        <v>0.98425432755601183</v>
      </c>
      <c r="AE185">
        <f>IF(Tabla_Consulta_desde_Reporte_de_Valorización_de_Instrumentos[[#This Row],[PORTAFOLIO]]="IN-FONDO0",Tabla_Consulta_desde_Reporte_de_Valorización_de_Instrumentos[[#This Row],[Inv MM$]],0)</f>
        <v>0</v>
      </c>
      <c r="AF185" s="26">
        <f>IF(Tabla_Consulta_desde_Reporte_de_Valorización_de_Instrumentos[[#This Row],[PORTAFOLIO]]="IN-FONDO1",Tabla_Consulta_desde_Reporte_de_Valorización_de_Instrumentos[[#This Row],[Inv MM$]],0)</f>
        <v>0.98425432755601183</v>
      </c>
      <c r="AG185" s="26">
        <f>IF(Tabla_Consulta_desde_Reporte_de_Valorización_de_Instrumentos[[#This Row],[PORTAFOLIO]]="IN-FONDO2",Tabla_Consulta_desde_Reporte_de_Valorización_de_Instrumentos[[#This Row],[Inv MM$]],0)</f>
        <v>0</v>
      </c>
      <c r="AH185" s="26">
        <f>IF(Tabla_Consulta_desde_Reporte_de_Valorización_de_Instrumentos[[#This Row],[PORTAFOLIO]]="IN-FONDO3",Tabla_Consulta_desde_Reporte_de_Valorización_de_Instrumentos[[#This Row],[Inv MM$]],0)</f>
        <v>0</v>
      </c>
      <c r="AI18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26.079329759437652</v>
      </c>
      <c r="AJ185" s="26">
        <f>IFERROR(IFERROR(INDEX('BD(MSCI)'!$T:$T,MATCH(Tabla_Consulta_desde_Reporte_de_Valorización_de_Instrumentos[[#This Row],[CODIGO_ISIN]],'BD(MSCI)'!$C:$C,0),1),INDEX('BD(MSCI)'!$T:$T,MATCH(Tabla_Consulta_desde_Reporte_de_Valorización_de_Instrumentos[[#This Row],[CODIGO_SBS]],'BD(MSCI)'!$C:$C,0),1)),0)</f>
        <v>161.47999999999999</v>
      </c>
      <c r="AK185" s="26">
        <f>Tabla_Consulta_desde_Reporte_de_Valorización_de_Instrumentos[[#This Row],[C02-H]]*Tabla_Consulta_desde_Reporte_de_Valorización_de_Instrumentos[[#This Row],[Inv MM$]]</f>
        <v>158.93738881374478</v>
      </c>
      <c r="AL185" s="26">
        <f>Tabla_Consulta_desde_Reporte_de_Valorización_de_Instrumentos[[#This Row],[C02-H]]*Tabla_Consulta_desde_Reporte_de_Valorización_de_Instrumentos[[#This Row],[Weight]]</f>
        <v>6.9558163193069747E-2</v>
      </c>
      <c r="AM185" s="26" t="str">
        <f>INDEX(Parametria!G:G,MATCH(Tabla_Consulta_desde_Reporte_de_Valorización_de_Instrumentos[[#This Row],[CODIGO_SBS]],Parametria!C:C,0))</f>
        <v>30RVL</v>
      </c>
      <c r="AN185" s="26" t="str">
        <f>INDEX(Parametria!F:F,MATCH(Tabla_Consulta_desde_Reporte_de_Valorización_de_Instrumentos[[#This Row],[CODIGO_SBS]],Parametria!C:C,0))</f>
        <v>BU</v>
      </c>
      <c r="AO185" s="26" t="str">
        <f>+INDEX(Parametria!J:J,MATCH(Tabla_Consulta_desde_Reporte_de_Valorización_de_Instrumentos[[#This Row],[CODIGO_SBS]],Parametria!C:C,0))</f>
        <v>RVLBU</v>
      </c>
      <c r="AP185" s="26">
        <f>Tabla_Consulta_desde_Reporte_de_Valorización_de_Instrumentos[[#This Row],[Huella]]/$AU$4</f>
        <v>1.4734254842184614E-2</v>
      </c>
      <c r="AQ185" s="26" t="str">
        <f>IFERROR(INDEX('BD(MSCI)'!W:W,MATCH(Tabla_Consulta_desde_Reporte_de_Valorización_de_Instrumentos[[#This Row],[CODIGO_ISIN]],'BD(MSCI)'!C:C,0)),IF(Tabla_Consulta_desde_Reporte_de_Valorización_de_Instrumentos[[#This Row],[Rank_rt]]="Cash","Cash","Cuestionario Integra"))</f>
        <v>Portafolio</v>
      </c>
      <c r="AR185" s="26" t="str">
        <f>IFERROR(INDEX('BD(MSCI)'!X:X,MATCH(Tabla_Consulta_desde_Reporte_de_Valorización_de_Instrumentos[[#This Row],[CODIGO_ISIN]],'BD(MSCI)'!C:C,0)),"Cuestionario Integra")</f>
        <v>Portafolio</v>
      </c>
      <c r="AU185" s="26"/>
    </row>
    <row r="186" spans="2:47" hidden="1" x14ac:dyDescent="0.25">
      <c r="B186" s="14" t="s">
        <v>6390</v>
      </c>
      <c r="C186" t="s">
        <v>422</v>
      </c>
      <c r="D186" t="s">
        <v>10</v>
      </c>
      <c r="E186" t="s">
        <v>423</v>
      </c>
      <c r="F186" t="s">
        <v>485</v>
      </c>
      <c r="G186" t="str">
        <f>INDEX(Parametria!H:H,MATCH(Tabla_Consulta_desde_Reporte_de_Valorización_de_Instrumentos[[#This Row],[CODIGO_SBS]],Parametria!C:C,0),1)</f>
        <v>Volcan B</v>
      </c>
      <c r="H186" t="s">
        <v>486</v>
      </c>
      <c r="I186" t="s">
        <v>487</v>
      </c>
      <c r="J186" t="s">
        <v>346</v>
      </c>
      <c r="K186" t="s">
        <v>90</v>
      </c>
      <c r="L186">
        <v>0.66</v>
      </c>
      <c r="M186" s="5">
        <v>57970390.121055</v>
      </c>
      <c r="N186">
        <v>57970390.121055</v>
      </c>
      <c r="O186">
        <v>78983145</v>
      </c>
      <c r="P186" s="15"/>
      <c r="R186">
        <v>1</v>
      </c>
      <c r="S186" t="s">
        <v>428</v>
      </c>
      <c r="T186">
        <v>59838531.059853002</v>
      </c>
      <c r="U186" s="5">
        <v>59838531.059853002</v>
      </c>
      <c r="V186" t="s">
        <v>347</v>
      </c>
      <c r="W186">
        <v>1998706000</v>
      </c>
      <c r="X186">
        <v>1233496000</v>
      </c>
      <c r="Y186">
        <v>765210000</v>
      </c>
      <c r="Z186">
        <v>-2.3652400000000001E-2</v>
      </c>
      <c r="AA186" t="str">
        <f>+MID(Tabla_Consulta_desde_Reporte_de_Valorización_de_Instrumentos[[#This Row],[CODIGO_SBS]],7,1)</f>
        <v>1</v>
      </c>
      <c r="AB186">
        <f>INDEX('Cálculo Caja'!F:F,MATCH(Tabla_Consulta_desde_Reporte_de_Valorización_de_Instrumentos[[#This Row],[PORTAFOLIO]],'Cálculo Caja'!A:A,0),1)</f>
        <v>26256910350.436607</v>
      </c>
      <c r="AC186" s="17">
        <f>Tabla_Consulta_desde_Reporte_de_Valorización_de_Instrumentos[[#This Row],[VALOR_VECTOR_LOCAL]]/Tabla_Consulta_desde_Reporte_de_Valorización_de_Instrumentos[[#This Row],[Patrimonio]]</f>
        <v>2.2078146037502488E-3</v>
      </c>
      <c r="AD186" s="4">
        <f>(Tabla_Consulta_desde_Reporte_de_Valorización_de_Instrumentos[[#This Row],[VALOR_VECTOR_LOCAL]]/INDEX('Tipo de Cambio'!$D:$D,MATCH("2",'Tipo de Cambio'!$E:$E,0),1))/1000000</f>
        <v>17.248472171458538</v>
      </c>
      <c r="AE186">
        <f>IF(Tabla_Consulta_desde_Reporte_de_Valorización_de_Instrumentos[[#This Row],[PORTAFOLIO]]="IN-FONDO0",Tabla_Consulta_desde_Reporte_de_Valorización_de_Instrumentos[[#This Row],[Inv MM$]],0)</f>
        <v>0</v>
      </c>
      <c r="AF186" s="26">
        <f>IF(Tabla_Consulta_desde_Reporte_de_Valorización_de_Instrumentos[[#This Row],[PORTAFOLIO]]="IN-FONDO1",Tabla_Consulta_desde_Reporte_de_Valorización_de_Instrumentos[[#This Row],[Inv MM$]],0)</f>
        <v>0</v>
      </c>
      <c r="AG186" s="26">
        <f>IF(Tabla_Consulta_desde_Reporte_de_Valorización_de_Instrumentos[[#This Row],[PORTAFOLIO]]="IN-FONDO2",Tabla_Consulta_desde_Reporte_de_Valorización_de_Instrumentos[[#This Row],[Inv MM$]],0)</f>
        <v>17.248472171458538</v>
      </c>
      <c r="AH186" s="26">
        <f>IF(Tabla_Consulta_desde_Reporte_de_Valorización_de_Instrumentos[[#This Row],[PORTAFOLIO]]="IN-FONDO3",Tabla_Consulta_desde_Reporte_de_Valorización_de_Instrumentos[[#This Row],[Inv MM$]],0)</f>
        <v>0</v>
      </c>
      <c r="AI18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26.079329759437652</v>
      </c>
      <c r="AJ186" s="26">
        <f>IFERROR(IFERROR(INDEX('BD(MSCI)'!$T:$T,MATCH(Tabla_Consulta_desde_Reporte_de_Valorización_de_Instrumentos[[#This Row],[CODIGO_ISIN]],'BD(MSCI)'!$C:$C,0),1),INDEX('BD(MSCI)'!$T:$T,MATCH(Tabla_Consulta_desde_Reporte_de_Valorización_de_Instrumentos[[#This Row],[CODIGO_SBS]],'BD(MSCI)'!$C:$C,0),1)),0)</f>
        <v>161.47999999999999</v>
      </c>
      <c r="AK186" s="26">
        <f>Tabla_Consulta_desde_Reporte_de_Valorización_de_Instrumentos[[#This Row],[C02-H]]*Tabla_Consulta_desde_Reporte_de_Valorización_de_Instrumentos[[#This Row],[Inv MM$]]</f>
        <v>2785.2832862471246</v>
      </c>
      <c r="AL186" s="26">
        <f>Tabla_Consulta_desde_Reporte_de_Valorización_de_Instrumentos[[#This Row],[C02-H]]*Tabla_Consulta_desde_Reporte_de_Valorización_de_Instrumentos[[#This Row],[Weight]]</f>
        <v>0.35651790221359014</v>
      </c>
      <c r="AM186" s="26" t="str">
        <f>INDEX(Parametria!G:G,MATCH(Tabla_Consulta_desde_Reporte_de_Valorización_de_Instrumentos[[#This Row],[CODIGO_SBS]],Parametria!C:C,0))</f>
        <v>30RVL</v>
      </c>
      <c r="AN186" s="26" t="str">
        <f>INDEX(Parametria!F:F,MATCH(Tabla_Consulta_desde_Reporte_de_Valorización_de_Instrumentos[[#This Row],[CODIGO_SBS]],Parametria!C:C,0))</f>
        <v>BU</v>
      </c>
      <c r="AO186" s="26" t="str">
        <f>+INDEX(Parametria!J:J,MATCH(Tabla_Consulta_desde_Reporte_de_Valorización_de_Instrumentos[[#This Row],[CODIGO_SBS]],Parametria!C:C,0))</f>
        <v>RVLBU</v>
      </c>
      <c r="AP186" s="26">
        <f>Tabla_Consulta_desde_Reporte_de_Valorización_de_Instrumentos[[#This Row],[Huella]]/$AU$4</f>
        <v>0.25820905989172477</v>
      </c>
      <c r="AQ186" s="26" t="str">
        <f>IFERROR(INDEX('BD(MSCI)'!W:W,MATCH(Tabla_Consulta_desde_Reporte_de_Valorización_de_Instrumentos[[#This Row],[CODIGO_ISIN]],'BD(MSCI)'!C:C,0)),IF(Tabla_Consulta_desde_Reporte_de_Valorización_de_Instrumentos[[#This Row],[Rank_rt]]="Cash","Cash","Cuestionario Integra"))</f>
        <v>Portafolio</v>
      </c>
      <c r="AR186" s="26" t="str">
        <f>IFERROR(INDEX('BD(MSCI)'!X:X,MATCH(Tabla_Consulta_desde_Reporte_de_Valorización_de_Instrumentos[[#This Row],[CODIGO_ISIN]],'BD(MSCI)'!C:C,0)),"Cuestionario Integra")</f>
        <v>Portafolio</v>
      </c>
      <c r="AU186" s="26"/>
    </row>
    <row r="187" spans="2:47" hidden="1" x14ac:dyDescent="0.25">
      <c r="B187" s="14" t="s">
        <v>6390</v>
      </c>
      <c r="C187" t="s">
        <v>491</v>
      </c>
      <c r="D187" t="s">
        <v>10</v>
      </c>
      <c r="E187" t="s">
        <v>492</v>
      </c>
      <c r="F187" t="s">
        <v>493</v>
      </c>
      <c r="G187" t="str">
        <f>INDEX(Parametria!H:H,MATCH(Tabla_Consulta_desde_Reporte_de_Valorización_de_Instrumentos[[#This Row],[CODIGO_SBS]],Parametria!C:C,0),1)</f>
        <v>El Comercio</v>
      </c>
      <c r="H187" t="s">
        <v>494</v>
      </c>
      <c r="I187" t="s">
        <v>495</v>
      </c>
      <c r="J187" t="s">
        <v>496</v>
      </c>
      <c r="K187" t="s">
        <v>90</v>
      </c>
      <c r="L187">
        <v>1</v>
      </c>
      <c r="M187" s="5">
        <v>1239584.192</v>
      </c>
      <c r="N187">
        <v>1239584.192</v>
      </c>
      <c r="O187">
        <v>4024624</v>
      </c>
      <c r="P187" s="15"/>
      <c r="R187">
        <v>1</v>
      </c>
      <c r="S187" t="s">
        <v>428</v>
      </c>
      <c r="T187">
        <v>1239584.192</v>
      </c>
      <c r="U187" s="5">
        <v>1239584.192</v>
      </c>
      <c r="V187" t="s">
        <v>497</v>
      </c>
      <c r="W187">
        <v>1038594000</v>
      </c>
      <c r="X187">
        <v>131779000</v>
      </c>
      <c r="Y187">
        <v>906815000</v>
      </c>
      <c r="Z187">
        <v>0</v>
      </c>
      <c r="AA187" t="str">
        <f>+MID(Tabla_Consulta_desde_Reporte_de_Valorización_de_Instrumentos[[#This Row],[CODIGO_SBS]],7,1)</f>
        <v>1</v>
      </c>
      <c r="AB187">
        <f>INDEX('Cálculo Caja'!F:F,MATCH(Tabla_Consulta_desde_Reporte_de_Valorización_de_Instrumentos[[#This Row],[PORTAFOLIO]],'Cálculo Caja'!A:A,0),1)</f>
        <v>26256910350.436607</v>
      </c>
      <c r="AC187" s="17">
        <f>Tabla_Consulta_desde_Reporte_de_Valorización_de_Instrumentos[[#This Row],[VALOR_VECTOR_LOCAL]]/Tabla_Consulta_desde_Reporte_de_Valorización_de_Instrumentos[[#This Row],[Patrimonio]]</f>
        <v>4.720982687817982E-5</v>
      </c>
      <c r="AD187" s="4">
        <f>(Tabla_Consulta_desde_Reporte_de_Valorización_de_Instrumentos[[#This Row],[VALOR_VECTOR_LOCAL]]/INDEX('Tipo de Cambio'!$D:$D,MATCH("2",'Tipo de Cambio'!$E:$E,0),1))/1000000</f>
        <v>0.3688250742360677</v>
      </c>
      <c r="AE187">
        <f>IF(Tabla_Consulta_desde_Reporte_de_Valorización_de_Instrumentos[[#This Row],[PORTAFOLIO]]="IN-FONDO0",Tabla_Consulta_desde_Reporte_de_Valorización_de_Instrumentos[[#This Row],[Inv MM$]],0)</f>
        <v>0</v>
      </c>
      <c r="AF187" s="26">
        <f>IF(Tabla_Consulta_desde_Reporte_de_Valorización_de_Instrumentos[[#This Row],[PORTAFOLIO]]="IN-FONDO1",Tabla_Consulta_desde_Reporte_de_Valorización_de_Instrumentos[[#This Row],[Inv MM$]],0)</f>
        <v>0</v>
      </c>
      <c r="AG187" s="26">
        <f>IF(Tabla_Consulta_desde_Reporte_de_Valorización_de_Instrumentos[[#This Row],[PORTAFOLIO]]="IN-FONDO2",Tabla_Consulta_desde_Reporte_de_Valorización_de_Instrumentos[[#This Row],[Inv MM$]],0)</f>
        <v>0.3688250742360677</v>
      </c>
      <c r="AH187" s="26">
        <f>IF(Tabla_Consulta_desde_Reporte_de_Valorización_de_Instrumentos[[#This Row],[PORTAFOLIO]]="IN-FONDO3",Tabla_Consulta_desde_Reporte_de_Valorización_de_Instrumentos[[#This Row],[Inv MM$]],0)</f>
        <v>0</v>
      </c>
      <c r="AI18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0.55483447528935703</v>
      </c>
      <c r="AJ187" s="26">
        <f>IFERROR(IFERROR(INDEX('BD(MSCI)'!$T:$T,MATCH(Tabla_Consulta_desde_Reporte_de_Valorización_de_Instrumentos[[#This Row],[CODIGO_ISIN]],'BD(MSCI)'!$C:$C,0),1),INDEX('BD(MSCI)'!$T:$T,MATCH(Tabla_Consulta_desde_Reporte_de_Valorización_de_Instrumentos[[#This Row],[CODIGO_SBS]],'BD(MSCI)'!$C:$C,0),1)),0)</f>
        <v>4.2379654499999999</v>
      </c>
      <c r="AK187" s="26">
        <f>Tabla_Consulta_desde_Reporte_de_Valorización_de_Instrumentos[[#This Row],[C02-H]]*Tabla_Consulta_desde_Reporte_de_Valorización_de_Instrumentos[[#This Row],[Inv MM$]]</f>
        <v>1.5630679217061401</v>
      </c>
      <c r="AL187" s="26">
        <f>Tabla_Consulta_desde_Reporte_de_Valorización_de_Instrumentos[[#This Row],[C02-H]]*Tabla_Consulta_desde_Reporte_de_Valorización_de_Instrumentos[[#This Row],[Weight]]</f>
        <v>2.0007361521020742E-4</v>
      </c>
      <c r="AM187" s="26" t="str">
        <f>INDEX(Parametria!G:G,MATCH(Tabla_Consulta_desde_Reporte_de_Valorización_de_Instrumentos[[#This Row],[CODIGO_SBS]],Parametria!C:C,0))</f>
        <v>31RVL</v>
      </c>
      <c r="AN187" s="26" t="str">
        <f>INDEX(Parametria!F:F,MATCH(Tabla_Consulta_desde_Reporte_de_Valorización_de_Instrumentos[[#This Row],[CODIGO_SBS]],Parametria!C:C,0))</f>
        <v>BU</v>
      </c>
      <c r="AO187" s="26" t="str">
        <f>+INDEX(Parametria!J:J,MATCH(Tabla_Consulta_desde_Reporte_de_Valorización_de_Instrumentos[[#This Row],[CODIGO_SBS]],Parametria!C:C,0))</f>
        <v>RVLBU</v>
      </c>
      <c r="AP187" s="26">
        <f>Tabla_Consulta_desde_Reporte_de_Valorización_de_Instrumentos[[#This Row],[Huella]]/$AU$4</f>
        <v>1.4490385972712333E-4</v>
      </c>
      <c r="AQ187" s="26" t="str">
        <f>IFERROR(INDEX('BD(MSCI)'!W:W,MATCH(Tabla_Consulta_desde_Reporte_de_Valorización_de_Instrumentos[[#This Row],[CODIGO_ISIN]],'BD(MSCI)'!C:C,0)),IF(Tabla_Consulta_desde_Reporte_de_Valorización_de_Instrumentos[[#This Row],[Rank_rt]]="Cash","Cash","Cuestionario Integra"))</f>
        <v>Proxies</v>
      </c>
      <c r="AR187" s="26" t="str">
        <f>IFERROR(INDEX('BD(MSCI)'!X:X,MATCH(Tabla_Consulta_desde_Reporte_de_Valorización_de_Instrumentos[[#This Row],[CODIGO_ISIN]],'BD(MSCI)'!C:C,0)),"Cuestionario Integra")</f>
        <v>BU</v>
      </c>
      <c r="AU187" s="26"/>
    </row>
    <row r="188" spans="2:47" hidden="1" x14ac:dyDescent="0.25">
      <c r="B188" s="14" t="s">
        <v>6390</v>
      </c>
      <c r="C188" t="s">
        <v>491</v>
      </c>
      <c r="D188" t="s">
        <v>12</v>
      </c>
      <c r="E188" t="s">
        <v>492</v>
      </c>
      <c r="F188" t="s">
        <v>493</v>
      </c>
      <c r="G188" t="str">
        <f>INDEX(Parametria!H:H,MATCH(Tabla_Consulta_desde_Reporte_de_Valorización_de_Instrumentos[[#This Row],[CODIGO_SBS]],Parametria!C:C,0),1)</f>
        <v>El Comercio</v>
      </c>
      <c r="H188" t="s">
        <v>494</v>
      </c>
      <c r="I188" t="s">
        <v>495</v>
      </c>
      <c r="J188" t="s">
        <v>496</v>
      </c>
      <c r="K188" t="s">
        <v>90</v>
      </c>
      <c r="L188">
        <v>1</v>
      </c>
      <c r="M188" s="5">
        <v>436311.87599999999</v>
      </c>
      <c r="N188">
        <v>436311.87599999999</v>
      </c>
      <c r="O188">
        <v>1416597</v>
      </c>
      <c r="P188" s="15"/>
      <c r="R188">
        <v>1</v>
      </c>
      <c r="S188" t="s">
        <v>428</v>
      </c>
      <c r="T188">
        <v>436311.87599999999</v>
      </c>
      <c r="U188" s="5">
        <v>436311.87599999999</v>
      </c>
      <c r="V188" t="s">
        <v>497</v>
      </c>
      <c r="W188">
        <v>1038594000</v>
      </c>
      <c r="X188">
        <v>131779000</v>
      </c>
      <c r="Y188">
        <v>906815000</v>
      </c>
      <c r="Z188">
        <v>0</v>
      </c>
      <c r="AA188" t="str">
        <f>+MID(Tabla_Consulta_desde_Reporte_de_Valorización_de_Instrumentos[[#This Row],[CODIGO_SBS]],7,1)</f>
        <v>1</v>
      </c>
      <c r="AB188">
        <f>INDEX('Cálculo Caja'!F:F,MATCH(Tabla_Consulta_desde_Reporte_de_Valorización_de_Instrumentos[[#This Row],[PORTAFOLIO]],'Cálculo Caja'!A:A,0),1)</f>
        <v>7679510866.0565634</v>
      </c>
      <c r="AC188" s="17">
        <f>Tabla_Consulta_desde_Reporte_de_Valorización_de_Instrumentos[[#This Row],[VALOR_VECTOR_LOCAL]]/Tabla_Consulta_desde_Reporte_de_Valorización_de_Instrumentos[[#This Row],[Patrimonio]]</f>
        <v>5.6815060699828997E-5</v>
      </c>
      <c r="AD188" s="4">
        <f>(Tabla_Consulta_desde_Reporte_de_Valorización_de_Instrumentos[[#This Row],[VALOR_VECTOR_LOCAL]]/INDEX('Tipo de Cambio'!$D:$D,MATCH("2",'Tipo de Cambio'!$E:$E,0),1))/1000000</f>
        <v>0.12981995179862538</v>
      </c>
      <c r="AE188">
        <f>IF(Tabla_Consulta_desde_Reporte_de_Valorización_de_Instrumentos[[#This Row],[PORTAFOLIO]]="IN-FONDO0",Tabla_Consulta_desde_Reporte_de_Valorización_de_Instrumentos[[#This Row],[Inv MM$]],0)</f>
        <v>0</v>
      </c>
      <c r="AF188" s="26">
        <f>IF(Tabla_Consulta_desde_Reporte_de_Valorización_de_Instrumentos[[#This Row],[PORTAFOLIO]]="IN-FONDO1",Tabla_Consulta_desde_Reporte_de_Valorización_de_Instrumentos[[#This Row],[Inv MM$]],0)</f>
        <v>0.12981995179862538</v>
      </c>
      <c r="AG188" s="26">
        <f>IF(Tabla_Consulta_desde_Reporte_de_Valorización_de_Instrumentos[[#This Row],[PORTAFOLIO]]="IN-FONDO2",Tabla_Consulta_desde_Reporte_de_Valorización_de_Instrumentos[[#This Row],[Inv MM$]],0)</f>
        <v>0</v>
      </c>
      <c r="AH188" s="26">
        <f>IF(Tabla_Consulta_desde_Reporte_de_Valorización_de_Instrumentos[[#This Row],[PORTAFOLIO]]="IN-FONDO3",Tabla_Consulta_desde_Reporte_de_Valorización_de_Instrumentos[[#This Row],[Inv MM$]],0)</f>
        <v>0</v>
      </c>
      <c r="AI18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0.55483447528935703</v>
      </c>
      <c r="AJ188" s="26">
        <f>IFERROR(IFERROR(INDEX('BD(MSCI)'!$T:$T,MATCH(Tabla_Consulta_desde_Reporte_de_Valorización_de_Instrumentos[[#This Row],[CODIGO_ISIN]],'BD(MSCI)'!$C:$C,0),1),INDEX('BD(MSCI)'!$T:$T,MATCH(Tabla_Consulta_desde_Reporte_de_Valorización_de_Instrumentos[[#This Row],[CODIGO_SBS]],'BD(MSCI)'!$C:$C,0),1)),0)</f>
        <v>4.2379654499999999</v>
      </c>
      <c r="AK188" s="26">
        <f>Tabla_Consulta_desde_Reporte_de_Valorización_de_Instrumentos[[#This Row],[C02-H]]*Tabla_Consulta_desde_Reporte_de_Valorización_de_Instrumentos[[#This Row],[Inv MM$]]</f>
        <v>0.55017247044323969</v>
      </c>
      <c r="AL188" s="26">
        <f>Tabla_Consulta_desde_Reporte_de_Valorización_de_Instrumentos[[#This Row],[C02-H]]*Tabla_Consulta_desde_Reporte_de_Valorización_de_Instrumentos[[#This Row],[Weight]]</f>
        <v>2.407802642855281E-4</v>
      </c>
      <c r="AM188" s="26" t="str">
        <f>INDEX(Parametria!G:G,MATCH(Tabla_Consulta_desde_Reporte_de_Valorización_de_Instrumentos[[#This Row],[CODIGO_SBS]],Parametria!C:C,0))</f>
        <v>31RVL</v>
      </c>
      <c r="AN188" s="26" t="str">
        <f>INDEX(Parametria!F:F,MATCH(Tabla_Consulta_desde_Reporte_de_Valorización_de_Instrumentos[[#This Row],[CODIGO_SBS]],Parametria!C:C,0))</f>
        <v>BU</v>
      </c>
      <c r="AO188" s="26" t="str">
        <f>+INDEX(Parametria!J:J,MATCH(Tabla_Consulta_desde_Reporte_de_Valorización_de_Instrumentos[[#This Row],[CODIGO_SBS]],Parametria!C:C,0))</f>
        <v>RVLBU</v>
      </c>
      <c r="AP188" s="26">
        <f>Tabla_Consulta_desde_Reporte_de_Valorización_de_Instrumentos[[#This Row],[Huella]]/$AU$4</f>
        <v>5.1003614990583902E-5</v>
      </c>
      <c r="AQ188" s="26" t="str">
        <f>IFERROR(INDEX('BD(MSCI)'!W:W,MATCH(Tabla_Consulta_desde_Reporte_de_Valorización_de_Instrumentos[[#This Row],[CODIGO_ISIN]],'BD(MSCI)'!C:C,0)),IF(Tabla_Consulta_desde_Reporte_de_Valorización_de_Instrumentos[[#This Row],[Rank_rt]]="Cash","Cash","Cuestionario Integra"))</f>
        <v>Proxies</v>
      </c>
      <c r="AR188" s="26" t="str">
        <f>IFERROR(INDEX('BD(MSCI)'!X:X,MATCH(Tabla_Consulta_desde_Reporte_de_Valorización_de_Instrumentos[[#This Row],[CODIGO_ISIN]],'BD(MSCI)'!C:C,0)),"Cuestionario Integra")</f>
        <v>BU</v>
      </c>
      <c r="AU188" s="26"/>
    </row>
    <row r="189" spans="2:47" hidden="1" x14ac:dyDescent="0.25">
      <c r="B189" s="14" t="s">
        <v>6390</v>
      </c>
      <c r="C189" t="s">
        <v>491</v>
      </c>
      <c r="D189" t="s">
        <v>11</v>
      </c>
      <c r="E189" t="s">
        <v>492</v>
      </c>
      <c r="F189" t="s">
        <v>493</v>
      </c>
      <c r="G189" t="str">
        <f>INDEX(Parametria!H:H,MATCH(Tabla_Consulta_desde_Reporte_de_Valorización_de_Instrumentos[[#This Row],[CODIGO_SBS]],Parametria!C:C,0),1)</f>
        <v>El Comercio</v>
      </c>
      <c r="H189" t="s">
        <v>494</v>
      </c>
      <c r="I189" t="s">
        <v>495</v>
      </c>
      <c r="J189" t="s">
        <v>496</v>
      </c>
      <c r="K189" t="s">
        <v>90</v>
      </c>
      <c r="L189">
        <v>1</v>
      </c>
      <c r="M189" s="5">
        <v>188847.12</v>
      </c>
      <c r="N189">
        <v>188847.12</v>
      </c>
      <c r="O189">
        <v>613140</v>
      </c>
      <c r="P189" s="15"/>
      <c r="R189">
        <v>1</v>
      </c>
      <c r="S189" t="s">
        <v>428</v>
      </c>
      <c r="T189">
        <v>188847.12</v>
      </c>
      <c r="U189" s="5">
        <v>188847.12</v>
      </c>
      <c r="V189" t="s">
        <v>497</v>
      </c>
      <c r="W189">
        <v>1038594000</v>
      </c>
      <c r="X189">
        <v>131779000</v>
      </c>
      <c r="Y189">
        <v>906815000</v>
      </c>
      <c r="Z189">
        <v>0</v>
      </c>
      <c r="AA189" t="str">
        <f>+MID(Tabla_Consulta_desde_Reporte_de_Valorización_de_Instrumentos[[#This Row],[CODIGO_SBS]],7,1)</f>
        <v>1</v>
      </c>
      <c r="AB189">
        <f>INDEX('Cálculo Caja'!F:F,MATCH(Tabla_Consulta_desde_Reporte_de_Valorización_de_Instrumentos[[#This Row],[PORTAFOLIO]],'Cálculo Caja'!A:A,0),1)</f>
        <v>3164069580.822104</v>
      </c>
      <c r="AC189" s="17">
        <f>Tabla_Consulta_desde_Reporte_de_Valorización_de_Instrumentos[[#This Row],[VALOR_VECTOR_LOCAL]]/Tabla_Consulta_desde_Reporte_de_Valorización_de_Instrumentos[[#This Row],[Patrimonio]]</f>
        <v>5.968488213553534E-5</v>
      </c>
      <c r="AD189" s="4">
        <f>(Tabla_Consulta_desde_Reporte_de_Valorización_de_Instrumentos[[#This Row],[VALOR_VECTOR_LOCAL]]/INDEX('Tipo de Cambio'!$D:$D,MATCH("2",'Tipo de Cambio'!$E:$E,0),1))/1000000</f>
        <v>5.6189449254663931E-2</v>
      </c>
      <c r="AE189">
        <f>IF(Tabla_Consulta_desde_Reporte_de_Valorización_de_Instrumentos[[#This Row],[PORTAFOLIO]]="IN-FONDO0",Tabla_Consulta_desde_Reporte_de_Valorización_de_Instrumentos[[#This Row],[Inv MM$]],0)</f>
        <v>0</v>
      </c>
      <c r="AF189" s="26">
        <f>IF(Tabla_Consulta_desde_Reporte_de_Valorización_de_Instrumentos[[#This Row],[PORTAFOLIO]]="IN-FONDO1",Tabla_Consulta_desde_Reporte_de_Valorización_de_Instrumentos[[#This Row],[Inv MM$]],0)</f>
        <v>0</v>
      </c>
      <c r="AG189" s="26">
        <f>IF(Tabla_Consulta_desde_Reporte_de_Valorización_de_Instrumentos[[#This Row],[PORTAFOLIO]]="IN-FONDO2",Tabla_Consulta_desde_Reporte_de_Valorización_de_Instrumentos[[#This Row],[Inv MM$]],0)</f>
        <v>0</v>
      </c>
      <c r="AH189" s="26">
        <f>IF(Tabla_Consulta_desde_Reporte_de_Valorización_de_Instrumentos[[#This Row],[PORTAFOLIO]]="IN-FONDO3",Tabla_Consulta_desde_Reporte_de_Valorización_de_Instrumentos[[#This Row],[Inv MM$]],0)</f>
        <v>5.6189449254663931E-2</v>
      </c>
      <c r="AI18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0.55483447528935703</v>
      </c>
      <c r="AJ189" s="26">
        <f>IFERROR(IFERROR(INDEX('BD(MSCI)'!$T:$T,MATCH(Tabla_Consulta_desde_Reporte_de_Valorización_de_Instrumentos[[#This Row],[CODIGO_ISIN]],'BD(MSCI)'!$C:$C,0),1),INDEX('BD(MSCI)'!$T:$T,MATCH(Tabla_Consulta_desde_Reporte_de_Valorización_de_Instrumentos[[#This Row],[CODIGO_SBS]],'BD(MSCI)'!$C:$C,0),1)),0)</f>
        <v>4.2379654499999999</v>
      </c>
      <c r="AK189" s="26">
        <f>Tabla_Consulta_desde_Reporte_de_Valorización_de_Instrumentos[[#This Row],[C02-H]]*Tabla_Consulta_desde_Reporte_de_Valorización_de_Instrumentos[[#This Row],[Inv MM$]]</f>
        <v>0.23812894459579398</v>
      </c>
      <c r="AL189" s="26">
        <f>Tabla_Consulta_desde_Reporte_de_Valorización_de_Instrumentos[[#This Row],[C02-H]]*Tabla_Consulta_desde_Reporte_de_Valorización_de_Instrumentos[[#This Row],[Weight]]</f>
        <v>2.5294246837772097E-4</v>
      </c>
      <c r="AM189" s="26" t="str">
        <f>INDEX(Parametria!G:G,MATCH(Tabla_Consulta_desde_Reporte_de_Valorización_de_Instrumentos[[#This Row],[CODIGO_SBS]],Parametria!C:C,0))</f>
        <v>31RVL</v>
      </c>
      <c r="AN189" s="26" t="str">
        <f>INDEX(Parametria!F:F,MATCH(Tabla_Consulta_desde_Reporte_de_Valorización_de_Instrumentos[[#This Row],[CODIGO_SBS]],Parametria!C:C,0))</f>
        <v>BU</v>
      </c>
      <c r="AO189" s="26" t="str">
        <f>+INDEX(Parametria!J:J,MATCH(Tabla_Consulta_desde_Reporte_de_Valorización_de_Instrumentos[[#This Row],[CODIGO_SBS]],Parametria!C:C,0))</f>
        <v>RVLBU</v>
      </c>
      <c r="AP189" s="26">
        <f>Tabla_Consulta_desde_Reporte_de_Valorización_de_Instrumentos[[#This Row],[Huella]]/$AU$4</f>
        <v>2.2075690189465751E-5</v>
      </c>
      <c r="AQ189" s="26" t="str">
        <f>IFERROR(INDEX('BD(MSCI)'!W:W,MATCH(Tabla_Consulta_desde_Reporte_de_Valorización_de_Instrumentos[[#This Row],[CODIGO_ISIN]],'BD(MSCI)'!C:C,0)),IF(Tabla_Consulta_desde_Reporte_de_Valorización_de_Instrumentos[[#This Row],[Rank_rt]]="Cash","Cash","Cuestionario Integra"))</f>
        <v>Proxies</v>
      </c>
      <c r="AR189" s="26" t="str">
        <f>IFERROR(INDEX('BD(MSCI)'!X:X,MATCH(Tabla_Consulta_desde_Reporte_de_Valorización_de_Instrumentos[[#This Row],[CODIGO_ISIN]],'BD(MSCI)'!C:C,0)),"Cuestionario Integra")</f>
        <v>BU</v>
      </c>
      <c r="AU189" s="26"/>
    </row>
    <row r="190" spans="2:47" hidden="1" x14ac:dyDescent="0.25">
      <c r="B190" s="14" t="s">
        <v>6390</v>
      </c>
      <c r="C190" t="s">
        <v>491</v>
      </c>
      <c r="D190" t="s">
        <v>11</v>
      </c>
      <c r="E190" t="s">
        <v>492</v>
      </c>
      <c r="F190" t="s">
        <v>498</v>
      </c>
      <c r="G190" t="str">
        <f>INDEX(Parametria!H:H,MATCH(Tabla_Consulta_desde_Reporte_de_Valorización_de_Instrumentos[[#This Row],[CODIGO_SBS]],Parametria!C:C,0),1)</f>
        <v>Minsur S.A.</v>
      </c>
      <c r="H190" t="s">
        <v>499</v>
      </c>
      <c r="I190" t="s">
        <v>500</v>
      </c>
      <c r="J190" t="s">
        <v>343</v>
      </c>
      <c r="K190" t="s">
        <v>90</v>
      </c>
      <c r="L190">
        <v>1</v>
      </c>
      <c r="M190" s="5">
        <v>175808877.27398109</v>
      </c>
      <c r="N190">
        <v>175808877.27398109</v>
      </c>
      <c r="O190">
        <v>32355671</v>
      </c>
      <c r="P190" s="15"/>
      <c r="R190">
        <v>1</v>
      </c>
      <c r="S190" t="s">
        <v>428</v>
      </c>
      <c r="T190">
        <v>173259036.85175249</v>
      </c>
      <c r="U190" s="5">
        <v>173259036.85175249</v>
      </c>
      <c r="V190" t="s">
        <v>294</v>
      </c>
      <c r="W190">
        <v>2610762000</v>
      </c>
      <c r="X190">
        <v>781816000</v>
      </c>
      <c r="Y190">
        <v>1828946000</v>
      </c>
      <c r="Z190">
        <v>7.8806600000000004E-2</v>
      </c>
      <c r="AA190" t="str">
        <f>+MID(Tabla_Consulta_desde_Reporte_de_Valorización_de_Instrumentos[[#This Row],[CODIGO_SBS]],7,1)</f>
        <v>1</v>
      </c>
      <c r="AB190">
        <f>INDEX('Cálculo Caja'!F:F,MATCH(Tabla_Consulta_desde_Reporte_de_Valorización_de_Instrumentos[[#This Row],[PORTAFOLIO]],'Cálculo Caja'!A:A,0),1)</f>
        <v>3164069580.822104</v>
      </c>
      <c r="AC190" s="17">
        <f>Tabla_Consulta_desde_Reporte_de_Valorización_de_Instrumentos[[#This Row],[VALOR_VECTOR_LOCAL]]/Tabla_Consulta_desde_Reporte_de_Valorización_de_Instrumentos[[#This Row],[Patrimonio]]</f>
        <v>5.5564162791989412E-2</v>
      </c>
      <c r="AD190" s="4">
        <f>(Tabla_Consulta_desde_Reporte_de_Valorización_de_Instrumentos[[#This Row],[VALOR_VECTOR_LOCAL]]/INDEX('Tipo de Cambio'!$D:$D,MATCH("2",'Tipo de Cambio'!$E:$E,0),1))/1000000</f>
        <v>52.310058994311369</v>
      </c>
      <c r="AE190">
        <f>IF(Tabla_Consulta_desde_Reporte_de_Valorización_de_Instrumentos[[#This Row],[PORTAFOLIO]]="IN-FONDO0",Tabla_Consulta_desde_Reporte_de_Valorización_de_Instrumentos[[#This Row],[Inv MM$]],0)</f>
        <v>0</v>
      </c>
      <c r="AF190" s="26">
        <f>IF(Tabla_Consulta_desde_Reporte_de_Valorización_de_Instrumentos[[#This Row],[PORTAFOLIO]]="IN-FONDO1",Tabla_Consulta_desde_Reporte_de_Valorización_de_Instrumentos[[#This Row],[Inv MM$]],0)</f>
        <v>0</v>
      </c>
      <c r="AG190" s="26">
        <f>IF(Tabla_Consulta_desde_Reporte_de_Valorización_de_Instrumentos[[#This Row],[PORTAFOLIO]]="IN-FONDO2",Tabla_Consulta_desde_Reporte_de_Valorización_de_Instrumentos[[#This Row],[Inv MM$]],0)</f>
        <v>0</v>
      </c>
      <c r="AH190" s="26">
        <f>IF(Tabla_Consulta_desde_Reporte_de_Valorización_de_Instrumentos[[#This Row],[PORTAFOLIO]]="IN-FONDO3",Tabla_Consulta_desde_Reporte_de_Valorización_de_Instrumentos[[#This Row],[Inv MM$]],0)</f>
        <v>52.310058994311369</v>
      </c>
      <c r="AI19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309.41353339258967</v>
      </c>
      <c r="AJ190" s="26">
        <f>IFERROR(IFERROR(INDEX('BD(MSCI)'!$T:$T,MATCH(Tabla_Consulta_desde_Reporte_de_Valorización_de_Instrumentos[[#This Row],[CODIGO_ISIN]],'BD(MSCI)'!$C:$C,0),1),INDEX('BD(MSCI)'!$T:$T,MATCH(Tabla_Consulta_desde_Reporte_de_Valorización_de_Instrumentos[[#This Row],[CODIGO_SBS]],'BD(MSCI)'!$C:$C,0),1)),0)</f>
        <v>114.2</v>
      </c>
      <c r="AK190" s="26">
        <f>Tabla_Consulta_desde_Reporte_de_Valorización_de_Instrumentos[[#This Row],[C02-H]]*Tabla_Consulta_desde_Reporte_de_Valorización_de_Instrumentos[[#This Row],[Inv MM$]]</f>
        <v>5973.8087371503589</v>
      </c>
      <c r="AL190" s="26">
        <f>Tabla_Consulta_desde_Reporte_de_Valorización_de_Instrumentos[[#This Row],[C02-H]]*Tabla_Consulta_desde_Reporte_de_Valorización_de_Instrumentos[[#This Row],[Weight]]</f>
        <v>6.3454273908451908</v>
      </c>
      <c r="AM190" s="26" t="str">
        <f>INDEX(Parametria!G:G,MATCH(Tabla_Consulta_desde_Reporte_de_Valorización_de_Instrumentos[[#This Row],[CODIGO_SBS]],Parametria!C:C,0))</f>
        <v>31RVL</v>
      </c>
      <c r="AN190" s="26" t="str">
        <f>INDEX(Parametria!F:F,MATCH(Tabla_Consulta_desde_Reporte_de_Valorización_de_Instrumentos[[#This Row],[CODIGO_SBS]],Parametria!C:C,0))</f>
        <v>BU</v>
      </c>
      <c r="AO190" s="26" t="str">
        <f>+INDEX(Parametria!J:J,MATCH(Tabla_Consulta_desde_Reporte_de_Valorización_de_Instrumentos[[#This Row],[CODIGO_SBS]],Parametria!C:C,0))</f>
        <v>RVLBU</v>
      </c>
      <c r="AP190" s="26">
        <f>Tabla_Consulta_desde_Reporte_de_Valorización_de_Instrumentos[[#This Row],[Huella]]/$AU$4</f>
        <v>0.55380059386020664</v>
      </c>
      <c r="AQ190" s="26" t="str">
        <f>IFERROR(INDEX('BD(MSCI)'!W:W,MATCH(Tabla_Consulta_desde_Reporte_de_Valorización_de_Instrumentos[[#This Row],[CODIGO_ISIN]],'BD(MSCI)'!C:C,0)),IF(Tabla_Consulta_desde_Reporte_de_Valorización_de_Instrumentos[[#This Row],[Rank_rt]]="Cash","Cash","Cuestionario Integra"))</f>
        <v>Portafolio</v>
      </c>
      <c r="AR190" s="26" t="str">
        <f>IFERROR(INDEX('BD(MSCI)'!X:X,MATCH(Tabla_Consulta_desde_Reporte_de_Valorización_de_Instrumentos[[#This Row],[CODIGO_ISIN]],'BD(MSCI)'!C:C,0)),"Cuestionario Integra")</f>
        <v>Portafolio</v>
      </c>
      <c r="AU190" s="26"/>
    </row>
    <row r="191" spans="2:47" hidden="1" x14ac:dyDescent="0.25">
      <c r="B191" s="14" t="s">
        <v>6390</v>
      </c>
      <c r="C191" t="s">
        <v>491</v>
      </c>
      <c r="D191" t="s">
        <v>10</v>
      </c>
      <c r="E191" t="s">
        <v>492</v>
      </c>
      <c r="F191" t="s">
        <v>498</v>
      </c>
      <c r="G191" t="str">
        <f>INDEX(Parametria!H:H,MATCH(Tabla_Consulta_desde_Reporte_de_Valorización_de_Instrumentos[[#This Row],[CODIGO_SBS]],Parametria!C:C,0),1)</f>
        <v>Minsur S.A.</v>
      </c>
      <c r="H191" t="s">
        <v>499</v>
      </c>
      <c r="I191" t="s">
        <v>500</v>
      </c>
      <c r="J191" t="s">
        <v>343</v>
      </c>
      <c r="K191" t="s">
        <v>90</v>
      </c>
      <c r="L191">
        <v>1</v>
      </c>
      <c r="M191" s="5">
        <v>797494857.21138704</v>
      </c>
      <c r="N191">
        <v>797494857.21138704</v>
      </c>
      <c r="O191">
        <v>146770070</v>
      </c>
      <c r="P191" s="15"/>
      <c r="R191">
        <v>1</v>
      </c>
      <c r="S191" t="s">
        <v>428</v>
      </c>
      <c r="T191">
        <v>785928407.01292503</v>
      </c>
      <c r="U191" s="5">
        <v>785928407.01292503</v>
      </c>
      <c r="V191" t="s">
        <v>294</v>
      </c>
      <c r="W191">
        <v>2610762000</v>
      </c>
      <c r="X191">
        <v>781816000</v>
      </c>
      <c r="Y191">
        <v>1828946000</v>
      </c>
      <c r="Z191">
        <v>7.8806600000000004E-2</v>
      </c>
      <c r="AA191" t="str">
        <f>+MID(Tabla_Consulta_desde_Reporte_de_Valorización_de_Instrumentos[[#This Row],[CODIGO_SBS]],7,1)</f>
        <v>1</v>
      </c>
      <c r="AB191">
        <f>INDEX('Cálculo Caja'!F:F,MATCH(Tabla_Consulta_desde_Reporte_de_Valorización_de_Instrumentos[[#This Row],[PORTAFOLIO]],'Cálculo Caja'!A:A,0),1)</f>
        <v>26256910350.436607</v>
      </c>
      <c r="AC191" s="17">
        <f>Tabla_Consulta_desde_Reporte_de_Valorización_de_Instrumentos[[#This Row],[VALOR_VECTOR_LOCAL]]/Tabla_Consulta_desde_Reporte_de_Valorización_de_Instrumentos[[#This Row],[Patrimonio]]</f>
        <v>3.037276079202236E-2</v>
      </c>
      <c r="AD191" s="4">
        <f>(Tabla_Consulta_desde_Reporte_de_Valorización_de_Instrumentos[[#This Row],[VALOR_VECTOR_LOCAL]]/INDEX('Tipo de Cambio'!$D:$D,MATCH("2",'Tipo de Cambio'!$E:$E,0),1))/1000000</f>
        <v>237.28610110725907</v>
      </c>
      <c r="AE191">
        <f>IF(Tabla_Consulta_desde_Reporte_de_Valorización_de_Instrumentos[[#This Row],[PORTAFOLIO]]="IN-FONDO0",Tabla_Consulta_desde_Reporte_de_Valorización_de_Instrumentos[[#This Row],[Inv MM$]],0)</f>
        <v>0</v>
      </c>
      <c r="AF191" s="26">
        <f>IF(Tabla_Consulta_desde_Reporte_de_Valorización_de_Instrumentos[[#This Row],[PORTAFOLIO]]="IN-FONDO1",Tabla_Consulta_desde_Reporte_de_Valorización_de_Instrumentos[[#This Row],[Inv MM$]],0)</f>
        <v>0</v>
      </c>
      <c r="AG191" s="26">
        <f>IF(Tabla_Consulta_desde_Reporte_de_Valorización_de_Instrumentos[[#This Row],[PORTAFOLIO]]="IN-FONDO2",Tabla_Consulta_desde_Reporte_de_Valorización_de_Instrumentos[[#This Row],[Inv MM$]],0)</f>
        <v>237.28610110725907</v>
      </c>
      <c r="AH191" s="26">
        <f>IF(Tabla_Consulta_desde_Reporte_de_Valorización_de_Instrumentos[[#This Row],[PORTAFOLIO]]="IN-FONDO3",Tabla_Consulta_desde_Reporte_de_Valorización_de_Instrumentos[[#This Row],[Inv MM$]],0)</f>
        <v>0</v>
      </c>
      <c r="AI19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309.41353339258967</v>
      </c>
      <c r="AJ191" s="26">
        <f>IFERROR(IFERROR(INDEX('BD(MSCI)'!$T:$T,MATCH(Tabla_Consulta_desde_Reporte_de_Valorización_de_Instrumentos[[#This Row],[CODIGO_ISIN]],'BD(MSCI)'!$C:$C,0),1),INDEX('BD(MSCI)'!$T:$T,MATCH(Tabla_Consulta_desde_Reporte_de_Valorización_de_Instrumentos[[#This Row],[CODIGO_SBS]],'BD(MSCI)'!$C:$C,0),1)),0)</f>
        <v>114.2</v>
      </c>
      <c r="AK191" s="26">
        <f>Tabla_Consulta_desde_Reporte_de_Valorización_de_Instrumentos[[#This Row],[C02-H]]*Tabla_Consulta_desde_Reporte_de_Valorización_de_Instrumentos[[#This Row],[Inv MM$]]</f>
        <v>27098.072746448986</v>
      </c>
      <c r="AL191" s="26">
        <f>Tabla_Consulta_desde_Reporte_de_Valorización_de_Instrumentos[[#This Row],[C02-H]]*Tabla_Consulta_desde_Reporte_de_Valorización_de_Instrumentos[[#This Row],[Weight]]</f>
        <v>3.4685692824489536</v>
      </c>
      <c r="AM191" s="26" t="str">
        <f>INDEX(Parametria!G:G,MATCH(Tabla_Consulta_desde_Reporte_de_Valorización_de_Instrumentos[[#This Row],[CODIGO_SBS]],Parametria!C:C,0))</f>
        <v>31RVL</v>
      </c>
      <c r="AN191" s="26" t="str">
        <f>INDEX(Parametria!F:F,MATCH(Tabla_Consulta_desde_Reporte_de_Valorización_de_Instrumentos[[#This Row],[CODIGO_SBS]],Parametria!C:C,0))</f>
        <v>BU</v>
      </c>
      <c r="AO191" s="26" t="str">
        <f>+INDEX(Parametria!J:J,MATCH(Tabla_Consulta_desde_Reporte_de_Valorización_de_Instrumentos[[#This Row],[CODIGO_SBS]],Parametria!C:C,0))</f>
        <v>RVLBU</v>
      </c>
      <c r="AP191" s="26">
        <f>Tabla_Consulta_desde_Reporte_de_Valorización_de_Instrumentos[[#This Row],[Huella]]/$AU$4</f>
        <v>2.5121207323100827</v>
      </c>
      <c r="AQ191" s="26" t="str">
        <f>IFERROR(INDEX('BD(MSCI)'!W:W,MATCH(Tabla_Consulta_desde_Reporte_de_Valorización_de_Instrumentos[[#This Row],[CODIGO_ISIN]],'BD(MSCI)'!C:C,0)),IF(Tabla_Consulta_desde_Reporte_de_Valorización_de_Instrumentos[[#This Row],[Rank_rt]]="Cash","Cash","Cuestionario Integra"))</f>
        <v>Portafolio</v>
      </c>
      <c r="AR191" s="26" t="str">
        <f>IFERROR(INDEX('BD(MSCI)'!X:X,MATCH(Tabla_Consulta_desde_Reporte_de_Valorización_de_Instrumentos[[#This Row],[CODIGO_ISIN]],'BD(MSCI)'!C:C,0)),"Cuestionario Integra")</f>
        <v>Portafolio</v>
      </c>
      <c r="AU191" s="26"/>
    </row>
    <row r="192" spans="2:47" hidden="1" x14ac:dyDescent="0.25">
      <c r="B192" s="14" t="s">
        <v>6390</v>
      </c>
      <c r="C192" t="s">
        <v>491</v>
      </c>
      <c r="D192" t="s">
        <v>12</v>
      </c>
      <c r="E192" t="s">
        <v>492</v>
      </c>
      <c r="F192" t="s">
        <v>498</v>
      </c>
      <c r="G192" t="str">
        <f>INDEX(Parametria!H:H,MATCH(Tabla_Consulta_desde_Reporte_de_Valorización_de_Instrumentos[[#This Row],[CODIGO_SBS]],Parametria!C:C,0),1)</f>
        <v>Minsur S.A.</v>
      </c>
      <c r="H192" t="s">
        <v>499</v>
      </c>
      <c r="I192" t="s">
        <v>500</v>
      </c>
      <c r="J192" t="s">
        <v>343</v>
      </c>
      <c r="K192" t="s">
        <v>90</v>
      </c>
      <c r="L192">
        <v>1</v>
      </c>
      <c r="M192" s="5">
        <v>66604209.893786497</v>
      </c>
      <c r="N192">
        <v>66604209.893786497</v>
      </c>
      <c r="O192">
        <v>12257765</v>
      </c>
      <c r="P192" s="15"/>
      <c r="R192">
        <v>1</v>
      </c>
      <c r="S192" t="s">
        <v>428</v>
      </c>
      <c r="T192">
        <v>65638217.110537499</v>
      </c>
      <c r="U192" s="5">
        <v>65638217.110537499</v>
      </c>
      <c r="V192" t="s">
        <v>294</v>
      </c>
      <c r="W192">
        <v>2610762000</v>
      </c>
      <c r="X192">
        <v>781816000</v>
      </c>
      <c r="Y192">
        <v>1828946000</v>
      </c>
      <c r="Z192">
        <v>7.8806600000000004E-2</v>
      </c>
      <c r="AA192" t="str">
        <f>+MID(Tabla_Consulta_desde_Reporte_de_Valorización_de_Instrumentos[[#This Row],[CODIGO_SBS]],7,1)</f>
        <v>1</v>
      </c>
      <c r="AB192">
        <f>INDEX('Cálculo Caja'!F:F,MATCH(Tabla_Consulta_desde_Reporte_de_Valorización_de_Instrumentos[[#This Row],[PORTAFOLIO]],'Cálculo Caja'!A:A,0),1)</f>
        <v>7679510866.0565634</v>
      </c>
      <c r="AC192" s="17">
        <f>Tabla_Consulta_desde_Reporte_de_Valorización_de_Instrumentos[[#This Row],[VALOR_VECTOR_LOCAL]]/Tabla_Consulta_desde_Reporte_de_Valorización_de_Instrumentos[[#This Row],[Patrimonio]]</f>
        <v>8.6729755391293326E-3</v>
      </c>
      <c r="AD192" s="4">
        <f>(Tabla_Consulta_desde_Reporte_de_Valorización_de_Instrumentos[[#This Row],[VALOR_VECTOR_LOCAL]]/INDEX('Tipo de Cambio'!$D:$D,MATCH("2",'Tipo de Cambio'!$E:$E,0),1))/1000000</f>
        <v>19.817373291019219</v>
      </c>
      <c r="AE192">
        <f>IF(Tabla_Consulta_desde_Reporte_de_Valorización_de_Instrumentos[[#This Row],[PORTAFOLIO]]="IN-FONDO0",Tabla_Consulta_desde_Reporte_de_Valorización_de_Instrumentos[[#This Row],[Inv MM$]],0)</f>
        <v>0</v>
      </c>
      <c r="AF192" s="26">
        <f>IF(Tabla_Consulta_desde_Reporte_de_Valorización_de_Instrumentos[[#This Row],[PORTAFOLIO]]="IN-FONDO1",Tabla_Consulta_desde_Reporte_de_Valorización_de_Instrumentos[[#This Row],[Inv MM$]],0)</f>
        <v>19.817373291019219</v>
      </c>
      <c r="AG192" s="26">
        <f>IF(Tabla_Consulta_desde_Reporte_de_Valorización_de_Instrumentos[[#This Row],[PORTAFOLIO]]="IN-FONDO2",Tabla_Consulta_desde_Reporte_de_Valorización_de_Instrumentos[[#This Row],[Inv MM$]],0)</f>
        <v>0</v>
      </c>
      <c r="AH192" s="26">
        <f>IF(Tabla_Consulta_desde_Reporte_de_Valorización_de_Instrumentos[[#This Row],[PORTAFOLIO]]="IN-FONDO3",Tabla_Consulta_desde_Reporte_de_Valorización_de_Instrumentos[[#This Row],[Inv MM$]],0)</f>
        <v>0</v>
      </c>
      <c r="AI19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309.41353339258967</v>
      </c>
      <c r="AJ192" s="26">
        <f>IFERROR(IFERROR(INDEX('BD(MSCI)'!$T:$T,MATCH(Tabla_Consulta_desde_Reporte_de_Valorización_de_Instrumentos[[#This Row],[CODIGO_ISIN]],'BD(MSCI)'!$C:$C,0),1),INDEX('BD(MSCI)'!$T:$T,MATCH(Tabla_Consulta_desde_Reporte_de_Valorización_de_Instrumentos[[#This Row],[CODIGO_SBS]],'BD(MSCI)'!$C:$C,0),1)),0)</f>
        <v>114.2</v>
      </c>
      <c r="AK192" s="26">
        <f>Tabla_Consulta_desde_Reporte_de_Valorización_de_Instrumentos[[#This Row],[C02-H]]*Tabla_Consulta_desde_Reporte_de_Valorización_de_Instrumentos[[#This Row],[Inv MM$]]</f>
        <v>2263.144029834395</v>
      </c>
      <c r="AL192" s="26">
        <f>Tabla_Consulta_desde_Reporte_de_Valorización_de_Instrumentos[[#This Row],[C02-H]]*Tabla_Consulta_desde_Reporte_de_Valorización_de_Instrumentos[[#This Row],[Weight]]</f>
        <v>0.99045380656856985</v>
      </c>
      <c r="AM192" s="26" t="str">
        <f>INDEX(Parametria!G:G,MATCH(Tabla_Consulta_desde_Reporte_de_Valorización_de_Instrumentos[[#This Row],[CODIGO_SBS]],Parametria!C:C,0))</f>
        <v>31RVL</v>
      </c>
      <c r="AN192" s="26" t="str">
        <f>INDEX(Parametria!F:F,MATCH(Tabla_Consulta_desde_Reporte_de_Valorización_de_Instrumentos[[#This Row],[CODIGO_SBS]],Parametria!C:C,0))</f>
        <v>BU</v>
      </c>
      <c r="AO192" s="26" t="str">
        <f>+INDEX(Parametria!J:J,MATCH(Tabla_Consulta_desde_Reporte_de_Valorización_de_Instrumentos[[#This Row],[CODIGO_SBS]],Parametria!C:C,0))</f>
        <v>RVLBU</v>
      </c>
      <c r="AP192" s="26">
        <f>Tabla_Consulta_desde_Reporte_de_Valorización_de_Instrumentos[[#This Row],[Huella]]/$AU$4</f>
        <v>0.20980425769562489</v>
      </c>
      <c r="AQ192" s="26" t="str">
        <f>IFERROR(INDEX('BD(MSCI)'!W:W,MATCH(Tabla_Consulta_desde_Reporte_de_Valorización_de_Instrumentos[[#This Row],[CODIGO_ISIN]],'BD(MSCI)'!C:C,0)),IF(Tabla_Consulta_desde_Reporte_de_Valorización_de_Instrumentos[[#This Row],[Rank_rt]]="Cash","Cash","Cuestionario Integra"))</f>
        <v>Portafolio</v>
      </c>
      <c r="AR192" s="26" t="str">
        <f>IFERROR(INDEX('BD(MSCI)'!X:X,MATCH(Tabla_Consulta_desde_Reporte_de_Valorización_de_Instrumentos[[#This Row],[CODIGO_ISIN]],'BD(MSCI)'!C:C,0)),"Cuestionario Integra")</f>
        <v>Portafolio</v>
      </c>
      <c r="AU192" s="26"/>
    </row>
    <row r="193" spans="2:47" hidden="1" x14ac:dyDescent="0.25">
      <c r="B193" s="14" t="s">
        <v>6390</v>
      </c>
      <c r="C193" t="s">
        <v>501</v>
      </c>
      <c r="D193" t="s">
        <v>11</v>
      </c>
      <c r="E193" t="s">
        <v>502</v>
      </c>
      <c r="F193" t="s">
        <v>503</v>
      </c>
      <c r="G193" t="str">
        <f>INDEX(Parametria!H:H,MATCH(Tabla_Consulta_desde_Reporte_de_Valorización_de_Instrumentos[[#This Row],[CODIGO_SBS]],Parametria!C:C,0),1)</f>
        <v>Fossal SA</v>
      </c>
      <c r="H193" t="s">
        <v>6432</v>
      </c>
      <c r="I193" t="s">
        <v>504</v>
      </c>
      <c r="J193" t="s">
        <v>505</v>
      </c>
      <c r="K193" t="s">
        <v>50</v>
      </c>
      <c r="L193">
        <v>1</v>
      </c>
      <c r="M193" s="5">
        <v>4292.4089395000001</v>
      </c>
      <c r="N193">
        <v>1277.160564</v>
      </c>
      <c r="O193">
        <v>255</v>
      </c>
      <c r="P193" s="15">
        <v>69460</v>
      </c>
      <c r="Q193">
        <v>23438</v>
      </c>
      <c r="R193">
        <v>3.3609</v>
      </c>
      <c r="S193" t="s">
        <v>428</v>
      </c>
      <c r="T193">
        <v>4293.4307691000004</v>
      </c>
      <c r="U193" s="5">
        <v>1276.8187620000001</v>
      </c>
      <c r="V193" t="s">
        <v>314</v>
      </c>
      <c r="W193">
        <v>4617000</v>
      </c>
      <c r="X193">
        <v>95000</v>
      </c>
      <c r="Y193">
        <v>4522000</v>
      </c>
      <c r="Z193">
        <v>1.3404000000000001E-3</v>
      </c>
      <c r="AA193" t="str">
        <f>+MID(Tabla_Consulta_desde_Reporte_de_Valorización_de_Instrumentos[[#This Row],[CODIGO_SBS]],7,1)</f>
        <v>2</v>
      </c>
      <c r="AB193">
        <f>INDEX('Cálculo Caja'!F:F,MATCH(Tabla_Consulta_desde_Reporte_de_Valorización_de_Instrumentos[[#This Row],[PORTAFOLIO]],'Cálculo Caja'!A:A,0),1)</f>
        <v>3164069580.822104</v>
      </c>
      <c r="AC193" s="17">
        <f>Tabla_Consulta_desde_Reporte_de_Valorización_de_Instrumentos[[#This Row],[VALOR_VECTOR_LOCAL]]/Tabla_Consulta_desde_Reporte_de_Valorización_de_Instrumentos[[#This Row],[Patrimonio]]</f>
        <v>1.356610159750256E-6</v>
      </c>
      <c r="AD193" s="4">
        <f>(Tabla_Consulta_desde_Reporte_de_Valorización_de_Instrumentos[[#This Row],[VALOR_VECTOR_LOCAL]]/INDEX('Tipo de Cambio'!$D:$D,MATCH("2",'Tipo de Cambio'!$E:$E,0),1))/1000000</f>
        <v>1.277160563985837E-3</v>
      </c>
      <c r="AE193">
        <f>IF(Tabla_Consulta_desde_Reporte_de_Valorización_de_Instrumentos[[#This Row],[PORTAFOLIO]]="IN-FONDO0",Tabla_Consulta_desde_Reporte_de_Valorización_de_Instrumentos[[#This Row],[Inv MM$]],0)</f>
        <v>0</v>
      </c>
      <c r="AF193" s="26">
        <f>IF(Tabla_Consulta_desde_Reporte_de_Valorización_de_Instrumentos[[#This Row],[PORTAFOLIO]]="IN-FONDO1",Tabla_Consulta_desde_Reporte_de_Valorización_de_Instrumentos[[#This Row],[Inv MM$]],0)</f>
        <v>0</v>
      </c>
      <c r="AG193" s="26">
        <f>IF(Tabla_Consulta_desde_Reporte_de_Valorización_de_Instrumentos[[#This Row],[PORTAFOLIO]]="IN-FONDO2",Tabla_Consulta_desde_Reporte_de_Valorización_de_Instrumentos[[#This Row],[Inv MM$]],0)</f>
        <v>0</v>
      </c>
      <c r="AH193" s="26">
        <f>IF(Tabla_Consulta_desde_Reporte_de_Valorización_de_Instrumentos[[#This Row],[PORTAFOLIO]]="IN-FONDO3",Tabla_Consulta_desde_Reporte_de_Valorización_de_Instrumentos[[#This Row],[Inv MM$]],0)</f>
        <v>1.277160563985837E-3</v>
      </c>
      <c r="AI19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3.8915833655568449E-3</v>
      </c>
      <c r="AJ193" s="26">
        <f>IFERROR(IFERROR(INDEX('BD(MSCI)'!$T:$T,MATCH(Tabla_Consulta_desde_Reporte_de_Valorización_de_Instrumentos[[#This Row],[CODIGO_ISIN]],'BD(MSCI)'!$C:$C,0),1),INDEX('BD(MSCI)'!$T:$T,MATCH(Tabla_Consulta_desde_Reporte_de_Valorización_de_Instrumentos[[#This Row],[CODIGO_SBS]],'BD(MSCI)'!$C:$C,0),1)),0)</f>
        <v>267.09083670000001</v>
      </c>
      <c r="AK193" s="26">
        <f>Tabla_Consulta_desde_Reporte_de_Valorización_de_Instrumentos[[#This Row],[C02-H]]*Tabla_Consulta_desde_Reporte_de_Valorización_de_Instrumentos[[#This Row],[Inv MM$]]</f>
        <v>0.34111788363522111</v>
      </c>
      <c r="AL193" s="26">
        <f>Tabla_Consulta_desde_Reporte_de_Valorización_de_Instrumentos[[#This Row],[C02-H]]*Tabla_Consulta_desde_Reporte_de_Valorización_de_Instrumentos[[#This Row],[Weight]]</f>
        <v>3.6233814264341658E-4</v>
      </c>
      <c r="AM193" s="26" t="str">
        <f>INDEX(Parametria!G:G,MATCH(Tabla_Consulta_desde_Reporte_de_Valorización_de_Instrumentos[[#This Row],[CODIGO_SBS]],Parametria!C:C,0))</f>
        <v>32RVL</v>
      </c>
      <c r="AN193" s="26" t="str">
        <f>INDEX(Parametria!F:F,MATCH(Tabla_Consulta_desde_Reporte_de_Valorización_de_Instrumentos[[#This Row],[CODIGO_SBS]],Parametria!C:C,0))</f>
        <v>BU</v>
      </c>
      <c r="AO193" s="26" t="str">
        <f>+INDEX(Parametria!J:J,MATCH(Tabla_Consulta_desde_Reporte_de_Valorización_de_Instrumentos[[#This Row],[CODIGO_SBS]],Parametria!C:C,0))</f>
        <v>RVLBU</v>
      </c>
      <c r="AP193" s="26">
        <f>Tabla_Consulta_desde_Reporte_de_Valorización_de_Instrumentos[[#This Row],[Huella]]/$AU$4</f>
        <v>3.1623256593186022E-5</v>
      </c>
      <c r="AQ193" s="26" t="str">
        <f>IFERROR(INDEX('BD(MSCI)'!W:W,MATCH(Tabla_Consulta_desde_Reporte_de_Valorización_de_Instrumentos[[#This Row],[CODIGO_ISIN]],'BD(MSCI)'!C:C,0)),IF(Tabla_Consulta_desde_Reporte_de_Valorización_de_Instrumentos[[#This Row],[Rank_rt]]="Cash","Cash","Cuestionario Integra"))</f>
        <v>Proxies</v>
      </c>
      <c r="AR193" s="26" t="str">
        <f>IFERROR(INDEX('BD(MSCI)'!X:X,MATCH(Tabla_Consulta_desde_Reporte_de_Valorización_de_Instrumentos[[#This Row],[CODIGO_ISIN]],'BD(MSCI)'!C:C,0)),"Cuestionario Integra")</f>
        <v>BU</v>
      </c>
      <c r="AU193" s="26"/>
    </row>
    <row r="194" spans="2:47" hidden="1" x14ac:dyDescent="0.25">
      <c r="B194" s="14" t="s">
        <v>6390</v>
      </c>
      <c r="C194" t="s">
        <v>501</v>
      </c>
      <c r="D194" t="s">
        <v>10</v>
      </c>
      <c r="E194" t="s">
        <v>502</v>
      </c>
      <c r="F194" t="s">
        <v>503</v>
      </c>
      <c r="G194" t="str">
        <f>INDEX(Parametria!H:H,MATCH(Tabla_Consulta_desde_Reporte_de_Valorización_de_Instrumentos[[#This Row],[CODIGO_SBS]],Parametria!C:C,0),1)</f>
        <v>Fossal SA</v>
      </c>
      <c r="H194" t="s">
        <v>6432</v>
      </c>
      <c r="I194" t="s">
        <v>504</v>
      </c>
      <c r="J194" t="s">
        <v>505</v>
      </c>
      <c r="K194" t="s">
        <v>50</v>
      </c>
      <c r="L194">
        <v>1</v>
      </c>
      <c r="M194" s="5">
        <v>8096.6615683</v>
      </c>
      <c r="N194">
        <v>2409.0754167999999</v>
      </c>
      <c r="O194">
        <v>481</v>
      </c>
      <c r="P194" s="15">
        <v>69460</v>
      </c>
      <c r="Q194">
        <v>23438</v>
      </c>
      <c r="R194">
        <v>3.3609</v>
      </c>
      <c r="S194" t="s">
        <v>428</v>
      </c>
      <c r="T194">
        <v>8098.5890192999996</v>
      </c>
      <c r="U194" s="5">
        <v>2408.4306843999998</v>
      </c>
      <c r="V194" t="s">
        <v>314</v>
      </c>
      <c r="W194">
        <v>4617000</v>
      </c>
      <c r="X194">
        <v>95000</v>
      </c>
      <c r="Y194">
        <v>4522000</v>
      </c>
      <c r="Z194">
        <v>1.3404000000000001E-3</v>
      </c>
      <c r="AA194" t="str">
        <f>+MID(Tabla_Consulta_desde_Reporte_de_Valorización_de_Instrumentos[[#This Row],[CODIGO_SBS]],7,1)</f>
        <v>2</v>
      </c>
      <c r="AB194">
        <f>INDEX('Cálculo Caja'!F:F,MATCH(Tabla_Consulta_desde_Reporte_de_Valorización_de_Instrumentos[[#This Row],[PORTAFOLIO]],'Cálculo Caja'!A:A,0),1)</f>
        <v>26256910350.436607</v>
      </c>
      <c r="AC194" s="17">
        <f>Tabla_Consulta_desde_Reporte_de_Valorización_de_Instrumentos[[#This Row],[VALOR_VECTOR_LOCAL]]/Tabla_Consulta_desde_Reporte_de_Valorización_de_Instrumentos[[#This Row],[Patrimonio]]</f>
        <v>3.0836307319628588E-7</v>
      </c>
      <c r="AD194" s="4">
        <f>(Tabla_Consulta_desde_Reporte_de_Valorización_de_Instrumentos[[#This Row],[VALOR_VECTOR_LOCAL]]/INDEX('Tipo de Cambio'!$D:$D,MATCH("2",'Tipo de Cambio'!$E:$E,0),1))/1000000</f>
        <v>2.409075416793121E-3</v>
      </c>
      <c r="AE194">
        <f>IF(Tabla_Consulta_desde_Reporte_de_Valorización_de_Instrumentos[[#This Row],[PORTAFOLIO]]="IN-FONDO0",Tabla_Consulta_desde_Reporte_de_Valorización_de_Instrumentos[[#This Row],[Inv MM$]],0)</f>
        <v>0</v>
      </c>
      <c r="AF194" s="26">
        <f>IF(Tabla_Consulta_desde_Reporte_de_Valorización_de_Instrumentos[[#This Row],[PORTAFOLIO]]="IN-FONDO1",Tabla_Consulta_desde_Reporte_de_Valorización_de_Instrumentos[[#This Row],[Inv MM$]],0)</f>
        <v>0</v>
      </c>
      <c r="AG194" s="26">
        <f>IF(Tabla_Consulta_desde_Reporte_de_Valorización_de_Instrumentos[[#This Row],[PORTAFOLIO]]="IN-FONDO2",Tabla_Consulta_desde_Reporte_de_Valorización_de_Instrumentos[[#This Row],[Inv MM$]],0)</f>
        <v>2.409075416793121E-3</v>
      </c>
      <c r="AH194" s="26">
        <f>IF(Tabla_Consulta_desde_Reporte_de_Valorización_de_Instrumentos[[#This Row],[PORTAFOLIO]]="IN-FONDO3",Tabla_Consulta_desde_Reporte_de_Valorización_de_Instrumentos[[#This Row],[Inv MM$]],0)</f>
        <v>0</v>
      </c>
      <c r="AI19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3.8915833655568449E-3</v>
      </c>
      <c r="AJ194" s="26">
        <f>IFERROR(IFERROR(INDEX('BD(MSCI)'!$T:$T,MATCH(Tabla_Consulta_desde_Reporte_de_Valorización_de_Instrumentos[[#This Row],[CODIGO_ISIN]],'BD(MSCI)'!$C:$C,0),1),INDEX('BD(MSCI)'!$T:$T,MATCH(Tabla_Consulta_desde_Reporte_de_Valorización_de_Instrumentos[[#This Row],[CODIGO_SBS]],'BD(MSCI)'!$C:$C,0),1)),0)</f>
        <v>267.09083670000001</v>
      </c>
      <c r="AK194" s="26">
        <f>Tabla_Consulta_desde_Reporte_de_Valorización_de_Instrumentos[[#This Row],[C02-H]]*Tabla_Consulta_desde_Reporte_de_Valorización_de_Instrumentos[[#This Row],[Inv MM$]]</f>
        <v>0.64344196874467596</v>
      </c>
      <c r="AL194" s="26">
        <f>Tabla_Consulta_desde_Reporte_de_Valorización_de_Instrumentos[[#This Row],[C02-H]]*Tabla_Consulta_desde_Reporte_de_Valorización_de_Instrumentos[[#This Row],[Weight]]</f>
        <v>8.2360951227379339E-5</v>
      </c>
      <c r="AM194" s="26" t="str">
        <f>INDEX(Parametria!G:G,MATCH(Tabla_Consulta_desde_Reporte_de_Valorización_de_Instrumentos[[#This Row],[CODIGO_SBS]],Parametria!C:C,0))</f>
        <v>32RVL</v>
      </c>
      <c r="AN194" s="26" t="str">
        <f>INDEX(Parametria!F:F,MATCH(Tabla_Consulta_desde_Reporte_de_Valorización_de_Instrumentos[[#This Row],[CODIGO_SBS]],Parametria!C:C,0))</f>
        <v>BU</v>
      </c>
      <c r="AO194" s="26" t="str">
        <f>+INDEX(Parametria!J:J,MATCH(Tabla_Consulta_desde_Reporte_de_Valorización_de_Instrumentos[[#This Row],[CODIGO_SBS]],Parametria!C:C,0))</f>
        <v>RVLBU</v>
      </c>
      <c r="AP194" s="26">
        <f>Tabla_Consulta_desde_Reporte_de_Valorización_de_Instrumentos[[#This Row],[Huella]]/$AU$4</f>
        <v>5.9650142829206747E-5</v>
      </c>
      <c r="AQ194" s="26" t="str">
        <f>IFERROR(INDEX('BD(MSCI)'!W:W,MATCH(Tabla_Consulta_desde_Reporte_de_Valorización_de_Instrumentos[[#This Row],[CODIGO_ISIN]],'BD(MSCI)'!C:C,0)),IF(Tabla_Consulta_desde_Reporte_de_Valorización_de_Instrumentos[[#This Row],[Rank_rt]]="Cash","Cash","Cuestionario Integra"))</f>
        <v>Proxies</v>
      </c>
      <c r="AR194" s="26" t="str">
        <f>IFERROR(INDEX('BD(MSCI)'!X:X,MATCH(Tabla_Consulta_desde_Reporte_de_Valorización_de_Instrumentos[[#This Row],[CODIGO_ISIN]],'BD(MSCI)'!C:C,0)),"Cuestionario Integra")</f>
        <v>BU</v>
      </c>
      <c r="AU194" s="26"/>
    </row>
    <row r="195" spans="2:47" hidden="1" x14ac:dyDescent="0.25">
      <c r="B195" s="14" t="s">
        <v>6390</v>
      </c>
      <c r="C195" t="s">
        <v>501</v>
      </c>
      <c r="D195" t="s">
        <v>12</v>
      </c>
      <c r="E195" t="s">
        <v>502</v>
      </c>
      <c r="F195" t="s">
        <v>503</v>
      </c>
      <c r="G195" t="str">
        <f>INDEX(Parametria!H:H,MATCH(Tabla_Consulta_desde_Reporte_de_Valorización_de_Instrumentos[[#This Row],[CODIGO_SBS]],Parametria!C:C,0),1)</f>
        <v>Fossal SA</v>
      </c>
      <c r="H195" t="s">
        <v>6432</v>
      </c>
      <c r="I195" t="s">
        <v>504</v>
      </c>
      <c r="J195" t="s">
        <v>505</v>
      </c>
      <c r="K195" t="s">
        <v>50</v>
      </c>
      <c r="L195">
        <v>1</v>
      </c>
      <c r="M195" s="5">
        <v>690.15202550000004</v>
      </c>
      <c r="N195">
        <v>205.34738479999999</v>
      </c>
      <c r="O195">
        <v>41</v>
      </c>
      <c r="P195" s="15">
        <v>69460</v>
      </c>
      <c r="Q195">
        <v>23438</v>
      </c>
      <c r="R195">
        <v>3.3609</v>
      </c>
      <c r="S195" t="s">
        <v>428</v>
      </c>
      <c r="T195">
        <v>690.31631970000001</v>
      </c>
      <c r="U195" s="5">
        <v>205.29242840000001</v>
      </c>
      <c r="V195" t="s">
        <v>314</v>
      </c>
      <c r="W195">
        <v>4617000</v>
      </c>
      <c r="X195">
        <v>95000</v>
      </c>
      <c r="Y195">
        <v>4522000</v>
      </c>
      <c r="Z195">
        <v>1.3404000000000001E-3</v>
      </c>
      <c r="AA195" t="str">
        <f>+MID(Tabla_Consulta_desde_Reporte_de_Valorización_de_Instrumentos[[#This Row],[CODIGO_SBS]],7,1)</f>
        <v>2</v>
      </c>
      <c r="AB195">
        <f>INDEX('Cálculo Caja'!F:F,MATCH(Tabla_Consulta_desde_Reporte_de_Valorización_de_Instrumentos[[#This Row],[PORTAFOLIO]],'Cálculo Caja'!A:A,0),1)</f>
        <v>7679510866.0565634</v>
      </c>
      <c r="AC195" s="17">
        <f>Tabla_Consulta_desde_Reporte_de_Valorización_de_Instrumentos[[#This Row],[VALOR_VECTOR_LOCAL]]/Tabla_Consulta_desde_Reporte_de_Valorización_de_Instrumentos[[#This Row],[Patrimonio]]</f>
        <v>8.9869268699191752E-8</v>
      </c>
      <c r="AD195" s="4">
        <f>(Tabla_Consulta_desde_Reporte_de_Valorización_de_Instrumentos[[#This Row],[VALOR_VECTOR_LOCAL]]/INDEX('Tipo de Cambio'!$D:$D,MATCH("2",'Tipo de Cambio'!$E:$E,0),1))/1000000</f>
        <v>2.0534738477788686E-4</v>
      </c>
      <c r="AE195">
        <f>IF(Tabla_Consulta_desde_Reporte_de_Valorización_de_Instrumentos[[#This Row],[PORTAFOLIO]]="IN-FONDO0",Tabla_Consulta_desde_Reporte_de_Valorización_de_Instrumentos[[#This Row],[Inv MM$]],0)</f>
        <v>0</v>
      </c>
      <c r="AF195" s="26">
        <f>IF(Tabla_Consulta_desde_Reporte_de_Valorización_de_Instrumentos[[#This Row],[PORTAFOLIO]]="IN-FONDO1",Tabla_Consulta_desde_Reporte_de_Valorización_de_Instrumentos[[#This Row],[Inv MM$]],0)</f>
        <v>2.0534738477788686E-4</v>
      </c>
      <c r="AG195" s="26">
        <f>IF(Tabla_Consulta_desde_Reporte_de_Valorización_de_Instrumentos[[#This Row],[PORTAFOLIO]]="IN-FONDO2",Tabla_Consulta_desde_Reporte_de_Valorización_de_Instrumentos[[#This Row],[Inv MM$]],0)</f>
        <v>0</v>
      </c>
      <c r="AH195" s="26">
        <f>IF(Tabla_Consulta_desde_Reporte_de_Valorización_de_Instrumentos[[#This Row],[PORTAFOLIO]]="IN-FONDO3",Tabla_Consulta_desde_Reporte_de_Valorización_de_Instrumentos[[#This Row],[Inv MM$]],0)</f>
        <v>0</v>
      </c>
      <c r="AI19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3.8915833655568449E-3</v>
      </c>
      <c r="AJ195" s="26">
        <f>IFERROR(IFERROR(INDEX('BD(MSCI)'!$T:$T,MATCH(Tabla_Consulta_desde_Reporte_de_Valorización_de_Instrumentos[[#This Row],[CODIGO_ISIN]],'BD(MSCI)'!$C:$C,0),1),INDEX('BD(MSCI)'!$T:$T,MATCH(Tabla_Consulta_desde_Reporte_de_Valorización_de_Instrumentos[[#This Row],[CODIGO_SBS]],'BD(MSCI)'!$C:$C,0),1)),0)</f>
        <v>267.09083670000001</v>
      </c>
      <c r="AK195" s="26">
        <f>Tabla_Consulta_desde_Reporte_de_Valorización_de_Instrumentos[[#This Row],[C02-H]]*Tabla_Consulta_desde_Reporte_de_Valorización_de_Instrumentos[[#This Row],[Inv MM$]]</f>
        <v>5.4846404814482649E-2</v>
      </c>
      <c r="AL195" s="26">
        <f>Tabla_Consulta_desde_Reporte_de_Valorización_de_Instrumentos[[#This Row],[C02-H]]*Tabla_Consulta_desde_Reporte_de_Valorización_de_Instrumentos[[#This Row],[Weight]]</f>
        <v>2.4003258170484245E-5</v>
      </c>
      <c r="AM195" s="26" t="str">
        <f>INDEX(Parametria!G:G,MATCH(Tabla_Consulta_desde_Reporte_de_Valorización_de_Instrumentos[[#This Row],[CODIGO_SBS]],Parametria!C:C,0))</f>
        <v>32RVL</v>
      </c>
      <c r="AN195" s="26" t="str">
        <f>INDEX(Parametria!F:F,MATCH(Tabla_Consulta_desde_Reporte_de_Valorización_de_Instrumentos[[#This Row],[CODIGO_SBS]],Parametria!C:C,0))</f>
        <v>BU</v>
      </c>
      <c r="AO195" s="26" t="str">
        <f>+INDEX(Parametria!J:J,MATCH(Tabla_Consulta_desde_Reporte_de_Valorización_de_Instrumentos[[#This Row],[CODIGO_SBS]],Parametria!C:C,0))</f>
        <v>RVLBU</v>
      </c>
      <c r="AP195" s="26">
        <f>Tabla_Consulta_desde_Reporte_de_Valorización_de_Instrumentos[[#This Row],[Huella]]/$AU$4</f>
        <v>5.0845236086093473E-6</v>
      </c>
      <c r="AQ195" s="26" t="str">
        <f>IFERROR(INDEX('BD(MSCI)'!W:W,MATCH(Tabla_Consulta_desde_Reporte_de_Valorización_de_Instrumentos[[#This Row],[CODIGO_ISIN]],'BD(MSCI)'!C:C,0)),IF(Tabla_Consulta_desde_Reporte_de_Valorización_de_Instrumentos[[#This Row],[Rank_rt]]="Cash","Cash","Cuestionario Integra"))</f>
        <v>Proxies</v>
      </c>
      <c r="AR195" s="26" t="str">
        <f>IFERROR(INDEX('BD(MSCI)'!X:X,MATCH(Tabla_Consulta_desde_Reporte_de_Valorización_de_Instrumentos[[#This Row],[CODIGO_ISIN]],'BD(MSCI)'!C:C,0)),"Cuestionario Integra")</f>
        <v>BU</v>
      </c>
      <c r="AU195" s="26"/>
    </row>
    <row r="196" spans="2:47" hidden="1" x14ac:dyDescent="0.25">
      <c r="B196" s="14" t="s">
        <v>6390</v>
      </c>
      <c r="C196" t="s">
        <v>501</v>
      </c>
      <c r="D196" t="s">
        <v>12</v>
      </c>
      <c r="E196" t="s">
        <v>502</v>
      </c>
      <c r="F196" t="s">
        <v>506</v>
      </c>
      <c r="G196" t="str">
        <f>INDEX(Parametria!H:H,MATCH(Tabla_Consulta_desde_Reporte_de_Valorización_de_Instrumentos[[#This Row],[CODIGO_SBS]],Parametria!C:C,0),1)</f>
        <v>Buenaventura ADR</v>
      </c>
      <c r="H196" t="s">
        <v>507</v>
      </c>
      <c r="I196" t="s">
        <v>508</v>
      </c>
      <c r="J196" t="s">
        <v>309</v>
      </c>
      <c r="K196" t="s">
        <v>50</v>
      </c>
      <c r="L196">
        <v>1</v>
      </c>
      <c r="M196" s="5">
        <v>30889459.437902998</v>
      </c>
      <c r="N196">
        <v>9190829.6699999999</v>
      </c>
      <c r="O196">
        <v>330249</v>
      </c>
      <c r="P196" s="15"/>
      <c r="R196">
        <v>3.3609</v>
      </c>
      <c r="S196" t="s">
        <v>428</v>
      </c>
      <c r="T196">
        <v>31649115.690900002</v>
      </c>
      <c r="U196" s="5">
        <v>9412096.5</v>
      </c>
      <c r="V196" t="s">
        <v>310</v>
      </c>
      <c r="W196">
        <v>4052129000</v>
      </c>
      <c r="X196">
        <v>932087000</v>
      </c>
      <c r="Y196">
        <v>3120042000</v>
      </c>
      <c r="Z196">
        <v>-0.67</v>
      </c>
      <c r="AA196" t="str">
        <f>+MID(Tabla_Consulta_desde_Reporte_de_Valorización_de_Instrumentos[[#This Row],[CODIGO_SBS]],7,1)</f>
        <v>2</v>
      </c>
      <c r="AB196">
        <f>INDEX('Cálculo Caja'!F:F,MATCH(Tabla_Consulta_desde_Reporte_de_Valorización_de_Instrumentos[[#This Row],[PORTAFOLIO]],'Cálculo Caja'!A:A,0),1)</f>
        <v>7679510866.0565634</v>
      </c>
      <c r="AC196" s="17">
        <f>Tabla_Consulta_desde_Reporte_de_Valorización_de_Instrumentos[[#This Row],[VALOR_VECTOR_LOCAL]]/Tabla_Consulta_desde_Reporte_de_Valorización_de_Instrumentos[[#This Row],[Patrimonio]]</f>
        <v>4.0223212098617379E-3</v>
      </c>
      <c r="AD196" s="4">
        <f>(Tabla_Consulta_desde_Reporte_de_Valorización_de_Instrumentos[[#This Row],[VALOR_VECTOR_LOCAL]]/INDEX('Tipo de Cambio'!$D:$D,MATCH("2",'Tipo de Cambio'!$E:$E,0),1))/1000000</f>
        <v>9.1908296699999994</v>
      </c>
      <c r="AE196">
        <f>IF(Tabla_Consulta_desde_Reporte_de_Valorización_de_Instrumentos[[#This Row],[PORTAFOLIO]]="IN-FONDO0",Tabla_Consulta_desde_Reporte_de_Valorización_de_Instrumentos[[#This Row],[Inv MM$]],0)</f>
        <v>0</v>
      </c>
      <c r="AF196" s="26">
        <f>IF(Tabla_Consulta_desde_Reporte_de_Valorización_de_Instrumentos[[#This Row],[PORTAFOLIO]]="IN-FONDO1",Tabla_Consulta_desde_Reporte_de_Valorización_de_Instrumentos[[#This Row],[Inv MM$]],0)</f>
        <v>9.1908296699999994</v>
      </c>
      <c r="AG196" s="26">
        <f>IF(Tabla_Consulta_desde_Reporte_de_Valorización_de_Instrumentos[[#This Row],[PORTAFOLIO]]="IN-FONDO2",Tabla_Consulta_desde_Reporte_de_Valorización_de_Instrumentos[[#This Row],[Inv MM$]],0)</f>
        <v>0</v>
      </c>
      <c r="AH196" s="26">
        <f>IF(Tabla_Consulta_desde_Reporte_de_Valorización_de_Instrumentos[[#This Row],[PORTAFOLIO]]="IN-FONDO3",Tabla_Consulta_desde_Reporte_de_Valorización_de_Instrumentos[[#This Row],[Inv MM$]],0)</f>
        <v>0</v>
      </c>
      <c r="AI19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335.27791748000004</v>
      </c>
      <c r="AJ196" s="26">
        <f>IFERROR(IFERROR(INDEX('BD(MSCI)'!$T:$T,MATCH(Tabla_Consulta_desde_Reporte_de_Valorización_de_Instrumentos[[#This Row],[CODIGO_ISIN]],'BD(MSCI)'!$C:$C,0),1),INDEX('BD(MSCI)'!$T:$T,MATCH(Tabla_Consulta_desde_Reporte_de_Valorización_de_Instrumentos[[#This Row],[CODIGO_SBS]],'BD(MSCI)'!$C:$C,0),1)),0)</f>
        <v>58.4</v>
      </c>
      <c r="AK196" s="26">
        <f>Tabla_Consulta_desde_Reporte_de_Valorización_de_Instrumentos[[#This Row],[C02-H]]*Tabla_Consulta_desde_Reporte_de_Valorización_de_Instrumentos[[#This Row],[Inv MM$]]</f>
        <v>536.74445272799994</v>
      </c>
      <c r="AL196" s="26">
        <f>Tabla_Consulta_desde_Reporte_de_Valorización_de_Instrumentos[[#This Row],[C02-H]]*Tabla_Consulta_desde_Reporte_de_Valorización_de_Instrumentos[[#This Row],[Weight]]</f>
        <v>0.23490355865592549</v>
      </c>
      <c r="AM196" s="26" t="str">
        <f>INDEX(Parametria!G:G,MATCH(Tabla_Consulta_desde_Reporte_de_Valorización_de_Instrumentos[[#This Row],[CODIGO_SBS]],Parametria!C:C,0))</f>
        <v>32RVL</v>
      </c>
      <c r="AN196" s="26" t="str">
        <f>INDEX(Parametria!F:F,MATCH(Tabla_Consulta_desde_Reporte_de_Valorización_de_Instrumentos[[#This Row],[CODIGO_SBS]],Parametria!C:C,0))</f>
        <v>BU</v>
      </c>
      <c r="AO196" s="26" t="str">
        <f>+INDEX(Parametria!J:J,MATCH(Tabla_Consulta_desde_Reporte_de_Valorización_de_Instrumentos[[#This Row],[CODIGO_SBS]],Parametria!C:C,0))</f>
        <v>RVLBU</v>
      </c>
      <c r="AP196" s="26">
        <f>Tabla_Consulta_desde_Reporte_de_Valorización_de_Instrumentos[[#This Row],[Huella]]/$AU$4</f>
        <v>4.9758773631867675E-2</v>
      </c>
      <c r="AQ196" s="26" t="str">
        <f>IFERROR(INDEX('BD(MSCI)'!W:W,MATCH(Tabla_Consulta_desde_Reporte_de_Valorización_de_Instrumentos[[#This Row],[CODIGO_ISIN]],'BD(MSCI)'!C:C,0)),IF(Tabla_Consulta_desde_Reporte_de_Valorización_de_Instrumentos[[#This Row],[Rank_rt]]="Cash","Cash","Cuestionario Integra"))</f>
        <v>Portafolio</v>
      </c>
      <c r="AR196" s="26" t="str">
        <f>IFERROR(INDEX('BD(MSCI)'!X:X,MATCH(Tabla_Consulta_desde_Reporte_de_Valorización_de_Instrumentos[[#This Row],[CODIGO_ISIN]],'BD(MSCI)'!C:C,0)),"Cuestionario Integra")</f>
        <v>Portafolio</v>
      </c>
      <c r="AU196" s="26"/>
    </row>
    <row r="197" spans="2:47" hidden="1" x14ac:dyDescent="0.25">
      <c r="B197" s="14" t="s">
        <v>6390</v>
      </c>
      <c r="C197" t="s">
        <v>501</v>
      </c>
      <c r="D197" t="s">
        <v>11</v>
      </c>
      <c r="E197" t="s">
        <v>502</v>
      </c>
      <c r="F197" t="s">
        <v>506</v>
      </c>
      <c r="G197" t="str">
        <f>INDEX(Parametria!H:H,MATCH(Tabla_Consulta_desde_Reporte_de_Valorización_de_Instrumentos[[#This Row],[CODIGO_SBS]],Parametria!C:C,0),1)</f>
        <v>Buenaventura ADR</v>
      </c>
      <c r="H197" t="s">
        <v>507</v>
      </c>
      <c r="I197" t="s">
        <v>508</v>
      </c>
      <c r="J197" t="s">
        <v>309</v>
      </c>
      <c r="K197" t="s">
        <v>50</v>
      </c>
      <c r="L197">
        <v>1</v>
      </c>
      <c r="M197" s="5">
        <v>175338643.120047</v>
      </c>
      <c r="N197">
        <v>52170145.829999998</v>
      </c>
      <c r="O197">
        <v>1874601</v>
      </c>
      <c r="P197" s="15"/>
      <c r="R197">
        <v>3.3609</v>
      </c>
      <c r="S197" t="s">
        <v>428</v>
      </c>
      <c r="T197">
        <v>179756788.04280001</v>
      </c>
      <c r="U197" s="5">
        <v>53457678</v>
      </c>
      <c r="V197" t="s">
        <v>310</v>
      </c>
      <c r="W197">
        <v>4052129000</v>
      </c>
      <c r="X197">
        <v>932087000</v>
      </c>
      <c r="Y197">
        <v>3120042000</v>
      </c>
      <c r="Z197">
        <v>-0.67</v>
      </c>
      <c r="AA197" t="str">
        <f>+MID(Tabla_Consulta_desde_Reporte_de_Valorización_de_Instrumentos[[#This Row],[CODIGO_SBS]],7,1)</f>
        <v>2</v>
      </c>
      <c r="AB197">
        <f>INDEX('Cálculo Caja'!F:F,MATCH(Tabla_Consulta_desde_Reporte_de_Valorización_de_Instrumentos[[#This Row],[PORTAFOLIO]],'Cálculo Caja'!A:A,0),1)</f>
        <v>3164069580.822104</v>
      </c>
      <c r="AC197" s="17">
        <f>Tabla_Consulta_desde_Reporte_de_Valorización_de_Instrumentos[[#This Row],[VALOR_VECTOR_LOCAL]]/Tabla_Consulta_desde_Reporte_de_Valorización_de_Instrumentos[[#This Row],[Patrimonio]]</f>
        <v>5.541554591049469E-2</v>
      </c>
      <c r="AD197" s="4">
        <f>(Tabla_Consulta_desde_Reporte_de_Valorización_de_Instrumentos[[#This Row],[VALOR_VECTOR_LOCAL]]/INDEX('Tipo de Cambio'!$D:$D,MATCH("2",'Tipo de Cambio'!$E:$E,0),1))/1000000</f>
        <v>52.170145829999996</v>
      </c>
      <c r="AE197">
        <f>IF(Tabla_Consulta_desde_Reporte_de_Valorización_de_Instrumentos[[#This Row],[PORTAFOLIO]]="IN-FONDO0",Tabla_Consulta_desde_Reporte_de_Valorización_de_Instrumentos[[#This Row],[Inv MM$]],0)</f>
        <v>0</v>
      </c>
      <c r="AF197" s="26">
        <f>IF(Tabla_Consulta_desde_Reporte_de_Valorización_de_Instrumentos[[#This Row],[PORTAFOLIO]]="IN-FONDO1",Tabla_Consulta_desde_Reporte_de_Valorización_de_Instrumentos[[#This Row],[Inv MM$]],0)</f>
        <v>0</v>
      </c>
      <c r="AG197" s="26">
        <f>IF(Tabla_Consulta_desde_Reporte_de_Valorización_de_Instrumentos[[#This Row],[PORTAFOLIO]]="IN-FONDO2",Tabla_Consulta_desde_Reporte_de_Valorización_de_Instrumentos[[#This Row],[Inv MM$]],0)</f>
        <v>0</v>
      </c>
      <c r="AH197" s="26">
        <f>IF(Tabla_Consulta_desde_Reporte_de_Valorización_de_Instrumentos[[#This Row],[PORTAFOLIO]]="IN-FONDO3",Tabla_Consulta_desde_Reporte_de_Valorización_de_Instrumentos[[#This Row],[Inv MM$]],0)</f>
        <v>52.170145829999996</v>
      </c>
      <c r="AI19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335.27791748000004</v>
      </c>
      <c r="AJ197" s="26">
        <f>IFERROR(IFERROR(INDEX('BD(MSCI)'!$T:$T,MATCH(Tabla_Consulta_desde_Reporte_de_Valorización_de_Instrumentos[[#This Row],[CODIGO_ISIN]],'BD(MSCI)'!$C:$C,0),1),INDEX('BD(MSCI)'!$T:$T,MATCH(Tabla_Consulta_desde_Reporte_de_Valorización_de_Instrumentos[[#This Row],[CODIGO_SBS]],'BD(MSCI)'!$C:$C,0),1)),0)</f>
        <v>58.4</v>
      </c>
      <c r="AK197" s="26">
        <f>Tabla_Consulta_desde_Reporte_de_Valorización_de_Instrumentos[[#This Row],[C02-H]]*Tabla_Consulta_desde_Reporte_de_Valorización_de_Instrumentos[[#This Row],[Inv MM$]]</f>
        <v>3046.7365164719995</v>
      </c>
      <c r="AL197" s="26">
        <f>Tabla_Consulta_desde_Reporte_de_Valorización_de_Instrumentos[[#This Row],[C02-H]]*Tabla_Consulta_desde_Reporte_de_Valorización_de_Instrumentos[[#This Row],[Weight]]</f>
        <v>3.23626788117289</v>
      </c>
      <c r="AM197" s="26" t="str">
        <f>INDEX(Parametria!G:G,MATCH(Tabla_Consulta_desde_Reporte_de_Valorización_de_Instrumentos[[#This Row],[CODIGO_SBS]],Parametria!C:C,0))</f>
        <v>32RVL</v>
      </c>
      <c r="AN197" s="26" t="str">
        <f>INDEX(Parametria!F:F,MATCH(Tabla_Consulta_desde_Reporte_de_Valorización_de_Instrumentos[[#This Row],[CODIGO_SBS]],Parametria!C:C,0))</f>
        <v>BU</v>
      </c>
      <c r="AO197" s="26" t="str">
        <f>+INDEX(Parametria!J:J,MATCH(Tabla_Consulta_desde_Reporte_de_Valorización_de_Instrumentos[[#This Row],[CODIGO_SBS]],Parametria!C:C,0))</f>
        <v>RVLBU</v>
      </c>
      <c r="AP197" s="26">
        <f>Tabla_Consulta_desde_Reporte_de_Valorización_de_Instrumentos[[#This Row],[Huella]]/$AU$4</f>
        <v>0.28244702272852534</v>
      </c>
      <c r="AQ197" s="26" t="str">
        <f>IFERROR(INDEX('BD(MSCI)'!W:W,MATCH(Tabla_Consulta_desde_Reporte_de_Valorización_de_Instrumentos[[#This Row],[CODIGO_ISIN]],'BD(MSCI)'!C:C,0)),IF(Tabla_Consulta_desde_Reporte_de_Valorización_de_Instrumentos[[#This Row],[Rank_rt]]="Cash","Cash","Cuestionario Integra"))</f>
        <v>Portafolio</v>
      </c>
      <c r="AR197" s="26" t="str">
        <f>IFERROR(INDEX('BD(MSCI)'!X:X,MATCH(Tabla_Consulta_desde_Reporte_de_Valorización_de_Instrumentos[[#This Row],[CODIGO_ISIN]],'BD(MSCI)'!C:C,0)),"Cuestionario Integra")</f>
        <v>Portafolio</v>
      </c>
      <c r="AU197" s="26"/>
    </row>
    <row r="198" spans="2:47" hidden="1" x14ac:dyDescent="0.25">
      <c r="B198" s="14" t="s">
        <v>6390</v>
      </c>
      <c r="C198" t="s">
        <v>501</v>
      </c>
      <c r="D198" t="s">
        <v>10</v>
      </c>
      <c r="E198" t="s">
        <v>502</v>
      </c>
      <c r="F198" t="s">
        <v>506</v>
      </c>
      <c r="G198" t="str">
        <f>INDEX(Parametria!H:H,MATCH(Tabla_Consulta_desde_Reporte_de_Valorización_de_Instrumentos[[#This Row],[CODIGO_SBS]],Parametria!C:C,0),1)</f>
        <v>Buenaventura ADR</v>
      </c>
      <c r="H198" t="s">
        <v>507</v>
      </c>
      <c r="I198" t="s">
        <v>508</v>
      </c>
      <c r="J198" t="s">
        <v>309</v>
      </c>
      <c r="K198" t="s">
        <v>50</v>
      </c>
      <c r="L198">
        <v>1</v>
      </c>
      <c r="M198" s="5">
        <v>920607450.30058205</v>
      </c>
      <c r="N198">
        <v>273916941.98000002</v>
      </c>
      <c r="O198">
        <v>9842506</v>
      </c>
      <c r="P198" s="15"/>
      <c r="R198">
        <v>3.3609</v>
      </c>
      <c r="S198" t="s">
        <v>428</v>
      </c>
      <c r="T198">
        <v>943247704.25460005</v>
      </c>
      <c r="U198" s="5">
        <v>280511421</v>
      </c>
      <c r="V198" t="s">
        <v>310</v>
      </c>
      <c r="W198">
        <v>4052129000</v>
      </c>
      <c r="X198">
        <v>932087000</v>
      </c>
      <c r="Y198">
        <v>3120042000</v>
      </c>
      <c r="Z198">
        <v>-0.67</v>
      </c>
      <c r="AA198" t="str">
        <f>+MID(Tabla_Consulta_desde_Reporte_de_Valorización_de_Instrumentos[[#This Row],[CODIGO_SBS]],7,1)</f>
        <v>2</v>
      </c>
      <c r="AB198">
        <f>INDEX('Cálculo Caja'!F:F,MATCH(Tabla_Consulta_desde_Reporte_de_Valorización_de_Instrumentos[[#This Row],[PORTAFOLIO]],'Cálculo Caja'!A:A,0),1)</f>
        <v>26256910350.436607</v>
      </c>
      <c r="AC198" s="17">
        <f>Tabla_Consulta_desde_Reporte_de_Valorización_de_Instrumentos[[#This Row],[VALOR_VECTOR_LOCAL]]/Tabla_Consulta_desde_Reporte_de_Valorización_de_Instrumentos[[#This Row],[Patrimonio]]</f>
        <v>3.5061530013003758E-2</v>
      </c>
      <c r="AD198" s="4">
        <f>(Tabla_Consulta_desde_Reporte_de_Valorización_de_Instrumentos[[#This Row],[VALOR_VECTOR_LOCAL]]/INDEX('Tipo de Cambio'!$D:$D,MATCH("2",'Tipo de Cambio'!$E:$E,0),1))/1000000</f>
        <v>273.91694198000005</v>
      </c>
      <c r="AE198">
        <f>IF(Tabla_Consulta_desde_Reporte_de_Valorización_de_Instrumentos[[#This Row],[PORTAFOLIO]]="IN-FONDO0",Tabla_Consulta_desde_Reporte_de_Valorización_de_Instrumentos[[#This Row],[Inv MM$]],0)</f>
        <v>0</v>
      </c>
      <c r="AF198" s="26">
        <f>IF(Tabla_Consulta_desde_Reporte_de_Valorización_de_Instrumentos[[#This Row],[PORTAFOLIO]]="IN-FONDO1",Tabla_Consulta_desde_Reporte_de_Valorización_de_Instrumentos[[#This Row],[Inv MM$]],0)</f>
        <v>0</v>
      </c>
      <c r="AG198" s="26">
        <f>IF(Tabla_Consulta_desde_Reporte_de_Valorización_de_Instrumentos[[#This Row],[PORTAFOLIO]]="IN-FONDO2",Tabla_Consulta_desde_Reporte_de_Valorización_de_Instrumentos[[#This Row],[Inv MM$]],0)</f>
        <v>273.91694198000005</v>
      </c>
      <c r="AH198" s="26">
        <f>IF(Tabla_Consulta_desde_Reporte_de_Valorización_de_Instrumentos[[#This Row],[PORTAFOLIO]]="IN-FONDO3",Tabla_Consulta_desde_Reporte_de_Valorización_de_Instrumentos[[#This Row],[Inv MM$]],0)</f>
        <v>0</v>
      </c>
      <c r="AI19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335.27791748000004</v>
      </c>
      <c r="AJ198" s="26">
        <f>IFERROR(IFERROR(INDEX('BD(MSCI)'!$T:$T,MATCH(Tabla_Consulta_desde_Reporte_de_Valorización_de_Instrumentos[[#This Row],[CODIGO_ISIN]],'BD(MSCI)'!$C:$C,0),1),INDEX('BD(MSCI)'!$T:$T,MATCH(Tabla_Consulta_desde_Reporte_de_Valorización_de_Instrumentos[[#This Row],[CODIGO_SBS]],'BD(MSCI)'!$C:$C,0),1)),0)</f>
        <v>58.4</v>
      </c>
      <c r="AK198" s="26">
        <f>Tabla_Consulta_desde_Reporte_de_Valorización_de_Instrumentos[[#This Row],[C02-H]]*Tabla_Consulta_desde_Reporte_de_Valorización_de_Instrumentos[[#This Row],[Inv MM$]]</f>
        <v>15996.749411632003</v>
      </c>
      <c r="AL198" s="26">
        <f>Tabla_Consulta_desde_Reporte_de_Valorización_de_Instrumentos[[#This Row],[C02-H]]*Tabla_Consulta_desde_Reporte_de_Valorización_de_Instrumentos[[#This Row],[Weight]]</f>
        <v>2.0475933527594194</v>
      </c>
      <c r="AM198" s="26" t="str">
        <f>INDEX(Parametria!G:G,MATCH(Tabla_Consulta_desde_Reporte_de_Valorización_de_Instrumentos[[#This Row],[CODIGO_SBS]],Parametria!C:C,0))</f>
        <v>32RVL</v>
      </c>
      <c r="AN198" s="26" t="str">
        <f>INDEX(Parametria!F:F,MATCH(Tabla_Consulta_desde_Reporte_de_Valorización_de_Instrumentos[[#This Row],[CODIGO_SBS]],Parametria!C:C,0))</f>
        <v>BU</v>
      </c>
      <c r="AO198" s="26" t="str">
        <f>+INDEX(Parametria!J:J,MATCH(Tabla_Consulta_desde_Reporte_de_Valorización_de_Instrumentos[[#This Row],[CODIGO_SBS]],Parametria!C:C,0))</f>
        <v>RVLBU</v>
      </c>
      <c r="AP198" s="26">
        <f>Tabla_Consulta_desde_Reporte_de_Valorización_de_Instrumentos[[#This Row],[Huella]]/$AU$4</f>
        <v>1.4829750522311937</v>
      </c>
      <c r="AQ198" s="26" t="str">
        <f>IFERROR(INDEX('BD(MSCI)'!W:W,MATCH(Tabla_Consulta_desde_Reporte_de_Valorización_de_Instrumentos[[#This Row],[CODIGO_ISIN]],'BD(MSCI)'!C:C,0)),IF(Tabla_Consulta_desde_Reporte_de_Valorización_de_Instrumentos[[#This Row],[Rank_rt]]="Cash","Cash","Cuestionario Integra"))</f>
        <v>Portafolio</v>
      </c>
      <c r="AR198" s="26" t="str">
        <f>IFERROR(INDEX('BD(MSCI)'!X:X,MATCH(Tabla_Consulta_desde_Reporte_de_Valorización_de_Instrumentos[[#This Row],[CODIGO_ISIN]],'BD(MSCI)'!C:C,0)),"Cuestionario Integra")</f>
        <v>Portafolio</v>
      </c>
      <c r="AU198" s="26"/>
    </row>
    <row r="199" spans="2:47" hidden="1" x14ac:dyDescent="0.25">
      <c r="B199" s="14" t="s">
        <v>6390</v>
      </c>
      <c r="C199" t="s">
        <v>501</v>
      </c>
      <c r="D199" t="s">
        <v>10</v>
      </c>
      <c r="E199" t="s">
        <v>502</v>
      </c>
      <c r="F199" t="s">
        <v>509</v>
      </c>
      <c r="G199" t="str">
        <f>INDEX(Parametria!H:H,MATCH(Tabla_Consulta_desde_Reporte_de_Valorización_de_Instrumentos[[#This Row],[CODIGO_SBS]],Parametria!C:C,0),1)</f>
        <v>Cementos Pacasmayo-ADR</v>
      </c>
      <c r="H199" t="s">
        <v>510</v>
      </c>
      <c r="I199" t="s">
        <v>511</v>
      </c>
      <c r="J199" t="s">
        <v>313</v>
      </c>
      <c r="K199" t="s">
        <v>50</v>
      </c>
      <c r="L199">
        <v>1</v>
      </c>
      <c r="M199" s="5">
        <v>70666987.950702906</v>
      </c>
      <c r="N199">
        <v>21026209.6315579</v>
      </c>
      <c r="O199">
        <v>2023087</v>
      </c>
      <c r="P199" s="15"/>
      <c r="R199">
        <v>3.3609</v>
      </c>
      <c r="S199" t="s">
        <v>428</v>
      </c>
      <c r="T199">
        <v>70683811.109188795</v>
      </c>
      <c r="U199" s="5">
        <v>21020582.6173761</v>
      </c>
      <c r="V199" t="s">
        <v>314</v>
      </c>
      <c r="W199">
        <v>3144080000</v>
      </c>
      <c r="X199">
        <v>1867883000</v>
      </c>
      <c r="Y199">
        <v>1276197000</v>
      </c>
      <c r="Z199">
        <v>2.7813999999999998E-3</v>
      </c>
      <c r="AA199" t="str">
        <f>+MID(Tabla_Consulta_desde_Reporte_de_Valorización_de_Instrumentos[[#This Row],[CODIGO_SBS]],7,1)</f>
        <v>2</v>
      </c>
      <c r="AB199">
        <f>INDEX('Cálculo Caja'!F:F,MATCH(Tabla_Consulta_desde_Reporte_de_Valorización_de_Instrumentos[[#This Row],[PORTAFOLIO]],'Cálculo Caja'!A:A,0),1)</f>
        <v>26256910350.436607</v>
      </c>
      <c r="AC199" s="17">
        <f>Tabla_Consulta_desde_Reporte_de_Valorización_de_Instrumentos[[#This Row],[VALOR_VECTOR_LOCAL]]/Tabla_Consulta_desde_Reporte_de_Valorización_de_Instrumentos[[#This Row],[Patrimonio]]</f>
        <v>2.6913672251437548E-3</v>
      </c>
      <c r="AD199" s="4">
        <f>(Tabla_Consulta_desde_Reporte_de_Valorización_de_Instrumentos[[#This Row],[VALOR_VECTOR_LOCAL]]/INDEX('Tipo de Cambio'!$D:$D,MATCH("2",'Tipo de Cambio'!$E:$E,0),1))/1000000</f>
        <v>21.02620963155789</v>
      </c>
      <c r="AE199">
        <f>IF(Tabla_Consulta_desde_Reporte_de_Valorización_de_Instrumentos[[#This Row],[PORTAFOLIO]]="IN-FONDO0",Tabla_Consulta_desde_Reporte_de_Valorización_de_Instrumentos[[#This Row],[Inv MM$]],0)</f>
        <v>0</v>
      </c>
      <c r="AF199" s="26">
        <f>IF(Tabla_Consulta_desde_Reporte_de_Valorización_de_Instrumentos[[#This Row],[PORTAFOLIO]]="IN-FONDO1",Tabla_Consulta_desde_Reporte_de_Valorización_de_Instrumentos[[#This Row],[Inv MM$]],0)</f>
        <v>0</v>
      </c>
      <c r="AG199" s="26">
        <f>IF(Tabla_Consulta_desde_Reporte_de_Valorización_de_Instrumentos[[#This Row],[PORTAFOLIO]]="IN-FONDO2",Tabla_Consulta_desde_Reporte_de_Valorización_de_Instrumentos[[#This Row],[Inv MM$]],0)</f>
        <v>21.02620963155789</v>
      </c>
      <c r="AH199" s="26">
        <f>IF(Tabla_Consulta_desde_Reporte_de_Valorización_de_Instrumentos[[#This Row],[PORTAFOLIO]]="IN-FONDO3",Tabla_Consulta_desde_Reporte_de_Valorización_de_Instrumentos[[#This Row],[Inv MM$]],0)</f>
        <v>0</v>
      </c>
      <c r="AI19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29.116826148476456</v>
      </c>
      <c r="AJ199" s="26">
        <f>IFERROR(IFERROR(INDEX('BD(MSCI)'!$T:$T,MATCH(Tabla_Consulta_desde_Reporte_de_Valorización_de_Instrumentos[[#This Row],[CODIGO_ISIN]],'BD(MSCI)'!$C:$C,0),1),INDEX('BD(MSCI)'!$T:$T,MATCH(Tabla_Consulta_desde_Reporte_de_Valorización_de_Instrumentos[[#This Row],[CODIGO_SBS]],'BD(MSCI)'!$C:$C,0),1)),0)</f>
        <v>2525.98</v>
      </c>
      <c r="AK199" s="26">
        <f>Tabla_Consulta_desde_Reporte_de_Valorización_de_Instrumentos[[#This Row],[C02-H]]*Tabla_Consulta_desde_Reporte_de_Valorización_de_Instrumentos[[#This Row],[Inv MM$]]</f>
        <v>53111.785005122598</v>
      </c>
      <c r="AL199" s="26">
        <f>Tabla_Consulta_desde_Reporte_de_Valorización_de_Instrumentos[[#This Row],[C02-H]]*Tabla_Consulta_desde_Reporte_de_Valorización_de_Instrumentos[[#This Row],[Weight]]</f>
        <v>6.7983397833686219</v>
      </c>
      <c r="AM199" s="26" t="str">
        <f>INDEX(Parametria!G:G,MATCH(Tabla_Consulta_desde_Reporte_de_Valorización_de_Instrumentos[[#This Row],[CODIGO_SBS]],Parametria!C:C,0))</f>
        <v>32RVL</v>
      </c>
      <c r="AN199" s="26" t="str">
        <f>INDEX(Parametria!F:F,MATCH(Tabla_Consulta_desde_Reporte_de_Valorización_de_Instrumentos[[#This Row],[CODIGO_SBS]],Parametria!C:C,0))</f>
        <v>BU</v>
      </c>
      <c r="AO199" s="26" t="str">
        <f>+INDEX(Parametria!J:J,MATCH(Tabla_Consulta_desde_Reporte_de_Valorización_de_Instrumentos[[#This Row],[CODIGO_SBS]],Parametria!C:C,0))</f>
        <v>RVLBU</v>
      </c>
      <c r="AP199" s="26">
        <f>Tabla_Consulta_desde_Reporte_de_Valorización_de_Instrumentos[[#This Row],[Huella]]/$AU$4</f>
        <v>4.9237160697654572</v>
      </c>
      <c r="AQ199" s="26" t="str">
        <f>IFERROR(INDEX('BD(MSCI)'!W:W,MATCH(Tabla_Consulta_desde_Reporte_de_Valorización_de_Instrumentos[[#This Row],[CODIGO_ISIN]],'BD(MSCI)'!C:C,0)),IF(Tabla_Consulta_desde_Reporte_de_Valorización_de_Instrumentos[[#This Row],[Rank_rt]]="Cash","Cash","Cuestionario Integra"))</f>
        <v>Portafolio</v>
      </c>
      <c r="AR199" s="26" t="str">
        <f>IFERROR(INDEX('BD(MSCI)'!X:X,MATCH(Tabla_Consulta_desde_Reporte_de_Valorización_de_Instrumentos[[#This Row],[CODIGO_ISIN]],'BD(MSCI)'!C:C,0)),"Cuestionario Integra")</f>
        <v>Portafolio</v>
      </c>
      <c r="AU199" s="26"/>
    </row>
    <row r="200" spans="2:47" hidden="1" x14ac:dyDescent="0.25">
      <c r="B200" s="14" t="s">
        <v>6390</v>
      </c>
      <c r="C200" t="s">
        <v>501</v>
      </c>
      <c r="D200" t="s">
        <v>11</v>
      </c>
      <c r="E200" t="s">
        <v>502</v>
      </c>
      <c r="F200" t="s">
        <v>509</v>
      </c>
      <c r="G200" t="str">
        <f>INDEX(Parametria!H:H,MATCH(Tabla_Consulta_desde_Reporte_de_Valorización_de_Instrumentos[[#This Row],[CODIGO_SBS]],Parametria!C:C,0),1)</f>
        <v>Cementos Pacasmayo-ADR</v>
      </c>
      <c r="H200" t="s">
        <v>510</v>
      </c>
      <c r="I200" t="s">
        <v>511</v>
      </c>
      <c r="J200" t="s">
        <v>313</v>
      </c>
      <c r="K200" t="s">
        <v>50</v>
      </c>
      <c r="L200">
        <v>1</v>
      </c>
      <c r="M200" s="5">
        <v>20672855.301250201</v>
      </c>
      <c r="N200">
        <v>6150987.9202744002</v>
      </c>
      <c r="O200">
        <v>591832</v>
      </c>
      <c r="P200" s="15"/>
      <c r="R200">
        <v>3.3609</v>
      </c>
      <c r="S200" t="s">
        <v>428</v>
      </c>
      <c r="T200">
        <v>20677776.7324754</v>
      </c>
      <c r="U200" s="5">
        <v>6149341.7987495996</v>
      </c>
      <c r="V200" t="s">
        <v>314</v>
      </c>
      <c r="W200">
        <v>3144080000</v>
      </c>
      <c r="X200">
        <v>1867883000</v>
      </c>
      <c r="Y200">
        <v>1276197000</v>
      </c>
      <c r="Z200">
        <v>2.7813999999999998E-3</v>
      </c>
      <c r="AA200" t="str">
        <f>+MID(Tabla_Consulta_desde_Reporte_de_Valorización_de_Instrumentos[[#This Row],[CODIGO_SBS]],7,1)</f>
        <v>2</v>
      </c>
      <c r="AB200">
        <f>INDEX('Cálculo Caja'!F:F,MATCH(Tabla_Consulta_desde_Reporte_de_Valorización_de_Instrumentos[[#This Row],[PORTAFOLIO]],'Cálculo Caja'!A:A,0),1)</f>
        <v>3164069580.822104</v>
      </c>
      <c r="AC200" s="17">
        <f>Tabla_Consulta_desde_Reporte_de_Valorización_de_Instrumentos[[#This Row],[VALOR_VECTOR_LOCAL]]/Tabla_Consulta_desde_Reporte_de_Valorización_de_Instrumentos[[#This Row],[Patrimonio]]</f>
        <v>6.5336285353999324E-3</v>
      </c>
      <c r="AD200" s="4">
        <f>(Tabla_Consulta_desde_Reporte_de_Valorización_de_Instrumentos[[#This Row],[VALOR_VECTOR_LOCAL]]/INDEX('Tipo de Cambio'!$D:$D,MATCH("2",'Tipo de Cambio'!$E:$E,0),1))/1000000</f>
        <v>6.1509879202743907</v>
      </c>
      <c r="AE200">
        <f>IF(Tabla_Consulta_desde_Reporte_de_Valorización_de_Instrumentos[[#This Row],[PORTAFOLIO]]="IN-FONDO0",Tabla_Consulta_desde_Reporte_de_Valorización_de_Instrumentos[[#This Row],[Inv MM$]],0)</f>
        <v>0</v>
      </c>
      <c r="AF200" s="26">
        <f>IF(Tabla_Consulta_desde_Reporte_de_Valorización_de_Instrumentos[[#This Row],[PORTAFOLIO]]="IN-FONDO1",Tabla_Consulta_desde_Reporte_de_Valorización_de_Instrumentos[[#This Row],[Inv MM$]],0)</f>
        <v>0</v>
      </c>
      <c r="AG200" s="26">
        <f>IF(Tabla_Consulta_desde_Reporte_de_Valorización_de_Instrumentos[[#This Row],[PORTAFOLIO]]="IN-FONDO2",Tabla_Consulta_desde_Reporte_de_Valorización_de_Instrumentos[[#This Row],[Inv MM$]],0)</f>
        <v>0</v>
      </c>
      <c r="AH200" s="26">
        <f>IF(Tabla_Consulta_desde_Reporte_de_Valorización_de_Instrumentos[[#This Row],[PORTAFOLIO]]="IN-FONDO3",Tabla_Consulta_desde_Reporte_de_Valorización_de_Instrumentos[[#This Row],[Inv MM$]],0)</f>
        <v>6.1509879202743907</v>
      </c>
      <c r="AI20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29.116826148476456</v>
      </c>
      <c r="AJ200" s="26">
        <f>IFERROR(IFERROR(INDEX('BD(MSCI)'!$T:$T,MATCH(Tabla_Consulta_desde_Reporte_de_Valorización_de_Instrumentos[[#This Row],[CODIGO_ISIN]],'BD(MSCI)'!$C:$C,0),1),INDEX('BD(MSCI)'!$T:$T,MATCH(Tabla_Consulta_desde_Reporte_de_Valorización_de_Instrumentos[[#This Row],[CODIGO_SBS]],'BD(MSCI)'!$C:$C,0),1)),0)</f>
        <v>2525.98</v>
      </c>
      <c r="AK200" s="26">
        <f>Tabla_Consulta_desde_Reporte_de_Valorización_de_Instrumentos[[#This Row],[C02-H]]*Tabla_Consulta_desde_Reporte_de_Valorización_de_Instrumentos[[#This Row],[Inv MM$]]</f>
        <v>15537.272466854705</v>
      </c>
      <c r="AL200" s="26">
        <f>Tabla_Consulta_desde_Reporte_de_Valorización_de_Instrumentos[[#This Row],[C02-H]]*Tabla_Consulta_desde_Reporte_de_Valorización_de_Instrumentos[[#This Row],[Weight]]</f>
        <v>16.503815007849521</v>
      </c>
      <c r="AM200" s="26" t="str">
        <f>INDEX(Parametria!G:G,MATCH(Tabla_Consulta_desde_Reporte_de_Valorización_de_Instrumentos[[#This Row],[CODIGO_SBS]],Parametria!C:C,0))</f>
        <v>32RVL</v>
      </c>
      <c r="AN200" s="26" t="str">
        <f>INDEX(Parametria!F:F,MATCH(Tabla_Consulta_desde_Reporte_de_Valorización_de_Instrumentos[[#This Row],[CODIGO_SBS]],Parametria!C:C,0))</f>
        <v>BU</v>
      </c>
      <c r="AO200" s="26" t="str">
        <f>+INDEX(Parametria!J:J,MATCH(Tabla_Consulta_desde_Reporte_de_Valorización_de_Instrumentos[[#This Row],[CODIGO_SBS]],Parametria!C:C,0))</f>
        <v>RVLBU</v>
      </c>
      <c r="AP200" s="26">
        <f>Tabla_Consulta_desde_Reporte_de_Valorización_de_Instrumentos[[#This Row],[Huella]]/$AU$4</f>
        <v>1.4403793455256384</v>
      </c>
      <c r="AQ200" s="26" t="str">
        <f>IFERROR(INDEX('BD(MSCI)'!W:W,MATCH(Tabla_Consulta_desde_Reporte_de_Valorización_de_Instrumentos[[#This Row],[CODIGO_ISIN]],'BD(MSCI)'!C:C,0)),IF(Tabla_Consulta_desde_Reporte_de_Valorización_de_Instrumentos[[#This Row],[Rank_rt]]="Cash","Cash","Cuestionario Integra"))</f>
        <v>Portafolio</v>
      </c>
      <c r="AR200" s="26" t="str">
        <f>IFERROR(INDEX('BD(MSCI)'!X:X,MATCH(Tabla_Consulta_desde_Reporte_de_Valorización_de_Instrumentos[[#This Row],[CODIGO_ISIN]],'BD(MSCI)'!C:C,0)),"Cuestionario Integra")</f>
        <v>Portafolio</v>
      </c>
      <c r="AU200" s="26"/>
    </row>
    <row r="201" spans="2:47" hidden="1" x14ac:dyDescent="0.25">
      <c r="B201" s="14" t="s">
        <v>6390</v>
      </c>
      <c r="C201" t="s">
        <v>501</v>
      </c>
      <c r="D201" t="s">
        <v>12</v>
      </c>
      <c r="E201" t="s">
        <v>502</v>
      </c>
      <c r="F201" t="s">
        <v>509</v>
      </c>
      <c r="G201" t="str">
        <f>INDEX(Parametria!H:H,MATCH(Tabla_Consulta_desde_Reporte_de_Valorización_de_Instrumentos[[#This Row],[CODIGO_SBS]],Parametria!C:C,0),1)</f>
        <v>Cementos Pacasmayo-ADR</v>
      </c>
      <c r="H201" t="s">
        <v>510</v>
      </c>
      <c r="I201" t="s">
        <v>511</v>
      </c>
      <c r="J201" t="s">
        <v>313</v>
      </c>
      <c r="K201" t="s">
        <v>50</v>
      </c>
      <c r="L201">
        <v>1</v>
      </c>
      <c r="M201" s="5">
        <v>6518897.7504613996</v>
      </c>
      <c r="N201">
        <v>1939628.5966441999</v>
      </c>
      <c r="O201">
        <v>186626</v>
      </c>
      <c r="P201" s="15"/>
      <c r="R201">
        <v>3.3609</v>
      </c>
      <c r="S201" t="s">
        <v>428</v>
      </c>
      <c r="T201">
        <v>6520449.6554341996</v>
      </c>
      <c r="U201" s="5">
        <v>1939109.5150878001</v>
      </c>
      <c r="V201" t="s">
        <v>314</v>
      </c>
      <c r="W201">
        <v>3144080000</v>
      </c>
      <c r="X201">
        <v>1867883000</v>
      </c>
      <c r="Y201">
        <v>1276197000</v>
      </c>
      <c r="Z201">
        <v>2.7813999999999998E-3</v>
      </c>
      <c r="AA201" t="str">
        <f>+MID(Tabla_Consulta_desde_Reporte_de_Valorización_de_Instrumentos[[#This Row],[CODIGO_SBS]],7,1)</f>
        <v>2</v>
      </c>
      <c r="AB201">
        <f>INDEX('Cálculo Caja'!F:F,MATCH(Tabla_Consulta_desde_Reporte_de_Valorización_de_Instrumentos[[#This Row],[PORTAFOLIO]],'Cálculo Caja'!A:A,0),1)</f>
        <v>7679510866.0565634</v>
      </c>
      <c r="AC201" s="17">
        <f>Tabla_Consulta_desde_Reporte_de_Valorización_de_Instrumentos[[#This Row],[VALOR_VECTOR_LOCAL]]/Tabla_Consulta_desde_Reporte_de_Valorización_de_Instrumentos[[#This Row],[Patrimonio]]</f>
        <v>8.4886887513564518E-4</v>
      </c>
      <c r="AD201" s="4">
        <f>(Tabla_Consulta_desde_Reporte_de_Valorización_de_Instrumentos[[#This Row],[VALOR_VECTOR_LOCAL]]/INDEX('Tipo de Cambio'!$D:$D,MATCH("2",'Tipo de Cambio'!$E:$E,0),1))/1000000</f>
        <v>1.9396285966441724</v>
      </c>
      <c r="AE201">
        <f>IF(Tabla_Consulta_desde_Reporte_de_Valorización_de_Instrumentos[[#This Row],[PORTAFOLIO]]="IN-FONDO0",Tabla_Consulta_desde_Reporte_de_Valorización_de_Instrumentos[[#This Row],[Inv MM$]],0)</f>
        <v>0</v>
      </c>
      <c r="AF201" s="26">
        <f>IF(Tabla_Consulta_desde_Reporte_de_Valorización_de_Instrumentos[[#This Row],[PORTAFOLIO]]="IN-FONDO1",Tabla_Consulta_desde_Reporte_de_Valorización_de_Instrumentos[[#This Row],[Inv MM$]],0)</f>
        <v>1.9396285966441724</v>
      </c>
      <c r="AG201" s="26">
        <f>IF(Tabla_Consulta_desde_Reporte_de_Valorización_de_Instrumentos[[#This Row],[PORTAFOLIO]]="IN-FONDO2",Tabla_Consulta_desde_Reporte_de_Valorización_de_Instrumentos[[#This Row],[Inv MM$]],0)</f>
        <v>0</v>
      </c>
      <c r="AH201" s="26">
        <f>IF(Tabla_Consulta_desde_Reporte_de_Valorización_de_Instrumentos[[#This Row],[PORTAFOLIO]]="IN-FONDO3",Tabla_Consulta_desde_Reporte_de_Valorización_de_Instrumentos[[#This Row],[Inv MM$]],0)</f>
        <v>0</v>
      </c>
      <c r="AI20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29.116826148476456</v>
      </c>
      <c r="AJ201" s="26">
        <f>IFERROR(IFERROR(INDEX('BD(MSCI)'!$T:$T,MATCH(Tabla_Consulta_desde_Reporte_de_Valorización_de_Instrumentos[[#This Row],[CODIGO_ISIN]],'BD(MSCI)'!$C:$C,0),1),INDEX('BD(MSCI)'!$T:$T,MATCH(Tabla_Consulta_desde_Reporte_de_Valorización_de_Instrumentos[[#This Row],[CODIGO_SBS]],'BD(MSCI)'!$C:$C,0),1)),0)</f>
        <v>2525.98</v>
      </c>
      <c r="AK201" s="26">
        <f>Tabla_Consulta_desde_Reporte_de_Valorización_de_Instrumentos[[#This Row],[C02-H]]*Tabla_Consulta_desde_Reporte_de_Valorización_de_Instrumentos[[#This Row],[Inv MM$]]</f>
        <v>4899.4630425512469</v>
      </c>
      <c r="AL201" s="26">
        <f>Tabla_Consulta_desde_Reporte_de_Valorización_de_Instrumentos[[#This Row],[C02-H]]*Tabla_Consulta_desde_Reporte_de_Valorización_de_Instrumentos[[#This Row],[Weight]]</f>
        <v>2.144225801215137</v>
      </c>
      <c r="AM201" s="26" t="str">
        <f>INDEX(Parametria!G:G,MATCH(Tabla_Consulta_desde_Reporte_de_Valorización_de_Instrumentos[[#This Row],[CODIGO_SBS]],Parametria!C:C,0))</f>
        <v>32RVL</v>
      </c>
      <c r="AN201" s="26" t="str">
        <f>INDEX(Parametria!F:F,MATCH(Tabla_Consulta_desde_Reporte_de_Valorización_de_Instrumentos[[#This Row],[CODIGO_SBS]],Parametria!C:C,0))</f>
        <v>BU</v>
      </c>
      <c r="AO201" s="26" t="str">
        <f>+INDEX(Parametria!J:J,MATCH(Tabla_Consulta_desde_Reporte_de_Valorización_de_Instrumentos[[#This Row],[CODIGO_SBS]],Parametria!C:C,0))</f>
        <v>RVLBU</v>
      </c>
      <c r="AP201" s="26">
        <f>Tabla_Consulta_desde_Reporte_de_Valorización_de_Instrumentos[[#This Row],[Huella]]/$AU$4</f>
        <v>0.45420361815188159</v>
      </c>
      <c r="AQ201" s="26" t="str">
        <f>IFERROR(INDEX('BD(MSCI)'!W:W,MATCH(Tabla_Consulta_desde_Reporte_de_Valorización_de_Instrumentos[[#This Row],[CODIGO_ISIN]],'BD(MSCI)'!C:C,0)),IF(Tabla_Consulta_desde_Reporte_de_Valorización_de_Instrumentos[[#This Row],[Rank_rt]]="Cash","Cash","Cuestionario Integra"))</f>
        <v>Portafolio</v>
      </c>
      <c r="AR201" s="26" t="str">
        <f>IFERROR(INDEX('BD(MSCI)'!X:X,MATCH(Tabla_Consulta_desde_Reporte_de_Valorización_de_Instrumentos[[#This Row],[CODIGO_ISIN]],'BD(MSCI)'!C:C,0)),"Cuestionario Integra")</f>
        <v>Portafolio</v>
      </c>
      <c r="AU201" s="26"/>
    </row>
    <row r="202" spans="2:47" hidden="1" x14ac:dyDescent="0.25">
      <c r="B202" s="14" t="s">
        <v>6390</v>
      </c>
      <c r="C202" t="s">
        <v>512</v>
      </c>
      <c r="D202" t="s">
        <v>12</v>
      </c>
      <c r="E202" t="s">
        <v>513</v>
      </c>
      <c r="F202" t="s">
        <v>5174</v>
      </c>
      <c r="G202" t="str">
        <f>INDEX(Parametria!H:H,MATCH(Tabla_Consulta_desde_Reporte_de_Valorización_de_Instrumentos[[#This Row],[CODIGO_SBS]],Parametria!C:C,0),1)</f>
        <v>AUNA SA</v>
      </c>
      <c r="H202" t="s">
        <v>5175</v>
      </c>
      <c r="I202" t="s">
        <v>5176</v>
      </c>
      <c r="J202" t="s">
        <v>5150</v>
      </c>
      <c r="K202" t="s">
        <v>50</v>
      </c>
      <c r="L202">
        <v>1</v>
      </c>
      <c r="M202" s="5">
        <v>6920527.2677838001</v>
      </c>
      <c r="N202">
        <v>2059129.182</v>
      </c>
      <c r="O202">
        <v>418965</v>
      </c>
      <c r="P202" s="15"/>
      <c r="R202">
        <v>3.3609</v>
      </c>
      <c r="S202" t="s">
        <v>428</v>
      </c>
      <c r="T202">
        <v>6679598.9558816999</v>
      </c>
      <c r="U202" s="5">
        <v>1986438.7545</v>
      </c>
      <c r="V202" t="s">
        <v>5151</v>
      </c>
      <c r="W202">
        <v>7900406000</v>
      </c>
      <c r="X202">
        <v>6100902000</v>
      </c>
      <c r="Y202">
        <v>1799504000</v>
      </c>
      <c r="Z202">
        <v>0.17349999999999999</v>
      </c>
      <c r="AA202" t="str">
        <f>+MID(Tabla_Consulta_desde_Reporte_de_Valorización_de_Instrumentos[[#This Row],[CODIGO_SBS]],7,1)</f>
        <v>2</v>
      </c>
      <c r="AB202">
        <f>INDEX('Cálculo Caja'!F:F,MATCH(Tabla_Consulta_desde_Reporte_de_Valorización_de_Instrumentos[[#This Row],[PORTAFOLIO]],'Cálculo Caja'!A:A,0),1)</f>
        <v>7679510866.0565634</v>
      </c>
      <c r="AC202" s="17">
        <f>Tabla_Consulta_desde_Reporte_de_Valorización_de_Instrumentos[[#This Row],[VALOR_VECTOR_LOCAL]]/Tabla_Consulta_desde_Reporte_de_Valorización_de_Instrumentos[[#This Row],[Patrimonio]]</f>
        <v>9.0116771608105006E-4</v>
      </c>
      <c r="AD202" s="4">
        <f>(Tabla_Consulta_desde_Reporte_de_Valorización_de_Instrumentos[[#This Row],[VALOR_VECTOR_LOCAL]]/INDEX('Tipo de Cambio'!$D:$D,MATCH("2",'Tipo de Cambio'!$E:$E,0),1))/1000000</f>
        <v>2.0591291819999999</v>
      </c>
      <c r="AE202">
        <f>IF(Tabla_Consulta_desde_Reporte_de_Valorización_de_Instrumentos[[#This Row],[PORTAFOLIO]]="IN-FONDO0",Tabla_Consulta_desde_Reporte_de_Valorización_de_Instrumentos[[#This Row],[Inv MM$]],0)</f>
        <v>0</v>
      </c>
      <c r="AF202" s="26">
        <f>IF(Tabla_Consulta_desde_Reporte_de_Valorización_de_Instrumentos[[#This Row],[PORTAFOLIO]]="IN-FONDO1",Tabla_Consulta_desde_Reporte_de_Valorización_de_Instrumentos[[#This Row],[Inv MM$]],0)</f>
        <v>2.0591291819999999</v>
      </c>
      <c r="AG202" s="26">
        <f>IF(Tabla_Consulta_desde_Reporte_de_Valorización_de_Instrumentos[[#This Row],[PORTAFOLIO]]="IN-FONDO2",Tabla_Consulta_desde_Reporte_de_Valorización_de_Instrumentos[[#This Row],[Inv MM$]],0)</f>
        <v>0</v>
      </c>
      <c r="AH202" s="26">
        <f>IF(Tabla_Consulta_desde_Reporte_de_Valorización_de_Instrumentos[[#This Row],[PORTAFOLIO]]="IN-FONDO3",Tabla_Consulta_desde_Reporte_de_Valorización_de_Instrumentos[[#This Row],[Inv MM$]],0)</f>
        <v>0</v>
      </c>
      <c r="AI20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44.215998199999973</v>
      </c>
      <c r="AJ202" s="26">
        <f>IFERROR(IFERROR(INDEX('BD(MSCI)'!$T:$T,MATCH(Tabla_Consulta_desde_Reporte_de_Valorización_de_Instrumentos[[#This Row],[CODIGO_ISIN]],'BD(MSCI)'!$C:$C,0),1),INDEX('BD(MSCI)'!$T:$T,MATCH(Tabla_Consulta_desde_Reporte_de_Valorización_de_Instrumentos[[#This Row],[CODIGO_SBS]],'BD(MSCI)'!$C:$C,0),1)),0)</f>
        <v>3.10555344</v>
      </c>
      <c r="AK202" s="26">
        <f>Tabla_Consulta_desde_Reporte_de_Valorización_de_Instrumentos[[#This Row],[C02-H]]*Tabla_Consulta_desde_Reporte_de_Valorización_de_Instrumentos[[#This Row],[Inv MM$]]</f>
        <v>6.3947357145644856</v>
      </c>
      <c r="AL202" s="26">
        <f>Tabla_Consulta_desde_Reporte_de_Valorización_de_Instrumentos[[#This Row],[C02-H]]*Tabla_Consulta_desde_Reporte_de_Valorización_de_Instrumentos[[#This Row],[Weight]]</f>
        <v>2.7986245006924484E-3</v>
      </c>
      <c r="AM202" s="26" t="str">
        <f>INDEX(Parametria!G:G,MATCH(Tabla_Consulta_desde_Reporte_de_Valorización_de_Instrumentos[[#This Row],[CODIGO_SBS]],Parametria!C:C,0))</f>
        <v>34RVL</v>
      </c>
      <c r="AN202" s="26" t="str">
        <f>INDEX(Parametria!F:F,MATCH(Tabla_Consulta_desde_Reporte_de_Valorización_de_Instrumentos[[#This Row],[CODIGO_SBS]],Parametria!C:C,0))</f>
        <v>BU</v>
      </c>
      <c r="AO202" s="26" t="str">
        <f>+INDEX(Parametria!J:J,MATCH(Tabla_Consulta_desde_Reporte_de_Valorización_de_Instrumentos[[#This Row],[CODIGO_SBS]],Parametria!C:C,0))</f>
        <v>RVLBU</v>
      </c>
      <c r="AP202" s="26">
        <f>Tabla_Consulta_desde_Reporte_de_Valorización_de_Instrumentos[[#This Row],[Huella]]/$AU$4</f>
        <v>5.9282253452162196E-4</v>
      </c>
      <c r="AQ202" s="26" t="str">
        <f>IFERROR(INDEX('BD(MSCI)'!W:W,MATCH(Tabla_Consulta_desde_Reporte_de_Valorización_de_Instrumentos[[#This Row],[CODIGO_ISIN]],'BD(MSCI)'!C:C,0)),IF(Tabla_Consulta_desde_Reporte_de_Valorización_de_Instrumentos[[#This Row],[Rank_rt]]="Cash","Cash","Cuestionario Integra"))</f>
        <v>Proxies</v>
      </c>
      <c r="AR202" s="26" t="str">
        <f>IFERROR(INDEX('BD(MSCI)'!X:X,MATCH(Tabla_Consulta_desde_Reporte_de_Valorización_de_Instrumentos[[#This Row],[CODIGO_ISIN]],'BD(MSCI)'!C:C,0)),"Cuestionario Integra")</f>
        <v>BU</v>
      </c>
      <c r="AU202" s="26"/>
    </row>
    <row r="203" spans="2:47" hidden="1" x14ac:dyDescent="0.25">
      <c r="B203" s="14" t="s">
        <v>6390</v>
      </c>
      <c r="C203" t="s">
        <v>512</v>
      </c>
      <c r="D203" t="s">
        <v>11</v>
      </c>
      <c r="E203" t="s">
        <v>513</v>
      </c>
      <c r="F203" t="s">
        <v>5174</v>
      </c>
      <c r="G203" t="str">
        <f>INDEX(Parametria!H:H,MATCH(Tabla_Consulta_desde_Reporte_de_Valorización_de_Instrumentos[[#This Row],[CODIGO_SBS]],Parametria!C:C,0),1)</f>
        <v>AUNA SA</v>
      </c>
      <c r="H203" t="s">
        <v>5175</v>
      </c>
      <c r="I203" t="s">
        <v>5176</v>
      </c>
      <c r="J203" t="s">
        <v>5150</v>
      </c>
      <c r="K203" t="s">
        <v>50</v>
      </c>
      <c r="L203">
        <v>1</v>
      </c>
      <c r="M203" s="5">
        <v>10165716.312413599</v>
      </c>
      <c r="N203">
        <v>3024700.6195999999</v>
      </c>
      <c r="O203">
        <v>615427</v>
      </c>
      <c r="P203" s="15"/>
      <c r="R203">
        <v>3.3609</v>
      </c>
      <c r="S203" t="s">
        <v>428</v>
      </c>
      <c r="T203">
        <v>9811811.3604272008</v>
      </c>
      <c r="U203" s="5">
        <v>2917924.0351</v>
      </c>
      <c r="V203" t="s">
        <v>5151</v>
      </c>
      <c r="W203">
        <v>7900406000</v>
      </c>
      <c r="X203">
        <v>6100902000</v>
      </c>
      <c r="Y203">
        <v>1799504000</v>
      </c>
      <c r="Z203">
        <v>0.17349999999999999</v>
      </c>
      <c r="AA203" t="str">
        <f>+MID(Tabla_Consulta_desde_Reporte_de_Valorización_de_Instrumentos[[#This Row],[CODIGO_SBS]],7,1)</f>
        <v>2</v>
      </c>
      <c r="AB203">
        <f>INDEX('Cálculo Caja'!F:F,MATCH(Tabla_Consulta_desde_Reporte_de_Valorización_de_Instrumentos[[#This Row],[PORTAFOLIO]],'Cálculo Caja'!A:A,0),1)</f>
        <v>3164069580.822104</v>
      </c>
      <c r="AC203" s="17">
        <f>Tabla_Consulta_desde_Reporte_de_Valorización_de_Instrumentos[[#This Row],[VALOR_VECTOR_LOCAL]]/Tabla_Consulta_desde_Reporte_de_Valorización_de_Instrumentos[[#This Row],[Patrimonio]]</f>
        <v>3.2128611753766468E-3</v>
      </c>
      <c r="AD203" s="4">
        <f>(Tabla_Consulta_desde_Reporte_de_Valorización_de_Instrumentos[[#This Row],[VALOR_VECTOR_LOCAL]]/INDEX('Tipo de Cambio'!$D:$D,MATCH("2",'Tipo de Cambio'!$E:$E,0),1))/1000000</f>
        <v>3.0247006195999879</v>
      </c>
      <c r="AE203">
        <f>IF(Tabla_Consulta_desde_Reporte_de_Valorización_de_Instrumentos[[#This Row],[PORTAFOLIO]]="IN-FONDO0",Tabla_Consulta_desde_Reporte_de_Valorización_de_Instrumentos[[#This Row],[Inv MM$]],0)</f>
        <v>0</v>
      </c>
      <c r="AF203" s="26">
        <f>IF(Tabla_Consulta_desde_Reporte_de_Valorización_de_Instrumentos[[#This Row],[PORTAFOLIO]]="IN-FONDO1",Tabla_Consulta_desde_Reporte_de_Valorización_de_Instrumentos[[#This Row],[Inv MM$]],0)</f>
        <v>0</v>
      </c>
      <c r="AG203" s="26">
        <f>IF(Tabla_Consulta_desde_Reporte_de_Valorización_de_Instrumentos[[#This Row],[PORTAFOLIO]]="IN-FONDO2",Tabla_Consulta_desde_Reporte_de_Valorización_de_Instrumentos[[#This Row],[Inv MM$]],0)</f>
        <v>0</v>
      </c>
      <c r="AH203" s="26">
        <f>IF(Tabla_Consulta_desde_Reporte_de_Valorización_de_Instrumentos[[#This Row],[PORTAFOLIO]]="IN-FONDO3",Tabla_Consulta_desde_Reporte_de_Valorización_de_Instrumentos[[#This Row],[Inv MM$]],0)</f>
        <v>3.0247006195999879</v>
      </c>
      <c r="AI20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44.215998199999973</v>
      </c>
      <c r="AJ203" s="26">
        <f>IFERROR(IFERROR(INDEX('BD(MSCI)'!$T:$T,MATCH(Tabla_Consulta_desde_Reporte_de_Valorización_de_Instrumentos[[#This Row],[CODIGO_ISIN]],'BD(MSCI)'!$C:$C,0),1),INDEX('BD(MSCI)'!$T:$T,MATCH(Tabla_Consulta_desde_Reporte_de_Valorización_de_Instrumentos[[#This Row],[CODIGO_SBS]],'BD(MSCI)'!$C:$C,0),1)),0)</f>
        <v>3.10555344</v>
      </c>
      <c r="AK203" s="26">
        <f>Tabla_Consulta_desde_Reporte_de_Valorización_de_Instrumentos[[#This Row],[C02-H]]*Tabla_Consulta_desde_Reporte_de_Valorización_de_Instrumentos[[#This Row],[Inv MM$]]</f>
        <v>9.3933694141688733</v>
      </c>
      <c r="AL203" s="26">
        <f>Tabla_Consulta_desde_Reporte_de_Valorización_de_Instrumentos[[#This Row],[C02-H]]*Tabla_Consulta_desde_Reporte_de_Valorización_de_Instrumentos[[#This Row],[Weight]]</f>
        <v>9.9777120754333884E-3</v>
      </c>
      <c r="AM203" s="26" t="str">
        <f>INDEX(Parametria!G:G,MATCH(Tabla_Consulta_desde_Reporte_de_Valorización_de_Instrumentos[[#This Row],[CODIGO_SBS]],Parametria!C:C,0))</f>
        <v>34RVL</v>
      </c>
      <c r="AN203" s="26" t="str">
        <f>INDEX(Parametria!F:F,MATCH(Tabla_Consulta_desde_Reporte_de_Valorización_de_Instrumentos[[#This Row],[CODIGO_SBS]],Parametria!C:C,0))</f>
        <v>BU</v>
      </c>
      <c r="AO203" s="26" t="str">
        <f>+INDEX(Parametria!J:J,MATCH(Tabla_Consulta_desde_Reporte_de_Valorización_de_Instrumentos[[#This Row],[CODIGO_SBS]],Parametria!C:C,0))</f>
        <v>RVLBU</v>
      </c>
      <c r="AP203" s="26">
        <f>Tabla_Consulta_desde_Reporte_de_Valorización_de_Instrumentos[[#This Row],[Huella]]/$AU$4</f>
        <v>8.708101964437048E-4</v>
      </c>
      <c r="AQ203" s="26" t="str">
        <f>IFERROR(INDEX('BD(MSCI)'!W:W,MATCH(Tabla_Consulta_desde_Reporte_de_Valorización_de_Instrumentos[[#This Row],[CODIGO_ISIN]],'BD(MSCI)'!C:C,0)),IF(Tabla_Consulta_desde_Reporte_de_Valorización_de_Instrumentos[[#This Row],[Rank_rt]]="Cash","Cash","Cuestionario Integra"))</f>
        <v>Proxies</v>
      </c>
      <c r="AR203" s="26" t="str">
        <f>IFERROR(INDEX('BD(MSCI)'!X:X,MATCH(Tabla_Consulta_desde_Reporte_de_Valorización_de_Instrumentos[[#This Row],[CODIGO_ISIN]],'BD(MSCI)'!C:C,0)),"Cuestionario Integra")</f>
        <v>BU</v>
      </c>
      <c r="AU203" s="26"/>
    </row>
    <row r="204" spans="2:47" hidden="1" x14ac:dyDescent="0.25">
      <c r="B204" s="14" t="s">
        <v>6390</v>
      </c>
      <c r="C204" t="s">
        <v>512</v>
      </c>
      <c r="D204" t="s">
        <v>10</v>
      </c>
      <c r="E204" t="s">
        <v>513</v>
      </c>
      <c r="F204" t="s">
        <v>5174</v>
      </c>
      <c r="G204" t="str">
        <f>INDEX(Parametria!H:H,MATCH(Tabla_Consulta_desde_Reporte_de_Valorización_de_Instrumentos[[#This Row],[CODIGO_SBS]],Parametria!C:C,0),1)</f>
        <v>AUNA SA</v>
      </c>
      <c r="H204" t="s">
        <v>5175</v>
      </c>
      <c r="I204" t="s">
        <v>5176</v>
      </c>
      <c r="J204" t="s">
        <v>5150</v>
      </c>
      <c r="K204" t="s">
        <v>50</v>
      </c>
      <c r="L204">
        <v>1</v>
      </c>
      <c r="M204" s="5">
        <v>131519304.77018251</v>
      </c>
      <c r="N204">
        <v>39132168.398400001</v>
      </c>
      <c r="O204">
        <v>7962108</v>
      </c>
      <c r="P204" s="15"/>
      <c r="R204">
        <v>3.3609</v>
      </c>
      <c r="S204" t="s">
        <v>428</v>
      </c>
      <c r="T204">
        <v>126940647.269861</v>
      </c>
      <c r="U204" s="5">
        <v>37750742.660400003</v>
      </c>
      <c r="V204" t="s">
        <v>5151</v>
      </c>
      <c r="W204">
        <v>7900406000</v>
      </c>
      <c r="X204">
        <v>6100902000</v>
      </c>
      <c r="Y204">
        <v>1799504000</v>
      </c>
      <c r="Z204">
        <v>0.17349999999999999</v>
      </c>
      <c r="AA204" t="str">
        <f>+MID(Tabla_Consulta_desde_Reporte_de_Valorización_de_Instrumentos[[#This Row],[CODIGO_SBS]],7,1)</f>
        <v>2</v>
      </c>
      <c r="AB204">
        <f>INDEX('Cálculo Caja'!F:F,MATCH(Tabla_Consulta_desde_Reporte_de_Valorización_de_Instrumentos[[#This Row],[PORTAFOLIO]],'Cálculo Caja'!A:A,0),1)</f>
        <v>26256910350.436607</v>
      </c>
      <c r="AC204" s="17">
        <f>Tabla_Consulta_desde_Reporte_de_Valorización_de_Instrumentos[[#This Row],[VALOR_VECTOR_LOCAL]]/Tabla_Consulta_desde_Reporte_de_Valorización_de_Instrumentos[[#This Row],[Patrimonio]]</f>
        <v>5.0089406184835291E-3</v>
      </c>
      <c r="AD204" s="4">
        <f>(Tabla_Consulta_desde_Reporte_de_Valorización_de_Instrumentos[[#This Row],[VALOR_VECTOR_LOCAL]]/INDEX('Tipo de Cambio'!$D:$D,MATCH("2",'Tipo de Cambio'!$E:$E,0),1))/1000000</f>
        <v>39.132168398399983</v>
      </c>
      <c r="AE204">
        <f>IF(Tabla_Consulta_desde_Reporte_de_Valorización_de_Instrumentos[[#This Row],[PORTAFOLIO]]="IN-FONDO0",Tabla_Consulta_desde_Reporte_de_Valorización_de_Instrumentos[[#This Row],[Inv MM$]],0)</f>
        <v>0</v>
      </c>
      <c r="AF204" s="26">
        <f>IF(Tabla_Consulta_desde_Reporte_de_Valorización_de_Instrumentos[[#This Row],[PORTAFOLIO]]="IN-FONDO1",Tabla_Consulta_desde_Reporte_de_Valorización_de_Instrumentos[[#This Row],[Inv MM$]],0)</f>
        <v>0</v>
      </c>
      <c r="AG204" s="26">
        <f>IF(Tabla_Consulta_desde_Reporte_de_Valorización_de_Instrumentos[[#This Row],[PORTAFOLIO]]="IN-FONDO2",Tabla_Consulta_desde_Reporte_de_Valorización_de_Instrumentos[[#This Row],[Inv MM$]],0)</f>
        <v>39.132168398399983</v>
      </c>
      <c r="AH204" s="26">
        <f>IF(Tabla_Consulta_desde_Reporte_de_Valorización_de_Instrumentos[[#This Row],[PORTAFOLIO]]="IN-FONDO3",Tabla_Consulta_desde_Reporte_de_Valorización_de_Instrumentos[[#This Row],[Inv MM$]],0)</f>
        <v>0</v>
      </c>
      <c r="AI20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44.215998199999973</v>
      </c>
      <c r="AJ204" s="26">
        <f>IFERROR(IFERROR(INDEX('BD(MSCI)'!$T:$T,MATCH(Tabla_Consulta_desde_Reporte_de_Valorización_de_Instrumentos[[#This Row],[CODIGO_ISIN]],'BD(MSCI)'!$C:$C,0),1),INDEX('BD(MSCI)'!$T:$T,MATCH(Tabla_Consulta_desde_Reporte_de_Valorización_de_Instrumentos[[#This Row],[CODIGO_SBS]],'BD(MSCI)'!$C:$C,0),1)),0)</f>
        <v>3.10555344</v>
      </c>
      <c r="AK204" s="26">
        <f>Tabla_Consulta_desde_Reporte_de_Valorización_de_Instrumentos[[#This Row],[C02-H]]*Tabla_Consulta_desde_Reporte_de_Valorización_de_Instrumentos[[#This Row],[Inv MM$]]</f>
        <v>121.52704018431037</v>
      </c>
      <c r="AL204" s="26">
        <f>Tabla_Consulta_desde_Reporte_de_Valorización_de_Instrumentos[[#This Row],[C02-H]]*Tabla_Consulta_desde_Reporte_de_Valorización_de_Instrumentos[[#This Row],[Weight]]</f>
        <v>1.5555532768487252E-2</v>
      </c>
      <c r="AM204" s="26" t="str">
        <f>INDEX(Parametria!G:G,MATCH(Tabla_Consulta_desde_Reporte_de_Valorización_de_Instrumentos[[#This Row],[CODIGO_SBS]],Parametria!C:C,0))</f>
        <v>34RVL</v>
      </c>
      <c r="AN204" s="26" t="str">
        <f>INDEX(Parametria!F:F,MATCH(Tabla_Consulta_desde_Reporte_de_Valorización_de_Instrumentos[[#This Row],[CODIGO_SBS]],Parametria!C:C,0))</f>
        <v>BU</v>
      </c>
      <c r="AO204" s="26" t="str">
        <f>+INDEX(Parametria!J:J,MATCH(Tabla_Consulta_desde_Reporte_de_Valorización_de_Instrumentos[[#This Row],[CODIGO_SBS]],Parametria!C:C,0))</f>
        <v>RVLBU</v>
      </c>
      <c r="AP204" s="26">
        <f>Tabla_Consulta_desde_Reporte_de_Valorización_de_Instrumentos[[#This Row],[Huella]]/$AU$4</f>
        <v>1.1266136896148558E-2</v>
      </c>
      <c r="AQ204" s="26" t="str">
        <f>IFERROR(INDEX('BD(MSCI)'!W:W,MATCH(Tabla_Consulta_desde_Reporte_de_Valorización_de_Instrumentos[[#This Row],[CODIGO_ISIN]],'BD(MSCI)'!C:C,0)),IF(Tabla_Consulta_desde_Reporte_de_Valorización_de_Instrumentos[[#This Row],[Rank_rt]]="Cash","Cash","Cuestionario Integra"))</f>
        <v>Proxies</v>
      </c>
      <c r="AR204" s="26" t="str">
        <f>IFERROR(INDEX('BD(MSCI)'!X:X,MATCH(Tabla_Consulta_desde_Reporte_de_Valorización_de_Instrumentos[[#This Row],[CODIGO_ISIN]],'BD(MSCI)'!C:C,0)),"Cuestionario Integra")</f>
        <v>BU</v>
      </c>
      <c r="AU204" s="26"/>
    </row>
    <row r="205" spans="2:47" hidden="1" x14ac:dyDescent="0.25">
      <c r="B205" s="14" t="s">
        <v>6390</v>
      </c>
      <c r="C205" t="s">
        <v>512</v>
      </c>
      <c r="D205" t="s">
        <v>10</v>
      </c>
      <c r="E205" t="s">
        <v>513</v>
      </c>
      <c r="F205" t="s">
        <v>514</v>
      </c>
      <c r="G205" t="str">
        <f>INDEX(Parametria!H:H,MATCH(Tabla_Consulta_desde_Reporte_de_Valorización_de_Instrumentos[[#This Row],[CODIGO_SBS]],Parametria!C:C,0),1)</f>
        <v>Aclara Resources Inc.</v>
      </c>
      <c r="H205" t="s">
        <v>515</v>
      </c>
      <c r="I205" t="s">
        <v>516</v>
      </c>
      <c r="J205" t="s">
        <v>517</v>
      </c>
      <c r="K205" t="s">
        <v>27</v>
      </c>
      <c r="L205">
        <v>1.7</v>
      </c>
      <c r="M205" s="5">
        <v>4377382.6286139004</v>
      </c>
      <c r="N205">
        <v>1786561.8737000001</v>
      </c>
      <c r="O205">
        <v>831307</v>
      </c>
      <c r="P205" s="15"/>
      <c r="R205">
        <v>2.4501713000000001</v>
      </c>
      <c r="S205" t="s">
        <v>428</v>
      </c>
      <c r="T205">
        <v>4322839.2283297004</v>
      </c>
      <c r="U205" s="5">
        <v>1759295.0041</v>
      </c>
      <c r="V205" t="s">
        <v>156</v>
      </c>
      <c r="W205">
        <v>0</v>
      </c>
      <c r="X205">
        <v>0</v>
      </c>
      <c r="Y205">
        <v>0</v>
      </c>
      <c r="Z205">
        <v>3.2800000000000003E-2</v>
      </c>
      <c r="AA205" t="str">
        <f>+MID(Tabla_Consulta_desde_Reporte_de_Valorización_de_Instrumentos[[#This Row],[CODIGO_SBS]],7,1)</f>
        <v>7</v>
      </c>
      <c r="AB205">
        <f>INDEX('Cálculo Caja'!F:F,MATCH(Tabla_Consulta_desde_Reporte_de_Valorización_de_Instrumentos[[#This Row],[PORTAFOLIO]],'Cálculo Caja'!A:A,0),1)</f>
        <v>26256910350.436607</v>
      </c>
      <c r="AC205" s="17">
        <f>Tabla_Consulta_desde_Reporte_de_Valorización_de_Instrumentos[[#This Row],[VALOR_VECTOR_LOCAL]]/Tabla_Consulta_desde_Reporte_de_Valorización_de_Instrumentos[[#This Row],[Patrimonio]]</f>
        <v>1.6671354588911532E-4</v>
      </c>
      <c r="AD205" s="4">
        <f>(Tabla_Consulta_desde_Reporte_de_Valorización_de_Instrumentos[[#This Row],[VALOR_VECTOR_LOCAL]]/INDEX('Tipo de Cambio'!$D:$D,MATCH("2",'Tipo de Cambio'!$E:$E,0),1))/1000000</f>
        <v>1.3024435801761136</v>
      </c>
      <c r="AE205">
        <f>IF(Tabla_Consulta_desde_Reporte_de_Valorización_de_Instrumentos[[#This Row],[PORTAFOLIO]]="IN-FONDO0",Tabla_Consulta_desde_Reporte_de_Valorización_de_Instrumentos[[#This Row],[Inv MM$]],0)</f>
        <v>0</v>
      </c>
      <c r="AF205" s="26">
        <f>IF(Tabla_Consulta_desde_Reporte_de_Valorización_de_Instrumentos[[#This Row],[PORTAFOLIO]]="IN-FONDO1",Tabla_Consulta_desde_Reporte_de_Valorización_de_Instrumentos[[#This Row],[Inv MM$]],0)</f>
        <v>0</v>
      </c>
      <c r="AG205" s="26">
        <f>IF(Tabla_Consulta_desde_Reporte_de_Valorización_de_Instrumentos[[#This Row],[PORTAFOLIO]]="IN-FONDO2",Tabla_Consulta_desde_Reporte_de_Valorización_de_Instrumentos[[#This Row],[Inv MM$]],0)</f>
        <v>1.3024435801761136</v>
      </c>
      <c r="AH205" s="26">
        <f>IF(Tabla_Consulta_desde_Reporte_de_Valorización_de_Instrumentos[[#This Row],[PORTAFOLIO]]="IN-FONDO3",Tabla_Consulta_desde_Reporte_de_Valorización_de_Instrumentos[[#This Row],[Inv MM$]],0)</f>
        <v>0</v>
      </c>
      <c r="AI20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1.3024435801761136</v>
      </c>
      <c r="AJ205" s="26">
        <f>IFERROR(IFERROR(INDEX('BD(MSCI)'!$T:$T,MATCH(Tabla_Consulta_desde_Reporte_de_Valorización_de_Instrumentos[[#This Row],[CODIGO_ISIN]],'BD(MSCI)'!$C:$C,0),1),INDEX('BD(MSCI)'!$T:$T,MATCH(Tabla_Consulta_desde_Reporte_de_Valorización_de_Instrumentos[[#This Row],[CODIGO_SBS]],'BD(MSCI)'!$C:$C,0),1)),0)</f>
        <v>267.09083670000001</v>
      </c>
      <c r="AK205" s="26">
        <f>Tabla_Consulta_desde_Reporte_de_Valorización_de_Instrumentos[[#This Row],[C02-H]]*Tabla_Consulta_desde_Reporte_de_Valorización_de_Instrumentos[[#This Row],[Inv MM$]]</f>
        <v>347.87074558378174</v>
      </c>
      <c r="AL205" s="26">
        <f>Tabla_Consulta_desde_Reporte_de_Valorización_de_Instrumentos[[#This Row],[C02-H]]*Tabla_Consulta_desde_Reporte_de_Valorización_de_Instrumentos[[#This Row],[Weight]]</f>
        <v>4.4527660460747659E-2</v>
      </c>
      <c r="AM205" s="26" t="str">
        <f>INDEX(Parametria!G:G,MATCH(Tabla_Consulta_desde_Reporte_de_Valorización_de_Instrumentos[[#This Row],[CODIGO_SBS]],Parametria!C:C,0))</f>
        <v>34RVL</v>
      </c>
      <c r="AN205" s="26" t="str">
        <f>INDEX(Parametria!F:F,MATCH(Tabla_Consulta_desde_Reporte_de_Valorización_de_Instrumentos[[#This Row],[CODIGO_SBS]],Parametria!C:C,0))</f>
        <v>BU</v>
      </c>
      <c r="AO205" s="26" t="str">
        <f>+INDEX(Parametria!J:J,MATCH(Tabla_Consulta_desde_Reporte_de_Valorización_de_Instrumentos[[#This Row],[CODIGO_SBS]],Parametria!C:C,0))</f>
        <v>RVLBU</v>
      </c>
      <c r="AP205" s="26">
        <f>Tabla_Consulta_desde_Reporte_de_Valorización_de_Instrumentos[[#This Row],[Huella]]/$AU$4</f>
        <v>3.2249279139591282E-2</v>
      </c>
      <c r="AQ205" s="26" t="str">
        <f>IFERROR(INDEX('BD(MSCI)'!W:W,MATCH(Tabla_Consulta_desde_Reporte_de_Valorización_de_Instrumentos[[#This Row],[CODIGO_ISIN]],'BD(MSCI)'!C:C,0)),IF(Tabla_Consulta_desde_Reporte_de_Valorización_de_Instrumentos[[#This Row],[Rank_rt]]="Cash","Cash","Cuestionario Integra"))</f>
        <v>Proxies</v>
      </c>
      <c r="AR205" s="26" t="str">
        <f>IFERROR(INDEX('BD(MSCI)'!X:X,MATCH(Tabla_Consulta_desde_Reporte_de_Valorización_de_Instrumentos[[#This Row],[CODIGO_ISIN]],'BD(MSCI)'!C:C,0)),"Cuestionario Integra")</f>
        <v>BU</v>
      </c>
      <c r="AU205" s="26"/>
    </row>
    <row r="206" spans="2:47" hidden="1" x14ac:dyDescent="0.25">
      <c r="B206" s="14" t="s">
        <v>6390</v>
      </c>
      <c r="C206" t="s">
        <v>518</v>
      </c>
      <c r="D206" t="s">
        <v>10</v>
      </c>
      <c r="E206" t="s">
        <v>519</v>
      </c>
      <c r="F206" t="s">
        <v>6389</v>
      </c>
      <c r="G206" t="str">
        <f>INDEX(Parametria!H:H,MATCH(Tabla_Consulta_desde_Reporte_de_Valorización_de_Instrumentos[[#This Row],[CODIGO_SBS]],Parametria!C:C,0),1)</f>
        <v>HudBays Minerals Inc.</v>
      </c>
      <c r="H206" t="s">
        <v>6387</v>
      </c>
      <c r="I206" t="s">
        <v>6433</v>
      </c>
      <c r="J206" t="s">
        <v>6434</v>
      </c>
      <c r="K206" t="s">
        <v>50</v>
      </c>
      <c r="L206">
        <v>1</v>
      </c>
      <c r="M206" s="5">
        <v>17327725.584180001</v>
      </c>
      <c r="N206">
        <v>5155680.2</v>
      </c>
      <c r="O206">
        <v>259732</v>
      </c>
      <c r="P206" s="15"/>
      <c r="R206">
        <v>3.3609</v>
      </c>
      <c r="S206" t="s">
        <v>428</v>
      </c>
      <c r="T206">
        <v>17380158.981679998</v>
      </c>
      <c r="U206" s="5">
        <v>5168666.8</v>
      </c>
      <c r="V206" t="s">
        <v>156</v>
      </c>
      <c r="W206">
        <v>0</v>
      </c>
      <c r="X206">
        <v>0</v>
      </c>
      <c r="Y206">
        <v>0</v>
      </c>
      <c r="Z206">
        <v>-0.05</v>
      </c>
      <c r="AA206" t="str">
        <f>+MID(Tabla_Consulta_desde_Reporte_de_Valorización_de_Instrumentos[[#This Row],[CODIGO_SBS]],7,1)</f>
        <v>2</v>
      </c>
      <c r="AB206">
        <f>INDEX('Cálculo Caja'!F:F,MATCH(Tabla_Consulta_desde_Reporte_de_Valorización_de_Instrumentos[[#This Row],[PORTAFOLIO]],'Cálculo Caja'!A:A,0),1)</f>
        <v>26256910350.436607</v>
      </c>
      <c r="AC206" s="17">
        <f>Tabla_Consulta_desde_Reporte_de_Valorización_de_Instrumentos[[#This Row],[VALOR_VECTOR_LOCAL]]/Tabla_Consulta_desde_Reporte_de_Valorización_de_Instrumentos[[#This Row],[Patrimonio]]</f>
        <v>6.5993010422461492E-4</v>
      </c>
      <c r="AD206" s="4">
        <f>(Tabla_Consulta_desde_Reporte_de_Valorización_de_Instrumentos[[#This Row],[VALOR_VECTOR_LOCAL]]/INDEX('Tipo de Cambio'!$D:$D,MATCH("2",'Tipo de Cambio'!$E:$E,0),1))/1000000</f>
        <v>5.1556801999999999</v>
      </c>
      <c r="AE206">
        <f>IF(Tabla_Consulta_desde_Reporte_de_Valorización_de_Instrumentos[[#This Row],[PORTAFOLIO]]="IN-FONDO0",Tabla_Consulta_desde_Reporte_de_Valorización_de_Instrumentos[[#This Row],[Inv MM$]],0)</f>
        <v>0</v>
      </c>
      <c r="AF206" s="26">
        <f>IF(Tabla_Consulta_desde_Reporte_de_Valorización_de_Instrumentos[[#This Row],[PORTAFOLIO]]="IN-FONDO1",Tabla_Consulta_desde_Reporte_de_Valorización_de_Instrumentos[[#This Row],[Inv MM$]],0)</f>
        <v>0</v>
      </c>
      <c r="AG206" s="26">
        <f>IF(Tabla_Consulta_desde_Reporte_de_Valorización_de_Instrumentos[[#This Row],[PORTAFOLIO]]="IN-FONDO2",Tabla_Consulta_desde_Reporte_de_Valorización_de_Instrumentos[[#This Row],[Inv MM$]],0)</f>
        <v>5.1556801999999999</v>
      </c>
      <c r="AH206" s="26">
        <f>IF(Tabla_Consulta_desde_Reporte_de_Valorización_de_Instrumentos[[#This Row],[PORTAFOLIO]]="IN-FONDO3",Tabla_Consulta_desde_Reporte_de_Valorización_de_Instrumentos[[#This Row],[Inv MM$]],0)</f>
        <v>0</v>
      </c>
      <c r="AI20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13.458299999999999</v>
      </c>
      <c r="AJ206" s="26">
        <f>IFERROR(IFERROR(INDEX('BD(MSCI)'!$T:$T,MATCH(Tabla_Consulta_desde_Reporte_de_Valorización_de_Instrumentos[[#This Row],[CODIGO_ISIN]],'BD(MSCI)'!$C:$C,0),1),INDEX('BD(MSCI)'!$T:$T,MATCH(Tabla_Consulta_desde_Reporte_de_Valorización_de_Instrumentos[[#This Row],[CODIGO_SBS]],'BD(MSCI)'!$C:$C,0),1)),0)</f>
        <v>85.18</v>
      </c>
      <c r="AK206" s="26">
        <f>Tabla_Consulta_desde_Reporte_de_Valorización_de_Instrumentos[[#This Row],[C02-H]]*Tabla_Consulta_desde_Reporte_de_Valorización_de_Instrumentos[[#This Row],[Inv MM$]]</f>
        <v>439.160839436</v>
      </c>
      <c r="AL206" s="26">
        <f>Tabla_Consulta_desde_Reporte_de_Valorización_de_Instrumentos[[#This Row],[C02-H]]*Tabla_Consulta_desde_Reporte_de_Valorización_de_Instrumentos[[#This Row],[Weight]]</f>
        <v>5.6212846277852703E-2</v>
      </c>
      <c r="AM206" s="26" t="str">
        <f>INDEX(Parametria!G:G,MATCH(Tabla_Consulta_desde_Reporte_de_Valorización_de_Instrumentos[[#This Row],[CODIGO_SBS]],Parametria!C:C,0))</f>
        <v>39RVL</v>
      </c>
      <c r="AN206" s="26" t="str">
        <f>INDEX(Parametria!F:F,MATCH(Tabla_Consulta_desde_Reporte_de_Valorización_de_Instrumentos[[#This Row],[CODIGO_SBS]],Parametria!C:C,0))</f>
        <v>BU</v>
      </c>
      <c r="AO206" s="26" t="str">
        <f>+INDEX(Parametria!J:J,MATCH(Tabla_Consulta_desde_Reporte_de_Valorización_de_Instrumentos[[#This Row],[CODIGO_SBS]],Parametria!C:C,0))</f>
        <v>RVLBU</v>
      </c>
      <c r="AP206" s="26">
        <f>Tabla_Consulta_desde_Reporte_de_Valorización_de_Instrumentos[[#This Row],[Huella]]/$AU$4</f>
        <v>4.0712306734450143E-2</v>
      </c>
      <c r="AQ206" s="26" t="str">
        <f>IFERROR(INDEX('BD(MSCI)'!W:W,MATCH(Tabla_Consulta_desde_Reporte_de_Valorización_de_Instrumentos[[#This Row],[CODIGO_ISIN]],'BD(MSCI)'!C:C,0)),IF(Tabla_Consulta_desde_Reporte_de_Valorización_de_Instrumentos[[#This Row],[Rank_rt]]="Cash","Cash","Cuestionario Integra"))</f>
        <v>Portafolio</v>
      </c>
      <c r="AR206" s="26" t="str">
        <f>IFERROR(INDEX('BD(MSCI)'!X:X,MATCH(Tabla_Consulta_desde_Reporte_de_Valorización_de_Instrumentos[[#This Row],[CODIGO_ISIN]],'BD(MSCI)'!C:C,0)),"Cuestionario Integra")</f>
        <v>Portafolio</v>
      </c>
      <c r="AU206" s="26"/>
    </row>
    <row r="207" spans="2:47" hidden="1" x14ac:dyDescent="0.25">
      <c r="B207" s="14" t="s">
        <v>6390</v>
      </c>
      <c r="C207" t="s">
        <v>518</v>
      </c>
      <c r="D207" t="s">
        <v>11</v>
      </c>
      <c r="E207" t="s">
        <v>519</v>
      </c>
      <c r="F207" t="s">
        <v>6389</v>
      </c>
      <c r="G207" t="str">
        <f>INDEX(Parametria!H:H,MATCH(Tabla_Consulta_desde_Reporte_de_Valorización_de_Instrumentos[[#This Row],[CODIGO_SBS]],Parametria!C:C,0),1)</f>
        <v>HudBays Minerals Inc.</v>
      </c>
      <c r="H207" t="s">
        <v>6387</v>
      </c>
      <c r="I207" t="s">
        <v>6433</v>
      </c>
      <c r="J207" t="s">
        <v>6434</v>
      </c>
      <c r="K207" t="s">
        <v>50</v>
      </c>
      <c r="L207">
        <v>1</v>
      </c>
      <c r="M207" s="5">
        <v>26520429.184124999</v>
      </c>
      <c r="N207">
        <v>7890871.25</v>
      </c>
      <c r="O207">
        <v>397525</v>
      </c>
      <c r="P207" s="15"/>
      <c r="R207">
        <v>3.3609</v>
      </c>
      <c r="S207" t="s">
        <v>428</v>
      </c>
      <c r="T207">
        <v>26600679.543499999</v>
      </c>
      <c r="U207" s="5">
        <v>7910747.5</v>
      </c>
      <c r="V207" t="s">
        <v>156</v>
      </c>
      <c r="W207">
        <v>0</v>
      </c>
      <c r="X207">
        <v>0</v>
      </c>
      <c r="Y207">
        <v>0</v>
      </c>
      <c r="Z207">
        <v>-0.05</v>
      </c>
      <c r="AA207" t="str">
        <f>+MID(Tabla_Consulta_desde_Reporte_de_Valorización_de_Instrumentos[[#This Row],[CODIGO_SBS]],7,1)</f>
        <v>2</v>
      </c>
      <c r="AB207">
        <f>INDEX('Cálculo Caja'!F:F,MATCH(Tabla_Consulta_desde_Reporte_de_Valorización_de_Instrumentos[[#This Row],[PORTAFOLIO]],'Cálculo Caja'!A:A,0),1)</f>
        <v>3164069580.822104</v>
      </c>
      <c r="AC207" s="17">
        <f>Tabla_Consulta_desde_Reporte_de_Valorización_de_Instrumentos[[#This Row],[VALOR_VECTOR_LOCAL]]/Tabla_Consulta_desde_Reporte_de_Valorización_de_Instrumentos[[#This Row],[Patrimonio]]</f>
        <v>8.3817465155852644E-3</v>
      </c>
      <c r="AD207" s="4">
        <f>(Tabla_Consulta_desde_Reporte_de_Valorización_de_Instrumentos[[#This Row],[VALOR_VECTOR_LOCAL]]/INDEX('Tipo de Cambio'!$D:$D,MATCH("2",'Tipo de Cambio'!$E:$E,0),1))/1000000</f>
        <v>7.89087125</v>
      </c>
      <c r="AE207">
        <f>IF(Tabla_Consulta_desde_Reporte_de_Valorización_de_Instrumentos[[#This Row],[PORTAFOLIO]]="IN-FONDO0",Tabla_Consulta_desde_Reporte_de_Valorización_de_Instrumentos[[#This Row],[Inv MM$]],0)</f>
        <v>0</v>
      </c>
      <c r="AF207" s="26">
        <f>IF(Tabla_Consulta_desde_Reporte_de_Valorización_de_Instrumentos[[#This Row],[PORTAFOLIO]]="IN-FONDO1",Tabla_Consulta_desde_Reporte_de_Valorización_de_Instrumentos[[#This Row],[Inv MM$]],0)</f>
        <v>0</v>
      </c>
      <c r="AG207" s="26">
        <f>IF(Tabla_Consulta_desde_Reporte_de_Valorización_de_Instrumentos[[#This Row],[PORTAFOLIO]]="IN-FONDO2",Tabla_Consulta_desde_Reporte_de_Valorización_de_Instrumentos[[#This Row],[Inv MM$]],0)</f>
        <v>0</v>
      </c>
      <c r="AH207" s="26">
        <f>IF(Tabla_Consulta_desde_Reporte_de_Valorización_de_Instrumentos[[#This Row],[PORTAFOLIO]]="IN-FONDO3",Tabla_Consulta_desde_Reporte_de_Valorización_de_Instrumentos[[#This Row],[Inv MM$]],0)</f>
        <v>7.89087125</v>
      </c>
      <c r="AI20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13.458299999999999</v>
      </c>
      <c r="AJ207" s="26">
        <f>IFERROR(IFERROR(INDEX('BD(MSCI)'!$T:$T,MATCH(Tabla_Consulta_desde_Reporte_de_Valorización_de_Instrumentos[[#This Row],[CODIGO_ISIN]],'BD(MSCI)'!$C:$C,0),1),INDEX('BD(MSCI)'!$T:$T,MATCH(Tabla_Consulta_desde_Reporte_de_Valorización_de_Instrumentos[[#This Row],[CODIGO_SBS]],'BD(MSCI)'!$C:$C,0),1)),0)</f>
        <v>85.18</v>
      </c>
      <c r="AK207" s="26">
        <f>Tabla_Consulta_desde_Reporte_de_Valorización_de_Instrumentos[[#This Row],[C02-H]]*Tabla_Consulta_desde_Reporte_de_Valorización_de_Instrumentos[[#This Row],[Inv MM$]]</f>
        <v>672.1444130750001</v>
      </c>
      <c r="AL207" s="26">
        <f>Tabla_Consulta_desde_Reporte_de_Valorización_de_Instrumentos[[#This Row],[C02-H]]*Tabla_Consulta_desde_Reporte_de_Valorización_de_Instrumentos[[#This Row],[Weight]]</f>
        <v>0.71395716819755284</v>
      </c>
      <c r="AM207" s="26" t="str">
        <f>INDEX(Parametria!G:G,MATCH(Tabla_Consulta_desde_Reporte_de_Valorización_de_Instrumentos[[#This Row],[CODIGO_SBS]],Parametria!C:C,0))</f>
        <v>39RVL</v>
      </c>
      <c r="AN207" s="26" t="str">
        <f>INDEX(Parametria!F:F,MATCH(Tabla_Consulta_desde_Reporte_de_Valorización_de_Instrumentos[[#This Row],[CODIGO_SBS]],Parametria!C:C,0))</f>
        <v>BU</v>
      </c>
      <c r="AO207" s="26" t="str">
        <f>+INDEX(Parametria!J:J,MATCH(Tabla_Consulta_desde_Reporte_de_Valorización_de_Instrumentos[[#This Row],[CODIGO_SBS]],Parametria!C:C,0))</f>
        <v>RVLBU</v>
      </c>
      <c r="AP207" s="26">
        <f>Tabla_Consulta_desde_Reporte_de_Valorización_de_Instrumentos[[#This Row],[Huella]]/$AU$4</f>
        <v>6.2310996467945023E-2</v>
      </c>
      <c r="AQ207" s="26" t="str">
        <f>IFERROR(INDEX('BD(MSCI)'!W:W,MATCH(Tabla_Consulta_desde_Reporte_de_Valorización_de_Instrumentos[[#This Row],[CODIGO_ISIN]],'BD(MSCI)'!C:C,0)),IF(Tabla_Consulta_desde_Reporte_de_Valorización_de_Instrumentos[[#This Row],[Rank_rt]]="Cash","Cash","Cuestionario Integra"))</f>
        <v>Portafolio</v>
      </c>
      <c r="AR207" s="26" t="str">
        <f>IFERROR(INDEX('BD(MSCI)'!X:X,MATCH(Tabla_Consulta_desde_Reporte_de_Valorización_de_Instrumentos[[#This Row],[CODIGO_ISIN]],'BD(MSCI)'!C:C,0)),"Cuestionario Integra")</f>
        <v>Portafolio</v>
      </c>
      <c r="AU207" s="26"/>
    </row>
    <row r="208" spans="2:47" hidden="1" x14ac:dyDescent="0.25">
      <c r="B208" s="14" t="s">
        <v>6390</v>
      </c>
      <c r="C208" t="s">
        <v>518</v>
      </c>
      <c r="D208" t="s">
        <v>12</v>
      </c>
      <c r="E208" t="s">
        <v>519</v>
      </c>
      <c r="F208" t="s">
        <v>6389</v>
      </c>
      <c r="G208" t="str">
        <f>INDEX(Parametria!H:H,MATCH(Tabla_Consulta_desde_Reporte_de_Valorización_de_Instrumentos[[#This Row],[CODIGO_SBS]],Parametria!C:C,0),1)</f>
        <v>HudBays Minerals Inc.</v>
      </c>
      <c r="H208" t="s">
        <v>6387</v>
      </c>
      <c r="I208" t="s">
        <v>6433</v>
      </c>
      <c r="J208" t="s">
        <v>6434</v>
      </c>
      <c r="K208" t="s">
        <v>50</v>
      </c>
      <c r="L208">
        <v>1</v>
      </c>
      <c r="M208" s="5">
        <v>1383845.7016950001</v>
      </c>
      <c r="N208">
        <v>411748.55</v>
      </c>
      <c r="O208">
        <v>20743</v>
      </c>
      <c r="P208" s="15"/>
      <c r="R208">
        <v>3.3609</v>
      </c>
      <c r="S208" t="s">
        <v>428</v>
      </c>
      <c r="T208">
        <v>1388033.1948200001</v>
      </c>
      <c r="U208" s="5">
        <v>412785.7</v>
      </c>
      <c r="V208" t="s">
        <v>156</v>
      </c>
      <c r="W208">
        <v>0</v>
      </c>
      <c r="X208">
        <v>0</v>
      </c>
      <c r="Y208">
        <v>0</v>
      </c>
      <c r="Z208">
        <v>-0.05</v>
      </c>
      <c r="AA208" t="str">
        <f>+MID(Tabla_Consulta_desde_Reporte_de_Valorización_de_Instrumentos[[#This Row],[CODIGO_SBS]],7,1)</f>
        <v>2</v>
      </c>
      <c r="AB208">
        <f>INDEX('Cálculo Caja'!F:F,MATCH(Tabla_Consulta_desde_Reporte_de_Valorización_de_Instrumentos[[#This Row],[PORTAFOLIO]],'Cálculo Caja'!A:A,0),1)</f>
        <v>7679510866.0565634</v>
      </c>
      <c r="AC208" s="17">
        <f>Tabla_Consulta_desde_Reporte_de_Valorización_de_Instrumentos[[#This Row],[VALOR_VECTOR_LOCAL]]/Tabla_Consulta_desde_Reporte_de_Valorización_de_Instrumentos[[#This Row],[Patrimonio]]</f>
        <v>1.8019971920498189E-4</v>
      </c>
      <c r="AD208" s="4">
        <f>(Tabla_Consulta_desde_Reporte_de_Valorización_de_Instrumentos[[#This Row],[VALOR_VECTOR_LOCAL]]/INDEX('Tipo de Cambio'!$D:$D,MATCH("2",'Tipo de Cambio'!$E:$E,0),1))/1000000</f>
        <v>0.41174854999999999</v>
      </c>
      <c r="AE208">
        <f>IF(Tabla_Consulta_desde_Reporte_de_Valorización_de_Instrumentos[[#This Row],[PORTAFOLIO]]="IN-FONDO0",Tabla_Consulta_desde_Reporte_de_Valorización_de_Instrumentos[[#This Row],[Inv MM$]],0)</f>
        <v>0</v>
      </c>
      <c r="AF208" s="26">
        <f>IF(Tabla_Consulta_desde_Reporte_de_Valorización_de_Instrumentos[[#This Row],[PORTAFOLIO]]="IN-FONDO1",Tabla_Consulta_desde_Reporte_de_Valorización_de_Instrumentos[[#This Row],[Inv MM$]],0)</f>
        <v>0.41174854999999999</v>
      </c>
      <c r="AG208" s="26">
        <f>IF(Tabla_Consulta_desde_Reporte_de_Valorización_de_Instrumentos[[#This Row],[PORTAFOLIO]]="IN-FONDO2",Tabla_Consulta_desde_Reporte_de_Valorización_de_Instrumentos[[#This Row],[Inv MM$]],0)</f>
        <v>0</v>
      </c>
      <c r="AH208" s="26">
        <f>IF(Tabla_Consulta_desde_Reporte_de_Valorización_de_Instrumentos[[#This Row],[PORTAFOLIO]]="IN-FONDO3",Tabla_Consulta_desde_Reporte_de_Valorización_de_Instrumentos[[#This Row],[Inv MM$]],0)</f>
        <v>0</v>
      </c>
      <c r="AI20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13.458299999999999</v>
      </c>
      <c r="AJ208" s="26">
        <f>IFERROR(IFERROR(INDEX('BD(MSCI)'!$T:$T,MATCH(Tabla_Consulta_desde_Reporte_de_Valorización_de_Instrumentos[[#This Row],[CODIGO_ISIN]],'BD(MSCI)'!$C:$C,0),1),INDEX('BD(MSCI)'!$T:$T,MATCH(Tabla_Consulta_desde_Reporte_de_Valorización_de_Instrumentos[[#This Row],[CODIGO_SBS]],'BD(MSCI)'!$C:$C,0),1)),0)</f>
        <v>85.18</v>
      </c>
      <c r="AK208" s="26">
        <f>Tabla_Consulta_desde_Reporte_de_Valorización_de_Instrumentos[[#This Row],[C02-H]]*Tabla_Consulta_desde_Reporte_de_Valorización_de_Instrumentos[[#This Row],[Inv MM$]]</f>
        <v>35.072741489000002</v>
      </c>
      <c r="AL208" s="26">
        <f>Tabla_Consulta_desde_Reporte_de_Valorización_de_Instrumentos[[#This Row],[C02-H]]*Tabla_Consulta_desde_Reporte_de_Valorización_de_Instrumentos[[#This Row],[Weight]]</f>
        <v>1.5349412081880358E-2</v>
      </c>
      <c r="AM208" s="26" t="str">
        <f>INDEX(Parametria!G:G,MATCH(Tabla_Consulta_desde_Reporte_de_Valorización_de_Instrumentos[[#This Row],[CODIGO_SBS]],Parametria!C:C,0))</f>
        <v>39RVL</v>
      </c>
      <c r="AN208" s="26" t="str">
        <f>INDEX(Parametria!F:F,MATCH(Tabla_Consulta_desde_Reporte_de_Valorización_de_Instrumentos[[#This Row],[CODIGO_SBS]],Parametria!C:C,0))</f>
        <v>BU</v>
      </c>
      <c r="AO208" s="26" t="str">
        <f>+INDEX(Parametria!J:J,MATCH(Tabla_Consulta_desde_Reporte_de_Valorización_de_Instrumentos[[#This Row],[CODIGO_SBS]],Parametria!C:C,0))</f>
        <v>RVLBU</v>
      </c>
      <c r="AP208" s="26">
        <f>Tabla_Consulta_desde_Reporte_de_Valorización_de_Instrumentos[[#This Row],[Huella]]/$AU$4</f>
        <v>3.2514106024390502E-3</v>
      </c>
      <c r="AQ208" s="26" t="str">
        <f>IFERROR(INDEX('BD(MSCI)'!W:W,MATCH(Tabla_Consulta_desde_Reporte_de_Valorización_de_Instrumentos[[#This Row],[CODIGO_ISIN]],'BD(MSCI)'!C:C,0)),IF(Tabla_Consulta_desde_Reporte_de_Valorización_de_Instrumentos[[#This Row],[Rank_rt]]="Cash","Cash","Cuestionario Integra"))</f>
        <v>Portafolio</v>
      </c>
      <c r="AR208" s="26" t="str">
        <f>IFERROR(INDEX('BD(MSCI)'!X:X,MATCH(Tabla_Consulta_desde_Reporte_de_Valorización_de_Instrumentos[[#This Row],[CODIGO_ISIN]],'BD(MSCI)'!C:C,0)),"Cuestionario Integra")</f>
        <v>Portafolio</v>
      </c>
      <c r="AU208" s="26"/>
    </row>
    <row r="209" spans="2:47" hidden="1" x14ac:dyDescent="0.25">
      <c r="B209" s="14" t="s">
        <v>6390</v>
      </c>
      <c r="C209" t="s">
        <v>518</v>
      </c>
      <c r="D209" t="s">
        <v>12</v>
      </c>
      <c r="E209" t="s">
        <v>519</v>
      </c>
      <c r="F209" t="s">
        <v>520</v>
      </c>
      <c r="G209" t="str">
        <f>INDEX(Parametria!H:H,MATCH(Tabla_Consulta_desde_Reporte_de_Valorización_de_Instrumentos[[#This Row],[CODIGO_SBS]],Parametria!C:C,0),1)</f>
        <v>Nexa ADR</v>
      </c>
      <c r="H209" t="s">
        <v>521</v>
      </c>
      <c r="I209" t="s">
        <v>522</v>
      </c>
      <c r="J209" t="s">
        <v>201</v>
      </c>
      <c r="K209" t="s">
        <v>50</v>
      </c>
      <c r="L209">
        <v>1</v>
      </c>
      <c r="M209" s="5">
        <v>6878886.7855500001</v>
      </c>
      <c r="N209">
        <v>2046739.5</v>
      </c>
      <c r="O209">
        <v>231270</v>
      </c>
      <c r="P209" s="15">
        <v>402067</v>
      </c>
      <c r="Q209">
        <v>356045</v>
      </c>
      <c r="R209">
        <v>3.3609</v>
      </c>
      <c r="S209" t="s">
        <v>428</v>
      </c>
      <c r="T209">
        <v>7186626.5978159998</v>
      </c>
      <c r="U209" s="5">
        <v>2137223.16</v>
      </c>
      <c r="V209" t="s">
        <v>156</v>
      </c>
      <c r="W209">
        <v>4840507000</v>
      </c>
      <c r="X209">
        <v>3383873000</v>
      </c>
      <c r="Y209">
        <v>1456634000</v>
      </c>
      <c r="Z209">
        <v>-0.23</v>
      </c>
      <c r="AA209" t="str">
        <f>+MID(Tabla_Consulta_desde_Reporte_de_Valorización_de_Instrumentos[[#This Row],[CODIGO_SBS]],7,1)</f>
        <v>2</v>
      </c>
      <c r="AB209">
        <f>INDEX('Cálculo Caja'!F:F,MATCH(Tabla_Consulta_desde_Reporte_de_Valorización_de_Instrumentos[[#This Row],[PORTAFOLIO]],'Cálculo Caja'!A:A,0),1)</f>
        <v>7679510866.0565634</v>
      </c>
      <c r="AC209" s="17">
        <f>Tabla_Consulta_desde_Reporte_de_Valorización_de_Instrumentos[[#This Row],[VALOR_VECTOR_LOCAL]]/Tabla_Consulta_desde_Reporte_de_Valorización_de_Instrumentos[[#This Row],[Patrimonio]]</f>
        <v>8.9574543294868925E-4</v>
      </c>
      <c r="AD209" s="4">
        <f>(Tabla_Consulta_desde_Reporte_de_Valorización_de_Instrumentos[[#This Row],[VALOR_VECTOR_LOCAL]]/INDEX('Tipo de Cambio'!$D:$D,MATCH("2",'Tipo de Cambio'!$E:$E,0),1))/1000000</f>
        <v>2.0467395000000002</v>
      </c>
      <c r="AE209">
        <f>IF(Tabla_Consulta_desde_Reporte_de_Valorización_de_Instrumentos[[#This Row],[PORTAFOLIO]]="IN-FONDO0",Tabla_Consulta_desde_Reporte_de_Valorización_de_Instrumentos[[#This Row],[Inv MM$]],0)</f>
        <v>0</v>
      </c>
      <c r="AF209" s="26">
        <f>IF(Tabla_Consulta_desde_Reporte_de_Valorización_de_Instrumentos[[#This Row],[PORTAFOLIO]]="IN-FONDO1",Tabla_Consulta_desde_Reporte_de_Valorización_de_Instrumentos[[#This Row],[Inv MM$]],0)</f>
        <v>2.0467395000000002</v>
      </c>
      <c r="AG209" s="26">
        <f>IF(Tabla_Consulta_desde_Reporte_de_Valorización_de_Instrumentos[[#This Row],[PORTAFOLIO]]="IN-FONDO2",Tabla_Consulta_desde_Reporte_de_Valorización_de_Instrumentos[[#This Row],[Inv MM$]],0)</f>
        <v>0</v>
      </c>
      <c r="AH209" s="26">
        <f>IF(Tabla_Consulta_desde_Reporte_de_Valorización_de_Instrumentos[[#This Row],[PORTAFOLIO]]="IN-FONDO3",Tabla_Consulta_desde_Reporte_de_Valorización_de_Instrumentos[[#This Row],[Inv MM$]],0)</f>
        <v>0</v>
      </c>
      <c r="AI20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43.063914150000002</v>
      </c>
      <c r="AJ209" s="26">
        <f>IFERROR(IFERROR(INDEX('BD(MSCI)'!$T:$T,MATCH(Tabla_Consulta_desde_Reporte_de_Valorización_de_Instrumentos[[#This Row],[CODIGO_ISIN]],'BD(MSCI)'!$C:$C,0),1),INDEX('BD(MSCI)'!$T:$T,MATCH(Tabla_Consulta_desde_Reporte_de_Valorización_de_Instrumentos[[#This Row],[CODIGO_SBS]],'BD(MSCI)'!$C:$C,0),1)),0)</f>
        <v>214.26</v>
      </c>
      <c r="AK209" s="26">
        <f>Tabla_Consulta_desde_Reporte_de_Valorización_de_Instrumentos[[#This Row],[C02-H]]*Tabla_Consulta_desde_Reporte_de_Valorización_de_Instrumentos[[#This Row],[Inv MM$]]</f>
        <v>438.53440527000004</v>
      </c>
      <c r="AL209" s="26">
        <f>Tabla_Consulta_desde_Reporte_de_Valorización_de_Instrumentos[[#This Row],[C02-H]]*Tabla_Consulta_desde_Reporte_de_Valorización_de_Instrumentos[[#This Row],[Weight]]</f>
        <v>0.19192241646358615</v>
      </c>
      <c r="AM209" s="26" t="str">
        <f>INDEX(Parametria!G:G,MATCH(Tabla_Consulta_desde_Reporte_de_Valorización_de_Instrumentos[[#This Row],[CODIGO_SBS]],Parametria!C:C,0))</f>
        <v>39RVL</v>
      </c>
      <c r="AN209" s="26" t="str">
        <f>INDEX(Parametria!F:F,MATCH(Tabla_Consulta_desde_Reporte_de_Valorización_de_Instrumentos[[#This Row],[CODIGO_SBS]],Parametria!C:C,0))</f>
        <v>BU</v>
      </c>
      <c r="AO209" s="26" t="str">
        <f>+INDEX(Parametria!J:J,MATCH(Tabla_Consulta_desde_Reporte_de_Valorización_de_Instrumentos[[#This Row],[CODIGO_SBS]],Parametria!C:C,0))</f>
        <v>RVLBU</v>
      </c>
      <c r="AP209" s="26">
        <f>Tabla_Consulta_desde_Reporte_de_Valorización_de_Instrumentos[[#This Row],[Huella]]/$AU$4</f>
        <v>4.0654233296144753E-2</v>
      </c>
      <c r="AQ209" s="26" t="str">
        <f>IFERROR(INDEX('BD(MSCI)'!W:W,MATCH(Tabla_Consulta_desde_Reporte_de_Valorización_de_Instrumentos[[#This Row],[CODIGO_ISIN]],'BD(MSCI)'!C:C,0)),IF(Tabla_Consulta_desde_Reporte_de_Valorización_de_Instrumentos[[#This Row],[Rank_rt]]="Cash","Cash","Cuestionario Integra"))</f>
        <v>Portafolio</v>
      </c>
      <c r="AR209" s="26" t="str">
        <f>IFERROR(INDEX('BD(MSCI)'!X:X,MATCH(Tabla_Consulta_desde_Reporte_de_Valorización_de_Instrumentos[[#This Row],[CODIGO_ISIN]],'BD(MSCI)'!C:C,0)),"Cuestionario Integra")</f>
        <v>Portafolio</v>
      </c>
      <c r="AU209" s="26"/>
    </row>
    <row r="210" spans="2:47" hidden="1" x14ac:dyDescent="0.25">
      <c r="B210" s="14" t="s">
        <v>6390</v>
      </c>
      <c r="C210" t="s">
        <v>518</v>
      </c>
      <c r="D210" t="s">
        <v>11</v>
      </c>
      <c r="E210" t="s">
        <v>519</v>
      </c>
      <c r="F210" t="s">
        <v>520</v>
      </c>
      <c r="G210" t="str">
        <f>INDEX(Parametria!H:H,MATCH(Tabla_Consulta_desde_Reporte_de_Valorización_de_Instrumentos[[#This Row],[CODIGO_SBS]],Parametria!C:C,0),1)</f>
        <v>Nexa ADR</v>
      </c>
      <c r="H210" t="s">
        <v>521</v>
      </c>
      <c r="I210" t="s">
        <v>522</v>
      </c>
      <c r="J210" t="s">
        <v>201</v>
      </c>
      <c r="K210" t="s">
        <v>50</v>
      </c>
      <c r="L210">
        <v>1</v>
      </c>
      <c r="M210" s="5">
        <v>29659075.723889999</v>
      </c>
      <c r="N210">
        <v>8824742.0999999996</v>
      </c>
      <c r="O210">
        <v>997146</v>
      </c>
      <c r="P210" s="15">
        <v>402067</v>
      </c>
      <c r="Q210">
        <v>356045</v>
      </c>
      <c r="R210">
        <v>3.3609</v>
      </c>
      <c r="S210" t="s">
        <v>428</v>
      </c>
      <c r="T210">
        <v>30570665.107223999</v>
      </c>
      <c r="U210" s="5">
        <v>9091377.2400000002</v>
      </c>
      <c r="V210" t="s">
        <v>156</v>
      </c>
      <c r="W210">
        <v>4840507000</v>
      </c>
      <c r="X210">
        <v>3383873000</v>
      </c>
      <c r="Y210">
        <v>1456634000</v>
      </c>
      <c r="Z210">
        <v>-0.23</v>
      </c>
      <c r="AA210" t="str">
        <f>+MID(Tabla_Consulta_desde_Reporte_de_Valorización_de_Instrumentos[[#This Row],[CODIGO_SBS]],7,1)</f>
        <v>2</v>
      </c>
      <c r="AB210">
        <f>INDEX('Cálculo Caja'!F:F,MATCH(Tabla_Consulta_desde_Reporte_de_Valorización_de_Instrumentos[[#This Row],[PORTAFOLIO]],'Cálculo Caja'!A:A,0),1)</f>
        <v>3164069580.822104</v>
      </c>
      <c r="AC210" s="17">
        <f>Tabla_Consulta_desde_Reporte_de_Valorización_de_Instrumentos[[#This Row],[VALOR_VECTOR_LOCAL]]/Tabla_Consulta_desde_Reporte_de_Valorización_de_Instrumentos[[#This Row],[Patrimonio]]</f>
        <v>9.3737115971336618E-3</v>
      </c>
      <c r="AD210" s="4">
        <f>(Tabla_Consulta_desde_Reporte_de_Valorización_de_Instrumentos[[#This Row],[VALOR_VECTOR_LOCAL]]/INDEX('Tipo de Cambio'!$D:$D,MATCH("2",'Tipo de Cambio'!$E:$E,0),1))/1000000</f>
        <v>8.8247420999999999</v>
      </c>
      <c r="AE210">
        <f>IF(Tabla_Consulta_desde_Reporte_de_Valorización_de_Instrumentos[[#This Row],[PORTAFOLIO]]="IN-FONDO0",Tabla_Consulta_desde_Reporte_de_Valorización_de_Instrumentos[[#This Row],[Inv MM$]],0)</f>
        <v>0</v>
      </c>
      <c r="AF210" s="26">
        <f>IF(Tabla_Consulta_desde_Reporte_de_Valorización_de_Instrumentos[[#This Row],[PORTAFOLIO]]="IN-FONDO1",Tabla_Consulta_desde_Reporte_de_Valorización_de_Instrumentos[[#This Row],[Inv MM$]],0)</f>
        <v>0</v>
      </c>
      <c r="AG210" s="26">
        <f>IF(Tabla_Consulta_desde_Reporte_de_Valorización_de_Instrumentos[[#This Row],[PORTAFOLIO]]="IN-FONDO2",Tabla_Consulta_desde_Reporte_de_Valorización_de_Instrumentos[[#This Row],[Inv MM$]],0)</f>
        <v>0</v>
      </c>
      <c r="AH210" s="26">
        <f>IF(Tabla_Consulta_desde_Reporte_de_Valorización_de_Instrumentos[[#This Row],[PORTAFOLIO]]="IN-FONDO3",Tabla_Consulta_desde_Reporte_de_Valorización_de_Instrumentos[[#This Row],[Inv MM$]],0)</f>
        <v>8.8247420999999999</v>
      </c>
      <c r="AI21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43.063914150000002</v>
      </c>
      <c r="AJ210" s="26">
        <f>IFERROR(IFERROR(INDEX('BD(MSCI)'!$T:$T,MATCH(Tabla_Consulta_desde_Reporte_de_Valorización_de_Instrumentos[[#This Row],[CODIGO_ISIN]],'BD(MSCI)'!$C:$C,0),1),INDEX('BD(MSCI)'!$T:$T,MATCH(Tabla_Consulta_desde_Reporte_de_Valorización_de_Instrumentos[[#This Row],[CODIGO_SBS]],'BD(MSCI)'!$C:$C,0),1)),0)</f>
        <v>214.26</v>
      </c>
      <c r="AK210" s="26">
        <f>Tabla_Consulta_desde_Reporte_de_Valorización_de_Instrumentos[[#This Row],[C02-H]]*Tabla_Consulta_desde_Reporte_de_Valorización_de_Instrumentos[[#This Row],[Inv MM$]]</f>
        <v>1890.7892423459998</v>
      </c>
      <c r="AL210" s="26">
        <f>Tabla_Consulta_desde_Reporte_de_Valorización_de_Instrumentos[[#This Row],[C02-H]]*Tabla_Consulta_desde_Reporte_de_Valorización_de_Instrumentos[[#This Row],[Weight]]</f>
        <v>2.0084114468018583</v>
      </c>
      <c r="AM210" s="26" t="str">
        <f>INDEX(Parametria!G:G,MATCH(Tabla_Consulta_desde_Reporte_de_Valorización_de_Instrumentos[[#This Row],[CODIGO_SBS]],Parametria!C:C,0))</f>
        <v>39RVL</v>
      </c>
      <c r="AN210" s="26" t="str">
        <f>INDEX(Parametria!F:F,MATCH(Tabla_Consulta_desde_Reporte_de_Valorización_de_Instrumentos[[#This Row],[CODIGO_SBS]],Parametria!C:C,0))</f>
        <v>BU</v>
      </c>
      <c r="AO210" s="26" t="str">
        <f>+INDEX(Parametria!J:J,MATCH(Tabla_Consulta_desde_Reporte_de_Valorización_de_Instrumentos[[#This Row],[CODIGO_SBS]],Parametria!C:C,0))</f>
        <v>RVLBU</v>
      </c>
      <c r="AP210" s="26">
        <f>Tabla_Consulta_desde_Reporte_de_Valorización_de_Instrumentos[[#This Row],[Huella]]/$AU$4</f>
        <v>0.17528519096431683</v>
      </c>
      <c r="AQ210" s="26" t="str">
        <f>IFERROR(INDEX('BD(MSCI)'!W:W,MATCH(Tabla_Consulta_desde_Reporte_de_Valorización_de_Instrumentos[[#This Row],[CODIGO_ISIN]],'BD(MSCI)'!C:C,0)),IF(Tabla_Consulta_desde_Reporte_de_Valorización_de_Instrumentos[[#This Row],[Rank_rt]]="Cash","Cash","Cuestionario Integra"))</f>
        <v>Portafolio</v>
      </c>
      <c r="AR210" s="26" t="str">
        <f>IFERROR(INDEX('BD(MSCI)'!X:X,MATCH(Tabla_Consulta_desde_Reporte_de_Valorización_de_Instrumentos[[#This Row],[CODIGO_ISIN]],'BD(MSCI)'!C:C,0)),"Cuestionario Integra")</f>
        <v>Portafolio</v>
      </c>
      <c r="AU210" s="26"/>
    </row>
    <row r="211" spans="2:47" hidden="1" x14ac:dyDescent="0.25">
      <c r="B211" s="14" t="s">
        <v>6390</v>
      </c>
      <c r="C211" t="s">
        <v>518</v>
      </c>
      <c r="D211" t="s">
        <v>10</v>
      </c>
      <c r="E211" t="s">
        <v>519</v>
      </c>
      <c r="F211" t="s">
        <v>520</v>
      </c>
      <c r="G211" t="str">
        <f>INDEX(Parametria!H:H,MATCH(Tabla_Consulta_desde_Reporte_de_Valorización_de_Instrumentos[[#This Row],[CODIGO_SBS]],Parametria!C:C,0),1)</f>
        <v>Nexa ADR</v>
      </c>
      <c r="H211" t="s">
        <v>521</v>
      </c>
      <c r="I211" t="s">
        <v>522</v>
      </c>
      <c r="J211" t="s">
        <v>201</v>
      </c>
      <c r="K211" t="s">
        <v>50</v>
      </c>
      <c r="L211">
        <v>1</v>
      </c>
      <c r="M211" s="5">
        <v>108195546.55729499</v>
      </c>
      <c r="N211">
        <v>32192432.550000001</v>
      </c>
      <c r="O211">
        <v>3637563</v>
      </c>
      <c r="P211" s="15">
        <v>402067</v>
      </c>
      <c r="Q211">
        <v>356045</v>
      </c>
      <c r="R211">
        <v>3.3609</v>
      </c>
      <c r="S211" t="s">
        <v>428</v>
      </c>
      <c r="T211">
        <v>111063557.64170399</v>
      </c>
      <c r="U211" s="5">
        <v>33029072.039999999</v>
      </c>
      <c r="V211" t="s">
        <v>156</v>
      </c>
      <c r="W211">
        <v>4840507000</v>
      </c>
      <c r="X211">
        <v>3383873000</v>
      </c>
      <c r="Y211">
        <v>1456634000</v>
      </c>
      <c r="Z211">
        <v>-0.23</v>
      </c>
      <c r="AA211" t="str">
        <f>+MID(Tabla_Consulta_desde_Reporte_de_Valorización_de_Instrumentos[[#This Row],[CODIGO_SBS]],7,1)</f>
        <v>2</v>
      </c>
      <c r="AB211">
        <f>INDEX('Cálculo Caja'!F:F,MATCH(Tabla_Consulta_desde_Reporte_de_Valorización_de_Instrumentos[[#This Row],[PORTAFOLIO]],'Cálculo Caja'!A:A,0),1)</f>
        <v>26256910350.436607</v>
      </c>
      <c r="AC211" s="17">
        <f>Tabla_Consulta_desde_Reporte_de_Valorización_de_Instrumentos[[#This Row],[VALOR_VECTOR_LOCAL]]/Tabla_Consulta_desde_Reporte_de_Valorización_de_Instrumentos[[#This Row],[Patrimonio]]</f>
        <v>4.1206503397874412E-3</v>
      </c>
      <c r="AD211" s="4">
        <f>(Tabla_Consulta_desde_Reporte_de_Valorización_de_Instrumentos[[#This Row],[VALOR_VECTOR_LOCAL]]/INDEX('Tipo de Cambio'!$D:$D,MATCH("2",'Tipo de Cambio'!$E:$E,0),1))/1000000</f>
        <v>32.192432549999999</v>
      </c>
      <c r="AE211">
        <f>IF(Tabla_Consulta_desde_Reporte_de_Valorización_de_Instrumentos[[#This Row],[PORTAFOLIO]]="IN-FONDO0",Tabla_Consulta_desde_Reporte_de_Valorización_de_Instrumentos[[#This Row],[Inv MM$]],0)</f>
        <v>0</v>
      </c>
      <c r="AF211" s="26">
        <f>IF(Tabla_Consulta_desde_Reporte_de_Valorización_de_Instrumentos[[#This Row],[PORTAFOLIO]]="IN-FONDO1",Tabla_Consulta_desde_Reporte_de_Valorización_de_Instrumentos[[#This Row],[Inv MM$]],0)</f>
        <v>0</v>
      </c>
      <c r="AG211" s="26">
        <f>IF(Tabla_Consulta_desde_Reporte_de_Valorización_de_Instrumentos[[#This Row],[PORTAFOLIO]]="IN-FONDO2",Tabla_Consulta_desde_Reporte_de_Valorización_de_Instrumentos[[#This Row],[Inv MM$]],0)</f>
        <v>32.192432549999999</v>
      </c>
      <c r="AH211" s="26">
        <f>IF(Tabla_Consulta_desde_Reporte_de_Valorización_de_Instrumentos[[#This Row],[PORTAFOLIO]]="IN-FONDO3",Tabla_Consulta_desde_Reporte_de_Valorización_de_Instrumentos[[#This Row],[Inv MM$]],0)</f>
        <v>0</v>
      </c>
      <c r="AI21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43.063914150000002</v>
      </c>
      <c r="AJ211" s="26">
        <f>IFERROR(IFERROR(INDEX('BD(MSCI)'!$T:$T,MATCH(Tabla_Consulta_desde_Reporte_de_Valorización_de_Instrumentos[[#This Row],[CODIGO_ISIN]],'BD(MSCI)'!$C:$C,0),1),INDEX('BD(MSCI)'!$T:$T,MATCH(Tabla_Consulta_desde_Reporte_de_Valorización_de_Instrumentos[[#This Row],[CODIGO_SBS]],'BD(MSCI)'!$C:$C,0),1)),0)</f>
        <v>214.26</v>
      </c>
      <c r="AK211" s="26">
        <f>Tabla_Consulta_desde_Reporte_de_Valorización_de_Instrumentos[[#This Row],[C02-H]]*Tabla_Consulta_desde_Reporte_de_Valorización_de_Instrumentos[[#This Row],[Inv MM$]]</f>
        <v>6897.5505981629994</v>
      </c>
      <c r="AL211" s="26">
        <f>Tabla_Consulta_desde_Reporte_de_Valorización_de_Instrumentos[[#This Row],[C02-H]]*Tabla_Consulta_desde_Reporte_de_Valorización_de_Instrumentos[[#This Row],[Weight]]</f>
        <v>0.88289054180285709</v>
      </c>
      <c r="AM211" s="26" t="str">
        <f>INDEX(Parametria!G:G,MATCH(Tabla_Consulta_desde_Reporte_de_Valorización_de_Instrumentos[[#This Row],[CODIGO_SBS]],Parametria!C:C,0))</f>
        <v>39RVL</v>
      </c>
      <c r="AN211" s="26" t="str">
        <f>INDEX(Parametria!F:F,MATCH(Tabla_Consulta_desde_Reporte_de_Valorización_de_Instrumentos[[#This Row],[CODIGO_SBS]],Parametria!C:C,0))</f>
        <v>BU</v>
      </c>
      <c r="AO211" s="26" t="str">
        <f>+INDEX(Parametria!J:J,MATCH(Tabla_Consulta_desde_Reporte_de_Valorización_de_Instrumentos[[#This Row],[CODIGO_SBS]],Parametria!C:C,0))</f>
        <v>RVLBU</v>
      </c>
      <c r="AP211" s="26">
        <f>Tabla_Consulta_desde_Reporte_de_Valorización_de_Instrumentos[[#This Row],[Huella]]/$AU$4</f>
        <v>0.63943587508723221</v>
      </c>
      <c r="AQ211" s="26" t="str">
        <f>IFERROR(INDEX('BD(MSCI)'!W:W,MATCH(Tabla_Consulta_desde_Reporte_de_Valorización_de_Instrumentos[[#This Row],[CODIGO_ISIN]],'BD(MSCI)'!C:C,0)),IF(Tabla_Consulta_desde_Reporte_de_Valorización_de_Instrumentos[[#This Row],[Rank_rt]]="Cash","Cash","Cuestionario Integra"))</f>
        <v>Portafolio</v>
      </c>
      <c r="AR211" s="26" t="str">
        <f>IFERROR(INDEX('BD(MSCI)'!X:X,MATCH(Tabla_Consulta_desde_Reporte_de_Valorización_de_Instrumentos[[#This Row],[CODIGO_ISIN]],'BD(MSCI)'!C:C,0)),"Cuestionario Integra")</f>
        <v>Portafolio</v>
      </c>
      <c r="AU211" s="26"/>
    </row>
    <row r="212" spans="2:47" hidden="1" x14ac:dyDescent="0.25">
      <c r="B212" s="14" t="s">
        <v>6390</v>
      </c>
      <c r="C212" t="s">
        <v>518</v>
      </c>
      <c r="D212" t="s">
        <v>10</v>
      </c>
      <c r="E212" t="s">
        <v>519</v>
      </c>
      <c r="F212" t="s">
        <v>6159</v>
      </c>
      <c r="G212" t="str">
        <f>INDEX(Parametria!H:H,MATCH(Tabla_Consulta_desde_Reporte_de_Valorización_de_Instrumentos[[#This Row],[CODIGO_SBS]],Parametria!C:C,0),1)</f>
        <v>Hocshild Minning Corp.</v>
      </c>
      <c r="H212" t="s">
        <v>476</v>
      </c>
      <c r="I212" t="s">
        <v>5960</v>
      </c>
      <c r="J212" t="s">
        <v>5961</v>
      </c>
      <c r="K212" t="s">
        <v>60</v>
      </c>
      <c r="L212">
        <v>0.33142500000000003</v>
      </c>
      <c r="M212" s="5">
        <v>154507271.7079905</v>
      </c>
      <c r="N212">
        <v>34164680.094999999</v>
      </c>
      <c r="O212">
        <v>6653297</v>
      </c>
      <c r="P212" s="15"/>
      <c r="R212">
        <v>4.5224270000000004</v>
      </c>
      <c r="S212" t="s">
        <v>428</v>
      </c>
      <c r="T212">
        <v>159718633.01546499</v>
      </c>
      <c r="U212" s="5">
        <v>35262474.100000001</v>
      </c>
      <c r="V212" t="s">
        <v>314</v>
      </c>
      <c r="W212">
        <v>1412539000</v>
      </c>
      <c r="X212">
        <v>680448000</v>
      </c>
      <c r="Y212">
        <v>732091000</v>
      </c>
      <c r="Z212">
        <v>-0.16500000000000001</v>
      </c>
      <c r="AA212" t="str">
        <f>+MID(Tabla_Consulta_desde_Reporte_de_Valorización_de_Instrumentos[[#This Row],[CODIGO_SBS]],7,1)</f>
        <v>6</v>
      </c>
      <c r="AB212">
        <f>INDEX('Cálculo Caja'!F:F,MATCH(Tabla_Consulta_desde_Reporte_de_Valorización_de_Instrumentos[[#This Row],[PORTAFOLIO]],'Cálculo Caja'!A:A,0),1)</f>
        <v>26256910350.436607</v>
      </c>
      <c r="AC212" s="17">
        <f>Tabla_Consulta_desde_Reporte_de_Valorización_de_Instrumentos[[#This Row],[VALOR_VECTOR_LOCAL]]/Tabla_Consulta_desde_Reporte_de_Valorización_de_Instrumentos[[#This Row],[Patrimonio]]</f>
        <v>5.8844422152441594E-3</v>
      </c>
      <c r="AD212" s="4">
        <f>(Tabla_Consulta_desde_Reporte_de_Valorización_de_Instrumentos[[#This Row],[VALOR_VECTOR_LOCAL]]/INDEX('Tipo de Cambio'!$D:$D,MATCH("2",'Tipo de Cambio'!$E:$E,0),1))/1000000</f>
        <v>45.971993129218511</v>
      </c>
      <c r="AE212">
        <f>IF(Tabla_Consulta_desde_Reporte_de_Valorización_de_Instrumentos[[#This Row],[PORTAFOLIO]]="IN-FONDO0",Tabla_Consulta_desde_Reporte_de_Valorización_de_Instrumentos[[#This Row],[Inv MM$]],0)</f>
        <v>0</v>
      </c>
      <c r="AF212" s="26">
        <f>IF(Tabla_Consulta_desde_Reporte_de_Valorización_de_Instrumentos[[#This Row],[PORTAFOLIO]]="IN-FONDO1",Tabla_Consulta_desde_Reporte_de_Valorización_de_Instrumentos[[#This Row],[Inv MM$]],0)</f>
        <v>0</v>
      </c>
      <c r="AG212" s="26">
        <f>IF(Tabla_Consulta_desde_Reporte_de_Valorización_de_Instrumentos[[#This Row],[PORTAFOLIO]]="IN-FONDO2",Tabla_Consulta_desde_Reporte_de_Valorización_de_Instrumentos[[#This Row],[Inv MM$]],0)</f>
        <v>45.971993129218511</v>
      </c>
      <c r="AH212" s="26">
        <f>IF(Tabla_Consulta_desde_Reporte_de_Valorización_de_Instrumentos[[#This Row],[PORTAFOLIO]]="IN-FONDO3",Tabla_Consulta_desde_Reporte_de_Valorización_de_Instrumentos[[#This Row],[Inv MM$]],0)</f>
        <v>0</v>
      </c>
      <c r="AI21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64.531950850099207</v>
      </c>
      <c r="AJ212" s="26">
        <f>IFERROR(IFERROR(INDEX('BD(MSCI)'!$T:$T,MATCH(Tabla_Consulta_desde_Reporte_de_Valorización_de_Instrumentos[[#This Row],[CODIGO_ISIN]],'BD(MSCI)'!$C:$C,0),1),INDEX('BD(MSCI)'!$T:$T,MATCH(Tabla_Consulta_desde_Reporte_de_Valorización_de_Instrumentos[[#This Row],[CODIGO_SBS]],'BD(MSCI)'!$C:$C,0),1)),0)</f>
        <v>72.64</v>
      </c>
      <c r="AK212" s="26">
        <f>Tabla_Consulta_desde_Reporte_de_Valorización_de_Instrumentos[[#This Row],[C02-H]]*Tabla_Consulta_desde_Reporte_de_Valorización_de_Instrumentos[[#This Row],[Inv MM$]]</f>
        <v>3339.4055809064325</v>
      </c>
      <c r="AL212" s="26">
        <f>Tabla_Consulta_desde_Reporte_de_Valorización_de_Instrumentos[[#This Row],[C02-H]]*Tabla_Consulta_desde_Reporte_de_Valorización_de_Instrumentos[[#This Row],[Weight]]</f>
        <v>0.42744588251533577</v>
      </c>
      <c r="AM212" s="26" t="str">
        <f>INDEX(Parametria!G:G,MATCH(Tabla_Consulta_desde_Reporte_de_Valorización_de_Instrumentos[[#This Row],[CODIGO_SBS]],Parametria!C:C,0))</f>
        <v>39RVL</v>
      </c>
      <c r="AN212" s="26" t="str">
        <f>INDEX(Parametria!F:F,MATCH(Tabla_Consulta_desde_Reporte_de_Valorización_de_Instrumentos[[#This Row],[CODIGO_SBS]],Parametria!C:C,0))</f>
        <v>BU</v>
      </c>
      <c r="AO212" s="26" t="str">
        <f>+INDEX(Parametria!J:J,MATCH(Tabla_Consulta_desde_Reporte_de_Valorización_de_Instrumentos[[#This Row],[CODIGO_SBS]],Parametria!C:C,0))</f>
        <v>RVLBU</v>
      </c>
      <c r="AP212" s="26">
        <f>Tabla_Consulta_desde_Reporte_de_Valorización_de_Instrumentos[[#This Row],[Huella]]/$AU$4</f>
        <v>0.30957884244688078</v>
      </c>
      <c r="AQ212" s="26" t="str">
        <f>IFERROR(INDEX('BD(MSCI)'!W:W,MATCH(Tabla_Consulta_desde_Reporte_de_Valorización_de_Instrumentos[[#This Row],[CODIGO_ISIN]],'BD(MSCI)'!C:C,0)),IF(Tabla_Consulta_desde_Reporte_de_Valorización_de_Instrumentos[[#This Row],[Rank_rt]]="Cash","Cash","Cuestionario Integra"))</f>
        <v>Portafolio</v>
      </c>
      <c r="AR212" s="26" t="str">
        <f>IFERROR(INDEX('BD(MSCI)'!X:X,MATCH(Tabla_Consulta_desde_Reporte_de_Valorización_de_Instrumentos[[#This Row],[CODIGO_ISIN]],'BD(MSCI)'!C:C,0)),"Cuestionario Integra")</f>
        <v>Portafolio</v>
      </c>
      <c r="AU212" s="26"/>
    </row>
    <row r="213" spans="2:47" hidden="1" x14ac:dyDescent="0.25">
      <c r="B213" s="14" t="s">
        <v>6390</v>
      </c>
      <c r="C213" t="s">
        <v>518</v>
      </c>
      <c r="D213" t="s">
        <v>11</v>
      </c>
      <c r="E213" t="s">
        <v>519</v>
      </c>
      <c r="F213" t="s">
        <v>6159</v>
      </c>
      <c r="G213" t="str">
        <f>INDEX(Parametria!H:H,MATCH(Tabla_Consulta_desde_Reporte_de_Valorización_de_Instrumentos[[#This Row],[CODIGO_SBS]],Parametria!C:C,0),1)</f>
        <v>Hocshild Minning Corp.</v>
      </c>
      <c r="H213" t="s">
        <v>476</v>
      </c>
      <c r="I213" t="s">
        <v>5960</v>
      </c>
      <c r="J213" t="s">
        <v>5961</v>
      </c>
      <c r="K213" t="s">
        <v>60</v>
      </c>
      <c r="L213">
        <v>0.33142500000000003</v>
      </c>
      <c r="M213" s="5">
        <v>43337645.352183402</v>
      </c>
      <c r="N213">
        <v>9582829.1649999991</v>
      </c>
      <c r="O213">
        <v>1866179</v>
      </c>
      <c r="P213" s="15"/>
      <c r="R213">
        <v>4.5224270000000004</v>
      </c>
      <c r="S213" t="s">
        <v>428</v>
      </c>
      <c r="T213">
        <v>44799376.736401103</v>
      </c>
      <c r="U213" s="5">
        <v>9890748.6999999993</v>
      </c>
      <c r="V213" t="s">
        <v>314</v>
      </c>
      <c r="W213">
        <v>1412539000</v>
      </c>
      <c r="X213">
        <v>680448000</v>
      </c>
      <c r="Y213">
        <v>732091000</v>
      </c>
      <c r="Z213">
        <v>-0.16500000000000001</v>
      </c>
      <c r="AA213" t="str">
        <f>+MID(Tabla_Consulta_desde_Reporte_de_Valorización_de_Instrumentos[[#This Row],[CODIGO_SBS]],7,1)</f>
        <v>6</v>
      </c>
      <c r="AB213">
        <f>INDEX('Cálculo Caja'!F:F,MATCH(Tabla_Consulta_desde_Reporte_de_Valorización_de_Instrumentos[[#This Row],[PORTAFOLIO]],'Cálculo Caja'!A:A,0),1)</f>
        <v>3164069580.822104</v>
      </c>
      <c r="AC213" s="17">
        <f>Tabla_Consulta_desde_Reporte_de_Valorización_de_Instrumentos[[#This Row],[VALOR_VECTOR_LOCAL]]/Tabla_Consulta_desde_Reporte_de_Valorización_de_Instrumentos[[#This Row],[Patrimonio]]</f>
        <v>1.3696805409988235E-2</v>
      </c>
      <c r="AD213" s="4">
        <f>(Tabla_Consulta_desde_Reporte_de_Valorización_de_Instrumentos[[#This Row],[VALOR_VECTOR_LOCAL]]/INDEX('Tipo de Cambio'!$D:$D,MATCH("2",'Tipo de Cambio'!$E:$E,0),1))/1000000</f>
        <v>12.894654810373234</v>
      </c>
      <c r="AE213">
        <f>IF(Tabla_Consulta_desde_Reporte_de_Valorización_de_Instrumentos[[#This Row],[PORTAFOLIO]]="IN-FONDO0",Tabla_Consulta_desde_Reporte_de_Valorización_de_Instrumentos[[#This Row],[Inv MM$]],0)</f>
        <v>0</v>
      </c>
      <c r="AF213" s="26">
        <f>IF(Tabla_Consulta_desde_Reporte_de_Valorización_de_Instrumentos[[#This Row],[PORTAFOLIO]]="IN-FONDO1",Tabla_Consulta_desde_Reporte_de_Valorización_de_Instrumentos[[#This Row],[Inv MM$]],0)</f>
        <v>0</v>
      </c>
      <c r="AG213" s="26">
        <f>IF(Tabla_Consulta_desde_Reporte_de_Valorización_de_Instrumentos[[#This Row],[PORTAFOLIO]]="IN-FONDO2",Tabla_Consulta_desde_Reporte_de_Valorización_de_Instrumentos[[#This Row],[Inv MM$]],0)</f>
        <v>0</v>
      </c>
      <c r="AH213" s="26">
        <f>IF(Tabla_Consulta_desde_Reporte_de_Valorización_de_Instrumentos[[#This Row],[PORTAFOLIO]]="IN-FONDO3",Tabla_Consulta_desde_Reporte_de_Valorización_de_Instrumentos[[#This Row],[Inv MM$]],0)</f>
        <v>12.894654810373234</v>
      </c>
      <c r="AI21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64.531950850099207</v>
      </c>
      <c r="AJ213" s="26">
        <f>IFERROR(IFERROR(INDEX('BD(MSCI)'!$T:$T,MATCH(Tabla_Consulta_desde_Reporte_de_Valorización_de_Instrumentos[[#This Row],[CODIGO_ISIN]],'BD(MSCI)'!$C:$C,0),1),INDEX('BD(MSCI)'!$T:$T,MATCH(Tabla_Consulta_desde_Reporte_de_Valorización_de_Instrumentos[[#This Row],[CODIGO_SBS]],'BD(MSCI)'!$C:$C,0),1)),0)</f>
        <v>72.64</v>
      </c>
      <c r="AK213" s="26">
        <f>Tabla_Consulta_desde_Reporte_de_Valorización_de_Instrumentos[[#This Row],[C02-H]]*Tabla_Consulta_desde_Reporte_de_Valorización_de_Instrumentos[[#This Row],[Inv MM$]]</f>
        <v>936.66772542551178</v>
      </c>
      <c r="AL213" s="26">
        <f>Tabla_Consulta_desde_Reporte_de_Valorización_de_Instrumentos[[#This Row],[C02-H]]*Tabla_Consulta_desde_Reporte_de_Valorización_de_Instrumentos[[#This Row],[Weight]]</f>
        <v>0.99493594498154547</v>
      </c>
      <c r="AM213" s="26" t="str">
        <f>INDEX(Parametria!G:G,MATCH(Tabla_Consulta_desde_Reporte_de_Valorización_de_Instrumentos[[#This Row],[CODIGO_SBS]],Parametria!C:C,0))</f>
        <v>39RVL</v>
      </c>
      <c r="AN213" s="26" t="str">
        <f>INDEX(Parametria!F:F,MATCH(Tabla_Consulta_desde_Reporte_de_Valorización_de_Instrumentos[[#This Row],[CODIGO_SBS]],Parametria!C:C,0))</f>
        <v>BU</v>
      </c>
      <c r="AO213" s="26" t="str">
        <f>+INDEX(Parametria!J:J,MATCH(Tabla_Consulta_desde_Reporte_de_Valorización_de_Instrumentos[[#This Row],[CODIGO_SBS]],Parametria!C:C,0))</f>
        <v>RVLBU</v>
      </c>
      <c r="AP213" s="26">
        <f>Tabla_Consulta_desde_Reporte_de_Valorización_de_Instrumentos[[#This Row],[Huella]]/$AU$4</f>
        <v>8.6833570576915042E-2</v>
      </c>
      <c r="AQ213" s="26" t="str">
        <f>IFERROR(INDEX('BD(MSCI)'!W:W,MATCH(Tabla_Consulta_desde_Reporte_de_Valorización_de_Instrumentos[[#This Row],[CODIGO_ISIN]],'BD(MSCI)'!C:C,0)),IF(Tabla_Consulta_desde_Reporte_de_Valorización_de_Instrumentos[[#This Row],[Rank_rt]]="Cash","Cash","Cuestionario Integra"))</f>
        <v>Portafolio</v>
      </c>
      <c r="AR213" s="26" t="str">
        <f>IFERROR(INDEX('BD(MSCI)'!X:X,MATCH(Tabla_Consulta_desde_Reporte_de_Valorización_de_Instrumentos[[#This Row],[CODIGO_ISIN]],'BD(MSCI)'!C:C,0)),"Cuestionario Integra")</f>
        <v>Portafolio</v>
      </c>
      <c r="AU213" s="26"/>
    </row>
    <row r="214" spans="2:47" hidden="1" x14ac:dyDescent="0.25">
      <c r="B214" s="14" t="s">
        <v>6390</v>
      </c>
      <c r="C214" t="s">
        <v>518</v>
      </c>
      <c r="D214" t="s">
        <v>12</v>
      </c>
      <c r="E214" t="s">
        <v>519</v>
      </c>
      <c r="F214" t="s">
        <v>6159</v>
      </c>
      <c r="G214" t="str">
        <f>INDEX(Parametria!H:H,MATCH(Tabla_Consulta_desde_Reporte_de_Valorización_de_Instrumentos[[#This Row],[CODIGO_SBS]],Parametria!C:C,0),1)</f>
        <v>Hocshild Minning Corp.</v>
      </c>
      <c r="H214" t="s">
        <v>476</v>
      </c>
      <c r="I214" t="s">
        <v>5960</v>
      </c>
      <c r="J214" t="s">
        <v>5961</v>
      </c>
      <c r="K214" t="s">
        <v>60</v>
      </c>
      <c r="L214">
        <v>0.33142500000000003</v>
      </c>
      <c r="M214" s="5">
        <v>19040516.551924501</v>
      </c>
      <c r="N214">
        <v>4210242.9850000003</v>
      </c>
      <c r="O214">
        <v>819911</v>
      </c>
      <c r="P214" s="15"/>
      <c r="R214">
        <v>4.5224270000000004</v>
      </c>
      <c r="S214" t="s">
        <v>428</v>
      </c>
      <c r="T214">
        <v>19682732.3527482</v>
      </c>
      <c r="U214" s="5">
        <v>4345528.3</v>
      </c>
      <c r="V214" t="s">
        <v>314</v>
      </c>
      <c r="W214">
        <v>1412539000</v>
      </c>
      <c r="X214">
        <v>680448000</v>
      </c>
      <c r="Y214">
        <v>732091000</v>
      </c>
      <c r="Z214">
        <v>-0.16500000000000001</v>
      </c>
      <c r="AA214" t="str">
        <f>+MID(Tabla_Consulta_desde_Reporte_de_Valorización_de_Instrumentos[[#This Row],[CODIGO_SBS]],7,1)</f>
        <v>6</v>
      </c>
      <c r="AB214">
        <f>INDEX('Cálculo Caja'!F:F,MATCH(Tabla_Consulta_desde_Reporte_de_Valorización_de_Instrumentos[[#This Row],[PORTAFOLIO]],'Cálculo Caja'!A:A,0),1)</f>
        <v>7679510866.0565634</v>
      </c>
      <c r="AC214" s="17">
        <f>Tabla_Consulta_desde_Reporte_de_Valorización_de_Instrumentos[[#This Row],[VALOR_VECTOR_LOCAL]]/Tabla_Consulta_desde_Reporte_de_Valorización_de_Instrumentos[[#This Row],[Patrimonio]]</f>
        <v>2.4793918368009064E-3</v>
      </c>
      <c r="AD214" s="4">
        <f>(Tabla_Consulta_desde_Reporte_de_Valorización_de_Instrumentos[[#This Row],[VALOR_VECTOR_LOCAL]]/INDEX('Tipo de Cambio'!$D:$D,MATCH("2",'Tipo de Cambio'!$E:$E,0),1))/1000000</f>
        <v>5.6653029105074539</v>
      </c>
      <c r="AE214">
        <f>IF(Tabla_Consulta_desde_Reporte_de_Valorización_de_Instrumentos[[#This Row],[PORTAFOLIO]]="IN-FONDO0",Tabla_Consulta_desde_Reporte_de_Valorización_de_Instrumentos[[#This Row],[Inv MM$]],0)</f>
        <v>0</v>
      </c>
      <c r="AF214" s="26">
        <f>IF(Tabla_Consulta_desde_Reporte_de_Valorización_de_Instrumentos[[#This Row],[PORTAFOLIO]]="IN-FONDO1",Tabla_Consulta_desde_Reporte_de_Valorización_de_Instrumentos[[#This Row],[Inv MM$]],0)</f>
        <v>5.6653029105074539</v>
      </c>
      <c r="AG214" s="26">
        <f>IF(Tabla_Consulta_desde_Reporte_de_Valorización_de_Instrumentos[[#This Row],[PORTAFOLIO]]="IN-FONDO2",Tabla_Consulta_desde_Reporte_de_Valorización_de_Instrumentos[[#This Row],[Inv MM$]],0)</f>
        <v>0</v>
      </c>
      <c r="AH214" s="26">
        <f>IF(Tabla_Consulta_desde_Reporte_de_Valorización_de_Instrumentos[[#This Row],[PORTAFOLIO]]="IN-FONDO3",Tabla_Consulta_desde_Reporte_de_Valorización_de_Instrumentos[[#This Row],[Inv MM$]],0)</f>
        <v>0</v>
      </c>
      <c r="AI21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64.531950850099207</v>
      </c>
      <c r="AJ214" s="26">
        <f>IFERROR(IFERROR(INDEX('BD(MSCI)'!$T:$T,MATCH(Tabla_Consulta_desde_Reporte_de_Valorización_de_Instrumentos[[#This Row],[CODIGO_ISIN]],'BD(MSCI)'!$C:$C,0),1),INDEX('BD(MSCI)'!$T:$T,MATCH(Tabla_Consulta_desde_Reporte_de_Valorización_de_Instrumentos[[#This Row],[CODIGO_SBS]],'BD(MSCI)'!$C:$C,0),1)),0)</f>
        <v>72.64</v>
      </c>
      <c r="AK214" s="26">
        <f>Tabla_Consulta_desde_Reporte_de_Valorización_de_Instrumentos[[#This Row],[C02-H]]*Tabla_Consulta_desde_Reporte_de_Valorización_de_Instrumentos[[#This Row],[Inv MM$]]</f>
        <v>411.52760341926148</v>
      </c>
      <c r="AL214" s="26">
        <f>Tabla_Consulta_desde_Reporte_de_Valorización_de_Instrumentos[[#This Row],[C02-H]]*Tabla_Consulta_desde_Reporte_de_Valorización_de_Instrumentos[[#This Row],[Weight]]</f>
        <v>0.18010302302521786</v>
      </c>
      <c r="AM214" s="26" t="str">
        <f>INDEX(Parametria!G:G,MATCH(Tabla_Consulta_desde_Reporte_de_Valorización_de_Instrumentos[[#This Row],[CODIGO_SBS]],Parametria!C:C,0))</f>
        <v>39RVL</v>
      </c>
      <c r="AN214" s="26" t="str">
        <f>INDEX(Parametria!F:F,MATCH(Tabla_Consulta_desde_Reporte_de_Valorización_de_Instrumentos[[#This Row],[CODIGO_SBS]],Parametria!C:C,0))</f>
        <v>BU</v>
      </c>
      <c r="AO214" s="26" t="str">
        <f>+INDEX(Parametria!J:J,MATCH(Tabla_Consulta_desde_Reporte_de_Valorización_de_Instrumentos[[#This Row],[CODIGO_SBS]],Parametria!C:C,0))</f>
        <v>RVLBU</v>
      </c>
      <c r="AP214" s="26">
        <f>Tabla_Consulta_desde_Reporte_de_Valorización_de_Instrumentos[[#This Row],[Huella]]/$AU$4</f>
        <v>3.815057381167012E-2</v>
      </c>
      <c r="AQ214" s="26" t="str">
        <f>IFERROR(INDEX('BD(MSCI)'!W:W,MATCH(Tabla_Consulta_desde_Reporte_de_Valorización_de_Instrumentos[[#This Row],[CODIGO_ISIN]],'BD(MSCI)'!C:C,0)),IF(Tabla_Consulta_desde_Reporte_de_Valorización_de_Instrumentos[[#This Row],[Rank_rt]]="Cash","Cash","Cuestionario Integra"))</f>
        <v>Portafolio</v>
      </c>
      <c r="AR214" s="26" t="str">
        <f>IFERROR(INDEX('BD(MSCI)'!X:X,MATCH(Tabla_Consulta_desde_Reporte_de_Valorización_de_Instrumentos[[#This Row],[CODIGO_ISIN]],'BD(MSCI)'!C:C,0)),"Cuestionario Integra")</f>
        <v>Portafolio</v>
      </c>
      <c r="AU214" s="26"/>
    </row>
    <row r="215" spans="2:47" x14ac:dyDescent="0.25">
      <c r="B215" s="14" t="s">
        <v>6390</v>
      </c>
      <c r="C215" t="s">
        <v>523</v>
      </c>
      <c r="D215" t="s">
        <v>12</v>
      </c>
      <c r="E215" t="s">
        <v>524</v>
      </c>
      <c r="F215" t="s">
        <v>527</v>
      </c>
      <c r="G215" t="str">
        <f>INDEX(Parametria!H:H,MATCH(Tabla_Consulta_desde_Reporte_de_Valorización_de_Instrumentos[[#This Row],[CODIGO_SBS]],Parametria!C:C,0),1)</f>
        <v>Gobierno Central</v>
      </c>
      <c r="H215" t="s">
        <v>528</v>
      </c>
      <c r="I215" t="s">
        <v>529</v>
      </c>
      <c r="J215" t="s">
        <v>154</v>
      </c>
      <c r="K215" t="s">
        <v>90</v>
      </c>
      <c r="L215">
        <v>1000</v>
      </c>
      <c r="M215" s="5">
        <v>8091510.0837399997</v>
      </c>
      <c r="N215">
        <v>8091510.0837399997</v>
      </c>
      <c r="O215">
        <v>7102</v>
      </c>
      <c r="P215" s="15">
        <v>48072</v>
      </c>
      <c r="Q215">
        <v>2050</v>
      </c>
      <c r="R215">
        <v>1</v>
      </c>
      <c r="S215" t="s">
        <v>155</v>
      </c>
      <c r="T215">
        <v>8076458.857752</v>
      </c>
      <c r="U215" s="5">
        <v>8076458.857752</v>
      </c>
      <c r="V215" t="s">
        <v>156</v>
      </c>
      <c r="W215">
        <v>0</v>
      </c>
      <c r="X215">
        <v>0</v>
      </c>
      <c r="Y215">
        <v>0</v>
      </c>
      <c r="Z215">
        <v>2.119294</v>
      </c>
      <c r="AA215" t="str">
        <f>+MID(Tabla_Consulta_desde_Reporte_de_Valorización_de_Instrumentos[[#This Row],[CODIGO_SBS]],7,1)</f>
        <v>1</v>
      </c>
      <c r="AB215">
        <f>INDEX('Cálculo Caja'!F:F,MATCH(Tabla_Consulta_desde_Reporte_de_Valorización_de_Instrumentos[[#This Row],[PORTAFOLIO]],'Cálculo Caja'!A:A,0),1)</f>
        <v>7679510866.0565634</v>
      </c>
      <c r="AC215" s="17">
        <f>Tabla_Consulta_desde_Reporte_de_Valorización_de_Instrumentos[[#This Row],[VALOR_VECTOR_LOCAL]]/Tabla_Consulta_desde_Reporte_de_Valorización_de_Instrumentos[[#This Row],[Patrimonio]]</f>
        <v>1.0536491483467355E-3</v>
      </c>
      <c r="AD215" s="4">
        <f>(Tabla_Consulta_desde_Reporte_de_Valorización_de_Instrumentos[[#This Row],[VALOR_VECTOR_LOCAL]]/INDEX('Tipo de Cambio'!$D:$D,MATCH("2",'Tipo de Cambio'!$E:$E,0),1))/1000000</f>
        <v>2.4075426474277721</v>
      </c>
      <c r="AE215">
        <f>IF(Tabla_Consulta_desde_Reporte_de_Valorización_de_Instrumentos[[#This Row],[PORTAFOLIO]]="IN-FONDO0",Tabla_Consulta_desde_Reporte_de_Valorización_de_Instrumentos[[#This Row],[Inv MM$]],0)</f>
        <v>0</v>
      </c>
      <c r="AF215" s="26">
        <f>IF(Tabla_Consulta_desde_Reporte_de_Valorización_de_Instrumentos[[#This Row],[PORTAFOLIO]]="IN-FONDO1",Tabla_Consulta_desde_Reporte_de_Valorización_de_Instrumentos[[#This Row],[Inv MM$]],0)</f>
        <v>2.4075426474277721</v>
      </c>
      <c r="AG215" s="26">
        <f>IF(Tabla_Consulta_desde_Reporte_de_Valorización_de_Instrumentos[[#This Row],[PORTAFOLIO]]="IN-FONDO2",Tabla_Consulta_desde_Reporte_de_Valorización_de_Instrumentos[[#This Row],[Inv MM$]],0)</f>
        <v>0</v>
      </c>
      <c r="AH215" s="26">
        <f>IF(Tabla_Consulta_desde_Reporte_de_Valorización_de_Instrumentos[[#This Row],[PORTAFOLIO]]="IN-FONDO3",Tabla_Consulta_desde_Reporte_de_Valorización_de_Instrumentos[[#This Row],[Inv MM$]],0)</f>
        <v>0</v>
      </c>
      <c r="AI21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12.501458427462882</v>
      </c>
      <c r="AJ215" s="26">
        <f>IFERROR(IFERROR(INDEX('BD(MSCI)'!$T:$T,MATCH(Tabla_Consulta_desde_Reporte_de_Valorización_de_Instrumentos[[#This Row],[CODIGO_ISIN]],'BD(MSCI)'!$C:$C,0),1),INDEX('BD(MSCI)'!$T:$T,MATCH(Tabla_Consulta_desde_Reporte_de_Valorización_de_Instrumentos[[#This Row],[CODIGO_SBS]],'BD(MSCI)'!$C:$C,0),1)),0)</f>
        <v>170.4198394</v>
      </c>
      <c r="AK215" s="26">
        <f>Tabla_Consulta_desde_Reporte_de_Valorización_de_Instrumentos[[#This Row],[C02-H]]*Tabla_Consulta_desde_Reporte_de_Valorización_de_Instrumentos[[#This Row],[Inv MM$]]</f>
        <v>410.29303132329176</v>
      </c>
      <c r="AL215" s="26">
        <f>Tabla_Consulta_desde_Reporte_de_Valorización_de_Instrumentos[[#This Row],[C02-H]]*Tabla_Consulta_desde_Reporte_de_Valorización_de_Instrumentos[[#This Row],[Weight]]</f>
        <v>0.17956271864519743</v>
      </c>
      <c r="AM215" s="26" t="str">
        <f>INDEX(Parametria!G:G,MATCH(Tabla_Consulta_desde_Reporte_de_Valorización_de_Instrumentos[[#This Row],[CODIGO_SBS]],Parametria!C:C,0))</f>
        <v>43RFLG</v>
      </c>
      <c r="AN215" s="26" t="str">
        <f>INDEX(Parametria!F:F,MATCH(Tabla_Consulta_desde_Reporte_de_Valorización_de_Instrumentos[[#This Row],[CODIGO_SBS]],Parametria!C:C,0))</f>
        <v>GOB</v>
      </c>
      <c r="AO215" s="26" t="str">
        <f>+INDEX(Parametria!J:J,MATCH(Tabla_Consulta_desde_Reporte_de_Valorización_de_Instrumentos[[#This Row],[CODIGO_SBS]],Parametria!C:C,0))</f>
        <v>RFLGOB</v>
      </c>
      <c r="AP215" s="26">
        <f>Tabla_Consulta_desde_Reporte_de_Valorización_de_Instrumentos[[#This Row],[Huella]]/$AU$4</f>
        <v>3.8036123083500774E-2</v>
      </c>
      <c r="AQ215" s="26" t="str">
        <f>IFERROR(INDEX('BD(MSCI)'!W:W,MATCH(Tabla_Consulta_desde_Reporte_de_Valorización_de_Instrumentos[[#This Row],[CODIGO_ISIN]],'BD(MSCI)'!C:C,0)),IF(Tabla_Consulta_desde_Reporte_de_Valorización_de_Instrumentos[[#This Row],[Rank_rt]]="Cash","Cash","Cuestionario Integra"))</f>
        <v>SOV</v>
      </c>
      <c r="AR215" s="26" t="str">
        <f>IFERROR(INDEX('BD(MSCI)'!X:X,MATCH(Tabla_Consulta_desde_Reporte_de_Valorización_de_Instrumentos[[#This Row],[CODIGO_ISIN]],'BD(MSCI)'!C:C,0)),"Cuestionario Integra")</f>
        <v>SOV</v>
      </c>
      <c r="AU215" s="26"/>
    </row>
    <row r="216" spans="2:47" x14ac:dyDescent="0.25">
      <c r="B216" s="14" t="s">
        <v>6390</v>
      </c>
      <c r="C216" t="s">
        <v>523</v>
      </c>
      <c r="D216" t="s">
        <v>10</v>
      </c>
      <c r="E216" t="s">
        <v>524</v>
      </c>
      <c r="F216" t="s">
        <v>527</v>
      </c>
      <c r="G216" t="str">
        <f>INDEX(Parametria!H:H,MATCH(Tabla_Consulta_desde_Reporte_de_Valorización_de_Instrumentos[[#This Row],[CODIGO_SBS]],Parametria!C:C,0),1)</f>
        <v>Gobierno Central</v>
      </c>
      <c r="H216" t="s">
        <v>528</v>
      </c>
      <c r="I216" t="s">
        <v>529</v>
      </c>
      <c r="J216" t="s">
        <v>154</v>
      </c>
      <c r="K216" t="s">
        <v>90</v>
      </c>
      <c r="L216">
        <v>1000</v>
      </c>
      <c r="M216" s="5">
        <v>33924641.545120001</v>
      </c>
      <c r="N216">
        <v>33924641.545120001</v>
      </c>
      <c r="O216">
        <v>29776</v>
      </c>
      <c r="P216" s="15">
        <v>48072</v>
      </c>
      <c r="Q216">
        <v>2050</v>
      </c>
      <c r="R216">
        <v>1</v>
      </c>
      <c r="S216" t="s">
        <v>155</v>
      </c>
      <c r="T216">
        <v>33861537.446975999</v>
      </c>
      <c r="U216" s="5">
        <v>33861537.446975999</v>
      </c>
      <c r="V216" t="s">
        <v>156</v>
      </c>
      <c r="W216">
        <v>0</v>
      </c>
      <c r="X216">
        <v>0</v>
      </c>
      <c r="Y216">
        <v>0</v>
      </c>
      <c r="Z216">
        <v>2.119294</v>
      </c>
      <c r="AA216" t="str">
        <f>+MID(Tabla_Consulta_desde_Reporte_de_Valorización_de_Instrumentos[[#This Row],[CODIGO_SBS]],7,1)</f>
        <v>1</v>
      </c>
      <c r="AB216">
        <f>INDEX('Cálculo Caja'!F:F,MATCH(Tabla_Consulta_desde_Reporte_de_Valorización_de_Instrumentos[[#This Row],[PORTAFOLIO]],'Cálculo Caja'!A:A,0),1)</f>
        <v>26256910350.436607</v>
      </c>
      <c r="AC216" s="17">
        <f>Tabla_Consulta_desde_Reporte_de_Valorización_de_Instrumentos[[#This Row],[VALOR_VECTOR_LOCAL]]/Tabla_Consulta_desde_Reporte_de_Valorización_de_Instrumentos[[#This Row],[Patrimonio]]</f>
        <v>1.2920271689374867E-3</v>
      </c>
      <c r="AD216" s="4">
        <f>(Tabla_Consulta_desde_Reporte_de_Valorización_de_Instrumentos[[#This Row],[VALOR_VECTOR_LOCAL]]/INDEX('Tipo de Cambio'!$D:$D,MATCH("2",'Tipo de Cambio'!$E:$E,0),1))/1000000</f>
        <v>10.093915780035109</v>
      </c>
      <c r="AE216">
        <f>IF(Tabla_Consulta_desde_Reporte_de_Valorización_de_Instrumentos[[#This Row],[PORTAFOLIO]]="IN-FONDO0",Tabla_Consulta_desde_Reporte_de_Valorización_de_Instrumentos[[#This Row],[Inv MM$]],0)</f>
        <v>0</v>
      </c>
      <c r="AF216" s="26">
        <f>IF(Tabla_Consulta_desde_Reporte_de_Valorización_de_Instrumentos[[#This Row],[PORTAFOLIO]]="IN-FONDO1",Tabla_Consulta_desde_Reporte_de_Valorización_de_Instrumentos[[#This Row],[Inv MM$]],0)</f>
        <v>0</v>
      </c>
      <c r="AG216" s="26">
        <f>IF(Tabla_Consulta_desde_Reporte_de_Valorización_de_Instrumentos[[#This Row],[PORTAFOLIO]]="IN-FONDO2",Tabla_Consulta_desde_Reporte_de_Valorización_de_Instrumentos[[#This Row],[Inv MM$]],0)</f>
        <v>10.093915780035109</v>
      </c>
      <c r="AH216" s="26">
        <f>IF(Tabla_Consulta_desde_Reporte_de_Valorización_de_Instrumentos[[#This Row],[PORTAFOLIO]]="IN-FONDO3",Tabla_Consulta_desde_Reporte_de_Valorización_de_Instrumentos[[#This Row],[Inv MM$]],0)</f>
        <v>0</v>
      </c>
      <c r="AI21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12.501458427462882</v>
      </c>
      <c r="AJ216" s="26">
        <f>IFERROR(IFERROR(INDEX('BD(MSCI)'!$T:$T,MATCH(Tabla_Consulta_desde_Reporte_de_Valorización_de_Instrumentos[[#This Row],[CODIGO_ISIN]],'BD(MSCI)'!$C:$C,0),1),INDEX('BD(MSCI)'!$T:$T,MATCH(Tabla_Consulta_desde_Reporte_de_Valorización_de_Instrumentos[[#This Row],[CODIGO_SBS]],'BD(MSCI)'!$C:$C,0),1)),0)</f>
        <v>170.4198394</v>
      </c>
      <c r="AK216" s="26">
        <f>Tabla_Consulta_desde_Reporte_de_Valorización_de_Instrumentos[[#This Row],[C02-H]]*Tabla_Consulta_desde_Reporte_de_Valorización_de_Instrumentos[[#This Row],[Inv MM$]]</f>
        <v>1720.203506150709</v>
      </c>
      <c r="AL216" s="26">
        <f>Tabla_Consulta_desde_Reporte_de_Valorización_de_Instrumentos[[#This Row],[C02-H]]*Tabla_Consulta_desde_Reporte_de_Valorización_de_Instrumentos[[#This Row],[Weight]]</f>
        <v>0.22018706263076315</v>
      </c>
      <c r="AM216" s="26" t="str">
        <f>INDEX(Parametria!G:G,MATCH(Tabla_Consulta_desde_Reporte_de_Valorización_de_Instrumentos[[#This Row],[CODIGO_SBS]],Parametria!C:C,0))</f>
        <v>43RFLG</v>
      </c>
      <c r="AN216" s="26" t="str">
        <f>INDEX(Parametria!F:F,MATCH(Tabla_Consulta_desde_Reporte_de_Valorización_de_Instrumentos[[#This Row],[CODIGO_SBS]],Parametria!C:C,0))</f>
        <v>GOB</v>
      </c>
      <c r="AO216" s="26" t="str">
        <f>+INDEX(Parametria!J:J,MATCH(Tabla_Consulta_desde_Reporte_de_Valorización_de_Instrumentos[[#This Row],[CODIGO_SBS]],Parametria!C:C,0))</f>
        <v>RFLGOB</v>
      </c>
      <c r="AP216" s="26">
        <f>Tabla_Consulta_desde_Reporte_de_Valorización_de_Instrumentos[[#This Row],[Huella]]/$AU$4</f>
        <v>0.15947107870097424</v>
      </c>
      <c r="AQ216" s="26" t="str">
        <f>IFERROR(INDEX('BD(MSCI)'!W:W,MATCH(Tabla_Consulta_desde_Reporte_de_Valorización_de_Instrumentos[[#This Row],[CODIGO_ISIN]],'BD(MSCI)'!C:C,0)),IF(Tabla_Consulta_desde_Reporte_de_Valorización_de_Instrumentos[[#This Row],[Rank_rt]]="Cash","Cash","Cuestionario Integra"))</f>
        <v>SOV</v>
      </c>
      <c r="AR216" s="26" t="str">
        <f>IFERROR(INDEX('BD(MSCI)'!X:X,MATCH(Tabla_Consulta_desde_Reporte_de_Valorización_de_Instrumentos[[#This Row],[CODIGO_ISIN]],'BD(MSCI)'!C:C,0)),"Cuestionario Integra")</f>
        <v>SOV</v>
      </c>
      <c r="AU216" s="26"/>
    </row>
    <row r="217" spans="2:47" hidden="1" x14ac:dyDescent="0.25">
      <c r="B217" s="14" t="s">
        <v>6390</v>
      </c>
      <c r="C217" t="s">
        <v>532</v>
      </c>
      <c r="D217" t="s">
        <v>10</v>
      </c>
      <c r="E217" t="s">
        <v>533</v>
      </c>
      <c r="F217" t="s">
        <v>534</v>
      </c>
      <c r="G217" t="str">
        <f>INDEX(Parametria!H:H,MATCH(Tabla_Consulta_desde_Reporte_de_Valorización_de_Instrumentos[[#This Row],[CODIGO_SBS]],Parametria!C:C,0),1)</f>
        <v>Carlyle Peru</v>
      </c>
      <c r="H217" t="s">
        <v>534</v>
      </c>
      <c r="I217" t="s">
        <v>156</v>
      </c>
      <c r="J217" t="s">
        <v>535</v>
      </c>
      <c r="K217" t="s">
        <v>50</v>
      </c>
      <c r="L217">
        <v>1</v>
      </c>
      <c r="M217" s="5">
        <v>44177165.181748003</v>
      </c>
      <c r="N217">
        <v>13144444.994420599</v>
      </c>
      <c r="O217">
        <v>86.062040199999998</v>
      </c>
      <c r="P217" s="15">
        <v>46198</v>
      </c>
      <c r="Q217">
        <v>176</v>
      </c>
      <c r="R217">
        <v>3.3609</v>
      </c>
      <c r="S217" t="s">
        <v>428</v>
      </c>
      <c r="T217">
        <v>44199510.738238499</v>
      </c>
      <c r="U217" s="5">
        <v>13144444.994420599</v>
      </c>
      <c r="V217" t="s">
        <v>228</v>
      </c>
      <c r="W217">
        <v>0</v>
      </c>
      <c r="X217">
        <v>0</v>
      </c>
      <c r="Y217">
        <v>0</v>
      </c>
      <c r="Z217">
        <v>0</v>
      </c>
      <c r="AA217" t="str">
        <f>+MID(Tabla_Consulta_desde_Reporte_de_Valorización_de_Instrumentos[[#This Row],[CODIGO_SBS]],7,1)</f>
        <v>2</v>
      </c>
      <c r="AB217">
        <f>INDEX('Cálculo Caja'!F:F,MATCH(Tabla_Consulta_desde_Reporte_de_Valorización_de_Instrumentos[[#This Row],[PORTAFOLIO]],'Cálculo Caja'!A:A,0),1)</f>
        <v>26256910350.436607</v>
      </c>
      <c r="AC217" s="17">
        <f>Tabla_Consulta_desde_Reporte_de_Valorización_de_Instrumentos[[#This Row],[VALOR_VECTOR_LOCAL]]/Tabla_Consulta_desde_Reporte_de_Valorización_de_Instrumentos[[#This Row],[Patrimonio]]</f>
        <v>1.6824967062818727E-3</v>
      </c>
      <c r="AD217" s="4">
        <f>(Tabla_Consulta_desde_Reporte_de_Valorización_de_Instrumentos[[#This Row],[VALOR_VECTOR_LOCAL]]/INDEX('Tipo de Cambio'!$D:$D,MATCH("2",'Tipo de Cambio'!$E:$E,0),1))/1000000</f>
        <v>13.144444994420544</v>
      </c>
      <c r="AE217">
        <f>IF(Tabla_Consulta_desde_Reporte_de_Valorización_de_Instrumentos[[#This Row],[PORTAFOLIO]]="IN-FONDO0",Tabla_Consulta_desde_Reporte_de_Valorización_de_Instrumentos[[#This Row],[Inv MM$]],0)</f>
        <v>0</v>
      </c>
      <c r="AF217" s="26">
        <f>IF(Tabla_Consulta_desde_Reporte_de_Valorización_de_Instrumentos[[#This Row],[PORTAFOLIO]]="IN-FONDO1",Tabla_Consulta_desde_Reporte_de_Valorización_de_Instrumentos[[#This Row],[Inv MM$]],0)</f>
        <v>0</v>
      </c>
      <c r="AG217" s="26">
        <f>IF(Tabla_Consulta_desde_Reporte_de_Valorización_de_Instrumentos[[#This Row],[PORTAFOLIO]]="IN-FONDO2",Tabla_Consulta_desde_Reporte_de_Valorización_de_Instrumentos[[#This Row],[Inv MM$]],0)</f>
        <v>13.144444994420544</v>
      </c>
      <c r="AH217" s="26">
        <f>IF(Tabla_Consulta_desde_Reporte_de_Valorización_de_Instrumentos[[#This Row],[PORTAFOLIO]]="IN-FONDO3",Tabla_Consulta_desde_Reporte_de_Valorización_de_Instrumentos[[#This Row],[Inv MM$]],0)</f>
        <v>0</v>
      </c>
      <c r="AI21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21.348637992099974</v>
      </c>
      <c r="AJ217" s="26">
        <f>IFERROR(IFERROR(INDEX('BD(MSCI)'!$T:$T,MATCH(Tabla_Consulta_desde_Reporte_de_Valorización_de_Instrumentos[[#This Row],[CODIGO_ISIN]],'BD(MSCI)'!$C:$C,0),1),INDEX('BD(MSCI)'!$T:$T,MATCH(Tabla_Consulta_desde_Reporte_de_Valorización_de_Instrumentos[[#This Row],[CODIGO_SBS]],'BD(MSCI)'!$C:$C,0),1)),0)</f>
        <v>31.33247536</v>
      </c>
      <c r="AK217" s="26">
        <f>Tabla_Consulta_desde_Reporte_de_Valorización_de_Instrumentos[[#This Row],[C02-H]]*Tabla_Consulta_desde_Reporte_de_Valorización_de_Instrumentos[[#This Row],[Inv MM$]]</f>
        <v>411.84799890855703</v>
      </c>
      <c r="AL217" s="26">
        <f>Tabla_Consulta_desde_Reporte_de_Valorización_de_Instrumentos[[#This Row],[C02-H]]*Tabla_Consulta_desde_Reporte_de_Valorización_de_Instrumentos[[#This Row],[Weight]]</f>
        <v>5.2716786592857938E-2</v>
      </c>
      <c r="AM217" s="26" t="str">
        <f>INDEX(Parametria!G:G,MATCH(Tabla_Consulta_desde_Reporte_de_Valorización_de_Instrumentos[[#This Row],[CODIGO_SBS]],Parametria!C:C,0))</f>
        <v>48ALT</v>
      </c>
      <c r="AN217" s="26" t="str">
        <f>INDEX(Parametria!F:F,MATCH(Tabla_Consulta_desde_Reporte_de_Valorización_de_Instrumentos[[#This Row],[CODIGO_SBS]],Parametria!C:C,0))</f>
        <v>ALT</v>
      </c>
      <c r="AO217" s="26" t="str">
        <f>+INDEX(Parametria!J:J,MATCH(Tabla_Consulta_desde_Reporte_de_Valorización_de_Instrumentos[[#This Row],[CODIGO_SBS]],Parametria!C:C,0))</f>
        <v>ALT</v>
      </c>
      <c r="AP217" s="26">
        <f>Tabla_Consulta_desde_Reporte_de_Valorización_de_Instrumentos[[#This Row],[Huella]]/$AU$4</f>
        <v>3.8180276003362087E-2</v>
      </c>
      <c r="AQ217" s="26" t="str">
        <f>IFERROR(INDEX('BD(MSCI)'!W:W,MATCH(Tabla_Consulta_desde_Reporte_de_Valorización_de_Instrumentos[[#This Row],[CODIGO_ISIN]],'BD(MSCI)'!C:C,0)),IF(Tabla_Consulta_desde_Reporte_de_Valorización_de_Instrumentos[[#This Row],[Rank_rt]]="Cash","Cash","Cuestionario Integra"))</f>
        <v>Proxies</v>
      </c>
      <c r="AR217" s="26" t="str">
        <f>IFERROR(INDEX('BD(MSCI)'!X:X,MATCH(Tabla_Consulta_desde_Reporte_de_Valorización_de_Instrumentos[[#This Row],[CODIGO_ISIN]],'BD(MSCI)'!C:C,0)),"Cuestionario Integra")</f>
        <v>Alts</v>
      </c>
      <c r="AU217" s="26"/>
    </row>
    <row r="218" spans="2:47" hidden="1" x14ac:dyDescent="0.25">
      <c r="B218" s="14" t="s">
        <v>6390</v>
      </c>
      <c r="C218" t="s">
        <v>532</v>
      </c>
      <c r="D218" t="s">
        <v>11</v>
      </c>
      <c r="E218" t="s">
        <v>533</v>
      </c>
      <c r="F218" t="s">
        <v>534</v>
      </c>
      <c r="G218" t="str">
        <f>INDEX(Parametria!H:H,MATCH(Tabla_Consulta_desde_Reporte_de_Valorización_de_Instrumentos[[#This Row],[CODIGO_SBS]],Parametria!C:C,0),1)</f>
        <v>Carlyle Peru</v>
      </c>
      <c r="H218" t="s">
        <v>534</v>
      </c>
      <c r="I218" t="s">
        <v>156</v>
      </c>
      <c r="J218" t="s">
        <v>535</v>
      </c>
      <c r="K218" t="s">
        <v>50</v>
      </c>
      <c r="L218">
        <v>1</v>
      </c>
      <c r="M218" s="5">
        <v>27573472.245900799</v>
      </c>
      <c r="N218">
        <v>8204192.9976794003</v>
      </c>
      <c r="O218">
        <v>53.7161963</v>
      </c>
      <c r="P218" s="15">
        <v>46198</v>
      </c>
      <c r="Q218">
        <v>176</v>
      </c>
      <c r="R218">
        <v>3.3609</v>
      </c>
      <c r="S218" t="s">
        <v>428</v>
      </c>
      <c r="T218">
        <v>27587419.373996899</v>
      </c>
      <c r="U218" s="5">
        <v>8204192.9976794003</v>
      </c>
      <c r="V218" t="s">
        <v>228</v>
      </c>
      <c r="W218">
        <v>0</v>
      </c>
      <c r="X218">
        <v>0</v>
      </c>
      <c r="Y218">
        <v>0</v>
      </c>
      <c r="Z218">
        <v>0</v>
      </c>
      <c r="AA218" t="str">
        <f>+MID(Tabla_Consulta_desde_Reporte_de_Valorización_de_Instrumentos[[#This Row],[CODIGO_SBS]],7,1)</f>
        <v>2</v>
      </c>
      <c r="AB218">
        <f>INDEX('Cálculo Caja'!F:F,MATCH(Tabla_Consulta_desde_Reporte_de_Valorización_de_Instrumentos[[#This Row],[PORTAFOLIO]],'Cálculo Caja'!A:A,0),1)</f>
        <v>3164069580.822104</v>
      </c>
      <c r="AC218" s="17">
        <f>Tabla_Consulta_desde_Reporte_de_Valorización_de_Instrumentos[[#This Row],[VALOR_VECTOR_LOCAL]]/Tabla_Consulta_desde_Reporte_de_Valorización_de_Instrumentos[[#This Row],[Patrimonio]]</f>
        <v>8.7145593804345244E-3</v>
      </c>
      <c r="AD218" s="4">
        <f>(Tabla_Consulta_desde_Reporte_de_Valorización_de_Instrumentos[[#This Row],[VALOR_VECTOR_LOCAL]]/INDEX('Tipo de Cambio'!$D:$D,MATCH("2",'Tipo de Cambio'!$E:$E,0),1))/1000000</f>
        <v>8.2041929976794314</v>
      </c>
      <c r="AE218">
        <f>IF(Tabla_Consulta_desde_Reporte_de_Valorización_de_Instrumentos[[#This Row],[PORTAFOLIO]]="IN-FONDO0",Tabla_Consulta_desde_Reporte_de_Valorización_de_Instrumentos[[#This Row],[Inv MM$]],0)</f>
        <v>0</v>
      </c>
      <c r="AF218" s="26">
        <f>IF(Tabla_Consulta_desde_Reporte_de_Valorización_de_Instrumentos[[#This Row],[PORTAFOLIO]]="IN-FONDO1",Tabla_Consulta_desde_Reporte_de_Valorización_de_Instrumentos[[#This Row],[Inv MM$]],0)</f>
        <v>0</v>
      </c>
      <c r="AG218" s="26">
        <f>IF(Tabla_Consulta_desde_Reporte_de_Valorización_de_Instrumentos[[#This Row],[PORTAFOLIO]]="IN-FONDO2",Tabla_Consulta_desde_Reporte_de_Valorización_de_Instrumentos[[#This Row],[Inv MM$]],0)</f>
        <v>0</v>
      </c>
      <c r="AH218" s="26">
        <f>IF(Tabla_Consulta_desde_Reporte_de_Valorización_de_Instrumentos[[#This Row],[PORTAFOLIO]]="IN-FONDO3",Tabla_Consulta_desde_Reporte_de_Valorización_de_Instrumentos[[#This Row],[Inv MM$]],0)</f>
        <v>8.2041929976794314</v>
      </c>
      <c r="AI21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21.348637992099974</v>
      </c>
      <c r="AJ218" s="26">
        <f>IFERROR(IFERROR(INDEX('BD(MSCI)'!$T:$T,MATCH(Tabla_Consulta_desde_Reporte_de_Valorización_de_Instrumentos[[#This Row],[CODIGO_ISIN]],'BD(MSCI)'!$C:$C,0),1),INDEX('BD(MSCI)'!$T:$T,MATCH(Tabla_Consulta_desde_Reporte_de_Valorización_de_Instrumentos[[#This Row],[CODIGO_SBS]],'BD(MSCI)'!$C:$C,0),1)),0)</f>
        <v>31.33247536</v>
      </c>
      <c r="AK218" s="26">
        <f>Tabla_Consulta_desde_Reporte_de_Valorización_de_Instrumentos[[#This Row],[C02-H]]*Tabla_Consulta_desde_Reporte_de_Valorización_de_Instrumentos[[#This Row],[Inv MM$]]</f>
        <v>257.05767494847532</v>
      </c>
      <c r="AL218" s="26">
        <f>Tabla_Consulta_desde_Reporte_de_Valorización_de_Instrumentos[[#This Row],[C02-H]]*Tabla_Consulta_desde_Reporte_de_Valorización_de_Instrumentos[[#This Row],[Weight]]</f>
        <v>0.27304871706072159</v>
      </c>
      <c r="AM218" s="26" t="str">
        <f>INDEX(Parametria!G:G,MATCH(Tabla_Consulta_desde_Reporte_de_Valorización_de_Instrumentos[[#This Row],[CODIGO_SBS]],Parametria!C:C,0))</f>
        <v>48ALT</v>
      </c>
      <c r="AN218" s="26" t="str">
        <f>INDEX(Parametria!F:F,MATCH(Tabla_Consulta_desde_Reporte_de_Valorización_de_Instrumentos[[#This Row],[CODIGO_SBS]],Parametria!C:C,0))</f>
        <v>ALT</v>
      </c>
      <c r="AO218" s="26" t="str">
        <f>+INDEX(Parametria!J:J,MATCH(Tabla_Consulta_desde_Reporte_de_Valorización_de_Instrumentos[[#This Row],[CODIGO_SBS]],Parametria!C:C,0))</f>
        <v>ALT</v>
      </c>
      <c r="AP218" s="26">
        <f>Tabla_Consulta_desde_Reporte_de_Valorización_de_Instrumentos[[#This Row],[Huella]]/$AU$4</f>
        <v>2.3830473874645326E-2</v>
      </c>
      <c r="AQ218" s="26" t="str">
        <f>IFERROR(INDEX('BD(MSCI)'!W:W,MATCH(Tabla_Consulta_desde_Reporte_de_Valorización_de_Instrumentos[[#This Row],[CODIGO_ISIN]],'BD(MSCI)'!C:C,0)),IF(Tabla_Consulta_desde_Reporte_de_Valorización_de_Instrumentos[[#This Row],[Rank_rt]]="Cash","Cash","Cuestionario Integra"))</f>
        <v>Proxies</v>
      </c>
      <c r="AR218" s="26" t="str">
        <f>IFERROR(INDEX('BD(MSCI)'!X:X,MATCH(Tabla_Consulta_desde_Reporte_de_Valorización_de_Instrumentos[[#This Row],[CODIGO_ISIN]],'BD(MSCI)'!C:C,0)),"Cuestionario Integra")</f>
        <v>Alts</v>
      </c>
      <c r="AU218" s="26"/>
    </row>
    <row r="219" spans="2:47" hidden="1" x14ac:dyDescent="0.25">
      <c r="B219" s="14" t="s">
        <v>6390</v>
      </c>
      <c r="C219" t="s">
        <v>536</v>
      </c>
      <c r="D219" t="s">
        <v>11</v>
      </c>
      <c r="E219" t="s">
        <v>537</v>
      </c>
      <c r="F219" t="s">
        <v>538</v>
      </c>
      <c r="G219" t="str">
        <f>INDEX(Parametria!H:H,MATCH(Tabla_Consulta_desde_Reporte_de_Valorización_de_Instrumentos[[#This Row],[CODIGO_SBS]],Parametria!C:C,0),1)</f>
        <v>Macrocapitales SAFI S.A.</v>
      </c>
      <c r="H219" t="s">
        <v>539</v>
      </c>
      <c r="I219" t="s">
        <v>156</v>
      </c>
      <c r="J219" t="s">
        <v>540</v>
      </c>
      <c r="K219" t="s">
        <v>90</v>
      </c>
      <c r="L219">
        <v>100000</v>
      </c>
      <c r="M219" s="5">
        <v>19297209</v>
      </c>
      <c r="N219">
        <v>19297209</v>
      </c>
      <c r="O219">
        <v>300</v>
      </c>
      <c r="P219" s="15">
        <v>47684</v>
      </c>
      <c r="Q219">
        <v>1662</v>
      </c>
      <c r="R219">
        <v>1</v>
      </c>
      <c r="S219" t="s">
        <v>155</v>
      </c>
      <c r="T219">
        <v>19297209</v>
      </c>
      <c r="U219" s="5">
        <v>19297209</v>
      </c>
      <c r="V219" t="s">
        <v>156</v>
      </c>
      <c r="W219">
        <v>0</v>
      </c>
      <c r="X219">
        <v>0</v>
      </c>
      <c r="Y219">
        <v>0</v>
      </c>
      <c r="Z219">
        <v>0</v>
      </c>
      <c r="AA219" t="str">
        <f>+MID(Tabla_Consulta_desde_Reporte_de_Valorización_de_Instrumentos[[#This Row],[CODIGO_SBS]],7,1)</f>
        <v>1</v>
      </c>
      <c r="AB219">
        <f>INDEX('Cálculo Caja'!F:F,MATCH(Tabla_Consulta_desde_Reporte_de_Valorización_de_Instrumentos[[#This Row],[PORTAFOLIO]],'Cálculo Caja'!A:A,0),1)</f>
        <v>3164069580.822104</v>
      </c>
      <c r="AC219" s="17">
        <f>Tabla_Consulta_desde_Reporte_de_Valorización_de_Instrumentos[[#This Row],[VALOR_VECTOR_LOCAL]]/Tabla_Consulta_desde_Reporte_de_Valorización_de_Instrumentos[[#This Row],[Patrimonio]]</f>
        <v>6.0988573440240541E-3</v>
      </c>
      <c r="AD219" s="4">
        <f>(Tabla_Consulta_desde_Reporte_de_Valorización_de_Instrumentos[[#This Row],[VALOR_VECTOR_LOCAL]]/INDEX('Tipo de Cambio'!$D:$D,MATCH("2",'Tipo de Cambio'!$E:$E,0),1))/1000000</f>
        <v>5.7416790145496748</v>
      </c>
      <c r="AE219">
        <f>IF(Tabla_Consulta_desde_Reporte_de_Valorización_de_Instrumentos[[#This Row],[PORTAFOLIO]]="IN-FONDO0",Tabla_Consulta_desde_Reporte_de_Valorización_de_Instrumentos[[#This Row],[Inv MM$]],0)</f>
        <v>0</v>
      </c>
      <c r="AF219" s="26">
        <f>IF(Tabla_Consulta_desde_Reporte_de_Valorización_de_Instrumentos[[#This Row],[PORTAFOLIO]]="IN-FONDO1",Tabla_Consulta_desde_Reporte_de_Valorización_de_Instrumentos[[#This Row],[Inv MM$]],0)</f>
        <v>0</v>
      </c>
      <c r="AG219" s="26">
        <f>IF(Tabla_Consulta_desde_Reporte_de_Valorización_de_Instrumentos[[#This Row],[PORTAFOLIO]]="IN-FONDO2",Tabla_Consulta_desde_Reporte_de_Valorización_de_Instrumentos[[#This Row],[Inv MM$]],0)</f>
        <v>0</v>
      </c>
      <c r="AH219" s="26">
        <f>IF(Tabla_Consulta_desde_Reporte_de_Valorización_de_Instrumentos[[#This Row],[PORTAFOLIO]]="IN-FONDO3",Tabla_Consulta_desde_Reporte_de_Valorización_de_Instrumentos[[#This Row],[Inv MM$]],0)</f>
        <v>5.7416790145496748</v>
      </c>
      <c r="AI21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28.708395072748374</v>
      </c>
      <c r="AJ219" s="26">
        <f>IFERROR(IFERROR(INDEX('BD(MSCI)'!$T:$T,MATCH(Tabla_Consulta_desde_Reporte_de_Valorización_de_Instrumentos[[#This Row],[CODIGO_ISIN]],'BD(MSCI)'!$C:$C,0),1),INDEX('BD(MSCI)'!$T:$T,MATCH(Tabla_Consulta_desde_Reporte_de_Valorización_de_Instrumentos[[#This Row],[CODIGO_SBS]],'BD(MSCI)'!$C:$C,0),1)),0)</f>
        <v>31.33247536</v>
      </c>
      <c r="AK219" s="26">
        <f>Tabla_Consulta_desde_Reporte_de_Valorización_de_Instrumentos[[#This Row],[C02-H]]*Tabla_Consulta_desde_Reporte_de_Valorización_de_Instrumentos[[#This Row],[Inv MM$]]</f>
        <v>179.90101624840676</v>
      </c>
      <c r="AL219" s="26">
        <f>Tabla_Consulta_desde_Reporte_de_Valorización_de_Instrumentos[[#This Row],[C02-H]]*Tabla_Consulta_desde_Reporte_de_Valorización_de_Instrumentos[[#This Row],[Weight]]</f>
        <v>0.19109229745578871</v>
      </c>
      <c r="AM219" s="26" t="str">
        <f>INDEX(Parametria!G:G,MATCH(Tabla_Consulta_desde_Reporte_de_Valorización_de_Instrumentos[[#This Row],[CODIGO_SBS]],Parametria!C:C,0))</f>
        <v>49RFLG</v>
      </c>
      <c r="AN219" s="26" t="str">
        <f>INDEX(Parametria!F:F,MATCH(Tabla_Consulta_desde_Reporte_de_Valorización_de_Instrumentos[[#This Row],[CODIGO_SBS]],Parametria!C:C,0))</f>
        <v>BU</v>
      </c>
      <c r="AO219" s="26" t="str">
        <f>+INDEX(Parametria!J:J,MATCH(Tabla_Consulta_desde_Reporte_de_Valorización_de_Instrumentos[[#This Row],[CODIGO_SBS]],Parametria!C:C,0))</f>
        <v>RFLBU</v>
      </c>
      <c r="AP219" s="26">
        <f>Tabla_Consulta_desde_Reporte_de_Valorización_de_Instrumentos[[#This Row],[Huella]]/$AU$4</f>
        <v>1.6677683203153198E-2</v>
      </c>
      <c r="AQ219" s="26" t="str">
        <f>IFERROR(INDEX('BD(MSCI)'!W:W,MATCH(Tabla_Consulta_desde_Reporte_de_Valorización_de_Instrumentos[[#This Row],[CODIGO_ISIN]],'BD(MSCI)'!C:C,0)),IF(Tabla_Consulta_desde_Reporte_de_Valorización_de_Instrumentos[[#This Row],[Rank_rt]]="Cash","Cash","Cuestionario Integra"))</f>
        <v>Proxies</v>
      </c>
      <c r="AR219" s="26" t="str">
        <f>IFERROR(INDEX('BD(MSCI)'!X:X,MATCH(Tabla_Consulta_desde_Reporte_de_Valorización_de_Instrumentos[[#This Row],[CODIGO_ISIN]],'BD(MSCI)'!C:C,0)),"Cuestionario Integra")</f>
        <v>BU</v>
      </c>
      <c r="AU219" s="26"/>
    </row>
    <row r="220" spans="2:47" hidden="1" x14ac:dyDescent="0.25">
      <c r="B220" s="14" t="s">
        <v>6390</v>
      </c>
      <c r="C220" t="s">
        <v>536</v>
      </c>
      <c r="D220" t="s">
        <v>10</v>
      </c>
      <c r="E220" t="s">
        <v>537</v>
      </c>
      <c r="F220" t="s">
        <v>538</v>
      </c>
      <c r="G220" t="str">
        <f>INDEX(Parametria!H:H,MATCH(Tabla_Consulta_desde_Reporte_de_Valorización_de_Instrumentos[[#This Row],[CODIGO_SBS]],Parametria!C:C,0),1)</f>
        <v>Macrocapitales SAFI S.A.</v>
      </c>
      <c r="H220" t="s">
        <v>539</v>
      </c>
      <c r="I220" t="s">
        <v>156</v>
      </c>
      <c r="J220" t="s">
        <v>540</v>
      </c>
      <c r="K220" t="s">
        <v>90</v>
      </c>
      <c r="L220">
        <v>100000</v>
      </c>
      <c r="M220" s="5">
        <v>77188836</v>
      </c>
      <c r="N220">
        <v>77188836</v>
      </c>
      <c r="O220">
        <v>1200</v>
      </c>
      <c r="P220" s="15">
        <v>47684</v>
      </c>
      <c r="Q220">
        <v>1662</v>
      </c>
      <c r="R220">
        <v>1</v>
      </c>
      <c r="S220" t="s">
        <v>155</v>
      </c>
      <c r="T220">
        <v>77188836</v>
      </c>
      <c r="U220" s="5">
        <v>77188836</v>
      </c>
      <c r="V220" t="s">
        <v>156</v>
      </c>
      <c r="W220">
        <v>0</v>
      </c>
      <c r="X220">
        <v>0</v>
      </c>
      <c r="Y220">
        <v>0</v>
      </c>
      <c r="Z220">
        <v>0</v>
      </c>
      <c r="AA220" t="str">
        <f>+MID(Tabla_Consulta_desde_Reporte_de_Valorización_de_Instrumentos[[#This Row],[CODIGO_SBS]],7,1)</f>
        <v>1</v>
      </c>
      <c r="AB220">
        <f>INDEX('Cálculo Caja'!F:F,MATCH(Tabla_Consulta_desde_Reporte_de_Valorización_de_Instrumentos[[#This Row],[PORTAFOLIO]],'Cálculo Caja'!A:A,0),1)</f>
        <v>26256910350.436607</v>
      </c>
      <c r="AC220" s="17">
        <f>Tabla_Consulta_desde_Reporte_de_Valorización_de_Instrumentos[[#This Row],[VALOR_VECTOR_LOCAL]]/Tabla_Consulta_desde_Reporte_de_Valorización_de_Instrumentos[[#This Row],[Patrimonio]]</f>
        <v>2.9397531914380961E-3</v>
      </c>
      <c r="AD220" s="4">
        <f>(Tabla_Consulta_desde_Reporte_de_Valorización_de_Instrumentos[[#This Row],[VALOR_VECTOR_LOCAL]]/INDEX('Tipo de Cambio'!$D:$D,MATCH("2",'Tipo de Cambio'!$E:$E,0),1))/1000000</f>
        <v>22.966716058198699</v>
      </c>
      <c r="AE220">
        <f>IF(Tabla_Consulta_desde_Reporte_de_Valorización_de_Instrumentos[[#This Row],[PORTAFOLIO]]="IN-FONDO0",Tabla_Consulta_desde_Reporte_de_Valorización_de_Instrumentos[[#This Row],[Inv MM$]],0)</f>
        <v>0</v>
      </c>
      <c r="AF220" s="26">
        <f>IF(Tabla_Consulta_desde_Reporte_de_Valorización_de_Instrumentos[[#This Row],[PORTAFOLIO]]="IN-FONDO1",Tabla_Consulta_desde_Reporte_de_Valorización_de_Instrumentos[[#This Row],[Inv MM$]],0)</f>
        <v>0</v>
      </c>
      <c r="AG220" s="26">
        <f>IF(Tabla_Consulta_desde_Reporte_de_Valorización_de_Instrumentos[[#This Row],[PORTAFOLIO]]="IN-FONDO2",Tabla_Consulta_desde_Reporte_de_Valorización_de_Instrumentos[[#This Row],[Inv MM$]],0)</f>
        <v>22.966716058198699</v>
      </c>
      <c r="AH220" s="26">
        <f>IF(Tabla_Consulta_desde_Reporte_de_Valorización_de_Instrumentos[[#This Row],[PORTAFOLIO]]="IN-FONDO3",Tabla_Consulta_desde_Reporte_de_Valorización_de_Instrumentos[[#This Row],[Inv MM$]],0)</f>
        <v>0</v>
      </c>
      <c r="AI22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28.708395072748374</v>
      </c>
      <c r="AJ220" s="26">
        <f>IFERROR(IFERROR(INDEX('BD(MSCI)'!$T:$T,MATCH(Tabla_Consulta_desde_Reporte_de_Valorización_de_Instrumentos[[#This Row],[CODIGO_ISIN]],'BD(MSCI)'!$C:$C,0),1),INDEX('BD(MSCI)'!$T:$T,MATCH(Tabla_Consulta_desde_Reporte_de_Valorización_de_Instrumentos[[#This Row],[CODIGO_SBS]],'BD(MSCI)'!$C:$C,0),1)),0)</f>
        <v>31.33247536</v>
      </c>
      <c r="AK220" s="26">
        <f>Tabla_Consulta_desde_Reporte_de_Valorización_de_Instrumentos[[#This Row],[C02-H]]*Tabla_Consulta_desde_Reporte_de_Valorización_de_Instrumentos[[#This Row],[Inv MM$]]</f>
        <v>719.60406499362705</v>
      </c>
      <c r="AL220" s="26">
        <f>Tabla_Consulta_desde_Reporte_de_Valorización_de_Instrumentos[[#This Row],[C02-H]]*Tabla_Consulta_desde_Reporte_de_Valorización_de_Instrumentos[[#This Row],[Weight]]</f>
        <v>9.210974443521551E-2</v>
      </c>
      <c r="AM220" s="26" t="str">
        <f>INDEX(Parametria!G:G,MATCH(Tabla_Consulta_desde_Reporte_de_Valorización_de_Instrumentos[[#This Row],[CODIGO_SBS]],Parametria!C:C,0))</f>
        <v>49RFLG</v>
      </c>
      <c r="AN220" s="26" t="str">
        <f>INDEX(Parametria!F:F,MATCH(Tabla_Consulta_desde_Reporte_de_Valorización_de_Instrumentos[[#This Row],[CODIGO_SBS]],Parametria!C:C,0))</f>
        <v>BU</v>
      </c>
      <c r="AO220" s="26" t="str">
        <f>+INDEX(Parametria!J:J,MATCH(Tabla_Consulta_desde_Reporte_de_Valorización_de_Instrumentos[[#This Row],[CODIGO_SBS]],Parametria!C:C,0))</f>
        <v>RFLBU</v>
      </c>
      <c r="AP220" s="26">
        <f>Tabla_Consulta_desde_Reporte_de_Valorización_de_Instrumentos[[#This Row],[Huella]]/$AU$4</f>
        <v>6.6710732812612791E-2</v>
      </c>
      <c r="AQ220" s="26" t="str">
        <f>IFERROR(INDEX('BD(MSCI)'!W:W,MATCH(Tabla_Consulta_desde_Reporte_de_Valorización_de_Instrumentos[[#This Row],[CODIGO_ISIN]],'BD(MSCI)'!C:C,0)),IF(Tabla_Consulta_desde_Reporte_de_Valorización_de_Instrumentos[[#This Row],[Rank_rt]]="Cash","Cash","Cuestionario Integra"))</f>
        <v>Proxies</v>
      </c>
      <c r="AR220" s="26" t="str">
        <f>IFERROR(INDEX('BD(MSCI)'!X:X,MATCH(Tabla_Consulta_desde_Reporte_de_Valorización_de_Instrumentos[[#This Row],[CODIGO_ISIN]],'BD(MSCI)'!C:C,0)),"Cuestionario Integra")</f>
        <v>BU</v>
      </c>
      <c r="AU220" s="26"/>
    </row>
    <row r="221" spans="2:47" hidden="1" x14ac:dyDescent="0.25">
      <c r="B221" s="14" t="s">
        <v>6390</v>
      </c>
      <c r="C221" t="s">
        <v>536</v>
      </c>
      <c r="D221" t="s">
        <v>10</v>
      </c>
      <c r="E221" t="s">
        <v>537</v>
      </c>
      <c r="F221" t="s">
        <v>541</v>
      </c>
      <c r="G221" t="str">
        <f>INDEX(Parametria!H:H,MATCH(Tabla_Consulta_desde_Reporte_de_Valorización_de_Instrumentos[[#This Row],[CODIGO_SBS]],Parametria!C:C,0),1)</f>
        <v>BD Capital - Senior Loans C</v>
      </c>
      <c r="H221" t="s">
        <v>542</v>
      </c>
      <c r="I221" t="s">
        <v>156</v>
      </c>
      <c r="J221" t="s">
        <v>543</v>
      </c>
      <c r="K221" t="s">
        <v>50</v>
      </c>
      <c r="L221">
        <v>1000</v>
      </c>
      <c r="M221" s="5">
        <v>5878182.7276144</v>
      </c>
      <c r="N221">
        <v>1748990.6654808</v>
      </c>
      <c r="O221">
        <v>1704</v>
      </c>
      <c r="P221" s="15">
        <v>46542</v>
      </c>
      <c r="Q221">
        <v>520</v>
      </c>
      <c r="R221">
        <v>3.3609</v>
      </c>
      <c r="S221" t="s">
        <v>155</v>
      </c>
      <c r="T221">
        <v>5881156.0117456997</v>
      </c>
      <c r="U221" s="5">
        <v>1748990.6654808</v>
      </c>
      <c r="V221" t="s">
        <v>156</v>
      </c>
      <c r="W221">
        <v>0</v>
      </c>
      <c r="X221">
        <v>0</v>
      </c>
      <c r="Y221">
        <v>0</v>
      </c>
      <c r="Z221">
        <v>0</v>
      </c>
      <c r="AA221" t="str">
        <f>+MID(Tabla_Consulta_desde_Reporte_de_Valorización_de_Instrumentos[[#This Row],[CODIGO_SBS]],7,1)</f>
        <v>2</v>
      </c>
      <c r="AB221">
        <f>INDEX('Cálculo Caja'!F:F,MATCH(Tabla_Consulta_desde_Reporte_de_Valorización_de_Instrumentos[[#This Row],[PORTAFOLIO]],'Cálculo Caja'!A:A,0),1)</f>
        <v>26256910350.436607</v>
      </c>
      <c r="AC221" s="17">
        <f>Tabla_Consulta_desde_Reporte_de_Valorización_de_Instrumentos[[#This Row],[VALOR_VECTOR_LOCAL]]/Tabla_Consulta_desde_Reporte_de_Valorización_de_Instrumentos[[#This Row],[Patrimonio]]</f>
        <v>2.2387183599142143E-4</v>
      </c>
      <c r="AD221" s="4">
        <f>(Tabla_Consulta_desde_Reporte_de_Valorización_de_Instrumentos[[#This Row],[VALOR_VECTOR_LOCAL]]/INDEX('Tipo de Cambio'!$D:$D,MATCH("2",'Tipo de Cambio'!$E:$E,0),1))/1000000</f>
        <v>1.7489906654807938</v>
      </c>
      <c r="AE221">
        <f>IF(Tabla_Consulta_desde_Reporte_de_Valorización_de_Instrumentos[[#This Row],[PORTAFOLIO]]="IN-FONDO0",Tabla_Consulta_desde_Reporte_de_Valorización_de_Instrumentos[[#This Row],[Inv MM$]],0)</f>
        <v>0</v>
      </c>
      <c r="AF221" s="26">
        <f>IF(Tabla_Consulta_desde_Reporte_de_Valorización_de_Instrumentos[[#This Row],[PORTAFOLIO]]="IN-FONDO1",Tabla_Consulta_desde_Reporte_de_Valorización_de_Instrumentos[[#This Row],[Inv MM$]],0)</f>
        <v>0</v>
      </c>
      <c r="AG221" s="26">
        <f>IF(Tabla_Consulta_desde_Reporte_de_Valorización_de_Instrumentos[[#This Row],[PORTAFOLIO]]="IN-FONDO2",Tabla_Consulta_desde_Reporte_de_Valorización_de_Instrumentos[[#This Row],[Inv MM$]],0)</f>
        <v>1.7489906654807938</v>
      </c>
      <c r="AH221" s="26">
        <f>IF(Tabla_Consulta_desde_Reporte_de_Valorización_de_Instrumentos[[#This Row],[PORTAFOLIO]]="IN-FONDO3",Tabla_Consulta_desde_Reporte_de_Valorización_de_Instrumentos[[#This Row],[Inv MM$]],0)</f>
        <v>0</v>
      </c>
      <c r="AI22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16.30543762431218</v>
      </c>
      <c r="AJ221" s="26">
        <f>IFERROR(IFERROR(INDEX('BD(MSCI)'!$T:$T,MATCH(Tabla_Consulta_desde_Reporte_de_Valorización_de_Instrumentos[[#This Row],[CODIGO_ISIN]],'BD(MSCI)'!$C:$C,0),1),INDEX('BD(MSCI)'!$T:$T,MATCH(Tabla_Consulta_desde_Reporte_de_Valorización_de_Instrumentos[[#This Row],[CODIGO_SBS]],'BD(MSCI)'!$C:$C,0),1)),0)</f>
        <v>31.33247536</v>
      </c>
      <c r="AK221" s="26">
        <f>Tabla_Consulta_desde_Reporte_de_Valorización_de_Instrumentos[[#This Row],[C02-H]]*Tabla_Consulta_desde_Reporte_de_Valorización_de_Instrumentos[[#This Row],[Inv MM$]]</f>
        <v>54.800206931046979</v>
      </c>
      <c r="AL221" s="26">
        <f>Tabla_Consulta_desde_Reporte_de_Valorización_de_Instrumentos[[#This Row],[C02-H]]*Tabla_Consulta_desde_Reporte_de_Valorización_de_Instrumentos[[#This Row],[Weight]]</f>
        <v>7.0144587849991736E-3</v>
      </c>
      <c r="AM221" s="26" t="str">
        <f>INDEX(Parametria!G:G,MATCH(Tabla_Consulta_desde_Reporte_de_Valorización_de_Instrumentos[[#This Row],[CODIGO_SBS]],Parametria!C:C,0))</f>
        <v>49RFLG</v>
      </c>
      <c r="AN221" s="26" t="str">
        <f>INDEX(Parametria!F:F,MATCH(Tabla_Consulta_desde_Reporte_de_Valorización_de_Instrumentos[[#This Row],[CODIGO_SBS]],Parametria!C:C,0))</f>
        <v>BU</v>
      </c>
      <c r="AO221" s="26" t="str">
        <f>+INDEX(Parametria!J:J,MATCH(Tabla_Consulta_desde_Reporte_de_Valorización_de_Instrumentos[[#This Row],[CODIGO_SBS]],Parametria!C:C,0))</f>
        <v>RFLBU</v>
      </c>
      <c r="AP221" s="26">
        <f>Tabla_Consulta_desde_Reporte_de_Valorización_de_Instrumentos[[#This Row],[Huella]]/$AU$4</f>
        <v>5.0802408442277803E-3</v>
      </c>
      <c r="AQ221" s="26" t="str">
        <f>IFERROR(INDEX('BD(MSCI)'!W:W,MATCH(Tabla_Consulta_desde_Reporte_de_Valorización_de_Instrumentos[[#This Row],[CODIGO_ISIN]],'BD(MSCI)'!C:C,0)),IF(Tabla_Consulta_desde_Reporte_de_Valorización_de_Instrumentos[[#This Row],[Rank_rt]]="Cash","Cash","Cuestionario Integra"))</f>
        <v>Proxies</v>
      </c>
      <c r="AR221" s="26" t="str">
        <f>IFERROR(INDEX('BD(MSCI)'!X:X,MATCH(Tabla_Consulta_desde_Reporte_de_Valorización_de_Instrumentos[[#This Row],[CODIGO_ISIN]],'BD(MSCI)'!C:C,0)),"Cuestionario Integra")</f>
        <v>BU</v>
      </c>
      <c r="AU221" s="26"/>
    </row>
    <row r="222" spans="2:47" hidden="1" x14ac:dyDescent="0.25">
      <c r="B222" s="14" t="s">
        <v>6390</v>
      </c>
      <c r="C222" t="s">
        <v>536</v>
      </c>
      <c r="D222" t="s">
        <v>12</v>
      </c>
      <c r="E222" t="s">
        <v>537</v>
      </c>
      <c r="F222" t="s">
        <v>541</v>
      </c>
      <c r="G222" t="str">
        <f>INDEX(Parametria!H:H,MATCH(Tabla_Consulta_desde_Reporte_de_Valorización_de_Instrumentos[[#This Row],[CODIGO_SBS]],Parametria!C:C,0),1)</f>
        <v>BD Capital - Senior Loans C</v>
      </c>
      <c r="H222" t="s">
        <v>542</v>
      </c>
      <c r="I222" t="s">
        <v>156</v>
      </c>
      <c r="J222" t="s">
        <v>543</v>
      </c>
      <c r="K222" t="s">
        <v>50</v>
      </c>
      <c r="L222">
        <v>1000</v>
      </c>
      <c r="M222" s="5">
        <v>48922762.583936401</v>
      </c>
      <c r="N222">
        <v>14556446.9588314</v>
      </c>
      <c r="O222">
        <v>14182</v>
      </c>
      <c r="P222" s="15">
        <v>46542</v>
      </c>
      <c r="Q222">
        <v>520</v>
      </c>
      <c r="R222">
        <v>3.3609</v>
      </c>
      <c r="S222" t="s">
        <v>155</v>
      </c>
      <c r="T222">
        <v>48947508.543766402</v>
      </c>
      <c r="U222" s="5">
        <v>14556446.9588314</v>
      </c>
      <c r="V222" t="s">
        <v>156</v>
      </c>
      <c r="W222">
        <v>0</v>
      </c>
      <c r="X222">
        <v>0</v>
      </c>
      <c r="Y222">
        <v>0</v>
      </c>
      <c r="Z222">
        <v>0</v>
      </c>
      <c r="AA222" t="str">
        <f>+MID(Tabla_Consulta_desde_Reporte_de_Valorización_de_Instrumentos[[#This Row],[CODIGO_SBS]],7,1)</f>
        <v>2</v>
      </c>
      <c r="AB222">
        <f>INDEX('Cálculo Caja'!F:F,MATCH(Tabla_Consulta_desde_Reporte_de_Valorización_de_Instrumentos[[#This Row],[PORTAFOLIO]],'Cálculo Caja'!A:A,0),1)</f>
        <v>7679510866.0565634</v>
      </c>
      <c r="AC222" s="17">
        <f>Tabla_Consulta_desde_Reporte_de_Valorización_de_Instrumentos[[#This Row],[VALOR_VECTOR_LOCAL]]/Tabla_Consulta_desde_Reporte_de_Valorización_de_Instrumentos[[#This Row],[Patrimonio]]</f>
        <v>6.3705571145390265E-3</v>
      </c>
      <c r="AD222" s="4">
        <f>(Tabla_Consulta_desde_Reporte_de_Valorización_de_Instrumentos[[#This Row],[VALOR_VECTOR_LOCAL]]/INDEX('Tipo de Cambio'!$D:$D,MATCH("2",'Tipo de Cambio'!$E:$E,0),1))/1000000</f>
        <v>14.556446958831385</v>
      </c>
      <c r="AE222">
        <f>IF(Tabla_Consulta_desde_Reporte_de_Valorización_de_Instrumentos[[#This Row],[PORTAFOLIO]]="IN-FONDO0",Tabla_Consulta_desde_Reporte_de_Valorización_de_Instrumentos[[#This Row],[Inv MM$]],0)</f>
        <v>0</v>
      </c>
      <c r="AF222" s="26">
        <f>IF(Tabla_Consulta_desde_Reporte_de_Valorización_de_Instrumentos[[#This Row],[PORTAFOLIO]]="IN-FONDO1",Tabla_Consulta_desde_Reporte_de_Valorización_de_Instrumentos[[#This Row],[Inv MM$]],0)</f>
        <v>14.556446958831385</v>
      </c>
      <c r="AG222" s="26">
        <f>IF(Tabla_Consulta_desde_Reporte_de_Valorización_de_Instrumentos[[#This Row],[PORTAFOLIO]]="IN-FONDO2",Tabla_Consulta_desde_Reporte_de_Valorización_de_Instrumentos[[#This Row],[Inv MM$]],0)</f>
        <v>0</v>
      </c>
      <c r="AH222" s="26">
        <f>IF(Tabla_Consulta_desde_Reporte_de_Valorización_de_Instrumentos[[#This Row],[PORTAFOLIO]]="IN-FONDO3",Tabla_Consulta_desde_Reporte_de_Valorización_de_Instrumentos[[#This Row],[Inv MM$]],0)</f>
        <v>0</v>
      </c>
      <c r="AI22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16.30543762431218</v>
      </c>
      <c r="AJ222" s="26">
        <f>IFERROR(IFERROR(INDEX('BD(MSCI)'!$T:$T,MATCH(Tabla_Consulta_desde_Reporte_de_Valorización_de_Instrumentos[[#This Row],[CODIGO_ISIN]],'BD(MSCI)'!$C:$C,0),1),INDEX('BD(MSCI)'!$T:$T,MATCH(Tabla_Consulta_desde_Reporte_de_Valorización_de_Instrumentos[[#This Row],[CODIGO_SBS]],'BD(MSCI)'!$C:$C,0),1)),0)</f>
        <v>31.33247536</v>
      </c>
      <c r="AK222" s="26">
        <f>Tabla_Consulta_desde_Reporte_de_Valorización_de_Instrumentos[[#This Row],[C02-H]]*Tabla_Consulta_desde_Reporte_de_Valorización_de_Instrumentos[[#This Row],[Inv MM$]]</f>
        <v>456.0895156667313</v>
      </c>
      <c r="AL222" s="26">
        <f>Tabla_Consulta_desde_Reporte_de_Valorización_de_Instrumentos[[#This Row],[C02-H]]*Tabla_Consulta_desde_Reporte_de_Valorización_de_Instrumentos[[#This Row],[Weight]]</f>
        <v>0.19960532382076673</v>
      </c>
      <c r="AM222" s="26" t="str">
        <f>INDEX(Parametria!G:G,MATCH(Tabla_Consulta_desde_Reporte_de_Valorización_de_Instrumentos[[#This Row],[CODIGO_SBS]],Parametria!C:C,0))</f>
        <v>49RFLG</v>
      </c>
      <c r="AN222" s="26" t="str">
        <f>INDEX(Parametria!F:F,MATCH(Tabla_Consulta_desde_Reporte_de_Valorización_de_Instrumentos[[#This Row],[CODIGO_SBS]],Parametria!C:C,0))</f>
        <v>BU</v>
      </c>
      <c r="AO222" s="26" t="str">
        <f>+INDEX(Parametria!J:J,MATCH(Tabla_Consulta_desde_Reporte_de_Valorización_de_Instrumentos[[#This Row],[CODIGO_SBS]],Parametria!C:C,0))</f>
        <v>RFLBU</v>
      </c>
      <c r="AP222" s="26">
        <f>Tabla_Consulta_desde_Reporte_de_Valorización_de_Instrumentos[[#This Row],[Huella]]/$AU$4</f>
        <v>4.228167585260479E-2</v>
      </c>
      <c r="AQ222" s="26" t="str">
        <f>IFERROR(INDEX('BD(MSCI)'!W:W,MATCH(Tabla_Consulta_desde_Reporte_de_Valorización_de_Instrumentos[[#This Row],[CODIGO_ISIN]],'BD(MSCI)'!C:C,0)),IF(Tabla_Consulta_desde_Reporte_de_Valorización_de_Instrumentos[[#This Row],[Rank_rt]]="Cash","Cash","Cuestionario Integra"))</f>
        <v>Proxies</v>
      </c>
      <c r="AR222" s="26" t="str">
        <f>IFERROR(INDEX('BD(MSCI)'!X:X,MATCH(Tabla_Consulta_desde_Reporte_de_Valorización_de_Instrumentos[[#This Row],[CODIGO_ISIN]],'BD(MSCI)'!C:C,0)),"Cuestionario Integra")</f>
        <v>BU</v>
      </c>
      <c r="AU222" s="26"/>
    </row>
    <row r="223" spans="2:47" hidden="1" x14ac:dyDescent="0.25">
      <c r="B223" s="14" t="s">
        <v>6390</v>
      </c>
      <c r="C223" t="s">
        <v>536</v>
      </c>
      <c r="D223" t="s">
        <v>10</v>
      </c>
      <c r="E223" t="s">
        <v>537</v>
      </c>
      <c r="F223" t="s">
        <v>544</v>
      </c>
      <c r="G223" t="str">
        <f>INDEX(Parametria!H:H,MATCH(Tabla_Consulta_desde_Reporte_de_Valorización_de_Instrumentos[[#This Row],[CODIGO_SBS]],Parametria!C:C,0),1)</f>
        <v>Sigma - Leasing Operativo</v>
      </c>
      <c r="H223" t="s">
        <v>545</v>
      </c>
      <c r="I223" t="s">
        <v>156</v>
      </c>
      <c r="J223" t="s">
        <v>546</v>
      </c>
      <c r="K223" t="s">
        <v>50</v>
      </c>
      <c r="L223">
        <v>1</v>
      </c>
      <c r="M223" s="5">
        <v>9223122.1647929996</v>
      </c>
      <c r="N223">
        <v>2744241.77</v>
      </c>
      <c r="O223">
        <v>277</v>
      </c>
      <c r="P223" s="15">
        <v>46568</v>
      </c>
      <c r="Q223">
        <v>546</v>
      </c>
      <c r="R223">
        <v>3.3609</v>
      </c>
      <c r="S223" t="s">
        <v>155</v>
      </c>
      <c r="T223">
        <v>9227787.3758019991</v>
      </c>
      <c r="U223" s="5">
        <v>2744241.77</v>
      </c>
      <c r="V223" t="s">
        <v>156</v>
      </c>
      <c r="W223">
        <v>0</v>
      </c>
      <c r="X223">
        <v>0</v>
      </c>
      <c r="Y223">
        <v>0</v>
      </c>
      <c r="Z223">
        <v>0</v>
      </c>
      <c r="AA223" t="str">
        <f>+MID(Tabla_Consulta_desde_Reporte_de_Valorización_de_Instrumentos[[#This Row],[CODIGO_SBS]],7,1)</f>
        <v>2</v>
      </c>
      <c r="AB223">
        <f>INDEX('Cálculo Caja'!F:F,MATCH(Tabla_Consulta_desde_Reporte_de_Valorización_de_Instrumentos[[#This Row],[PORTAFOLIO]],'Cálculo Caja'!A:A,0),1)</f>
        <v>26256910350.436607</v>
      </c>
      <c r="AC223" s="17">
        <f>Tabla_Consulta_desde_Reporte_de_Valorización_de_Instrumentos[[#This Row],[VALOR_VECTOR_LOCAL]]/Tabla_Consulta_desde_Reporte_de_Valorización_de_Instrumentos[[#This Row],[Patrimonio]]</f>
        <v>3.5126456394514959E-4</v>
      </c>
      <c r="AD223" s="4">
        <f>(Tabla_Consulta_desde_Reporte_de_Valorización_de_Instrumentos[[#This Row],[VALOR_VECTOR_LOCAL]]/INDEX('Tipo de Cambio'!$D:$D,MATCH("2",'Tipo de Cambio'!$E:$E,0),1))/1000000</f>
        <v>2.7442417699999999</v>
      </c>
      <c r="AE223">
        <f>IF(Tabla_Consulta_desde_Reporte_de_Valorización_de_Instrumentos[[#This Row],[PORTAFOLIO]]="IN-FONDO0",Tabla_Consulta_desde_Reporte_de_Valorización_de_Instrumentos[[#This Row],[Inv MM$]],0)</f>
        <v>0</v>
      </c>
      <c r="AF223" s="26">
        <f>IF(Tabla_Consulta_desde_Reporte_de_Valorización_de_Instrumentos[[#This Row],[PORTAFOLIO]]="IN-FONDO1",Tabla_Consulta_desde_Reporte_de_Valorización_de_Instrumentos[[#This Row],[Inv MM$]],0)</f>
        <v>0</v>
      </c>
      <c r="AG223" s="26">
        <f>IF(Tabla_Consulta_desde_Reporte_de_Valorización_de_Instrumentos[[#This Row],[PORTAFOLIO]]="IN-FONDO2",Tabla_Consulta_desde_Reporte_de_Valorización_de_Instrumentos[[#This Row],[Inv MM$]],0)</f>
        <v>2.7442417699999999</v>
      </c>
      <c r="AH223" s="26">
        <f>IF(Tabla_Consulta_desde_Reporte_de_Valorización_de_Instrumentos[[#This Row],[PORTAFOLIO]]="IN-FONDO3",Tabla_Consulta_desde_Reporte_de_Valorización_de_Instrumentos[[#This Row],[Inv MM$]],0)</f>
        <v>0</v>
      </c>
      <c r="AI22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2.7442417699999999</v>
      </c>
      <c r="AJ223" s="26">
        <f>IFERROR(IFERROR(INDEX('BD(MSCI)'!$T:$T,MATCH(Tabla_Consulta_desde_Reporte_de_Valorización_de_Instrumentos[[#This Row],[CODIGO_ISIN]],'BD(MSCI)'!$C:$C,0),1),INDEX('BD(MSCI)'!$T:$T,MATCH(Tabla_Consulta_desde_Reporte_de_Valorización_de_Instrumentos[[#This Row],[CODIGO_SBS]],'BD(MSCI)'!$C:$C,0),1)),0)</f>
        <v>31.33247536</v>
      </c>
      <c r="AK223" s="26">
        <f>Tabla_Consulta_desde_Reporte_de_Valorización_de_Instrumentos[[#This Row],[C02-H]]*Tabla_Consulta_desde_Reporte_de_Valorización_de_Instrumentos[[#This Row],[Inv MM$]]</f>
        <v>85.983887640407787</v>
      </c>
      <c r="AL223" s="26">
        <f>Tabla_Consulta_desde_Reporte_de_Valorización_de_Instrumentos[[#This Row],[C02-H]]*Tabla_Consulta_desde_Reporte_de_Valorización_de_Instrumentos[[#This Row],[Weight]]</f>
        <v>1.1005988294652543E-2</v>
      </c>
      <c r="AM223" s="26" t="str">
        <f>INDEX(Parametria!G:G,MATCH(Tabla_Consulta_desde_Reporte_de_Valorización_de_Instrumentos[[#This Row],[CODIGO_SBS]],Parametria!C:C,0))</f>
        <v>49RFLG</v>
      </c>
      <c r="AN223" s="26" t="str">
        <f>INDEX(Parametria!F:F,MATCH(Tabla_Consulta_desde_Reporte_de_Valorización_de_Instrumentos[[#This Row],[CODIGO_SBS]],Parametria!C:C,0))</f>
        <v>BU</v>
      </c>
      <c r="AO223" s="26" t="str">
        <f>+INDEX(Parametria!J:J,MATCH(Tabla_Consulta_desde_Reporte_de_Valorización_de_Instrumentos[[#This Row],[CODIGO_SBS]],Parametria!C:C,0))</f>
        <v>RFLBU</v>
      </c>
      <c r="AP223" s="26">
        <f>Tabla_Consulta_desde_Reporte_de_Valorización_de_Instrumentos[[#This Row],[Huella]]/$AU$4</f>
        <v>7.9711169427868125E-3</v>
      </c>
      <c r="AQ223" s="26" t="str">
        <f>IFERROR(INDEX('BD(MSCI)'!W:W,MATCH(Tabla_Consulta_desde_Reporte_de_Valorización_de_Instrumentos[[#This Row],[CODIGO_ISIN]],'BD(MSCI)'!C:C,0)),IF(Tabla_Consulta_desde_Reporte_de_Valorización_de_Instrumentos[[#This Row],[Rank_rt]]="Cash","Cash","Cuestionario Integra"))</f>
        <v>Proxies</v>
      </c>
      <c r="AR223" s="26" t="str">
        <f>IFERROR(INDEX('BD(MSCI)'!X:X,MATCH(Tabla_Consulta_desde_Reporte_de_Valorización_de_Instrumentos[[#This Row],[CODIGO_ISIN]],'BD(MSCI)'!C:C,0)),"Cuestionario Integra")</f>
        <v>BU</v>
      </c>
      <c r="AU223" s="26"/>
    </row>
    <row r="224" spans="2:47" hidden="1" x14ac:dyDescent="0.25">
      <c r="B224" s="14" t="s">
        <v>6390</v>
      </c>
      <c r="C224" t="s">
        <v>924</v>
      </c>
      <c r="D224" t="s">
        <v>10</v>
      </c>
      <c r="E224" t="s">
        <v>925</v>
      </c>
      <c r="F224" t="s">
        <v>926</v>
      </c>
      <c r="G224" t="str">
        <f>INDEX(Parametria!H:H,MATCH(Tabla_Consulta_desde_Reporte_de_Valorización_de_Instrumentos[[#This Row],[CODIGO_SBS]],Parametria!C:C,0),1)</f>
        <v>Van Eck - El Dorado Peru</v>
      </c>
      <c r="H224" t="s">
        <v>927</v>
      </c>
      <c r="I224" t="s">
        <v>156</v>
      </c>
      <c r="J224" t="s">
        <v>928</v>
      </c>
      <c r="K224" t="s">
        <v>50</v>
      </c>
      <c r="L224">
        <v>1</v>
      </c>
      <c r="M224" s="5">
        <v>107731669.661028</v>
      </c>
      <c r="N224">
        <v>32054410.920000002</v>
      </c>
      <c r="O224">
        <v>1659131</v>
      </c>
      <c r="P224" s="15"/>
      <c r="R224">
        <v>3.3609</v>
      </c>
      <c r="S224" t="s">
        <v>428</v>
      </c>
      <c r="T224">
        <v>107786162.159592</v>
      </c>
      <c r="U224" s="5">
        <v>32054410.920000002</v>
      </c>
      <c r="V224" t="s">
        <v>156</v>
      </c>
      <c r="W224">
        <v>0</v>
      </c>
      <c r="X224">
        <v>0</v>
      </c>
      <c r="Y224">
        <v>0</v>
      </c>
      <c r="Z224">
        <v>0</v>
      </c>
      <c r="AA224" t="str">
        <f>+MID(Tabla_Consulta_desde_Reporte_de_Valorización_de_Instrumentos[[#This Row],[CODIGO_SBS]],7,1)</f>
        <v>2</v>
      </c>
      <c r="AB224">
        <f>INDEX('Cálculo Caja'!F:F,MATCH(Tabla_Consulta_desde_Reporte_de_Valorización_de_Instrumentos[[#This Row],[PORTAFOLIO]],'Cálculo Caja'!A:A,0),1)</f>
        <v>26256910350.436607</v>
      </c>
      <c r="AC224" s="17">
        <f>Tabla_Consulta_desde_Reporte_de_Valorización_de_Instrumentos[[#This Row],[VALOR_VECTOR_LOCAL]]/Tabla_Consulta_desde_Reporte_de_Valorización_de_Instrumentos[[#This Row],[Patrimonio]]</f>
        <v>4.102983489801061E-3</v>
      </c>
      <c r="AD224" s="4">
        <f>(Tabla_Consulta_desde_Reporte_de_Valorización_de_Instrumentos[[#This Row],[VALOR_VECTOR_LOCAL]]/INDEX('Tipo de Cambio'!$D:$D,MATCH("2",'Tipo de Cambio'!$E:$E,0),1))/1000000</f>
        <v>32.054410919999995</v>
      </c>
      <c r="AE224">
        <f>IF(Tabla_Consulta_desde_Reporte_de_Valorización_de_Instrumentos[[#This Row],[PORTAFOLIO]]="IN-FONDO0",Tabla_Consulta_desde_Reporte_de_Valorización_de_Instrumentos[[#This Row],[Inv MM$]],0)</f>
        <v>0</v>
      </c>
      <c r="AF224" s="26">
        <f>IF(Tabla_Consulta_desde_Reporte_de_Valorización_de_Instrumentos[[#This Row],[PORTAFOLIO]]="IN-FONDO1",Tabla_Consulta_desde_Reporte_de_Valorización_de_Instrumentos[[#This Row],[Inv MM$]],0)</f>
        <v>0</v>
      </c>
      <c r="AG224" s="26">
        <f>IF(Tabla_Consulta_desde_Reporte_de_Valorización_de_Instrumentos[[#This Row],[PORTAFOLIO]]="IN-FONDO2",Tabla_Consulta_desde_Reporte_de_Valorización_de_Instrumentos[[#This Row],[Inv MM$]],0)</f>
        <v>32.054410919999995</v>
      </c>
      <c r="AH224" s="26">
        <f>IF(Tabla_Consulta_desde_Reporte_de_Valorización_de_Instrumentos[[#This Row],[PORTAFOLIO]]="IN-FONDO3",Tabla_Consulta_desde_Reporte_de_Valorización_de_Instrumentos[[#This Row],[Inv MM$]],0)</f>
        <v>0</v>
      </c>
      <c r="AI22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32.054410919999995</v>
      </c>
      <c r="AJ224" s="26">
        <f>IFERROR(IFERROR(INDEX('BD(MSCI)'!$T:$T,MATCH(Tabla_Consulta_desde_Reporte_de_Valorización_de_Instrumentos[[#This Row],[CODIGO_ISIN]],'BD(MSCI)'!$C:$C,0),1),INDEX('BD(MSCI)'!$T:$T,MATCH(Tabla_Consulta_desde_Reporte_de_Valorización_de_Instrumentos[[#This Row],[CODIGO_SBS]],'BD(MSCI)'!$C:$C,0),1)),0)</f>
        <v>31.33247536</v>
      </c>
      <c r="AK224" s="26">
        <f>Tabla_Consulta_desde_Reporte_de_Valorización_de_Instrumentos[[#This Row],[C02-H]]*Tabla_Consulta_desde_Reporte_de_Valorización_de_Instrumentos[[#This Row],[Inv MM$]]</f>
        <v>1004.3440403302147</v>
      </c>
      <c r="AL224" s="26">
        <f>Tabla_Consulta_desde_Reporte_de_Valorización_de_Instrumentos[[#This Row],[C02-H]]*Tabla_Consulta_desde_Reporte_de_Valorización_de_Instrumentos[[#This Row],[Weight]]</f>
        <v>0.12855662909667856</v>
      </c>
      <c r="AM224" s="26" t="str">
        <f>INDEX(Parametria!G:G,MATCH(Tabla_Consulta_desde_Reporte_de_Valorización_de_Instrumentos[[#This Row],[CODIGO_SBS]],Parametria!C:C,0))</f>
        <v>50RVL</v>
      </c>
      <c r="AN224" s="26" t="str">
        <f>INDEX(Parametria!F:F,MATCH(Tabla_Consulta_desde_Reporte_de_Valorización_de_Instrumentos[[#This Row],[CODIGO_SBS]],Parametria!C:C,0))</f>
        <v>BU</v>
      </c>
      <c r="AO224" s="26" t="str">
        <f>+INDEX(Parametria!J:J,MATCH(Tabla_Consulta_desde_Reporte_de_Valorización_de_Instrumentos[[#This Row],[CODIGO_SBS]],Parametria!C:C,0))</f>
        <v>RVLBU</v>
      </c>
      <c r="AP224" s="26">
        <f>Tabla_Consulta_desde_Reporte_de_Valorización_de_Instrumentos[[#This Row],[Huella]]/$AU$4</f>
        <v>9.3107488111538572E-2</v>
      </c>
      <c r="AQ224" s="26" t="str">
        <f>IFERROR(INDEX('BD(MSCI)'!W:W,MATCH(Tabla_Consulta_desde_Reporte_de_Valorización_de_Instrumentos[[#This Row],[CODIGO_ISIN]],'BD(MSCI)'!C:C,0)),IF(Tabla_Consulta_desde_Reporte_de_Valorización_de_Instrumentos[[#This Row],[Rank_rt]]="Cash","Cash","Cuestionario Integra"))</f>
        <v>Proxies</v>
      </c>
      <c r="AR224" s="26" t="str">
        <f>IFERROR(INDEX('BD(MSCI)'!X:X,MATCH(Tabla_Consulta_desde_Reporte_de_Valorización_de_Instrumentos[[#This Row],[CODIGO_ISIN]],'BD(MSCI)'!C:C,0)),"Cuestionario Integra")</f>
        <v>BU</v>
      </c>
      <c r="AU224" s="26"/>
    </row>
    <row r="225" spans="2:47" hidden="1" x14ac:dyDescent="0.25">
      <c r="B225" s="14" t="s">
        <v>6390</v>
      </c>
      <c r="C225" t="s">
        <v>547</v>
      </c>
      <c r="D225" t="s">
        <v>11</v>
      </c>
      <c r="E225" t="s">
        <v>548</v>
      </c>
      <c r="F225" t="s">
        <v>551</v>
      </c>
      <c r="G225" t="str">
        <f>INDEX(Parametria!H:H,MATCH(Tabla_Consulta_desde_Reporte_de_Valorización_de_Instrumentos[[#This Row],[CODIGO_SBS]],Parametria!C:C,0),1)</f>
        <v>Kandeo - II Private Equity</v>
      </c>
      <c r="H225" t="s">
        <v>552</v>
      </c>
      <c r="I225" t="s">
        <v>156</v>
      </c>
      <c r="J225" t="s">
        <v>540</v>
      </c>
      <c r="K225" t="s">
        <v>90</v>
      </c>
      <c r="L225">
        <v>100000</v>
      </c>
      <c r="M225" s="5">
        <v>1693591.24</v>
      </c>
      <c r="N225">
        <v>1693591.24</v>
      </c>
      <c r="O225">
        <v>146</v>
      </c>
      <c r="P225" s="15">
        <v>46033</v>
      </c>
      <c r="Q225">
        <v>11</v>
      </c>
      <c r="R225">
        <v>1</v>
      </c>
      <c r="S225" t="s">
        <v>428</v>
      </c>
      <c r="T225">
        <v>1693591.24</v>
      </c>
      <c r="U225" s="5">
        <v>1693591.24</v>
      </c>
      <c r="V225" t="s">
        <v>156</v>
      </c>
      <c r="W225">
        <v>0</v>
      </c>
      <c r="X225">
        <v>0</v>
      </c>
      <c r="Y225">
        <v>0</v>
      </c>
      <c r="Z225">
        <v>0</v>
      </c>
      <c r="AA225" t="str">
        <f>+MID(Tabla_Consulta_desde_Reporte_de_Valorización_de_Instrumentos[[#This Row],[CODIGO_SBS]],7,1)</f>
        <v>1</v>
      </c>
      <c r="AB225">
        <f>INDEX('Cálculo Caja'!F:F,MATCH(Tabla_Consulta_desde_Reporte_de_Valorización_de_Instrumentos[[#This Row],[PORTAFOLIO]],'Cálculo Caja'!A:A,0),1)</f>
        <v>3164069580.822104</v>
      </c>
      <c r="AC225" s="17">
        <f>Tabla_Consulta_desde_Reporte_de_Valorización_de_Instrumentos[[#This Row],[VALOR_VECTOR_LOCAL]]/Tabla_Consulta_desde_Reporte_de_Valorización_de_Instrumentos[[#This Row],[Patrimonio]]</f>
        <v>5.3525726812871251E-4</v>
      </c>
      <c r="AD225" s="4">
        <f>(Tabla_Consulta_desde_Reporte_de_Valorización_de_Instrumentos[[#This Row],[VALOR_VECTOR_LOCAL]]/INDEX('Tipo de Cambio'!$D:$D,MATCH("2",'Tipo de Cambio'!$E:$E,0),1))/1000000</f>
        <v>0.50391003600226125</v>
      </c>
      <c r="AE225">
        <f>IF(Tabla_Consulta_desde_Reporte_de_Valorización_de_Instrumentos[[#This Row],[PORTAFOLIO]]="IN-FONDO0",Tabla_Consulta_desde_Reporte_de_Valorización_de_Instrumentos[[#This Row],[Inv MM$]],0)</f>
        <v>0</v>
      </c>
      <c r="AF225" s="26">
        <f>IF(Tabla_Consulta_desde_Reporte_de_Valorización_de_Instrumentos[[#This Row],[PORTAFOLIO]]="IN-FONDO1",Tabla_Consulta_desde_Reporte_de_Valorización_de_Instrumentos[[#This Row],[Inv MM$]],0)</f>
        <v>0</v>
      </c>
      <c r="AG225" s="26">
        <f>IF(Tabla_Consulta_desde_Reporte_de_Valorización_de_Instrumentos[[#This Row],[PORTAFOLIO]]="IN-FONDO2",Tabla_Consulta_desde_Reporte_de_Valorización_de_Instrumentos[[#This Row],[Inv MM$]],0)</f>
        <v>0</v>
      </c>
      <c r="AH225" s="26">
        <f>IF(Tabla_Consulta_desde_Reporte_de_Valorización_de_Instrumentos[[#This Row],[PORTAFOLIO]]="IN-FONDO3",Tabla_Consulta_desde_Reporte_de_Valorización_de_Instrumentos[[#This Row],[Inv MM$]],0)</f>
        <v>0.50391003600226125</v>
      </c>
      <c r="AI22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2.5160987414085509</v>
      </c>
      <c r="AJ225" s="26">
        <f>IFERROR(IFERROR(INDEX('BD(MSCI)'!$T:$T,MATCH(Tabla_Consulta_desde_Reporte_de_Valorización_de_Instrumentos[[#This Row],[CODIGO_ISIN]],'BD(MSCI)'!$C:$C,0),1),INDEX('BD(MSCI)'!$T:$T,MATCH(Tabla_Consulta_desde_Reporte_de_Valorización_de_Instrumentos[[#This Row],[CODIGO_SBS]],'BD(MSCI)'!$C:$C,0),1)),0)</f>
        <v>31.33247536</v>
      </c>
      <c r="AK225" s="26">
        <f>Tabla_Consulta_desde_Reporte_de_Valorización_de_Instrumentos[[#This Row],[C02-H]]*Tabla_Consulta_desde_Reporte_de_Valorización_de_Instrumentos[[#This Row],[Inv MM$]]</f>
        <v>15.788748786697564</v>
      </c>
      <c r="AL225" s="26">
        <f>Tabla_Consulta_desde_Reporte_de_Valorización_de_Instrumentos[[#This Row],[C02-H]]*Tabla_Consulta_desde_Reporte_de_Valorización_de_Instrumentos[[#This Row],[Weight]]</f>
        <v>1.67709351649038E-2</v>
      </c>
      <c r="AM225" s="26" t="str">
        <f>INDEX(Parametria!G:G,MATCH(Tabla_Consulta_desde_Reporte_de_Valorización_de_Instrumentos[[#This Row],[CODIGO_SBS]],Parametria!C:C,0))</f>
        <v>51ALT</v>
      </c>
      <c r="AN225" s="26" t="str">
        <f>INDEX(Parametria!F:F,MATCH(Tabla_Consulta_desde_Reporte_de_Valorización_de_Instrumentos[[#This Row],[CODIGO_SBS]],Parametria!C:C,0))</f>
        <v>ALT</v>
      </c>
      <c r="AO225" s="26" t="str">
        <f>+INDEX(Parametria!J:J,MATCH(Tabla_Consulta_desde_Reporte_de_Valorización_de_Instrumentos[[#This Row],[CODIGO_SBS]],Parametria!C:C,0))</f>
        <v>ALT</v>
      </c>
      <c r="AP225" s="26">
        <f>Tabla_Consulta_desde_Reporte_de_Valorización_de_Instrumentos[[#This Row],[Huella]]/$AU$4</f>
        <v>1.4636924011319663E-3</v>
      </c>
      <c r="AQ225" s="26" t="str">
        <f>IFERROR(INDEX('BD(MSCI)'!W:W,MATCH(Tabla_Consulta_desde_Reporte_de_Valorización_de_Instrumentos[[#This Row],[CODIGO_ISIN]],'BD(MSCI)'!C:C,0)),IF(Tabla_Consulta_desde_Reporte_de_Valorización_de_Instrumentos[[#This Row],[Rank_rt]]="Cash","Cash","Cuestionario Integra"))</f>
        <v>Proxies</v>
      </c>
      <c r="AR225" s="26" t="str">
        <f>IFERROR(INDEX('BD(MSCI)'!X:X,MATCH(Tabla_Consulta_desde_Reporte_de_Valorización_de_Instrumentos[[#This Row],[CODIGO_ISIN]],'BD(MSCI)'!C:C,0)),"Cuestionario Integra")</f>
        <v>Alts</v>
      </c>
      <c r="AU225" s="26"/>
    </row>
    <row r="226" spans="2:47" hidden="1" x14ac:dyDescent="0.25">
      <c r="B226" s="14" t="s">
        <v>6390</v>
      </c>
      <c r="C226" t="s">
        <v>547</v>
      </c>
      <c r="D226" t="s">
        <v>11</v>
      </c>
      <c r="E226" t="s">
        <v>548</v>
      </c>
      <c r="F226" t="s">
        <v>549</v>
      </c>
      <c r="G226" t="str">
        <f>INDEX(Parametria!H:H,MATCH(Tabla_Consulta_desde_Reporte_de_Valorización_de_Instrumentos[[#This Row],[CODIGO_SBS]],Parametria!C:C,0),1)</f>
        <v>Macrocapitales - Fortaleza</v>
      </c>
      <c r="H226" t="s">
        <v>550</v>
      </c>
      <c r="I226" t="s">
        <v>156</v>
      </c>
      <c r="J226" t="s">
        <v>540</v>
      </c>
      <c r="K226" t="s">
        <v>50</v>
      </c>
      <c r="L226">
        <v>100000</v>
      </c>
      <c r="M226" s="5">
        <v>2027776.8330600001</v>
      </c>
      <c r="N226">
        <v>603343.4</v>
      </c>
      <c r="O226">
        <v>22</v>
      </c>
      <c r="P226" s="15">
        <v>46047</v>
      </c>
      <c r="Q226">
        <v>25</v>
      </c>
      <c r="R226">
        <v>3.3609</v>
      </c>
      <c r="S226" t="s">
        <v>428</v>
      </c>
      <c r="T226">
        <v>2028802.5168399999</v>
      </c>
      <c r="U226" s="5">
        <v>603343.4</v>
      </c>
      <c r="V226" t="s">
        <v>156</v>
      </c>
      <c r="W226">
        <v>0</v>
      </c>
      <c r="X226">
        <v>0</v>
      </c>
      <c r="Y226">
        <v>0</v>
      </c>
      <c r="Z226">
        <v>0</v>
      </c>
      <c r="AA226" t="str">
        <f>+MID(Tabla_Consulta_desde_Reporte_de_Valorización_de_Instrumentos[[#This Row],[CODIGO_SBS]],7,1)</f>
        <v>2</v>
      </c>
      <c r="AB226">
        <f>INDEX('Cálculo Caja'!F:F,MATCH(Tabla_Consulta_desde_Reporte_de_Valorización_de_Instrumentos[[#This Row],[PORTAFOLIO]],'Cálculo Caja'!A:A,0),1)</f>
        <v>3164069580.822104</v>
      </c>
      <c r="AC226" s="17">
        <f>Tabla_Consulta_desde_Reporte_de_Valorización_de_Instrumentos[[#This Row],[VALOR_VECTOR_LOCAL]]/Tabla_Consulta_desde_Reporte_de_Valorización_de_Instrumentos[[#This Row],[Patrimonio]]</f>
        <v>6.4087618216446848E-4</v>
      </c>
      <c r="AD226" s="4">
        <f>(Tabla_Consulta_desde_Reporte_de_Valorización_de_Instrumentos[[#This Row],[VALOR_VECTOR_LOCAL]]/INDEX('Tipo de Cambio'!$D:$D,MATCH("2",'Tipo de Cambio'!$E:$E,0),1))/1000000</f>
        <v>0.60334339999999997</v>
      </c>
      <c r="AE226">
        <f>IF(Tabla_Consulta_desde_Reporte_de_Valorización_de_Instrumentos[[#This Row],[PORTAFOLIO]]="IN-FONDO0",Tabla_Consulta_desde_Reporte_de_Valorización_de_Instrumentos[[#This Row],[Inv MM$]],0)</f>
        <v>0</v>
      </c>
      <c r="AF226" s="26">
        <f>IF(Tabla_Consulta_desde_Reporte_de_Valorización_de_Instrumentos[[#This Row],[PORTAFOLIO]]="IN-FONDO1",Tabla_Consulta_desde_Reporte_de_Valorización_de_Instrumentos[[#This Row],[Inv MM$]],0)</f>
        <v>0</v>
      </c>
      <c r="AG226" s="26">
        <f>IF(Tabla_Consulta_desde_Reporte_de_Valorización_de_Instrumentos[[#This Row],[PORTAFOLIO]]="IN-FONDO2",Tabla_Consulta_desde_Reporte_de_Valorización_de_Instrumentos[[#This Row],[Inv MM$]],0)</f>
        <v>0</v>
      </c>
      <c r="AH226" s="26">
        <f>IF(Tabla_Consulta_desde_Reporte_de_Valorización_de_Instrumentos[[#This Row],[PORTAFOLIO]]="IN-FONDO3",Tabla_Consulta_desde_Reporte_de_Valorización_de_Instrumentos[[#This Row],[Inv MM$]],0)</f>
        <v>0.60334339999999997</v>
      </c>
      <c r="AI22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4.0314309000000002</v>
      </c>
      <c r="AJ226" s="26">
        <f>IFERROR(IFERROR(INDEX('BD(MSCI)'!$T:$T,MATCH(Tabla_Consulta_desde_Reporte_de_Valorización_de_Instrumentos[[#This Row],[CODIGO_ISIN]],'BD(MSCI)'!$C:$C,0),1),INDEX('BD(MSCI)'!$T:$T,MATCH(Tabla_Consulta_desde_Reporte_de_Valorización_de_Instrumentos[[#This Row],[CODIGO_SBS]],'BD(MSCI)'!$C:$C,0),1)),0)</f>
        <v>31.33247536</v>
      </c>
      <c r="AK226" s="26">
        <f>Tabla_Consulta_desde_Reporte_de_Valorización_de_Instrumentos[[#This Row],[C02-H]]*Tabla_Consulta_desde_Reporte_de_Valorización_de_Instrumentos[[#This Row],[Inv MM$]]</f>
        <v>18.904242214118621</v>
      </c>
      <c r="AL226" s="26">
        <f>Tabla_Consulta_desde_Reporte_de_Valorización_de_Instrumentos[[#This Row],[C02-H]]*Tabla_Consulta_desde_Reporte_de_Valorización_de_Instrumentos[[#This Row],[Weight]]</f>
        <v>2.0080237186479079E-2</v>
      </c>
      <c r="AM226" s="26" t="str">
        <f>INDEX(Parametria!G:G,MATCH(Tabla_Consulta_desde_Reporte_de_Valorización_de_Instrumentos[[#This Row],[CODIGO_SBS]],Parametria!C:C,0))</f>
        <v>51ALT</v>
      </c>
      <c r="AN226" s="26" t="str">
        <f>INDEX(Parametria!F:F,MATCH(Tabla_Consulta_desde_Reporte_de_Valorización_de_Instrumentos[[#This Row],[CODIGO_SBS]],Parametria!C:C,0))</f>
        <v>ALT</v>
      </c>
      <c r="AO226" s="26" t="str">
        <f>+INDEX(Parametria!J:J,MATCH(Tabla_Consulta_desde_Reporte_de_Valorización_de_Instrumentos[[#This Row],[CODIGO_SBS]],Parametria!C:C,0))</f>
        <v>ALT</v>
      </c>
      <c r="AP226" s="26">
        <f>Tabla_Consulta_desde_Reporte_de_Valorización_de_Instrumentos[[#This Row],[Huella]]/$AU$4</f>
        <v>1.7525135178080903E-3</v>
      </c>
      <c r="AQ226" s="26" t="str">
        <f>IFERROR(INDEX('BD(MSCI)'!W:W,MATCH(Tabla_Consulta_desde_Reporte_de_Valorización_de_Instrumentos[[#This Row],[CODIGO_ISIN]],'BD(MSCI)'!C:C,0)),IF(Tabla_Consulta_desde_Reporte_de_Valorización_de_Instrumentos[[#This Row],[Rank_rt]]="Cash","Cash","Cuestionario Integra"))</f>
        <v>Proxies</v>
      </c>
      <c r="AR226" s="26" t="str">
        <f>IFERROR(INDEX('BD(MSCI)'!X:X,MATCH(Tabla_Consulta_desde_Reporte_de_Valorización_de_Instrumentos[[#This Row],[CODIGO_ISIN]],'BD(MSCI)'!C:C,0)),"Cuestionario Integra")</f>
        <v>Alts</v>
      </c>
      <c r="AU226" s="26"/>
    </row>
    <row r="227" spans="2:47" hidden="1" x14ac:dyDescent="0.25">
      <c r="B227" s="14" t="s">
        <v>6390</v>
      </c>
      <c r="C227" t="s">
        <v>547</v>
      </c>
      <c r="D227" t="s">
        <v>10</v>
      </c>
      <c r="E227" t="s">
        <v>548</v>
      </c>
      <c r="F227" t="s">
        <v>549</v>
      </c>
      <c r="G227" t="str">
        <f>INDEX(Parametria!H:H,MATCH(Tabla_Consulta_desde_Reporte_de_Valorización_de_Instrumentos[[#This Row],[CODIGO_SBS]],Parametria!C:C,0),1)</f>
        <v>Macrocapitales - Fortaleza</v>
      </c>
      <c r="H227" t="s">
        <v>550</v>
      </c>
      <c r="I227" t="s">
        <v>156</v>
      </c>
      <c r="J227" t="s">
        <v>540</v>
      </c>
      <c r="K227" t="s">
        <v>50</v>
      </c>
      <c r="L227">
        <v>100000</v>
      </c>
      <c r="M227" s="5">
        <v>11521459.278750001</v>
      </c>
      <c r="N227">
        <v>3428087.5</v>
      </c>
      <c r="O227">
        <v>125</v>
      </c>
      <c r="P227" s="15">
        <v>46047</v>
      </c>
      <c r="Q227">
        <v>25</v>
      </c>
      <c r="R227">
        <v>3.3609</v>
      </c>
      <c r="S227" t="s">
        <v>428</v>
      </c>
      <c r="T227">
        <v>11527287.0275</v>
      </c>
      <c r="U227" s="5">
        <v>3428087.5</v>
      </c>
      <c r="V227" t="s">
        <v>156</v>
      </c>
      <c r="W227">
        <v>0</v>
      </c>
      <c r="X227">
        <v>0</v>
      </c>
      <c r="Y227">
        <v>0</v>
      </c>
      <c r="Z227">
        <v>0</v>
      </c>
      <c r="AA227" t="str">
        <f>+MID(Tabla_Consulta_desde_Reporte_de_Valorización_de_Instrumentos[[#This Row],[CODIGO_SBS]],7,1)</f>
        <v>2</v>
      </c>
      <c r="AB227">
        <f>INDEX('Cálculo Caja'!F:F,MATCH(Tabla_Consulta_desde_Reporte_de_Valorización_de_Instrumentos[[#This Row],[PORTAFOLIO]],'Cálculo Caja'!A:A,0),1)</f>
        <v>26256910350.436607</v>
      </c>
      <c r="AC227" s="17">
        <f>Tabla_Consulta_desde_Reporte_de_Valorización_de_Instrumentos[[#This Row],[VALOR_VECTOR_LOCAL]]/Tabla_Consulta_desde_Reporte_de_Valorización_de_Instrumentos[[#This Row],[Patrimonio]]</f>
        <v>4.3879722042614272E-4</v>
      </c>
      <c r="AD227" s="4">
        <f>(Tabla_Consulta_desde_Reporte_de_Valorización_de_Instrumentos[[#This Row],[VALOR_VECTOR_LOCAL]]/INDEX('Tipo de Cambio'!$D:$D,MATCH("2",'Tipo de Cambio'!$E:$E,0),1))/1000000</f>
        <v>3.4280875000000002</v>
      </c>
      <c r="AE227">
        <f>IF(Tabla_Consulta_desde_Reporte_de_Valorización_de_Instrumentos[[#This Row],[PORTAFOLIO]]="IN-FONDO0",Tabla_Consulta_desde_Reporte_de_Valorización_de_Instrumentos[[#This Row],[Inv MM$]],0)</f>
        <v>0</v>
      </c>
      <c r="AF227" s="26">
        <f>IF(Tabla_Consulta_desde_Reporte_de_Valorización_de_Instrumentos[[#This Row],[PORTAFOLIO]]="IN-FONDO1",Tabla_Consulta_desde_Reporte_de_Valorización_de_Instrumentos[[#This Row],[Inv MM$]],0)</f>
        <v>0</v>
      </c>
      <c r="AG227" s="26">
        <f>IF(Tabla_Consulta_desde_Reporte_de_Valorización_de_Instrumentos[[#This Row],[PORTAFOLIO]]="IN-FONDO2",Tabla_Consulta_desde_Reporte_de_Valorización_de_Instrumentos[[#This Row],[Inv MM$]],0)</f>
        <v>3.4280875000000002</v>
      </c>
      <c r="AH227" s="26">
        <f>IF(Tabla_Consulta_desde_Reporte_de_Valorización_de_Instrumentos[[#This Row],[PORTAFOLIO]]="IN-FONDO3",Tabla_Consulta_desde_Reporte_de_Valorización_de_Instrumentos[[#This Row],[Inv MM$]],0)</f>
        <v>0</v>
      </c>
      <c r="AI22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4.0314309000000002</v>
      </c>
      <c r="AJ227" s="26">
        <f>IFERROR(IFERROR(INDEX('BD(MSCI)'!$T:$T,MATCH(Tabla_Consulta_desde_Reporte_de_Valorización_de_Instrumentos[[#This Row],[CODIGO_ISIN]],'BD(MSCI)'!$C:$C,0),1),INDEX('BD(MSCI)'!$T:$T,MATCH(Tabla_Consulta_desde_Reporte_de_Valorización_de_Instrumentos[[#This Row],[CODIGO_SBS]],'BD(MSCI)'!$C:$C,0),1)),0)</f>
        <v>31.33247536</v>
      </c>
      <c r="AK227" s="26">
        <f>Tabla_Consulta_desde_Reporte_de_Valorización_de_Instrumentos[[#This Row],[C02-H]]*Tabla_Consulta_desde_Reporte_de_Valorización_de_Instrumentos[[#This Row],[Inv MM$]]</f>
        <v>107.410467125674</v>
      </c>
      <c r="AL227" s="26">
        <f>Tabla_Consulta_desde_Reporte_de_Valorización_de_Instrumentos[[#This Row],[C02-H]]*Tabla_Consulta_desde_Reporte_de_Valorización_de_Instrumentos[[#This Row],[Weight]]</f>
        <v>1.3748603097038606E-2</v>
      </c>
      <c r="AM227" s="26" t="str">
        <f>INDEX(Parametria!G:G,MATCH(Tabla_Consulta_desde_Reporte_de_Valorización_de_Instrumentos[[#This Row],[CODIGO_SBS]],Parametria!C:C,0))</f>
        <v>51ALT</v>
      </c>
      <c r="AN227" s="26" t="str">
        <f>INDEX(Parametria!F:F,MATCH(Tabla_Consulta_desde_Reporte_de_Valorización_de_Instrumentos[[#This Row],[CODIGO_SBS]],Parametria!C:C,0))</f>
        <v>ALT</v>
      </c>
      <c r="AO227" s="26" t="str">
        <f>+INDEX(Parametria!J:J,MATCH(Tabla_Consulta_desde_Reporte_de_Valorización_de_Instrumentos[[#This Row],[CODIGO_SBS]],Parametria!C:C,0))</f>
        <v>ALT</v>
      </c>
      <c r="AP227" s="26">
        <f>Tabla_Consulta_desde_Reporte_de_Valorización_de_Instrumentos[[#This Row],[Huella]]/$AU$4</f>
        <v>9.9574631693641509E-3</v>
      </c>
      <c r="AQ227" s="26" t="str">
        <f>IFERROR(INDEX('BD(MSCI)'!W:W,MATCH(Tabla_Consulta_desde_Reporte_de_Valorización_de_Instrumentos[[#This Row],[CODIGO_ISIN]],'BD(MSCI)'!C:C,0)),IF(Tabla_Consulta_desde_Reporte_de_Valorización_de_Instrumentos[[#This Row],[Rank_rt]]="Cash","Cash","Cuestionario Integra"))</f>
        <v>Proxies</v>
      </c>
      <c r="AR227" s="26" t="str">
        <f>IFERROR(INDEX('BD(MSCI)'!X:X,MATCH(Tabla_Consulta_desde_Reporte_de_Valorización_de_Instrumentos[[#This Row],[CODIGO_ISIN]],'BD(MSCI)'!C:C,0)),"Cuestionario Integra")</f>
        <v>Alts</v>
      </c>
      <c r="AU227" s="26"/>
    </row>
    <row r="228" spans="2:47" hidden="1" x14ac:dyDescent="0.25">
      <c r="B228" s="14" t="s">
        <v>6390</v>
      </c>
      <c r="C228" t="s">
        <v>547</v>
      </c>
      <c r="D228" t="s">
        <v>10</v>
      </c>
      <c r="E228" t="s">
        <v>548</v>
      </c>
      <c r="F228" t="s">
        <v>551</v>
      </c>
      <c r="G228" t="str">
        <f>INDEX(Parametria!H:H,MATCH(Tabla_Consulta_desde_Reporte_de_Valorización_de_Instrumentos[[#This Row],[CODIGO_SBS]],Parametria!C:C,0),1)</f>
        <v>Kandeo - II Private Equity</v>
      </c>
      <c r="H228" t="s">
        <v>552</v>
      </c>
      <c r="I228" t="s">
        <v>156</v>
      </c>
      <c r="J228" t="s">
        <v>540</v>
      </c>
      <c r="K228" t="s">
        <v>90</v>
      </c>
      <c r="L228">
        <v>100000</v>
      </c>
      <c r="M228" s="5">
        <v>6762765.0199999996</v>
      </c>
      <c r="N228">
        <v>6762765.0199999996</v>
      </c>
      <c r="O228">
        <v>583</v>
      </c>
      <c r="P228" s="15">
        <v>46033</v>
      </c>
      <c r="Q228">
        <v>11</v>
      </c>
      <c r="R228">
        <v>1</v>
      </c>
      <c r="S228" t="s">
        <v>428</v>
      </c>
      <c r="T228">
        <v>6762765.0199999996</v>
      </c>
      <c r="U228" s="5">
        <v>6762765.0199999996</v>
      </c>
      <c r="V228" t="s">
        <v>156</v>
      </c>
      <c r="W228">
        <v>0</v>
      </c>
      <c r="X228">
        <v>0</v>
      </c>
      <c r="Y228">
        <v>0</v>
      </c>
      <c r="Z228">
        <v>0</v>
      </c>
      <c r="AA228" t="str">
        <f>+MID(Tabla_Consulta_desde_Reporte_de_Valorización_de_Instrumentos[[#This Row],[CODIGO_SBS]],7,1)</f>
        <v>1</v>
      </c>
      <c r="AB228">
        <f>INDEX('Cálculo Caja'!F:F,MATCH(Tabla_Consulta_desde_Reporte_de_Valorización_de_Instrumentos[[#This Row],[PORTAFOLIO]],'Cálculo Caja'!A:A,0),1)</f>
        <v>26256910350.436607</v>
      </c>
      <c r="AC228" s="17">
        <f>Tabla_Consulta_desde_Reporte_de_Valorización_de_Instrumentos[[#This Row],[VALOR_VECTOR_LOCAL]]/Tabla_Consulta_desde_Reporte_de_Valorización_de_Instrumentos[[#This Row],[Patrimonio]]</f>
        <v>2.5756134022400496E-4</v>
      </c>
      <c r="AD228" s="4">
        <f>(Tabla_Consulta_desde_Reporte_de_Valorización_de_Instrumentos[[#This Row],[VALOR_VECTOR_LOCAL]]/INDEX('Tipo de Cambio'!$D:$D,MATCH("2",'Tipo de Cambio'!$E:$E,0),1))/1000000</f>
        <v>2.0121887054062899</v>
      </c>
      <c r="AE228">
        <f>IF(Tabla_Consulta_desde_Reporte_de_Valorización_de_Instrumentos[[#This Row],[PORTAFOLIO]]="IN-FONDO0",Tabla_Consulta_desde_Reporte_de_Valorización_de_Instrumentos[[#This Row],[Inv MM$]],0)</f>
        <v>0</v>
      </c>
      <c r="AF228" s="26">
        <f>IF(Tabla_Consulta_desde_Reporte_de_Valorización_de_Instrumentos[[#This Row],[PORTAFOLIO]]="IN-FONDO1",Tabla_Consulta_desde_Reporte_de_Valorización_de_Instrumentos[[#This Row],[Inv MM$]],0)</f>
        <v>0</v>
      </c>
      <c r="AG228" s="26">
        <f>IF(Tabla_Consulta_desde_Reporte_de_Valorización_de_Instrumentos[[#This Row],[PORTAFOLIO]]="IN-FONDO2",Tabla_Consulta_desde_Reporte_de_Valorización_de_Instrumentos[[#This Row],[Inv MM$]],0)</f>
        <v>2.0121887054062899</v>
      </c>
      <c r="AH228" s="26">
        <f>IF(Tabla_Consulta_desde_Reporte_de_Valorización_de_Instrumentos[[#This Row],[PORTAFOLIO]]="IN-FONDO3",Tabla_Consulta_desde_Reporte_de_Valorización_de_Instrumentos[[#This Row],[Inv MM$]],0)</f>
        <v>0</v>
      </c>
      <c r="AI22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2.5160987414085509</v>
      </c>
      <c r="AJ228" s="26">
        <f>IFERROR(IFERROR(INDEX('BD(MSCI)'!$T:$T,MATCH(Tabla_Consulta_desde_Reporte_de_Valorización_de_Instrumentos[[#This Row],[CODIGO_ISIN]],'BD(MSCI)'!$C:$C,0),1),INDEX('BD(MSCI)'!$T:$T,MATCH(Tabla_Consulta_desde_Reporte_de_Valorización_de_Instrumentos[[#This Row],[CODIGO_SBS]],'BD(MSCI)'!$C:$C,0),1)),0)</f>
        <v>31.33247536</v>
      </c>
      <c r="AK228" s="26">
        <f>Tabla_Consulta_desde_Reporte_de_Valorización_de_Instrumentos[[#This Row],[C02-H]]*Tabla_Consulta_desde_Reporte_de_Valorización_de_Instrumentos[[#This Row],[Inv MM$]]</f>
        <v>63.04685303181288</v>
      </c>
      <c r="AL228" s="26">
        <f>Tabla_Consulta_desde_Reporte_de_Valorización_de_Instrumentos[[#This Row],[C02-H]]*Tabla_Consulta_desde_Reporte_de_Valorización_de_Instrumentos[[#This Row],[Weight]]</f>
        <v>8.0700343462572124E-3</v>
      </c>
      <c r="AM228" s="26" t="str">
        <f>INDEX(Parametria!G:G,MATCH(Tabla_Consulta_desde_Reporte_de_Valorización_de_Instrumentos[[#This Row],[CODIGO_SBS]],Parametria!C:C,0))</f>
        <v>51ALT</v>
      </c>
      <c r="AN228" s="26" t="str">
        <f>INDEX(Parametria!F:F,MATCH(Tabla_Consulta_desde_Reporte_de_Valorización_de_Instrumentos[[#This Row],[CODIGO_SBS]],Parametria!C:C,0))</f>
        <v>ALT</v>
      </c>
      <c r="AO228" s="26" t="str">
        <f>+INDEX(Parametria!J:J,MATCH(Tabla_Consulta_desde_Reporte_de_Valorización_de_Instrumentos[[#This Row],[CODIGO_SBS]],Parametria!C:C,0))</f>
        <v>ALT</v>
      </c>
      <c r="AP228" s="26">
        <f>Tabla_Consulta_desde_Reporte_de_Valorización_de_Instrumentos[[#This Row],[Huella]]/$AU$4</f>
        <v>5.8447443141091543E-3</v>
      </c>
      <c r="AQ228" s="26" t="str">
        <f>IFERROR(INDEX('BD(MSCI)'!W:W,MATCH(Tabla_Consulta_desde_Reporte_de_Valorización_de_Instrumentos[[#This Row],[CODIGO_ISIN]],'BD(MSCI)'!C:C,0)),IF(Tabla_Consulta_desde_Reporte_de_Valorización_de_Instrumentos[[#This Row],[Rank_rt]]="Cash","Cash","Cuestionario Integra"))</f>
        <v>Proxies</v>
      </c>
      <c r="AR228" s="26" t="str">
        <f>IFERROR(INDEX('BD(MSCI)'!X:X,MATCH(Tabla_Consulta_desde_Reporte_de_Valorización_de_Instrumentos[[#This Row],[CODIGO_ISIN]],'BD(MSCI)'!C:C,0)),"Cuestionario Integra")</f>
        <v>Alts</v>
      </c>
      <c r="AU228" s="26"/>
    </row>
    <row r="229" spans="2:47" hidden="1" x14ac:dyDescent="0.25">
      <c r="B229" s="14" t="s">
        <v>6390</v>
      </c>
      <c r="C229" t="s">
        <v>547</v>
      </c>
      <c r="D229" t="s">
        <v>10</v>
      </c>
      <c r="E229" t="s">
        <v>548</v>
      </c>
      <c r="F229" t="s">
        <v>553</v>
      </c>
      <c r="G229" t="str">
        <f>INDEX(Parametria!H:H,MATCH(Tabla_Consulta_desde_Reporte_de_Valorización_de_Instrumentos[[#This Row],[CODIGO_SBS]],Parametria!C:C,0),1)</f>
        <v>W Capital - Fondo Inmobiliario</v>
      </c>
      <c r="H229" t="s">
        <v>554</v>
      </c>
      <c r="I229" t="s">
        <v>156</v>
      </c>
      <c r="J229" t="s">
        <v>555</v>
      </c>
      <c r="K229" t="s">
        <v>90</v>
      </c>
      <c r="L229">
        <v>1</v>
      </c>
      <c r="M229" s="5">
        <v>3888132.1042960002</v>
      </c>
      <c r="N229">
        <v>3888132.1042960002</v>
      </c>
      <c r="O229">
        <v>6531646</v>
      </c>
      <c r="P229" s="15">
        <v>46053</v>
      </c>
      <c r="Q229">
        <v>31</v>
      </c>
      <c r="R229">
        <v>1</v>
      </c>
      <c r="S229" t="s">
        <v>428</v>
      </c>
      <c r="T229">
        <v>3888132.1042960002</v>
      </c>
      <c r="U229" s="5">
        <v>3888132.1042960002</v>
      </c>
      <c r="V229" t="s">
        <v>156</v>
      </c>
      <c r="W229">
        <v>0</v>
      </c>
      <c r="X229">
        <v>0</v>
      </c>
      <c r="Y229">
        <v>0</v>
      </c>
      <c r="Z229">
        <v>0</v>
      </c>
      <c r="AA229" t="str">
        <f>+MID(Tabla_Consulta_desde_Reporte_de_Valorización_de_Instrumentos[[#This Row],[CODIGO_SBS]],7,1)</f>
        <v>1</v>
      </c>
      <c r="AB229">
        <f>INDEX('Cálculo Caja'!F:F,MATCH(Tabla_Consulta_desde_Reporte_de_Valorización_de_Instrumentos[[#This Row],[PORTAFOLIO]],'Cálculo Caja'!A:A,0),1)</f>
        <v>26256910350.436607</v>
      </c>
      <c r="AC229" s="17">
        <f>Tabla_Consulta_desde_Reporte_de_Valorización_de_Instrumentos[[#This Row],[VALOR_VECTOR_LOCAL]]/Tabla_Consulta_desde_Reporte_de_Valorización_de_Instrumentos[[#This Row],[Patrimonio]]</f>
        <v>1.4808033589646419E-4</v>
      </c>
      <c r="AD229" s="4">
        <f>(Tabla_Consulta_desde_Reporte_de_Valorización_de_Instrumentos[[#This Row],[VALOR_VECTOR_LOCAL]]/INDEX('Tipo de Cambio'!$D:$D,MATCH("2",'Tipo de Cambio'!$E:$E,0),1))/1000000</f>
        <v>1.1568722973893897</v>
      </c>
      <c r="AE229">
        <f>IF(Tabla_Consulta_desde_Reporte_de_Valorización_de_Instrumentos[[#This Row],[PORTAFOLIO]]="IN-FONDO0",Tabla_Consulta_desde_Reporte_de_Valorización_de_Instrumentos[[#This Row],[Inv MM$]],0)</f>
        <v>0</v>
      </c>
      <c r="AF229" s="26">
        <f>IF(Tabla_Consulta_desde_Reporte_de_Valorización_de_Instrumentos[[#This Row],[PORTAFOLIO]]="IN-FONDO1",Tabla_Consulta_desde_Reporte_de_Valorización_de_Instrumentos[[#This Row],[Inv MM$]],0)</f>
        <v>0</v>
      </c>
      <c r="AG229" s="26">
        <f>IF(Tabla_Consulta_desde_Reporte_de_Valorización_de_Instrumentos[[#This Row],[PORTAFOLIO]]="IN-FONDO2",Tabla_Consulta_desde_Reporte_de_Valorización_de_Instrumentos[[#This Row],[Inv MM$]],0)</f>
        <v>1.1568722973893897</v>
      </c>
      <c r="AH229" s="26">
        <f>IF(Tabla_Consulta_desde_Reporte_de_Valorización_de_Instrumentos[[#This Row],[PORTAFOLIO]]="IN-FONDO3",Tabla_Consulta_desde_Reporte_de_Valorización_de_Instrumentos[[#This Row],[Inv MM$]],0)</f>
        <v>0</v>
      </c>
      <c r="AI22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1.4460902831777203</v>
      </c>
      <c r="AJ229" s="26">
        <f>IFERROR(IFERROR(INDEX('BD(MSCI)'!$T:$T,MATCH(Tabla_Consulta_desde_Reporte_de_Valorización_de_Instrumentos[[#This Row],[CODIGO_ISIN]],'BD(MSCI)'!$C:$C,0),1),INDEX('BD(MSCI)'!$T:$T,MATCH(Tabla_Consulta_desde_Reporte_de_Valorización_de_Instrumentos[[#This Row],[CODIGO_SBS]],'BD(MSCI)'!$C:$C,0),1)),0)</f>
        <v>31.33247536</v>
      </c>
      <c r="AK229" s="26">
        <f>Tabla_Consulta_desde_Reporte_de_Valorización_de_Instrumentos[[#This Row],[C02-H]]*Tabla_Consulta_desde_Reporte_de_Valorización_de_Instrumentos[[#This Row],[Inv MM$]]</f>
        <v>36.247672752619643</v>
      </c>
      <c r="AL229" s="26">
        <f>Tabla_Consulta_desde_Reporte_de_Valorización_de_Instrumentos[[#This Row],[C02-H]]*Tabla_Consulta_desde_Reporte_de_Valorización_de_Instrumentos[[#This Row],[Weight]]</f>
        <v>4.6397234757764878E-3</v>
      </c>
      <c r="AM229" s="26" t="str">
        <f>INDEX(Parametria!G:G,MATCH(Tabla_Consulta_desde_Reporte_de_Valorización_de_Instrumentos[[#This Row],[CODIGO_SBS]],Parametria!C:C,0))</f>
        <v>51ALT</v>
      </c>
      <c r="AN229" s="26" t="str">
        <f>INDEX(Parametria!F:F,MATCH(Tabla_Consulta_desde_Reporte_de_Valorización_de_Instrumentos[[#This Row],[CODIGO_SBS]],Parametria!C:C,0))</f>
        <v>ALT</v>
      </c>
      <c r="AO229" s="26" t="str">
        <f>+INDEX(Parametria!J:J,MATCH(Tabla_Consulta_desde_Reporte_de_Valorización_de_Instrumentos[[#This Row],[CODIGO_SBS]],Parametria!C:C,0))</f>
        <v>ALT</v>
      </c>
      <c r="AP229" s="26">
        <f>Tabla_Consulta_desde_Reporte_de_Valorización_de_Instrumentos[[#This Row],[Huella]]/$AU$4</f>
        <v>3.3603323406746584E-3</v>
      </c>
      <c r="AQ229" s="26" t="str">
        <f>IFERROR(INDEX('BD(MSCI)'!W:W,MATCH(Tabla_Consulta_desde_Reporte_de_Valorización_de_Instrumentos[[#This Row],[CODIGO_ISIN]],'BD(MSCI)'!C:C,0)),IF(Tabla_Consulta_desde_Reporte_de_Valorización_de_Instrumentos[[#This Row],[Rank_rt]]="Cash","Cash","Cuestionario Integra"))</f>
        <v>Proxies</v>
      </c>
      <c r="AR229" s="26" t="str">
        <f>IFERROR(INDEX('BD(MSCI)'!X:X,MATCH(Tabla_Consulta_desde_Reporte_de_Valorización_de_Instrumentos[[#This Row],[CODIGO_ISIN]],'BD(MSCI)'!C:C,0)),"Cuestionario Integra")</f>
        <v>Alts</v>
      </c>
      <c r="AU229" s="26"/>
    </row>
    <row r="230" spans="2:47" hidden="1" x14ac:dyDescent="0.25">
      <c r="B230" s="14" t="s">
        <v>6390</v>
      </c>
      <c r="C230" t="s">
        <v>547</v>
      </c>
      <c r="D230" t="s">
        <v>11</v>
      </c>
      <c r="E230" t="s">
        <v>548</v>
      </c>
      <c r="F230" t="s">
        <v>553</v>
      </c>
      <c r="G230" t="str">
        <f>INDEX(Parametria!H:H,MATCH(Tabla_Consulta_desde_Reporte_de_Valorización_de_Instrumentos[[#This Row],[CODIGO_SBS]],Parametria!C:C,0),1)</f>
        <v>W Capital - Fondo Inmobiliario</v>
      </c>
      <c r="H230" t="s">
        <v>554</v>
      </c>
      <c r="I230" t="s">
        <v>156</v>
      </c>
      <c r="J230" t="s">
        <v>555</v>
      </c>
      <c r="K230" t="s">
        <v>90</v>
      </c>
      <c r="L230">
        <v>1</v>
      </c>
      <c r="M230" s="5">
        <v>972032.72843599995</v>
      </c>
      <c r="N230">
        <v>972032.72843599995</v>
      </c>
      <c r="O230">
        <v>1632911</v>
      </c>
      <c r="P230" s="15">
        <v>46053</v>
      </c>
      <c r="Q230">
        <v>31</v>
      </c>
      <c r="R230">
        <v>1</v>
      </c>
      <c r="S230" t="s">
        <v>428</v>
      </c>
      <c r="T230">
        <v>972032.72843599995</v>
      </c>
      <c r="U230" s="5">
        <v>972032.72843599995</v>
      </c>
      <c r="V230" t="s">
        <v>156</v>
      </c>
      <c r="W230">
        <v>0</v>
      </c>
      <c r="X230">
        <v>0</v>
      </c>
      <c r="Y230">
        <v>0</v>
      </c>
      <c r="Z230">
        <v>0</v>
      </c>
      <c r="AA230" t="str">
        <f>+MID(Tabla_Consulta_desde_Reporte_de_Valorización_de_Instrumentos[[#This Row],[CODIGO_SBS]],7,1)</f>
        <v>1</v>
      </c>
      <c r="AB230">
        <f>INDEX('Cálculo Caja'!F:F,MATCH(Tabla_Consulta_desde_Reporte_de_Valorización_de_Instrumentos[[#This Row],[PORTAFOLIO]],'Cálculo Caja'!A:A,0),1)</f>
        <v>3164069580.822104</v>
      </c>
      <c r="AC230" s="17">
        <f>Tabla_Consulta_desde_Reporte_de_Valorización_de_Instrumentos[[#This Row],[VALOR_VECTOR_LOCAL]]/Tabla_Consulta_desde_Reporte_de_Valorización_de_Instrumentos[[#This Row],[Patrimonio]]</f>
        <v>3.0720965630074473E-4</v>
      </c>
      <c r="AD230" s="4">
        <f>(Tabla_Consulta_desde_Reporte_de_Valorización_de_Instrumentos[[#This Row],[VALOR_VECTOR_LOCAL]]/INDEX('Tipo de Cambio'!$D:$D,MATCH("2",'Tipo de Cambio'!$E:$E,0),1))/1000000</f>
        <v>0.28921798578833047</v>
      </c>
      <c r="AE230">
        <f>IF(Tabla_Consulta_desde_Reporte_de_Valorización_de_Instrumentos[[#This Row],[PORTAFOLIO]]="IN-FONDO0",Tabla_Consulta_desde_Reporte_de_Valorización_de_Instrumentos[[#This Row],[Inv MM$]],0)</f>
        <v>0</v>
      </c>
      <c r="AF230" s="26">
        <f>IF(Tabla_Consulta_desde_Reporte_de_Valorización_de_Instrumentos[[#This Row],[PORTAFOLIO]]="IN-FONDO1",Tabla_Consulta_desde_Reporte_de_Valorización_de_Instrumentos[[#This Row],[Inv MM$]],0)</f>
        <v>0</v>
      </c>
      <c r="AG230" s="26">
        <f>IF(Tabla_Consulta_desde_Reporte_de_Valorización_de_Instrumentos[[#This Row],[PORTAFOLIO]]="IN-FONDO2",Tabla_Consulta_desde_Reporte_de_Valorización_de_Instrumentos[[#This Row],[Inv MM$]],0)</f>
        <v>0</v>
      </c>
      <c r="AH230" s="26">
        <f>IF(Tabla_Consulta_desde_Reporte_de_Valorización_de_Instrumentos[[#This Row],[PORTAFOLIO]]="IN-FONDO3",Tabla_Consulta_desde_Reporte_de_Valorización_de_Instrumentos[[#This Row],[Inv MM$]],0)</f>
        <v>0.28921798578833047</v>
      </c>
      <c r="AI23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1.4460902831777203</v>
      </c>
      <c r="AJ230" s="26">
        <f>IFERROR(IFERROR(INDEX('BD(MSCI)'!$T:$T,MATCH(Tabla_Consulta_desde_Reporte_de_Valorización_de_Instrumentos[[#This Row],[CODIGO_ISIN]],'BD(MSCI)'!$C:$C,0),1),INDEX('BD(MSCI)'!$T:$T,MATCH(Tabla_Consulta_desde_Reporte_de_Valorización_de_Instrumentos[[#This Row],[CODIGO_SBS]],'BD(MSCI)'!$C:$C,0),1)),0)</f>
        <v>31.33247536</v>
      </c>
      <c r="AK230" s="26">
        <f>Tabla_Consulta_desde_Reporte_de_Valorización_de_Instrumentos[[#This Row],[C02-H]]*Tabla_Consulta_desde_Reporte_de_Valorización_de_Instrumentos[[#This Row],[Inv MM$]]</f>
        <v>9.0619154133816942</v>
      </c>
      <c r="AL230" s="26">
        <f>Tabla_Consulta_desde_Reporte_de_Valorización_de_Instrumentos[[#This Row],[C02-H]]*Tabla_Consulta_desde_Reporte_de_Valorización_de_Instrumentos[[#This Row],[Weight]]</f>
        <v>9.6256389863971538E-3</v>
      </c>
      <c r="AM230" s="26" t="str">
        <f>INDEX(Parametria!G:G,MATCH(Tabla_Consulta_desde_Reporte_de_Valorización_de_Instrumentos[[#This Row],[CODIGO_SBS]],Parametria!C:C,0))</f>
        <v>51ALT</v>
      </c>
      <c r="AN230" s="26" t="str">
        <f>INDEX(Parametria!F:F,MATCH(Tabla_Consulta_desde_Reporte_de_Valorización_de_Instrumentos[[#This Row],[CODIGO_SBS]],Parametria!C:C,0))</f>
        <v>ALT</v>
      </c>
      <c r="AO230" s="26" t="str">
        <f>+INDEX(Parametria!J:J,MATCH(Tabla_Consulta_desde_Reporte_de_Valorización_de_Instrumentos[[#This Row],[CODIGO_SBS]],Parametria!C:C,0))</f>
        <v>ALT</v>
      </c>
      <c r="AP230" s="26">
        <f>Tabla_Consulta_desde_Reporte_de_Valorización_de_Instrumentos[[#This Row],[Huella]]/$AU$4</f>
        <v>8.4008282793393834E-4</v>
      </c>
      <c r="AQ230" s="26" t="str">
        <f>IFERROR(INDEX('BD(MSCI)'!W:W,MATCH(Tabla_Consulta_desde_Reporte_de_Valorización_de_Instrumentos[[#This Row],[CODIGO_ISIN]],'BD(MSCI)'!C:C,0)),IF(Tabla_Consulta_desde_Reporte_de_Valorización_de_Instrumentos[[#This Row],[Rank_rt]]="Cash","Cash","Cuestionario Integra"))</f>
        <v>Proxies</v>
      </c>
      <c r="AR230" s="26" t="str">
        <f>IFERROR(INDEX('BD(MSCI)'!X:X,MATCH(Tabla_Consulta_desde_Reporte_de_Valorización_de_Instrumentos[[#This Row],[CODIGO_ISIN]],'BD(MSCI)'!C:C,0)),"Cuestionario Integra")</f>
        <v>Alts</v>
      </c>
      <c r="AU230" s="26"/>
    </row>
    <row r="231" spans="2:47" hidden="1" x14ac:dyDescent="0.25">
      <c r="B231" s="14" t="s">
        <v>6390</v>
      </c>
      <c r="C231" t="s">
        <v>547</v>
      </c>
      <c r="D231" t="s">
        <v>10</v>
      </c>
      <c r="E231" t="s">
        <v>548</v>
      </c>
      <c r="F231" t="s">
        <v>556</v>
      </c>
      <c r="G231" t="str">
        <f>INDEX(Parametria!H:H,MATCH(Tabla_Consulta_desde_Reporte_de_Valorización_de_Instrumentos[[#This Row],[CODIGO_SBS]],Parametria!C:C,0),1)</f>
        <v>Sura Credicorp Infraestructura</v>
      </c>
      <c r="H231" t="s">
        <v>557</v>
      </c>
      <c r="I231" t="s">
        <v>156</v>
      </c>
      <c r="J231" t="s">
        <v>558</v>
      </c>
      <c r="K231" t="s">
        <v>50</v>
      </c>
      <c r="L231">
        <v>10000</v>
      </c>
      <c r="M231" s="5">
        <v>55948808.842243701</v>
      </c>
      <c r="N231">
        <v>16646972.192639999</v>
      </c>
      <c r="O231">
        <v>1800</v>
      </c>
      <c r="P231" s="15">
        <v>48188</v>
      </c>
      <c r="Q231">
        <v>2166</v>
      </c>
      <c r="R231">
        <v>3.3609</v>
      </c>
      <c r="S231" t="s">
        <v>428</v>
      </c>
      <c r="T231">
        <v>55977108.694971196</v>
      </c>
      <c r="U231" s="5">
        <v>16646972.192639999</v>
      </c>
      <c r="V231" t="s">
        <v>156</v>
      </c>
      <c r="W231">
        <v>0</v>
      </c>
      <c r="X231">
        <v>0</v>
      </c>
      <c r="Y231">
        <v>0</v>
      </c>
      <c r="Z231">
        <v>0</v>
      </c>
      <c r="AA231" t="str">
        <f>+MID(Tabla_Consulta_desde_Reporte_de_Valorización_de_Instrumentos[[#This Row],[CODIGO_SBS]],7,1)</f>
        <v>2</v>
      </c>
      <c r="AB231">
        <f>INDEX('Cálculo Caja'!F:F,MATCH(Tabla_Consulta_desde_Reporte_de_Valorización_de_Instrumentos[[#This Row],[PORTAFOLIO]],'Cálculo Caja'!A:A,0),1)</f>
        <v>26256910350.436607</v>
      </c>
      <c r="AC231" s="17">
        <f>Tabla_Consulta_desde_Reporte_de_Valorización_de_Instrumentos[[#This Row],[VALOR_VECTOR_LOCAL]]/Tabla_Consulta_desde_Reporte_de_Valorización_de_Instrumentos[[#This Row],[Patrimonio]]</f>
        <v>2.1308222519529365E-3</v>
      </c>
      <c r="AD231" s="4">
        <f>(Tabla_Consulta_desde_Reporte_de_Valorización_de_Instrumentos[[#This Row],[VALOR_VECTOR_LOCAL]]/INDEX('Tipo de Cambio'!$D:$D,MATCH("2",'Tipo de Cambio'!$E:$E,0),1))/1000000</f>
        <v>16.646972192639979</v>
      </c>
      <c r="AE231">
        <f>IF(Tabla_Consulta_desde_Reporte_de_Valorización_de_Instrumentos[[#This Row],[PORTAFOLIO]]="IN-FONDO0",Tabla_Consulta_desde_Reporte_de_Valorización_de_Instrumentos[[#This Row],[Inv MM$]],0)</f>
        <v>0</v>
      </c>
      <c r="AF231" s="26">
        <f>IF(Tabla_Consulta_desde_Reporte_de_Valorización_de_Instrumentos[[#This Row],[PORTAFOLIO]]="IN-FONDO1",Tabla_Consulta_desde_Reporte_de_Valorización_de_Instrumentos[[#This Row],[Inv MM$]],0)</f>
        <v>0</v>
      </c>
      <c r="AG231" s="26">
        <f>IF(Tabla_Consulta_desde_Reporte_de_Valorización_de_Instrumentos[[#This Row],[PORTAFOLIO]]="IN-FONDO2",Tabla_Consulta_desde_Reporte_de_Valorización_de_Instrumentos[[#This Row],[Inv MM$]],0)</f>
        <v>16.646972192639979</v>
      </c>
      <c r="AH231" s="26">
        <f>IF(Tabla_Consulta_desde_Reporte_de_Valorización_de_Instrumentos[[#This Row],[PORTAFOLIO]]="IN-FONDO3",Tabla_Consulta_desde_Reporte_de_Valorización_de_Instrumentos[[#This Row],[Inv MM$]],0)</f>
        <v>0</v>
      </c>
      <c r="AI23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16.646972192639979</v>
      </c>
      <c r="AJ231" s="26">
        <f>IFERROR(IFERROR(INDEX('BD(MSCI)'!$T:$T,MATCH(Tabla_Consulta_desde_Reporte_de_Valorización_de_Instrumentos[[#This Row],[CODIGO_ISIN]],'BD(MSCI)'!$C:$C,0),1),INDEX('BD(MSCI)'!$T:$T,MATCH(Tabla_Consulta_desde_Reporte_de_Valorización_de_Instrumentos[[#This Row],[CODIGO_SBS]],'BD(MSCI)'!$C:$C,0),1)),0)</f>
        <v>31.33247536</v>
      </c>
      <c r="AK231" s="26">
        <f>Tabla_Consulta_desde_Reporte_de_Valorización_de_Instrumentos[[#This Row],[C02-H]]*Tabla_Consulta_desde_Reporte_de_Valorización_de_Instrumentos[[#This Row],[Inv MM$]]</f>
        <v>521.59084604449731</v>
      </c>
      <c r="AL231" s="26">
        <f>Tabla_Consulta_desde_Reporte_de_Valorización_de_Instrumentos[[#This Row],[C02-H]]*Tabla_Consulta_desde_Reporte_de_Valorización_de_Instrumentos[[#This Row],[Weight]]</f>
        <v>6.6763935705855093E-2</v>
      </c>
      <c r="AM231" s="26" t="str">
        <f>INDEX(Parametria!G:G,MATCH(Tabla_Consulta_desde_Reporte_de_Valorización_de_Instrumentos[[#This Row],[CODIGO_SBS]],Parametria!C:C,0))</f>
        <v>51ALT</v>
      </c>
      <c r="AN231" s="26" t="str">
        <f>INDEX(Parametria!F:F,MATCH(Tabla_Consulta_desde_Reporte_de_Valorización_de_Instrumentos[[#This Row],[CODIGO_SBS]],Parametria!C:C,0))</f>
        <v>ALT</v>
      </c>
      <c r="AO231" s="26" t="str">
        <f>+INDEX(Parametria!J:J,MATCH(Tabla_Consulta_desde_Reporte_de_Valorización_de_Instrumentos[[#This Row],[CODIGO_SBS]],Parametria!C:C,0))</f>
        <v>ALT</v>
      </c>
      <c r="AP231" s="26">
        <f>Tabla_Consulta_desde_Reporte_de_Valorización_de_Instrumentos[[#This Row],[Huella]]/$AU$4</f>
        <v>4.8353961936398002E-2</v>
      </c>
      <c r="AQ231" s="26" t="str">
        <f>IFERROR(INDEX('BD(MSCI)'!W:W,MATCH(Tabla_Consulta_desde_Reporte_de_Valorización_de_Instrumentos[[#This Row],[CODIGO_ISIN]],'BD(MSCI)'!C:C,0)),IF(Tabla_Consulta_desde_Reporte_de_Valorización_de_Instrumentos[[#This Row],[Rank_rt]]="Cash","Cash","Cuestionario Integra"))</f>
        <v>Proxies</v>
      </c>
      <c r="AR231" s="26" t="str">
        <f>IFERROR(INDEX('BD(MSCI)'!X:X,MATCH(Tabla_Consulta_desde_Reporte_de_Valorización_de_Instrumentos[[#This Row],[CODIGO_ISIN]],'BD(MSCI)'!C:C,0)),"Cuestionario Integra")</f>
        <v>Alts</v>
      </c>
      <c r="AU231" s="26"/>
    </row>
    <row r="232" spans="2:47" hidden="1" x14ac:dyDescent="0.25">
      <c r="B232" s="14" t="s">
        <v>6390</v>
      </c>
      <c r="C232" t="s">
        <v>547</v>
      </c>
      <c r="D232" t="s">
        <v>10</v>
      </c>
      <c r="E232" t="s">
        <v>548</v>
      </c>
      <c r="F232" t="s">
        <v>562</v>
      </c>
      <c r="G232" t="str">
        <f>INDEX(Parametria!H:H,MATCH(Tabla_Consulta_desde_Reporte_de_Valorización_de_Instrumentos[[#This Row],[CODIGO_SBS]],Parametria!C:C,0),1)</f>
        <v>AC Capitales - Inmobiliario II</v>
      </c>
      <c r="H232" t="s">
        <v>563</v>
      </c>
      <c r="I232" t="s">
        <v>156</v>
      </c>
      <c r="J232" t="s">
        <v>561</v>
      </c>
      <c r="K232" t="s">
        <v>50</v>
      </c>
      <c r="L232">
        <v>1</v>
      </c>
      <c r="M232" s="5">
        <v>18733193.118110299</v>
      </c>
      <c r="N232">
        <v>5573862.0959000001</v>
      </c>
      <c r="O232">
        <v>12746083</v>
      </c>
      <c r="P232" s="15">
        <v>46142</v>
      </c>
      <c r="Q232">
        <v>120</v>
      </c>
      <c r="R232">
        <v>3.3609</v>
      </c>
      <c r="S232" t="s">
        <v>428</v>
      </c>
      <c r="T232">
        <v>18742668.6836733</v>
      </c>
      <c r="U232" s="5">
        <v>5573862.0959000001</v>
      </c>
      <c r="V232" t="s">
        <v>156</v>
      </c>
      <c r="W232">
        <v>0</v>
      </c>
      <c r="X232">
        <v>0</v>
      </c>
      <c r="Y232">
        <v>0</v>
      </c>
      <c r="Z232">
        <v>0</v>
      </c>
      <c r="AA232" t="str">
        <f>+MID(Tabla_Consulta_desde_Reporte_de_Valorización_de_Instrumentos[[#This Row],[CODIGO_SBS]],7,1)</f>
        <v>2</v>
      </c>
      <c r="AB232">
        <f>INDEX('Cálculo Caja'!F:F,MATCH(Tabla_Consulta_desde_Reporte_de_Valorización_de_Instrumentos[[#This Row],[PORTAFOLIO]],'Cálculo Caja'!A:A,0),1)</f>
        <v>26256910350.436607</v>
      </c>
      <c r="AC232" s="17">
        <f>Tabla_Consulta_desde_Reporte_de_Valorización_de_Instrumentos[[#This Row],[VALOR_VECTOR_LOCAL]]/Tabla_Consulta_desde_Reporte_de_Valorización_de_Instrumentos[[#This Row],[Patrimonio]]</f>
        <v>7.1345763336541222E-4</v>
      </c>
      <c r="AD232" s="4">
        <f>(Tabla_Consulta_desde_Reporte_de_Valorización_de_Instrumentos[[#This Row],[VALOR_VECTOR_LOCAL]]/INDEX('Tipo de Cambio'!$D:$D,MATCH("2",'Tipo de Cambio'!$E:$E,0),1))/1000000</f>
        <v>5.5738620958999965</v>
      </c>
      <c r="AE232">
        <f>IF(Tabla_Consulta_desde_Reporte_de_Valorización_de_Instrumentos[[#This Row],[PORTAFOLIO]]="IN-FONDO0",Tabla_Consulta_desde_Reporte_de_Valorización_de_Instrumentos[[#This Row],[Inv MM$]],0)</f>
        <v>0</v>
      </c>
      <c r="AF232" s="26">
        <f>IF(Tabla_Consulta_desde_Reporte_de_Valorización_de_Instrumentos[[#This Row],[PORTAFOLIO]]="IN-FONDO1",Tabla_Consulta_desde_Reporte_de_Valorización_de_Instrumentos[[#This Row],[Inv MM$]],0)</f>
        <v>0</v>
      </c>
      <c r="AG232" s="26">
        <f>IF(Tabla_Consulta_desde_Reporte_de_Valorización_de_Instrumentos[[#This Row],[PORTAFOLIO]]="IN-FONDO2",Tabla_Consulta_desde_Reporte_de_Valorización_de_Instrumentos[[#This Row],[Inv MM$]],0)</f>
        <v>5.5738620958999965</v>
      </c>
      <c r="AH232" s="26">
        <f>IF(Tabla_Consulta_desde_Reporte_de_Valorización_de_Instrumentos[[#This Row],[PORTAFOLIO]]="IN-FONDO3",Tabla_Consulta_desde_Reporte_de_Valorización_de_Instrumentos[[#This Row],[Inv MM$]],0)</f>
        <v>0</v>
      </c>
      <c r="AI23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7.41033711799997</v>
      </c>
      <c r="AJ232" s="26">
        <f>IFERROR(IFERROR(INDEX('BD(MSCI)'!$T:$T,MATCH(Tabla_Consulta_desde_Reporte_de_Valorización_de_Instrumentos[[#This Row],[CODIGO_ISIN]],'BD(MSCI)'!$C:$C,0),1),INDEX('BD(MSCI)'!$T:$T,MATCH(Tabla_Consulta_desde_Reporte_de_Valorización_de_Instrumentos[[#This Row],[CODIGO_SBS]],'BD(MSCI)'!$C:$C,0),1)),0)</f>
        <v>31.33247536</v>
      </c>
      <c r="AK232" s="26">
        <f>Tabla_Consulta_desde_Reporte_de_Valorización_de_Instrumentos[[#This Row],[C02-H]]*Tabla_Consulta_desde_Reporte_de_Valorización_de_Instrumentos[[#This Row],[Inv MM$]]</f>
        <v>174.64289677982461</v>
      </c>
      <c r="AL232" s="26">
        <f>Tabla_Consulta_desde_Reporte_de_Valorización_de_Instrumentos[[#This Row],[C02-H]]*Tabla_Consulta_desde_Reporte_de_Valorización_de_Instrumentos[[#This Row],[Weight]]</f>
        <v>2.2354393717825691E-2</v>
      </c>
      <c r="AM232" s="26" t="str">
        <f>INDEX(Parametria!G:G,MATCH(Tabla_Consulta_desde_Reporte_de_Valorización_de_Instrumentos[[#This Row],[CODIGO_SBS]],Parametria!C:C,0))</f>
        <v>51ALT</v>
      </c>
      <c r="AN232" s="26" t="str">
        <f>INDEX(Parametria!F:F,MATCH(Tabla_Consulta_desde_Reporte_de_Valorización_de_Instrumentos[[#This Row],[CODIGO_SBS]],Parametria!C:C,0))</f>
        <v>ALT</v>
      </c>
      <c r="AO232" s="26" t="str">
        <f>+INDEX(Parametria!J:J,MATCH(Tabla_Consulta_desde_Reporte_de_Valorización_de_Instrumentos[[#This Row],[CODIGO_SBS]],Parametria!C:C,0))</f>
        <v>ALT</v>
      </c>
      <c r="AP232" s="26">
        <f>Tabla_Consulta_desde_Reporte_de_Valorización_de_Instrumentos[[#This Row],[Huella]]/$AU$4</f>
        <v>1.6190230421784475E-2</v>
      </c>
      <c r="AQ232" s="26" t="str">
        <f>IFERROR(INDEX('BD(MSCI)'!W:W,MATCH(Tabla_Consulta_desde_Reporte_de_Valorización_de_Instrumentos[[#This Row],[CODIGO_ISIN]],'BD(MSCI)'!C:C,0)),IF(Tabla_Consulta_desde_Reporte_de_Valorización_de_Instrumentos[[#This Row],[Rank_rt]]="Cash","Cash","Cuestionario Integra"))</f>
        <v>Proxies</v>
      </c>
      <c r="AR232" s="26" t="str">
        <f>IFERROR(INDEX('BD(MSCI)'!X:X,MATCH(Tabla_Consulta_desde_Reporte_de_Valorización_de_Instrumentos[[#This Row],[CODIGO_ISIN]],'BD(MSCI)'!C:C,0)),"Cuestionario Integra")</f>
        <v>Alts</v>
      </c>
      <c r="AU232" s="26"/>
    </row>
    <row r="233" spans="2:47" hidden="1" x14ac:dyDescent="0.25">
      <c r="B233" s="14" t="s">
        <v>6390</v>
      </c>
      <c r="C233" t="s">
        <v>547</v>
      </c>
      <c r="D233" t="s">
        <v>10</v>
      </c>
      <c r="E233" t="s">
        <v>548</v>
      </c>
      <c r="F233" t="s">
        <v>559</v>
      </c>
      <c r="G233" t="str">
        <f>INDEX(Parametria!H:H,MATCH(Tabla_Consulta_desde_Reporte_de_Valorización_de_Instrumentos[[#This Row],[CODIGO_SBS]],Parametria!C:C,0),1)</f>
        <v>AC Capitales - Infraestructura II</v>
      </c>
      <c r="H233" t="s">
        <v>560</v>
      </c>
      <c r="I233" t="s">
        <v>156</v>
      </c>
      <c r="J233" t="s">
        <v>561</v>
      </c>
      <c r="K233" t="s">
        <v>50</v>
      </c>
      <c r="L233">
        <v>1</v>
      </c>
      <c r="M233" s="5">
        <v>73550692.128507301</v>
      </c>
      <c r="N233">
        <v>21884225.096999999</v>
      </c>
      <c r="O233">
        <v>24528385</v>
      </c>
      <c r="P233" s="15">
        <v>47465</v>
      </c>
      <c r="Q233">
        <v>1443</v>
      </c>
      <c r="R233">
        <v>3.3609</v>
      </c>
      <c r="S233" t="s">
        <v>428</v>
      </c>
      <c r="T233">
        <v>73587895.311172202</v>
      </c>
      <c r="U233" s="5">
        <v>21884225.096999999</v>
      </c>
      <c r="V233" t="s">
        <v>156</v>
      </c>
      <c r="W233">
        <v>0</v>
      </c>
      <c r="X233">
        <v>0</v>
      </c>
      <c r="Y233">
        <v>0</v>
      </c>
      <c r="Z233">
        <v>0</v>
      </c>
      <c r="AA233" t="str">
        <f>+MID(Tabla_Consulta_desde_Reporte_de_Valorización_de_Instrumentos[[#This Row],[CODIGO_SBS]],7,1)</f>
        <v>2</v>
      </c>
      <c r="AB233">
        <f>INDEX('Cálculo Caja'!F:F,MATCH(Tabla_Consulta_desde_Reporte_de_Valorización_de_Instrumentos[[#This Row],[PORTAFOLIO]],'Cálculo Caja'!A:A,0),1)</f>
        <v>26256910350.436607</v>
      </c>
      <c r="AC233" s="17">
        <f>Tabla_Consulta_desde_Reporte_de_Valorización_de_Instrumentos[[#This Row],[VALOR_VECTOR_LOCAL]]/Tabla_Consulta_desde_Reporte_de_Valorización_de_Instrumentos[[#This Row],[Patrimonio]]</f>
        <v>2.8011937104124775E-3</v>
      </c>
      <c r="AD233" s="4">
        <f>(Tabla_Consulta_desde_Reporte_de_Valorización_de_Instrumentos[[#This Row],[VALOR_VECTOR_LOCAL]]/INDEX('Tipo de Cambio'!$D:$D,MATCH("2",'Tipo de Cambio'!$E:$E,0),1))/1000000</f>
        <v>21.884225096999998</v>
      </c>
      <c r="AE233">
        <f>IF(Tabla_Consulta_desde_Reporte_de_Valorización_de_Instrumentos[[#This Row],[PORTAFOLIO]]="IN-FONDO0",Tabla_Consulta_desde_Reporte_de_Valorización_de_Instrumentos[[#This Row],[Inv MM$]],0)</f>
        <v>0</v>
      </c>
      <c r="AF233" s="26">
        <f>IF(Tabla_Consulta_desde_Reporte_de_Valorización_de_Instrumentos[[#This Row],[PORTAFOLIO]]="IN-FONDO1",Tabla_Consulta_desde_Reporte_de_Valorización_de_Instrumentos[[#This Row],[Inv MM$]],0)</f>
        <v>0</v>
      </c>
      <c r="AG233" s="26">
        <f>IF(Tabla_Consulta_desde_Reporte_de_Valorización_de_Instrumentos[[#This Row],[PORTAFOLIO]]="IN-FONDO2",Tabla_Consulta_desde_Reporte_de_Valorización_de_Instrumentos[[#This Row],[Inv MM$]],0)</f>
        <v>21.884225096999998</v>
      </c>
      <c r="AH233" s="26">
        <f>IF(Tabla_Consulta_desde_Reporte_de_Valorización_de_Instrumentos[[#This Row],[PORTAFOLIO]]="IN-FONDO3",Tabla_Consulta_desde_Reporte_de_Valorización_de_Instrumentos[[#This Row],[Inv MM$]],0)</f>
        <v>0</v>
      </c>
      <c r="AI23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21.884225096999998</v>
      </c>
      <c r="AJ233" s="26">
        <f>IFERROR(IFERROR(INDEX('BD(MSCI)'!$T:$T,MATCH(Tabla_Consulta_desde_Reporte_de_Valorización_de_Instrumentos[[#This Row],[CODIGO_ISIN]],'BD(MSCI)'!$C:$C,0),1),INDEX('BD(MSCI)'!$T:$T,MATCH(Tabla_Consulta_desde_Reporte_de_Valorización_de_Instrumentos[[#This Row],[CODIGO_SBS]],'BD(MSCI)'!$C:$C,0),1)),0)</f>
        <v>31.33247536</v>
      </c>
      <c r="AK233" s="26">
        <f>Tabla_Consulta_desde_Reporte_de_Valorización_de_Instrumentos[[#This Row],[C02-H]]*Tabla_Consulta_desde_Reporte_de_Valorización_de_Instrumentos[[#This Row],[Inv MM$]]</f>
        <v>685.68694362444603</v>
      </c>
      <c r="AL233" s="26">
        <f>Tabla_Consulta_desde_Reporte_de_Valorización_de_Instrumentos[[#This Row],[C02-H]]*Tabla_Consulta_desde_Reporte_de_Valorización_de_Instrumentos[[#This Row],[Weight]]</f>
        <v>8.7768332910085928E-2</v>
      </c>
      <c r="AM233" s="26" t="str">
        <f>INDEX(Parametria!G:G,MATCH(Tabla_Consulta_desde_Reporte_de_Valorización_de_Instrumentos[[#This Row],[CODIGO_SBS]],Parametria!C:C,0))</f>
        <v>51ALT</v>
      </c>
      <c r="AN233" s="26" t="str">
        <f>INDEX(Parametria!F:F,MATCH(Tabla_Consulta_desde_Reporte_de_Valorización_de_Instrumentos[[#This Row],[CODIGO_SBS]],Parametria!C:C,0))</f>
        <v>ALT</v>
      </c>
      <c r="AO233" s="26" t="str">
        <f>+INDEX(Parametria!J:J,MATCH(Tabla_Consulta_desde_Reporte_de_Valorización_de_Instrumentos[[#This Row],[CODIGO_SBS]],Parametria!C:C,0))</f>
        <v>ALT</v>
      </c>
      <c r="AP233" s="26">
        <f>Tabla_Consulta_desde_Reporte_de_Valorización_de_Instrumentos[[#This Row],[Huella]]/$AU$4</f>
        <v>6.3566453713171586E-2</v>
      </c>
      <c r="AQ233" s="26" t="str">
        <f>IFERROR(INDEX('BD(MSCI)'!W:W,MATCH(Tabla_Consulta_desde_Reporte_de_Valorización_de_Instrumentos[[#This Row],[CODIGO_ISIN]],'BD(MSCI)'!C:C,0)),IF(Tabla_Consulta_desde_Reporte_de_Valorización_de_Instrumentos[[#This Row],[Rank_rt]]="Cash","Cash","Cuestionario Integra"))</f>
        <v>Proxies</v>
      </c>
      <c r="AR233" s="26" t="str">
        <f>IFERROR(INDEX('BD(MSCI)'!X:X,MATCH(Tabla_Consulta_desde_Reporte_de_Valorización_de_Instrumentos[[#This Row],[CODIGO_ISIN]],'BD(MSCI)'!C:C,0)),"Cuestionario Integra")</f>
        <v>Alts</v>
      </c>
      <c r="AU233" s="26"/>
    </row>
    <row r="234" spans="2:47" hidden="1" x14ac:dyDescent="0.25">
      <c r="B234" s="14" t="s">
        <v>6390</v>
      </c>
      <c r="C234" t="s">
        <v>547</v>
      </c>
      <c r="D234" t="s">
        <v>10</v>
      </c>
      <c r="E234" t="s">
        <v>548</v>
      </c>
      <c r="F234" t="s">
        <v>564</v>
      </c>
      <c r="G234" t="str">
        <f>INDEX(Parametria!H:H,MATCH(Tabla_Consulta_desde_Reporte_de_Valorización_de_Instrumentos[[#This Row],[CODIGO_SBS]],Parametria!C:C,0),1)</f>
        <v>AC Capitales - Infraestructura</v>
      </c>
      <c r="H234" t="s">
        <v>565</v>
      </c>
      <c r="I234" t="s">
        <v>565</v>
      </c>
      <c r="J234" t="s">
        <v>561</v>
      </c>
      <c r="K234" t="s">
        <v>50</v>
      </c>
      <c r="L234">
        <v>1</v>
      </c>
      <c r="M234" s="5">
        <v>18167180.784150701</v>
      </c>
      <c r="N234">
        <v>5405451.1541999998</v>
      </c>
      <c r="O234">
        <v>1878654</v>
      </c>
      <c r="P234" s="15">
        <v>49119</v>
      </c>
      <c r="Q234">
        <v>3097</v>
      </c>
      <c r="R234">
        <v>3.3609</v>
      </c>
      <c r="S234" t="s">
        <v>428</v>
      </c>
      <c r="T234">
        <v>18176370.051112901</v>
      </c>
      <c r="U234" s="5">
        <v>5405451.1541999998</v>
      </c>
      <c r="V234" t="s">
        <v>156</v>
      </c>
      <c r="W234">
        <v>0</v>
      </c>
      <c r="X234">
        <v>0</v>
      </c>
      <c r="Y234">
        <v>0</v>
      </c>
      <c r="Z234">
        <v>0</v>
      </c>
      <c r="AA234" t="str">
        <f>+MID(Tabla_Consulta_desde_Reporte_de_Valorización_de_Instrumentos[[#This Row],[CODIGO_SBS]],7,1)</f>
        <v>2</v>
      </c>
      <c r="AB234">
        <f>INDEX('Cálculo Caja'!F:F,MATCH(Tabla_Consulta_desde_Reporte_de_Valorización_de_Instrumentos[[#This Row],[PORTAFOLIO]],'Cálculo Caja'!A:A,0),1)</f>
        <v>26256910350.436607</v>
      </c>
      <c r="AC234" s="17">
        <f>Tabla_Consulta_desde_Reporte_de_Valorización_de_Instrumentos[[#This Row],[VALOR_VECTOR_LOCAL]]/Tabla_Consulta_desde_Reporte_de_Valorización_de_Instrumentos[[#This Row],[Patrimonio]]</f>
        <v>6.9190093357075473E-4</v>
      </c>
      <c r="AD234" s="4">
        <f>(Tabla_Consulta_desde_Reporte_de_Valorización_de_Instrumentos[[#This Row],[VALOR_VECTOR_LOCAL]]/INDEX('Tipo de Cambio'!$D:$D,MATCH("2",'Tipo de Cambio'!$E:$E,0),1))/1000000</f>
        <v>5.4054511541999766</v>
      </c>
      <c r="AE234">
        <f>IF(Tabla_Consulta_desde_Reporte_de_Valorización_de_Instrumentos[[#This Row],[PORTAFOLIO]]="IN-FONDO0",Tabla_Consulta_desde_Reporte_de_Valorización_de_Instrumentos[[#This Row],[Inv MM$]],0)</f>
        <v>0</v>
      </c>
      <c r="AF234" s="26">
        <f>IF(Tabla_Consulta_desde_Reporte_de_Valorización_de_Instrumentos[[#This Row],[PORTAFOLIO]]="IN-FONDO1",Tabla_Consulta_desde_Reporte_de_Valorización_de_Instrumentos[[#This Row],[Inv MM$]],0)</f>
        <v>0</v>
      </c>
      <c r="AG234" s="26">
        <f>IF(Tabla_Consulta_desde_Reporte_de_Valorización_de_Instrumentos[[#This Row],[PORTAFOLIO]]="IN-FONDO2",Tabla_Consulta_desde_Reporte_de_Valorización_de_Instrumentos[[#This Row],[Inv MM$]],0)</f>
        <v>5.4054511541999766</v>
      </c>
      <c r="AH234" s="26">
        <f>IF(Tabla_Consulta_desde_Reporte_de_Valorización_de_Instrumentos[[#This Row],[PORTAFOLIO]]="IN-FONDO3",Tabla_Consulta_desde_Reporte_de_Valorización_de_Instrumentos[[#This Row],[Inv MM$]],0)</f>
        <v>0</v>
      </c>
      <c r="AI23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6.9630659999999702</v>
      </c>
      <c r="AJ234" s="26">
        <f>IFERROR(IFERROR(INDEX('BD(MSCI)'!$T:$T,MATCH(Tabla_Consulta_desde_Reporte_de_Valorización_de_Instrumentos[[#This Row],[CODIGO_ISIN]],'BD(MSCI)'!$C:$C,0),1),INDEX('BD(MSCI)'!$T:$T,MATCH(Tabla_Consulta_desde_Reporte_de_Valorización_de_Instrumentos[[#This Row],[CODIGO_SBS]],'BD(MSCI)'!$C:$C,0),1)),0)</f>
        <v>31.33247536</v>
      </c>
      <c r="AK234" s="26">
        <f>Tabla_Consulta_desde_Reporte_de_Valorización_de_Instrumentos[[#This Row],[C02-H]]*Tabla_Consulta_desde_Reporte_de_Valorización_de_Instrumentos[[#This Row],[Inv MM$]]</f>
        <v>169.36616509865433</v>
      </c>
      <c r="AL234" s="26">
        <f>Tabla_Consulta_desde_Reporte_de_Valorización_de_Instrumentos[[#This Row],[C02-H]]*Tabla_Consulta_desde_Reporte_de_Valorización_de_Instrumentos[[#This Row],[Weight]]</f>
        <v>2.1678968952666671E-2</v>
      </c>
      <c r="AM234" s="26" t="str">
        <f>INDEX(Parametria!G:G,MATCH(Tabla_Consulta_desde_Reporte_de_Valorización_de_Instrumentos[[#This Row],[CODIGO_SBS]],Parametria!C:C,0))</f>
        <v>51ALT</v>
      </c>
      <c r="AN234" s="26" t="str">
        <f>INDEX(Parametria!F:F,MATCH(Tabla_Consulta_desde_Reporte_de_Valorización_de_Instrumentos[[#This Row],[CODIGO_SBS]],Parametria!C:C,0))</f>
        <v>ALT</v>
      </c>
      <c r="AO234" s="26" t="str">
        <f>+INDEX(Parametria!J:J,MATCH(Tabla_Consulta_desde_Reporte_de_Valorización_de_Instrumentos[[#This Row],[CODIGO_SBS]],Parametria!C:C,0))</f>
        <v>ALT</v>
      </c>
      <c r="AP234" s="26">
        <f>Tabla_Consulta_desde_Reporte_de_Valorización_de_Instrumentos[[#This Row],[Huella]]/$AU$4</f>
        <v>1.5701052199438671E-2</v>
      </c>
      <c r="AQ234" s="26" t="str">
        <f>IFERROR(INDEX('BD(MSCI)'!W:W,MATCH(Tabla_Consulta_desde_Reporte_de_Valorización_de_Instrumentos[[#This Row],[CODIGO_ISIN]],'BD(MSCI)'!C:C,0)),IF(Tabla_Consulta_desde_Reporte_de_Valorización_de_Instrumentos[[#This Row],[Rank_rt]]="Cash","Cash","Cuestionario Integra"))</f>
        <v>Proxies</v>
      </c>
      <c r="AR234" s="26" t="str">
        <f>IFERROR(INDEX('BD(MSCI)'!X:X,MATCH(Tabla_Consulta_desde_Reporte_de_Valorización_de_Instrumentos[[#This Row],[CODIGO_ISIN]],'BD(MSCI)'!C:C,0)),"Cuestionario Integra")</f>
        <v>Alts</v>
      </c>
      <c r="AU234" s="26"/>
    </row>
    <row r="235" spans="2:47" hidden="1" x14ac:dyDescent="0.25">
      <c r="B235" s="14" t="s">
        <v>6390</v>
      </c>
      <c r="C235" t="s">
        <v>547</v>
      </c>
      <c r="D235" t="s">
        <v>11</v>
      </c>
      <c r="E235" t="s">
        <v>548</v>
      </c>
      <c r="F235" t="s">
        <v>562</v>
      </c>
      <c r="G235" t="str">
        <f>INDEX(Parametria!H:H,MATCH(Tabla_Consulta_desde_Reporte_de_Valorización_de_Instrumentos[[#This Row],[CODIGO_SBS]],Parametria!C:C,0),1)</f>
        <v>AC Capitales - Inmobiliario II</v>
      </c>
      <c r="H235" t="s">
        <v>563</v>
      </c>
      <c r="I235" t="s">
        <v>156</v>
      </c>
      <c r="J235" t="s">
        <v>561</v>
      </c>
      <c r="K235" t="s">
        <v>50</v>
      </c>
      <c r="L235">
        <v>1</v>
      </c>
      <c r="M235" s="5">
        <v>6172208.9017757997</v>
      </c>
      <c r="N235">
        <v>1836475.0220999999</v>
      </c>
      <c r="O235">
        <v>4199577</v>
      </c>
      <c r="P235" s="15">
        <v>46142</v>
      </c>
      <c r="Q235">
        <v>120</v>
      </c>
      <c r="R235">
        <v>3.3609</v>
      </c>
      <c r="S235" t="s">
        <v>428</v>
      </c>
      <c r="T235">
        <v>6175330.9093134003</v>
      </c>
      <c r="U235" s="5">
        <v>1836475.0220999999</v>
      </c>
      <c r="V235" t="s">
        <v>156</v>
      </c>
      <c r="W235">
        <v>0</v>
      </c>
      <c r="X235">
        <v>0</v>
      </c>
      <c r="Y235">
        <v>0</v>
      </c>
      <c r="Z235">
        <v>0</v>
      </c>
      <c r="AA235" t="str">
        <f>+MID(Tabla_Consulta_desde_Reporte_de_Valorización_de_Instrumentos[[#This Row],[CODIGO_SBS]],7,1)</f>
        <v>2</v>
      </c>
      <c r="AB235">
        <f>INDEX('Cálculo Caja'!F:F,MATCH(Tabla_Consulta_desde_Reporte_de_Valorización_de_Instrumentos[[#This Row],[PORTAFOLIO]],'Cálculo Caja'!A:A,0),1)</f>
        <v>3164069580.822104</v>
      </c>
      <c r="AC235" s="17">
        <f>Tabla_Consulta_desde_Reporte_de_Valorización_de_Instrumentos[[#This Row],[VALOR_VECTOR_LOCAL]]/Tabla_Consulta_desde_Reporte_de_Valorización_de_Instrumentos[[#This Row],[Patrimonio]]</f>
        <v>1.9507184479085021E-3</v>
      </c>
      <c r="AD235" s="4">
        <f>(Tabla_Consulta_desde_Reporte_de_Valorización_de_Instrumentos[[#This Row],[VALOR_VECTOR_LOCAL]]/INDEX('Tipo de Cambio'!$D:$D,MATCH("2",'Tipo de Cambio'!$E:$E,0),1))/1000000</f>
        <v>1.8364750220999733</v>
      </c>
      <c r="AE235">
        <f>IF(Tabla_Consulta_desde_Reporte_de_Valorización_de_Instrumentos[[#This Row],[PORTAFOLIO]]="IN-FONDO0",Tabla_Consulta_desde_Reporte_de_Valorización_de_Instrumentos[[#This Row],[Inv MM$]],0)</f>
        <v>0</v>
      </c>
      <c r="AF235" s="26">
        <f>IF(Tabla_Consulta_desde_Reporte_de_Valorización_de_Instrumentos[[#This Row],[PORTAFOLIO]]="IN-FONDO1",Tabla_Consulta_desde_Reporte_de_Valorización_de_Instrumentos[[#This Row],[Inv MM$]],0)</f>
        <v>0</v>
      </c>
      <c r="AG235" s="26">
        <f>IF(Tabla_Consulta_desde_Reporte_de_Valorización_de_Instrumentos[[#This Row],[PORTAFOLIO]]="IN-FONDO2",Tabla_Consulta_desde_Reporte_de_Valorización_de_Instrumentos[[#This Row],[Inv MM$]],0)</f>
        <v>0</v>
      </c>
      <c r="AH235" s="26">
        <f>IF(Tabla_Consulta_desde_Reporte_de_Valorización_de_Instrumentos[[#This Row],[PORTAFOLIO]]="IN-FONDO3",Tabla_Consulta_desde_Reporte_de_Valorización_de_Instrumentos[[#This Row],[Inv MM$]],0)</f>
        <v>1.8364750220999733</v>
      </c>
      <c r="AI23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7.41033711799997</v>
      </c>
      <c r="AJ235" s="26">
        <f>IFERROR(IFERROR(INDEX('BD(MSCI)'!$T:$T,MATCH(Tabla_Consulta_desde_Reporte_de_Valorización_de_Instrumentos[[#This Row],[CODIGO_ISIN]],'BD(MSCI)'!$C:$C,0),1),INDEX('BD(MSCI)'!$T:$T,MATCH(Tabla_Consulta_desde_Reporte_de_Valorización_de_Instrumentos[[#This Row],[CODIGO_SBS]],'BD(MSCI)'!$C:$C,0),1)),0)</f>
        <v>31.33247536</v>
      </c>
      <c r="AK235" s="26">
        <f>Tabla_Consulta_desde_Reporte_de_Valorización_de_Instrumentos[[#This Row],[C02-H]]*Tabla_Consulta_desde_Reporte_de_Valorización_de_Instrumentos[[#This Row],[Inv MM$]]</f>
        <v>57.541308379202867</v>
      </c>
      <c r="AL235" s="26">
        <f>Tabla_Consulta_desde_Reporte_de_Valorización_de_Instrumentos[[#This Row],[C02-H]]*Tabla_Consulta_desde_Reporte_de_Valorización_de_Instrumentos[[#This Row],[Weight]]</f>
        <v>6.1120837703390586E-2</v>
      </c>
      <c r="AM235" s="26" t="str">
        <f>INDEX(Parametria!G:G,MATCH(Tabla_Consulta_desde_Reporte_de_Valorización_de_Instrumentos[[#This Row],[CODIGO_SBS]],Parametria!C:C,0))</f>
        <v>51ALT</v>
      </c>
      <c r="AN235" s="26" t="str">
        <f>INDEX(Parametria!F:F,MATCH(Tabla_Consulta_desde_Reporte_de_Valorización_de_Instrumentos[[#This Row],[CODIGO_SBS]],Parametria!C:C,0))</f>
        <v>ALT</v>
      </c>
      <c r="AO235" s="26" t="str">
        <f>+INDEX(Parametria!J:J,MATCH(Tabla_Consulta_desde_Reporte_de_Valorización_de_Instrumentos[[#This Row],[CODIGO_SBS]],Parametria!C:C,0))</f>
        <v>ALT</v>
      </c>
      <c r="AP235" s="26">
        <f>Tabla_Consulta_desde_Reporte_de_Valorización_de_Instrumentos[[#This Row],[Huella]]/$AU$4</f>
        <v>5.3343540367676431E-3</v>
      </c>
      <c r="AQ235" s="26" t="str">
        <f>IFERROR(INDEX('BD(MSCI)'!W:W,MATCH(Tabla_Consulta_desde_Reporte_de_Valorización_de_Instrumentos[[#This Row],[CODIGO_ISIN]],'BD(MSCI)'!C:C,0)),IF(Tabla_Consulta_desde_Reporte_de_Valorización_de_Instrumentos[[#This Row],[Rank_rt]]="Cash","Cash","Cuestionario Integra"))</f>
        <v>Proxies</v>
      </c>
      <c r="AR235" s="26" t="str">
        <f>IFERROR(INDEX('BD(MSCI)'!X:X,MATCH(Tabla_Consulta_desde_Reporte_de_Valorización_de_Instrumentos[[#This Row],[CODIGO_ISIN]],'BD(MSCI)'!C:C,0)),"Cuestionario Integra")</f>
        <v>Alts</v>
      </c>
      <c r="AU235" s="26"/>
    </row>
    <row r="236" spans="2:47" hidden="1" x14ac:dyDescent="0.25">
      <c r="B236" s="14" t="s">
        <v>6390</v>
      </c>
      <c r="C236" t="s">
        <v>547</v>
      </c>
      <c r="D236" t="s">
        <v>11</v>
      </c>
      <c r="E236" t="s">
        <v>548</v>
      </c>
      <c r="F236" t="s">
        <v>564</v>
      </c>
      <c r="G236" t="str">
        <f>INDEX(Parametria!H:H,MATCH(Tabla_Consulta_desde_Reporte_de_Valorización_de_Instrumentos[[#This Row],[CODIGO_SBS]],Parametria!C:C,0),1)</f>
        <v>AC Capitales - Infraestructura</v>
      </c>
      <c r="H236" t="s">
        <v>565</v>
      </c>
      <c r="I236" t="s">
        <v>565</v>
      </c>
      <c r="J236" t="s">
        <v>561</v>
      </c>
      <c r="K236" t="s">
        <v>50</v>
      </c>
      <c r="L236">
        <v>1</v>
      </c>
      <c r="M236" s="5">
        <v>5234987.7352491999</v>
      </c>
      <c r="N236">
        <v>1557614.8458</v>
      </c>
      <c r="O236">
        <v>541346</v>
      </c>
      <c r="P236" s="15">
        <v>49119</v>
      </c>
      <c r="Q236">
        <v>3097</v>
      </c>
      <c r="R236">
        <v>3.3609</v>
      </c>
      <c r="S236" t="s">
        <v>428</v>
      </c>
      <c r="T236">
        <v>5237635.6804870004</v>
      </c>
      <c r="U236" s="5">
        <v>1557614.8458</v>
      </c>
      <c r="V236" t="s">
        <v>156</v>
      </c>
      <c r="W236">
        <v>0</v>
      </c>
      <c r="X236">
        <v>0</v>
      </c>
      <c r="Y236">
        <v>0</v>
      </c>
      <c r="Z236">
        <v>0</v>
      </c>
      <c r="AA236" t="str">
        <f>+MID(Tabla_Consulta_desde_Reporte_de_Valorización_de_Instrumentos[[#This Row],[CODIGO_SBS]],7,1)</f>
        <v>2</v>
      </c>
      <c r="AB236">
        <f>INDEX('Cálculo Caja'!F:F,MATCH(Tabla_Consulta_desde_Reporte_de_Valorización_de_Instrumentos[[#This Row],[PORTAFOLIO]],'Cálculo Caja'!A:A,0),1)</f>
        <v>3164069580.822104</v>
      </c>
      <c r="AC236" s="17">
        <f>Tabla_Consulta_desde_Reporte_de_Valorización_de_Instrumentos[[#This Row],[VALOR_VECTOR_LOCAL]]/Tabla_Consulta_desde_Reporte_de_Valorización_de_Instrumentos[[#This Row],[Patrimonio]]</f>
        <v>1.6545109396390138E-3</v>
      </c>
      <c r="AD236" s="4">
        <f>(Tabla_Consulta_desde_Reporte_de_Valorización_de_Instrumentos[[#This Row],[VALOR_VECTOR_LOCAL]]/INDEX('Tipo de Cambio'!$D:$D,MATCH("2",'Tipo de Cambio'!$E:$E,0),1))/1000000</f>
        <v>1.5576148457999939</v>
      </c>
      <c r="AE236">
        <f>IF(Tabla_Consulta_desde_Reporte_de_Valorización_de_Instrumentos[[#This Row],[PORTAFOLIO]]="IN-FONDO0",Tabla_Consulta_desde_Reporte_de_Valorización_de_Instrumentos[[#This Row],[Inv MM$]],0)</f>
        <v>0</v>
      </c>
      <c r="AF236" s="26">
        <f>IF(Tabla_Consulta_desde_Reporte_de_Valorización_de_Instrumentos[[#This Row],[PORTAFOLIO]]="IN-FONDO1",Tabla_Consulta_desde_Reporte_de_Valorización_de_Instrumentos[[#This Row],[Inv MM$]],0)</f>
        <v>0</v>
      </c>
      <c r="AG236" s="26">
        <f>IF(Tabla_Consulta_desde_Reporte_de_Valorización_de_Instrumentos[[#This Row],[PORTAFOLIO]]="IN-FONDO2",Tabla_Consulta_desde_Reporte_de_Valorización_de_Instrumentos[[#This Row],[Inv MM$]],0)</f>
        <v>0</v>
      </c>
      <c r="AH236" s="26">
        <f>IF(Tabla_Consulta_desde_Reporte_de_Valorización_de_Instrumentos[[#This Row],[PORTAFOLIO]]="IN-FONDO3",Tabla_Consulta_desde_Reporte_de_Valorización_de_Instrumentos[[#This Row],[Inv MM$]],0)</f>
        <v>1.5576148457999939</v>
      </c>
      <c r="AI23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6.9630659999999702</v>
      </c>
      <c r="AJ236" s="26">
        <f>IFERROR(IFERROR(INDEX('BD(MSCI)'!$T:$T,MATCH(Tabla_Consulta_desde_Reporte_de_Valorización_de_Instrumentos[[#This Row],[CODIGO_ISIN]],'BD(MSCI)'!$C:$C,0),1),INDEX('BD(MSCI)'!$T:$T,MATCH(Tabla_Consulta_desde_Reporte_de_Valorización_de_Instrumentos[[#This Row],[CODIGO_SBS]],'BD(MSCI)'!$C:$C,0),1)),0)</f>
        <v>31.33247536</v>
      </c>
      <c r="AK236" s="26">
        <f>Tabla_Consulta_desde_Reporte_de_Valorización_de_Instrumentos[[#This Row],[C02-H]]*Tabla_Consulta_desde_Reporte_de_Valorización_de_Instrumentos[[#This Row],[Inv MM$]]</f>
        <v>48.803928776398507</v>
      </c>
      <c r="AL236" s="26">
        <f>Tabla_Consulta_desde_Reporte_de_Valorización_de_Instrumentos[[#This Row],[C02-H]]*Tabla_Consulta_desde_Reporte_de_Valorización_de_Instrumentos[[#This Row],[Weight]]</f>
        <v>5.1839923249089849E-2</v>
      </c>
      <c r="AM236" s="26" t="str">
        <f>INDEX(Parametria!G:G,MATCH(Tabla_Consulta_desde_Reporte_de_Valorización_de_Instrumentos[[#This Row],[CODIGO_SBS]],Parametria!C:C,0))</f>
        <v>51ALT</v>
      </c>
      <c r="AN236" s="26" t="str">
        <f>INDEX(Parametria!F:F,MATCH(Tabla_Consulta_desde_Reporte_de_Valorización_de_Instrumentos[[#This Row],[CODIGO_SBS]],Parametria!C:C,0))</f>
        <v>ALT</v>
      </c>
      <c r="AO236" s="26" t="str">
        <f>+INDEX(Parametria!J:J,MATCH(Tabla_Consulta_desde_Reporte_de_Valorización_de_Instrumentos[[#This Row],[CODIGO_SBS]],Parametria!C:C,0))</f>
        <v>ALT</v>
      </c>
      <c r="AP236" s="26">
        <f>Tabla_Consulta_desde_Reporte_de_Valorización_de_Instrumentos[[#This Row],[Huella]]/$AU$4</f>
        <v>4.5243572280778306E-3</v>
      </c>
      <c r="AQ236" s="26" t="str">
        <f>IFERROR(INDEX('BD(MSCI)'!W:W,MATCH(Tabla_Consulta_desde_Reporte_de_Valorización_de_Instrumentos[[#This Row],[CODIGO_ISIN]],'BD(MSCI)'!C:C,0)),IF(Tabla_Consulta_desde_Reporte_de_Valorización_de_Instrumentos[[#This Row],[Rank_rt]]="Cash","Cash","Cuestionario Integra"))</f>
        <v>Proxies</v>
      </c>
      <c r="AR236" s="26" t="str">
        <f>IFERROR(INDEX('BD(MSCI)'!X:X,MATCH(Tabla_Consulta_desde_Reporte_de_Valorización_de_Instrumentos[[#This Row],[CODIGO_ISIN]],'BD(MSCI)'!C:C,0)),"Cuestionario Integra")</f>
        <v>Alts</v>
      </c>
      <c r="AU236" s="26"/>
    </row>
    <row r="237" spans="2:47" hidden="1" x14ac:dyDescent="0.25">
      <c r="B237" s="14" t="s">
        <v>6390</v>
      </c>
      <c r="C237" t="s">
        <v>547</v>
      </c>
      <c r="D237" t="s">
        <v>10</v>
      </c>
      <c r="E237" t="s">
        <v>548</v>
      </c>
      <c r="F237" t="s">
        <v>568</v>
      </c>
      <c r="G237" t="str">
        <f>INDEX(Parametria!H:H,MATCH(Tabla_Consulta_desde_Reporte_de_Valorización_de_Instrumentos[[#This Row],[CODIGO_SBS]],Parametria!C:C,0),1)</f>
        <v>BCP Fondo Inmobiliario</v>
      </c>
      <c r="H237" t="s">
        <v>569</v>
      </c>
      <c r="I237" t="s">
        <v>156</v>
      </c>
      <c r="J237" t="s">
        <v>570</v>
      </c>
      <c r="K237" t="s">
        <v>90</v>
      </c>
      <c r="L237">
        <v>1</v>
      </c>
      <c r="M237" s="5">
        <v>37189314.615999997</v>
      </c>
      <c r="N237">
        <v>37189314.615999997</v>
      </c>
      <c r="O237">
        <v>58540</v>
      </c>
      <c r="P237" s="15">
        <v>46077</v>
      </c>
      <c r="Q237">
        <v>55</v>
      </c>
      <c r="R237">
        <v>1</v>
      </c>
      <c r="S237" t="s">
        <v>428</v>
      </c>
      <c r="T237">
        <v>37189314.615999997</v>
      </c>
      <c r="U237" s="5">
        <v>37189314.615999997</v>
      </c>
      <c r="V237" t="s">
        <v>228</v>
      </c>
      <c r="W237">
        <v>0</v>
      </c>
      <c r="X237">
        <v>0</v>
      </c>
      <c r="Y237">
        <v>0</v>
      </c>
      <c r="Z237">
        <v>0</v>
      </c>
      <c r="AA237" t="str">
        <f>+MID(Tabla_Consulta_desde_Reporte_de_Valorización_de_Instrumentos[[#This Row],[CODIGO_SBS]],7,1)</f>
        <v>1</v>
      </c>
      <c r="AB237">
        <f>INDEX('Cálculo Caja'!F:F,MATCH(Tabla_Consulta_desde_Reporte_de_Valorización_de_Instrumentos[[#This Row],[PORTAFOLIO]],'Cálculo Caja'!A:A,0),1)</f>
        <v>26256910350.436607</v>
      </c>
      <c r="AC237" s="17">
        <f>Tabla_Consulta_desde_Reporte_de_Valorización_de_Instrumentos[[#This Row],[VALOR_VECTOR_LOCAL]]/Tabla_Consulta_desde_Reporte_de_Valorización_de_Instrumentos[[#This Row],[Patrimonio]]</f>
        <v>1.4163629353055854E-3</v>
      </c>
      <c r="AD237" s="4">
        <f>(Tabla_Consulta_desde_Reporte_de_Valorización_de_Instrumentos[[#This Row],[VALOR_VECTOR_LOCAL]]/INDEX('Tipo de Cambio'!$D:$D,MATCH("2",'Tipo de Cambio'!$E:$E,0),1))/1000000</f>
        <v>11.065284482132761</v>
      </c>
      <c r="AE237">
        <f>IF(Tabla_Consulta_desde_Reporte_de_Valorización_de_Instrumentos[[#This Row],[PORTAFOLIO]]="IN-FONDO0",Tabla_Consulta_desde_Reporte_de_Valorización_de_Instrumentos[[#This Row],[Inv MM$]],0)</f>
        <v>0</v>
      </c>
      <c r="AF237" s="26">
        <f>IF(Tabla_Consulta_desde_Reporte_de_Valorización_de_Instrumentos[[#This Row],[PORTAFOLIO]]="IN-FONDO1",Tabla_Consulta_desde_Reporte_de_Valorización_de_Instrumentos[[#This Row],[Inv MM$]],0)</f>
        <v>0</v>
      </c>
      <c r="AG237" s="26">
        <f>IF(Tabla_Consulta_desde_Reporte_de_Valorización_de_Instrumentos[[#This Row],[PORTAFOLIO]]="IN-FONDO2",Tabla_Consulta_desde_Reporte_de_Valorización_de_Instrumentos[[#This Row],[Inv MM$]],0)</f>
        <v>11.065284482132761</v>
      </c>
      <c r="AH237" s="26">
        <f>IF(Tabla_Consulta_desde_Reporte_de_Valorización_de_Instrumentos[[#This Row],[PORTAFOLIO]]="IN-FONDO3",Tabla_Consulta_desde_Reporte_de_Valorización_de_Instrumentos[[#This Row],[Inv MM$]],0)</f>
        <v>0</v>
      </c>
      <c r="AI23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13.831605602665951</v>
      </c>
      <c r="AJ237" s="26">
        <f>IFERROR(IFERROR(INDEX('BD(MSCI)'!$T:$T,MATCH(Tabla_Consulta_desde_Reporte_de_Valorización_de_Instrumentos[[#This Row],[CODIGO_ISIN]],'BD(MSCI)'!$C:$C,0),1),INDEX('BD(MSCI)'!$T:$T,MATCH(Tabla_Consulta_desde_Reporte_de_Valorización_de_Instrumentos[[#This Row],[CODIGO_SBS]],'BD(MSCI)'!$C:$C,0),1)),0)</f>
        <v>31.33247536</v>
      </c>
      <c r="AK237" s="26">
        <f>Tabla_Consulta_desde_Reporte_de_Valorización_de_Instrumentos[[#This Row],[C02-H]]*Tabla_Consulta_desde_Reporte_de_Valorización_de_Instrumentos[[#This Row],[Inv MM$]]</f>
        <v>346.70275338781511</v>
      </c>
      <c r="AL237" s="26">
        <f>Tabla_Consulta_desde_Reporte_de_Valorización_de_Instrumentos[[#This Row],[C02-H]]*Tabla_Consulta_desde_Reporte_de_Valorización_de_Instrumentos[[#This Row],[Weight]]</f>
        <v>4.4378156771279528E-2</v>
      </c>
      <c r="AM237" s="26" t="str">
        <f>INDEX(Parametria!G:G,MATCH(Tabla_Consulta_desde_Reporte_de_Valorización_de_Instrumentos[[#This Row],[CODIGO_SBS]],Parametria!C:C,0))</f>
        <v>51ALT</v>
      </c>
      <c r="AN237" s="26" t="str">
        <f>INDEX(Parametria!F:F,MATCH(Tabla_Consulta_desde_Reporte_de_Valorización_de_Instrumentos[[#This Row],[CODIGO_SBS]],Parametria!C:C,0))</f>
        <v>ALT</v>
      </c>
      <c r="AO237" s="26" t="str">
        <f>+INDEX(Parametria!J:J,MATCH(Tabla_Consulta_desde_Reporte_de_Valorización_de_Instrumentos[[#This Row],[CODIGO_SBS]],Parametria!C:C,0))</f>
        <v>ALT</v>
      </c>
      <c r="AP237" s="26">
        <f>Tabla_Consulta_desde_Reporte_de_Valorización_de_Instrumentos[[#This Row],[Huella]]/$AU$4</f>
        <v>3.2141000686059983E-2</v>
      </c>
      <c r="AQ237" s="26" t="str">
        <f>IFERROR(INDEX('BD(MSCI)'!W:W,MATCH(Tabla_Consulta_desde_Reporte_de_Valorización_de_Instrumentos[[#This Row],[CODIGO_ISIN]],'BD(MSCI)'!C:C,0)),IF(Tabla_Consulta_desde_Reporte_de_Valorización_de_Instrumentos[[#This Row],[Rank_rt]]="Cash","Cash","Cuestionario Integra"))</f>
        <v>Proxies</v>
      </c>
      <c r="AR237" s="26" t="str">
        <f>IFERROR(INDEX('BD(MSCI)'!X:X,MATCH(Tabla_Consulta_desde_Reporte_de_Valorización_de_Instrumentos[[#This Row],[CODIGO_ISIN]],'BD(MSCI)'!C:C,0)),"Cuestionario Integra")</f>
        <v>Alts</v>
      </c>
      <c r="AU237" s="26"/>
    </row>
    <row r="238" spans="2:47" hidden="1" x14ac:dyDescent="0.25">
      <c r="B238" s="14" t="s">
        <v>6390</v>
      </c>
      <c r="C238" t="s">
        <v>547</v>
      </c>
      <c r="D238" t="s">
        <v>11</v>
      </c>
      <c r="E238" t="s">
        <v>548</v>
      </c>
      <c r="F238" t="s">
        <v>568</v>
      </c>
      <c r="G238" t="str">
        <f>INDEX(Parametria!H:H,MATCH(Tabla_Consulta_desde_Reporte_de_Valorización_de_Instrumentos[[#This Row],[CODIGO_SBS]],Parametria!C:C,0),1)</f>
        <v>BCP Fondo Inmobiliario</v>
      </c>
      <c r="H238" t="s">
        <v>569</v>
      </c>
      <c r="I238" t="s">
        <v>156</v>
      </c>
      <c r="J238" t="s">
        <v>570</v>
      </c>
      <c r="K238" t="s">
        <v>90</v>
      </c>
      <c r="L238">
        <v>1</v>
      </c>
      <c r="M238" s="5">
        <v>9297328.6539999992</v>
      </c>
      <c r="N238">
        <v>9297328.6539999992</v>
      </c>
      <c r="O238">
        <v>14635</v>
      </c>
      <c r="P238" s="15">
        <v>46077</v>
      </c>
      <c r="Q238">
        <v>55</v>
      </c>
      <c r="R238">
        <v>1</v>
      </c>
      <c r="S238" t="s">
        <v>428</v>
      </c>
      <c r="T238">
        <v>9297328.6539999992</v>
      </c>
      <c r="U238" s="5">
        <v>9297328.6539999992</v>
      </c>
      <c r="V238" t="s">
        <v>228</v>
      </c>
      <c r="W238">
        <v>0</v>
      </c>
      <c r="X238">
        <v>0</v>
      </c>
      <c r="Y238">
        <v>0</v>
      </c>
      <c r="Z238">
        <v>0</v>
      </c>
      <c r="AA238" t="str">
        <f>+MID(Tabla_Consulta_desde_Reporte_de_Valorización_de_Instrumentos[[#This Row],[CODIGO_SBS]],7,1)</f>
        <v>1</v>
      </c>
      <c r="AB238">
        <f>INDEX('Cálculo Caja'!F:F,MATCH(Tabla_Consulta_desde_Reporte_de_Valorización_de_Instrumentos[[#This Row],[PORTAFOLIO]],'Cálculo Caja'!A:A,0),1)</f>
        <v>3164069580.822104</v>
      </c>
      <c r="AC238" s="17">
        <f>Tabla_Consulta_desde_Reporte_de_Valorización_de_Instrumentos[[#This Row],[VALOR_VECTOR_LOCAL]]/Tabla_Consulta_desde_Reporte_de_Valorización_de_Instrumentos[[#This Row],[Patrimonio]]</f>
        <v>2.9384084061717512E-3</v>
      </c>
      <c r="AD238" s="4">
        <f>(Tabla_Consulta_desde_Reporte_de_Valorización_de_Instrumentos[[#This Row],[VALOR_VECTOR_LOCAL]]/INDEX('Tipo de Cambio'!$D:$D,MATCH("2",'Tipo de Cambio'!$E:$E,0),1))/1000000</f>
        <v>2.7663211205331901</v>
      </c>
      <c r="AE238">
        <f>IF(Tabla_Consulta_desde_Reporte_de_Valorización_de_Instrumentos[[#This Row],[PORTAFOLIO]]="IN-FONDO0",Tabla_Consulta_desde_Reporte_de_Valorización_de_Instrumentos[[#This Row],[Inv MM$]],0)</f>
        <v>0</v>
      </c>
      <c r="AF238" s="26">
        <f>IF(Tabla_Consulta_desde_Reporte_de_Valorización_de_Instrumentos[[#This Row],[PORTAFOLIO]]="IN-FONDO1",Tabla_Consulta_desde_Reporte_de_Valorización_de_Instrumentos[[#This Row],[Inv MM$]],0)</f>
        <v>0</v>
      </c>
      <c r="AG238" s="26">
        <f>IF(Tabla_Consulta_desde_Reporte_de_Valorización_de_Instrumentos[[#This Row],[PORTAFOLIO]]="IN-FONDO2",Tabla_Consulta_desde_Reporte_de_Valorización_de_Instrumentos[[#This Row],[Inv MM$]],0)</f>
        <v>0</v>
      </c>
      <c r="AH238" s="26">
        <f>IF(Tabla_Consulta_desde_Reporte_de_Valorización_de_Instrumentos[[#This Row],[PORTAFOLIO]]="IN-FONDO3",Tabla_Consulta_desde_Reporte_de_Valorización_de_Instrumentos[[#This Row],[Inv MM$]],0)</f>
        <v>2.7663211205331901</v>
      </c>
      <c r="AI23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13.831605602665951</v>
      </c>
      <c r="AJ238" s="26">
        <f>IFERROR(IFERROR(INDEX('BD(MSCI)'!$T:$T,MATCH(Tabla_Consulta_desde_Reporte_de_Valorización_de_Instrumentos[[#This Row],[CODIGO_ISIN]],'BD(MSCI)'!$C:$C,0),1),INDEX('BD(MSCI)'!$T:$T,MATCH(Tabla_Consulta_desde_Reporte_de_Valorización_de_Instrumentos[[#This Row],[CODIGO_SBS]],'BD(MSCI)'!$C:$C,0),1)),0)</f>
        <v>31.33247536</v>
      </c>
      <c r="AK238" s="26">
        <f>Tabla_Consulta_desde_Reporte_de_Valorización_de_Instrumentos[[#This Row],[C02-H]]*Tabla_Consulta_desde_Reporte_de_Valorización_de_Instrumentos[[#This Row],[Inv MM$]]</f>
        <v>86.675688346953777</v>
      </c>
      <c r="AL238" s="26">
        <f>Tabla_Consulta_desde_Reporte_de_Valorización_de_Instrumentos[[#This Row],[C02-H]]*Tabla_Consulta_desde_Reporte_de_Valorización_de_Instrumentos[[#This Row],[Weight]]</f>
        <v>9.2067608983993271E-2</v>
      </c>
      <c r="AM238" s="26" t="str">
        <f>INDEX(Parametria!G:G,MATCH(Tabla_Consulta_desde_Reporte_de_Valorización_de_Instrumentos[[#This Row],[CODIGO_SBS]],Parametria!C:C,0))</f>
        <v>51ALT</v>
      </c>
      <c r="AN238" s="26" t="str">
        <f>INDEX(Parametria!F:F,MATCH(Tabla_Consulta_desde_Reporte_de_Valorización_de_Instrumentos[[#This Row],[CODIGO_SBS]],Parametria!C:C,0))</f>
        <v>ALT</v>
      </c>
      <c r="AO238" s="26" t="str">
        <f>+INDEX(Parametria!J:J,MATCH(Tabla_Consulta_desde_Reporte_de_Valorización_de_Instrumentos[[#This Row],[CODIGO_SBS]],Parametria!C:C,0))</f>
        <v>ALT</v>
      </c>
      <c r="AP238" s="26">
        <f>Tabla_Consulta_desde_Reporte_de_Valorización_de_Instrumentos[[#This Row],[Huella]]/$AU$4</f>
        <v>8.0352501715149956E-3</v>
      </c>
      <c r="AQ238" s="26" t="str">
        <f>IFERROR(INDEX('BD(MSCI)'!W:W,MATCH(Tabla_Consulta_desde_Reporte_de_Valorización_de_Instrumentos[[#This Row],[CODIGO_ISIN]],'BD(MSCI)'!C:C,0)),IF(Tabla_Consulta_desde_Reporte_de_Valorización_de_Instrumentos[[#This Row],[Rank_rt]]="Cash","Cash","Cuestionario Integra"))</f>
        <v>Proxies</v>
      </c>
      <c r="AR238" s="26" t="str">
        <f>IFERROR(INDEX('BD(MSCI)'!X:X,MATCH(Tabla_Consulta_desde_Reporte_de_Valorización_de_Instrumentos[[#This Row],[CODIGO_ISIN]],'BD(MSCI)'!C:C,0)),"Cuestionario Integra")</f>
        <v>Alts</v>
      </c>
      <c r="AU238" s="26"/>
    </row>
    <row r="239" spans="2:47" hidden="1" x14ac:dyDescent="0.25">
      <c r="B239" s="14" t="s">
        <v>6390</v>
      </c>
      <c r="C239" t="s">
        <v>547</v>
      </c>
      <c r="D239" t="s">
        <v>10</v>
      </c>
      <c r="E239" t="s">
        <v>548</v>
      </c>
      <c r="F239" t="s">
        <v>571</v>
      </c>
      <c r="G239" t="str">
        <f>INDEX(Parametria!H:H,MATCH(Tabla_Consulta_desde_Reporte_de_Valorización_de_Instrumentos[[#This Row],[CODIGO_SBS]],Parametria!C:C,0),1)</f>
        <v>Enfoca - Descubridor 1</v>
      </c>
      <c r="H239" t="s">
        <v>572</v>
      </c>
      <c r="I239" t="s">
        <v>156</v>
      </c>
      <c r="J239" t="s">
        <v>573</v>
      </c>
      <c r="K239" t="s">
        <v>50</v>
      </c>
      <c r="L239">
        <v>1</v>
      </c>
      <c r="M239" s="5">
        <v>9870963.3000000007</v>
      </c>
      <c r="N239">
        <v>2937000</v>
      </c>
      <c r="O239">
        <v>13350000</v>
      </c>
      <c r="P239" s="15">
        <v>46387</v>
      </c>
      <c r="Q239">
        <v>365</v>
      </c>
      <c r="R239">
        <v>3.3609</v>
      </c>
      <c r="S239" t="s">
        <v>428</v>
      </c>
      <c r="T239">
        <v>9875956.1999999993</v>
      </c>
      <c r="U239" s="5">
        <v>2937000</v>
      </c>
      <c r="V239" t="s">
        <v>156</v>
      </c>
      <c r="W239">
        <v>0</v>
      </c>
      <c r="X239">
        <v>0</v>
      </c>
      <c r="Y239">
        <v>0</v>
      </c>
      <c r="Z239">
        <v>0</v>
      </c>
      <c r="AA239" t="str">
        <f>+MID(Tabla_Consulta_desde_Reporte_de_Valorización_de_Instrumentos[[#This Row],[CODIGO_SBS]],7,1)</f>
        <v>2</v>
      </c>
      <c r="AB239">
        <f>INDEX('Cálculo Caja'!F:F,MATCH(Tabla_Consulta_desde_Reporte_de_Valorización_de_Instrumentos[[#This Row],[PORTAFOLIO]],'Cálculo Caja'!A:A,0),1)</f>
        <v>26256910350.436607</v>
      </c>
      <c r="AC239" s="17">
        <f>Tabla_Consulta_desde_Reporte_de_Valorización_de_Instrumentos[[#This Row],[VALOR_VECTOR_LOCAL]]/Tabla_Consulta_desde_Reporte_de_Valorización_de_Instrumentos[[#This Row],[Patrimonio]]</f>
        <v>3.7593773099186683E-4</v>
      </c>
      <c r="AD239" s="4">
        <f>(Tabla_Consulta_desde_Reporte_de_Valorización_de_Instrumentos[[#This Row],[VALOR_VECTOR_LOCAL]]/INDEX('Tipo de Cambio'!$D:$D,MATCH("2",'Tipo de Cambio'!$E:$E,0),1))/1000000</f>
        <v>2.9369999999999998</v>
      </c>
      <c r="AE239">
        <f>IF(Tabla_Consulta_desde_Reporte_de_Valorización_de_Instrumentos[[#This Row],[PORTAFOLIO]]="IN-FONDO0",Tabla_Consulta_desde_Reporte_de_Valorización_de_Instrumentos[[#This Row],[Inv MM$]],0)</f>
        <v>0</v>
      </c>
      <c r="AF239" s="26">
        <f>IF(Tabla_Consulta_desde_Reporte_de_Valorización_de_Instrumentos[[#This Row],[PORTAFOLIO]]="IN-FONDO1",Tabla_Consulta_desde_Reporte_de_Valorización_de_Instrumentos[[#This Row],[Inv MM$]],0)</f>
        <v>0</v>
      </c>
      <c r="AG239" s="26">
        <f>IF(Tabla_Consulta_desde_Reporte_de_Valorización_de_Instrumentos[[#This Row],[PORTAFOLIO]]="IN-FONDO2",Tabla_Consulta_desde_Reporte_de_Valorización_de_Instrumentos[[#This Row],[Inv MM$]],0)</f>
        <v>2.9369999999999998</v>
      </c>
      <c r="AH239" s="26">
        <f>IF(Tabla_Consulta_desde_Reporte_de_Valorización_de_Instrumentos[[#This Row],[PORTAFOLIO]]="IN-FONDO3",Tabla_Consulta_desde_Reporte_de_Valorización_de_Instrumentos[[#This Row],[Inv MM$]],0)</f>
        <v>0</v>
      </c>
      <c r="AI23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9.7899999999999991</v>
      </c>
      <c r="AJ239" s="26">
        <f>IFERROR(IFERROR(INDEX('BD(MSCI)'!$T:$T,MATCH(Tabla_Consulta_desde_Reporte_de_Valorización_de_Instrumentos[[#This Row],[CODIGO_ISIN]],'BD(MSCI)'!$C:$C,0),1),INDEX('BD(MSCI)'!$T:$T,MATCH(Tabla_Consulta_desde_Reporte_de_Valorización_de_Instrumentos[[#This Row],[CODIGO_SBS]],'BD(MSCI)'!$C:$C,0),1)),0)</f>
        <v>31.33247536</v>
      </c>
      <c r="AK239" s="26">
        <f>Tabla_Consulta_desde_Reporte_de_Valorización_de_Instrumentos[[#This Row],[C02-H]]*Tabla_Consulta_desde_Reporte_de_Valorización_de_Instrumentos[[#This Row],[Inv MM$]]</f>
        <v>92.023480132319989</v>
      </c>
      <c r="AL239" s="26">
        <f>Tabla_Consulta_desde_Reporte_de_Valorización_de_Instrumentos[[#This Row],[C02-H]]*Tabla_Consulta_desde_Reporte_de_Valorización_de_Instrumentos[[#This Row],[Weight]]</f>
        <v>1.1779059693196975E-2</v>
      </c>
      <c r="AM239" s="26" t="str">
        <f>INDEX(Parametria!G:G,MATCH(Tabla_Consulta_desde_Reporte_de_Valorización_de_Instrumentos[[#This Row],[CODIGO_SBS]],Parametria!C:C,0))</f>
        <v>51ALT</v>
      </c>
      <c r="AN239" s="26" t="str">
        <f>INDEX(Parametria!F:F,MATCH(Tabla_Consulta_desde_Reporte_de_Valorización_de_Instrumentos[[#This Row],[CODIGO_SBS]],Parametria!C:C,0))</f>
        <v>ALT</v>
      </c>
      <c r="AO239" s="26" t="str">
        <f>+INDEX(Parametria!J:J,MATCH(Tabla_Consulta_desde_Reporte_de_Valorización_de_Instrumentos[[#This Row],[CODIGO_SBS]],Parametria!C:C,0))</f>
        <v>ALT</v>
      </c>
      <c r="AP239" s="26">
        <f>Tabla_Consulta_desde_Reporte_de_Valorización_de_Instrumentos[[#This Row],[Huella]]/$AU$4</f>
        <v>8.5310160048197459E-3</v>
      </c>
      <c r="AQ239" s="26" t="str">
        <f>IFERROR(INDEX('BD(MSCI)'!W:W,MATCH(Tabla_Consulta_desde_Reporte_de_Valorización_de_Instrumentos[[#This Row],[CODIGO_ISIN]],'BD(MSCI)'!C:C,0)),IF(Tabla_Consulta_desde_Reporte_de_Valorización_de_Instrumentos[[#This Row],[Rank_rt]]="Cash","Cash","Cuestionario Integra"))</f>
        <v>Proxies</v>
      </c>
      <c r="AR239" s="26" t="str">
        <f>IFERROR(INDEX('BD(MSCI)'!X:X,MATCH(Tabla_Consulta_desde_Reporte_de_Valorización_de_Instrumentos[[#This Row],[CODIGO_ISIN]],'BD(MSCI)'!C:C,0)),"Cuestionario Integra")</f>
        <v>Alts</v>
      </c>
      <c r="AU239" s="26"/>
    </row>
    <row r="240" spans="2:47" hidden="1" x14ac:dyDescent="0.25">
      <c r="B240" s="14" t="s">
        <v>6390</v>
      </c>
      <c r="C240" t="s">
        <v>547</v>
      </c>
      <c r="D240" t="s">
        <v>10</v>
      </c>
      <c r="E240" t="s">
        <v>548</v>
      </c>
      <c r="F240" t="s">
        <v>574</v>
      </c>
      <c r="G240" t="str">
        <f>INDEX(Parametria!H:H,MATCH(Tabla_Consulta_desde_Reporte_de_Valorización_de_Instrumentos[[#This Row],[CODIGO_SBS]],Parametria!C:C,0),1)</f>
        <v>Enfoca - Descubridor 2</v>
      </c>
      <c r="H240" t="s">
        <v>575</v>
      </c>
      <c r="I240" t="s">
        <v>156</v>
      </c>
      <c r="J240" t="s">
        <v>573</v>
      </c>
      <c r="K240" t="s">
        <v>50</v>
      </c>
      <c r="L240">
        <v>1</v>
      </c>
      <c r="M240" s="5">
        <v>9870963.3000000007</v>
      </c>
      <c r="N240">
        <v>2937000</v>
      </c>
      <c r="O240">
        <v>13350000</v>
      </c>
      <c r="P240" s="15">
        <v>46387</v>
      </c>
      <c r="Q240">
        <v>365</v>
      </c>
      <c r="R240">
        <v>3.3609</v>
      </c>
      <c r="S240" t="s">
        <v>428</v>
      </c>
      <c r="T240">
        <v>9875956.1999999993</v>
      </c>
      <c r="U240" s="5">
        <v>2937000</v>
      </c>
      <c r="V240" t="s">
        <v>156</v>
      </c>
      <c r="W240">
        <v>0</v>
      </c>
      <c r="X240">
        <v>0</v>
      </c>
      <c r="Y240">
        <v>0</v>
      </c>
      <c r="Z240">
        <v>0</v>
      </c>
      <c r="AA240" t="str">
        <f>+MID(Tabla_Consulta_desde_Reporte_de_Valorización_de_Instrumentos[[#This Row],[CODIGO_SBS]],7,1)</f>
        <v>2</v>
      </c>
      <c r="AB240">
        <f>INDEX('Cálculo Caja'!F:F,MATCH(Tabla_Consulta_desde_Reporte_de_Valorización_de_Instrumentos[[#This Row],[PORTAFOLIO]],'Cálculo Caja'!A:A,0),1)</f>
        <v>26256910350.436607</v>
      </c>
      <c r="AC240" s="17">
        <f>Tabla_Consulta_desde_Reporte_de_Valorización_de_Instrumentos[[#This Row],[VALOR_VECTOR_LOCAL]]/Tabla_Consulta_desde_Reporte_de_Valorización_de_Instrumentos[[#This Row],[Patrimonio]]</f>
        <v>3.7593773099186683E-4</v>
      </c>
      <c r="AD240" s="4">
        <f>(Tabla_Consulta_desde_Reporte_de_Valorización_de_Instrumentos[[#This Row],[VALOR_VECTOR_LOCAL]]/INDEX('Tipo de Cambio'!$D:$D,MATCH("2",'Tipo de Cambio'!$E:$E,0),1))/1000000</f>
        <v>2.9369999999999998</v>
      </c>
      <c r="AE240">
        <f>IF(Tabla_Consulta_desde_Reporte_de_Valorización_de_Instrumentos[[#This Row],[PORTAFOLIO]]="IN-FONDO0",Tabla_Consulta_desde_Reporte_de_Valorización_de_Instrumentos[[#This Row],[Inv MM$]],0)</f>
        <v>0</v>
      </c>
      <c r="AF240" s="26">
        <f>IF(Tabla_Consulta_desde_Reporte_de_Valorización_de_Instrumentos[[#This Row],[PORTAFOLIO]]="IN-FONDO1",Tabla_Consulta_desde_Reporte_de_Valorización_de_Instrumentos[[#This Row],[Inv MM$]],0)</f>
        <v>0</v>
      </c>
      <c r="AG240" s="26">
        <f>IF(Tabla_Consulta_desde_Reporte_de_Valorización_de_Instrumentos[[#This Row],[PORTAFOLIO]]="IN-FONDO2",Tabla_Consulta_desde_Reporte_de_Valorización_de_Instrumentos[[#This Row],[Inv MM$]],0)</f>
        <v>2.9369999999999998</v>
      </c>
      <c r="AH240" s="26">
        <f>IF(Tabla_Consulta_desde_Reporte_de_Valorización_de_Instrumentos[[#This Row],[PORTAFOLIO]]="IN-FONDO3",Tabla_Consulta_desde_Reporte_de_Valorización_de_Instrumentos[[#This Row],[Inv MM$]],0)</f>
        <v>0</v>
      </c>
      <c r="AI24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9.7899999999999991</v>
      </c>
      <c r="AJ240" s="26">
        <f>IFERROR(IFERROR(INDEX('BD(MSCI)'!$T:$T,MATCH(Tabla_Consulta_desde_Reporte_de_Valorización_de_Instrumentos[[#This Row],[CODIGO_ISIN]],'BD(MSCI)'!$C:$C,0),1),INDEX('BD(MSCI)'!$T:$T,MATCH(Tabla_Consulta_desde_Reporte_de_Valorización_de_Instrumentos[[#This Row],[CODIGO_SBS]],'BD(MSCI)'!$C:$C,0),1)),0)</f>
        <v>31.33247536</v>
      </c>
      <c r="AK240" s="26">
        <f>Tabla_Consulta_desde_Reporte_de_Valorización_de_Instrumentos[[#This Row],[C02-H]]*Tabla_Consulta_desde_Reporte_de_Valorización_de_Instrumentos[[#This Row],[Inv MM$]]</f>
        <v>92.023480132319989</v>
      </c>
      <c r="AL240" s="26">
        <f>Tabla_Consulta_desde_Reporte_de_Valorización_de_Instrumentos[[#This Row],[C02-H]]*Tabla_Consulta_desde_Reporte_de_Valorización_de_Instrumentos[[#This Row],[Weight]]</f>
        <v>1.1779059693196975E-2</v>
      </c>
      <c r="AM240" s="26" t="str">
        <f>INDEX(Parametria!G:G,MATCH(Tabla_Consulta_desde_Reporte_de_Valorización_de_Instrumentos[[#This Row],[CODIGO_SBS]],Parametria!C:C,0))</f>
        <v>51ALT</v>
      </c>
      <c r="AN240" s="26" t="str">
        <f>INDEX(Parametria!F:F,MATCH(Tabla_Consulta_desde_Reporte_de_Valorización_de_Instrumentos[[#This Row],[CODIGO_SBS]],Parametria!C:C,0))</f>
        <v>ALT</v>
      </c>
      <c r="AO240" s="26" t="str">
        <f>+INDEX(Parametria!J:J,MATCH(Tabla_Consulta_desde_Reporte_de_Valorización_de_Instrumentos[[#This Row],[CODIGO_SBS]],Parametria!C:C,0))</f>
        <v>ALT</v>
      </c>
      <c r="AP240" s="26">
        <f>Tabla_Consulta_desde_Reporte_de_Valorización_de_Instrumentos[[#This Row],[Huella]]/$AU$4</f>
        <v>8.5310160048197459E-3</v>
      </c>
      <c r="AQ240" s="26" t="str">
        <f>IFERROR(INDEX('BD(MSCI)'!W:W,MATCH(Tabla_Consulta_desde_Reporte_de_Valorización_de_Instrumentos[[#This Row],[CODIGO_ISIN]],'BD(MSCI)'!C:C,0)),IF(Tabla_Consulta_desde_Reporte_de_Valorización_de_Instrumentos[[#This Row],[Rank_rt]]="Cash","Cash","Cuestionario Integra"))</f>
        <v>Proxies</v>
      </c>
      <c r="AR240" s="26" t="str">
        <f>IFERROR(INDEX('BD(MSCI)'!X:X,MATCH(Tabla_Consulta_desde_Reporte_de_Valorización_de_Instrumentos[[#This Row],[CODIGO_ISIN]],'BD(MSCI)'!C:C,0)),"Cuestionario Integra")</f>
        <v>Alts</v>
      </c>
      <c r="AU240" s="26"/>
    </row>
    <row r="241" spans="2:47" hidden="1" x14ac:dyDescent="0.25">
      <c r="B241" s="14" t="s">
        <v>6390</v>
      </c>
      <c r="C241" t="s">
        <v>547</v>
      </c>
      <c r="D241" t="s">
        <v>11</v>
      </c>
      <c r="E241" t="s">
        <v>548</v>
      </c>
      <c r="F241" t="s">
        <v>571</v>
      </c>
      <c r="G241" t="str">
        <f>INDEX(Parametria!H:H,MATCH(Tabla_Consulta_desde_Reporte_de_Valorización_de_Instrumentos[[#This Row],[CODIGO_SBS]],Parametria!C:C,0),1)</f>
        <v>Enfoca - Descubridor 1</v>
      </c>
      <c r="H241" t="s">
        <v>572</v>
      </c>
      <c r="I241" t="s">
        <v>156</v>
      </c>
      <c r="J241" t="s">
        <v>573</v>
      </c>
      <c r="K241" t="s">
        <v>50</v>
      </c>
      <c r="L241">
        <v>1</v>
      </c>
      <c r="M241" s="5">
        <v>23032247.699999999</v>
      </c>
      <c r="N241">
        <v>6853000</v>
      </c>
      <c r="O241">
        <v>31150000</v>
      </c>
      <c r="P241" s="15">
        <v>46387</v>
      </c>
      <c r="Q241">
        <v>365</v>
      </c>
      <c r="R241">
        <v>3.3609</v>
      </c>
      <c r="S241" t="s">
        <v>428</v>
      </c>
      <c r="T241">
        <v>23043897.800000001</v>
      </c>
      <c r="U241" s="5">
        <v>6853000</v>
      </c>
      <c r="V241" t="s">
        <v>156</v>
      </c>
      <c r="W241">
        <v>0</v>
      </c>
      <c r="X241">
        <v>0</v>
      </c>
      <c r="Y241">
        <v>0</v>
      </c>
      <c r="Z241">
        <v>0</v>
      </c>
      <c r="AA241" t="str">
        <f>+MID(Tabla_Consulta_desde_Reporte_de_Valorización_de_Instrumentos[[#This Row],[CODIGO_SBS]],7,1)</f>
        <v>2</v>
      </c>
      <c r="AB241">
        <f>INDEX('Cálculo Caja'!F:F,MATCH(Tabla_Consulta_desde_Reporte_de_Valorización_de_Instrumentos[[#This Row],[PORTAFOLIO]],'Cálculo Caja'!A:A,0),1)</f>
        <v>3164069580.822104</v>
      </c>
      <c r="AC241" s="17">
        <f>Tabla_Consulta_desde_Reporte_de_Valorización_de_Instrumentos[[#This Row],[VALOR_VECTOR_LOCAL]]/Tabla_Consulta_desde_Reporte_de_Valorización_de_Instrumentos[[#This Row],[Patrimonio]]</f>
        <v>7.2793113778539748E-3</v>
      </c>
      <c r="AD241" s="4">
        <f>(Tabla_Consulta_desde_Reporte_de_Valorización_de_Instrumentos[[#This Row],[VALOR_VECTOR_LOCAL]]/INDEX('Tipo de Cambio'!$D:$D,MATCH("2",'Tipo de Cambio'!$E:$E,0),1))/1000000</f>
        <v>6.8529999999999998</v>
      </c>
      <c r="AE241">
        <f>IF(Tabla_Consulta_desde_Reporte_de_Valorización_de_Instrumentos[[#This Row],[PORTAFOLIO]]="IN-FONDO0",Tabla_Consulta_desde_Reporte_de_Valorización_de_Instrumentos[[#This Row],[Inv MM$]],0)</f>
        <v>0</v>
      </c>
      <c r="AF241" s="26">
        <f>IF(Tabla_Consulta_desde_Reporte_de_Valorización_de_Instrumentos[[#This Row],[PORTAFOLIO]]="IN-FONDO1",Tabla_Consulta_desde_Reporte_de_Valorización_de_Instrumentos[[#This Row],[Inv MM$]],0)</f>
        <v>0</v>
      </c>
      <c r="AG241" s="26">
        <f>IF(Tabla_Consulta_desde_Reporte_de_Valorización_de_Instrumentos[[#This Row],[PORTAFOLIO]]="IN-FONDO2",Tabla_Consulta_desde_Reporte_de_Valorización_de_Instrumentos[[#This Row],[Inv MM$]],0)</f>
        <v>0</v>
      </c>
      <c r="AH241" s="26">
        <f>IF(Tabla_Consulta_desde_Reporte_de_Valorización_de_Instrumentos[[#This Row],[PORTAFOLIO]]="IN-FONDO3",Tabla_Consulta_desde_Reporte_de_Valorización_de_Instrumentos[[#This Row],[Inv MM$]],0)</f>
        <v>6.8529999999999998</v>
      </c>
      <c r="AI24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9.7899999999999991</v>
      </c>
      <c r="AJ241" s="26">
        <f>IFERROR(IFERROR(INDEX('BD(MSCI)'!$T:$T,MATCH(Tabla_Consulta_desde_Reporte_de_Valorización_de_Instrumentos[[#This Row],[CODIGO_ISIN]],'BD(MSCI)'!$C:$C,0),1),INDEX('BD(MSCI)'!$T:$T,MATCH(Tabla_Consulta_desde_Reporte_de_Valorización_de_Instrumentos[[#This Row],[CODIGO_SBS]],'BD(MSCI)'!$C:$C,0),1)),0)</f>
        <v>31.33247536</v>
      </c>
      <c r="AK241" s="26">
        <f>Tabla_Consulta_desde_Reporte_de_Valorización_de_Instrumentos[[#This Row],[C02-H]]*Tabla_Consulta_desde_Reporte_de_Valorización_de_Instrumentos[[#This Row],[Inv MM$]]</f>
        <v>214.72145364208001</v>
      </c>
      <c r="AL241" s="26">
        <f>Tabla_Consulta_desde_Reporte_de_Valorización_de_Instrumentos[[#This Row],[C02-H]]*Tabla_Consulta_desde_Reporte_de_Valorización_de_Instrumentos[[#This Row],[Weight]]</f>
        <v>0.22807884438437731</v>
      </c>
      <c r="AM241" s="26" t="str">
        <f>INDEX(Parametria!G:G,MATCH(Tabla_Consulta_desde_Reporte_de_Valorización_de_Instrumentos[[#This Row],[CODIGO_SBS]],Parametria!C:C,0))</f>
        <v>51ALT</v>
      </c>
      <c r="AN241" s="26" t="str">
        <f>INDEX(Parametria!F:F,MATCH(Tabla_Consulta_desde_Reporte_de_Valorización_de_Instrumentos[[#This Row],[CODIGO_SBS]],Parametria!C:C,0))</f>
        <v>ALT</v>
      </c>
      <c r="AO241" s="26" t="str">
        <f>+INDEX(Parametria!J:J,MATCH(Tabla_Consulta_desde_Reporte_de_Valorización_de_Instrumentos[[#This Row],[CODIGO_SBS]],Parametria!C:C,0))</f>
        <v>ALT</v>
      </c>
      <c r="AP241" s="26">
        <f>Tabla_Consulta_desde_Reporte_de_Valorización_de_Instrumentos[[#This Row],[Huella]]/$AU$4</f>
        <v>1.9905704011246073E-2</v>
      </c>
      <c r="AQ241" s="26" t="str">
        <f>IFERROR(INDEX('BD(MSCI)'!W:W,MATCH(Tabla_Consulta_desde_Reporte_de_Valorización_de_Instrumentos[[#This Row],[CODIGO_ISIN]],'BD(MSCI)'!C:C,0)),IF(Tabla_Consulta_desde_Reporte_de_Valorización_de_Instrumentos[[#This Row],[Rank_rt]]="Cash","Cash","Cuestionario Integra"))</f>
        <v>Proxies</v>
      </c>
      <c r="AR241" s="26" t="str">
        <f>IFERROR(INDEX('BD(MSCI)'!X:X,MATCH(Tabla_Consulta_desde_Reporte_de_Valorización_de_Instrumentos[[#This Row],[CODIGO_ISIN]],'BD(MSCI)'!C:C,0)),"Cuestionario Integra")</f>
        <v>Alts</v>
      </c>
      <c r="AU241" s="26"/>
    </row>
    <row r="242" spans="2:47" hidden="1" x14ac:dyDescent="0.25">
      <c r="B242" s="14" t="s">
        <v>6390</v>
      </c>
      <c r="C242" t="s">
        <v>547</v>
      </c>
      <c r="D242" t="s">
        <v>11</v>
      </c>
      <c r="E242" t="s">
        <v>548</v>
      </c>
      <c r="F242" t="s">
        <v>574</v>
      </c>
      <c r="G242" t="str">
        <f>INDEX(Parametria!H:H,MATCH(Tabla_Consulta_desde_Reporte_de_Valorización_de_Instrumentos[[#This Row],[CODIGO_SBS]],Parametria!C:C,0),1)</f>
        <v>Enfoca - Descubridor 2</v>
      </c>
      <c r="H242" t="s">
        <v>575</v>
      </c>
      <c r="I242" t="s">
        <v>156</v>
      </c>
      <c r="J242" t="s">
        <v>573</v>
      </c>
      <c r="K242" t="s">
        <v>50</v>
      </c>
      <c r="L242">
        <v>1</v>
      </c>
      <c r="M242" s="5">
        <v>23032247.699999999</v>
      </c>
      <c r="N242">
        <v>6853000</v>
      </c>
      <c r="O242">
        <v>31150000</v>
      </c>
      <c r="P242" s="15">
        <v>46387</v>
      </c>
      <c r="Q242">
        <v>365</v>
      </c>
      <c r="R242">
        <v>3.3609</v>
      </c>
      <c r="S242" t="s">
        <v>428</v>
      </c>
      <c r="T242">
        <v>23043897.800000001</v>
      </c>
      <c r="U242" s="5">
        <v>6853000</v>
      </c>
      <c r="V242" t="s">
        <v>156</v>
      </c>
      <c r="W242">
        <v>0</v>
      </c>
      <c r="X242">
        <v>0</v>
      </c>
      <c r="Y242">
        <v>0</v>
      </c>
      <c r="Z242">
        <v>0</v>
      </c>
      <c r="AA242" t="str">
        <f>+MID(Tabla_Consulta_desde_Reporte_de_Valorización_de_Instrumentos[[#This Row],[CODIGO_SBS]],7,1)</f>
        <v>2</v>
      </c>
      <c r="AB242">
        <f>INDEX('Cálculo Caja'!F:F,MATCH(Tabla_Consulta_desde_Reporte_de_Valorización_de_Instrumentos[[#This Row],[PORTAFOLIO]],'Cálculo Caja'!A:A,0),1)</f>
        <v>3164069580.822104</v>
      </c>
      <c r="AC242" s="17">
        <f>Tabla_Consulta_desde_Reporte_de_Valorización_de_Instrumentos[[#This Row],[VALOR_VECTOR_LOCAL]]/Tabla_Consulta_desde_Reporte_de_Valorización_de_Instrumentos[[#This Row],[Patrimonio]]</f>
        <v>7.2793113778539748E-3</v>
      </c>
      <c r="AD242" s="4">
        <f>(Tabla_Consulta_desde_Reporte_de_Valorización_de_Instrumentos[[#This Row],[VALOR_VECTOR_LOCAL]]/INDEX('Tipo de Cambio'!$D:$D,MATCH("2",'Tipo de Cambio'!$E:$E,0),1))/1000000</f>
        <v>6.8529999999999998</v>
      </c>
      <c r="AE242">
        <f>IF(Tabla_Consulta_desde_Reporte_de_Valorización_de_Instrumentos[[#This Row],[PORTAFOLIO]]="IN-FONDO0",Tabla_Consulta_desde_Reporte_de_Valorización_de_Instrumentos[[#This Row],[Inv MM$]],0)</f>
        <v>0</v>
      </c>
      <c r="AF242" s="26">
        <f>IF(Tabla_Consulta_desde_Reporte_de_Valorización_de_Instrumentos[[#This Row],[PORTAFOLIO]]="IN-FONDO1",Tabla_Consulta_desde_Reporte_de_Valorización_de_Instrumentos[[#This Row],[Inv MM$]],0)</f>
        <v>0</v>
      </c>
      <c r="AG242" s="26">
        <f>IF(Tabla_Consulta_desde_Reporte_de_Valorización_de_Instrumentos[[#This Row],[PORTAFOLIO]]="IN-FONDO2",Tabla_Consulta_desde_Reporte_de_Valorización_de_Instrumentos[[#This Row],[Inv MM$]],0)</f>
        <v>0</v>
      </c>
      <c r="AH242" s="26">
        <f>IF(Tabla_Consulta_desde_Reporte_de_Valorización_de_Instrumentos[[#This Row],[PORTAFOLIO]]="IN-FONDO3",Tabla_Consulta_desde_Reporte_de_Valorización_de_Instrumentos[[#This Row],[Inv MM$]],0)</f>
        <v>6.8529999999999998</v>
      </c>
      <c r="AI24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9.7899999999999991</v>
      </c>
      <c r="AJ242" s="26">
        <f>IFERROR(IFERROR(INDEX('BD(MSCI)'!$T:$T,MATCH(Tabla_Consulta_desde_Reporte_de_Valorización_de_Instrumentos[[#This Row],[CODIGO_ISIN]],'BD(MSCI)'!$C:$C,0),1),INDEX('BD(MSCI)'!$T:$T,MATCH(Tabla_Consulta_desde_Reporte_de_Valorización_de_Instrumentos[[#This Row],[CODIGO_SBS]],'BD(MSCI)'!$C:$C,0),1)),0)</f>
        <v>31.33247536</v>
      </c>
      <c r="AK242" s="26">
        <f>Tabla_Consulta_desde_Reporte_de_Valorización_de_Instrumentos[[#This Row],[C02-H]]*Tabla_Consulta_desde_Reporte_de_Valorización_de_Instrumentos[[#This Row],[Inv MM$]]</f>
        <v>214.72145364208001</v>
      </c>
      <c r="AL242" s="26">
        <f>Tabla_Consulta_desde_Reporte_de_Valorización_de_Instrumentos[[#This Row],[C02-H]]*Tabla_Consulta_desde_Reporte_de_Valorización_de_Instrumentos[[#This Row],[Weight]]</f>
        <v>0.22807884438437731</v>
      </c>
      <c r="AM242" s="26" t="str">
        <f>INDEX(Parametria!G:G,MATCH(Tabla_Consulta_desde_Reporte_de_Valorización_de_Instrumentos[[#This Row],[CODIGO_SBS]],Parametria!C:C,0))</f>
        <v>51ALT</v>
      </c>
      <c r="AN242" s="26" t="str">
        <f>INDEX(Parametria!F:F,MATCH(Tabla_Consulta_desde_Reporte_de_Valorización_de_Instrumentos[[#This Row],[CODIGO_SBS]],Parametria!C:C,0))</f>
        <v>ALT</v>
      </c>
      <c r="AO242" s="26" t="str">
        <f>+INDEX(Parametria!J:J,MATCH(Tabla_Consulta_desde_Reporte_de_Valorización_de_Instrumentos[[#This Row],[CODIGO_SBS]],Parametria!C:C,0))</f>
        <v>ALT</v>
      </c>
      <c r="AP242" s="26">
        <f>Tabla_Consulta_desde_Reporte_de_Valorización_de_Instrumentos[[#This Row],[Huella]]/$AU$4</f>
        <v>1.9905704011246073E-2</v>
      </c>
      <c r="AQ242" s="26" t="str">
        <f>IFERROR(INDEX('BD(MSCI)'!W:W,MATCH(Tabla_Consulta_desde_Reporte_de_Valorización_de_Instrumentos[[#This Row],[CODIGO_ISIN]],'BD(MSCI)'!C:C,0)),IF(Tabla_Consulta_desde_Reporte_de_Valorización_de_Instrumentos[[#This Row],[Rank_rt]]="Cash","Cash","Cuestionario Integra"))</f>
        <v>Proxies</v>
      </c>
      <c r="AR242" s="26" t="str">
        <f>IFERROR(INDEX('BD(MSCI)'!X:X,MATCH(Tabla_Consulta_desde_Reporte_de_Valorización_de_Instrumentos[[#This Row],[CODIGO_ISIN]],'BD(MSCI)'!C:C,0)),"Cuestionario Integra")</f>
        <v>Alts</v>
      </c>
      <c r="AU242" s="26"/>
    </row>
    <row r="243" spans="2:47" hidden="1" x14ac:dyDescent="0.25">
      <c r="B243" s="14" t="s">
        <v>6390</v>
      </c>
      <c r="C243" t="s">
        <v>547</v>
      </c>
      <c r="D243" t="s">
        <v>11</v>
      </c>
      <c r="E243" t="s">
        <v>548</v>
      </c>
      <c r="F243" t="s">
        <v>576</v>
      </c>
      <c r="G243" t="str">
        <f>INDEX(Parametria!H:H,MATCH(Tabla_Consulta_desde_Reporte_de_Valorización_de_Instrumentos[[#This Row],[CODIGO_SBS]],Parametria!C:C,0),1)</f>
        <v xml:space="preserve">Faro Capital - Fondo de Inversión Retail </v>
      </c>
      <c r="H243" t="s">
        <v>577</v>
      </c>
      <c r="I243" t="s">
        <v>156</v>
      </c>
      <c r="J243" t="s">
        <v>578</v>
      </c>
      <c r="K243" t="s">
        <v>50</v>
      </c>
      <c r="L243">
        <v>1000</v>
      </c>
      <c r="M243" s="5">
        <v>26013.366000000002</v>
      </c>
      <c r="N243">
        <v>7740</v>
      </c>
      <c r="O243">
        <v>6000</v>
      </c>
      <c r="P243" s="15">
        <v>46031</v>
      </c>
      <c r="Q243">
        <v>9</v>
      </c>
      <c r="R243">
        <v>3.3609</v>
      </c>
      <c r="S243" t="s">
        <v>428</v>
      </c>
      <c r="T243">
        <v>26026.524000000001</v>
      </c>
      <c r="U243" s="5">
        <v>7740</v>
      </c>
      <c r="V243" t="s">
        <v>156</v>
      </c>
      <c r="W243">
        <v>0</v>
      </c>
      <c r="X243">
        <v>0</v>
      </c>
      <c r="Y243">
        <v>0</v>
      </c>
      <c r="Z243">
        <v>0</v>
      </c>
      <c r="AA243" t="str">
        <f>+MID(Tabla_Consulta_desde_Reporte_de_Valorización_de_Instrumentos[[#This Row],[CODIGO_SBS]],7,1)</f>
        <v>2</v>
      </c>
      <c r="AB243">
        <f>INDEX('Cálculo Caja'!F:F,MATCH(Tabla_Consulta_desde_Reporte_de_Valorización_de_Instrumentos[[#This Row],[PORTAFOLIO]],'Cálculo Caja'!A:A,0),1)</f>
        <v>3164069580.822104</v>
      </c>
      <c r="AC243" s="17">
        <f>Tabla_Consulta_desde_Reporte_de_Valorización_de_Instrumentos[[#This Row],[VALOR_VECTOR_LOCAL]]/Tabla_Consulta_desde_Reporte_de_Valorización_de_Instrumentos[[#This Row],[Patrimonio]]</f>
        <v>8.2214898678811868E-6</v>
      </c>
      <c r="AD243" s="4">
        <f>(Tabla_Consulta_desde_Reporte_de_Valorización_de_Instrumentos[[#This Row],[VALOR_VECTOR_LOCAL]]/INDEX('Tipo de Cambio'!$D:$D,MATCH("2",'Tipo de Cambio'!$E:$E,0),1))/1000000</f>
        <v>7.7400000000000012E-3</v>
      </c>
      <c r="AE243">
        <f>IF(Tabla_Consulta_desde_Reporte_de_Valorización_de_Instrumentos[[#This Row],[PORTAFOLIO]]="IN-FONDO0",Tabla_Consulta_desde_Reporte_de_Valorización_de_Instrumentos[[#This Row],[Inv MM$]],0)</f>
        <v>0</v>
      </c>
      <c r="AF243" s="26">
        <f>IF(Tabla_Consulta_desde_Reporte_de_Valorización_de_Instrumentos[[#This Row],[PORTAFOLIO]]="IN-FONDO1",Tabla_Consulta_desde_Reporte_de_Valorización_de_Instrumentos[[#This Row],[Inv MM$]],0)</f>
        <v>0</v>
      </c>
      <c r="AG243" s="26">
        <f>IF(Tabla_Consulta_desde_Reporte_de_Valorización_de_Instrumentos[[#This Row],[PORTAFOLIO]]="IN-FONDO2",Tabla_Consulta_desde_Reporte_de_Valorización_de_Instrumentos[[#This Row],[Inv MM$]],0)</f>
        <v>0</v>
      </c>
      <c r="AH243" s="26">
        <f>IF(Tabla_Consulta_desde_Reporte_de_Valorización_de_Instrumentos[[#This Row],[PORTAFOLIO]]="IN-FONDO3",Tabla_Consulta_desde_Reporte_de_Valorización_de_Instrumentos[[#This Row],[Inv MM$]],0)</f>
        <v>7.7400000000000012E-3</v>
      </c>
      <c r="AI24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3.8700000000000005E-2</v>
      </c>
      <c r="AJ243" s="26">
        <f>IFERROR(IFERROR(INDEX('BD(MSCI)'!$T:$T,MATCH(Tabla_Consulta_desde_Reporte_de_Valorización_de_Instrumentos[[#This Row],[CODIGO_ISIN]],'BD(MSCI)'!$C:$C,0),1),INDEX('BD(MSCI)'!$T:$T,MATCH(Tabla_Consulta_desde_Reporte_de_Valorización_de_Instrumentos[[#This Row],[CODIGO_SBS]],'BD(MSCI)'!$C:$C,0),1)),0)</f>
        <v>31.33247536</v>
      </c>
      <c r="AK243" s="26">
        <f>Tabla_Consulta_desde_Reporte_de_Valorización_de_Instrumentos[[#This Row],[C02-H]]*Tabla_Consulta_desde_Reporte_de_Valorización_de_Instrumentos[[#This Row],[Inv MM$]]</f>
        <v>0.24251335928640003</v>
      </c>
      <c r="AL243" s="26">
        <f>Tabla_Consulta_desde_Reporte_de_Valorización_de_Instrumentos[[#This Row],[C02-H]]*Tabla_Consulta_desde_Reporte_de_Valorización_de_Instrumentos[[#This Row],[Weight]]</f>
        <v>2.5759962870787695E-4</v>
      </c>
      <c r="AM243" s="26" t="str">
        <f>INDEX(Parametria!G:G,MATCH(Tabla_Consulta_desde_Reporte_de_Valorización_de_Instrumentos[[#This Row],[CODIGO_SBS]],Parametria!C:C,0))</f>
        <v>51ALT</v>
      </c>
      <c r="AN243" s="26" t="str">
        <f>INDEX(Parametria!F:F,MATCH(Tabla_Consulta_desde_Reporte_de_Valorización_de_Instrumentos[[#This Row],[CODIGO_SBS]],Parametria!C:C,0))</f>
        <v>ALT</v>
      </c>
      <c r="AO243" s="26" t="str">
        <f>+INDEX(Parametria!J:J,MATCH(Tabla_Consulta_desde_Reporte_de_Valorización_de_Instrumentos[[#This Row],[CODIGO_SBS]],Parametria!C:C,0))</f>
        <v>ALT</v>
      </c>
      <c r="AP243" s="26">
        <f>Tabla_Consulta_desde_Reporte_de_Valorización_de_Instrumentos[[#This Row],[Huella]]/$AU$4</f>
        <v>2.2482146366123542E-5</v>
      </c>
      <c r="AQ243" s="26" t="str">
        <f>IFERROR(INDEX('BD(MSCI)'!W:W,MATCH(Tabla_Consulta_desde_Reporte_de_Valorización_de_Instrumentos[[#This Row],[CODIGO_ISIN]],'BD(MSCI)'!C:C,0)),IF(Tabla_Consulta_desde_Reporte_de_Valorización_de_Instrumentos[[#This Row],[Rank_rt]]="Cash","Cash","Cuestionario Integra"))</f>
        <v>Proxies</v>
      </c>
      <c r="AR243" s="26" t="str">
        <f>IFERROR(INDEX('BD(MSCI)'!X:X,MATCH(Tabla_Consulta_desde_Reporte_de_Valorización_de_Instrumentos[[#This Row],[CODIGO_ISIN]],'BD(MSCI)'!C:C,0)),"Cuestionario Integra")</f>
        <v>Alts</v>
      </c>
      <c r="AU243" s="26"/>
    </row>
    <row r="244" spans="2:47" hidden="1" x14ac:dyDescent="0.25">
      <c r="B244" s="14" t="s">
        <v>6390</v>
      </c>
      <c r="C244" t="s">
        <v>547</v>
      </c>
      <c r="D244" t="s">
        <v>10</v>
      </c>
      <c r="E244" t="s">
        <v>548</v>
      </c>
      <c r="F244" t="s">
        <v>576</v>
      </c>
      <c r="G244" t="str">
        <f>INDEX(Parametria!H:H,MATCH(Tabla_Consulta_desde_Reporte_de_Valorización_de_Instrumentos[[#This Row],[CODIGO_SBS]],Parametria!C:C,0),1)</f>
        <v xml:space="preserve">Faro Capital - Fondo de Inversión Retail </v>
      </c>
      <c r="H244" t="s">
        <v>577</v>
      </c>
      <c r="I244" t="s">
        <v>156</v>
      </c>
      <c r="J244" t="s">
        <v>578</v>
      </c>
      <c r="K244" t="s">
        <v>50</v>
      </c>
      <c r="L244">
        <v>1000</v>
      </c>
      <c r="M244" s="5">
        <v>104053.46400000001</v>
      </c>
      <c r="N244">
        <v>30960</v>
      </c>
      <c r="O244">
        <v>24000</v>
      </c>
      <c r="P244" s="15">
        <v>46031</v>
      </c>
      <c r="Q244">
        <v>9</v>
      </c>
      <c r="R244">
        <v>3.3609</v>
      </c>
      <c r="S244" t="s">
        <v>428</v>
      </c>
      <c r="T244">
        <v>104106.09600000001</v>
      </c>
      <c r="U244" s="5">
        <v>30960</v>
      </c>
      <c r="V244" t="s">
        <v>156</v>
      </c>
      <c r="W244">
        <v>0</v>
      </c>
      <c r="X244">
        <v>0</v>
      </c>
      <c r="Y244">
        <v>0</v>
      </c>
      <c r="Z244">
        <v>0</v>
      </c>
      <c r="AA244" t="str">
        <f>+MID(Tabla_Consulta_desde_Reporte_de_Valorización_de_Instrumentos[[#This Row],[CODIGO_SBS]],7,1)</f>
        <v>2</v>
      </c>
      <c r="AB244">
        <f>INDEX('Cálculo Caja'!F:F,MATCH(Tabla_Consulta_desde_Reporte_de_Valorización_de_Instrumentos[[#This Row],[PORTAFOLIO]],'Cálculo Caja'!A:A,0),1)</f>
        <v>26256910350.436607</v>
      </c>
      <c r="AC244" s="17">
        <f>Tabla_Consulta_desde_Reporte_de_Valorización_de_Instrumentos[[#This Row],[VALOR_VECTOR_LOCAL]]/Tabla_Consulta_desde_Reporte_de_Valorización_de_Instrumentos[[#This Row],[Patrimonio]]</f>
        <v>3.9628982470235601E-6</v>
      </c>
      <c r="AD244" s="4">
        <f>(Tabla_Consulta_desde_Reporte_de_Valorización_de_Instrumentos[[#This Row],[VALOR_VECTOR_LOCAL]]/INDEX('Tipo de Cambio'!$D:$D,MATCH("2",'Tipo de Cambio'!$E:$E,0),1))/1000000</f>
        <v>3.0960000000000005E-2</v>
      </c>
      <c r="AE244">
        <f>IF(Tabla_Consulta_desde_Reporte_de_Valorización_de_Instrumentos[[#This Row],[PORTAFOLIO]]="IN-FONDO0",Tabla_Consulta_desde_Reporte_de_Valorización_de_Instrumentos[[#This Row],[Inv MM$]],0)</f>
        <v>0</v>
      </c>
      <c r="AF244" s="26">
        <f>IF(Tabla_Consulta_desde_Reporte_de_Valorización_de_Instrumentos[[#This Row],[PORTAFOLIO]]="IN-FONDO1",Tabla_Consulta_desde_Reporte_de_Valorización_de_Instrumentos[[#This Row],[Inv MM$]],0)</f>
        <v>0</v>
      </c>
      <c r="AG244" s="26">
        <f>IF(Tabla_Consulta_desde_Reporte_de_Valorización_de_Instrumentos[[#This Row],[PORTAFOLIO]]="IN-FONDO2",Tabla_Consulta_desde_Reporte_de_Valorización_de_Instrumentos[[#This Row],[Inv MM$]],0)</f>
        <v>3.0960000000000005E-2</v>
      </c>
      <c r="AH244" s="26">
        <f>IF(Tabla_Consulta_desde_Reporte_de_Valorización_de_Instrumentos[[#This Row],[PORTAFOLIO]]="IN-FONDO3",Tabla_Consulta_desde_Reporte_de_Valorización_de_Instrumentos[[#This Row],[Inv MM$]],0)</f>
        <v>0</v>
      </c>
      <c r="AI24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3.8700000000000005E-2</v>
      </c>
      <c r="AJ244" s="26">
        <f>IFERROR(IFERROR(INDEX('BD(MSCI)'!$T:$T,MATCH(Tabla_Consulta_desde_Reporte_de_Valorización_de_Instrumentos[[#This Row],[CODIGO_ISIN]],'BD(MSCI)'!$C:$C,0),1),INDEX('BD(MSCI)'!$T:$T,MATCH(Tabla_Consulta_desde_Reporte_de_Valorización_de_Instrumentos[[#This Row],[CODIGO_SBS]],'BD(MSCI)'!$C:$C,0),1)),0)</f>
        <v>31.33247536</v>
      </c>
      <c r="AK244" s="26">
        <f>Tabla_Consulta_desde_Reporte_de_Valorización_de_Instrumentos[[#This Row],[C02-H]]*Tabla_Consulta_desde_Reporte_de_Valorización_de_Instrumentos[[#This Row],[Inv MM$]]</f>
        <v>0.97005343714560011</v>
      </c>
      <c r="AL244" s="26">
        <f>Tabla_Consulta_desde_Reporte_de_Valorización_de_Instrumentos[[#This Row],[C02-H]]*Tabla_Consulta_desde_Reporte_de_Valorización_de_Instrumentos[[#This Row],[Weight]]</f>
        <v>1.2416741167905289E-4</v>
      </c>
      <c r="AM244" s="26" t="str">
        <f>INDEX(Parametria!G:G,MATCH(Tabla_Consulta_desde_Reporte_de_Valorización_de_Instrumentos[[#This Row],[CODIGO_SBS]],Parametria!C:C,0))</f>
        <v>51ALT</v>
      </c>
      <c r="AN244" s="26" t="str">
        <f>INDEX(Parametria!F:F,MATCH(Tabla_Consulta_desde_Reporte_de_Valorización_de_Instrumentos[[#This Row],[CODIGO_SBS]],Parametria!C:C,0))</f>
        <v>ALT</v>
      </c>
      <c r="AO244" s="26" t="str">
        <f>+INDEX(Parametria!J:J,MATCH(Tabla_Consulta_desde_Reporte_de_Valorización_de_Instrumentos[[#This Row],[CODIGO_SBS]],Parametria!C:C,0))</f>
        <v>ALT</v>
      </c>
      <c r="AP244" s="26">
        <f>Tabla_Consulta_desde_Reporte_de_Valorización_de_Instrumentos[[#This Row],[Huella]]/$AU$4</f>
        <v>8.992858546449417E-5</v>
      </c>
      <c r="AQ244" s="26" t="str">
        <f>IFERROR(INDEX('BD(MSCI)'!W:W,MATCH(Tabla_Consulta_desde_Reporte_de_Valorización_de_Instrumentos[[#This Row],[CODIGO_ISIN]],'BD(MSCI)'!C:C,0)),IF(Tabla_Consulta_desde_Reporte_de_Valorización_de_Instrumentos[[#This Row],[Rank_rt]]="Cash","Cash","Cuestionario Integra"))</f>
        <v>Proxies</v>
      </c>
      <c r="AR244" s="26" t="str">
        <f>IFERROR(INDEX('BD(MSCI)'!X:X,MATCH(Tabla_Consulta_desde_Reporte_de_Valorización_de_Instrumentos[[#This Row],[CODIGO_ISIN]],'BD(MSCI)'!C:C,0)),"Cuestionario Integra")</f>
        <v>Alts</v>
      </c>
      <c r="AU244" s="26"/>
    </row>
    <row r="245" spans="2:47" hidden="1" x14ac:dyDescent="0.25">
      <c r="B245" s="14" t="s">
        <v>6390</v>
      </c>
      <c r="C245" t="s">
        <v>547</v>
      </c>
      <c r="D245" t="s">
        <v>10</v>
      </c>
      <c r="E245" t="s">
        <v>548</v>
      </c>
      <c r="F245" t="s">
        <v>582</v>
      </c>
      <c r="G245" t="str">
        <f>INDEX(Parametria!H:H,MATCH(Tabla_Consulta_desde_Reporte_de_Valorización_de_Instrumentos[[#This Row],[CODIGO_SBS]],Parametria!C:C,0),1)</f>
        <v>LarraínVial Colliers - Fibra III</v>
      </c>
      <c r="H245" t="s">
        <v>583</v>
      </c>
      <c r="I245" t="s">
        <v>156</v>
      </c>
      <c r="J245" t="s">
        <v>579</v>
      </c>
      <c r="K245" t="s">
        <v>50</v>
      </c>
      <c r="L245">
        <v>1000</v>
      </c>
      <c r="M245" s="5">
        <v>95605727.982708007</v>
      </c>
      <c r="N245">
        <v>28446466.120000001</v>
      </c>
      <c r="O245">
        <v>28012</v>
      </c>
      <c r="P245" s="15">
        <v>47505</v>
      </c>
      <c r="Q245">
        <v>1483</v>
      </c>
      <c r="R245">
        <v>3.3609</v>
      </c>
      <c r="S245" t="s">
        <v>428</v>
      </c>
      <c r="T245">
        <v>95654086.975112006</v>
      </c>
      <c r="U245" s="5">
        <v>28446466.120000001</v>
      </c>
      <c r="V245" t="s">
        <v>156</v>
      </c>
      <c r="W245">
        <v>0</v>
      </c>
      <c r="X245">
        <v>0</v>
      </c>
      <c r="Y245">
        <v>0</v>
      </c>
      <c r="Z245">
        <v>0</v>
      </c>
      <c r="AA245" t="str">
        <f>+MID(Tabla_Consulta_desde_Reporte_de_Valorización_de_Instrumentos[[#This Row],[CODIGO_SBS]],7,1)</f>
        <v>2</v>
      </c>
      <c r="AB245">
        <f>INDEX('Cálculo Caja'!F:F,MATCH(Tabla_Consulta_desde_Reporte_de_Valorización_de_Instrumentos[[#This Row],[PORTAFOLIO]],'Cálculo Caja'!A:A,0),1)</f>
        <v>26256910350.436607</v>
      </c>
      <c r="AC245" s="17">
        <f>Tabla_Consulta_desde_Reporte_de_Valorización_de_Instrumentos[[#This Row],[VALOR_VECTOR_LOCAL]]/Tabla_Consulta_desde_Reporte_de_Valorización_de_Instrumentos[[#This Row],[Patrimonio]]</f>
        <v>3.6411644289716764E-3</v>
      </c>
      <c r="AD245" s="4">
        <f>(Tabla_Consulta_desde_Reporte_de_Valorización_de_Instrumentos[[#This Row],[VALOR_VECTOR_LOCAL]]/INDEX('Tipo de Cambio'!$D:$D,MATCH("2",'Tipo de Cambio'!$E:$E,0),1))/1000000</f>
        <v>28.44646612</v>
      </c>
      <c r="AE245">
        <f>IF(Tabla_Consulta_desde_Reporte_de_Valorización_de_Instrumentos[[#This Row],[PORTAFOLIO]]="IN-FONDO0",Tabla_Consulta_desde_Reporte_de_Valorización_de_Instrumentos[[#This Row],[Inv MM$]],0)</f>
        <v>0</v>
      </c>
      <c r="AF245" s="26">
        <f>IF(Tabla_Consulta_desde_Reporte_de_Valorización_de_Instrumentos[[#This Row],[PORTAFOLIO]]="IN-FONDO1",Tabla_Consulta_desde_Reporte_de_Valorización_de_Instrumentos[[#This Row],[Inv MM$]],0)</f>
        <v>0</v>
      </c>
      <c r="AG245" s="26">
        <f>IF(Tabla_Consulta_desde_Reporte_de_Valorización_de_Instrumentos[[#This Row],[PORTAFOLIO]]="IN-FONDO2",Tabla_Consulta_desde_Reporte_de_Valorización_de_Instrumentos[[#This Row],[Inv MM$]],0)</f>
        <v>28.44646612</v>
      </c>
      <c r="AH245" s="26">
        <f>IF(Tabla_Consulta_desde_Reporte_de_Valorización_de_Instrumentos[[#This Row],[PORTAFOLIO]]="IN-FONDO3",Tabla_Consulta_desde_Reporte_de_Valorización_de_Instrumentos[[#This Row],[Inv MM$]],0)</f>
        <v>0</v>
      </c>
      <c r="AI24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28.44646612</v>
      </c>
      <c r="AJ245" s="26">
        <f>IFERROR(IFERROR(INDEX('BD(MSCI)'!$T:$T,MATCH(Tabla_Consulta_desde_Reporte_de_Valorización_de_Instrumentos[[#This Row],[CODIGO_ISIN]],'BD(MSCI)'!$C:$C,0),1),INDEX('BD(MSCI)'!$T:$T,MATCH(Tabla_Consulta_desde_Reporte_de_Valorización_de_Instrumentos[[#This Row],[CODIGO_SBS]],'BD(MSCI)'!$C:$C,0),1)),0)</f>
        <v>31.33247536</v>
      </c>
      <c r="AK245" s="26">
        <f>Tabla_Consulta_desde_Reporte_de_Valorización_de_Instrumentos[[#This Row],[C02-H]]*Tabla_Consulta_desde_Reporte_de_Valorización_de_Instrumentos[[#This Row],[Inv MM$]]</f>
        <v>891.29819878397484</v>
      </c>
      <c r="AL245" s="26">
        <f>Tabla_Consulta_desde_Reporte_de_Valorización_de_Instrumentos[[#This Row],[C02-H]]*Tabla_Consulta_desde_Reporte_de_Valorización_de_Instrumentos[[#This Row],[Weight]]</f>
        <v>0.11408669475246352</v>
      </c>
      <c r="AM245" s="26" t="str">
        <f>INDEX(Parametria!G:G,MATCH(Tabla_Consulta_desde_Reporte_de_Valorización_de_Instrumentos[[#This Row],[CODIGO_SBS]],Parametria!C:C,0))</f>
        <v>51ALT</v>
      </c>
      <c r="AN245" s="26" t="str">
        <f>INDEX(Parametria!F:F,MATCH(Tabla_Consulta_desde_Reporte_de_Valorización_de_Instrumentos[[#This Row],[CODIGO_SBS]],Parametria!C:C,0))</f>
        <v>ALT</v>
      </c>
      <c r="AO245" s="26" t="str">
        <f>+INDEX(Parametria!J:J,MATCH(Tabla_Consulta_desde_Reporte_de_Valorización_de_Instrumentos[[#This Row],[CODIGO_SBS]],Parametria!C:C,0))</f>
        <v>ALT</v>
      </c>
      <c r="AP245" s="26">
        <f>Tabla_Consulta_desde_Reporte_de_Valorización_de_Instrumentos[[#This Row],[Huella]]/$AU$4</f>
        <v>8.2627598825428222E-2</v>
      </c>
      <c r="AQ245" s="26" t="str">
        <f>IFERROR(INDEX('BD(MSCI)'!W:W,MATCH(Tabla_Consulta_desde_Reporte_de_Valorización_de_Instrumentos[[#This Row],[CODIGO_ISIN]],'BD(MSCI)'!C:C,0)),IF(Tabla_Consulta_desde_Reporte_de_Valorización_de_Instrumentos[[#This Row],[Rank_rt]]="Cash","Cash","Cuestionario Integra"))</f>
        <v>Proxies</v>
      </c>
      <c r="AR245" s="26" t="str">
        <f>IFERROR(INDEX('BD(MSCI)'!X:X,MATCH(Tabla_Consulta_desde_Reporte_de_Valorización_de_Instrumentos[[#This Row],[CODIGO_ISIN]],'BD(MSCI)'!C:C,0)),"Cuestionario Integra")</f>
        <v>Alts</v>
      </c>
      <c r="AU245" s="26"/>
    </row>
    <row r="246" spans="2:47" hidden="1" x14ac:dyDescent="0.25">
      <c r="B246" s="14" t="s">
        <v>6390</v>
      </c>
      <c r="C246" t="s">
        <v>547</v>
      </c>
      <c r="D246" t="s">
        <v>10</v>
      </c>
      <c r="E246" t="s">
        <v>548</v>
      </c>
      <c r="F246" t="s">
        <v>580</v>
      </c>
      <c r="G246" t="str">
        <f>INDEX(Parametria!H:H,MATCH(Tabla_Consulta_desde_Reporte_de_Valorización_de_Instrumentos[[#This Row],[CODIGO_SBS]],Parametria!C:C,0),1)</f>
        <v>LarraínVial Colliers - Fibra II</v>
      </c>
      <c r="H246" t="s">
        <v>581</v>
      </c>
      <c r="I246" t="s">
        <v>156</v>
      </c>
      <c r="J246" t="s">
        <v>579</v>
      </c>
      <c r="K246" t="s">
        <v>50</v>
      </c>
      <c r="L246">
        <v>1000</v>
      </c>
      <c r="M246" s="5">
        <v>35956093.118904002</v>
      </c>
      <c r="N246">
        <v>10698352.560000001</v>
      </c>
      <c r="O246">
        <v>18900</v>
      </c>
      <c r="P246" s="15">
        <v>46387</v>
      </c>
      <c r="Q246">
        <v>365</v>
      </c>
      <c r="R246">
        <v>3.3609</v>
      </c>
      <c r="S246" t="s">
        <v>428</v>
      </c>
      <c r="T246">
        <v>35974280.318255998</v>
      </c>
      <c r="U246" s="5">
        <v>10698352.560000001</v>
      </c>
      <c r="V246" t="s">
        <v>156</v>
      </c>
      <c r="W246">
        <v>0</v>
      </c>
      <c r="X246">
        <v>0</v>
      </c>
      <c r="Y246">
        <v>0</v>
      </c>
      <c r="Z246">
        <v>0</v>
      </c>
      <c r="AA246" t="str">
        <f>+MID(Tabla_Consulta_desde_Reporte_de_Valorización_de_Instrumentos[[#This Row],[CODIGO_SBS]],7,1)</f>
        <v>2</v>
      </c>
      <c r="AB246">
        <f>INDEX('Cálculo Caja'!F:F,MATCH(Tabla_Consulta_desde_Reporte_de_Valorización_de_Instrumentos[[#This Row],[PORTAFOLIO]],'Cálculo Caja'!A:A,0),1)</f>
        <v>26256910350.436607</v>
      </c>
      <c r="AC246" s="17">
        <f>Tabla_Consulta_desde_Reporte_de_Valorización_de_Instrumentos[[#This Row],[VALOR_VECTOR_LOCAL]]/Tabla_Consulta_desde_Reporte_de_Valorización_de_Instrumentos[[#This Row],[Patrimonio]]</f>
        <v>1.3693954330124037E-3</v>
      </c>
      <c r="AD246" s="4">
        <f>(Tabla_Consulta_desde_Reporte_de_Valorización_de_Instrumentos[[#This Row],[VALOR_VECTOR_LOCAL]]/INDEX('Tipo de Cambio'!$D:$D,MATCH("2",'Tipo de Cambio'!$E:$E,0),1))/1000000</f>
        <v>10.69835256</v>
      </c>
      <c r="AE246">
        <f>IF(Tabla_Consulta_desde_Reporte_de_Valorización_de_Instrumentos[[#This Row],[PORTAFOLIO]]="IN-FONDO0",Tabla_Consulta_desde_Reporte_de_Valorización_de_Instrumentos[[#This Row],[Inv MM$]],0)</f>
        <v>0</v>
      </c>
      <c r="AF246" s="26">
        <f>IF(Tabla_Consulta_desde_Reporte_de_Valorización_de_Instrumentos[[#This Row],[PORTAFOLIO]]="IN-FONDO1",Tabla_Consulta_desde_Reporte_de_Valorización_de_Instrumentos[[#This Row],[Inv MM$]],0)</f>
        <v>0</v>
      </c>
      <c r="AG246" s="26">
        <f>IF(Tabla_Consulta_desde_Reporte_de_Valorización_de_Instrumentos[[#This Row],[PORTAFOLIO]]="IN-FONDO2",Tabla_Consulta_desde_Reporte_de_Valorización_de_Instrumentos[[#This Row],[Inv MM$]],0)</f>
        <v>10.69835256</v>
      </c>
      <c r="AH246" s="26">
        <f>IF(Tabla_Consulta_desde_Reporte_de_Valorización_de_Instrumentos[[#This Row],[PORTAFOLIO]]="IN-FONDO3",Tabla_Consulta_desde_Reporte_de_Valorización_de_Instrumentos[[#This Row],[Inv MM$]],0)</f>
        <v>0</v>
      </c>
      <c r="AI24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15.075054252799994</v>
      </c>
      <c r="AJ246" s="26">
        <f>IFERROR(IFERROR(INDEX('BD(MSCI)'!$T:$T,MATCH(Tabla_Consulta_desde_Reporte_de_Valorización_de_Instrumentos[[#This Row],[CODIGO_ISIN]],'BD(MSCI)'!$C:$C,0),1),INDEX('BD(MSCI)'!$T:$T,MATCH(Tabla_Consulta_desde_Reporte_de_Valorización_de_Instrumentos[[#This Row],[CODIGO_SBS]],'BD(MSCI)'!$C:$C,0),1)),0)</f>
        <v>31.33247536</v>
      </c>
      <c r="AK246" s="26">
        <f>Tabla_Consulta_desde_Reporte_de_Valorización_de_Instrumentos[[#This Row],[C02-H]]*Tabla_Consulta_desde_Reporte_de_Valorización_de_Instrumentos[[#This Row],[Inv MM$]]</f>
        <v>335.20586797879292</v>
      </c>
      <c r="AL246" s="26">
        <f>Tabla_Consulta_desde_Reporte_de_Valorización_de_Instrumentos[[#This Row],[C02-H]]*Tabla_Consulta_desde_Reporte_de_Valorización_de_Instrumentos[[#This Row],[Weight]]</f>
        <v>4.2906548662957671E-2</v>
      </c>
      <c r="AM246" s="26" t="str">
        <f>INDEX(Parametria!G:G,MATCH(Tabla_Consulta_desde_Reporte_de_Valorización_de_Instrumentos[[#This Row],[CODIGO_SBS]],Parametria!C:C,0))</f>
        <v>51ALT</v>
      </c>
      <c r="AN246" s="26" t="str">
        <f>INDEX(Parametria!F:F,MATCH(Tabla_Consulta_desde_Reporte_de_Valorización_de_Instrumentos[[#This Row],[CODIGO_SBS]],Parametria!C:C,0))</f>
        <v>ALT</v>
      </c>
      <c r="AO246" s="26" t="str">
        <f>+INDEX(Parametria!J:J,MATCH(Tabla_Consulta_desde_Reporte_de_Valorización_de_Instrumentos[[#This Row],[CODIGO_SBS]],Parametria!C:C,0))</f>
        <v>ALT</v>
      </c>
      <c r="AP246" s="26">
        <f>Tabla_Consulta_desde_Reporte_de_Valorización_de_Instrumentos[[#This Row],[Huella]]/$AU$4</f>
        <v>3.1075184512960267E-2</v>
      </c>
      <c r="AQ246" s="26" t="str">
        <f>IFERROR(INDEX('BD(MSCI)'!W:W,MATCH(Tabla_Consulta_desde_Reporte_de_Valorización_de_Instrumentos[[#This Row],[CODIGO_ISIN]],'BD(MSCI)'!C:C,0)),IF(Tabla_Consulta_desde_Reporte_de_Valorización_de_Instrumentos[[#This Row],[Rank_rt]]="Cash","Cash","Cuestionario Integra"))</f>
        <v>Proxies</v>
      </c>
      <c r="AR246" s="26" t="str">
        <f>IFERROR(INDEX('BD(MSCI)'!X:X,MATCH(Tabla_Consulta_desde_Reporte_de_Valorización_de_Instrumentos[[#This Row],[CODIGO_ISIN]],'BD(MSCI)'!C:C,0)),"Cuestionario Integra")</f>
        <v>Alts</v>
      </c>
      <c r="AU246" s="26"/>
    </row>
    <row r="247" spans="2:47" hidden="1" x14ac:dyDescent="0.25">
      <c r="B247" s="14" t="s">
        <v>6390</v>
      </c>
      <c r="C247" t="s">
        <v>547</v>
      </c>
      <c r="D247" t="s">
        <v>11</v>
      </c>
      <c r="E247" t="s">
        <v>548</v>
      </c>
      <c r="F247" t="s">
        <v>580</v>
      </c>
      <c r="G247" t="str">
        <f>INDEX(Parametria!H:H,MATCH(Tabla_Consulta_desde_Reporte_de_Valorización_de_Instrumentos[[#This Row],[CODIGO_SBS]],Parametria!C:C,0),1)</f>
        <v>LarraínVial Colliers - Fibra II</v>
      </c>
      <c r="H247" t="s">
        <v>581</v>
      </c>
      <c r="I247" t="s">
        <v>156</v>
      </c>
      <c r="J247" t="s">
        <v>579</v>
      </c>
      <c r="K247" t="s">
        <v>50</v>
      </c>
      <c r="L247">
        <v>1000</v>
      </c>
      <c r="M247" s="5">
        <v>14709656.719331499</v>
      </c>
      <c r="N247">
        <v>4376701.6928000003</v>
      </c>
      <c r="O247">
        <v>7732</v>
      </c>
      <c r="P247" s="15">
        <v>46387</v>
      </c>
      <c r="Q247">
        <v>365</v>
      </c>
      <c r="R247">
        <v>3.3609</v>
      </c>
      <c r="S247" t="s">
        <v>428</v>
      </c>
      <c r="T247">
        <v>14717097.112209201</v>
      </c>
      <c r="U247" s="5">
        <v>4376701.6928000003</v>
      </c>
      <c r="V247" t="s">
        <v>156</v>
      </c>
      <c r="W247">
        <v>0</v>
      </c>
      <c r="X247">
        <v>0</v>
      </c>
      <c r="Y247">
        <v>0</v>
      </c>
      <c r="Z247">
        <v>0</v>
      </c>
      <c r="AA247" t="str">
        <f>+MID(Tabla_Consulta_desde_Reporte_de_Valorización_de_Instrumentos[[#This Row],[CODIGO_SBS]],7,1)</f>
        <v>2</v>
      </c>
      <c r="AB247">
        <f>INDEX('Cálculo Caja'!F:F,MATCH(Tabla_Consulta_desde_Reporte_de_Valorización_de_Instrumentos[[#This Row],[PORTAFOLIO]],'Cálculo Caja'!A:A,0),1)</f>
        <v>3164069580.822104</v>
      </c>
      <c r="AC247" s="17">
        <f>Tabla_Consulta_desde_Reporte_de_Valorización_de_Instrumentos[[#This Row],[VALOR_VECTOR_LOCAL]]/Tabla_Consulta_desde_Reporte_de_Valorización_de_Instrumentos[[#This Row],[Patrimonio]]</f>
        <v>4.6489675222343135E-3</v>
      </c>
      <c r="AD247" s="4">
        <f>(Tabla_Consulta_desde_Reporte_de_Valorización_de_Instrumentos[[#This Row],[VALOR_VECTOR_LOCAL]]/INDEX('Tipo de Cambio'!$D:$D,MATCH("2",'Tipo de Cambio'!$E:$E,0),1))/1000000</f>
        <v>4.376701692799994</v>
      </c>
      <c r="AE247">
        <f>IF(Tabla_Consulta_desde_Reporte_de_Valorización_de_Instrumentos[[#This Row],[PORTAFOLIO]]="IN-FONDO0",Tabla_Consulta_desde_Reporte_de_Valorización_de_Instrumentos[[#This Row],[Inv MM$]],0)</f>
        <v>0</v>
      </c>
      <c r="AF247" s="26">
        <f>IF(Tabla_Consulta_desde_Reporte_de_Valorización_de_Instrumentos[[#This Row],[PORTAFOLIO]]="IN-FONDO1",Tabla_Consulta_desde_Reporte_de_Valorización_de_Instrumentos[[#This Row],[Inv MM$]],0)</f>
        <v>0</v>
      </c>
      <c r="AG247" s="26">
        <f>IF(Tabla_Consulta_desde_Reporte_de_Valorización_de_Instrumentos[[#This Row],[PORTAFOLIO]]="IN-FONDO2",Tabla_Consulta_desde_Reporte_de_Valorización_de_Instrumentos[[#This Row],[Inv MM$]],0)</f>
        <v>0</v>
      </c>
      <c r="AH247" s="26">
        <f>IF(Tabla_Consulta_desde_Reporte_de_Valorización_de_Instrumentos[[#This Row],[PORTAFOLIO]]="IN-FONDO3",Tabla_Consulta_desde_Reporte_de_Valorización_de_Instrumentos[[#This Row],[Inv MM$]],0)</f>
        <v>4.376701692799994</v>
      </c>
      <c r="AI24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15.075054252799994</v>
      </c>
      <c r="AJ247" s="26">
        <f>IFERROR(IFERROR(INDEX('BD(MSCI)'!$T:$T,MATCH(Tabla_Consulta_desde_Reporte_de_Valorización_de_Instrumentos[[#This Row],[CODIGO_ISIN]],'BD(MSCI)'!$C:$C,0),1),INDEX('BD(MSCI)'!$T:$T,MATCH(Tabla_Consulta_desde_Reporte_de_Valorización_de_Instrumentos[[#This Row],[CODIGO_SBS]],'BD(MSCI)'!$C:$C,0),1)),0)</f>
        <v>31.33247536</v>
      </c>
      <c r="AK247" s="26">
        <f>Tabla_Consulta_desde_Reporte_de_Valorización_de_Instrumentos[[#This Row],[C02-H]]*Tabla_Consulta_desde_Reporte_de_Valorización_de_Instrumentos[[#This Row],[Inv MM$]]</f>
        <v>137.13289794772609</v>
      </c>
      <c r="AL247" s="26">
        <f>Tabla_Consulta_desde_Reporte_de_Valorización_de_Instrumentos[[#This Row],[C02-H]]*Tabla_Consulta_desde_Reporte_de_Valorización_de_Instrumentos[[#This Row],[Weight]]</f>
        <v>0.14566366033984687</v>
      </c>
      <c r="AM247" s="26" t="str">
        <f>INDEX(Parametria!G:G,MATCH(Tabla_Consulta_desde_Reporte_de_Valorización_de_Instrumentos[[#This Row],[CODIGO_SBS]],Parametria!C:C,0))</f>
        <v>51ALT</v>
      </c>
      <c r="AN247" s="26" t="str">
        <f>INDEX(Parametria!F:F,MATCH(Tabla_Consulta_desde_Reporte_de_Valorización_de_Instrumentos[[#This Row],[CODIGO_SBS]],Parametria!C:C,0))</f>
        <v>ALT</v>
      </c>
      <c r="AO247" s="26" t="str">
        <f>+INDEX(Parametria!J:J,MATCH(Tabla_Consulta_desde_Reporte_de_Valorización_de_Instrumentos[[#This Row],[CODIGO_SBS]],Parametria!C:C,0))</f>
        <v>ALT</v>
      </c>
      <c r="AP247" s="26">
        <f>Tabla_Consulta_desde_Reporte_de_Valorización_de_Instrumentos[[#This Row],[Huella]]/$AU$4</f>
        <v>1.2712874426148595E-2</v>
      </c>
      <c r="AQ247" s="26" t="str">
        <f>IFERROR(INDEX('BD(MSCI)'!W:W,MATCH(Tabla_Consulta_desde_Reporte_de_Valorización_de_Instrumentos[[#This Row],[CODIGO_ISIN]],'BD(MSCI)'!C:C,0)),IF(Tabla_Consulta_desde_Reporte_de_Valorización_de_Instrumentos[[#This Row],[Rank_rt]]="Cash","Cash","Cuestionario Integra"))</f>
        <v>Proxies</v>
      </c>
      <c r="AR247" s="26" t="str">
        <f>IFERROR(INDEX('BD(MSCI)'!X:X,MATCH(Tabla_Consulta_desde_Reporte_de_Valorización_de_Instrumentos[[#This Row],[CODIGO_ISIN]],'BD(MSCI)'!C:C,0)),"Cuestionario Integra")</f>
        <v>Alts</v>
      </c>
      <c r="AU247" s="26"/>
    </row>
    <row r="248" spans="2:47" hidden="1" x14ac:dyDescent="0.25">
      <c r="B248" s="14" t="s">
        <v>6390</v>
      </c>
      <c r="C248" t="s">
        <v>547</v>
      </c>
      <c r="D248" t="s">
        <v>11</v>
      </c>
      <c r="E248" t="s">
        <v>548</v>
      </c>
      <c r="F248" t="s">
        <v>584</v>
      </c>
      <c r="G248" t="str">
        <f>INDEX(Parametria!H:H,MATCH(Tabla_Consulta_desde_Reporte_de_Valorización_de_Instrumentos[[#This Row],[CODIGO_SBS]],Parametria!C:C,0),1)</f>
        <v>Sigma- Infraestructura</v>
      </c>
      <c r="H248" t="s">
        <v>585</v>
      </c>
      <c r="I248" t="s">
        <v>156</v>
      </c>
      <c r="J248" t="s">
        <v>546</v>
      </c>
      <c r="K248" t="s">
        <v>50</v>
      </c>
      <c r="L248">
        <v>1</v>
      </c>
      <c r="M248" s="5">
        <v>19706273.50062</v>
      </c>
      <c r="N248">
        <v>5863391.7999999998</v>
      </c>
      <c r="O248">
        <v>70</v>
      </c>
      <c r="P248" s="15">
        <v>46133</v>
      </c>
      <c r="Q248">
        <v>111</v>
      </c>
      <c r="R248">
        <v>3.3609</v>
      </c>
      <c r="S248" t="s">
        <v>428</v>
      </c>
      <c r="T248">
        <v>19716241.266679998</v>
      </c>
      <c r="U248" s="5">
        <v>5863391.7999999998</v>
      </c>
      <c r="V248" t="s">
        <v>156</v>
      </c>
      <c r="W248">
        <v>0</v>
      </c>
      <c r="X248">
        <v>0</v>
      </c>
      <c r="Y248">
        <v>0</v>
      </c>
      <c r="Z248">
        <v>0</v>
      </c>
      <c r="AA248" t="str">
        <f>+MID(Tabla_Consulta_desde_Reporte_de_Valorización_de_Instrumentos[[#This Row],[CODIGO_SBS]],7,1)</f>
        <v>2</v>
      </c>
      <c r="AB248">
        <f>INDEX('Cálculo Caja'!F:F,MATCH(Tabla_Consulta_desde_Reporte_de_Valorización_de_Instrumentos[[#This Row],[PORTAFOLIO]],'Cálculo Caja'!A:A,0),1)</f>
        <v>3164069580.822104</v>
      </c>
      <c r="AC248" s="17">
        <f>Tabla_Consulta_desde_Reporte_de_Valorización_de_Instrumentos[[#This Row],[VALOR_VECTOR_LOCAL]]/Tabla_Consulta_desde_Reporte_de_Valorización_de_Instrumentos[[#This Row],[Patrimonio]]</f>
        <v>6.2281416376120972E-3</v>
      </c>
      <c r="AD248" s="4">
        <f>(Tabla_Consulta_desde_Reporte_de_Valorización_de_Instrumentos[[#This Row],[VALOR_VECTOR_LOCAL]]/INDEX('Tipo de Cambio'!$D:$D,MATCH("2",'Tipo de Cambio'!$E:$E,0),1))/1000000</f>
        <v>5.8633917999999996</v>
      </c>
      <c r="AE248">
        <f>IF(Tabla_Consulta_desde_Reporte_de_Valorización_de_Instrumentos[[#This Row],[PORTAFOLIO]]="IN-FONDO0",Tabla_Consulta_desde_Reporte_de_Valorización_de_Instrumentos[[#This Row],[Inv MM$]],0)</f>
        <v>0</v>
      </c>
      <c r="AF248" s="26">
        <f>IF(Tabla_Consulta_desde_Reporte_de_Valorización_de_Instrumentos[[#This Row],[PORTAFOLIO]]="IN-FONDO1",Tabla_Consulta_desde_Reporte_de_Valorización_de_Instrumentos[[#This Row],[Inv MM$]],0)</f>
        <v>0</v>
      </c>
      <c r="AG248" s="26">
        <f>IF(Tabla_Consulta_desde_Reporte_de_Valorización_de_Instrumentos[[#This Row],[PORTAFOLIO]]="IN-FONDO2",Tabla_Consulta_desde_Reporte_de_Valorización_de_Instrumentos[[#This Row],[Inv MM$]],0)</f>
        <v>0</v>
      </c>
      <c r="AH248" s="26">
        <f>IF(Tabla_Consulta_desde_Reporte_de_Valorización_de_Instrumentos[[#This Row],[PORTAFOLIO]]="IN-FONDO3",Tabla_Consulta_desde_Reporte_de_Valorización_de_Instrumentos[[#This Row],[Inv MM$]],0)</f>
        <v>5.8633917999999996</v>
      </c>
      <c r="AI24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29.316958999999997</v>
      </c>
      <c r="AJ248" s="26">
        <f>IFERROR(IFERROR(INDEX('BD(MSCI)'!$T:$T,MATCH(Tabla_Consulta_desde_Reporte_de_Valorización_de_Instrumentos[[#This Row],[CODIGO_ISIN]],'BD(MSCI)'!$C:$C,0),1),INDEX('BD(MSCI)'!$T:$T,MATCH(Tabla_Consulta_desde_Reporte_de_Valorización_de_Instrumentos[[#This Row],[CODIGO_SBS]],'BD(MSCI)'!$C:$C,0),1)),0)</f>
        <v>31.33247536</v>
      </c>
      <c r="AK248" s="26">
        <f>Tabla_Consulta_desde_Reporte_de_Valorización_de_Instrumentos[[#This Row],[C02-H]]*Tabla_Consulta_desde_Reporte_de_Valorización_de_Instrumentos[[#This Row],[Inv MM$]]</f>
        <v>183.71457909952605</v>
      </c>
      <c r="AL248" s="26">
        <f>Tabla_Consulta_desde_Reporte_de_Valorización_de_Instrumentos[[#This Row],[C02-H]]*Tabla_Consulta_desde_Reporte_de_Valorización_de_Instrumentos[[#This Row],[Weight]]</f>
        <v>0.1951430943990711</v>
      </c>
      <c r="AM248" s="26" t="str">
        <f>INDEX(Parametria!G:G,MATCH(Tabla_Consulta_desde_Reporte_de_Valorización_de_Instrumentos[[#This Row],[CODIGO_SBS]],Parametria!C:C,0))</f>
        <v>51ALT</v>
      </c>
      <c r="AN248" s="26" t="str">
        <f>INDEX(Parametria!F:F,MATCH(Tabla_Consulta_desde_Reporte_de_Valorización_de_Instrumentos[[#This Row],[CODIGO_SBS]],Parametria!C:C,0))</f>
        <v>ALT</v>
      </c>
      <c r="AO248" s="26" t="str">
        <f>+INDEX(Parametria!J:J,MATCH(Tabla_Consulta_desde_Reporte_de_Valorización_de_Instrumentos[[#This Row],[CODIGO_SBS]],Parametria!C:C,0))</f>
        <v>ALT</v>
      </c>
      <c r="AP248" s="26">
        <f>Tabla_Consulta_desde_Reporte_de_Valorización_de_Instrumentos[[#This Row],[Huella]]/$AU$4</f>
        <v>1.7031218688569581E-2</v>
      </c>
      <c r="AQ248" s="26" t="str">
        <f>IFERROR(INDEX('BD(MSCI)'!W:W,MATCH(Tabla_Consulta_desde_Reporte_de_Valorización_de_Instrumentos[[#This Row],[CODIGO_ISIN]],'BD(MSCI)'!C:C,0)),IF(Tabla_Consulta_desde_Reporte_de_Valorización_de_Instrumentos[[#This Row],[Rank_rt]]="Cash","Cash","Cuestionario Integra"))</f>
        <v>Proxies</v>
      </c>
      <c r="AR248" s="26" t="str">
        <f>IFERROR(INDEX('BD(MSCI)'!X:X,MATCH(Tabla_Consulta_desde_Reporte_de_Valorización_de_Instrumentos[[#This Row],[CODIGO_ISIN]],'BD(MSCI)'!C:C,0)),"Cuestionario Integra")</f>
        <v>Alts</v>
      </c>
      <c r="AU248" s="26"/>
    </row>
    <row r="249" spans="2:47" hidden="1" x14ac:dyDescent="0.25">
      <c r="B249" s="14" t="s">
        <v>6390</v>
      </c>
      <c r="C249" t="s">
        <v>547</v>
      </c>
      <c r="D249" t="s">
        <v>10</v>
      </c>
      <c r="E249" t="s">
        <v>548</v>
      </c>
      <c r="F249" t="s">
        <v>584</v>
      </c>
      <c r="G249" t="str">
        <f>INDEX(Parametria!H:H,MATCH(Tabla_Consulta_desde_Reporte_de_Valorización_de_Instrumentos[[#This Row],[CODIGO_SBS]],Parametria!C:C,0),1)</f>
        <v>Sigma- Infraestructura</v>
      </c>
      <c r="H249" t="s">
        <v>585</v>
      </c>
      <c r="I249" t="s">
        <v>156</v>
      </c>
      <c r="J249" t="s">
        <v>546</v>
      </c>
      <c r="K249" t="s">
        <v>50</v>
      </c>
      <c r="L249">
        <v>1</v>
      </c>
      <c r="M249" s="5">
        <v>78825094.00248</v>
      </c>
      <c r="N249">
        <v>23453567.199999999</v>
      </c>
      <c r="O249">
        <v>280</v>
      </c>
      <c r="P249" s="15">
        <v>46133</v>
      </c>
      <c r="Q249">
        <v>111</v>
      </c>
      <c r="R249">
        <v>3.3609</v>
      </c>
      <c r="S249" t="s">
        <v>428</v>
      </c>
      <c r="T249">
        <v>78864965.066719994</v>
      </c>
      <c r="U249" s="5">
        <v>23453567.199999999</v>
      </c>
      <c r="V249" t="s">
        <v>156</v>
      </c>
      <c r="W249">
        <v>0</v>
      </c>
      <c r="X249">
        <v>0</v>
      </c>
      <c r="Y249">
        <v>0</v>
      </c>
      <c r="Z249">
        <v>0</v>
      </c>
      <c r="AA249" t="str">
        <f>+MID(Tabla_Consulta_desde_Reporte_de_Valorización_de_Instrumentos[[#This Row],[CODIGO_SBS]],7,1)</f>
        <v>2</v>
      </c>
      <c r="AB249">
        <f>INDEX('Cálculo Caja'!F:F,MATCH(Tabla_Consulta_desde_Reporte_de_Valorización_de_Instrumentos[[#This Row],[PORTAFOLIO]],'Cálculo Caja'!A:A,0),1)</f>
        <v>26256910350.436607</v>
      </c>
      <c r="AC249" s="17">
        <f>Tabla_Consulta_desde_Reporte_de_Valorización_de_Instrumentos[[#This Row],[VALOR_VECTOR_LOCAL]]/Tabla_Consulta_desde_Reporte_de_Valorización_de_Instrumentos[[#This Row],[Patrimonio]]</f>
        <v>3.002070424526139E-3</v>
      </c>
      <c r="AD249" s="4">
        <f>(Tabla_Consulta_desde_Reporte_de_Valorización_de_Instrumentos[[#This Row],[VALOR_VECTOR_LOCAL]]/INDEX('Tipo de Cambio'!$D:$D,MATCH("2",'Tipo de Cambio'!$E:$E,0),1))/1000000</f>
        <v>23.453567199999998</v>
      </c>
      <c r="AE249">
        <f>IF(Tabla_Consulta_desde_Reporte_de_Valorización_de_Instrumentos[[#This Row],[PORTAFOLIO]]="IN-FONDO0",Tabla_Consulta_desde_Reporte_de_Valorización_de_Instrumentos[[#This Row],[Inv MM$]],0)</f>
        <v>0</v>
      </c>
      <c r="AF249" s="26">
        <f>IF(Tabla_Consulta_desde_Reporte_de_Valorización_de_Instrumentos[[#This Row],[PORTAFOLIO]]="IN-FONDO1",Tabla_Consulta_desde_Reporte_de_Valorización_de_Instrumentos[[#This Row],[Inv MM$]],0)</f>
        <v>0</v>
      </c>
      <c r="AG249" s="26">
        <f>IF(Tabla_Consulta_desde_Reporte_de_Valorización_de_Instrumentos[[#This Row],[PORTAFOLIO]]="IN-FONDO2",Tabla_Consulta_desde_Reporte_de_Valorización_de_Instrumentos[[#This Row],[Inv MM$]],0)</f>
        <v>23.453567199999998</v>
      </c>
      <c r="AH249" s="26">
        <f>IF(Tabla_Consulta_desde_Reporte_de_Valorización_de_Instrumentos[[#This Row],[PORTAFOLIO]]="IN-FONDO3",Tabla_Consulta_desde_Reporte_de_Valorización_de_Instrumentos[[#This Row],[Inv MM$]],0)</f>
        <v>0</v>
      </c>
      <c r="AI24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29.316958999999997</v>
      </c>
      <c r="AJ249" s="26">
        <f>IFERROR(IFERROR(INDEX('BD(MSCI)'!$T:$T,MATCH(Tabla_Consulta_desde_Reporte_de_Valorización_de_Instrumentos[[#This Row],[CODIGO_ISIN]],'BD(MSCI)'!$C:$C,0),1),INDEX('BD(MSCI)'!$T:$T,MATCH(Tabla_Consulta_desde_Reporte_de_Valorización_de_Instrumentos[[#This Row],[CODIGO_SBS]],'BD(MSCI)'!$C:$C,0),1)),0)</f>
        <v>31.33247536</v>
      </c>
      <c r="AK249" s="26">
        <f>Tabla_Consulta_desde_Reporte_de_Valorización_de_Instrumentos[[#This Row],[C02-H]]*Tabla_Consulta_desde_Reporte_de_Valorización_de_Instrumentos[[#This Row],[Inv MM$]]</f>
        <v>734.85831639810419</v>
      </c>
      <c r="AL249" s="26">
        <f>Tabla_Consulta_desde_Reporte_de_Valorización_de_Instrumentos[[#This Row],[C02-H]]*Tabla_Consulta_desde_Reporte_de_Valorización_de_Instrumentos[[#This Row],[Weight]]</f>
        <v>9.4062297605449985E-2</v>
      </c>
      <c r="AM249" s="26" t="str">
        <f>INDEX(Parametria!G:G,MATCH(Tabla_Consulta_desde_Reporte_de_Valorización_de_Instrumentos[[#This Row],[CODIGO_SBS]],Parametria!C:C,0))</f>
        <v>51ALT</v>
      </c>
      <c r="AN249" s="26" t="str">
        <f>INDEX(Parametria!F:F,MATCH(Tabla_Consulta_desde_Reporte_de_Valorización_de_Instrumentos[[#This Row],[CODIGO_SBS]],Parametria!C:C,0))</f>
        <v>ALT</v>
      </c>
      <c r="AO249" s="26" t="str">
        <f>+INDEX(Parametria!J:J,MATCH(Tabla_Consulta_desde_Reporte_de_Valorización_de_Instrumentos[[#This Row],[CODIGO_SBS]],Parametria!C:C,0))</f>
        <v>ALT</v>
      </c>
      <c r="AP249" s="26">
        <f>Tabla_Consulta_desde_Reporte_de_Valorización_de_Instrumentos[[#This Row],[Huella]]/$AU$4</f>
        <v>6.8124874754278322E-2</v>
      </c>
      <c r="AQ249" s="26" t="str">
        <f>IFERROR(INDEX('BD(MSCI)'!W:W,MATCH(Tabla_Consulta_desde_Reporte_de_Valorización_de_Instrumentos[[#This Row],[CODIGO_ISIN]],'BD(MSCI)'!C:C,0)),IF(Tabla_Consulta_desde_Reporte_de_Valorización_de_Instrumentos[[#This Row],[Rank_rt]]="Cash","Cash","Cuestionario Integra"))</f>
        <v>Proxies</v>
      </c>
      <c r="AR249" s="26" t="str">
        <f>IFERROR(INDEX('BD(MSCI)'!X:X,MATCH(Tabla_Consulta_desde_Reporte_de_Valorización_de_Instrumentos[[#This Row],[CODIGO_ISIN]],'BD(MSCI)'!C:C,0)),"Cuestionario Integra")</f>
        <v>Alts</v>
      </c>
      <c r="AU249" s="26"/>
    </row>
    <row r="250" spans="2:47" hidden="1" x14ac:dyDescent="0.25">
      <c r="B250" s="14" t="s">
        <v>6390</v>
      </c>
      <c r="C250" t="s">
        <v>586</v>
      </c>
      <c r="D250" t="s">
        <v>10</v>
      </c>
      <c r="E250" t="s">
        <v>587</v>
      </c>
      <c r="F250" t="s">
        <v>5680</v>
      </c>
      <c r="G250" t="str">
        <f>INDEX(Parametria!H:H,MATCH(Tabla_Consulta_desde_Reporte_de_Valorización_de_Instrumentos[[#This Row],[CODIGO_SBS]],Parametria!C:C,0),1)</f>
        <v>AXA World Funds - US Dynamic High Yield</v>
      </c>
      <c r="H250" t="s">
        <v>2339</v>
      </c>
      <c r="I250" t="s">
        <v>156</v>
      </c>
      <c r="J250" t="s">
        <v>5681</v>
      </c>
      <c r="K250" t="s">
        <v>50</v>
      </c>
      <c r="L250">
        <v>1</v>
      </c>
      <c r="M250" s="5">
        <v>1283.6406698000001</v>
      </c>
      <c r="N250">
        <v>381.93360999999999</v>
      </c>
      <c r="O250">
        <v>1.7889999999999999</v>
      </c>
      <c r="P250" s="15"/>
      <c r="R250">
        <v>3.3609</v>
      </c>
      <c r="S250" t="s">
        <v>155</v>
      </c>
      <c r="T250">
        <v>1283.3274463</v>
      </c>
      <c r="U250" s="5">
        <v>381.64737000000002</v>
      </c>
      <c r="V250" t="s">
        <v>156</v>
      </c>
      <c r="W250">
        <v>0</v>
      </c>
      <c r="X250">
        <v>0</v>
      </c>
      <c r="Y250">
        <v>0</v>
      </c>
      <c r="Z250">
        <v>0.16</v>
      </c>
      <c r="AA250" t="str">
        <f>+MID(Tabla_Consulta_desde_Reporte_de_Valorización_de_Instrumentos[[#This Row],[CODIGO_SBS]],7,1)</f>
        <v>2</v>
      </c>
      <c r="AB250">
        <f>INDEX('Cálculo Caja'!F:F,MATCH(Tabla_Consulta_desde_Reporte_de_Valorización_de_Instrumentos[[#This Row],[PORTAFOLIO]],'Cálculo Caja'!A:A,0),1)</f>
        <v>26256910350.436607</v>
      </c>
      <c r="AC250" s="17">
        <f>Tabla_Consulta_desde_Reporte_de_Valorización_de_Instrumentos[[#This Row],[VALOR_VECTOR_LOCAL]]/Tabla_Consulta_desde_Reporte_de_Valorización_de_Instrumentos[[#This Row],[Patrimonio]]</f>
        <v>4.8887727179929045E-8</v>
      </c>
      <c r="AD250" s="4">
        <f>(Tabla_Consulta_desde_Reporte_de_Valorización_de_Instrumentos[[#This Row],[VALOR_VECTOR_LOCAL]]/INDEX('Tipo de Cambio'!$D:$D,MATCH("2",'Tipo de Cambio'!$E:$E,0),1))/1000000</f>
        <v>3.8193360998542062E-4</v>
      </c>
      <c r="AE250">
        <f>IF(Tabla_Consulta_desde_Reporte_de_Valorización_de_Instrumentos[[#This Row],[PORTAFOLIO]]="IN-FONDO0",Tabla_Consulta_desde_Reporte_de_Valorización_de_Instrumentos[[#This Row],[Inv MM$]],0)</f>
        <v>0</v>
      </c>
      <c r="AF250" s="26">
        <f>IF(Tabla_Consulta_desde_Reporte_de_Valorización_de_Instrumentos[[#This Row],[PORTAFOLIO]]="IN-FONDO1",Tabla_Consulta_desde_Reporte_de_Valorización_de_Instrumentos[[#This Row],[Inv MM$]],0)</f>
        <v>0</v>
      </c>
      <c r="AG250" s="26">
        <f>IF(Tabla_Consulta_desde_Reporte_de_Valorización_de_Instrumentos[[#This Row],[PORTAFOLIO]]="IN-FONDO2",Tabla_Consulta_desde_Reporte_de_Valorización_de_Instrumentos[[#This Row],[Inv MM$]],0)</f>
        <v>3.8193360998542062E-4</v>
      </c>
      <c r="AH250" s="26">
        <f>IF(Tabla_Consulta_desde_Reporte_de_Valorización_de_Instrumentos[[#This Row],[PORTAFOLIO]]="IN-FONDO3",Tabla_Consulta_desde_Reporte_de_Valorización_de_Instrumentos[[#This Row],[Inv MM$]],0)</f>
        <v>0</v>
      </c>
      <c r="AI25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6.3598670995864207E-4</v>
      </c>
      <c r="AJ250" s="26">
        <f>IFERROR(IFERROR(INDEX('BD(MSCI)'!$T:$T,MATCH(Tabla_Consulta_desde_Reporte_de_Valorización_de_Instrumentos[[#This Row],[CODIGO_ISIN]],'BD(MSCI)'!$C:$C,0),1),INDEX('BD(MSCI)'!$T:$T,MATCH(Tabla_Consulta_desde_Reporte_de_Valorización_de_Instrumentos[[#This Row],[CODIGO_SBS]],'BD(MSCI)'!$C:$C,0),1)),0)</f>
        <v>112.84346384</v>
      </c>
      <c r="AK250" s="26">
        <f>Tabla_Consulta_desde_Reporte_de_Valorización_de_Instrumentos[[#This Row],[C02-H]]*Tabla_Consulta_desde_Reporte_de_Valorización_de_Instrumentos[[#This Row],[Inv MM$]]</f>
        <v>4.3098711507670473E-2</v>
      </c>
      <c r="AL250" s="26">
        <f>Tabla_Consulta_desde_Reporte_de_Valorización_de_Instrumentos[[#This Row],[C02-H]]*Tabla_Consulta_desde_Reporte_de_Valorización_de_Instrumentos[[#This Row],[Weight]]</f>
        <v>5.5166604742481083E-6</v>
      </c>
      <c r="AM250" s="26" t="str">
        <f>INDEX(Parametria!G:G,MATCH(Tabla_Consulta_desde_Reporte_de_Valorización_de_Instrumentos[[#This Row],[CODIGO_SBS]],Parametria!C:C,0))</f>
        <v>52RFIG</v>
      </c>
      <c r="AN250" s="26" t="str">
        <f>INDEX(Parametria!F:F,MATCH(Tabla_Consulta_desde_Reporte_de_Valorización_de_Instrumentos[[#This Row],[CODIGO_SBS]],Parametria!C:C,0))</f>
        <v>TD</v>
      </c>
      <c r="AO250" s="26" t="str">
        <f>+INDEX(Parametria!J:J,MATCH(Tabla_Consulta_desde_Reporte_de_Valorización_de_Instrumentos[[#This Row],[CODIGO_SBS]],Parametria!C:C,0))</f>
        <v>RFITD</v>
      </c>
      <c r="AP250" s="26">
        <f>Tabla_Consulta_desde_Reporte_de_Valorización_de_Instrumentos[[#This Row],[Huella]]/$AU$4</f>
        <v>3.9954563458192084E-6</v>
      </c>
      <c r="AQ250" s="26" t="str">
        <f>IFERROR(INDEX('BD(MSCI)'!W:W,MATCH(Tabla_Consulta_desde_Reporte_de_Valorización_de_Instrumentos[[#This Row],[CODIGO_ISIN]],'BD(MSCI)'!C:C,0)),IF(Tabla_Consulta_desde_Reporte_de_Valorización_de_Instrumentos[[#This Row],[Rank_rt]]="Cash","Cash","Cuestionario Integra"))</f>
        <v>ETF</v>
      </c>
      <c r="AR250" s="26" t="str">
        <f>IFERROR(INDEX('BD(MSCI)'!X:X,MATCH(Tabla_Consulta_desde_Reporte_de_Valorización_de_Instrumentos[[#This Row],[CODIGO_ISIN]],'BD(MSCI)'!C:C,0)),"Cuestionario Integra")</f>
        <v>Otros ETFs</v>
      </c>
      <c r="AU250" s="26"/>
    </row>
    <row r="251" spans="2:47" hidden="1" x14ac:dyDescent="0.25">
      <c r="B251" s="14" t="s">
        <v>6390</v>
      </c>
      <c r="C251" t="s">
        <v>586</v>
      </c>
      <c r="D251" t="s">
        <v>12</v>
      </c>
      <c r="E251" t="s">
        <v>587</v>
      </c>
      <c r="F251" t="s">
        <v>5680</v>
      </c>
      <c r="G251" t="str">
        <f>INDEX(Parametria!H:H,MATCH(Tabla_Consulta_desde_Reporte_de_Valorización_de_Instrumentos[[#This Row],[CODIGO_SBS]],Parametria!C:C,0),1)</f>
        <v>AXA World Funds - US Dynamic High Yield</v>
      </c>
      <c r="H251" t="s">
        <v>2339</v>
      </c>
      <c r="I251" t="s">
        <v>156</v>
      </c>
      <c r="J251" t="s">
        <v>5681</v>
      </c>
      <c r="K251" t="s">
        <v>50</v>
      </c>
      <c r="L251">
        <v>1</v>
      </c>
      <c r="M251" s="5">
        <v>853.84706370000004</v>
      </c>
      <c r="N251">
        <v>254.0531</v>
      </c>
      <c r="O251">
        <v>1.19</v>
      </c>
      <c r="P251" s="15"/>
      <c r="R251">
        <v>3.3609</v>
      </c>
      <c r="S251" t="s">
        <v>155</v>
      </c>
      <c r="T251">
        <v>853.63871500000005</v>
      </c>
      <c r="U251" s="5">
        <v>253.86269999999999</v>
      </c>
      <c r="V251" t="s">
        <v>156</v>
      </c>
      <c r="W251">
        <v>0</v>
      </c>
      <c r="X251">
        <v>0</v>
      </c>
      <c r="Y251">
        <v>0</v>
      </c>
      <c r="Z251">
        <v>0.16</v>
      </c>
      <c r="AA251" t="str">
        <f>+MID(Tabla_Consulta_desde_Reporte_de_Valorización_de_Instrumentos[[#This Row],[CODIGO_SBS]],7,1)</f>
        <v>2</v>
      </c>
      <c r="AB251">
        <f>INDEX('Cálculo Caja'!F:F,MATCH(Tabla_Consulta_desde_Reporte_de_Valorización_de_Instrumentos[[#This Row],[PORTAFOLIO]],'Cálculo Caja'!A:A,0),1)</f>
        <v>7679510866.0565634</v>
      </c>
      <c r="AC251" s="17">
        <f>Tabla_Consulta_desde_Reporte_de_Valorización_de_Instrumentos[[#This Row],[VALOR_VECTOR_LOCAL]]/Tabla_Consulta_desde_Reporte_de_Valorización_de_Instrumentos[[#This Row],[Patrimonio]]</f>
        <v>1.1118508438786172E-7</v>
      </c>
      <c r="AD251" s="4">
        <f>(Tabla_Consulta_desde_Reporte_de_Valorización_de_Instrumentos[[#This Row],[VALOR_VECTOR_LOCAL]]/INDEX('Tipo de Cambio'!$D:$D,MATCH("2",'Tipo de Cambio'!$E:$E,0),1))/1000000</f>
        <v>2.5405309997322145E-4</v>
      </c>
      <c r="AE251">
        <f>IF(Tabla_Consulta_desde_Reporte_de_Valorización_de_Instrumentos[[#This Row],[PORTAFOLIO]]="IN-FONDO0",Tabla_Consulta_desde_Reporte_de_Valorización_de_Instrumentos[[#This Row],[Inv MM$]],0)</f>
        <v>0</v>
      </c>
      <c r="AF251" s="26">
        <f>IF(Tabla_Consulta_desde_Reporte_de_Valorización_de_Instrumentos[[#This Row],[PORTAFOLIO]]="IN-FONDO1",Tabla_Consulta_desde_Reporte_de_Valorización_de_Instrumentos[[#This Row],[Inv MM$]],0)</f>
        <v>2.5405309997322145E-4</v>
      </c>
      <c r="AG251" s="26">
        <f>IF(Tabla_Consulta_desde_Reporte_de_Valorización_de_Instrumentos[[#This Row],[PORTAFOLIO]]="IN-FONDO2",Tabla_Consulta_desde_Reporte_de_Valorización_de_Instrumentos[[#This Row],[Inv MM$]],0)</f>
        <v>0</v>
      </c>
      <c r="AH251" s="26">
        <f>IF(Tabla_Consulta_desde_Reporte_de_Valorización_de_Instrumentos[[#This Row],[PORTAFOLIO]]="IN-FONDO3",Tabla_Consulta_desde_Reporte_de_Valorización_de_Instrumentos[[#This Row],[Inv MM$]],0)</f>
        <v>0</v>
      </c>
      <c r="AI25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6.3598670995864207E-4</v>
      </c>
      <c r="AJ251" s="26">
        <f>IFERROR(IFERROR(INDEX('BD(MSCI)'!$T:$T,MATCH(Tabla_Consulta_desde_Reporte_de_Valorización_de_Instrumentos[[#This Row],[CODIGO_ISIN]],'BD(MSCI)'!$C:$C,0),1),INDEX('BD(MSCI)'!$T:$T,MATCH(Tabla_Consulta_desde_Reporte_de_Valorización_de_Instrumentos[[#This Row],[CODIGO_SBS]],'BD(MSCI)'!$C:$C,0),1)),0)</f>
        <v>112.84346384</v>
      </c>
      <c r="AK251" s="26">
        <f>Tabla_Consulta_desde_Reporte_de_Valorización_de_Instrumentos[[#This Row],[C02-H]]*Tabla_Consulta_desde_Reporte_de_Valorización_de_Instrumentos[[#This Row],[Inv MM$]]</f>
        <v>2.8668231800268118E-2</v>
      </c>
      <c r="AL251" s="26">
        <f>Tabla_Consulta_desde_Reporte_de_Valorización_de_Instrumentos[[#This Row],[C02-H]]*Tabla_Consulta_desde_Reporte_de_Valorización_de_Instrumentos[[#This Row],[Weight]]</f>
        <v>1.2546510049669023E-5</v>
      </c>
      <c r="AM251" s="26" t="str">
        <f>INDEX(Parametria!G:G,MATCH(Tabla_Consulta_desde_Reporte_de_Valorización_de_Instrumentos[[#This Row],[CODIGO_SBS]],Parametria!C:C,0))</f>
        <v>52RFIG</v>
      </c>
      <c r="AN251" s="26" t="str">
        <f>INDEX(Parametria!F:F,MATCH(Tabla_Consulta_desde_Reporte_de_Valorización_de_Instrumentos[[#This Row],[CODIGO_SBS]],Parametria!C:C,0))</f>
        <v>TD</v>
      </c>
      <c r="AO251" s="26" t="str">
        <f>+INDEX(Parametria!J:J,MATCH(Tabla_Consulta_desde_Reporte_de_Valorización_de_Instrumentos[[#This Row],[CODIGO_SBS]],Parametria!C:C,0))</f>
        <v>RFITD</v>
      </c>
      <c r="AP251" s="26">
        <f>Tabla_Consulta_desde_Reporte_de_Valorización_de_Instrumentos[[#This Row],[Huella]]/$AU$4</f>
        <v>2.6576819738430372E-6</v>
      </c>
      <c r="AQ251" s="26" t="str">
        <f>IFERROR(INDEX('BD(MSCI)'!W:W,MATCH(Tabla_Consulta_desde_Reporte_de_Valorización_de_Instrumentos[[#This Row],[CODIGO_ISIN]],'BD(MSCI)'!C:C,0)),IF(Tabla_Consulta_desde_Reporte_de_Valorización_de_Instrumentos[[#This Row],[Rank_rt]]="Cash","Cash","Cuestionario Integra"))</f>
        <v>ETF</v>
      </c>
      <c r="AR251" s="26" t="str">
        <f>IFERROR(INDEX('BD(MSCI)'!X:X,MATCH(Tabla_Consulta_desde_Reporte_de_Valorización_de_Instrumentos[[#This Row],[CODIGO_ISIN]],'BD(MSCI)'!C:C,0)),"Cuestionario Integra")</f>
        <v>Otros ETFs</v>
      </c>
      <c r="AU251" s="26"/>
    </row>
    <row r="252" spans="2:47" hidden="1" x14ac:dyDescent="0.25">
      <c r="B252" s="14" t="s">
        <v>6390</v>
      </c>
      <c r="C252" t="s">
        <v>586</v>
      </c>
      <c r="D252" t="s">
        <v>12</v>
      </c>
      <c r="E252" t="s">
        <v>587</v>
      </c>
      <c r="F252" t="s">
        <v>6361</v>
      </c>
      <c r="G252" t="str">
        <f>INDEX(Parametria!H:H,MATCH(Tabla_Consulta_desde_Reporte_de_Valorización_de_Instrumentos[[#This Row],[CODIGO_SBS]],Parametria!C:C,0),1)</f>
        <v>Vontobel - Credit Opportunities</v>
      </c>
      <c r="H252" t="s">
        <v>6360</v>
      </c>
      <c r="I252" t="s">
        <v>156</v>
      </c>
      <c r="J252" t="s">
        <v>590</v>
      </c>
      <c r="K252" t="s">
        <v>50</v>
      </c>
      <c r="L252">
        <v>0</v>
      </c>
      <c r="M252" s="5">
        <v>158325404.85864431</v>
      </c>
      <c r="N252">
        <v>47108037.98347</v>
      </c>
      <c r="O252">
        <v>312159.81699999998</v>
      </c>
      <c r="P252" s="15"/>
      <c r="R252">
        <v>3.3609</v>
      </c>
      <c r="S252" t="s">
        <v>155</v>
      </c>
      <c r="T252">
        <v>158594428.87133211</v>
      </c>
      <c r="U252" s="5">
        <v>47164226.750529997</v>
      </c>
      <c r="V252" t="s">
        <v>156</v>
      </c>
      <c r="W252">
        <v>0</v>
      </c>
      <c r="X252">
        <v>0</v>
      </c>
      <c r="Y252">
        <v>0</v>
      </c>
      <c r="Z252">
        <v>-0.18</v>
      </c>
      <c r="AA252" t="str">
        <f>+MID(Tabla_Consulta_desde_Reporte_de_Valorización_de_Instrumentos[[#This Row],[CODIGO_SBS]],7,1)</f>
        <v>2</v>
      </c>
      <c r="AB252">
        <f>INDEX('Cálculo Caja'!F:F,MATCH(Tabla_Consulta_desde_Reporte_de_Valorización_de_Instrumentos[[#This Row],[PORTAFOLIO]],'Cálculo Caja'!A:A,0),1)</f>
        <v>7679510866.0565634</v>
      </c>
      <c r="AC252" s="17">
        <f>Tabla_Consulta_desde_Reporte_de_Valorización_de_Instrumentos[[#This Row],[VALOR_VECTOR_LOCAL]]/Tabla_Consulta_desde_Reporte_de_Valorización_de_Instrumentos[[#This Row],[Patrimonio]]</f>
        <v>2.0616600148121746E-2</v>
      </c>
      <c r="AD252" s="4">
        <f>(Tabla_Consulta_desde_Reporte_de_Valorización_de_Instrumentos[[#This Row],[VALOR_VECTOR_LOCAL]]/INDEX('Tipo de Cambio'!$D:$D,MATCH("2",'Tipo de Cambio'!$E:$E,0),1))/1000000</f>
        <v>47.108037983469991</v>
      </c>
      <c r="AE252">
        <f>IF(Tabla_Consulta_desde_Reporte_de_Valorización_de_Instrumentos[[#This Row],[PORTAFOLIO]]="IN-FONDO0",Tabla_Consulta_desde_Reporte_de_Valorización_de_Instrumentos[[#This Row],[Inv MM$]],0)</f>
        <v>0</v>
      </c>
      <c r="AF252" s="26">
        <f>IF(Tabla_Consulta_desde_Reporte_de_Valorización_de_Instrumentos[[#This Row],[PORTAFOLIO]]="IN-FONDO1",Tabla_Consulta_desde_Reporte_de_Valorización_de_Instrumentos[[#This Row],[Inv MM$]],0)</f>
        <v>47.108037983469991</v>
      </c>
      <c r="AG252" s="26">
        <f>IF(Tabla_Consulta_desde_Reporte_de_Valorización_de_Instrumentos[[#This Row],[PORTAFOLIO]]="IN-FONDO2",Tabla_Consulta_desde_Reporte_de_Valorización_de_Instrumentos[[#This Row],[Inv MM$]],0)</f>
        <v>0</v>
      </c>
      <c r="AH252" s="26">
        <f>IF(Tabla_Consulta_desde_Reporte_de_Valorización_de_Instrumentos[[#This Row],[PORTAFOLIO]]="IN-FONDO3",Tabla_Consulta_desde_Reporte_de_Valorización_de_Instrumentos[[#This Row],[Inv MM$]],0)</f>
        <v>0</v>
      </c>
      <c r="AI25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146.9171402195</v>
      </c>
      <c r="AJ252" s="26">
        <f>IFERROR(IFERROR(INDEX('BD(MSCI)'!$T:$T,MATCH(Tabla_Consulta_desde_Reporte_de_Valorización_de_Instrumentos[[#This Row],[CODIGO_ISIN]],'BD(MSCI)'!$C:$C,0),1),INDEX('BD(MSCI)'!$T:$T,MATCH(Tabla_Consulta_desde_Reporte_de_Valorización_de_Instrumentos[[#This Row],[CODIGO_SBS]],'BD(MSCI)'!$C:$C,0),1)),0)</f>
        <v>43.013270409999997</v>
      </c>
      <c r="AK252" s="26">
        <f>Tabla_Consulta_desde_Reporte_de_Valorización_de_Instrumentos[[#This Row],[C02-H]]*Tabla_Consulta_desde_Reporte_de_Valorización_de_Instrumentos[[#This Row],[Inv MM$]]</f>
        <v>2026.2707762675457</v>
      </c>
      <c r="AL252" s="26">
        <f>Tabla_Consulta_desde_Reporte_de_Valorización_de_Instrumentos[[#This Row],[C02-H]]*Tabla_Consulta_desde_Reporte_de_Valorización_de_Instrumentos[[#This Row],[Weight]]</f>
        <v>0.88678739710600663</v>
      </c>
      <c r="AM252" s="26" t="str">
        <f>INDEX(Parametria!G:G,MATCH(Tabla_Consulta_desde_Reporte_de_Valorización_de_Instrumentos[[#This Row],[CODIGO_SBS]],Parametria!C:C,0))</f>
        <v>52RFIG</v>
      </c>
      <c r="AN252" s="26" t="str">
        <f>INDEX(Parametria!F:F,MATCH(Tabla_Consulta_desde_Reporte_de_Valorización_de_Instrumentos[[#This Row],[CODIGO_SBS]],Parametria!C:C,0))</f>
        <v>TD</v>
      </c>
      <c r="AO252" s="26" t="str">
        <f>+INDEX(Parametria!J:J,MATCH(Tabla_Consulta_desde_Reporte_de_Valorización_de_Instrumentos[[#This Row],[CODIGO_SBS]],Parametria!C:C,0))</f>
        <v>RFITD</v>
      </c>
      <c r="AP252" s="26">
        <f>Tabla_Consulta_desde_Reporte_de_Valorización_de_Instrumentos[[#This Row],[Huella]]/$AU$4</f>
        <v>0.18784497606025458</v>
      </c>
      <c r="AQ252" s="26" t="str">
        <f>IFERROR(INDEX('BD(MSCI)'!W:W,MATCH(Tabla_Consulta_desde_Reporte_de_Valorización_de_Instrumentos[[#This Row],[CODIGO_ISIN]],'BD(MSCI)'!C:C,0)),IF(Tabla_Consulta_desde_Reporte_de_Valorización_de_Instrumentos[[#This Row],[Rank_rt]]="Cash","Cash","Cuestionario Integra"))</f>
        <v>ETF</v>
      </c>
      <c r="AR252" s="26" t="str">
        <f>IFERROR(INDEX('BD(MSCI)'!X:X,MATCH(Tabla_Consulta_desde_Reporte_de_Valorización_de_Instrumentos[[#This Row],[CODIGO_ISIN]],'BD(MSCI)'!C:C,0)),"Cuestionario Integra")</f>
        <v>Otros ETFs</v>
      </c>
      <c r="AU252" s="26"/>
    </row>
    <row r="253" spans="2:47" hidden="1" x14ac:dyDescent="0.25">
      <c r="B253" s="14" t="s">
        <v>6390</v>
      </c>
      <c r="C253" t="s">
        <v>586</v>
      </c>
      <c r="D253" t="s">
        <v>12</v>
      </c>
      <c r="E253" t="s">
        <v>587</v>
      </c>
      <c r="F253" t="s">
        <v>588</v>
      </c>
      <c r="G253" t="str">
        <f>INDEX(Parametria!H:H,MATCH(Tabla_Consulta_desde_Reporte_de_Valorización_de_Instrumentos[[#This Row],[CODIGO_SBS]],Parametria!C:C,0),1)</f>
        <v>Vontobel - Emerging Markets Corporate</v>
      </c>
      <c r="H253" t="s">
        <v>589</v>
      </c>
      <c r="I253" t="s">
        <v>156</v>
      </c>
      <c r="J253" t="s">
        <v>590</v>
      </c>
      <c r="K253" t="s">
        <v>50</v>
      </c>
      <c r="L253">
        <v>168.8</v>
      </c>
      <c r="M253" s="5">
        <v>34376186.318189502</v>
      </c>
      <c r="N253">
        <v>10228268.11812</v>
      </c>
      <c r="O253">
        <v>57262.726000000002</v>
      </c>
      <c r="P253" s="15"/>
      <c r="R253">
        <v>3.3609</v>
      </c>
      <c r="S253" t="s">
        <v>155</v>
      </c>
      <c r="T253">
        <v>34376244.726170003</v>
      </c>
      <c r="U253" s="5">
        <v>10223114.47278</v>
      </c>
      <c r="V253" t="s">
        <v>156</v>
      </c>
      <c r="W253">
        <v>0</v>
      </c>
      <c r="X253">
        <v>0</v>
      </c>
      <c r="Y253">
        <v>0</v>
      </c>
      <c r="Z253">
        <v>0.09</v>
      </c>
      <c r="AA253" t="str">
        <f>+MID(Tabla_Consulta_desde_Reporte_de_Valorización_de_Instrumentos[[#This Row],[CODIGO_SBS]],7,1)</f>
        <v>2</v>
      </c>
      <c r="AB253">
        <f>INDEX('Cálculo Caja'!F:F,MATCH(Tabla_Consulta_desde_Reporte_de_Valorización_de_Instrumentos[[#This Row],[PORTAFOLIO]],'Cálculo Caja'!A:A,0),1)</f>
        <v>7679510866.0565634</v>
      </c>
      <c r="AC253" s="17">
        <f>Tabla_Consulta_desde_Reporte_de_Valorización_de_Instrumentos[[#This Row],[VALOR_VECTOR_LOCAL]]/Tabla_Consulta_desde_Reporte_de_Valorización_de_Instrumentos[[#This Row],[Patrimonio]]</f>
        <v>4.476351022580388E-3</v>
      </c>
      <c r="AD253" s="4">
        <f>(Tabla_Consulta_desde_Reporte_de_Valorización_de_Instrumentos[[#This Row],[VALOR_VECTOR_LOCAL]]/INDEX('Tipo de Cambio'!$D:$D,MATCH("2",'Tipo de Cambio'!$E:$E,0),1))/1000000</f>
        <v>10.228268118119997</v>
      </c>
      <c r="AE253">
        <f>IF(Tabla_Consulta_desde_Reporte_de_Valorización_de_Instrumentos[[#This Row],[PORTAFOLIO]]="IN-FONDO0",Tabla_Consulta_desde_Reporte_de_Valorización_de_Instrumentos[[#This Row],[Inv MM$]],0)</f>
        <v>0</v>
      </c>
      <c r="AF253" s="26">
        <f>IF(Tabla_Consulta_desde_Reporte_de_Valorización_de_Instrumentos[[#This Row],[PORTAFOLIO]]="IN-FONDO1",Tabla_Consulta_desde_Reporte_de_Valorización_de_Instrumentos[[#This Row],[Inv MM$]],0)</f>
        <v>10.228268118119997</v>
      </c>
      <c r="AG253" s="26">
        <f>IF(Tabla_Consulta_desde_Reporte_de_Valorización_de_Instrumentos[[#This Row],[PORTAFOLIO]]="IN-FONDO2",Tabla_Consulta_desde_Reporte_de_Valorización_de_Instrumentos[[#This Row],[Inv MM$]],0)</f>
        <v>0</v>
      </c>
      <c r="AH253" s="26">
        <f>IF(Tabla_Consulta_desde_Reporte_de_Valorización_de_Instrumentos[[#This Row],[PORTAFOLIO]]="IN-FONDO3",Tabla_Consulta_desde_Reporte_de_Valorización_de_Instrumentos[[#This Row],[Inv MM$]],0)</f>
        <v>0</v>
      </c>
      <c r="AI25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10.228787902319974</v>
      </c>
      <c r="AJ253" s="26">
        <f>IFERROR(IFERROR(INDEX('BD(MSCI)'!$T:$T,MATCH(Tabla_Consulta_desde_Reporte_de_Valorización_de_Instrumentos[[#This Row],[CODIGO_ISIN]],'BD(MSCI)'!$C:$C,0),1),INDEX('BD(MSCI)'!$T:$T,MATCH(Tabla_Consulta_desde_Reporte_de_Valorización_de_Instrumentos[[#This Row],[CODIGO_SBS]],'BD(MSCI)'!$C:$C,0),1)),0)</f>
        <v>361.84748588000002</v>
      </c>
      <c r="AK253" s="26">
        <f>Tabla_Consulta_desde_Reporte_de_Valorización_de_Instrumentos[[#This Row],[C02-H]]*Tabla_Consulta_desde_Reporte_de_Valorización_de_Instrumentos[[#This Row],[Inv MM$]]</f>
        <v>3701.0731034482801</v>
      </c>
      <c r="AL253" s="26">
        <f>Tabla_Consulta_desde_Reporte_de_Valorización_de_Instrumentos[[#This Row],[C02-H]]*Tabla_Consulta_desde_Reporte_de_Valorización_de_Instrumentos[[#This Row],[Weight]]</f>
        <v>1.6197563634370806</v>
      </c>
      <c r="AM253" s="26" t="str">
        <f>INDEX(Parametria!G:G,MATCH(Tabla_Consulta_desde_Reporte_de_Valorización_de_Instrumentos[[#This Row],[CODIGO_SBS]],Parametria!C:C,0))</f>
        <v>52RFIG</v>
      </c>
      <c r="AN253" s="26" t="str">
        <f>INDEX(Parametria!F:F,MATCH(Tabla_Consulta_desde_Reporte_de_Valorización_de_Instrumentos[[#This Row],[CODIGO_SBS]],Parametria!C:C,0))</f>
        <v>TD</v>
      </c>
      <c r="AO253" s="26" t="str">
        <f>+INDEX(Parametria!J:J,MATCH(Tabla_Consulta_desde_Reporte_de_Valorización_de_Instrumentos[[#This Row],[CODIGO_SBS]],Parametria!C:C,0))</f>
        <v>RFITD</v>
      </c>
      <c r="AP253" s="26">
        <f>Tabla_Consulta_desde_Reporte_de_Valorización_de_Instrumentos[[#This Row],[Huella]]/$AU$4</f>
        <v>0.34310714868776132</v>
      </c>
      <c r="AQ253" s="26" t="str">
        <f>IFERROR(INDEX('BD(MSCI)'!W:W,MATCH(Tabla_Consulta_desde_Reporte_de_Valorización_de_Instrumentos[[#This Row],[CODIGO_ISIN]],'BD(MSCI)'!C:C,0)),IF(Tabla_Consulta_desde_Reporte_de_Valorización_de_Instrumentos[[#This Row],[Rank_rt]]="Cash","Cash","Cuestionario Integra"))</f>
        <v>ETF</v>
      </c>
      <c r="AR253" s="26" t="str">
        <f>IFERROR(INDEX('BD(MSCI)'!X:X,MATCH(Tabla_Consulta_desde_Reporte_de_Valorización_de_Instrumentos[[#This Row],[CODIGO_ISIN]],'BD(MSCI)'!C:C,0)),"Cuestionario Integra")</f>
        <v>Otros ETFs</v>
      </c>
      <c r="AU253" s="26"/>
    </row>
    <row r="254" spans="2:47" hidden="1" x14ac:dyDescent="0.25">
      <c r="B254" s="14" t="s">
        <v>6390</v>
      </c>
      <c r="C254" t="s">
        <v>586</v>
      </c>
      <c r="D254" t="s">
        <v>12</v>
      </c>
      <c r="E254" t="s">
        <v>587</v>
      </c>
      <c r="F254" t="s">
        <v>591</v>
      </c>
      <c r="G254" t="str">
        <f>INDEX(Parametria!H:H,MATCH(Tabla_Consulta_desde_Reporte_de_Valorización_de_Instrumentos[[#This Row],[CODIGO_SBS]],Parametria!C:C,0),1)</f>
        <v>Vontobel - Emerging Markets Debt</v>
      </c>
      <c r="H254" t="s">
        <v>592</v>
      </c>
      <c r="I254" t="s">
        <v>156</v>
      </c>
      <c r="J254" t="s">
        <v>590</v>
      </c>
      <c r="K254" t="s">
        <v>50</v>
      </c>
      <c r="L254">
        <v>1</v>
      </c>
      <c r="M254" s="5">
        <v>91067064.737759501</v>
      </c>
      <c r="N254">
        <v>27096035.210140001</v>
      </c>
      <c r="O254">
        <v>154781.41899999999</v>
      </c>
      <c r="P254" s="15"/>
      <c r="R254">
        <v>3.3609</v>
      </c>
      <c r="S254" t="s">
        <v>155</v>
      </c>
      <c r="T254">
        <v>91092309.2776355</v>
      </c>
      <c r="U254" s="5">
        <v>27089843.95338</v>
      </c>
      <c r="V254" t="s">
        <v>156</v>
      </c>
      <c r="W254">
        <v>0</v>
      </c>
      <c r="X254">
        <v>0</v>
      </c>
      <c r="Y254">
        <v>0</v>
      </c>
      <c r="Z254">
        <v>0.04</v>
      </c>
      <c r="AA254" t="str">
        <f>+MID(Tabla_Consulta_desde_Reporte_de_Valorización_de_Instrumentos[[#This Row],[CODIGO_SBS]],7,1)</f>
        <v>2</v>
      </c>
      <c r="AB254">
        <f>INDEX('Cálculo Caja'!F:F,MATCH(Tabla_Consulta_desde_Reporte_de_Valorización_de_Instrumentos[[#This Row],[PORTAFOLIO]],'Cálculo Caja'!A:A,0),1)</f>
        <v>7679510866.0565634</v>
      </c>
      <c r="AC254" s="17">
        <f>Tabla_Consulta_desde_Reporte_de_Valorización_de_Instrumentos[[#This Row],[VALOR_VECTOR_LOCAL]]/Tabla_Consulta_desde_Reporte_de_Valorización_de_Instrumentos[[#This Row],[Patrimonio]]</f>
        <v>1.1858445977370239E-2</v>
      </c>
      <c r="AD254" s="4">
        <f>(Tabla_Consulta_desde_Reporte_de_Valorización_de_Instrumentos[[#This Row],[VALOR_VECTOR_LOCAL]]/INDEX('Tipo de Cambio'!$D:$D,MATCH("2",'Tipo de Cambio'!$E:$E,0),1))/1000000</f>
        <v>27.096035210139995</v>
      </c>
      <c r="AE254">
        <f>IF(Tabla_Consulta_desde_Reporte_de_Valorización_de_Instrumentos[[#This Row],[PORTAFOLIO]]="IN-FONDO0",Tabla_Consulta_desde_Reporte_de_Valorización_de_Instrumentos[[#This Row],[Inv MM$]],0)</f>
        <v>0</v>
      </c>
      <c r="AF254" s="26">
        <f>IF(Tabla_Consulta_desde_Reporte_de_Valorización_de_Instrumentos[[#This Row],[PORTAFOLIO]]="IN-FONDO1",Tabla_Consulta_desde_Reporte_de_Valorización_de_Instrumentos[[#This Row],[Inv MM$]],0)</f>
        <v>27.096035210139995</v>
      </c>
      <c r="AG254" s="26">
        <f>IF(Tabla_Consulta_desde_Reporte_de_Valorización_de_Instrumentos[[#This Row],[PORTAFOLIO]]="IN-FONDO2",Tabla_Consulta_desde_Reporte_de_Valorización_de_Instrumentos[[#This Row],[Inv MM$]],0)</f>
        <v>0</v>
      </c>
      <c r="AH254" s="26">
        <f>IF(Tabla_Consulta_desde_Reporte_de_Valorización_de_Instrumentos[[#This Row],[PORTAFOLIO]]="IN-FONDO3",Tabla_Consulta_desde_Reporte_de_Valorización_de_Instrumentos[[#This Row],[Inv MM$]],0)</f>
        <v>0</v>
      </c>
      <c r="AI25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27.096035210139995</v>
      </c>
      <c r="AJ254" s="26">
        <f>IFERROR(IFERROR(INDEX('BD(MSCI)'!$T:$T,MATCH(Tabla_Consulta_desde_Reporte_de_Valorización_de_Instrumentos[[#This Row],[CODIGO_ISIN]],'BD(MSCI)'!$C:$C,0),1),INDEX('BD(MSCI)'!$T:$T,MATCH(Tabla_Consulta_desde_Reporte_de_Valorización_de_Instrumentos[[#This Row],[CODIGO_SBS]],'BD(MSCI)'!$C:$C,0),1)),0)</f>
        <v>305.48687911000002</v>
      </c>
      <c r="AK254" s="26">
        <f>Tabla_Consulta_desde_Reporte_de_Valorización_de_Instrumentos[[#This Row],[C02-H]]*Tabla_Consulta_desde_Reporte_de_Valorización_de_Instrumentos[[#This Row],[Inv MM$]]</f>
        <v>8277.4832326003398</v>
      </c>
      <c r="AL254" s="26">
        <f>Tabla_Consulta_desde_Reporte_de_Valorización_de_Instrumentos[[#This Row],[C02-H]]*Tabla_Consulta_desde_Reporte_de_Valorización_de_Instrumentos[[#This Row],[Weight]]</f>
        <v>3.6225996527213682</v>
      </c>
      <c r="AM254" s="26" t="str">
        <f>INDEX(Parametria!G:G,MATCH(Tabla_Consulta_desde_Reporte_de_Valorización_de_Instrumentos[[#This Row],[CODIGO_SBS]],Parametria!C:C,0))</f>
        <v>52RFIG</v>
      </c>
      <c r="AN254" s="26" t="str">
        <f>INDEX(Parametria!F:F,MATCH(Tabla_Consulta_desde_Reporte_de_Valorización_de_Instrumentos[[#This Row],[CODIGO_SBS]],Parametria!C:C,0))</f>
        <v>TD</v>
      </c>
      <c r="AO254" s="26" t="str">
        <f>+INDEX(Parametria!J:J,MATCH(Tabla_Consulta_desde_Reporte_de_Valorización_de_Instrumentos[[#This Row],[CODIGO_SBS]],Parametria!C:C,0))</f>
        <v>RFITD</v>
      </c>
      <c r="AP254" s="26">
        <f>Tabla_Consulta_desde_Reporte_de_Valorización_de_Instrumentos[[#This Row],[Huella]]/$AU$4</f>
        <v>0.76736221924451475</v>
      </c>
      <c r="AQ254" s="26" t="str">
        <f>IFERROR(INDEX('BD(MSCI)'!W:W,MATCH(Tabla_Consulta_desde_Reporte_de_Valorización_de_Instrumentos[[#This Row],[CODIGO_ISIN]],'BD(MSCI)'!C:C,0)),IF(Tabla_Consulta_desde_Reporte_de_Valorización_de_Instrumentos[[#This Row],[Rank_rt]]="Cash","Cash","Cuestionario Integra"))</f>
        <v>ETF</v>
      </c>
      <c r="AR254" s="26" t="str">
        <f>IFERROR(INDEX('BD(MSCI)'!X:X,MATCH(Tabla_Consulta_desde_Reporte_de_Valorización_de_Instrumentos[[#This Row],[CODIGO_ISIN]],'BD(MSCI)'!C:C,0)),"Cuestionario Integra")</f>
        <v>Otros ETFs</v>
      </c>
      <c r="AU254" s="26"/>
    </row>
    <row r="255" spans="2:47" hidden="1" x14ac:dyDescent="0.25">
      <c r="B255" s="14" t="s">
        <v>6390</v>
      </c>
      <c r="C255" t="s">
        <v>586</v>
      </c>
      <c r="D255" t="s">
        <v>10</v>
      </c>
      <c r="E255" t="s">
        <v>587</v>
      </c>
      <c r="F255" t="s">
        <v>588</v>
      </c>
      <c r="G255" t="str">
        <f>INDEX(Parametria!H:H,MATCH(Tabla_Consulta_desde_Reporte_de_Valorización_de_Instrumentos[[#This Row],[CODIGO_SBS]],Parametria!C:C,0),1)</f>
        <v>Vontobel - Emerging Markets Corporate</v>
      </c>
      <c r="H255" t="s">
        <v>589</v>
      </c>
      <c r="I255" t="s">
        <v>156</v>
      </c>
      <c r="J255" t="s">
        <v>590</v>
      </c>
      <c r="K255" t="s">
        <v>50</v>
      </c>
      <c r="L255">
        <v>168.8</v>
      </c>
      <c r="M255" s="5">
        <v>1746.9427177</v>
      </c>
      <c r="N255">
        <v>519.78420000000006</v>
      </c>
      <c r="O255">
        <v>2.91</v>
      </c>
      <c r="P255" s="15"/>
      <c r="R255">
        <v>3.3609</v>
      </c>
      <c r="S255" t="s">
        <v>155</v>
      </c>
      <c r="T255">
        <v>1746.9456858999999</v>
      </c>
      <c r="U255" s="5">
        <v>519.52229999999997</v>
      </c>
      <c r="V255" t="s">
        <v>156</v>
      </c>
      <c r="W255">
        <v>0</v>
      </c>
      <c r="X255">
        <v>0</v>
      </c>
      <c r="Y255">
        <v>0</v>
      </c>
      <c r="Z255">
        <v>0.09</v>
      </c>
      <c r="AA255" t="str">
        <f>+MID(Tabla_Consulta_desde_Reporte_de_Valorización_de_Instrumentos[[#This Row],[CODIGO_SBS]],7,1)</f>
        <v>2</v>
      </c>
      <c r="AB255">
        <f>INDEX('Cálculo Caja'!F:F,MATCH(Tabla_Consulta_desde_Reporte_de_Valorización_de_Instrumentos[[#This Row],[PORTAFOLIO]],'Cálculo Caja'!A:A,0),1)</f>
        <v>26256910350.436607</v>
      </c>
      <c r="AC255" s="17">
        <f>Tabla_Consulta_desde_Reporte_de_Valorización_de_Instrumentos[[#This Row],[VALOR_VECTOR_LOCAL]]/Tabla_Consulta_desde_Reporte_de_Valorización_de_Instrumentos[[#This Row],[Patrimonio]]</f>
        <v>6.6532683944322165E-8</v>
      </c>
      <c r="AD255" s="4">
        <f>(Tabla_Consulta_desde_Reporte_de_Valorización_de_Instrumentos[[#This Row],[VALOR_VECTOR_LOCAL]]/INDEX('Tipo de Cambio'!$D:$D,MATCH("2",'Tipo de Cambio'!$E:$E,0),1))/1000000</f>
        <v>5.1978419997619687E-4</v>
      </c>
      <c r="AE255">
        <f>IF(Tabla_Consulta_desde_Reporte_de_Valorización_de_Instrumentos[[#This Row],[PORTAFOLIO]]="IN-FONDO0",Tabla_Consulta_desde_Reporte_de_Valorización_de_Instrumentos[[#This Row],[Inv MM$]],0)</f>
        <v>0</v>
      </c>
      <c r="AF255" s="26">
        <f>IF(Tabla_Consulta_desde_Reporte_de_Valorización_de_Instrumentos[[#This Row],[PORTAFOLIO]]="IN-FONDO1",Tabla_Consulta_desde_Reporte_de_Valorización_de_Instrumentos[[#This Row],[Inv MM$]],0)</f>
        <v>0</v>
      </c>
      <c r="AG255" s="26">
        <f>IF(Tabla_Consulta_desde_Reporte_de_Valorización_de_Instrumentos[[#This Row],[PORTAFOLIO]]="IN-FONDO2",Tabla_Consulta_desde_Reporte_de_Valorización_de_Instrumentos[[#This Row],[Inv MM$]],0)</f>
        <v>5.1978419997619687E-4</v>
      </c>
      <c r="AH255" s="26">
        <f>IF(Tabla_Consulta_desde_Reporte_de_Valorización_de_Instrumentos[[#This Row],[PORTAFOLIO]]="IN-FONDO3",Tabla_Consulta_desde_Reporte_de_Valorización_de_Instrumentos[[#This Row],[Inv MM$]],0)</f>
        <v>0</v>
      </c>
      <c r="AI25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10.228787902319974</v>
      </c>
      <c r="AJ255" s="26">
        <f>IFERROR(IFERROR(INDEX('BD(MSCI)'!$T:$T,MATCH(Tabla_Consulta_desde_Reporte_de_Valorización_de_Instrumentos[[#This Row],[CODIGO_ISIN]],'BD(MSCI)'!$C:$C,0),1),INDEX('BD(MSCI)'!$T:$T,MATCH(Tabla_Consulta_desde_Reporte_de_Valorización_de_Instrumentos[[#This Row],[CODIGO_SBS]],'BD(MSCI)'!$C:$C,0),1)),0)</f>
        <v>361.84748588000002</v>
      </c>
      <c r="AK255" s="26">
        <f>Tabla_Consulta_desde_Reporte_de_Valorización_de_Instrumentos[[#This Row],[C02-H]]*Tabla_Consulta_desde_Reporte_de_Valorización_de_Instrumentos[[#This Row],[Inv MM$]]</f>
        <v>0.18808260596153401</v>
      </c>
      <c r="AL255" s="26">
        <f>Tabla_Consulta_desde_Reporte_de_Valorización_de_Instrumentos[[#This Row],[C02-H]]*Tabla_Consulta_desde_Reporte_de_Valorización_de_Instrumentos[[#This Row],[Weight]]</f>
        <v>2.4074684414101619E-5</v>
      </c>
      <c r="AM255" s="26" t="str">
        <f>INDEX(Parametria!G:G,MATCH(Tabla_Consulta_desde_Reporte_de_Valorización_de_Instrumentos[[#This Row],[CODIGO_SBS]],Parametria!C:C,0))</f>
        <v>52RFIG</v>
      </c>
      <c r="AN255" s="26" t="str">
        <f>INDEX(Parametria!F:F,MATCH(Tabla_Consulta_desde_Reporte_de_Valorización_de_Instrumentos[[#This Row],[CODIGO_SBS]],Parametria!C:C,0))</f>
        <v>TD</v>
      </c>
      <c r="AO255" s="26" t="str">
        <f>+INDEX(Parametria!J:J,MATCH(Tabla_Consulta_desde_Reporte_de_Valorización_de_Instrumentos[[#This Row],[CODIGO_SBS]],Parametria!C:C,0))</f>
        <v>RFITD</v>
      </c>
      <c r="AP255" s="26">
        <f>Tabla_Consulta_desde_Reporte_de_Valorización_de_Instrumentos[[#This Row],[Huella]]/$AU$4</f>
        <v>1.743615563526722E-5</v>
      </c>
      <c r="AQ255" s="26" t="str">
        <f>IFERROR(INDEX('BD(MSCI)'!W:W,MATCH(Tabla_Consulta_desde_Reporte_de_Valorización_de_Instrumentos[[#This Row],[CODIGO_ISIN]],'BD(MSCI)'!C:C,0)),IF(Tabla_Consulta_desde_Reporte_de_Valorización_de_Instrumentos[[#This Row],[Rank_rt]]="Cash","Cash","Cuestionario Integra"))</f>
        <v>ETF</v>
      </c>
      <c r="AR255" s="26" t="str">
        <f>IFERROR(INDEX('BD(MSCI)'!X:X,MATCH(Tabla_Consulta_desde_Reporte_de_Valorización_de_Instrumentos[[#This Row],[CODIGO_ISIN]],'BD(MSCI)'!C:C,0)),"Cuestionario Integra")</f>
        <v>Otros ETFs</v>
      </c>
      <c r="AU255" s="26"/>
    </row>
    <row r="256" spans="2:47" hidden="1" x14ac:dyDescent="0.25">
      <c r="B256" s="14" t="s">
        <v>6390</v>
      </c>
      <c r="C256" t="s">
        <v>586</v>
      </c>
      <c r="D256" t="s">
        <v>11</v>
      </c>
      <c r="E256" t="s">
        <v>587</v>
      </c>
      <c r="F256" t="s">
        <v>6361</v>
      </c>
      <c r="G256" t="str">
        <f>INDEX(Parametria!H:H,MATCH(Tabla_Consulta_desde_Reporte_de_Valorización_de_Instrumentos[[#This Row],[CODIGO_SBS]],Parametria!C:C,0),1)</f>
        <v>Vontobel - Credit Opportunities</v>
      </c>
      <c r="H256" t="s">
        <v>6360</v>
      </c>
      <c r="I256" t="s">
        <v>156</v>
      </c>
      <c r="J256" t="s">
        <v>590</v>
      </c>
      <c r="K256" t="s">
        <v>50</v>
      </c>
      <c r="L256">
        <v>0</v>
      </c>
      <c r="M256" s="5">
        <v>16231203.794838</v>
      </c>
      <c r="N256">
        <v>4829421.82</v>
      </c>
      <c r="O256">
        <v>32002</v>
      </c>
      <c r="P256" s="15"/>
      <c r="R256">
        <v>3.3609</v>
      </c>
      <c r="S256" t="s">
        <v>155</v>
      </c>
      <c r="T256">
        <v>16258783.598468</v>
      </c>
      <c r="U256" s="5">
        <v>4835182.18</v>
      </c>
      <c r="V256" t="s">
        <v>156</v>
      </c>
      <c r="W256">
        <v>0</v>
      </c>
      <c r="X256">
        <v>0</v>
      </c>
      <c r="Y256">
        <v>0</v>
      </c>
      <c r="Z256">
        <v>-0.18</v>
      </c>
      <c r="AA256" t="str">
        <f>+MID(Tabla_Consulta_desde_Reporte_de_Valorización_de_Instrumentos[[#This Row],[CODIGO_SBS]],7,1)</f>
        <v>2</v>
      </c>
      <c r="AB256">
        <f>INDEX('Cálculo Caja'!F:F,MATCH(Tabla_Consulta_desde_Reporte_de_Valorización_de_Instrumentos[[#This Row],[PORTAFOLIO]],'Cálculo Caja'!A:A,0),1)</f>
        <v>3164069580.822104</v>
      </c>
      <c r="AC256" s="17">
        <f>Tabla_Consulta_desde_Reporte_de_Valorización_de_Instrumentos[[#This Row],[VALOR_VECTOR_LOCAL]]/Tabla_Consulta_desde_Reporte_de_Valorización_de_Instrumentos[[#This Row],[Patrimonio]]</f>
        <v>5.1298504600586978E-3</v>
      </c>
      <c r="AD256" s="4">
        <f>(Tabla_Consulta_desde_Reporte_de_Valorización_de_Instrumentos[[#This Row],[VALOR_VECTOR_LOCAL]]/INDEX('Tipo de Cambio'!$D:$D,MATCH("2",'Tipo de Cambio'!$E:$E,0),1))/1000000</f>
        <v>4.8294218200000003</v>
      </c>
      <c r="AE256">
        <f>IF(Tabla_Consulta_desde_Reporte_de_Valorización_de_Instrumentos[[#This Row],[PORTAFOLIO]]="IN-FONDO0",Tabla_Consulta_desde_Reporte_de_Valorización_de_Instrumentos[[#This Row],[Inv MM$]],0)</f>
        <v>0</v>
      </c>
      <c r="AF256" s="26">
        <f>IF(Tabla_Consulta_desde_Reporte_de_Valorización_de_Instrumentos[[#This Row],[PORTAFOLIO]]="IN-FONDO1",Tabla_Consulta_desde_Reporte_de_Valorización_de_Instrumentos[[#This Row],[Inv MM$]],0)</f>
        <v>0</v>
      </c>
      <c r="AG256" s="26">
        <f>IF(Tabla_Consulta_desde_Reporte_de_Valorización_de_Instrumentos[[#This Row],[PORTAFOLIO]]="IN-FONDO2",Tabla_Consulta_desde_Reporte_de_Valorización_de_Instrumentos[[#This Row],[Inv MM$]],0)</f>
        <v>0</v>
      </c>
      <c r="AH256" s="26">
        <f>IF(Tabla_Consulta_desde_Reporte_de_Valorización_de_Instrumentos[[#This Row],[PORTAFOLIO]]="IN-FONDO3",Tabla_Consulta_desde_Reporte_de_Valorización_de_Instrumentos[[#This Row],[Inv MM$]],0)</f>
        <v>4.8294218200000003</v>
      </c>
      <c r="AI25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146.9171402195</v>
      </c>
      <c r="AJ256" s="26">
        <f>IFERROR(IFERROR(INDEX('BD(MSCI)'!$T:$T,MATCH(Tabla_Consulta_desde_Reporte_de_Valorización_de_Instrumentos[[#This Row],[CODIGO_ISIN]],'BD(MSCI)'!$C:$C,0),1),INDEX('BD(MSCI)'!$T:$T,MATCH(Tabla_Consulta_desde_Reporte_de_Valorización_de_Instrumentos[[#This Row],[CODIGO_SBS]],'BD(MSCI)'!$C:$C,0),1)),0)</f>
        <v>43.013270409999997</v>
      </c>
      <c r="AK256" s="26">
        <f>Tabla_Consulta_desde_Reporte_de_Valorización_de_Instrumentos[[#This Row],[C02-H]]*Tabla_Consulta_desde_Reporte_de_Valorización_de_Instrumentos[[#This Row],[Inv MM$]]</f>
        <v>207.72922666761434</v>
      </c>
      <c r="AL256" s="26">
        <f>Tabla_Consulta_desde_Reporte_de_Valorización_de_Instrumentos[[#This Row],[C02-H]]*Tabla_Consulta_desde_Reporte_de_Valorización_de_Instrumentos[[#This Row],[Weight]]</f>
        <v>0.22065164500136766</v>
      </c>
      <c r="AM256" s="26" t="str">
        <f>INDEX(Parametria!G:G,MATCH(Tabla_Consulta_desde_Reporte_de_Valorización_de_Instrumentos[[#This Row],[CODIGO_SBS]],Parametria!C:C,0))</f>
        <v>52RFIG</v>
      </c>
      <c r="AN256" s="26" t="str">
        <f>INDEX(Parametria!F:F,MATCH(Tabla_Consulta_desde_Reporte_de_Valorización_de_Instrumentos[[#This Row],[CODIGO_SBS]],Parametria!C:C,0))</f>
        <v>TD</v>
      </c>
      <c r="AO256" s="26" t="str">
        <f>+INDEX(Parametria!J:J,MATCH(Tabla_Consulta_desde_Reporte_de_Valorización_de_Instrumentos[[#This Row],[CODIGO_SBS]],Parametria!C:C,0))</f>
        <v>RFITD</v>
      </c>
      <c r="AP256" s="26">
        <f>Tabla_Consulta_desde_Reporte_de_Valorización_de_Instrumentos[[#This Row],[Huella]]/$AU$4</f>
        <v>1.9257491184011901E-2</v>
      </c>
      <c r="AQ256" s="26" t="str">
        <f>IFERROR(INDEX('BD(MSCI)'!W:W,MATCH(Tabla_Consulta_desde_Reporte_de_Valorización_de_Instrumentos[[#This Row],[CODIGO_ISIN]],'BD(MSCI)'!C:C,0)),IF(Tabla_Consulta_desde_Reporte_de_Valorización_de_Instrumentos[[#This Row],[Rank_rt]]="Cash","Cash","Cuestionario Integra"))</f>
        <v>ETF</v>
      </c>
      <c r="AR256" s="26" t="str">
        <f>IFERROR(INDEX('BD(MSCI)'!X:X,MATCH(Tabla_Consulta_desde_Reporte_de_Valorización_de_Instrumentos[[#This Row],[CODIGO_ISIN]],'BD(MSCI)'!C:C,0)),"Cuestionario Integra")</f>
        <v>Otros ETFs</v>
      </c>
      <c r="AU256" s="26"/>
    </row>
    <row r="257" spans="2:47" hidden="1" x14ac:dyDescent="0.25">
      <c r="B257" s="14" t="s">
        <v>6390</v>
      </c>
      <c r="C257" t="s">
        <v>586</v>
      </c>
      <c r="D257" t="s">
        <v>10</v>
      </c>
      <c r="E257" t="s">
        <v>587</v>
      </c>
      <c r="F257" t="s">
        <v>6361</v>
      </c>
      <c r="G257" t="str">
        <f>INDEX(Parametria!H:H,MATCH(Tabla_Consulta_desde_Reporte_de_Valorización_de_Instrumentos[[#This Row],[CODIGO_SBS]],Parametria!C:C,0),1)</f>
        <v>Vontobel - Credit Opportunities</v>
      </c>
      <c r="H257" t="s">
        <v>6360</v>
      </c>
      <c r="I257" t="s">
        <v>156</v>
      </c>
      <c r="J257" t="s">
        <v>590</v>
      </c>
      <c r="K257" t="s">
        <v>50</v>
      </c>
      <c r="L257">
        <v>0</v>
      </c>
      <c r="M257" s="5">
        <v>319217207.91023523</v>
      </c>
      <c r="N257">
        <v>94979680.416030005</v>
      </c>
      <c r="O257">
        <v>629379.63300000003</v>
      </c>
      <c r="P257" s="15"/>
      <c r="R257">
        <v>3.3609</v>
      </c>
      <c r="S257" t="s">
        <v>155</v>
      </c>
      <c r="T257">
        <v>319759616.71864909</v>
      </c>
      <c r="U257" s="5">
        <v>95092968.749970004</v>
      </c>
      <c r="V257" t="s">
        <v>156</v>
      </c>
      <c r="W257">
        <v>0</v>
      </c>
      <c r="X257">
        <v>0</v>
      </c>
      <c r="Y257">
        <v>0</v>
      </c>
      <c r="Z257">
        <v>-0.18</v>
      </c>
      <c r="AA257" t="str">
        <f>+MID(Tabla_Consulta_desde_Reporte_de_Valorización_de_Instrumentos[[#This Row],[CODIGO_SBS]],7,1)</f>
        <v>2</v>
      </c>
      <c r="AB257">
        <f>INDEX('Cálculo Caja'!F:F,MATCH(Tabla_Consulta_desde_Reporte_de_Valorización_de_Instrumentos[[#This Row],[PORTAFOLIO]],'Cálculo Caja'!A:A,0),1)</f>
        <v>26256910350.436607</v>
      </c>
      <c r="AC257" s="17">
        <f>Tabla_Consulta_desde_Reporte_de_Valorización_de_Instrumentos[[#This Row],[VALOR_VECTOR_LOCAL]]/Tabla_Consulta_desde_Reporte_de_Valorización_de_Instrumentos[[#This Row],[Patrimonio]]</f>
        <v>1.2157455071819872E-2</v>
      </c>
      <c r="AD257" s="4">
        <f>(Tabla_Consulta_desde_Reporte_de_Valorización_de_Instrumentos[[#This Row],[VALOR_VECTOR_LOCAL]]/INDEX('Tipo de Cambio'!$D:$D,MATCH("2",'Tipo de Cambio'!$E:$E,0),1))/1000000</f>
        <v>94.979680416030007</v>
      </c>
      <c r="AE257">
        <f>IF(Tabla_Consulta_desde_Reporte_de_Valorización_de_Instrumentos[[#This Row],[PORTAFOLIO]]="IN-FONDO0",Tabla_Consulta_desde_Reporte_de_Valorización_de_Instrumentos[[#This Row],[Inv MM$]],0)</f>
        <v>0</v>
      </c>
      <c r="AF257" s="26">
        <f>IF(Tabla_Consulta_desde_Reporte_de_Valorización_de_Instrumentos[[#This Row],[PORTAFOLIO]]="IN-FONDO1",Tabla_Consulta_desde_Reporte_de_Valorización_de_Instrumentos[[#This Row],[Inv MM$]],0)</f>
        <v>0</v>
      </c>
      <c r="AG257" s="26">
        <f>IF(Tabla_Consulta_desde_Reporte_de_Valorización_de_Instrumentos[[#This Row],[PORTAFOLIO]]="IN-FONDO2",Tabla_Consulta_desde_Reporte_de_Valorización_de_Instrumentos[[#This Row],[Inv MM$]],0)</f>
        <v>94.979680416030007</v>
      </c>
      <c r="AH257" s="26">
        <f>IF(Tabla_Consulta_desde_Reporte_de_Valorización_de_Instrumentos[[#This Row],[PORTAFOLIO]]="IN-FONDO3",Tabla_Consulta_desde_Reporte_de_Valorización_de_Instrumentos[[#This Row],[Inv MM$]],0)</f>
        <v>0</v>
      </c>
      <c r="AI25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146.9171402195</v>
      </c>
      <c r="AJ257" s="26">
        <f>IFERROR(IFERROR(INDEX('BD(MSCI)'!$T:$T,MATCH(Tabla_Consulta_desde_Reporte_de_Valorización_de_Instrumentos[[#This Row],[CODIGO_ISIN]],'BD(MSCI)'!$C:$C,0),1),INDEX('BD(MSCI)'!$T:$T,MATCH(Tabla_Consulta_desde_Reporte_de_Valorización_de_Instrumentos[[#This Row],[CODIGO_SBS]],'BD(MSCI)'!$C:$C,0),1)),0)</f>
        <v>43.013270409999997</v>
      </c>
      <c r="AK257" s="26">
        <f>Tabla_Consulta_desde_Reporte_de_Valorización_de_Instrumentos[[#This Row],[C02-H]]*Tabla_Consulta_desde_Reporte_de_Valorización_de_Instrumentos[[#This Row],[Inv MM$]]</f>
        <v>4085.3866771900798</v>
      </c>
      <c r="AL257" s="26">
        <f>Tabla_Consulta_desde_Reporte_de_Valorización_de_Instrumentos[[#This Row],[C02-H]]*Tabla_Consulta_desde_Reporte_de_Valorización_de_Instrumentos[[#This Row],[Weight]]</f>
        <v>0.52293190250161414</v>
      </c>
      <c r="AM257" s="26" t="str">
        <f>INDEX(Parametria!G:G,MATCH(Tabla_Consulta_desde_Reporte_de_Valorización_de_Instrumentos[[#This Row],[CODIGO_SBS]],Parametria!C:C,0))</f>
        <v>52RFIG</v>
      </c>
      <c r="AN257" s="26" t="str">
        <f>INDEX(Parametria!F:F,MATCH(Tabla_Consulta_desde_Reporte_de_Valorización_de_Instrumentos[[#This Row],[CODIGO_SBS]],Parametria!C:C,0))</f>
        <v>TD</v>
      </c>
      <c r="AO257" s="26" t="str">
        <f>+INDEX(Parametria!J:J,MATCH(Tabla_Consulta_desde_Reporte_de_Valorización_de_Instrumentos[[#This Row],[CODIGO_SBS]],Parametria!C:C,0))</f>
        <v>RFITD</v>
      </c>
      <c r="AP257" s="26">
        <f>Tabla_Consulta_desde_Reporte_de_Valorización_de_Instrumentos[[#This Row],[Huella]]/$AU$4</f>
        <v>0.3787348520059417</v>
      </c>
      <c r="AQ257" s="26" t="str">
        <f>IFERROR(INDEX('BD(MSCI)'!W:W,MATCH(Tabla_Consulta_desde_Reporte_de_Valorización_de_Instrumentos[[#This Row],[CODIGO_ISIN]],'BD(MSCI)'!C:C,0)),IF(Tabla_Consulta_desde_Reporte_de_Valorización_de_Instrumentos[[#This Row],[Rank_rt]]="Cash","Cash","Cuestionario Integra"))</f>
        <v>ETF</v>
      </c>
      <c r="AR257" s="26" t="str">
        <f>IFERROR(INDEX('BD(MSCI)'!X:X,MATCH(Tabla_Consulta_desde_Reporte_de_Valorización_de_Instrumentos[[#This Row],[CODIGO_ISIN]],'BD(MSCI)'!C:C,0)),"Cuestionario Integra")</f>
        <v>Otros ETFs</v>
      </c>
      <c r="AU257" s="26"/>
    </row>
    <row r="258" spans="2:47" hidden="1" x14ac:dyDescent="0.25">
      <c r="B258" s="14" t="s">
        <v>6390</v>
      </c>
      <c r="C258" t="s">
        <v>586</v>
      </c>
      <c r="D258" t="s">
        <v>10</v>
      </c>
      <c r="E258" t="s">
        <v>587</v>
      </c>
      <c r="F258" t="s">
        <v>593</v>
      </c>
      <c r="G258" t="str">
        <f>INDEX(Parametria!H:H,MATCH(Tabla_Consulta_desde_Reporte_de_Valorización_de_Instrumentos[[#This Row],[CODIGO_SBS]],Parametria!C:C,0),1)</f>
        <v>Barings - Emerging Markets Local Debt Fund</v>
      </c>
      <c r="H258" t="s">
        <v>594</v>
      </c>
      <c r="I258" t="s">
        <v>156</v>
      </c>
      <c r="J258" t="s">
        <v>595</v>
      </c>
      <c r="K258" t="s">
        <v>50</v>
      </c>
      <c r="L258">
        <v>1</v>
      </c>
      <c r="M258" s="5">
        <v>418.06235099999998</v>
      </c>
      <c r="N258">
        <v>124.39</v>
      </c>
      <c r="O258">
        <v>1</v>
      </c>
      <c r="P258" s="15"/>
      <c r="R258">
        <v>3.3609</v>
      </c>
      <c r="S258" t="s">
        <v>155</v>
      </c>
      <c r="T258">
        <v>419.28259400000002</v>
      </c>
      <c r="U258" s="5">
        <v>124.69</v>
      </c>
      <c r="V258" t="s">
        <v>156</v>
      </c>
      <c r="W258">
        <v>0</v>
      </c>
      <c r="X258">
        <v>0</v>
      </c>
      <c r="Y258">
        <v>0</v>
      </c>
      <c r="Z258">
        <v>-0.3</v>
      </c>
      <c r="AA258" t="str">
        <f>+MID(Tabla_Consulta_desde_Reporte_de_Valorización_de_Instrumentos[[#This Row],[CODIGO_SBS]],7,1)</f>
        <v>2</v>
      </c>
      <c r="AB258">
        <f>INDEX('Cálculo Caja'!F:F,MATCH(Tabla_Consulta_desde_Reporte_de_Valorización_de_Instrumentos[[#This Row],[PORTAFOLIO]],'Cálculo Caja'!A:A,0),1)</f>
        <v>26256910350.436607</v>
      </c>
      <c r="AC258" s="17">
        <f>Tabla_Consulta_desde_Reporte_de_Valorización_de_Instrumentos[[#This Row],[VALOR_VECTOR_LOCAL]]/Tabla_Consulta_desde_Reporte_de_Valorización_de_Instrumentos[[#This Row],[Patrimonio]]</f>
        <v>1.592199331225002E-8</v>
      </c>
      <c r="AD258" s="4">
        <f>(Tabla_Consulta_desde_Reporte_de_Valorización_de_Instrumentos[[#This Row],[VALOR_VECTOR_LOCAL]]/INDEX('Tipo de Cambio'!$D:$D,MATCH("2",'Tipo de Cambio'!$E:$E,0),1))/1000000</f>
        <v>1.2438999999999999E-4</v>
      </c>
      <c r="AE258">
        <f>IF(Tabla_Consulta_desde_Reporte_de_Valorización_de_Instrumentos[[#This Row],[PORTAFOLIO]]="IN-FONDO0",Tabla_Consulta_desde_Reporte_de_Valorización_de_Instrumentos[[#This Row],[Inv MM$]],0)</f>
        <v>0</v>
      </c>
      <c r="AF258" s="26">
        <f>IF(Tabla_Consulta_desde_Reporte_de_Valorización_de_Instrumentos[[#This Row],[PORTAFOLIO]]="IN-FONDO1",Tabla_Consulta_desde_Reporte_de_Valorización_de_Instrumentos[[#This Row],[Inv MM$]],0)</f>
        <v>0</v>
      </c>
      <c r="AG258" s="26">
        <f>IF(Tabla_Consulta_desde_Reporte_de_Valorización_de_Instrumentos[[#This Row],[PORTAFOLIO]]="IN-FONDO2",Tabla_Consulta_desde_Reporte_de_Valorización_de_Instrumentos[[#This Row],[Inv MM$]],0)</f>
        <v>1.2438999999999999E-4</v>
      </c>
      <c r="AH258" s="26">
        <f>IF(Tabla_Consulta_desde_Reporte_de_Valorización_de_Instrumentos[[#This Row],[PORTAFOLIO]]="IN-FONDO3",Tabla_Consulta_desde_Reporte_de_Valorización_de_Instrumentos[[#This Row],[Inv MM$]],0)</f>
        <v>0</v>
      </c>
      <c r="AI25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3.3747006998125504E-4</v>
      </c>
      <c r="AJ258" s="26">
        <f>IFERROR(IFERROR(INDEX('BD(MSCI)'!$T:$T,MATCH(Tabla_Consulta_desde_Reporte_de_Valorización_de_Instrumentos[[#This Row],[CODIGO_ISIN]],'BD(MSCI)'!$C:$C,0),1),INDEX('BD(MSCI)'!$T:$T,MATCH(Tabla_Consulta_desde_Reporte_de_Valorización_de_Instrumentos[[#This Row],[CODIGO_SBS]],'BD(MSCI)'!$C:$C,0),1)),0)</f>
        <v>2.4346340199999998</v>
      </c>
      <c r="AK258" s="26">
        <f>Tabla_Consulta_desde_Reporte_de_Valorización_de_Instrumentos[[#This Row],[C02-H]]*Tabla_Consulta_desde_Reporte_de_Valorización_de_Instrumentos[[#This Row],[Inv MM$]]</f>
        <v>3.0284412574779995E-4</v>
      </c>
      <c r="AL258" s="26">
        <f>Tabla_Consulta_desde_Reporte_de_Valorización_de_Instrumentos[[#This Row],[C02-H]]*Tabla_Consulta_desde_Reporte_de_Valorización_de_Instrumentos[[#This Row],[Weight]]</f>
        <v>3.876422658421638E-8</v>
      </c>
      <c r="AM258" s="26" t="str">
        <f>INDEX(Parametria!G:G,MATCH(Tabla_Consulta_desde_Reporte_de_Valorización_de_Instrumentos[[#This Row],[CODIGO_SBS]],Parametria!C:C,0))</f>
        <v>52RFIG</v>
      </c>
      <c r="AN258" s="26" t="str">
        <f>INDEX(Parametria!F:F,MATCH(Tabla_Consulta_desde_Reporte_de_Valorización_de_Instrumentos[[#This Row],[CODIGO_SBS]],Parametria!C:C,0))</f>
        <v>TD</v>
      </c>
      <c r="AO258" s="26" t="str">
        <f>+INDEX(Parametria!J:J,MATCH(Tabla_Consulta_desde_Reporte_de_Valorización_de_Instrumentos[[#This Row],[CODIGO_SBS]],Parametria!C:C,0))</f>
        <v>RFITD</v>
      </c>
      <c r="AP258" s="26">
        <f>Tabla_Consulta_desde_Reporte_de_Valorización_de_Instrumentos[[#This Row],[Huella]]/$AU$4</f>
        <v>2.8075096486301414E-8</v>
      </c>
      <c r="AQ258" s="26" t="str">
        <f>IFERROR(INDEX('BD(MSCI)'!W:W,MATCH(Tabla_Consulta_desde_Reporte_de_Valorización_de_Instrumentos[[#This Row],[CODIGO_ISIN]],'BD(MSCI)'!C:C,0)),IF(Tabla_Consulta_desde_Reporte_de_Valorización_de_Instrumentos[[#This Row],[Rank_rt]]="Cash","Cash","Cuestionario Integra"))</f>
        <v>ETF</v>
      </c>
      <c r="AR258" s="26" t="str">
        <f>IFERROR(INDEX('BD(MSCI)'!X:X,MATCH(Tabla_Consulta_desde_Reporte_de_Valorización_de_Instrumentos[[#This Row],[CODIGO_ISIN]],'BD(MSCI)'!C:C,0)),"Cuestionario Integra")</f>
        <v>Otros ETFs</v>
      </c>
      <c r="AU258" s="26"/>
    </row>
    <row r="259" spans="2:47" hidden="1" x14ac:dyDescent="0.25">
      <c r="B259" s="14" t="s">
        <v>6390</v>
      </c>
      <c r="C259" t="s">
        <v>586</v>
      </c>
      <c r="D259" t="s">
        <v>12</v>
      </c>
      <c r="E259" t="s">
        <v>587</v>
      </c>
      <c r="F259" t="s">
        <v>596</v>
      </c>
      <c r="G259" t="str">
        <f>INDEX(Parametria!H:H,MATCH(Tabla_Consulta_desde_Reporte_de_Valorización_de_Instrumentos[[#This Row],[CODIGO_SBS]],Parametria!C:C,0),1)</f>
        <v>Barings - Emerging Markets Sovereign Debt Fund</v>
      </c>
      <c r="H259" t="s">
        <v>597</v>
      </c>
      <c r="I259" t="s">
        <v>156</v>
      </c>
      <c r="J259" t="s">
        <v>595</v>
      </c>
      <c r="K259" t="s">
        <v>50</v>
      </c>
      <c r="L259">
        <v>103.92</v>
      </c>
      <c r="M259" s="5">
        <v>371.64832200000001</v>
      </c>
      <c r="N259">
        <v>110.58</v>
      </c>
      <c r="O259">
        <v>1</v>
      </c>
      <c r="P259" s="15"/>
      <c r="R259">
        <v>3.3609</v>
      </c>
      <c r="S259" t="s">
        <v>155</v>
      </c>
      <c r="T259">
        <v>371.56729999999999</v>
      </c>
      <c r="U259" s="5">
        <v>110.5</v>
      </c>
      <c r="V259" t="s">
        <v>156</v>
      </c>
      <c r="W259">
        <v>0</v>
      </c>
      <c r="X259">
        <v>0</v>
      </c>
      <c r="Y259">
        <v>0</v>
      </c>
      <c r="Z259">
        <v>0.08</v>
      </c>
      <c r="AA259" t="str">
        <f>+MID(Tabla_Consulta_desde_Reporte_de_Valorización_de_Instrumentos[[#This Row],[CODIGO_SBS]],7,1)</f>
        <v>2</v>
      </c>
      <c r="AB259">
        <f>INDEX('Cálculo Caja'!F:F,MATCH(Tabla_Consulta_desde_Reporte_de_Valorización_de_Instrumentos[[#This Row],[PORTAFOLIO]],'Cálculo Caja'!A:A,0),1)</f>
        <v>7679510866.0565634</v>
      </c>
      <c r="AC259" s="17">
        <f>Tabla_Consulta_desde_Reporte_de_Valorización_de_Instrumentos[[#This Row],[VALOR_VECTOR_LOCAL]]/Tabla_Consulta_desde_Reporte_de_Valorización_de_Instrumentos[[#This Row],[Patrimonio]]</f>
        <v>4.8394790824853903E-8</v>
      </c>
      <c r="AD259" s="4">
        <f>(Tabla_Consulta_desde_Reporte_de_Valorización_de_Instrumentos[[#This Row],[VALOR_VECTOR_LOCAL]]/INDEX('Tipo de Cambio'!$D:$D,MATCH("2",'Tipo de Cambio'!$E:$E,0),1))/1000000</f>
        <v>1.1058E-4</v>
      </c>
      <c r="AE259">
        <f>IF(Tabla_Consulta_desde_Reporte_de_Valorización_de_Instrumentos[[#This Row],[PORTAFOLIO]]="IN-FONDO0",Tabla_Consulta_desde_Reporte_de_Valorización_de_Instrumentos[[#This Row],[Inv MM$]],0)</f>
        <v>0</v>
      </c>
      <c r="AF259" s="26">
        <f>IF(Tabla_Consulta_desde_Reporte_de_Valorización_de_Instrumentos[[#This Row],[PORTAFOLIO]]="IN-FONDO1",Tabla_Consulta_desde_Reporte_de_Valorización_de_Instrumentos[[#This Row],[Inv MM$]],0)</f>
        <v>1.1058E-4</v>
      </c>
      <c r="AG259" s="26">
        <f>IF(Tabla_Consulta_desde_Reporte_de_Valorización_de_Instrumentos[[#This Row],[PORTAFOLIO]]="IN-FONDO2",Tabla_Consulta_desde_Reporte_de_Valorización_de_Instrumentos[[#This Row],[Inv MM$]],0)</f>
        <v>0</v>
      </c>
      <c r="AH259" s="26">
        <f>IF(Tabla_Consulta_desde_Reporte_de_Valorización_de_Instrumentos[[#This Row],[PORTAFOLIO]]="IN-FONDO3",Tabla_Consulta_desde_Reporte_de_Valorización_de_Instrumentos[[#This Row],[Inv MM$]],0)</f>
        <v>0</v>
      </c>
      <c r="AI25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1.1058E-4</v>
      </c>
      <c r="AJ259" s="26">
        <f>IFERROR(IFERROR(INDEX('BD(MSCI)'!$T:$T,MATCH(Tabla_Consulta_desde_Reporte_de_Valorización_de_Instrumentos[[#This Row],[CODIGO_ISIN]],'BD(MSCI)'!$C:$C,0),1),INDEX('BD(MSCI)'!$T:$T,MATCH(Tabla_Consulta_desde_Reporte_de_Valorización_de_Instrumentos[[#This Row],[CODIGO_SBS]],'BD(MSCI)'!$C:$C,0),1)),0)</f>
        <v>412.78666957000002</v>
      </c>
      <c r="AK259" s="26">
        <f>Tabla_Consulta_desde_Reporte_de_Valorización_de_Instrumentos[[#This Row],[C02-H]]*Tabla_Consulta_desde_Reporte_de_Valorización_de_Instrumentos[[#This Row],[Inv MM$]]</f>
        <v>4.5645949921050602E-2</v>
      </c>
      <c r="AL259" s="26">
        <f>Tabla_Consulta_desde_Reporte_de_Valorización_de_Instrumentos[[#This Row],[C02-H]]*Tabla_Consulta_desde_Reporte_de_Valorización_de_Instrumentos[[#This Row],[Weight]]</f>
        <v>1.9976724529128235E-5</v>
      </c>
      <c r="AM259" s="26" t="str">
        <f>INDEX(Parametria!G:G,MATCH(Tabla_Consulta_desde_Reporte_de_Valorización_de_Instrumentos[[#This Row],[CODIGO_SBS]],Parametria!C:C,0))</f>
        <v>52RFIG</v>
      </c>
      <c r="AN259" s="26" t="str">
        <f>INDEX(Parametria!F:F,MATCH(Tabla_Consulta_desde_Reporte_de_Valorización_de_Instrumentos[[#This Row],[CODIGO_SBS]],Parametria!C:C,0))</f>
        <v>TD</v>
      </c>
      <c r="AO259" s="26" t="str">
        <f>+INDEX(Parametria!J:J,MATCH(Tabla_Consulta_desde_Reporte_de_Valorización_de_Instrumentos[[#This Row],[CODIGO_SBS]],Parametria!C:C,0))</f>
        <v>RFITD</v>
      </c>
      <c r="AP259" s="26">
        <f>Tabla_Consulta_desde_Reporte_de_Valorización_de_Instrumentos[[#This Row],[Huella]]/$AU$4</f>
        <v>4.2315975093721554E-6</v>
      </c>
      <c r="AQ259" s="26" t="str">
        <f>IFERROR(INDEX('BD(MSCI)'!W:W,MATCH(Tabla_Consulta_desde_Reporte_de_Valorización_de_Instrumentos[[#This Row],[CODIGO_ISIN]],'BD(MSCI)'!C:C,0)),IF(Tabla_Consulta_desde_Reporte_de_Valorización_de_Instrumentos[[#This Row],[Rank_rt]]="Cash","Cash","Cuestionario Integra"))</f>
        <v>ETF</v>
      </c>
      <c r="AR259" s="26" t="str">
        <f>IFERROR(INDEX('BD(MSCI)'!X:X,MATCH(Tabla_Consulta_desde_Reporte_de_Valorización_de_Instrumentos[[#This Row],[CODIGO_ISIN]],'BD(MSCI)'!C:C,0)),"Cuestionario Integra")</f>
        <v>Otros ETFs</v>
      </c>
      <c r="AU259" s="26"/>
    </row>
    <row r="260" spans="2:47" hidden="1" x14ac:dyDescent="0.25">
      <c r="B260" s="14" t="s">
        <v>6390</v>
      </c>
      <c r="C260" t="s">
        <v>586</v>
      </c>
      <c r="D260" t="s">
        <v>12</v>
      </c>
      <c r="E260" t="s">
        <v>587</v>
      </c>
      <c r="F260" t="s">
        <v>593</v>
      </c>
      <c r="G260" t="str">
        <f>INDEX(Parametria!H:H,MATCH(Tabla_Consulta_desde_Reporte_de_Valorización_de_Instrumentos[[#This Row],[CODIGO_SBS]],Parametria!C:C,0),1)</f>
        <v>Barings - Emerging Markets Local Debt Fund</v>
      </c>
      <c r="H260" t="s">
        <v>594</v>
      </c>
      <c r="I260" t="s">
        <v>156</v>
      </c>
      <c r="J260" t="s">
        <v>595</v>
      </c>
      <c r="K260" t="s">
        <v>50</v>
      </c>
      <c r="L260">
        <v>1</v>
      </c>
      <c r="M260" s="5">
        <v>716.14080720000004</v>
      </c>
      <c r="N260">
        <v>213.08007000000001</v>
      </c>
      <c r="O260">
        <v>1.7130000000000001</v>
      </c>
      <c r="P260" s="15"/>
      <c r="R260">
        <v>3.3609</v>
      </c>
      <c r="S260" t="s">
        <v>155</v>
      </c>
      <c r="T260">
        <v>718.23108349999995</v>
      </c>
      <c r="U260" s="5">
        <v>213.59397000000001</v>
      </c>
      <c r="V260" t="s">
        <v>156</v>
      </c>
      <c r="W260">
        <v>0</v>
      </c>
      <c r="X260">
        <v>0</v>
      </c>
      <c r="Y260">
        <v>0</v>
      </c>
      <c r="Z260">
        <v>-0.3</v>
      </c>
      <c r="AA260" t="str">
        <f>+MID(Tabla_Consulta_desde_Reporte_de_Valorización_de_Instrumentos[[#This Row],[CODIGO_SBS]],7,1)</f>
        <v>2</v>
      </c>
      <c r="AB260">
        <f>INDEX('Cálculo Caja'!F:F,MATCH(Tabla_Consulta_desde_Reporte_de_Valorización_de_Instrumentos[[#This Row],[PORTAFOLIO]],'Cálculo Caja'!A:A,0),1)</f>
        <v>7679510866.0565634</v>
      </c>
      <c r="AC260" s="17">
        <f>Tabla_Consulta_desde_Reporte_de_Valorización_de_Instrumentos[[#This Row],[VALOR_VECTOR_LOCAL]]/Tabla_Consulta_desde_Reporte_de_Valorización_de_Instrumentos[[#This Row],[Patrimonio]]</f>
        <v>9.3253440185278242E-8</v>
      </c>
      <c r="AD260" s="4">
        <f>(Tabla_Consulta_desde_Reporte_de_Valorización_de_Instrumentos[[#This Row],[VALOR_VECTOR_LOCAL]]/INDEX('Tipo de Cambio'!$D:$D,MATCH("2",'Tipo de Cambio'!$E:$E,0),1))/1000000</f>
        <v>2.1308006998125504E-4</v>
      </c>
      <c r="AE260">
        <f>IF(Tabla_Consulta_desde_Reporte_de_Valorización_de_Instrumentos[[#This Row],[PORTAFOLIO]]="IN-FONDO0",Tabla_Consulta_desde_Reporte_de_Valorización_de_Instrumentos[[#This Row],[Inv MM$]],0)</f>
        <v>0</v>
      </c>
      <c r="AF260" s="26">
        <f>IF(Tabla_Consulta_desde_Reporte_de_Valorización_de_Instrumentos[[#This Row],[PORTAFOLIO]]="IN-FONDO1",Tabla_Consulta_desde_Reporte_de_Valorización_de_Instrumentos[[#This Row],[Inv MM$]],0)</f>
        <v>2.1308006998125504E-4</v>
      </c>
      <c r="AG260" s="26">
        <f>IF(Tabla_Consulta_desde_Reporte_de_Valorización_de_Instrumentos[[#This Row],[PORTAFOLIO]]="IN-FONDO2",Tabla_Consulta_desde_Reporte_de_Valorización_de_Instrumentos[[#This Row],[Inv MM$]],0)</f>
        <v>0</v>
      </c>
      <c r="AH260" s="26">
        <f>IF(Tabla_Consulta_desde_Reporte_de_Valorización_de_Instrumentos[[#This Row],[PORTAFOLIO]]="IN-FONDO3",Tabla_Consulta_desde_Reporte_de_Valorización_de_Instrumentos[[#This Row],[Inv MM$]],0)</f>
        <v>0</v>
      </c>
      <c r="AI26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3.3747006998125504E-4</v>
      </c>
      <c r="AJ260" s="26">
        <f>IFERROR(IFERROR(INDEX('BD(MSCI)'!$T:$T,MATCH(Tabla_Consulta_desde_Reporte_de_Valorización_de_Instrumentos[[#This Row],[CODIGO_ISIN]],'BD(MSCI)'!$C:$C,0),1),INDEX('BD(MSCI)'!$T:$T,MATCH(Tabla_Consulta_desde_Reporte_de_Valorización_de_Instrumentos[[#This Row],[CODIGO_SBS]],'BD(MSCI)'!$C:$C,0),1)),0)</f>
        <v>2.4346340199999998</v>
      </c>
      <c r="AK260" s="26">
        <f>Tabla_Consulta_desde_Reporte_de_Valorización_de_Instrumentos[[#This Row],[C02-H]]*Tabla_Consulta_desde_Reporte_de_Valorización_de_Instrumentos[[#This Row],[Inv MM$]]</f>
        <v>5.1877198736034421E-4</v>
      </c>
      <c r="AL260" s="26">
        <f>Tabla_Consulta_desde_Reporte_de_Valorización_de_Instrumentos[[#This Row],[C02-H]]*Tabla_Consulta_desde_Reporte_de_Valorización_de_Instrumentos[[#This Row],[Weight]]</f>
        <v>2.2703799795711349E-7</v>
      </c>
      <c r="AM260" s="26" t="str">
        <f>INDEX(Parametria!G:G,MATCH(Tabla_Consulta_desde_Reporte_de_Valorización_de_Instrumentos[[#This Row],[CODIGO_SBS]],Parametria!C:C,0))</f>
        <v>52RFIG</v>
      </c>
      <c r="AN260" s="26" t="str">
        <f>INDEX(Parametria!F:F,MATCH(Tabla_Consulta_desde_Reporte_de_Valorización_de_Instrumentos[[#This Row],[CODIGO_SBS]],Parametria!C:C,0))</f>
        <v>TD</v>
      </c>
      <c r="AO260" s="26" t="str">
        <f>+INDEX(Parametria!J:J,MATCH(Tabla_Consulta_desde_Reporte_de_Valorización_de_Instrumentos[[#This Row],[CODIGO_SBS]],Parametria!C:C,0))</f>
        <v>RFITD</v>
      </c>
      <c r="AP260" s="26">
        <f>Tabla_Consulta_desde_Reporte_de_Valorización_de_Instrumentos[[#This Row],[Huella]]/$AU$4</f>
        <v>4.8092640276803542E-8</v>
      </c>
      <c r="AQ260" s="26" t="str">
        <f>IFERROR(INDEX('BD(MSCI)'!W:W,MATCH(Tabla_Consulta_desde_Reporte_de_Valorización_de_Instrumentos[[#This Row],[CODIGO_ISIN]],'BD(MSCI)'!C:C,0)),IF(Tabla_Consulta_desde_Reporte_de_Valorización_de_Instrumentos[[#This Row],[Rank_rt]]="Cash","Cash","Cuestionario Integra"))</f>
        <v>ETF</v>
      </c>
      <c r="AR260" s="26" t="str">
        <f>IFERROR(INDEX('BD(MSCI)'!X:X,MATCH(Tabla_Consulta_desde_Reporte_de_Valorización_de_Instrumentos[[#This Row],[CODIGO_ISIN]],'BD(MSCI)'!C:C,0)),"Cuestionario Integra")</f>
        <v>Otros ETFs</v>
      </c>
      <c r="AU260" s="26"/>
    </row>
    <row r="261" spans="2:47" hidden="1" x14ac:dyDescent="0.25">
      <c r="B261" s="14" t="s">
        <v>6390</v>
      </c>
      <c r="C261" t="s">
        <v>586</v>
      </c>
      <c r="D261" t="s">
        <v>12</v>
      </c>
      <c r="E261" t="s">
        <v>587</v>
      </c>
      <c r="F261" t="s">
        <v>5962</v>
      </c>
      <c r="G261" t="str">
        <f>INDEX(Parametria!H:H,MATCH(Tabla_Consulta_desde_Reporte_de_Valorización_de_Instrumentos[[#This Row],[CODIGO_SBS]],Parametria!C:C,0),1)</f>
        <v>Arcano Fund - European Income Fund, ESG Selection</v>
      </c>
      <c r="H261" t="s">
        <v>5963</v>
      </c>
      <c r="I261" t="s">
        <v>156</v>
      </c>
      <c r="J261" t="s">
        <v>5964</v>
      </c>
      <c r="K261" t="s">
        <v>57</v>
      </c>
      <c r="L261">
        <v>0</v>
      </c>
      <c r="M261" s="5">
        <v>603.34855760000005</v>
      </c>
      <c r="N261">
        <v>152.90003999999999</v>
      </c>
      <c r="O261">
        <v>1.244</v>
      </c>
      <c r="P261" s="15"/>
      <c r="R261">
        <v>3.9460326999999999</v>
      </c>
      <c r="S261" t="s">
        <v>155</v>
      </c>
      <c r="T261">
        <v>604.27295019999997</v>
      </c>
      <c r="U261" s="5">
        <v>152.88759999999999</v>
      </c>
      <c r="V261" t="s">
        <v>156</v>
      </c>
      <c r="W261">
        <v>0</v>
      </c>
      <c r="X261">
        <v>0</v>
      </c>
      <c r="Y261">
        <v>0</v>
      </c>
      <c r="Z261">
        <v>0.01</v>
      </c>
      <c r="AA261" t="str">
        <f>+MID(Tabla_Consulta_desde_Reporte_de_Valorización_de_Instrumentos[[#This Row],[CODIGO_SBS]],7,1)</f>
        <v>4</v>
      </c>
      <c r="AB261">
        <f>INDEX('Cálculo Caja'!F:F,MATCH(Tabla_Consulta_desde_Reporte_de_Valorización_de_Instrumentos[[#This Row],[PORTAFOLIO]],'Cálculo Caja'!A:A,0),1)</f>
        <v>7679510866.0565634</v>
      </c>
      <c r="AC261" s="17">
        <f>Tabla_Consulta_desde_Reporte_de_Valorización_de_Instrumentos[[#This Row],[VALOR_VECTOR_LOCAL]]/Tabla_Consulta_desde_Reporte_de_Valorización_de_Instrumentos[[#This Row],[Patrimonio]]</f>
        <v>7.8566013919818843E-8</v>
      </c>
      <c r="AD261" s="4">
        <f>(Tabla_Consulta_desde_Reporte_de_Valorización_de_Instrumentos[[#This Row],[VALOR_VECTOR_LOCAL]]/INDEX('Tipo de Cambio'!$D:$D,MATCH("2",'Tipo de Cambio'!$E:$E,0),1))/1000000</f>
        <v>1.7951993739772086E-4</v>
      </c>
      <c r="AE261">
        <f>IF(Tabla_Consulta_desde_Reporte_de_Valorización_de_Instrumentos[[#This Row],[PORTAFOLIO]]="IN-FONDO0",Tabla_Consulta_desde_Reporte_de_Valorización_de_Instrumentos[[#This Row],[Inv MM$]],0)</f>
        <v>0</v>
      </c>
      <c r="AF261" s="26">
        <f>IF(Tabla_Consulta_desde_Reporte_de_Valorización_de_Instrumentos[[#This Row],[PORTAFOLIO]]="IN-FONDO1",Tabla_Consulta_desde_Reporte_de_Valorización_de_Instrumentos[[#This Row],[Inv MM$]],0)</f>
        <v>1.7951993739772086E-4</v>
      </c>
      <c r="AG261" s="26">
        <f>IF(Tabla_Consulta_desde_Reporte_de_Valorización_de_Instrumentos[[#This Row],[PORTAFOLIO]]="IN-FONDO2",Tabla_Consulta_desde_Reporte_de_Valorización_de_Instrumentos[[#This Row],[Inv MM$]],0)</f>
        <v>0</v>
      </c>
      <c r="AH261" s="26">
        <f>IF(Tabla_Consulta_desde_Reporte_de_Valorización_de_Instrumentos[[#This Row],[PORTAFOLIO]]="IN-FONDO3",Tabla_Consulta_desde_Reporte_de_Valorización_de_Instrumentos[[#This Row],[Inv MM$]],0)</f>
        <v>0</v>
      </c>
      <c r="AI26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3.9843613115534532E-4</v>
      </c>
      <c r="AJ261" s="26">
        <f>IFERROR(IFERROR(INDEX('BD(MSCI)'!$T:$T,MATCH(Tabla_Consulta_desde_Reporte_de_Valorización_de_Instrumentos[[#This Row],[CODIGO_ISIN]],'BD(MSCI)'!$C:$C,0),1),INDEX('BD(MSCI)'!$T:$T,MATCH(Tabla_Consulta_desde_Reporte_de_Valorización_de_Instrumentos[[#This Row],[CODIGO_SBS]],'BD(MSCI)'!$C:$C,0),1)),0)</f>
        <v>105.47879072000001</v>
      </c>
      <c r="AK261" s="26">
        <f>Tabla_Consulta_desde_Reporte_de_Valorización_de_Instrumentos[[#This Row],[C02-H]]*Tabla_Consulta_desde_Reporte_de_Valorización_de_Instrumentos[[#This Row],[Inv MM$]]</f>
        <v>1.89355459068417E-2</v>
      </c>
      <c r="AL261" s="26">
        <f>Tabla_Consulta_desde_Reporte_de_Valorización_de_Instrumentos[[#This Row],[C02-H]]*Tabla_Consulta_desde_Reporte_de_Valorización_de_Instrumentos[[#This Row],[Weight]]</f>
        <v>8.2870481399531787E-6</v>
      </c>
      <c r="AM261" s="26" t="str">
        <f>INDEX(Parametria!G:G,MATCH(Tabla_Consulta_desde_Reporte_de_Valorización_de_Instrumentos[[#This Row],[CODIGO_SBS]],Parametria!C:C,0))</f>
        <v>52RFIG</v>
      </c>
      <c r="AN261" s="26" t="str">
        <f>INDEX(Parametria!F:F,MATCH(Tabla_Consulta_desde_Reporte_de_Valorización_de_Instrumentos[[#This Row],[CODIGO_SBS]],Parametria!C:C,0))</f>
        <v>TD</v>
      </c>
      <c r="AO261" s="26" t="str">
        <f>+INDEX(Parametria!J:J,MATCH(Tabla_Consulta_desde_Reporte_de_Valorización_de_Instrumentos[[#This Row],[CODIGO_SBS]],Parametria!C:C,0))</f>
        <v>RFITD</v>
      </c>
      <c r="AP261" s="26">
        <f>Tabla_Consulta_desde_Reporte_de_Valorización_de_Instrumentos[[#This Row],[Huella]]/$AU$4</f>
        <v>1.755415519593358E-6</v>
      </c>
      <c r="AQ261" s="26" t="str">
        <f>IFERROR(INDEX('BD(MSCI)'!W:W,MATCH(Tabla_Consulta_desde_Reporte_de_Valorización_de_Instrumentos[[#This Row],[CODIGO_ISIN]],'BD(MSCI)'!C:C,0)),IF(Tabla_Consulta_desde_Reporte_de_Valorización_de_Instrumentos[[#This Row],[Rank_rt]]="Cash","Cash","Cuestionario Integra"))</f>
        <v>Proxies</v>
      </c>
      <c r="AR261" s="26" t="str">
        <f>IFERROR(INDEX('BD(MSCI)'!X:X,MATCH(Tabla_Consulta_desde_Reporte_de_Valorización_de_Instrumentos[[#This Row],[CODIGO_ISIN]],'BD(MSCI)'!C:C,0)),"Cuestionario Integra")</f>
        <v>TD</v>
      </c>
      <c r="AU261" s="26"/>
    </row>
    <row r="262" spans="2:47" hidden="1" x14ac:dyDescent="0.25">
      <c r="B262" s="14" t="s">
        <v>6390</v>
      </c>
      <c r="C262" t="s">
        <v>586</v>
      </c>
      <c r="D262" t="s">
        <v>12</v>
      </c>
      <c r="E262" t="s">
        <v>587</v>
      </c>
      <c r="F262" t="s">
        <v>6435</v>
      </c>
      <c r="G262" t="str">
        <f>INDEX(Parametria!H:H,MATCH(Tabla_Consulta_desde_Reporte_de_Valorización_de_Instrumentos[[#This Row],[CODIGO_SBS]],Parametria!C:C,0),1)</f>
        <v>Arcano Fund - European Income Fund - ESG Selection</v>
      </c>
      <c r="H262" t="s">
        <v>6436</v>
      </c>
      <c r="I262" t="s">
        <v>156</v>
      </c>
      <c r="J262" t="s">
        <v>5964</v>
      </c>
      <c r="K262" t="s">
        <v>57</v>
      </c>
      <c r="L262">
        <v>186.59</v>
      </c>
      <c r="M262" s="5">
        <v>103572660.4955181</v>
      </c>
      <c r="N262">
        <v>26247288.953159999</v>
      </c>
      <c r="O262">
        <v>138889.242</v>
      </c>
      <c r="P262" s="15"/>
      <c r="R262">
        <v>3.9460326999999999</v>
      </c>
      <c r="S262" t="s">
        <v>155</v>
      </c>
      <c r="T262">
        <v>103635485.1488542</v>
      </c>
      <c r="U262" s="5">
        <v>26220899.99718</v>
      </c>
      <c r="V262" t="s">
        <v>156</v>
      </c>
      <c r="W262">
        <v>0</v>
      </c>
      <c r="X262">
        <v>0</v>
      </c>
      <c r="Y262">
        <v>0</v>
      </c>
      <c r="Z262">
        <v>0.19</v>
      </c>
      <c r="AA262" t="str">
        <f>+MID(Tabla_Consulta_desde_Reporte_de_Valorización_de_Instrumentos[[#This Row],[CODIGO_SBS]],7,1)</f>
        <v>4</v>
      </c>
      <c r="AB262">
        <f>INDEX('Cálculo Caja'!F:F,MATCH(Tabla_Consulta_desde_Reporte_de_Valorización_de_Instrumentos[[#This Row],[PORTAFOLIO]],'Cálculo Caja'!A:A,0),1)</f>
        <v>7679510866.0565634</v>
      </c>
      <c r="AC262" s="17">
        <f>Tabla_Consulta_desde_Reporte_de_Valorización_de_Instrumentos[[#This Row],[VALOR_VECTOR_LOCAL]]/Tabla_Consulta_desde_Reporte_de_Valorización_de_Instrumentos[[#This Row],[Patrimonio]]</f>
        <v>1.3486882472334176E-2</v>
      </c>
      <c r="AD262" s="4">
        <f>(Tabla_Consulta_desde_Reporte_de_Valorización_de_Instrumentos[[#This Row],[VALOR_VECTOR_LOCAL]]/INDEX('Tipo de Cambio'!$D:$D,MATCH("2",'Tipo de Cambio'!$E:$E,0),1))/1000000</f>
        <v>30.816942038001162</v>
      </c>
      <c r="AE262">
        <f>IF(Tabla_Consulta_desde_Reporte_de_Valorización_de_Instrumentos[[#This Row],[PORTAFOLIO]]="IN-FONDO0",Tabla_Consulta_desde_Reporte_de_Valorización_de_Instrumentos[[#This Row],[Inv MM$]],0)</f>
        <v>0</v>
      </c>
      <c r="AF262" s="26">
        <f>IF(Tabla_Consulta_desde_Reporte_de_Valorización_de_Instrumentos[[#This Row],[PORTAFOLIO]]="IN-FONDO1",Tabla_Consulta_desde_Reporte_de_Valorización_de_Instrumentos[[#This Row],[Inv MM$]],0)</f>
        <v>30.816942038001162</v>
      </c>
      <c r="AG262" s="26">
        <f>IF(Tabla_Consulta_desde_Reporte_de_Valorización_de_Instrumentos[[#This Row],[PORTAFOLIO]]="IN-FONDO2",Tabla_Consulta_desde_Reporte_de_Valorización_de_Instrumentos[[#This Row],[Inv MM$]],0)</f>
        <v>0</v>
      </c>
      <c r="AH262" s="26">
        <f>IF(Tabla_Consulta_desde_Reporte_de_Valorización_de_Instrumentos[[#This Row],[PORTAFOLIO]]="IN-FONDO3",Tabla_Consulta_desde_Reporte_de_Valorización_de_Instrumentos[[#This Row],[Inv MM$]],0)</f>
        <v>0</v>
      </c>
      <c r="AI26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30.816942038001162</v>
      </c>
      <c r="AJ262" s="26">
        <f>IFERROR(IFERROR(INDEX('BD(MSCI)'!$T:$T,MATCH(Tabla_Consulta_desde_Reporte_de_Valorización_de_Instrumentos[[#This Row],[CODIGO_ISIN]],'BD(MSCI)'!$C:$C,0),1),INDEX('BD(MSCI)'!$T:$T,MATCH(Tabla_Consulta_desde_Reporte_de_Valorización_de_Instrumentos[[#This Row],[CODIGO_SBS]],'BD(MSCI)'!$C:$C,0),1)),0)</f>
        <v>105.47879072000001</v>
      </c>
      <c r="AK262" s="26">
        <f>Tabla_Consulta_desde_Reporte_de_Valorización_de_Instrumentos[[#This Row],[C02-H]]*Tabla_Consulta_desde_Reporte_de_Valorización_de_Instrumentos[[#This Row],[Inv MM$]]</f>
        <v>3250.5337798566952</v>
      </c>
      <c r="AL262" s="26">
        <f>Tabla_Consulta_desde_Reporte_de_Valorización_de_Instrumentos[[#This Row],[C02-H]]*Tabla_Consulta_desde_Reporte_de_Valorización_de_Instrumentos[[#This Row],[Weight]]</f>
        <v>1.4225800537645727</v>
      </c>
      <c r="AM262" s="26" t="str">
        <f>INDEX(Parametria!G:G,MATCH(Tabla_Consulta_desde_Reporte_de_Valorización_de_Instrumentos[[#This Row],[CODIGO_SBS]],Parametria!C:C,0))</f>
        <v>52RFIG</v>
      </c>
      <c r="AN262" s="26" t="str">
        <f>INDEX(Parametria!F:F,MATCH(Tabla_Consulta_desde_Reporte_de_Valorización_de_Instrumentos[[#This Row],[CODIGO_SBS]],Parametria!C:C,0))</f>
        <v>TD</v>
      </c>
      <c r="AO262" s="26" t="str">
        <f>+INDEX(Parametria!J:J,MATCH(Tabla_Consulta_desde_Reporte_de_Valorización_de_Instrumentos[[#This Row],[CODIGO_SBS]],Parametria!C:C,0))</f>
        <v>RFITD</v>
      </c>
      <c r="AP262" s="26">
        <f>Tabla_Consulta_desde_Reporte_de_Valorización_de_Instrumentos[[#This Row],[Huella]]/$AU$4</f>
        <v>0.30134000214175105</v>
      </c>
      <c r="AQ262" s="26" t="str">
        <f>IFERROR(INDEX('BD(MSCI)'!W:W,MATCH(Tabla_Consulta_desde_Reporte_de_Valorización_de_Instrumentos[[#This Row],[CODIGO_ISIN]],'BD(MSCI)'!C:C,0)),IF(Tabla_Consulta_desde_Reporte_de_Valorización_de_Instrumentos[[#This Row],[Rank_rt]]="Cash","Cash","Cuestionario Integra"))</f>
        <v>Proxies</v>
      </c>
      <c r="AR262" s="26" t="str">
        <f>IFERROR(INDEX('BD(MSCI)'!X:X,MATCH(Tabla_Consulta_desde_Reporte_de_Valorización_de_Instrumentos[[#This Row],[CODIGO_ISIN]],'BD(MSCI)'!C:C,0)),"Cuestionario Integra")</f>
        <v>TD</v>
      </c>
      <c r="AU262" s="26"/>
    </row>
    <row r="263" spans="2:47" hidden="1" x14ac:dyDescent="0.25">
      <c r="B263" s="14" t="s">
        <v>6390</v>
      </c>
      <c r="C263" t="s">
        <v>586</v>
      </c>
      <c r="D263" t="s">
        <v>10</v>
      </c>
      <c r="E263" t="s">
        <v>587</v>
      </c>
      <c r="F263" t="s">
        <v>5962</v>
      </c>
      <c r="G263" t="str">
        <f>INDEX(Parametria!H:H,MATCH(Tabla_Consulta_desde_Reporte_de_Valorización_de_Instrumentos[[#This Row],[CODIGO_SBS]],Parametria!C:C,0),1)</f>
        <v>Arcano Fund - European Income Fund, ESG Selection</v>
      </c>
      <c r="H263" t="s">
        <v>5963</v>
      </c>
      <c r="I263" t="s">
        <v>156</v>
      </c>
      <c r="J263" t="s">
        <v>5964</v>
      </c>
      <c r="K263" t="s">
        <v>57</v>
      </c>
      <c r="L263">
        <v>0</v>
      </c>
      <c r="M263" s="5">
        <v>735.75543560000006</v>
      </c>
      <c r="N263">
        <v>186.45446999999999</v>
      </c>
      <c r="O263">
        <v>1.5169999999999999</v>
      </c>
      <c r="P263" s="15"/>
      <c r="R263">
        <v>3.9460326999999999</v>
      </c>
      <c r="S263" t="s">
        <v>155</v>
      </c>
      <c r="T263">
        <v>736.88268930000004</v>
      </c>
      <c r="U263" s="5">
        <v>186.4393</v>
      </c>
      <c r="V263" t="s">
        <v>156</v>
      </c>
      <c r="W263">
        <v>0</v>
      </c>
      <c r="X263">
        <v>0</v>
      </c>
      <c r="Y263">
        <v>0</v>
      </c>
      <c r="Z263">
        <v>0.01</v>
      </c>
      <c r="AA263" t="str">
        <f>+MID(Tabla_Consulta_desde_Reporte_de_Valorización_de_Instrumentos[[#This Row],[CODIGO_SBS]],7,1)</f>
        <v>4</v>
      </c>
      <c r="AB263">
        <f>INDEX('Cálculo Caja'!F:F,MATCH(Tabla_Consulta_desde_Reporte_de_Valorización_de_Instrumentos[[#This Row],[PORTAFOLIO]],'Cálculo Caja'!A:A,0),1)</f>
        <v>26256910350.436607</v>
      </c>
      <c r="AC263" s="17">
        <f>Tabla_Consulta_desde_Reporte_de_Valorización_de_Instrumentos[[#This Row],[VALOR_VECTOR_LOCAL]]/Tabla_Consulta_desde_Reporte_de_Valorización_de_Instrumentos[[#This Row],[Patrimonio]]</f>
        <v>2.8021401824520673E-8</v>
      </c>
      <c r="AD263" s="4">
        <f>(Tabla_Consulta_desde_Reporte_de_Valorización_de_Instrumentos[[#This Row],[VALOR_VECTOR_LOCAL]]/INDEX('Tipo de Cambio'!$D:$D,MATCH("2",'Tipo de Cambio'!$E:$E,0),1))/1000000</f>
        <v>2.1891619375762446E-4</v>
      </c>
      <c r="AE263">
        <f>IF(Tabla_Consulta_desde_Reporte_de_Valorización_de_Instrumentos[[#This Row],[PORTAFOLIO]]="IN-FONDO0",Tabla_Consulta_desde_Reporte_de_Valorización_de_Instrumentos[[#This Row],[Inv MM$]],0)</f>
        <v>0</v>
      </c>
      <c r="AF263" s="26">
        <f>IF(Tabla_Consulta_desde_Reporte_de_Valorización_de_Instrumentos[[#This Row],[PORTAFOLIO]]="IN-FONDO1",Tabla_Consulta_desde_Reporte_de_Valorización_de_Instrumentos[[#This Row],[Inv MM$]],0)</f>
        <v>0</v>
      </c>
      <c r="AG263" s="26">
        <f>IF(Tabla_Consulta_desde_Reporte_de_Valorización_de_Instrumentos[[#This Row],[PORTAFOLIO]]="IN-FONDO2",Tabla_Consulta_desde_Reporte_de_Valorización_de_Instrumentos[[#This Row],[Inv MM$]],0)</f>
        <v>2.1891619375762446E-4</v>
      </c>
      <c r="AH263" s="26">
        <f>IF(Tabla_Consulta_desde_Reporte_de_Valorización_de_Instrumentos[[#This Row],[PORTAFOLIO]]="IN-FONDO3",Tabla_Consulta_desde_Reporte_de_Valorización_de_Instrumentos[[#This Row],[Inv MM$]],0)</f>
        <v>0</v>
      </c>
      <c r="AI26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3.9843613115534532E-4</v>
      </c>
      <c r="AJ263" s="26">
        <f>IFERROR(IFERROR(INDEX('BD(MSCI)'!$T:$T,MATCH(Tabla_Consulta_desde_Reporte_de_Valorización_de_Instrumentos[[#This Row],[CODIGO_ISIN]],'BD(MSCI)'!$C:$C,0),1),INDEX('BD(MSCI)'!$T:$T,MATCH(Tabla_Consulta_desde_Reporte_de_Valorización_de_Instrumentos[[#This Row],[CODIGO_SBS]],'BD(MSCI)'!$C:$C,0),1)),0)</f>
        <v>105.47879072000001</v>
      </c>
      <c r="AK263" s="26">
        <f>Tabla_Consulta_desde_Reporte_de_Valorización_de_Instrumentos[[#This Row],[C02-H]]*Tabla_Consulta_desde_Reporte_de_Valorización_de_Instrumentos[[#This Row],[Inv MM$]]</f>
        <v>2.3091015386579442E-2</v>
      </c>
      <c r="AL263" s="26">
        <f>Tabla_Consulta_desde_Reporte_de_Valorización_de_Instrumentos[[#This Row],[C02-H]]*Tabla_Consulta_desde_Reporte_de_Valorización_de_Instrumentos[[#This Row],[Weight]]</f>
        <v>2.9556635787296424E-6</v>
      </c>
      <c r="AM263" s="26" t="str">
        <f>INDEX(Parametria!G:G,MATCH(Tabla_Consulta_desde_Reporte_de_Valorización_de_Instrumentos[[#This Row],[CODIGO_SBS]],Parametria!C:C,0))</f>
        <v>52RFIG</v>
      </c>
      <c r="AN263" s="26" t="str">
        <f>INDEX(Parametria!F:F,MATCH(Tabla_Consulta_desde_Reporte_de_Valorización_de_Instrumentos[[#This Row],[CODIGO_SBS]],Parametria!C:C,0))</f>
        <v>TD</v>
      </c>
      <c r="AO263" s="26" t="str">
        <f>+INDEX(Parametria!J:J,MATCH(Tabla_Consulta_desde_Reporte_de_Valorización_de_Instrumentos[[#This Row],[CODIGO_SBS]],Parametria!C:C,0))</f>
        <v>RFITD</v>
      </c>
      <c r="AP263" s="26">
        <f>Tabla_Consulta_desde_Reporte_de_Valorización_de_Instrumentos[[#This Row],[Huella]]/$AU$4</f>
        <v>2.1406473820289969E-6</v>
      </c>
      <c r="AQ263" s="26" t="str">
        <f>IFERROR(INDEX('BD(MSCI)'!W:W,MATCH(Tabla_Consulta_desde_Reporte_de_Valorización_de_Instrumentos[[#This Row],[CODIGO_ISIN]],'BD(MSCI)'!C:C,0)),IF(Tabla_Consulta_desde_Reporte_de_Valorización_de_Instrumentos[[#This Row],[Rank_rt]]="Cash","Cash","Cuestionario Integra"))</f>
        <v>Proxies</v>
      </c>
      <c r="AR263" s="26" t="str">
        <f>IFERROR(INDEX('BD(MSCI)'!X:X,MATCH(Tabla_Consulta_desde_Reporte_de_Valorización_de_Instrumentos[[#This Row],[CODIGO_ISIN]],'BD(MSCI)'!C:C,0)),"Cuestionario Integra")</f>
        <v>TD</v>
      </c>
      <c r="AU263" s="26"/>
    </row>
    <row r="264" spans="2:47" hidden="1" x14ac:dyDescent="0.25">
      <c r="B264" s="14" t="s">
        <v>6390</v>
      </c>
      <c r="C264" t="s">
        <v>586</v>
      </c>
      <c r="D264" t="s">
        <v>10</v>
      </c>
      <c r="E264" t="s">
        <v>587</v>
      </c>
      <c r="F264" t="s">
        <v>6277</v>
      </c>
      <c r="G264" t="str">
        <f>INDEX(Parametria!H:H,MATCH(Tabla_Consulta_desde_Reporte_de_Valorización_de_Instrumentos[[#This Row],[CODIGO_SBS]],Parametria!C:C,0),1)</f>
        <v>JP Morgan - Korea Equity Fund</v>
      </c>
      <c r="H264" t="s">
        <v>6276</v>
      </c>
      <c r="I264" t="s">
        <v>156</v>
      </c>
      <c r="J264" t="s">
        <v>6437</v>
      </c>
      <c r="K264" t="s">
        <v>50</v>
      </c>
      <c r="L264">
        <v>220.06</v>
      </c>
      <c r="M264" s="5">
        <v>46132353.046488002</v>
      </c>
      <c r="N264">
        <v>13726190.32</v>
      </c>
      <c r="O264">
        <v>56338</v>
      </c>
      <c r="P264" s="15"/>
      <c r="R264">
        <v>3.3609</v>
      </c>
      <c r="S264" t="s">
        <v>428</v>
      </c>
      <c r="T264">
        <v>46163265.256384</v>
      </c>
      <c r="U264" s="5">
        <v>13728443.84</v>
      </c>
      <c r="V264" t="s">
        <v>687</v>
      </c>
      <c r="W264">
        <v>0</v>
      </c>
      <c r="X264">
        <v>0</v>
      </c>
      <c r="Y264">
        <v>0</v>
      </c>
      <c r="Z264">
        <v>-0.04</v>
      </c>
      <c r="AA264" t="str">
        <f>+MID(Tabla_Consulta_desde_Reporte_de_Valorización_de_Instrumentos[[#This Row],[CODIGO_SBS]],7,1)</f>
        <v>2</v>
      </c>
      <c r="AB264">
        <f>INDEX('Cálculo Caja'!F:F,MATCH(Tabla_Consulta_desde_Reporte_de_Valorización_de_Instrumentos[[#This Row],[PORTAFOLIO]],'Cálculo Caja'!A:A,0),1)</f>
        <v>26256910350.436607</v>
      </c>
      <c r="AC264" s="17">
        <f>Tabla_Consulta_desde_Reporte_de_Valorización_de_Instrumentos[[#This Row],[VALOR_VECTOR_LOCAL]]/Tabla_Consulta_desde_Reporte_de_Valorización_de_Instrumentos[[#This Row],[Patrimonio]]</f>
        <v>1.7569604508216976E-3</v>
      </c>
      <c r="AD264" s="4">
        <f>(Tabla_Consulta_desde_Reporte_de_Valorización_de_Instrumentos[[#This Row],[VALOR_VECTOR_LOCAL]]/INDEX('Tipo de Cambio'!$D:$D,MATCH("2",'Tipo de Cambio'!$E:$E,0),1))/1000000</f>
        <v>13.726190320000001</v>
      </c>
      <c r="AE264">
        <f>IF(Tabla_Consulta_desde_Reporte_de_Valorización_de_Instrumentos[[#This Row],[PORTAFOLIO]]="IN-FONDO0",Tabla_Consulta_desde_Reporte_de_Valorización_de_Instrumentos[[#This Row],[Inv MM$]],0)</f>
        <v>0</v>
      </c>
      <c r="AF264" s="26">
        <f>IF(Tabla_Consulta_desde_Reporte_de_Valorización_de_Instrumentos[[#This Row],[PORTAFOLIO]]="IN-FONDO1",Tabla_Consulta_desde_Reporte_de_Valorización_de_Instrumentos[[#This Row],[Inv MM$]],0)</f>
        <v>0</v>
      </c>
      <c r="AG264" s="26">
        <f>IF(Tabla_Consulta_desde_Reporte_de_Valorización_de_Instrumentos[[#This Row],[PORTAFOLIO]]="IN-FONDO2",Tabla_Consulta_desde_Reporte_de_Valorización_de_Instrumentos[[#This Row],[Inv MM$]],0)</f>
        <v>13.726190320000001</v>
      </c>
      <c r="AH264" s="26">
        <f>IF(Tabla_Consulta_desde_Reporte_de_Valorización_de_Instrumentos[[#This Row],[PORTAFOLIO]]="IN-FONDO3",Tabla_Consulta_desde_Reporte_de_Valorización_de_Instrumentos[[#This Row],[Inv MM$]],0)</f>
        <v>0</v>
      </c>
      <c r="AI26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17.875135879999998</v>
      </c>
      <c r="AJ264" s="26">
        <f>IFERROR(IFERROR(INDEX('BD(MSCI)'!$T:$T,MATCH(Tabla_Consulta_desde_Reporte_de_Valorización_de_Instrumentos[[#This Row],[CODIGO_ISIN]],'BD(MSCI)'!$C:$C,0),1),INDEX('BD(MSCI)'!$T:$T,MATCH(Tabla_Consulta_desde_Reporte_de_Valorización_de_Instrumentos[[#This Row],[CODIGO_SBS]],'BD(MSCI)'!$C:$C,0),1)),0)</f>
        <v>173.38699137</v>
      </c>
      <c r="AK264" s="26">
        <f>Tabla_Consulta_desde_Reporte_de_Valorización_de_Instrumentos[[#This Row],[C02-H]]*Tabla_Consulta_desde_Reporte_de_Valorización_de_Instrumentos[[#This Row],[Inv MM$]]</f>
        <v>2379.9428425568176</v>
      </c>
      <c r="AL264" s="26">
        <f>Tabla_Consulta_desde_Reporte_de_Valorización_de_Instrumentos[[#This Row],[C02-H]]*Tabla_Consulta_desde_Reporte_de_Valorización_de_Instrumentos[[#This Row],[Weight]]</f>
        <v>0.30463408652405299</v>
      </c>
      <c r="AM264" s="26" t="str">
        <f>INDEX(Parametria!G:G,MATCH(Tabla_Consulta_desde_Reporte_de_Valorización_de_Instrumentos[[#This Row],[CODIGO_SBS]],Parametria!C:C,0))</f>
        <v>52RVI</v>
      </c>
      <c r="AN264" s="26" t="str">
        <f>INDEX(Parametria!F:F,MATCH(Tabla_Consulta_desde_Reporte_de_Valorización_de_Instrumentos[[#This Row],[CODIGO_SBS]],Parametria!C:C,0))</f>
        <v>TD</v>
      </c>
      <c r="AO264" s="26" t="str">
        <f>+INDEX(Parametria!J:J,MATCH(Tabla_Consulta_desde_Reporte_de_Valorización_de_Instrumentos[[#This Row],[CODIGO_SBS]],Parametria!C:C,0))</f>
        <v>RVITD</v>
      </c>
      <c r="AP264" s="26">
        <f>Tabla_Consulta_desde_Reporte_de_Valorización_de_Instrumentos[[#This Row],[Huella]]/$AU$4</f>
        <v>0.22063206532957</v>
      </c>
      <c r="AQ264" s="26" t="str">
        <f>IFERROR(INDEX('BD(MSCI)'!W:W,MATCH(Tabla_Consulta_desde_Reporte_de_Valorización_de_Instrumentos[[#This Row],[CODIGO_ISIN]],'BD(MSCI)'!C:C,0)),IF(Tabla_Consulta_desde_Reporte_de_Valorización_de_Instrumentos[[#This Row],[Rank_rt]]="Cash","Cash","Cuestionario Integra"))</f>
        <v>ETF</v>
      </c>
      <c r="AR264" s="26" t="str">
        <f>IFERROR(INDEX('BD(MSCI)'!X:X,MATCH(Tabla_Consulta_desde_Reporte_de_Valorización_de_Instrumentos[[#This Row],[CODIGO_ISIN]],'BD(MSCI)'!C:C,0)),"Cuestionario Integra")</f>
        <v>Otros ETFs</v>
      </c>
      <c r="AU264" s="26"/>
    </row>
    <row r="265" spans="2:47" hidden="1" x14ac:dyDescent="0.25">
      <c r="B265" s="14" t="s">
        <v>6390</v>
      </c>
      <c r="C265" t="s">
        <v>586</v>
      </c>
      <c r="D265" t="s">
        <v>11</v>
      </c>
      <c r="E265" t="s">
        <v>587</v>
      </c>
      <c r="F265" t="s">
        <v>6277</v>
      </c>
      <c r="G265" t="str">
        <f>INDEX(Parametria!H:H,MATCH(Tabla_Consulta_desde_Reporte_de_Valorización_de_Instrumentos[[#This Row],[CODIGO_SBS]],Parametria!C:C,0),1)</f>
        <v>JP Morgan - Korea Equity Fund</v>
      </c>
      <c r="H265" t="s">
        <v>6276</v>
      </c>
      <c r="I265" t="s">
        <v>156</v>
      </c>
      <c r="J265" t="s">
        <v>6437</v>
      </c>
      <c r="K265" t="s">
        <v>50</v>
      </c>
      <c r="L265">
        <v>220.06</v>
      </c>
      <c r="M265" s="5">
        <v>9956393.2104839999</v>
      </c>
      <c r="N265">
        <v>2962418.76</v>
      </c>
      <c r="O265">
        <v>12159</v>
      </c>
      <c r="P265" s="15"/>
      <c r="R265">
        <v>3.3609</v>
      </c>
      <c r="S265" t="s">
        <v>428</v>
      </c>
      <c r="T265">
        <v>9963064.7565119993</v>
      </c>
      <c r="U265" s="5">
        <v>2962905.12</v>
      </c>
      <c r="V265" t="s">
        <v>687</v>
      </c>
      <c r="W265">
        <v>0</v>
      </c>
      <c r="X265">
        <v>0</v>
      </c>
      <c r="Y265">
        <v>0</v>
      </c>
      <c r="Z265">
        <v>-0.04</v>
      </c>
      <c r="AA265" t="str">
        <f>+MID(Tabla_Consulta_desde_Reporte_de_Valorización_de_Instrumentos[[#This Row],[CODIGO_SBS]],7,1)</f>
        <v>2</v>
      </c>
      <c r="AB265">
        <f>INDEX('Cálculo Caja'!F:F,MATCH(Tabla_Consulta_desde_Reporte_de_Valorización_de_Instrumentos[[#This Row],[PORTAFOLIO]],'Cálculo Caja'!A:A,0),1)</f>
        <v>3164069580.822104</v>
      </c>
      <c r="AC265" s="17">
        <f>Tabla_Consulta_desde_Reporte_de_Valorización_de_Instrumentos[[#This Row],[VALOR_VECTOR_LOCAL]]/Tabla_Consulta_desde_Reporte_de_Valorización_de_Instrumentos[[#This Row],[Patrimonio]]</f>
        <v>3.14670488627405E-3</v>
      </c>
      <c r="AD265" s="4">
        <f>(Tabla_Consulta_desde_Reporte_de_Valorización_de_Instrumentos[[#This Row],[VALOR_VECTOR_LOCAL]]/INDEX('Tipo de Cambio'!$D:$D,MATCH("2",'Tipo de Cambio'!$E:$E,0),1))/1000000</f>
        <v>2.9624187599999998</v>
      </c>
      <c r="AE265">
        <f>IF(Tabla_Consulta_desde_Reporte_de_Valorización_de_Instrumentos[[#This Row],[PORTAFOLIO]]="IN-FONDO0",Tabla_Consulta_desde_Reporte_de_Valorización_de_Instrumentos[[#This Row],[Inv MM$]],0)</f>
        <v>0</v>
      </c>
      <c r="AF265" s="26">
        <f>IF(Tabla_Consulta_desde_Reporte_de_Valorización_de_Instrumentos[[#This Row],[PORTAFOLIO]]="IN-FONDO1",Tabla_Consulta_desde_Reporte_de_Valorización_de_Instrumentos[[#This Row],[Inv MM$]],0)</f>
        <v>0</v>
      </c>
      <c r="AG265" s="26">
        <f>IF(Tabla_Consulta_desde_Reporte_de_Valorización_de_Instrumentos[[#This Row],[PORTAFOLIO]]="IN-FONDO2",Tabla_Consulta_desde_Reporte_de_Valorización_de_Instrumentos[[#This Row],[Inv MM$]],0)</f>
        <v>0</v>
      </c>
      <c r="AH265" s="26">
        <f>IF(Tabla_Consulta_desde_Reporte_de_Valorización_de_Instrumentos[[#This Row],[PORTAFOLIO]]="IN-FONDO3",Tabla_Consulta_desde_Reporte_de_Valorización_de_Instrumentos[[#This Row],[Inv MM$]],0)</f>
        <v>2.9624187599999998</v>
      </c>
      <c r="AI26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17.875135879999998</v>
      </c>
      <c r="AJ265" s="26">
        <f>IFERROR(IFERROR(INDEX('BD(MSCI)'!$T:$T,MATCH(Tabla_Consulta_desde_Reporte_de_Valorización_de_Instrumentos[[#This Row],[CODIGO_ISIN]],'BD(MSCI)'!$C:$C,0),1),INDEX('BD(MSCI)'!$T:$T,MATCH(Tabla_Consulta_desde_Reporte_de_Valorización_de_Instrumentos[[#This Row],[CODIGO_SBS]],'BD(MSCI)'!$C:$C,0),1)),0)</f>
        <v>173.38699137</v>
      </c>
      <c r="AK265" s="26">
        <f>Tabla_Consulta_desde_Reporte_de_Valorización_de_Instrumentos[[#This Row],[C02-H]]*Tabla_Consulta_desde_Reporte_de_Valorización_de_Instrumentos[[#This Row],[Inv MM$]]</f>
        <v>513.64487597444611</v>
      </c>
      <c r="AL265" s="26">
        <f>Tabla_Consulta_desde_Reporte_de_Valorización_de_Instrumentos[[#This Row],[C02-H]]*Tabla_Consulta_desde_Reporte_de_Valorización_de_Instrumentos[[#This Row],[Weight]]</f>
        <v>0.54559769296033556</v>
      </c>
      <c r="AM265" s="26" t="str">
        <f>INDEX(Parametria!G:G,MATCH(Tabla_Consulta_desde_Reporte_de_Valorización_de_Instrumentos[[#This Row],[CODIGO_SBS]],Parametria!C:C,0))</f>
        <v>52RVI</v>
      </c>
      <c r="AN265" s="26" t="str">
        <f>INDEX(Parametria!F:F,MATCH(Tabla_Consulta_desde_Reporte_de_Valorización_de_Instrumentos[[#This Row],[CODIGO_SBS]],Parametria!C:C,0))</f>
        <v>TD</v>
      </c>
      <c r="AO265" s="26" t="str">
        <f>+INDEX(Parametria!J:J,MATCH(Tabla_Consulta_desde_Reporte_de_Valorización_de_Instrumentos[[#This Row],[CODIGO_SBS]],Parametria!C:C,0))</f>
        <v>RVITD</v>
      </c>
      <c r="AP265" s="26">
        <f>Tabla_Consulta_desde_Reporte_de_Valorización_de_Instrumentos[[#This Row],[Huella]]/$AU$4</f>
        <v>4.7617332570241068E-2</v>
      </c>
      <c r="AQ265" s="26" t="str">
        <f>IFERROR(INDEX('BD(MSCI)'!W:W,MATCH(Tabla_Consulta_desde_Reporte_de_Valorización_de_Instrumentos[[#This Row],[CODIGO_ISIN]],'BD(MSCI)'!C:C,0)),IF(Tabla_Consulta_desde_Reporte_de_Valorización_de_Instrumentos[[#This Row],[Rank_rt]]="Cash","Cash","Cuestionario Integra"))</f>
        <v>ETF</v>
      </c>
      <c r="AR265" s="26" t="str">
        <f>IFERROR(INDEX('BD(MSCI)'!X:X,MATCH(Tabla_Consulta_desde_Reporte_de_Valorización_de_Instrumentos[[#This Row],[CODIGO_ISIN]],'BD(MSCI)'!C:C,0)),"Cuestionario Integra")</f>
        <v>Otros ETFs</v>
      </c>
      <c r="AU265" s="26"/>
    </row>
    <row r="266" spans="2:47" hidden="1" x14ac:dyDescent="0.25">
      <c r="B266" s="14" t="s">
        <v>6390</v>
      </c>
      <c r="C266" t="s">
        <v>586</v>
      </c>
      <c r="D266" t="s">
        <v>12</v>
      </c>
      <c r="E266" t="s">
        <v>587</v>
      </c>
      <c r="F266" t="s">
        <v>6277</v>
      </c>
      <c r="G266" t="str">
        <f>INDEX(Parametria!H:H,MATCH(Tabla_Consulta_desde_Reporte_de_Valorización_de_Instrumentos[[#This Row],[CODIGO_SBS]],Parametria!C:C,0),1)</f>
        <v>JP Morgan - Korea Equity Fund</v>
      </c>
      <c r="H266" t="s">
        <v>6276</v>
      </c>
      <c r="I266" t="s">
        <v>156</v>
      </c>
      <c r="J266" t="s">
        <v>6437</v>
      </c>
      <c r="K266" t="s">
        <v>50</v>
      </c>
      <c r="L266">
        <v>220.06</v>
      </c>
      <c r="M266" s="5">
        <v>3987797.9221199998</v>
      </c>
      <c r="N266">
        <v>1186526.8</v>
      </c>
      <c r="O266">
        <v>4870</v>
      </c>
      <c r="P266" s="15"/>
      <c r="R266">
        <v>3.3609</v>
      </c>
      <c r="S266" t="s">
        <v>428</v>
      </c>
      <c r="T266">
        <v>3990470.05216</v>
      </c>
      <c r="U266" s="5">
        <v>1186721.6000000001</v>
      </c>
      <c r="V266" t="s">
        <v>687</v>
      </c>
      <c r="W266">
        <v>0</v>
      </c>
      <c r="X266">
        <v>0</v>
      </c>
      <c r="Y266">
        <v>0</v>
      </c>
      <c r="Z266">
        <v>-0.04</v>
      </c>
      <c r="AA266" t="str">
        <f>+MID(Tabla_Consulta_desde_Reporte_de_Valorización_de_Instrumentos[[#This Row],[CODIGO_SBS]],7,1)</f>
        <v>2</v>
      </c>
      <c r="AB266">
        <f>INDEX('Cálculo Caja'!F:F,MATCH(Tabla_Consulta_desde_Reporte_de_Valorización_de_Instrumentos[[#This Row],[PORTAFOLIO]],'Cálculo Caja'!A:A,0),1)</f>
        <v>7679510866.0565634</v>
      </c>
      <c r="AC266" s="17">
        <f>Tabla_Consulta_desde_Reporte_de_Valorización_de_Instrumentos[[#This Row],[VALOR_VECTOR_LOCAL]]/Tabla_Consulta_desde_Reporte_de_Valorización_de_Instrumentos[[#This Row],[Patrimonio]]</f>
        <v>5.1927759354388912E-4</v>
      </c>
      <c r="AD266" s="4">
        <f>(Tabla_Consulta_desde_Reporte_de_Valorización_de_Instrumentos[[#This Row],[VALOR_VECTOR_LOCAL]]/INDEX('Tipo de Cambio'!$D:$D,MATCH("2",'Tipo de Cambio'!$E:$E,0),1))/1000000</f>
        <v>1.1865268</v>
      </c>
      <c r="AE266">
        <f>IF(Tabla_Consulta_desde_Reporte_de_Valorización_de_Instrumentos[[#This Row],[PORTAFOLIO]]="IN-FONDO0",Tabla_Consulta_desde_Reporte_de_Valorización_de_Instrumentos[[#This Row],[Inv MM$]],0)</f>
        <v>0</v>
      </c>
      <c r="AF266" s="26">
        <f>IF(Tabla_Consulta_desde_Reporte_de_Valorización_de_Instrumentos[[#This Row],[PORTAFOLIO]]="IN-FONDO1",Tabla_Consulta_desde_Reporte_de_Valorización_de_Instrumentos[[#This Row],[Inv MM$]],0)</f>
        <v>1.1865268</v>
      </c>
      <c r="AG266" s="26">
        <f>IF(Tabla_Consulta_desde_Reporte_de_Valorización_de_Instrumentos[[#This Row],[PORTAFOLIO]]="IN-FONDO2",Tabla_Consulta_desde_Reporte_de_Valorización_de_Instrumentos[[#This Row],[Inv MM$]],0)</f>
        <v>0</v>
      </c>
      <c r="AH266" s="26">
        <f>IF(Tabla_Consulta_desde_Reporte_de_Valorización_de_Instrumentos[[#This Row],[PORTAFOLIO]]="IN-FONDO3",Tabla_Consulta_desde_Reporte_de_Valorización_de_Instrumentos[[#This Row],[Inv MM$]],0)</f>
        <v>0</v>
      </c>
      <c r="AI26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17.875135879999998</v>
      </c>
      <c r="AJ266" s="26">
        <f>IFERROR(IFERROR(INDEX('BD(MSCI)'!$T:$T,MATCH(Tabla_Consulta_desde_Reporte_de_Valorización_de_Instrumentos[[#This Row],[CODIGO_ISIN]],'BD(MSCI)'!$C:$C,0),1),INDEX('BD(MSCI)'!$T:$T,MATCH(Tabla_Consulta_desde_Reporte_de_Valorización_de_Instrumentos[[#This Row],[CODIGO_SBS]],'BD(MSCI)'!$C:$C,0),1)),0)</f>
        <v>173.38699137</v>
      </c>
      <c r="AK266" s="26">
        <f>Tabla_Consulta_desde_Reporte_de_Valorización_de_Instrumentos[[#This Row],[C02-H]]*Tabla_Consulta_desde_Reporte_de_Valorización_de_Instrumentos[[#This Row],[Inv MM$]]</f>
        <v>205.72831203187371</v>
      </c>
      <c r="AL266" s="26">
        <f>Tabla_Consulta_desde_Reporte_de_Valorización_de_Instrumentos[[#This Row],[C02-H]]*Tabla_Consulta_desde_Reporte_de_Valorización_de_Instrumentos[[#This Row],[Weight]]</f>
        <v>9.003597963042867E-2</v>
      </c>
      <c r="AM266" s="26" t="str">
        <f>INDEX(Parametria!G:G,MATCH(Tabla_Consulta_desde_Reporte_de_Valorización_de_Instrumentos[[#This Row],[CODIGO_SBS]],Parametria!C:C,0))</f>
        <v>52RVI</v>
      </c>
      <c r="AN266" s="26" t="str">
        <f>INDEX(Parametria!F:F,MATCH(Tabla_Consulta_desde_Reporte_de_Valorización_de_Instrumentos[[#This Row],[CODIGO_SBS]],Parametria!C:C,0))</f>
        <v>TD</v>
      </c>
      <c r="AO266" s="26" t="str">
        <f>+INDEX(Parametria!J:J,MATCH(Tabla_Consulta_desde_Reporte_de_Valorización_de_Instrumentos[[#This Row],[CODIGO_SBS]],Parametria!C:C,0))</f>
        <v>RVITD</v>
      </c>
      <c r="AP266" s="26">
        <f>Tabla_Consulta_desde_Reporte_de_Valorización_de_Instrumentos[[#This Row],[Huella]]/$AU$4</f>
        <v>1.9071996843249776E-2</v>
      </c>
      <c r="AQ266" s="26" t="str">
        <f>IFERROR(INDEX('BD(MSCI)'!W:W,MATCH(Tabla_Consulta_desde_Reporte_de_Valorización_de_Instrumentos[[#This Row],[CODIGO_ISIN]],'BD(MSCI)'!C:C,0)),IF(Tabla_Consulta_desde_Reporte_de_Valorización_de_Instrumentos[[#This Row],[Rank_rt]]="Cash","Cash","Cuestionario Integra"))</f>
        <v>ETF</v>
      </c>
      <c r="AR266" s="26" t="str">
        <f>IFERROR(INDEX('BD(MSCI)'!X:X,MATCH(Tabla_Consulta_desde_Reporte_de_Valorización_de_Instrumentos[[#This Row],[CODIGO_ISIN]],'BD(MSCI)'!C:C,0)),"Cuestionario Integra")</f>
        <v>Otros ETFs</v>
      </c>
      <c r="AU266" s="26"/>
    </row>
    <row r="267" spans="2:47" hidden="1" x14ac:dyDescent="0.25">
      <c r="B267" s="14" t="s">
        <v>6390</v>
      </c>
      <c r="C267" t="s">
        <v>586</v>
      </c>
      <c r="D267" t="s">
        <v>11</v>
      </c>
      <c r="E267" t="s">
        <v>587</v>
      </c>
      <c r="F267" t="s">
        <v>598</v>
      </c>
      <c r="G267" t="str">
        <f>INDEX(Parametria!H:H,MATCH(Tabla_Consulta_desde_Reporte_de_Valorización_de_Instrumentos[[#This Row],[CODIGO_SBS]],Parametria!C:C,0),1)</f>
        <v>Pinebridge - Asia Ex-Japan Small Caps</v>
      </c>
      <c r="H267" t="s">
        <v>599</v>
      </c>
      <c r="I267" t="s">
        <v>156</v>
      </c>
      <c r="J267" t="s">
        <v>600</v>
      </c>
      <c r="K267" t="s">
        <v>50</v>
      </c>
      <c r="L267">
        <v>974.3229</v>
      </c>
      <c r="M267" s="5">
        <v>3366.4120806000001</v>
      </c>
      <c r="N267">
        <v>1001.6400609</v>
      </c>
      <c r="O267">
        <v>1.0109999999999999</v>
      </c>
      <c r="P267" s="15"/>
      <c r="R267">
        <v>3.3609</v>
      </c>
      <c r="S267" t="s">
        <v>428</v>
      </c>
      <c r="T267">
        <v>3370.3704957999998</v>
      </c>
      <c r="U267" s="5">
        <v>1002.3108594</v>
      </c>
      <c r="V267" t="s">
        <v>156</v>
      </c>
      <c r="W267">
        <v>0</v>
      </c>
      <c r="X267">
        <v>0</v>
      </c>
      <c r="Y267">
        <v>0</v>
      </c>
      <c r="Z267">
        <v>-0.66349999999999998</v>
      </c>
      <c r="AA267" t="str">
        <f>+MID(Tabla_Consulta_desde_Reporte_de_Valorización_de_Instrumentos[[#This Row],[CODIGO_SBS]],7,1)</f>
        <v>2</v>
      </c>
      <c r="AB267">
        <f>INDEX('Cálculo Caja'!F:F,MATCH(Tabla_Consulta_desde_Reporte_de_Valorización_de_Instrumentos[[#This Row],[PORTAFOLIO]],'Cálculo Caja'!A:A,0),1)</f>
        <v>3164069580.822104</v>
      </c>
      <c r="AC267" s="17">
        <f>Tabla_Consulta_desde_Reporte_de_Valorización_de_Instrumentos[[#This Row],[VALOR_VECTOR_LOCAL]]/Tabla_Consulta_desde_Reporte_de_Valorización_de_Instrumentos[[#This Row],[Patrimonio]]</f>
        <v>1.0639500790388188E-6</v>
      </c>
      <c r="AD267" s="4">
        <f>(Tabla_Consulta_desde_Reporte_de_Valorización_de_Instrumentos[[#This Row],[VALOR_VECTOR_LOCAL]]/INDEX('Tipo de Cambio'!$D:$D,MATCH("2",'Tipo de Cambio'!$E:$E,0),1))/1000000</f>
        <v>1.001640060876551E-3</v>
      </c>
      <c r="AE267">
        <f>IF(Tabla_Consulta_desde_Reporte_de_Valorización_de_Instrumentos[[#This Row],[PORTAFOLIO]]="IN-FONDO0",Tabla_Consulta_desde_Reporte_de_Valorización_de_Instrumentos[[#This Row],[Inv MM$]],0)</f>
        <v>0</v>
      </c>
      <c r="AF267" s="26">
        <f>IF(Tabla_Consulta_desde_Reporte_de_Valorización_de_Instrumentos[[#This Row],[PORTAFOLIO]]="IN-FONDO1",Tabla_Consulta_desde_Reporte_de_Valorización_de_Instrumentos[[#This Row],[Inv MM$]],0)</f>
        <v>0</v>
      </c>
      <c r="AG267" s="26">
        <f>IF(Tabla_Consulta_desde_Reporte_de_Valorización_de_Instrumentos[[#This Row],[PORTAFOLIO]]="IN-FONDO2",Tabla_Consulta_desde_Reporte_de_Valorización_de_Instrumentos[[#This Row],[Inv MM$]],0)</f>
        <v>0</v>
      </c>
      <c r="AH267" s="26">
        <f>IF(Tabla_Consulta_desde_Reporte_de_Valorización_de_Instrumentos[[#This Row],[PORTAFOLIO]]="IN-FONDO3",Tabla_Consulta_desde_Reporte_de_Valorización_de_Instrumentos[[#This Row],[Inv MM$]],0)</f>
        <v>1.001640060876551E-3</v>
      </c>
      <c r="AI26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2.204400727453956E-3</v>
      </c>
      <c r="AJ267" s="26">
        <f>IFERROR(IFERROR(INDEX('BD(MSCI)'!$T:$T,MATCH(Tabla_Consulta_desde_Reporte_de_Valorización_de_Instrumentos[[#This Row],[CODIGO_ISIN]],'BD(MSCI)'!$C:$C,0),1),INDEX('BD(MSCI)'!$T:$T,MATCH(Tabla_Consulta_desde_Reporte_de_Valorización_de_Instrumentos[[#This Row],[CODIGO_SBS]],'BD(MSCI)'!$C:$C,0),1)),0)</f>
        <v>77.352352210000006</v>
      </c>
      <c r="AK267" s="26">
        <f>Tabla_Consulta_desde_Reporte_de_Valorización_de_Instrumentos[[#This Row],[C02-H]]*Tabla_Consulta_desde_Reporte_de_Valorización_de_Instrumentos[[#This Row],[Inv MM$]]</f>
        <v>7.7479214776568828E-2</v>
      </c>
      <c r="AL267" s="26">
        <f>Tabla_Consulta_desde_Reporte_de_Valorización_de_Instrumentos[[#This Row],[C02-H]]*Tabla_Consulta_desde_Reporte_de_Valorización_de_Instrumentos[[#This Row],[Weight]]</f>
        <v>8.2299041247668061E-5</v>
      </c>
      <c r="AM267" s="26" t="str">
        <f>INDEX(Parametria!G:G,MATCH(Tabla_Consulta_desde_Reporte_de_Valorización_de_Instrumentos[[#This Row],[CODIGO_SBS]],Parametria!C:C,0))</f>
        <v>52RVI</v>
      </c>
      <c r="AN267" s="26" t="str">
        <f>INDEX(Parametria!F:F,MATCH(Tabla_Consulta_desde_Reporte_de_Valorización_de_Instrumentos[[#This Row],[CODIGO_SBS]],Parametria!C:C,0))</f>
        <v>TD</v>
      </c>
      <c r="AO267" s="26" t="str">
        <f>+INDEX(Parametria!J:J,MATCH(Tabla_Consulta_desde_Reporte_de_Valorización_de_Instrumentos[[#This Row],[CODIGO_SBS]],Parametria!C:C,0))</f>
        <v>RVITD</v>
      </c>
      <c r="AP267" s="26">
        <f>Tabla_Consulta_desde_Reporte_de_Valorización_de_Instrumentos[[#This Row],[Huella]]/$AU$4</f>
        <v>7.182693159934413E-6</v>
      </c>
      <c r="AQ267" s="26" t="str">
        <f>IFERROR(INDEX('BD(MSCI)'!W:W,MATCH(Tabla_Consulta_desde_Reporte_de_Valorización_de_Instrumentos[[#This Row],[CODIGO_ISIN]],'BD(MSCI)'!C:C,0)),IF(Tabla_Consulta_desde_Reporte_de_Valorización_de_Instrumentos[[#This Row],[Rank_rt]]="Cash","Cash","Cuestionario Integra"))</f>
        <v>ETF</v>
      </c>
      <c r="AR267" s="26" t="str">
        <f>IFERROR(INDEX('BD(MSCI)'!X:X,MATCH(Tabla_Consulta_desde_Reporte_de_Valorización_de_Instrumentos[[#This Row],[CODIGO_ISIN]],'BD(MSCI)'!C:C,0)),"Cuestionario Integra")</f>
        <v>Otros ETFs</v>
      </c>
      <c r="AU267" s="26"/>
    </row>
    <row r="268" spans="2:47" hidden="1" x14ac:dyDescent="0.25">
      <c r="B268" s="14" t="s">
        <v>6390</v>
      </c>
      <c r="C268" t="s">
        <v>586</v>
      </c>
      <c r="D268" t="s">
        <v>10</v>
      </c>
      <c r="E268" t="s">
        <v>587</v>
      </c>
      <c r="F268" t="s">
        <v>598</v>
      </c>
      <c r="G268" t="str">
        <f>INDEX(Parametria!H:H,MATCH(Tabla_Consulta_desde_Reporte_de_Valorización_de_Instrumentos[[#This Row],[CODIGO_SBS]],Parametria!C:C,0),1)</f>
        <v>Pinebridge - Asia Ex-Japan Small Caps</v>
      </c>
      <c r="H268" t="s">
        <v>599</v>
      </c>
      <c r="I268" t="s">
        <v>156</v>
      </c>
      <c r="J268" t="s">
        <v>600</v>
      </c>
      <c r="K268" t="s">
        <v>50</v>
      </c>
      <c r="L268">
        <v>974.3229</v>
      </c>
      <c r="M268" s="5">
        <v>4042.3583242999998</v>
      </c>
      <c r="N268">
        <v>1202.7606665999999</v>
      </c>
      <c r="O268">
        <v>1.214</v>
      </c>
      <c r="P268" s="15"/>
      <c r="R268">
        <v>3.3609</v>
      </c>
      <c r="S268" t="s">
        <v>428</v>
      </c>
      <c r="T268">
        <v>4047.1115547999998</v>
      </c>
      <c r="U268" s="5">
        <v>1203.5661556</v>
      </c>
      <c r="V268" t="s">
        <v>156</v>
      </c>
      <c r="W268">
        <v>0</v>
      </c>
      <c r="X268">
        <v>0</v>
      </c>
      <c r="Y268">
        <v>0</v>
      </c>
      <c r="Z268">
        <v>-0.66349999999999998</v>
      </c>
      <c r="AA268" t="str">
        <f>+MID(Tabla_Consulta_desde_Reporte_de_Valorización_de_Instrumentos[[#This Row],[CODIGO_SBS]],7,1)</f>
        <v>2</v>
      </c>
      <c r="AB268">
        <f>INDEX('Cálculo Caja'!F:F,MATCH(Tabla_Consulta_desde_Reporte_de_Valorización_de_Instrumentos[[#This Row],[PORTAFOLIO]],'Cálculo Caja'!A:A,0),1)</f>
        <v>26256910350.436607</v>
      </c>
      <c r="AC268" s="17">
        <f>Tabla_Consulta_desde_Reporte_de_Valorización_de_Instrumentos[[#This Row],[VALOR_VECTOR_LOCAL]]/Tabla_Consulta_desde_Reporte_de_Valorización_de_Instrumentos[[#This Row],[Patrimonio]]</f>
        <v>1.5395407419794851E-7</v>
      </c>
      <c r="AD268" s="4">
        <f>(Tabla_Consulta_desde_Reporte_de_Valorización_de_Instrumentos[[#This Row],[VALOR_VECTOR_LOCAL]]/INDEX('Tipo de Cambio'!$D:$D,MATCH("2",'Tipo de Cambio'!$E:$E,0),1))/1000000</f>
        <v>1.2027606665774048E-3</v>
      </c>
      <c r="AE268">
        <f>IF(Tabla_Consulta_desde_Reporte_de_Valorización_de_Instrumentos[[#This Row],[PORTAFOLIO]]="IN-FONDO0",Tabla_Consulta_desde_Reporte_de_Valorización_de_Instrumentos[[#This Row],[Inv MM$]],0)</f>
        <v>0</v>
      </c>
      <c r="AF268" s="26">
        <f>IF(Tabla_Consulta_desde_Reporte_de_Valorización_de_Instrumentos[[#This Row],[PORTAFOLIO]]="IN-FONDO1",Tabla_Consulta_desde_Reporte_de_Valorización_de_Instrumentos[[#This Row],[Inv MM$]],0)</f>
        <v>0</v>
      </c>
      <c r="AG268" s="26">
        <f>IF(Tabla_Consulta_desde_Reporte_de_Valorización_de_Instrumentos[[#This Row],[PORTAFOLIO]]="IN-FONDO2",Tabla_Consulta_desde_Reporte_de_Valorización_de_Instrumentos[[#This Row],[Inv MM$]],0)</f>
        <v>1.2027606665774048E-3</v>
      </c>
      <c r="AH268" s="26">
        <f>IF(Tabla_Consulta_desde_Reporte_de_Valorización_de_Instrumentos[[#This Row],[PORTAFOLIO]]="IN-FONDO3",Tabla_Consulta_desde_Reporte_de_Valorización_de_Instrumentos[[#This Row],[Inv MM$]],0)</f>
        <v>0</v>
      </c>
      <c r="AI26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2.204400727453956E-3</v>
      </c>
      <c r="AJ268" s="26">
        <f>IFERROR(IFERROR(INDEX('BD(MSCI)'!$T:$T,MATCH(Tabla_Consulta_desde_Reporte_de_Valorización_de_Instrumentos[[#This Row],[CODIGO_ISIN]],'BD(MSCI)'!$C:$C,0),1),INDEX('BD(MSCI)'!$T:$T,MATCH(Tabla_Consulta_desde_Reporte_de_Valorización_de_Instrumentos[[#This Row],[CODIGO_SBS]],'BD(MSCI)'!$C:$C,0),1)),0)</f>
        <v>77.352352210000006</v>
      </c>
      <c r="AK268" s="26">
        <f>Tabla_Consulta_desde_Reporte_de_Valorización_de_Instrumentos[[#This Row],[C02-H]]*Tabla_Consulta_desde_Reporte_de_Valorización_de_Instrumentos[[#This Row],[Inv MM$]]</f>
        <v>9.3036366705429793E-2</v>
      </c>
      <c r="AL268" s="26">
        <f>Tabla_Consulta_desde_Reporte_de_Valorización_de_Instrumentos[[#This Row],[C02-H]]*Tabla_Consulta_desde_Reporte_de_Valorización_de_Instrumentos[[#This Row],[Weight]]</f>
        <v>1.1908709771524188E-5</v>
      </c>
      <c r="AM268" s="26" t="str">
        <f>INDEX(Parametria!G:G,MATCH(Tabla_Consulta_desde_Reporte_de_Valorización_de_Instrumentos[[#This Row],[CODIGO_SBS]],Parametria!C:C,0))</f>
        <v>52RVI</v>
      </c>
      <c r="AN268" s="26" t="str">
        <f>INDEX(Parametria!F:F,MATCH(Tabla_Consulta_desde_Reporte_de_Valorización_de_Instrumentos[[#This Row],[CODIGO_SBS]],Parametria!C:C,0))</f>
        <v>TD</v>
      </c>
      <c r="AO268" s="26" t="str">
        <f>+INDEX(Parametria!J:J,MATCH(Tabla_Consulta_desde_Reporte_de_Valorización_de_Instrumentos[[#This Row],[CODIGO_SBS]],Parametria!C:C,0))</f>
        <v>RVITD</v>
      </c>
      <c r="AP268" s="26">
        <f>Tabla_Consulta_desde_Reporte_de_Valorización_de_Instrumentos[[#This Row],[Huella]]/$AU$4</f>
        <v>8.6249154265091007E-6</v>
      </c>
      <c r="AQ268" s="26" t="str">
        <f>IFERROR(INDEX('BD(MSCI)'!W:W,MATCH(Tabla_Consulta_desde_Reporte_de_Valorización_de_Instrumentos[[#This Row],[CODIGO_ISIN]],'BD(MSCI)'!C:C,0)),IF(Tabla_Consulta_desde_Reporte_de_Valorización_de_Instrumentos[[#This Row],[Rank_rt]]="Cash","Cash","Cuestionario Integra"))</f>
        <v>ETF</v>
      </c>
      <c r="AR268" s="26" t="str">
        <f>IFERROR(INDEX('BD(MSCI)'!X:X,MATCH(Tabla_Consulta_desde_Reporte_de_Valorización_de_Instrumentos[[#This Row],[CODIGO_ISIN]],'BD(MSCI)'!C:C,0)),"Cuestionario Integra")</f>
        <v>Otros ETFs</v>
      </c>
      <c r="AU268" s="26"/>
    </row>
    <row r="269" spans="2:47" hidden="1" x14ac:dyDescent="0.25">
      <c r="B269" s="14" t="s">
        <v>6390</v>
      </c>
      <c r="C269" t="s">
        <v>586</v>
      </c>
      <c r="D269" t="s">
        <v>11</v>
      </c>
      <c r="E269" t="s">
        <v>587</v>
      </c>
      <c r="F269" t="s">
        <v>937</v>
      </c>
      <c r="G269" t="str">
        <f>INDEX(Parametria!H:H,MATCH(Tabla_Consulta_desde_Reporte_de_Valorización_de_Instrumentos[[#This Row],[CODIGO_SBS]],Parametria!C:C,0),1)</f>
        <v>BlackRock - iShares Korea</v>
      </c>
      <c r="H269" t="s">
        <v>938</v>
      </c>
      <c r="I269" t="s">
        <v>156</v>
      </c>
      <c r="J269" t="s">
        <v>605</v>
      </c>
      <c r="K269" t="s">
        <v>50</v>
      </c>
      <c r="L269">
        <v>1</v>
      </c>
      <c r="M269" s="5">
        <v>53586458.472000003</v>
      </c>
      <c r="N269">
        <v>15944080</v>
      </c>
      <c r="O269">
        <v>164000</v>
      </c>
      <c r="P269" s="15"/>
      <c r="R269">
        <v>3.3609</v>
      </c>
      <c r="S269" t="s">
        <v>428</v>
      </c>
      <c r="T269">
        <v>54385616.368000001</v>
      </c>
      <c r="U269" s="5">
        <v>16173680</v>
      </c>
      <c r="V269" t="s">
        <v>156</v>
      </c>
      <c r="W269">
        <v>0</v>
      </c>
      <c r="X269">
        <v>0</v>
      </c>
      <c r="Y269">
        <v>0</v>
      </c>
      <c r="Z269">
        <v>-1.4</v>
      </c>
      <c r="AA269" t="str">
        <f>+MID(Tabla_Consulta_desde_Reporte_de_Valorización_de_Instrumentos[[#This Row],[CODIGO_SBS]],7,1)</f>
        <v>2</v>
      </c>
      <c r="AB269">
        <f>INDEX('Cálculo Caja'!F:F,MATCH(Tabla_Consulta_desde_Reporte_de_Valorización_de_Instrumentos[[#This Row],[PORTAFOLIO]],'Cálculo Caja'!A:A,0),1)</f>
        <v>3164069580.822104</v>
      </c>
      <c r="AC269" s="17">
        <f>Tabla_Consulta_desde_Reporte_de_Valorización_de_Instrumentos[[#This Row],[VALOR_VECTOR_LOCAL]]/Tabla_Consulta_desde_Reporte_de_Valorización_de_Instrumentos[[#This Row],[Patrimonio]]</f>
        <v>1.6935929221277398E-2</v>
      </c>
      <c r="AD269" s="4">
        <f>(Tabla_Consulta_desde_Reporte_de_Valorización_de_Instrumentos[[#This Row],[VALOR_VECTOR_LOCAL]]/INDEX('Tipo de Cambio'!$D:$D,MATCH("2",'Tipo de Cambio'!$E:$E,0),1))/1000000</f>
        <v>15.94408</v>
      </c>
      <c r="AE269">
        <f>IF(Tabla_Consulta_desde_Reporte_de_Valorización_de_Instrumentos[[#This Row],[PORTAFOLIO]]="IN-FONDO0",Tabla_Consulta_desde_Reporte_de_Valorización_de_Instrumentos[[#This Row],[Inv MM$]],0)</f>
        <v>0</v>
      </c>
      <c r="AF269" s="26">
        <f>IF(Tabla_Consulta_desde_Reporte_de_Valorización_de_Instrumentos[[#This Row],[PORTAFOLIO]]="IN-FONDO1",Tabla_Consulta_desde_Reporte_de_Valorización_de_Instrumentos[[#This Row],[Inv MM$]],0)</f>
        <v>0</v>
      </c>
      <c r="AG269" s="26">
        <f>IF(Tabla_Consulta_desde_Reporte_de_Valorización_de_Instrumentos[[#This Row],[PORTAFOLIO]]="IN-FONDO2",Tabla_Consulta_desde_Reporte_de_Valorización_de_Instrumentos[[#This Row],[Inv MM$]],0)</f>
        <v>0</v>
      </c>
      <c r="AH269" s="26">
        <f>IF(Tabla_Consulta_desde_Reporte_de_Valorización_de_Instrumentos[[#This Row],[PORTAFOLIO]]="IN-FONDO3",Tabla_Consulta_desde_Reporte_de_Valorización_de_Instrumentos[[#This Row],[Inv MM$]],0)</f>
        <v>15.94408</v>
      </c>
      <c r="AI26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104.72538399999999</v>
      </c>
      <c r="AJ269" s="26">
        <f>IFERROR(IFERROR(INDEX('BD(MSCI)'!$T:$T,MATCH(Tabla_Consulta_desde_Reporte_de_Valorización_de_Instrumentos[[#This Row],[CODIGO_ISIN]],'BD(MSCI)'!$C:$C,0),1),INDEX('BD(MSCI)'!$T:$T,MATCH(Tabla_Consulta_desde_Reporte_de_Valorización_de_Instrumentos[[#This Row],[CODIGO_SBS]],'BD(MSCI)'!$C:$C,0),1)),0)</f>
        <v>100.58758148</v>
      </c>
      <c r="AK269" s="26">
        <f>Tabla_Consulta_desde_Reporte_de_Valorización_de_Instrumentos[[#This Row],[C02-H]]*Tabla_Consulta_desde_Reporte_de_Valorización_de_Instrumentos[[#This Row],[Inv MM$]]</f>
        <v>1603.7764461236384</v>
      </c>
      <c r="AL269" s="26">
        <f>Tabla_Consulta_desde_Reporte_de_Valorización_de_Instrumentos[[#This Row],[C02-H]]*Tabla_Consulta_desde_Reporte_de_Valorización_de_Instrumentos[[#This Row],[Weight]]</f>
        <v>1.7035441604847532</v>
      </c>
      <c r="AM269" s="26" t="str">
        <f>INDEX(Parametria!G:G,MATCH(Tabla_Consulta_desde_Reporte_de_Valorización_de_Instrumentos[[#This Row],[CODIGO_SBS]],Parametria!C:C,0))</f>
        <v>52RVI</v>
      </c>
      <c r="AN269" s="26" t="str">
        <f>INDEX(Parametria!F:F,MATCH(Tabla_Consulta_desde_Reporte_de_Valorización_de_Instrumentos[[#This Row],[CODIGO_SBS]],Parametria!C:C,0))</f>
        <v>TD</v>
      </c>
      <c r="AO269" s="26" t="str">
        <f>+INDEX(Parametria!J:J,MATCH(Tabla_Consulta_desde_Reporte_de_Valorización_de_Instrumentos[[#This Row],[CODIGO_SBS]],Parametria!C:C,0))</f>
        <v>RVITD</v>
      </c>
      <c r="AP269" s="26">
        <f>Tabla_Consulta_desde_Reporte_de_Valorización_de_Instrumentos[[#This Row],[Huella]]/$AU$4</f>
        <v>0.14867773431694448</v>
      </c>
      <c r="AQ269" s="26" t="str">
        <f>IFERROR(INDEX('BD(MSCI)'!W:W,MATCH(Tabla_Consulta_desde_Reporte_de_Valorización_de_Instrumentos[[#This Row],[CODIGO_ISIN]],'BD(MSCI)'!C:C,0)),IF(Tabla_Consulta_desde_Reporte_de_Valorización_de_Instrumentos[[#This Row],[Rank_rt]]="Cash","Cash","Cuestionario Integra"))</f>
        <v>ETF</v>
      </c>
      <c r="AR269" s="26" t="str">
        <f>IFERROR(INDEX('BD(MSCI)'!X:X,MATCH(Tabla_Consulta_desde_Reporte_de_Valorización_de_Instrumentos[[#This Row],[CODIGO_ISIN]],'BD(MSCI)'!C:C,0)),"Cuestionario Integra")</f>
        <v>Otros ETFs</v>
      </c>
      <c r="AU269" s="26"/>
    </row>
    <row r="270" spans="2:47" hidden="1" x14ac:dyDescent="0.25">
      <c r="B270" s="14" t="s">
        <v>6390</v>
      </c>
      <c r="C270" t="s">
        <v>586</v>
      </c>
      <c r="D270" t="s">
        <v>11</v>
      </c>
      <c r="E270" t="s">
        <v>587</v>
      </c>
      <c r="F270" t="s">
        <v>1179</v>
      </c>
      <c r="G270" t="str">
        <f>INDEX(Parametria!H:H,MATCH(Tabla_Consulta_desde_Reporte_de_Valorización_de_Instrumentos[[#This Row],[CODIGO_SBS]],Parametria!C:C,0),1)</f>
        <v>BlackRock - iShares Taiwan</v>
      </c>
      <c r="H270" t="s">
        <v>1178</v>
      </c>
      <c r="I270" t="s">
        <v>156</v>
      </c>
      <c r="J270" t="s">
        <v>605</v>
      </c>
      <c r="K270" t="s">
        <v>50</v>
      </c>
      <c r="L270">
        <v>1</v>
      </c>
      <c r="M270" s="5">
        <v>42895761.579300001</v>
      </c>
      <c r="N270">
        <v>12763177</v>
      </c>
      <c r="O270">
        <v>200900</v>
      </c>
      <c r="P270" s="15"/>
      <c r="R270">
        <v>3.3609</v>
      </c>
      <c r="S270" t="s">
        <v>428</v>
      </c>
      <c r="T270">
        <v>43039057.321400002</v>
      </c>
      <c r="U270" s="5">
        <v>12799339</v>
      </c>
      <c r="V270" t="s">
        <v>156</v>
      </c>
      <c r="W270">
        <v>0</v>
      </c>
      <c r="X270">
        <v>0</v>
      </c>
      <c r="Y270">
        <v>0</v>
      </c>
      <c r="Z270">
        <v>-0.18</v>
      </c>
      <c r="AA270" t="str">
        <f>+MID(Tabla_Consulta_desde_Reporte_de_Valorización_de_Instrumentos[[#This Row],[CODIGO_SBS]],7,1)</f>
        <v>2</v>
      </c>
      <c r="AB270">
        <f>INDEX('Cálculo Caja'!F:F,MATCH(Tabla_Consulta_desde_Reporte_de_Valorización_de_Instrumentos[[#This Row],[PORTAFOLIO]],'Cálculo Caja'!A:A,0),1)</f>
        <v>3164069580.822104</v>
      </c>
      <c r="AC270" s="17">
        <f>Tabla_Consulta_desde_Reporte_de_Valorización_de_Instrumentos[[#This Row],[VALOR_VECTOR_LOCAL]]/Tabla_Consulta_desde_Reporte_de_Valorización_de_Instrumentos[[#This Row],[Patrimonio]]</f>
        <v>1.3557148628872636E-2</v>
      </c>
      <c r="AD270" s="4">
        <f>(Tabla_Consulta_desde_Reporte_de_Valorización_de_Instrumentos[[#This Row],[VALOR_VECTOR_LOCAL]]/INDEX('Tipo de Cambio'!$D:$D,MATCH("2",'Tipo de Cambio'!$E:$E,0),1))/1000000</f>
        <v>12.763177000000001</v>
      </c>
      <c r="AE270">
        <f>IF(Tabla_Consulta_desde_Reporte_de_Valorización_de_Instrumentos[[#This Row],[PORTAFOLIO]]="IN-FONDO0",Tabla_Consulta_desde_Reporte_de_Valorización_de_Instrumentos[[#This Row],[Inv MM$]],0)</f>
        <v>0</v>
      </c>
      <c r="AF270" s="26">
        <f>IF(Tabla_Consulta_desde_Reporte_de_Valorización_de_Instrumentos[[#This Row],[PORTAFOLIO]]="IN-FONDO1",Tabla_Consulta_desde_Reporte_de_Valorización_de_Instrumentos[[#This Row],[Inv MM$]],0)</f>
        <v>0</v>
      </c>
      <c r="AG270" s="26">
        <f>IF(Tabla_Consulta_desde_Reporte_de_Valorización_de_Instrumentos[[#This Row],[PORTAFOLIO]]="IN-FONDO2",Tabla_Consulta_desde_Reporte_de_Valorización_de_Instrumentos[[#This Row],[Inv MM$]],0)</f>
        <v>0</v>
      </c>
      <c r="AH270" s="26">
        <f>IF(Tabla_Consulta_desde_Reporte_de_Valorización_de_Instrumentos[[#This Row],[PORTAFOLIO]]="IN-FONDO3",Tabla_Consulta_desde_Reporte_de_Valorización_de_Instrumentos[[#This Row],[Inv MM$]],0)</f>
        <v>12.763177000000001</v>
      </c>
      <c r="AI27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68.472633999999999</v>
      </c>
      <c r="AJ270" s="26">
        <f>IFERROR(IFERROR(INDEX('BD(MSCI)'!$T:$T,MATCH(Tabla_Consulta_desde_Reporte_de_Valorización_de_Instrumentos[[#This Row],[CODIGO_ISIN]],'BD(MSCI)'!$C:$C,0),1),INDEX('BD(MSCI)'!$T:$T,MATCH(Tabla_Consulta_desde_Reporte_de_Valorización_de_Instrumentos[[#This Row],[CODIGO_SBS]],'BD(MSCI)'!$C:$C,0),1)),0)</f>
        <v>70.227149190000006</v>
      </c>
      <c r="AK270" s="26">
        <f>Tabla_Consulta_desde_Reporte_de_Valorización_de_Instrumentos[[#This Row],[C02-H]]*Tabla_Consulta_desde_Reporte_de_Valorización_de_Instrumentos[[#This Row],[Inv MM$]]</f>
        <v>896.32153531737674</v>
      </c>
      <c r="AL270" s="26">
        <f>Tabla_Consulta_desde_Reporte_de_Valorización_de_Instrumentos[[#This Row],[C02-H]]*Tabla_Consulta_desde_Reporte_de_Valorización_de_Instrumentos[[#This Row],[Weight]]</f>
        <v>0.95207989935084258</v>
      </c>
      <c r="AM270" s="26" t="str">
        <f>INDEX(Parametria!G:G,MATCH(Tabla_Consulta_desde_Reporte_de_Valorización_de_Instrumentos[[#This Row],[CODIGO_SBS]],Parametria!C:C,0))</f>
        <v>52RVI</v>
      </c>
      <c r="AN270" s="26" t="str">
        <f>INDEX(Parametria!F:F,MATCH(Tabla_Consulta_desde_Reporte_de_Valorización_de_Instrumentos[[#This Row],[CODIGO_SBS]],Parametria!C:C,0))</f>
        <v>TD</v>
      </c>
      <c r="AO270" s="26" t="str">
        <f>+INDEX(Parametria!J:J,MATCH(Tabla_Consulta_desde_Reporte_de_Valorización_de_Instrumentos[[#This Row],[CODIGO_SBS]],Parametria!C:C,0))</f>
        <v>RVITD</v>
      </c>
      <c r="AP270" s="26">
        <f>Tabla_Consulta_desde_Reporte_de_Valorización_de_Instrumentos[[#This Row],[Huella]]/$AU$4</f>
        <v>8.3093286107656927E-2</v>
      </c>
      <c r="AQ270" s="26" t="str">
        <f>IFERROR(INDEX('BD(MSCI)'!W:W,MATCH(Tabla_Consulta_desde_Reporte_de_Valorización_de_Instrumentos[[#This Row],[CODIGO_ISIN]],'BD(MSCI)'!C:C,0)),IF(Tabla_Consulta_desde_Reporte_de_Valorización_de_Instrumentos[[#This Row],[Rank_rt]]="Cash","Cash","Cuestionario Integra"))</f>
        <v>ETF</v>
      </c>
      <c r="AR270" s="26" t="str">
        <f>IFERROR(INDEX('BD(MSCI)'!X:X,MATCH(Tabla_Consulta_desde_Reporte_de_Valorización_de_Instrumentos[[#This Row],[CODIGO_ISIN]],'BD(MSCI)'!C:C,0)),"Cuestionario Integra")</f>
        <v>Otros ETFs</v>
      </c>
      <c r="AU270" s="26"/>
    </row>
    <row r="271" spans="2:47" hidden="1" x14ac:dyDescent="0.25">
      <c r="B271" s="14" t="s">
        <v>6390</v>
      </c>
      <c r="C271" t="s">
        <v>586</v>
      </c>
      <c r="D271" t="s">
        <v>11</v>
      </c>
      <c r="E271" t="s">
        <v>587</v>
      </c>
      <c r="F271" t="s">
        <v>1253</v>
      </c>
      <c r="G271" t="str">
        <f>INDEX(Parametria!H:H,MATCH(Tabla_Consulta_desde_Reporte_de_Valorización_de_Instrumentos[[#This Row],[CODIGO_SBS]],Parametria!C:C,0),1)</f>
        <v>BlackRock - iShares PHLX Semiconductor ETF</v>
      </c>
      <c r="H271" t="s">
        <v>1252</v>
      </c>
      <c r="I271" t="s">
        <v>156</v>
      </c>
      <c r="J271" t="s">
        <v>605</v>
      </c>
      <c r="K271" t="s">
        <v>50</v>
      </c>
      <c r="L271">
        <v>420.85</v>
      </c>
      <c r="M271" s="5">
        <v>257082298.88999999</v>
      </c>
      <c r="N271">
        <v>76492100</v>
      </c>
      <c r="O271">
        <v>254000</v>
      </c>
      <c r="P271" s="15"/>
      <c r="R271">
        <v>3.3609</v>
      </c>
      <c r="S271" t="s">
        <v>428</v>
      </c>
      <c r="T271">
        <v>260432293.96799999</v>
      </c>
      <c r="U271" s="5">
        <v>77449680</v>
      </c>
      <c r="V271" t="s">
        <v>156</v>
      </c>
      <c r="W271">
        <v>0</v>
      </c>
      <c r="X271">
        <v>0</v>
      </c>
      <c r="Y271">
        <v>0</v>
      </c>
      <c r="Z271">
        <v>-3.77</v>
      </c>
      <c r="AA271" t="str">
        <f>+MID(Tabla_Consulta_desde_Reporte_de_Valorización_de_Instrumentos[[#This Row],[CODIGO_SBS]],7,1)</f>
        <v>2</v>
      </c>
      <c r="AB271">
        <f>INDEX('Cálculo Caja'!F:F,MATCH(Tabla_Consulta_desde_Reporte_de_Valorización_de_Instrumentos[[#This Row],[PORTAFOLIO]],'Cálculo Caja'!A:A,0),1)</f>
        <v>3164069580.822104</v>
      </c>
      <c r="AC271" s="17">
        <f>Tabla_Consulta_desde_Reporte_de_Valorización_de_Instrumentos[[#This Row],[VALOR_VECTOR_LOCAL]]/Tabla_Consulta_desde_Reporte_de_Valorización_de_Instrumentos[[#This Row],[Patrimonio]]</f>
        <v>8.125052004172538E-2</v>
      </c>
      <c r="AD271" s="4">
        <f>(Tabla_Consulta_desde_Reporte_de_Valorización_de_Instrumentos[[#This Row],[VALOR_VECTOR_LOCAL]]/INDEX('Tipo de Cambio'!$D:$D,MATCH("2",'Tipo de Cambio'!$E:$E,0),1))/1000000</f>
        <v>76.492099999999994</v>
      </c>
      <c r="AE271">
        <f>IF(Tabla_Consulta_desde_Reporte_de_Valorización_de_Instrumentos[[#This Row],[PORTAFOLIO]]="IN-FONDO0",Tabla_Consulta_desde_Reporte_de_Valorización_de_Instrumentos[[#This Row],[Inv MM$]],0)</f>
        <v>0</v>
      </c>
      <c r="AF271" s="26">
        <f>IF(Tabla_Consulta_desde_Reporte_de_Valorización_de_Instrumentos[[#This Row],[PORTAFOLIO]]="IN-FONDO1",Tabla_Consulta_desde_Reporte_de_Valorización_de_Instrumentos[[#This Row],[Inv MM$]],0)</f>
        <v>0</v>
      </c>
      <c r="AG271" s="26">
        <f>IF(Tabla_Consulta_desde_Reporte_de_Valorización_de_Instrumentos[[#This Row],[PORTAFOLIO]]="IN-FONDO2",Tabla_Consulta_desde_Reporte_de_Valorización_de_Instrumentos[[#This Row],[Inv MM$]],0)</f>
        <v>0</v>
      </c>
      <c r="AH271" s="26">
        <f>IF(Tabla_Consulta_desde_Reporte_de_Valorización_de_Instrumentos[[#This Row],[PORTAFOLIO]]="IN-FONDO3",Tabla_Consulta_desde_Reporte_de_Valorización_de_Instrumentos[[#This Row],[Inv MM$]],0)</f>
        <v>76.492099999999994</v>
      </c>
      <c r="AI27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420.28493999999995</v>
      </c>
      <c r="AJ271" s="26">
        <f>IFERROR(IFERROR(INDEX('BD(MSCI)'!$T:$T,MATCH(Tabla_Consulta_desde_Reporte_de_Valorización_de_Instrumentos[[#This Row],[CODIGO_ISIN]],'BD(MSCI)'!$C:$C,0),1),INDEX('BD(MSCI)'!$T:$T,MATCH(Tabla_Consulta_desde_Reporte_de_Valorización_de_Instrumentos[[#This Row],[CODIGO_SBS]],'BD(MSCI)'!$C:$C,0),1)),0)</f>
        <v>8.4584609700000009</v>
      </c>
      <c r="AK271" s="26">
        <f>Tabla_Consulta_desde_Reporte_de_Valorización_de_Instrumentos[[#This Row],[C02-H]]*Tabla_Consulta_desde_Reporte_de_Valorización_de_Instrumentos[[#This Row],[Inv MM$]]</f>
        <v>647.00544236333701</v>
      </c>
      <c r="AL271" s="26">
        <f>Tabla_Consulta_desde_Reporte_de_Valorización_de_Instrumentos[[#This Row],[C02-H]]*Tabla_Consulta_desde_Reporte_de_Valorización_de_Instrumentos[[#This Row],[Weight]]</f>
        <v>0.68725435256513701</v>
      </c>
      <c r="AM271" s="26" t="str">
        <f>INDEX(Parametria!G:G,MATCH(Tabla_Consulta_desde_Reporte_de_Valorización_de_Instrumentos[[#This Row],[CODIGO_SBS]],Parametria!C:C,0))</f>
        <v>52RVI</v>
      </c>
      <c r="AN271" s="26" t="str">
        <f>INDEX(Parametria!F:F,MATCH(Tabla_Consulta_desde_Reporte_de_Valorización_de_Instrumentos[[#This Row],[CODIGO_SBS]],Parametria!C:C,0))</f>
        <v>TD</v>
      </c>
      <c r="AO271" s="26" t="str">
        <f>+INDEX(Parametria!J:J,MATCH(Tabla_Consulta_desde_Reporte_de_Valorización_de_Instrumentos[[#This Row],[CODIGO_SBS]],Parametria!C:C,0))</f>
        <v>RVITD</v>
      </c>
      <c r="AP271" s="26">
        <f>Tabla_Consulta_desde_Reporte_de_Valorización_de_Instrumentos[[#This Row],[Huella]]/$AU$4</f>
        <v>5.9980493848640466E-2</v>
      </c>
      <c r="AQ271" s="26" t="str">
        <f>IFERROR(INDEX('BD(MSCI)'!W:W,MATCH(Tabla_Consulta_desde_Reporte_de_Valorización_de_Instrumentos[[#This Row],[CODIGO_ISIN]],'BD(MSCI)'!C:C,0)),IF(Tabla_Consulta_desde_Reporte_de_Valorización_de_Instrumentos[[#This Row],[Rank_rt]]="Cash","Cash","Cuestionario Integra"))</f>
        <v>ETF</v>
      </c>
      <c r="AR271" s="26" t="str">
        <f>IFERROR(INDEX('BD(MSCI)'!X:X,MATCH(Tabla_Consulta_desde_Reporte_de_Valorización_de_Instrumentos[[#This Row],[CODIGO_ISIN]],'BD(MSCI)'!C:C,0)),"Cuestionario Integra")</f>
        <v>Otros ETFs</v>
      </c>
      <c r="AU271" s="26"/>
    </row>
    <row r="272" spans="2:47" hidden="1" x14ac:dyDescent="0.25">
      <c r="B272" s="14" t="s">
        <v>6390</v>
      </c>
      <c r="C272" t="s">
        <v>586</v>
      </c>
      <c r="D272" t="s">
        <v>10</v>
      </c>
      <c r="E272" t="s">
        <v>587</v>
      </c>
      <c r="F272" t="s">
        <v>1322</v>
      </c>
      <c r="G272" t="str">
        <f>INDEX(Parametria!H:H,MATCH(Tabla_Consulta_desde_Reporte_de_Valorización_de_Instrumentos[[#This Row],[CODIGO_SBS]],Parametria!C:C,0),1)</f>
        <v>BlackRock - iShares - Tips ETF</v>
      </c>
      <c r="H272" t="s">
        <v>1321</v>
      </c>
      <c r="I272" t="s">
        <v>156</v>
      </c>
      <c r="J272" t="s">
        <v>605</v>
      </c>
      <c r="K272" t="s">
        <v>50</v>
      </c>
      <c r="L272">
        <v>1</v>
      </c>
      <c r="M272" s="5">
        <v>272356053.4587</v>
      </c>
      <c r="N272">
        <v>81036643</v>
      </c>
      <c r="O272">
        <v>737300</v>
      </c>
      <c r="P272" s="15"/>
      <c r="R272">
        <v>3.3609</v>
      </c>
      <c r="S272" t="s">
        <v>155</v>
      </c>
      <c r="T272">
        <v>273039249.64740002</v>
      </c>
      <c r="U272" s="5">
        <v>81198849</v>
      </c>
      <c r="V272" t="s">
        <v>156</v>
      </c>
      <c r="W272">
        <v>0</v>
      </c>
      <c r="X272">
        <v>0</v>
      </c>
      <c r="Y272">
        <v>0</v>
      </c>
      <c r="Z272">
        <v>-0.22</v>
      </c>
      <c r="AA272" t="str">
        <f>+MID(Tabla_Consulta_desde_Reporte_de_Valorización_de_Instrumentos[[#This Row],[CODIGO_SBS]],7,1)</f>
        <v>2</v>
      </c>
      <c r="AB272">
        <f>INDEX('Cálculo Caja'!F:F,MATCH(Tabla_Consulta_desde_Reporte_de_Valorización_de_Instrumentos[[#This Row],[PORTAFOLIO]],'Cálculo Caja'!A:A,0),1)</f>
        <v>26256910350.436607</v>
      </c>
      <c r="AC272" s="17">
        <f>Tabla_Consulta_desde_Reporte_de_Valorización_de_Instrumentos[[#This Row],[VALOR_VECTOR_LOCAL]]/Tabla_Consulta_desde_Reporte_de_Valorización_de_Instrumentos[[#This Row],[Patrimonio]]</f>
        <v>1.0372738064902262E-2</v>
      </c>
      <c r="AD272" s="4">
        <f>(Tabla_Consulta_desde_Reporte_de_Valorización_de_Instrumentos[[#This Row],[VALOR_VECTOR_LOCAL]]/INDEX('Tipo de Cambio'!$D:$D,MATCH("2",'Tipo de Cambio'!$E:$E,0),1))/1000000</f>
        <v>81.036642999999998</v>
      </c>
      <c r="AE272">
        <f>IF(Tabla_Consulta_desde_Reporte_de_Valorización_de_Instrumentos[[#This Row],[PORTAFOLIO]]="IN-FONDO0",Tabla_Consulta_desde_Reporte_de_Valorización_de_Instrumentos[[#This Row],[Inv MM$]],0)</f>
        <v>0</v>
      </c>
      <c r="AF272" s="26">
        <f>IF(Tabla_Consulta_desde_Reporte_de_Valorización_de_Instrumentos[[#This Row],[PORTAFOLIO]]="IN-FONDO1",Tabla_Consulta_desde_Reporte_de_Valorización_de_Instrumentos[[#This Row],[Inv MM$]],0)</f>
        <v>0</v>
      </c>
      <c r="AG272" s="26">
        <f>IF(Tabla_Consulta_desde_Reporte_de_Valorización_de_Instrumentos[[#This Row],[PORTAFOLIO]]="IN-FONDO2",Tabla_Consulta_desde_Reporte_de_Valorización_de_Instrumentos[[#This Row],[Inv MM$]],0)</f>
        <v>81.036642999999998</v>
      </c>
      <c r="AH272" s="26">
        <f>IF(Tabla_Consulta_desde_Reporte_de_Valorización_de_Instrumentos[[#This Row],[PORTAFOLIO]]="IN-FONDO3",Tabla_Consulta_desde_Reporte_de_Valorización_de_Instrumentos[[#This Row],[Inv MM$]],0)</f>
        <v>0</v>
      </c>
      <c r="AI27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98.248548999999997</v>
      </c>
      <c r="AJ272" s="26">
        <f>IFERROR(IFERROR(INDEX('BD(MSCI)'!$T:$T,MATCH(Tabla_Consulta_desde_Reporte_de_Valorización_de_Instrumentos[[#This Row],[CODIGO_ISIN]],'BD(MSCI)'!$C:$C,0),1),INDEX('BD(MSCI)'!$T:$T,MATCH(Tabla_Consulta_desde_Reporte_de_Valorización_de_Instrumentos[[#This Row],[CODIGO_SBS]],'BD(MSCI)'!$C:$C,0),1)),0)</f>
        <v>202.59174264999999</v>
      </c>
      <c r="AK272" s="26">
        <f>Tabla_Consulta_desde_Reporte_de_Valorización_de_Instrumentos[[#This Row],[C02-H]]*Tabla_Consulta_desde_Reporte_de_Valorización_de_Instrumentos[[#This Row],[Inv MM$]]</f>
        <v>16417.354723875924</v>
      </c>
      <c r="AL272" s="26">
        <f>Tabla_Consulta_desde_Reporte_de_Valorización_de_Instrumentos[[#This Row],[C02-H]]*Tabla_Consulta_desde_Reporte_de_Valorización_de_Instrumentos[[#This Row],[Weight]]</f>
        <v>2.1014310806205381</v>
      </c>
      <c r="AM272" s="26" t="str">
        <f>INDEX(Parametria!G:G,MATCH(Tabla_Consulta_desde_Reporte_de_Valorización_de_Instrumentos[[#This Row],[CODIGO_SBS]],Parametria!C:C,0))</f>
        <v>52RFIG</v>
      </c>
      <c r="AN272" s="26" t="str">
        <f>INDEX(Parametria!F:F,MATCH(Tabla_Consulta_desde_Reporte_de_Valorización_de_Instrumentos[[#This Row],[CODIGO_SBS]],Parametria!C:C,0))</f>
        <v>TD</v>
      </c>
      <c r="AO272" s="26" t="str">
        <f>+INDEX(Parametria!J:J,MATCH(Tabla_Consulta_desde_Reporte_de_Valorización_de_Instrumentos[[#This Row],[CODIGO_SBS]],Parametria!C:C,0))</f>
        <v>RFITD</v>
      </c>
      <c r="AP272" s="26">
        <f>Tabla_Consulta_desde_Reporte_de_Valorización_de_Instrumentos[[#This Row],[Huella]]/$AU$4</f>
        <v>1.521967172995434</v>
      </c>
      <c r="AQ272" s="26" t="str">
        <f>IFERROR(INDEX('BD(MSCI)'!W:W,MATCH(Tabla_Consulta_desde_Reporte_de_Valorización_de_Instrumentos[[#This Row],[CODIGO_ISIN]],'BD(MSCI)'!C:C,0)),IF(Tabla_Consulta_desde_Reporte_de_Valorización_de_Instrumentos[[#This Row],[Rank_rt]]="Cash","Cash","Cuestionario Integra"))</f>
        <v>ETF</v>
      </c>
      <c r="AR272" s="26" t="str">
        <f>IFERROR(INDEX('BD(MSCI)'!X:X,MATCH(Tabla_Consulta_desde_Reporte_de_Valorización_de_Instrumentos[[#This Row],[CODIGO_ISIN]],'BD(MSCI)'!C:C,0)),"Cuestionario Integra")</f>
        <v>Soberanos</v>
      </c>
      <c r="AU272" s="26"/>
    </row>
    <row r="273" spans="2:47" hidden="1" x14ac:dyDescent="0.25">
      <c r="B273" s="14" t="s">
        <v>6390</v>
      </c>
      <c r="C273" t="s">
        <v>586</v>
      </c>
      <c r="D273" t="s">
        <v>10</v>
      </c>
      <c r="E273" t="s">
        <v>587</v>
      </c>
      <c r="F273" t="s">
        <v>937</v>
      </c>
      <c r="G273" t="str">
        <f>INDEX(Parametria!H:H,MATCH(Tabla_Consulta_desde_Reporte_de_Valorización_de_Instrumentos[[#This Row],[CODIGO_SBS]],Parametria!C:C,0),1)</f>
        <v>BlackRock - iShares Korea</v>
      </c>
      <c r="H273" t="s">
        <v>938</v>
      </c>
      <c r="I273" t="s">
        <v>156</v>
      </c>
      <c r="J273" t="s">
        <v>605</v>
      </c>
      <c r="K273" t="s">
        <v>50</v>
      </c>
      <c r="L273">
        <v>1</v>
      </c>
      <c r="M273" s="5">
        <v>283158688.48680001</v>
      </c>
      <c r="N273">
        <v>84250852</v>
      </c>
      <c r="O273">
        <v>866600</v>
      </c>
      <c r="P273" s="15"/>
      <c r="R273">
        <v>3.3609</v>
      </c>
      <c r="S273" t="s">
        <v>428</v>
      </c>
      <c r="T273">
        <v>287381555.75919998</v>
      </c>
      <c r="U273" s="5">
        <v>85464092</v>
      </c>
      <c r="V273" t="s">
        <v>156</v>
      </c>
      <c r="W273">
        <v>0</v>
      </c>
      <c r="X273">
        <v>0</v>
      </c>
      <c r="Y273">
        <v>0</v>
      </c>
      <c r="Z273">
        <v>-1.4</v>
      </c>
      <c r="AA273" t="str">
        <f>+MID(Tabla_Consulta_desde_Reporte_de_Valorización_de_Instrumentos[[#This Row],[CODIGO_SBS]],7,1)</f>
        <v>2</v>
      </c>
      <c r="AB273">
        <f>INDEX('Cálculo Caja'!F:F,MATCH(Tabla_Consulta_desde_Reporte_de_Valorización_de_Instrumentos[[#This Row],[PORTAFOLIO]],'Cálculo Caja'!A:A,0),1)</f>
        <v>26256910350.436607</v>
      </c>
      <c r="AC273" s="17">
        <f>Tabla_Consulta_desde_Reporte_de_Valorización_de_Instrumentos[[#This Row],[VALOR_VECTOR_LOCAL]]/Tabla_Consulta_desde_Reporte_de_Valorización_de_Instrumentos[[#This Row],[Patrimonio]]</f>
        <v>1.0784158711273948E-2</v>
      </c>
      <c r="AD273" s="4">
        <f>(Tabla_Consulta_desde_Reporte_de_Valorización_de_Instrumentos[[#This Row],[VALOR_VECTOR_LOCAL]]/INDEX('Tipo de Cambio'!$D:$D,MATCH("2",'Tipo de Cambio'!$E:$E,0),1))/1000000</f>
        <v>84.250851999999995</v>
      </c>
      <c r="AE273">
        <f>IF(Tabla_Consulta_desde_Reporte_de_Valorización_de_Instrumentos[[#This Row],[PORTAFOLIO]]="IN-FONDO0",Tabla_Consulta_desde_Reporte_de_Valorización_de_Instrumentos[[#This Row],[Inv MM$]],0)</f>
        <v>0</v>
      </c>
      <c r="AF273" s="26">
        <f>IF(Tabla_Consulta_desde_Reporte_de_Valorización_de_Instrumentos[[#This Row],[PORTAFOLIO]]="IN-FONDO1",Tabla_Consulta_desde_Reporte_de_Valorización_de_Instrumentos[[#This Row],[Inv MM$]],0)</f>
        <v>0</v>
      </c>
      <c r="AG273" s="26">
        <f>IF(Tabla_Consulta_desde_Reporte_de_Valorización_de_Instrumentos[[#This Row],[PORTAFOLIO]]="IN-FONDO2",Tabla_Consulta_desde_Reporte_de_Valorización_de_Instrumentos[[#This Row],[Inv MM$]],0)</f>
        <v>84.250851999999995</v>
      </c>
      <c r="AH273" s="26">
        <f>IF(Tabla_Consulta_desde_Reporte_de_Valorización_de_Instrumentos[[#This Row],[PORTAFOLIO]]="IN-FONDO3",Tabla_Consulta_desde_Reporte_de_Valorización_de_Instrumentos[[#This Row],[Inv MM$]],0)</f>
        <v>0</v>
      </c>
      <c r="AI27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104.72538399999999</v>
      </c>
      <c r="AJ273" s="26">
        <f>IFERROR(IFERROR(INDEX('BD(MSCI)'!$T:$T,MATCH(Tabla_Consulta_desde_Reporte_de_Valorización_de_Instrumentos[[#This Row],[CODIGO_ISIN]],'BD(MSCI)'!$C:$C,0),1),INDEX('BD(MSCI)'!$T:$T,MATCH(Tabla_Consulta_desde_Reporte_de_Valorización_de_Instrumentos[[#This Row],[CODIGO_SBS]],'BD(MSCI)'!$C:$C,0),1)),0)</f>
        <v>100.58758148</v>
      </c>
      <c r="AK273" s="26">
        <f>Tabla_Consulta_desde_Reporte_de_Valorización_de_Instrumentos[[#This Row],[C02-H]]*Tabla_Consulta_desde_Reporte_de_Valorización_de_Instrumentos[[#This Row],[Inv MM$]]</f>
        <v>8474.5894403094208</v>
      </c>
      <c r="AL273" s="26">
        <f>Tabla_Consulta_desde_Reporte_de_Valorización_de_Instrumentos[[#This Row],[C02-H]]*Tabla_Consulta_desde_Reporte_de_Valorización_de_Instrumentos[[#This Row],[Weight]]</f>
        <v>1.08475244306352</v>
      </c>
      <c r="AM273" s="26" t="str">
        <f>INDEX(Parametria!G:G,MATCH(Tabla_Consulta_desde_Reporte_de_Valorización_de_Instrumentos[[#This Row],[CODIGO_SBS]],Parametria!C:C,0))</f>
        <v>52RVI</v>
      </c>
      <c r="AN273" s="26" t="str">
        <f>INDEX(Parametria!F:F,MATCH(Tabla_Consulta_desde_Reporte_de_Valorización_de_Instrumentos[[#This Row],[CODIGO_SBS]],Parametria!C:C,0))</f>
        <v>TD</v>
      </c>
      <c r="AO273" s="26" t="str">
        <f>+INDEX(Parametria!J:J,MATCH(Tabla_Consulta_desde_Reporte_de_Valorización_de_Instrumentos[[#This Row],[CODIGO_SBS]],Parametria!C:C,0))</f>
        <v>RVITD</v>
      </c>
      <c r="AP273" s="26">
        <f>Tabla_Consulta_desde_Reporte_de_Valorización_de_Instrumentos[[#This Row],[Huella]]/$AU$4</f>
        <v>0.78563490584795181</v>
      </c>
      <c r="AQ273" s="26" t="str">
        <f>IFERROR(INDEX('BD(MSCI)'!W:W,MATCH(Tabla_Consulta_desde_Reporte_de_Valorización_de_Instrumentos[[#This Row],[CODIGO_ISIN]],'BD(MSCI)'!C:C,0)),IF(Tabla_Consulta_desde_Reporte_de_Valorización_de_Instrumentos[[#This Row],[Rank_rt]]="Cash","Cash","Cuestionario Integra"))</f>
        <v>ETF</v>
      </c>
      <c r="AR273" s="26" t="str">
        <f>IFERROR(INDEX('BD(MSCI)'!X:X,MATCH(Tabla_Consulta_desde_Reporte_de_Valorización_de_Instrumentos[[#This Row],[CODIGO_ISIN]],'BD(MSCI)'!C:C,0)),"Cuestionario Integra")</f>
        <v>Otros ETFs</v>
      </c>
      <c r="AU273" s="26"/>
    </row>
    <row r="274" spans="2:47" hidden="1" x14ac:dyDescent="0.25">
      <c r="B274" s="14" t="s">
        <v>6390</v>
      </c>
      <c r="C274" t="s">
        <v>586</v>
      </c>
      <c r="D274" t="s">
        <v>10</v>
      </c>
      <c r="E274" t="s">
        <v>587</v>
      </c>
      <c r="F274" t="s">
        <v>1179</v>
      </c>
      <c r="G274" t="str">
        <f>INDEX(Parametria!H:H,MATCH(Tabla_Consulta_desde_Reporte_de_Valorización_de_Instrumentos[[#This Row],[CODIGO_SBS]],Parametria!C:C,0),1)</f>
        <v>BlackRock - iShares Taiwan</v>
      </c>
      <c r="H274" t="s">
        <v>1178</v>
      </c>
      <c r="I274" t="s">
        <v>156</v>
      </c>
      <c r="J274" t="s">
        <v>605</v>
      </c>
      <c r="K274" t="s">
        <v>50</v>
      </c>
      <c r="L274">
        <v>1</v>
      </c>
      <c r="M274" s="5">
        <v>187233914.03130001</v>
      </c>
      <c r="N274">
        <v>55709457</v>
      </c>
      <c r="O274">
        <v>876900</v>
      </c>
      <c r="P274" s="15"/>
      <c r="R274">
        <v>3.3609</v>
      </c>
      <c r="S274" t="s">
        <v>428</v>
      </c>
      <c r="T274">
        <v>187859379.61739999</v>
      </c>
      <c r="U274" s="5">
        <v>55867299</v>
      </c>
      <c r="V274" t="s">
        <v>156</v>
      </c>
      <c r="W274">
        <v>0</v>
      </c>
      <c r="X274">
        <v>0</v>
      </c>
      <c r="Y274">
        <v>0</v>
      </c>
      <c r="Z274">
        <v>-0.18</v>
      </c>
      <c r="AA274" t="str">
        <f>+MID(Tabla_Consulta_desde_Reporte_de_Valorización_de_Instrumentos[[#This Row],[CODIGO_SBS]],7,1)</f>
        <v>2</v>
      </c>
      <c r="AB274">
        <f>INDEX('Cálculo Caja'!F:F,MATCH(Tabla_Consulta_desde_Reporte_de_Valorización_de_Instrumentos[[#This Row],[PORTAFOLIO]],'Cálculo Caja'!A:A,0),1)</f>
        <v>26256910350.436607</v>
      </c>
      <c r="AC274" s="17">
        <f>Tabla_Consulta_desde_Reporte_de_Valorización_de_Instrumentos[[#This Row],[VALOR_VECTOR_LOCAL]]/Tabla_Consulta_desde_Reporte_de_Valorización_de_Instrumentos[[#This Row],[Patrimonio]]</f>
        <v>7.130843329713644E-3</v>
      </c>
      <c r="AD274" s="4">
        <f>(Tabla_Consulta_desde_Reporte_de_Valorización_de_Instrumentos[[#This Row],[VALOR_VECTOR_LOCAL]]/INDEX('Tipo de Cambio'!$D:$D,MATCH("2",'Tipo de Cambio'!$E:$E,0),1))/1000000</f>
        <v>55.709457</v>
      </c>
      <c r="AE274">
        <f>IF(Tabla_Consulta_desde_Reporte_de_Valorización_de_Instrumentos[[#This Row],[PORTAFOLIO]]="IN-FONDO0",Tabla_Consulta_desde_Reporte_de_Valorización_de_Instrumentos[[#This Row],[Inv MM$]],0)</f>
        <v>0</v>
      </c>
      <c r="AF274" s="26">
        <f>IF(Tabla_Consulta_desde_Reporte_de_Valorización_de_Instrumentos[[#This Row],[PORTAFOLIO]]="IN-FONDO1",Tabla_Consulta_desde_Reporte_de_Valorización_de_Instrumentos[[#This Row],[Inv MM$]],0)</f>
        <v>0</v>
      </c>
      <c r="AG274" s="26">
        <f>IF(Tabla_Consulta_desde_Reporte_de_Valorización_de_Instrumentos[[#This Row],[PORTAFOLIO]]="IN-FONDO2",Tabla_Consulta_desde_Reporte_de_Valorización_de_Instrumentos[[#This Row],[Inv MM$]],0)</f>
        <v>55.709457</v>
      </c>
      <c r="AH274" s="26">
        <f>IF(Tabla_Consulta_desde_Reporte_de_Valorización_de_Instrumentos[[#This Row],[PORTAFOLIO]]="IN-FONDO3",Tabla_Consulta_desde_Reporte_de_Valorización_de_Instrumentos[[#This Row],[Inv MM$]],0)</f>
        <v>0</v>
      </c>
      <c r="AI27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68.472633999999999</v>
      </c>
      <c r="AJ274" s="26">
        <f>IFERROR(IFERROR(INDEX('BD(MSCI)'!$T:$T,MATCH(Tabla_Consulta_desde_Reporte_de_Valorización_de_Instrumentos[[#This Row],[CODIGO_ISIN]],'BD(MSCI)'!$C:$C,0),1),INDEX('BD(MSCI)'!$T:$T,MATCH(Tabla_Consulta_desde_Reporte_de_Valorización_de_Instrumentos[[#This Row],[CODIGO_SBS]],'BD(MSCI)'!$C:$C,0),1)),0)</f>
        <v>70.227149190000006</v>
      </c>
      <c r="AK274" s="26">
        <f>Tabla_Consulta_desde_Reporte_de_Valorización_de_Instrumentos[[#This Row],[C02-H]]*Tabla_Consulta_desde_Reporte_de_Valorización_de_Instrumentos[[#This Row],[Inv MM$]]</f>
        <v>3912.3163480328903</v>
      </c>
      <c r="AL274" s="26">
        <f>Tabla_Consulta_desde_Reporte_de_Valorización_de_Instrumentos[[#This Row],[C02-H]]*Tabla_Consulta_desde_Reporte_de_Valorización_de_Instrumentos[[#This Row],[Weight]]</f>
        <v>0.50077879836631645</v>
      </c>
      <c r="AM274" s="26" t="str">
        <f>INDEX(Parametria!G:G,MATCH(Tabla_Consulta_desde_Reporte_de_Valorización_de_Instrumentos[[#This Row],[CODIGO_SBS]],Parametria!C:C,0))</f>
        <v>52RVI</v>
      </c>
      <c r="AN274" s="26" t="str">
        <f>INDEX(Parametria!F:F,MATCH(Tabla_Consulta_desde_Reporte_de_Valorización_de_Instrumentos[[#This Row],[CODIGO_SBS]],Parametria!C:C,0))</f>
        <v>TD</v>
      </c>
      <c r="AO274" s="26" t="str">
        <f>+INDEX(Parametria!J:J,MATCH(Tabla_Consulta_desde_Reporte_de_Valorización_de_Instrumentos[[#This Row],[CODIGO_SBS]],Parametria!C:C,0))</f>
        <v>RVITD</v>
      </c>
      <c r="AP274" s="26">
        <f>Tabla_Consulta_desde_Reporte_de_Valorización_de_Instrumentos[[#This Row],[Huella]]/$AU$4</f>
        <v>0.36269040611151993</v>
      </c>
      <c r="AQ274" s="26" t="str">
        <f>IFERROR(INDEX('BD(MSCI)'!W:W,MATCH(Tabla_Consulta_desde_Reporte_de_Valorización_de_Instrumentos[[#This Row],[CODIGO_ISIN]],'BD(MSCI)'!C:C,0)),IF(Tabla_Consulta_desde_Reporte_de_Valorización_de_Instrumentos[[#This Row],[Rank_rt]]="Cash","Cash","Cuestionario Integra"))</f>
        <v>ETF</v>
      </c>
      <c r="AR274" s="26" t="str">
        <f>IFERROR(INDEX('BD(MSCI)'!X:X,MATCH(Tabla_Consulta_desde_Reporte_de_Valorización_de_Instrumentos[[#This Row],[CODIGO_ISIN]],'BD(MSCI)'!C:C,0)),"Cuestionario Integra")</f>
        <v>Otros ETFs</v>
      </c>
      <c r="AU274" s="26"/>
    </row>
    <row r="275" spans="2:47" hidden="1" x14ac:dyDescent="0.25">
      <c r="B275" s="14" t="s">
        <v>6390</v>
      </c>
      <c r="C275" t="s">
        <v>586</v>
      </c>
      <c r="D275" t="s">
        <v>10</v>
      </c>
      <c r="E275" t="s">
        <v>587</v>
      </c>
      <c r="F275" t="s">
        <v>1253</v>
      </c>
      <c r="G275" t="str">
        <f>INDEX(Parametria!H:H,MATCH(Tabla_Consulta_desde_Reporte_de_Valorización_de_Instrumentos[[#This Row],[CODIGO_SBS]],Parametria!C:C,0),1)</f>
        <v>BlackRock - iShares PHLX Semiconductor ETF</v>
      </c>
      <c r="H275" t="s">
        <v>1252</v>
      </c>
      <c r="I275" t="s">
        <v>156</v>
      </c>
      <c r="J275" t="s">
        <v>605</v>
      </c>
      <c r="K275" t="s">
        <v>50</v>
      </c>
      <c r="L275">
        <v>420.85</v>
      </c>
      <c r="M275" s="5">
        <v>1074583766.6594999</v>
      </c>
      <c r="N275">
        <v>319730955</v>
      </c>
      <c r="O275">
        <v>1061700</v>
      </c>
      <c r="P275" s="15"/>
      <c r="R275">
        <v>3.3609</v>
      </c>
      <c r="S275" t="s">
        <v>428</v>
      </c>
      <c r="T275">
        <v>1088586482.3064001</v>
      </c>
      <c r="U275" s="5">
        <v>323733564</v>
      </c>
      <c r="V275" t="s">
        <v>156</v>
      </c>
      <c r="W275">
        <v>0</v>
      </c>
      <c r="X275">
        <v>0</v>
      </c>
      <c r="Y275">
        <v>0</v>
      </c>
      <c r="Z275">
        <v>-3.77</v>
      </c>
      <c r="AA275" t="str">
        <f>+MID(Tabla_Consulta_desde_Reporte_de_Valorización_de_Instrumentos[[#This Row],[CODIGO_SBS]],7,1)</f>
        <v>2</v>
      </c>
      <c r="AB275">
        <f>INDEX('Cálculo Caja'!F:F,MATCH(Tabla_Consulta_desde_Reporte_de_Valorización_de_Instrumentos[[#This Row],[PORTAFOLIO]],'Cálculo Caja'!A:A,0),1)</f>
        <v>26256910350.436607</v>
      </c>
      <c r="AC275" s="17">
        <f>Tabla_Consulta_desde_Reporte_de_Valorización_de_Instrumentos[[#This Row],[VALOR_VECTOR_LOCAL]]/Tabla_Consulta_desde_Reporte_de_Valorización_de_Instrumentos[[#This Row],[Patrimonio]]</f>
        <v>4.092575068115855E-2</v>
      </c>
      <c r="AD275" s="4">
        <f>(Tabla_Consulta_desde_Reporte_de_Valorización_de_Instrumentos[[#This Row],[VALOR_VECTOR_LOCAL]]/INDEX('Tipo de Cambio'!$D:$D,MATCH("2",'Tipo de Cambio'!$E:$E,0),1))/1000000</f>
        <v>319.73095499999994</v>
      </c>
      <c r="AE275">
        <f>IF(Tabla_Consulta_desde_Reporte_de_Valorización_de_Instrumentos[[#This Row],[PORTAFOLIO]]="IN-FONDO0",Tabla_Consulta_desde_Reporte_de_Valorización_de_Instrumentos[[#This Row],[Inv MM$]],0)</f>
        <v>0</v>
      </c>
      <c r="AF275" s="26">
        <f>IF(Tabla_Consulta_desde_Reporte_de_Valorización_de_Instrumentos[[#This Row],[PORTAFOLIO]]="IN-FONDO1",Tabla_Consulta_desde_Reporte_de_Valorización_de_Instrumentos[[#This Row],[Inv MM$]],0)</f>
        <v>0</v>
      </c>
      <c r="AG275" s="26">
        <f>IF(Tabla_Consulta_desde_Reporte_de_Valorización_de_Instrumentos[[#This Row],[PORTAFOLIO]]="IN-FONDO2",Tabla_Consulta_desde_Reporte_de_Valorización_de_Instrumentos[[#This Row],[Inv MM$]],0)</f>
        <v>319.73095499999994</v>
      </c>
      <c r="AH275" s="26">
        <f>IF(Tabla_Consulta_desde_Reporte_de_Valorización_de_Instrumentos[[#This Row],[PORTAFOLIO]]="IN-FONDO3",Tabla_Consulta_desde_Reporte_de_Valorización_de_Instrumentos[[#This Row],[Inv MM$]],0)</f>
        <v>0</v>
      </c>
      <c r="AI27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420.28493999999995</v>
      </c>
      <c r="AJ275" s="26">
        <f>IFERROR(IFERROR(INDEX('BD(MSCI)'!$T:$T,MATCH(Tabla_Consulta_desde_Reporte_de_Valorización_de_Instrumentos[[#This Row],[CODIGO_ISIN]],'BD(MSCI)'!$C:$C,0),1),INDEX('BD(MSCI)'!$T:$T,MATCH(Tabla_Consulta_desde_Reporte_de_Valorización_de_Instrumentos[[#This Row],[CODIGO_SBS]],'BD(MSCI)'!$C:$C,0),1)),0)</f>
        <v>8.4584609700000009</v>
      </c>
      <c r="AK275" s="26">
        <f>Tabla_Consulta_desde_Reporte_de_Valorización_de_Instrumentos[[#This Row],[C02-H]]*Tabla_Consulta_desde_Reporte_de_Valorización_de_Instrumentos[[#This Row],[Inv MM$]]</f>
        <v>2704.4318037683261</v>
      </c>
      <c r="AL275" s="26">
        <f>Tabla_Consulta_desde_Reporte_de_Valorización_de_Instrumentos[[#This Row],[C02-H]]*Tabla_Consulta_desde_Reporte_de_Valorización_de_Instrumentos[[#This Row],[Weight]]</f>
        <v>0.34616886480453052</v>
      </c>
      <c r="AM275" s="26" t="str">
        <f>INDEX(Parametria!G:G,MATCH(Tabla_Consulta_desde_Reporte_de_Valorización_de_Instrumentos[[#This Row],[CODIGO_SBS]],Parametria!C:C,0))</f>
        <v>52RVI</v>
      </c>
      <c r="AN275" s="26" t="str">
        <f>INDEX(Parametria!F:F,MATCH(Tabla_Consulta_desde_Reporte_de_Valorización_de_Instrumentos[[#This Row],[CODIGO_SBS]],Parametria!C:C,0))</f>
        <v>TD</v>
      </c>
      <c r="AO275" s="26" t="str">
        <f>+INDEX(Parametria!J:J,MATCH(Tabla_Consulta_desde_Reporte_de_Valorización_de_Instrumentos[[#This Row],[CODIGO_SBS]],Parametria!C:C,0))</f>
        <v>RVITD</v>
      </c>
      <c r="AP275" s="26">
        <f>Tabla_Consulta_desde_Reporte_de_Valorización_de_Instrumentos[[#This Row],[Huella]]/$AU$4</f>
        <v>0.25071374141378572</v>
      </c>
      <c r="AQ275" s="26" t="str">
        <f>IFERROR(INDEX('BD(MSCI)'!W:W,MATCH(Tabla_Consulta_desde_Reporte_de_Valorización_de_Instrumentos[[#This Row],[CODIGO_ISIN]],'BD(MSCI)'!C:C,0)),IF(Tabla_Consulta_desde_Reporte_de_Valorización_de_Instrumentos[[#This Row],[Rank_rt]]="Cash","Cash","Cuestionario Integra"))</f>
        <v>ETF</v>
      </c>
      <c r="AR275" s="26" t="str">
        <f>IFERROR(INDEX('BD(MSCI)'!X:X,MATCH(Tabla_Consulta_desde_Reporte_de_Valorización_de_Instrumentos[[#This Row],[CODIGO_ISIN]],'BD(MSCI)'!C:C,0)),"Cuestionario Integra")</f>
        <v>Otros ETFs</v>
      </c>
      <c r="AU275" s="26"/>
    </row>
    <row r="276" spans="2:47" hidden="1" x14ac:dyDescent="0.25">
      <c r="B276" s="14" t="s">
        <v>6390</v>
      </c>
      <c r="C276" t="s">
        <v>586</v>
      </c>
      <c r="D276" t="s">
        <v>12</v>
      </c>
      <c r="E276" t="s">
        <v>587</v>
      </c>
      <c r="F276" t="s">
        <v>1322</v>
      </c>
      <c r="G276" t="str">
        <f>INDEX(Parametria!H:H,MATCH(Tabla_Consulta_desde_Reporte_de_Valorización_de_Instrumentos[[#This Row],[CODIGO_SBS]],Parametria!C:C,0),1)</f>
        <v>BlackRock - iShares - Tips ETF</v>
      </c>
      <c r="H276" t="s">
        <v>1321</v>
      </c>
      <c r="I276" t="s">
        <v>156</v>
      </c>
      <c r="J276" t="s">
        <v>605</v>
      </c>
      <c r="K276" t="s">
        <v>50</v>
      </c>
      <c r="L276">
        <v>1</v>
      </c>
      <c r="M276" s="5">
        <v>57847494.875399999</v>
      </c>
      <c r="N276">
        <v>17211906</v>
      </c>
      <c r="O276">
        <v>156600</v>
      </c>
      <c r="P276" s="15"/>
      <c r="R276">
        <v>3.3609</v>
      </c>
      <c r="S276" t="s">
        <v>155</v>
      </c>
      <c r="T276">
        <v>57992603.410800003</v>
      </c>
      <c r="U276" s="5">
        <v>17246358</v>
      </c>
      <c r="V276" t="s">
        <v>156</v>
      </c>
      <c r="W276">
        <v>0</v>
      </c>
      <c r="X276">
        <v>0</v>
      </c>
      <c r="Y276">
        <v>0</v>
      </c>
      <c r="Z276">
        <v>-0.22</v>
      </c>
      <c r="AA276" t="str">
        <f>+MID(Tabla_Consulta_desde_Reporte_de_Valorización_de_Instrumentos[[#This Row],[CODIGO_SBS]],7,1)</f>
        <v>2</v>
      </c>
      <c r="AB276">
        <f>INDEX('Cálculo Caja'!F:F,MATCH(Tabla_Consulta_desde_Reporte_de_Valorización_de_Instrumentos[[#This Row],[PORTAFOLIO]],'Cálculo Caja'!A:A,0),1)</f>
        <v>7679510866.0565634</v>
      </c>
      <c r="AC276" s="17">
        <f>Tabla_Consulta_desde_Reporte_de_Valorización_de_Instrumentos[[#This Row],[VALOR_VECTOR_LOCAL]]/Tabla_Consulta_desde_Reporte_de_Valorización_de_Instrumentos[[#This Row],[Patrimonio]]</f>
        <v>7.5327056481013545E-3</v>
      </c>
      <c r="AD276" s="4">
        <f>(Tabla_Consulta_desde_Reporte_de_Valorización_de_Instrumentos[[#This Row],[VALOR_VECTOR_LOCAL]]/INDEX('Tipo de Cambio'!$D:$D,MATCH("2",'Tipo de Cambio'!$E:$E,0),1))/1000000</f>
        <v>17.211905999999999</v>
      </c>
      <c r="AE276">
        <f>IF(Tabla_Consulta_desde_Reporte_de_Valorización_de_Instrumentos[[#This Row],[PORTAFOLIO]]="IN-FONDO0",Tabla_Consulta_desde_Reporte_de_Valorización_de_Instrumentos[[#This Row],[Inv MM$]],0)</f>
        <v>0</v>
      </c>
      <c r="AF276" s="26">
        <f>IF(Tabla_Consulta_desde_Reporte_de_Valorización_de_Instrumentos[[#This Row],[PORTAFOLIO]]="IN-FONDO1",Tabla_Consulta_desde_Reporte_de_Valorización_de_Instrumentos[[#This Row],[Inv MM$]],0)</f>
        <v>17.211905999999999</v>
      </c>
      <c r="AG276" s="26">
        <f>IF(Tabla_Consulta_desde_Reporte_de_Valorización_de_Instrumentos[[#This Row],[PORTAFOLIO]]="IN-FONDO2",Tabla_Consulta_desde_Reporte_de_Valorización_de_Instrumentos[[#This Row],[Inv MM$]],0)</f>
        <v>0</v>
      </c>
      <c r="AH276" s="26">
        <f>IF(Tabla_Consulta_desde_Reporte_de_Valorización_de_Instrumentos[[#This Row],[PORTAFOLIO]]="IN-FONDO3",Tabla_Consulta_desde_Reporte_de_Valorización_de_Instrumentos[[#This Row],[Inv MM$]],0)</f>
        <v>0</v>
      </c>
      <c r="AI27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98.248548999999997</v>
      </c>
      <c r="AJ276" s="26">
        <f>IFERROR(IFERROR(INDEX('BD(MSCI)'!$T:$T,MATCH(Tabla_Consulta_desde_Reporte_de_Valorización_de_Instrumentos[[#This Row],[CODIGO_ISIN]],'BD(MSCI)'!$C:$C,0),1),INDEX('BD(MSCI)'!$T:$T,MATCH(Tabla_Consulta_desde_Reporte_de_Valorización_de_Instrumentos[[#This Row],[CODIGO_SBS]],'BD(MSCI)'!$C:$C,0),1)),0)</f>
        <v>202.59174264999999</v>
      </c>
      <c r="AK276" s="26">
        <f>Tabla_Consulta_desde_Reporte_de_Valorización_de_Instrumentos[[#This Row],[C02-H]]*Tabla_Consulta_desde_Reporte_de_Valorización_de_Instrumentos[[#This Row],[Inv MM$]]</f>
        <v>3486.9900308679903</v>
      </c>
      <c r="AL276" s="26">
        <f>Tabla_Consulta_desde_Reporte_de_Valorización_de_Instrumentos[[#This Row],[C02-H]]*Tabla_Consulta_desde_Reporte_de_Valorización_de_Instrumentos[[#This Row],[Weight]]</f>
        <v>1.5260639641183509</v>
      </c>
      <c r="AM276" s="26" t="str">
        <f>INDEX(Parametria!G:G,MATCH(Tabla_Consulta_desde_Reporte_de_Valorización_de_Instrumentos[[#This Row],[CODIGO_SBS]],Parametria!C:C,0))</f>
        <v>52RFIG</v>
      </c>
      <c r="AN276" s="26" t="str">
        <f>INDEX(Parametria!F:F,MATCH(Tabla_Consulta_desde_Reporte_de_Valorización_de_Instrumentos[[#This Row],[CODIGO_SBS]],Parametria!C:C,0))</f>
        <v>TD</v>
      </c>
      <c r="AO276" s="26" t="str">
        <f>+INDEX(Parametria!J:J,MATCH(Tabla_Consulta_desde_Reporte_de_Valorización_de_Instrumentos[[#This Row],[CODIGO_SBS]],Parametria!C:C,0))</f>
        <v>RFITD</v>
      </c>
      <c r="AP276" s="26">
        <f>Tabla_Consulta_desde_Reporte_de_Valorización_de_Instrumentos[[#This Row],[Huella]]/$AU$4</f>
        <v>0.32326062564910479</v>
      </c>
      <c r="AQ276" s="26" t="str">
        <f>IFERROR(INDEX('BD(MSCI)'!W:W,MATCH(Tabla_Consulta_desde_Reporte_de_Valorización_de_Instrumentos[[#This Row],[CODIGO_ISIN]],'BD(MSCI)'!C:C,0)),IF(Tabla_Consulta_desde_Reporte_de_Valorización_de_Instrumentos[[#This Row],[Rank_rt]]="Cash","Cash","Cuestionario Integra"))</f>
        <v>ETF</v>
      </c>
      <c r="AR276" s="26" t="str">
        <f>IFERROR(INDEX('BD(MSCI)'!X:X,MATCH(Tabla_Consulta_desde_Reporte_de_Valorización_de_Instrumentos[[#This Row],[CODIGO_ISIN]],'BD(MSCI)'!C:C,0)),"Cuestionario Integra")</f>
        <v>Soberanos</v>
      </c>
      <c r="AU276" s="26"/>
    </row>
    <row r="277" spans="2:47" hidden="1" x14ac:dyDescent="0.25">
      <c r="B277" s="14" t="s">
        <v>6390</v>
      </c>
      <c r="C277" t="s">
        <v>586</v>
      </c>
      <c r="D277" t="s">
        <v>12</v>
      </c>
      <c r="E277" t="s">
        <v>587</v>
      </c>
      <c r="F277" t="s">
        <v>1632</v>
      </c>
      <c r="G277" t="str">
        <f>INDEX(Parametria!H:H,MATCH(Tabla_Consulta_desde_Reporte_de_Valorización_de_Instrumentos[[#This Row],[CODIGO_SBS]],Parametria!C:C,0),1)</f>
        <v>BlackRock - iShares Convertible Bond ETF</v>
      </c>
      <c r="H277" t="s">
        <v>1631</v>
      </c>
      <c r="I277" t="s">
        <v>156</v>
      </c>
      <c r="J277" t="s">
        <v>605</v>
      </c>
      <c r="K277" t="s">
        <v>50</v>
      </c>
      <c r="L277">
        <v>1</v>
      </c>
      <c r="M277" s="5">
        <v>57668674.829999998</v>
      </c>
      <c r="N277">
        <v>17158700</v>
      </c>
      <c r="O277">
        <v>174200</v>
      </c>
      <c r="P277" s="15"/>
      <c r="R277">
        <v>3.3609</v>
      </c>
      <c r="S277" t="s">
        <v>155</v>
      </c>
      <c r="T277">
        <v>57908719.9912</v>
      </c>
      <c r="U277" s="5">
        <v>17221412</v>
      </c>
      <c r="V277" t="s">
        <v>156</v>
      </c>
      <c r="W277">
        <v>0</v>
      </c>
      <c r="X277">
        <v>0</v>
      </c>
      <c r="Y277">
        <v>0</v>
      </c>
      <c r="Z277">
        <v>-0.36</v>
      </c>
      <c r="AA277" t="str">
        <f>+MID(Tabla_Consulta_desde_Reporte_de_Valorización_de_Instrumentos[[#This Row],[CODIGO_SBS]],7,1)</f>
        <v>2</v>
      </c>
      <c r="AB277">
        <f>INDEX('Cálculo Caja'!F:F,MATCH(Tabla_Consulta_desde_Reporte_de_Valorización_de_Instrumentos[[#This Row],[PORTAFOLIO]],'Cálculo Caja'!A:A,0),1)</f>
        <v>7679510866.0565634</v>
      </c>
      <c r="AC277" s="17">
        <f>Tabla_Consulta_desde_Reporte_de_Valorización_de_Instrumentos[[#This Row],[VALOR_VECTOR_LOCAL]]/Tabla_Consulta_desde_Reporte_de_Valorización_de_Instrumentos[[#This Row],[Patrimonio]]</f>
        <v>7.5094203049956643E-3</v>
      </c>
      <c r="AD277" s="4">
        <f>(Tabla_Consulta_desde_Reporte_de_Valorización_de_Instrumentos[[#This Row],[VALOR_VECTOR_LOCAL]]/INDEX('Tipo de Cambio'!$D:$D,MATCH("2",'Tipo de Cambio'!$E:$E,0),1))/1000000</f>
        <v>17.1587</v>
      </c>
      <c r="AE277">
        <f>IF(Tabla_Consulta_desde_Reporte_de_Valorización_de_Instrumentos[[#This Row],[PORTAFOLIO]]="IN-FONDO0",Tabla_Consulta_desde_Reporte_de_Valorización_de_Instrumentos[[#This Row],[Inv MM$]],0)</f>
        <v>0</v>
      </c>
      <c r="AF277" s="26">
        <f>IF(Tabla_Consulta_desde_Reporte_de_Valorización_de_Instrumentos[[#This Row],[PORTAFOLIO]]="IN-FONDO1",Tabla_Consulta_desde_Reporte_de_Valorización_de_Instrumentos[[#This Row],[Inv MM$]],0)</f>
        <v>17.1587</v>
      </c>
      <c r="AG277" s="26">
        <f>IF(Tabla_Consulta_desde_Reporte_de_Valorización_de_Instrumentos[[#This Row],[PORTAFOLIO]]="IN-FONDO2",Tabla_Consulta_desde_Reporte_de_Valorización_de_Instrumentos[[#This Row],[Inv MM$]],0)</f>
        <v>0</v>
      </c>
      <c r="AH277" s="26">
        <f>IF(Tabla_Consulta_desde_Reporte_de_Valorización_de_Instrumentos[[#This Row],[PORTAFOLIO]]="IN-FONDO3",Tabla_Consulta_desde_Reporte_de_Valorización_de_Instrumentos[[#This Row],[Inv MM$]],0)</f>
        <v>0</v>
      </c>
      <c r="AI27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17.1587</v>
      </c>
      <c r="AJ277" s="26">
        <f>IFERROR(IFERROR(INDEX('BD(MSCI)'!$T:$T,MATCH(Tabla_Consulta_desde_Reporte_de_Valorización_de_Instrumentos[[#This Row],[CODIGO_ISIN]],'BD(MSCI)'!$C:$C,0),1),INDEX('BD(MSCI)'!$T:$T,MATCH(Tabla_Consulta_desde_Reporte_de_Valorización_de_Instrumentos[[#This Row],[CODIGO_SBS]],'BD(MSCI)'!$C:$C,0),1)),0)</f>
        <v>55.558979000000001</v>
      </c>
      <c r="AK277" s="26">
        <f>Tabla_Consulta_desde_Reporte_de_Valorización_de_Instrumentos[[#This Row],[C02-H]]*Tabla_Consulta_desde_Reporte_de_Valorización_de_Instrumentos[[#This Row],[Inv MM$]]</f>
        <v>953.31985296729999</v>
      </c>
      <c r="AL277" s="26">
        <f>Tabla_Consulta_desde_Reporte_de_Valorización_de_Instrumentos[[#This Row],[C02-H]]*Tabla_Consulta_desde_Reporte_de_Valorización_de_Instrumentos[[#This Row],[Weight]]</f>
        <v>0.41721572502742771</v>
      </c>
      <c r="AM277" s="26" t="str">
        <f>INDEX(Parametria!G:G,MATCH(Tabla_Consulta_desde_Reporte_de_Valorización_de_Instrumentos[[#This Row],[CODIGO_SBS]],Parametria!C:C,0))</f>
        <v>52RFIG</v>
      </c>
      <c r="AN277" s="26" t="str">
        <f>INDEX(Parametria!F:F,MATCH(Tabla_Consulta_desde_Reporte_de_Valorización_de_Instrumentos[[#This Row],[CODIGO_SBS]],Parametria!C:C,0))</f>
        <v>TD</v>
      </c>
      <c r="AO277" s="26" t="str">
        <f>+INDEX(Parametria!J:J,MATCH(Tabla_Consulta_desde_Reporte_de_Valorización_de_Instrumentos[[#This Row],[CODIGO_SBS]],Parametria!C:C,0))</f>
        <v>RFITD</v>
      </c>
      <c r="AP277" s="26">
        <f>Tabla_Consulta_desde_Reporte_de_Valorización_de_Instrumentos[[#This Row],[Huella]]/$AU$4</f>
        <v>8.8377302311131445E-2</v>
      </c>
      <c r="AQ277" s="26" t="str">
        <f>IFERROR(INDEX('BD(MSCI)'!W:W,MATCH(Tabla_Consulta_desde_Reporte_de_Valorización_de_Instrumentos[[#This Row],[CODIGO_ISIN]],'BD(MSCI)'!C:C,0)),IF(Tabla_Consulta_desde_Reporte_de_Valorización_de_Instrumentos[[#This Row],[Rank_rt]]="Cash","Cash","Cuestionario Integra"))</f>
        <v>ETF</v>
      </c>
      <c r="AR277" s="26" t="str">
        <f>IFERROR(INDEX('BD(MSCI)'!X:X,MATCH(Tabla_Consulta_desde_Reporte_de_Valorización_de_Instrumentos[[#This Row],[CODIGO_ISIN]],'BD(MSCI)'!C:C,0)),"Cuestionario Integra")</f>
        <v>Otros ETFs</v>
      </c>
      <c r="AU277" s="26"/>
    </row>
    <row r="278" spans="2:47" hidden="1" x14ac:dyDescent="0.25">
      <c r="B278" s="14" t="s">
        <v>6390</v>
      </c>
      <c r="C278" t="s">
        <v>586</v>
      </c>
      <c r="D278" t="s">
        <v>12</v>
      </c>
      <c r="E278" t="s">
        <v>587</v>
      </c>
      <c r="F278" t="s">
        <v>1253</v>
      </c>
      <c r="G278" t="str">
        <f>INDEX(Parametria!H:H,MATCH(Tabla_Consulta_desde_Reporte_de_Valorización_de_Instrumentos[[#This Row],[CODIGO_SBS]],Parametria!C:C,0),1)</f>
        <v>BlackRock - iShares PHLX Semiconductor ETF</v>
      </c>
      <c r="H278" t="s">
        <v>1252</v>
      </c>
      <c r="I278" t="s">
        <v>156</v>
      </c>
      <c r="J278" t="s">
        <v>605</v>
      </c>
      <c r="K278" t="s">
        <v>50</v>
      </c>
      <c r="L278">
        <v>420.85</v>
      </c>
      <c r="M278" s="5">
        <v>80869589.296499997</v>
      </c>
      <c r="N278">
        <v>24061885</v>
      </c>
      <c r="O278">
        <v>79900</v>
      </c>
      <c r="P278" s="15"/>
      <c r="R278">
        <v>3.3609</v>
      </c>
      <c r="S278" t="s">
        <v>428</v>
      </c>
      <c r="T278">
        <v>81923386.960800007</v>
      </c>
      <c r="U278" s="5">
        <v>24363108</v>
      </c>
      <c r="V278" t="s">
        <v>156</v>
      </c>
      <c r="W278">
        <v>0</v>
      </c>
      <c r="X278">
        <v>0</v>
      </c>
      <c r="Y278">
        <v>0</v>
      </c>
      <c r="Z278">
        <v>-3.77</v>
      </c>
      <c r="AA278" t="str">
        <f>+MID(Tabla_Consulta_desde_Reporte_de_Valorización_de_Instrumentos[[#This Row],[CODIGO_SBS]],7,1)</f>
        <v>2</v>
      </c>
      <c r="AB278">
        <f>INDEX('Cálculo Caja'!F:F,MATCH(Tabla_Consulta_desde_Reporte_de_Valorización_de_Instrumentos[[#This Row],[PORTAFOLIO]],'Cálculo Caja'!A:A,0),1)</f>
        <v>7679510866.0565634</v>
      </c>
      <c r="AC278" s="17">
        <f>Tabla_Consulta_desde_Reporte_de_Valorización_de_Instrumentos[[#This Row],[VALOR_VECTOR_LOCAL]]/Tabla_Consulta_desde_Reporte_de_Valorización_de_Instrumentos[[#This Row],[Patrimonio]]</f>
        <v>1.0530565124133565E-2</v>
      </c>
      <c r="AD278" s="4">
        <f>(Tabla_Consulta_desde_Reporte_de_Valorización_de_Instrumentos[[#This Row],[VALOR_VECTOR_LOCAL]]/INDEX('Tipo de Cambio'!$D:$D,MATCH("2",'Tipo de Cambio'!$E:$E,0),1))/1000000</f>
        <v>24.061885</v>
      </c>
      <c r="AE278">
        <f>IF(Tabla_Consulta_desde_Reporte_de_Valorización_de_Instrumentos[[#This Row],[PORTAFOLIO]]="IN-FONDO0",Tabla_Consulta_desde_Reporte_de_Valorización_de_Instrumentos[[#This Row],[Inv MM$]],0)</f>
        <v>0</v>
      </c>
      <c r="AF278" s="26">
        <f>IF(Tabla_Consulta_desde_Reporte_de_Valorización_de_Instrumentos[[#This Row],[PORTAFOLIO]]="IN-FONDO1",Tabla_Consulta_desde_Reporte_de_Valorización_de_Instrumentos[[#This Row],[Inv MM$]],0)</f>
        <v>24.061885</v>
      </c>
      <c r="AG278" s="26">
        <f>IF(Tabla_Consulta_desde_Reporte_de_Valorización_de_Instrumentos[[#This Row],[PORTAFOLIO]]="IN-FONDO2",Tabla_Consulta_desde_Reporte_de_Valorización_de_Instrumentos[[#This Row],[Inv MM$]],0)</f>
        <v>0</v>
      </c>
      <c r="AH278" s="26">
        <f>IF(Tabla_Consulta_desde_Reporte_de_Valorización_de_Instrumentos[[#This Row],[PORTAFOLIO]]="IN-FONDO3",Tabla_Consulta_desde_Reporte_de_Valorización_de_Instrumentos[[#This Row],[Inv MM$]],0)</f>
        <v>0</v>
      </c>
      <c r="AI27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420.28493999999995</v>
      </c>
      <c r="AJ278" s="26">
        <f>IFERROR(IFERROR(INDEX('BD(MSCI)'!$T:$T,MATCH(Tabla_Consulta_desde_Reporte_de_Valorización_de_Instrumentos[[#This Row],[CODIGO_ISIN]],'BD(MSCI)'!$C:$C,0),1),INDEX('BD(MSCI)'!$T:$T,MATCH(Tabla_Consulta_desde_Reporte_de_Valorización_de_Instrumentos[[#This Row],[CODIGO_SBS]],'BD(MSCI)'!$C:$C,0),1)),0)</f>
        <v>8.4584609700000009</v>
      </c>
      <c r="AK278" s="26">
        <f>Tabla_Consulta_desde_Reporte_de_Valorización_de_Instrumentos[[#This Row],[C02-H]]*Tabla_Consulta_desde_Reporte_de_Valorización_de_Instrumentos[[#This Row],[Inv MM$]]</f>
        <v>203.52651513712848</v>
      </c>
      <c r="AL278" s="26">
        <f>Tabla_Consulta_desde_Reporte_de_Valorización_de_Instrumentos[[#This Row],[C02-H]]*Tabla_Consulta_desde_Reporte_de_Valorización_de_Instrumentos[[#This Row],[Weight]]</f>
        <v>8.9072374094526979E-2</v>
      </c>
      <c r="AM278" s="26" t="str">
        <f>INDEX(Parametria!G:G,MATCH(Tabla_Consulta_desde_Reporte_de_Valorización_de_Instrumentos[[#This Row],[CODIGO_SBS]],Parametria!C:C,0))</f>
        <v>52RVI</v>
      </c>
      <c r="AN278" s="26" t="str">
        <f>INDEX(Parametria!F:F,MATCH(Tabla_Consulta_desde_Reporte_de_Valorización_de_Instrumentos[[#This Row],[CODIGO_SBS]],Parametria!C:C,0))</f>
        <v>TD</v>
      </c>
      <c r="AO278" s="26" t="str">
        <f>+INDEX(Parametria!J:J,MATCH(Tabla_Consulta_desde_Reporte_de_Valorización_de_Instrumentos[[#This Row],[CODIGO_SBS]],Parametria!C:C,0))</f>
        <v>RVITD</v>
      </c>
      <c r="AP278" s="26">
        <f>Tabla_Consulta_desde_Reporte_de_Valorización_de_Instrumentos[[#This Row],[Huella]]/$AU$4</f>
        <v>1.8867879757899109E-2</v>
      </c>
      <c r="AQ278" s="26" t="str">
        <f>IFERROR(INDEX('BD(MSCI)'!W:W,MATCH(Tabla_Consulta_desde_Reporte_de_Valorización_de_Instrumentos[[#This Row],[CODIGO_ISIN]],'BD(MSCI)'!C:C,0)),IF(Tabla_Consulta_desde_Reporte_de_Valorización_de_Instrumentos[[#This Row],[Rank_rt]]="Cash","Cash","Cuestionario Integra"))</f>
        <v>ETF</v>
      </c>
      <c r="AR278" s="26" t="str">
        <f>IFERROR(INDEX('BD(MSCI)'!X:X,MATCH(Tabla_Consulta_desde_Reporte_de_Valorización_de_Instrumentos[[#This Row],[CODIGO_ISIN]],'BD(MSCI)'!C:C,0)),"Cuestionario Integra")</f>
        <v>Otros ETFs</v>
      </c>
      <c r="AU278" s="26"/>
    </row>
    <row r="279" spans="2:47" hidden="1" x14ac:dyDescent="0.25">
      <c r="B279" s="14" t="s">
        <v>6390</v>
      </c>
      <c r="C279" t="s">
        <v>586</v>
      </c>
      <c r="D279" t="s">
        <v>12</v>
      </c>
      <c r="E279" t="s">
        <v>587</v>
      </c>
      <c r="F279" t="s">
        <v>937</v>
      </c>
      <c r="G279" t="str">
        <f>INDEX(Parametria!H:H,MATCH(Tabla_Consulta_desde_Reporte_de_Valorización_de_Instrumentos[[#This Row],[CODIGO_SBS]],Parametria!C:C,0),1)</f>
        <v>BlackRock - iShares Korea</v>
      </c>
      <c r="H279" t="s">
        <v>938</v>
      </c>
      <c r="I279" t="s">
        <v>156</v>
      </c>
      <c r="J279" t="s">
        <v>605</v>
      </c>
      <c r="K279" t="s">
        <v>50</v>
      </c>
      <c r="L279">
        <v>1</v>
      </c>
      <c r="M279" s="5">
        <v>15226396.126800001</v>
      </c>
      <c r="N279">
        <v>4530452</v>
      </c>
      <c r="O279">
        <v>46600</v>
      </c>
      <c r="P279" s="15"/>
      <c r="R279">
        <v>3.3609</v>
      </c>
      <c r="S279" t="s">
        <v>428</v>
      </c>
      <c r="T279">
        <v>15453473.919199999</v>
      </c>
      <c r="U279" s="5">
        <v>4595692</v>
      </c>
      <c r="V279" t="s">
        <v>156</v>
      </c>
      <c r="W279">
        <v>0</v>
      </c>
      <c r="X279">
        <v>0</v>
      </c>
      <c r="Y279">
        <v>0</v>
      </c>
      <c r="Z279">
        <v>-1.4</v>
      </c>
      <c r="AA279" t="str">
        <f>+MID(Tabla_Consulta_desde_Reporte_de_Valorización_de_Instrumentos[[#This Row],[CODIGO_SBS]],7,1)</f>
        <v>2</v>
      </c>
      <c r="AB279">
        <f>INDEX('Cálculo Caja'!F:F,MATCH(Tabla_Consulta_desde_Reporte_de_Valorización_de_Instrumentos[[#This Row],[PORTAFOLIO]],'Cálculo Caja'!A:A,0),1)</f>
        <v>7679510866.0565634</v>
      </c>
      <c r="AC279" s="17">
        <f>Tabla_Consulta_desde_Reporte_de_Valorización_de_Instrumentos[[#This Row],[VALOR_VECTOR_LOCAL]]/Tabla_Consulta_desde_Reporte_de_Valorización_de_Instrumentos[[#This Row],[Patrimonio]]</f>
        <v>1.9827299410566197E-3</v>
      </c>
      <c r="AD279" s="4">
        <f>(Tabla_Consulta_desde_Reporte_de_Valorización_de_Instrumentos[[#This Row],[VALOR_VECTOR_LOCAL]]/INDEX('Tipo de Cambio'!$D:$D,MATCH("2",'Tipo de Cambio'!$E:$E,0),1))/1000000</f>
        <v>4.5304520000000004</v>
      </c>
      <c r="AE279">
        <f>IF(Tabla_Consulta_desde_Reporte_de_Valorización_de_Instrumentos[[#This Row],[PORTAFOLIO]]="IN-FONDO0",Tabla_Consulta_desde_Reporte_de_Valorización_de_Instrumentos[[#This Row],[Inv MM$]],0)</f>
        <v>0</v>
      </c>
      <c r="AF279" s="26">
        <f>IF(Tabla_Consulta_desde_Reporte_de_Valorización_de_Instrumentos[[#This Row],[PORTAFOLIO]]="IN-FONDO1",Tabla_Consulta_desde_Reporte_de_Valorización_de_Instrumentos[[#This Row],[Inv MM$]],0)</f>
        <v>4.5304520000000004</v>
      </c>
      <c r="AG279" s="26">
        <f>IF(Tabla_Consulta_desde_Reporte_de_Valorización_de_Instrumentos[[#This Row],[PORTAFOLIO]]="IN-FONDO2",Tabla_Consulta_desde_Reporte_de_Valorización_de_Instrumentos[[#This Row],[Inv MM$]],0)</f>
        <v>0</v>
      </c>
      <c r="AH279" s="26">
        <f>IF(Tabla_Consulta_desde_Reporte_de_Valorización_de_Instrumentos[[#This Row],[PORTAFOLIO]]="IN-FONDO3",Tabla_Consulta_desde_Reporte_de_Valorización_de_Instrumentos[[#This Row],[Inv MM$]],0)</f>
        <v>0</v>
      </c>
      <c r="AI27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104.72538399999999</v>
      </c>
      <c r="AJ279" s="26">
        <f>IFERROR(IFERROR(INDEX('BD(MSCI)'!$T:$T,MATCH(Tabla_Consulta_desde_Reporte_de_Valorización_de_Instrumentos[[#This Row],[CODIGO_ISIN]],'BD(MSCI)'!$C:$C,0),1),INDEX('BD(MSCI)'!$T:$T,MATCH(Tabla_Consulta_desde_Reporte_de_Valorización_de_Instrumentos[[#This Row],[CODIGO_SBS]],'BD(MSCI)'!$C:$C,0),1)),0)</f>
        <v>100.58758148</v>
      </c>
      <c r="AK279" s="26">
        <f>Tabla_Consulta_desde_Reporte_de_Valorización_de_Instrumentos[[#This Row],[C02-H]]*Tabla_Consulta_desde_Reporte_de_Valorización_de_Instrumentos[[#This Row],[Inv MM$]]</f>
        <v>455.70720969122897</v>
      </c>
      <c r="AL279" s="26">
        <f>Tabla_Consulta_desde_Reporte_de_Valorización_de_Instrumentos[[#This Row],[C02-H]]*Tabla_Consulta_desde_Reporte_de_Valorización_de_Instrumentos[[#This Row],[Weight]]</f>
        <v>0.19943800949886833</v>
      </c>
      <c r="AM279" s="26" t="str">
        <f>INDEX(Parametria!G:G,MATCH(Tabla_Consulta_desde_Reporte_de_Valorización_de_Instrumentos[[#This Row],[CODIGO_SBS]],Parametria!C:C,0))</f>
        <v>52RVI</v>
      </c>
      <c r="AN279" s="26" t="str">
        <f>INDEX(Parametria!F:F,MATCH(Tabla_Consulta_desde_Reporte_de_Valorización_de_Instrumentos[[#This Row],[CODIGO_SBS]],Parametria!C:C,0))</f>
        <v>TD</v>
      </c>
      <c r="AO279" s="26" t="str">
        <f>+INDEX(Parametria!J:J,MATCH(Tabla_Consulta_desde_Reporte_de_Valorización_de_Instrumentos[[#This Row],[CODIGO_SBS]],Parametria!C:C,0))</f>
        <v>RVITD</v>
      </c>
      <c r="AP279" s="26">
        <f>Tabla_Consulta_desde_Reporte_de_Valorización_de_Instrumentos[[#This Row],[Huella]]/$AU$4</f>
        <v>4.2246234263229349E-2</v>
      </c>
      <c r="AQ279" s="26" t="str">
        <f>IFERROR(INDEX('BD(MSCI)'!W:W,MATCH(Tabla_Consulta_desde_Reporte_de_Valorización_de_Instrumentos[[#This Row],[CODIGO_ISIN]],'BD(MSCI)'!C:C,0)),IF(Tabla_Consulta_desde_Reporte_de_Valorización_de_Instrumentos[[#This Row],[Rank_rt]]="Cash","Cash","Cuestionario Integra"))</f>
        <v>ETF</v>
      </c>
      <c r="AR279" s="26" t="str">
        <f>IFERROR(INDEX('BD(MSCI)'!X:X,MATCH(Tabla_Consulta_desde_Reporte_de_Valorización_de_Instrumentos[[#This Row],[CODIGO_ISIN]],'BD(MSCI)'!C:C,0)),"Cuestionario Integra")</f>
        <v>Otros ETFs</v>
      </c>
      <c r="AU279" s="26"/>
    </row>
    <row r="280" spans="2:47" hidden="1" x14ac:dyDescent="0.25">
      <c r="B280" s="14" t="s">
        <v>6390</v>
      </c>
      <c r="C280" t="s">
        <v>586</v>
      </c>
      <c r="D280" t="s">
        <v>11</v>
      </c>
      <c r="E280" t="s">
        <v>587</v>
      </c>
      <c r="F280" t="s">
        <v>1839</v>
      </c>
      <c r="G280" t="str">
        <f>INDEX(Parametria!H:H,MATCH(Tabla_Consulta_desde_Reporte_de_Valorización_de_Instrumentos[[#This Row],[CODIGO_SBS]],Parametria!C:C,0),1)</f>
        <v>BlackRock - iShares Euro Stoxx Banks 30-15 UCITS</v>
      </c>
      <c r="H280" t="s">
        <v>1838</v>
      </c>
      <c r="I280" t="s">
        <v>156</v>
      </c>
      <c r="J280" t="s">
        <v>5683</v>
      </c>
      <c r="K280" t="s">
        <v>57</v>
      </c>
      <c r="L280">
        <v>1</v>
      </c>
      <c r="M280" s="5">
        <v>86111511.362226307</v>
      </c>
      <c r="N280">
        <v>21822300.5</v>
      </c>
      <c r="O280">
        <v>843700</v>
      </c>
      <c r="P280" s="15"/>
      <c r="R280">
        <v>3.9460326999999999</v>
      </c>
      <c r="S280" t="s">
        <v>428</v>
      </c>
      <c r="T280">
        <v>86250460.496199995</v>
      </c>
      <c r="U280" s="5">
        <v>21822300.5</v>
      </c>
      <c r="V280" t="s">
        <v>156</v>
      </c>
      <c r="W280">
        <v>0</v>
      </c>
      <c r="X280">
        <v>0</v>
      </c>
      <c r="Y280">
        <v>0</v>
      </c>
      <c r="Z280">
        <v>0</v>
      </c>
      <c r="AA280" t="str">
        <f>+MID(Tabla_Consulta_desde_Reporte_de_Valorización_de_Instrumentos[[#This Row],[CODIGO_SBS]],7,1)</f>
        <v>4</v>
      </c>
      <c r="AB280">
        <f>INDEX('Cálculo Caja'!F:F,MATCH(Tabla_Consulta_desde_Reporte_de_Valorización_de_Instrumentos[[#This Row],[PORTAFOLIO]],'Cálculo Caja'!A:A,0),1)</f>
        <v>3164069580.822104</v>
      </c>
      <c r="AC280" s="17">
        <f>Tabla_Consulta_desde_Reporte_de_Valorización_de_Instrumentos[[#This Row],[VALOR_VECTOR_LOCAL]]/Tabla_Consulta_desde_Reporte_de_Valorización_de_Instrumentos[[#This Row],[Patrimonio]]</f>
        <v>2.7215429105655886E-2</v>
      </c>
      <c r="AD280" s="4">
        <f>(Tabla_Consulta_desde_Reporte_de_Valorización_de_Instrumentos[[#This Row],[VALOR_VECTOR_LOCAL]]/INDEX('Tipo de Cambio'!$D:$D,MATCH("2",'Tipo de Cambio'!$E:$E,0),1))/1000000</f>
        <v>25.621563081979918</v>
      </c>
      <c r="AE280">
        <f>IF(Tabla_Consulta_desde_Reporte_de_Valorización_de_Instrumentos[[#This Row],[PORTAFOLIO]]="IN-FONDO0",Tabla_Consulta_desde_Reporte_de_Valorización_de_Instrumentos[[#This Row],[Inv MM$]],0)</f>
        <v>0</v>
      </c>
      <c r="AF280" s="26">
        <f>IF(Tabla_Consulta_desde_Reporte_de_Valorización_de_Instrumentos[[#This Row],[PORTAFOLIO]]="IN-FONDO1",Tabla_Consulta_desde_Reporte_de_Valorización_de_Instrumentos[[#This Row],[Inv MM$]],0)</f>
        <v>0</v>
      </c>
      <c r="AG280" s="26">
        <f>IF(Tabla_Consulta_desde_Reporte_de_Valorización_de_Instrumentos[[#This Row],[PORTAFOLIO]]="IN-FONDO2",Tabla_Consulta_desde_Reporte_de_Valorización_de_Instrumentos[[#This Row],[Inv MM$]],0)</f>
        <v>0</v>
      </c>
      <c r="AH280" s="26">
        <f>IF(Tabla_Consulta_desde_Reporte_de_Valorización_de_Instrumentos[[#This Row],[PORTAFOLIO]]="IN-FONDO3",Tabla_Consulta_desde_Reporte_de_Valorización_de_Instrumentos[[#This Row],[Inv MM$]],0)</f>
        <v>25.621563081979918</v>
      </c>
      <c r="AI28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127.67051481919144</v>
      </c>
      <c r="AJ280" s="26">
        <f>IFERROR(IFERROR(INDEX('BD(MSCI)'!$T:$T,MATCH(Tabla_Consulta_desde_Reporte_de_Valorización_de_Instrumentos[[#This Row],[CODIGO_ISIN]],'BD(MSCI)'!$C:$C,0),1),INDEX('BD(MSCI)'!$T:$T,MATCH(Tabla_Consulta_desde_Reporte_de_Valorización_de_Instrumentos[[#This Row],[CODIGO_SBS]],'BD(MSCI)'!$C:$C,0),1)),0)</f>
        <v>0.42006296999999998</v>
      </c>
      <c r="AK280" s="26">
        <f>Tabla_Consulta_desde_Reporte_de_Valorización_de_Instrumentos[[#This Row],[C02-H]]*Tabla_Consulta_desde_Reporte_de_Valorización_de_Instrumentos[[#This Row],[Inv MM$]]</f>
        <v>10.762669884258838</v>
      </c>
      <c r="AL280" s="26">
        <f>Tabla_Consulta_desde_Reporte_de_Valorización_de_Instrumentos[[#This Row],[C02-H]]*Tabla_Consulta_desde_Reporte_de_Valorización_de_Instrumentos[[#This Row],[Weight]]</f>
        <v>1.1432193979946255E-2</v>
      </c>
      <c r="AM280" s="26" t="str">
        <f>INDEX(Parametria!G:G,MATCH(Tabla_Consulta_desde_Reporte_de_Valorización_de_Instrumentos[[#This Row],[CODIGO_SBS]],Parametria!C:C,0))</f>
        <v>52RVI</v>
      </c>
      <c r="AN280" s="26" t="str">
        <f>INDEX(Parametria!F:F,MATCH(Tabla_Consulta_desde_Reporte_de_Valorización_de_Instrumentos[[#This Row],[CODIGO_SBS]],Parametria!C:C,0))</f>
        <v>TD</v>
      </c>
      <c r="AO280" s="26" t="str">
        <f>+INDEX(Parametria!J:J,MATCH(Tabla_Consulta_desde_Reporte_de_Valorización_de_Instrumentos[[#This Row],[CODIGO_SBS]],Parametria!C:C,0))</f>
        <v>RVITD</v>
      </c>
      <c r="AP280" s="26">
        <f>Tabla_Consulta_desde_Reporte_de_Valorización_de_Instrumentos[[#This Row],[Huella]]/$AU$4</f>
        <v>9.9775088819919902E-4</v>
      </c>
      <c r="AQ280" s="26" t="str">
        <f>IFERROR(INDEX('BD(MSCI)'!W:W,MATCH(Tabla_Consulta_desde_Reporte_de_Valorización_de_Instrumentos[[#This Row],[CODIGO_ISIN]],'BD(MSCI)'!C:C,0)),IF(Tabla_Consulta_desde_Reporte_de_Valorización_de_Instrumentos[[#This Row],[Rank_rt]]="Cash","Cash","Cuestionario Integra"))</f>
        <v>ETF</v>
      </c>
      <c r="AR280" s="26" t="str">
        <f>IFERROR(INDEX('BD(MSCI)'!X:X,MATCH(Tabla_Consulta_desde_Reporte_de_Valorización_de_Instrumentos[[#This Row],[CODIGO_ISIN]],'BD(MSCI)'!C:C,0)),"Cuestionario Integra")</f>
        <v>Otros ETFs</v>
      </c>
      <c r="AU280" s="26"/>
    </row>
    <row r="281" spans="2:47" hidden="1" x14ac:dyDescent="0.25">
      <c r="B281" s="14" t="s">
        <v>6390</v>
      </c>
      <c r="C281" t="s">
        <v>586</v>
      </c>
      <c r="D281" t="s">
        <v>10</v>
      </c>
      <c r="E281" t="s">
        <v>587</v>
      </c>
      <c r="F281" t="s">
        <v>1839</v>
      </c>
      <c r="G281" t="str">
        <f>INDEX(Parametria!H:H,MATCH(Tabla_Consulta_desde_Reporte_de_Valorización_de_Instrumentos[[#This Row],[CODIGO_SBS]],Parametria!C:C,0),1)</f>
        <v>BlackRock - iShares Euro Stoxx Banks 30-15 UCITS</v>
      </c>
      <c r="H281" t="s">
        <v>1838</v>
      </c>
      <c r="I281" t="s">
        <v>156</v>
      </c>
      <c r="J281" t="s">
        <v>5683</v>
      </c>
      <c r="K281" t="s">
        <v>57</v>
      </c>
      <c r="L281">
        <v>1</v>
      </c>
      <c r="M281" s="5">
        <v>342976321.89359421</v>
      </c>
      <c r="N281">
        <v>86916746</v>
      </c>
      <c r="O281">
        <v>3360400</v>
      </c>
      <c r="P281" s="15"/>
      <c r="R281">
        <v>3.9460326999999999</v>
      </c>
      <c r="S281" t="s">
        <v>428</v>
      </c>
      <c r="T281">
        <v>343529746.89039999</v>
      </c>
      <c r="U281" s="5">
        <v>86916746</v>
      </c>
      <c r="V281" t="s">
        <v>156</v>
      </c>
      <c r="W281">
        <v>0</v>
      </c>
      <c r="X281">
        <v>0</v>
      </c>
      <c r="Y281">
        <v>0</v>
      </c>
      <c r="Z281">
        <v>0</v>
      </c>
      <c r="AA281" t="str">
        <f>+MID(Tabla_Consulta_desde_Reporte_de_Valorización_de_Instrumentos[[#This Row],[CODIGO_SBS]],7,1)</f>
        <v>4</v>
      </c>
      <c r="AB281">
        <f>INDEX('Cálculo Caja'!F:F,MATCH(Tabla_Consulta_desde_Reporte_de_Valorización_de_Instrumentos[[#This Row],[PORTAFOLIO]],'Cálculo Caja'!A:A,0),1)</f>
        <v>26256910350.436607</v>
      </c>
      <c r="AC281" s="17">
        <f>Tabla_Consulta_desde_Reporte_de_Valorización_de_Instrumentos[[#This Row],[VALOR_VECTOR_LOCAL]]/Tabla_Consulta_desde_Reporte_de_Valorización_de_Instrumentos[[#This Row],[Patrimonio]]</f>
        <v>1.3062325967376855E-2</v>
      </c>
      <c r="AD281" s="4">
        <f>(Tabla_Consulta_desde_Reporte_de_Valorización_de_Instrumentos[[#This Row],[VALOR_VECTOR_LOCAL]]/INDEX('Tipo de Cambio'!$D:$D,MATCH("2",'Tipo de Cambio'!$E:$E,0),1))/1000000</f>
        <v>102.04895173721152</v>
      </c>
      <c r="AE281">
        <f>IF(Tabla_Consulta_desde_Reporte_de_Valorización_de_Instrumentos[[#This Row],[PORTAFOLIO]]="IN-FONDO0",Tabla_Consulta_desde_Reporte_de_Valorización_de_Instrumentos[[#This Row],[Inv MM$]],0)</f>
        <v>0</v>
      </c>
      <c r="AF281" s="26">
        <f>IF(Tabla_Consulta_desde_Reporte_de_Valorización_de_Instrumentos[[#This Row],[PORTAFOLIO]]="IN-FONDO1",Tabla_Consulta_desde_Reporte_de_Valorización_de_Instrumentos[[#This Row],[Inv MM$]],0)</f>
        <v>0</v>
      </c>
      <c r="AG281" s="26">
        <f>IF(Tabla_Consulta_desde_Reporte_de_Valorización_de_Instrumentos[[#This Row],[PORTAFOLIO]]="IN-FONDO2",Tabla_Consulta_desde_Reporte_de_Valorización_de_Instrumentos[[#This Row],[Inv MM$]],0)</f>
        <v>102.04895173721152</v>
      </c>
      <c r="AH281" s="26">
        <f>IF(Tabla_Consulta_desde_Reporte_de_Valorización_de_Instrumentos[[#This Row],[PORTAFOLIO]]="IN-FONDO3",Tabla_Consulta_desde_Reporte_de_Valorización_de_Instrumentos[[#This Row],[Inv MM$]],0)</f>
        <v>0</v>
      </c>
      <c r="AI28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127.67051481919144</v>
      </c>
      <c r="AJ281" s="26">
        <f>IFERROR(IFERROR(INDEX('BD(MSCI)'!$T:$T,MATCH(Tabla_Consulta_desde_Reporte_de_Valorización_de_Instrumentos[[#This Row],[CODIGO_ISIN]],'BD(MSCI)'!$C:$C,0),1),INDEX('BD(MSCI)'!$T:$T,MATCH(Tabla_Consulta_desde_Reporte_de_Valorización_de_Instrumentos[[#This Row],[CODIGO_SBS]],'BD(MSCI)'!$C:$C,0),1)),0)</f>
        <v>0.42006296999999998</v>
      </c>
      <c r="AK281" s="26">
        <f>Tabla_Consulta_desde_Reporte_de_Valorización_de_Instrumentos[[#This Row],[C02-H]]*Tabla_Consulta_desde_Reporte_de_Valorización_de_Instrumentos[[#This Row],[Inv MM$]]</f>
        <v>42.866985752119732</v>
      </c>
      <c r="AL281" s="26">
        <f>Tabla_Consulta_desde_Reporte_de_Valorización_de_Instrumentos[[#This Row],[C02-H]]*Tabla_Consulta_desde_Reporte_de_Valorización_de_Instrumentos[[#This Row],[Weight]]</f>
        <v>5.4869994409644449E-3</v>
      </c>
      <c r="AM281" s="26" t="str">
        <f>INDEX(Parametria!G:G,MATCH(Tabla_Consulta_desde_Reporte_de_Valorización_de_Instrumentos[[#This Row],[CODIGO_SBS]],Parametria!C:C,0))</f>
        <v>52RVI</v>
      </c>
      <c r="AN281" s="26" t="str">
        <f>INDEX(Parametria!F:F,MATCH(Tabla_Consulta_desde_Reporte_de_Valorización_de_Instrumentos[[#This Row],[CODIGO_SBS]],Parametria!C:C,0))</f>
        <v>TD</v>
      </c>
      <c r="AO281" s="26" t="str">
        <f>+INDEX(Parametria!J:J,MATCH(Tabla_Consulta_desde_Reporte_de_Valorización_de_Instrumentos[[#This Row],[CODIGO_SBS]],Parametria!C:C,0))</f>
        <v>RVITD</v>
      </c>
      <c r="AP281" s="26">
        <f>Tabla_Consulta_desde_Reporte_de_Valorización_de_Instrumentos[[#This Row],[Huella]]/$AU$4</f>
        <v>3.9739742618283636E-3</v>
      </c>
      <c r="AQ281" s="26" t="str">
        <f>IFERROR(INDEX('BD(MSCI)'!W:W,MATCH(Tabla_Consulta_desde_Reporte_de_Valorización_de_Instrumentos[[#This Row],[CODIGO_ISIN]],'BD(MSCI)'!C:C,0)),IF(Tabla_Consulta_desde_Reporte_de_Valorización_de_Instrumentos[[#This Row],[Rank_rt]]="Cash","Cash","Cuestionario Integra"))</f>
        <v>ETF</v>
      </c>
      <c r="AR281" s="26" t="str">
        <f>IFERROR(INDEX('BD(MSCI)'!X:X,MATCH(Tabla_Consulta_desde_Reporte_de_Valorización_de_Instrumentos[[#This Row],[CODIGO_ISIN]],'BD(MSCI)'!C:C,0)),"Cuestionario Integra")</f>
        <v>Otros ETFs</v>
      </c>
      <c r="AU281" s="26"/>
    </row>
    <row r="282" spans="2:47" hidden="1" x14ac:dyDescent="0.25">
      <c r="B282" s="14" t="s">
        <v>6390</v>
      </c>
      <c r="C282" t="s">
        <v>586</v>
      </c>
      <c r="D282" t="s">
        <v>10</v>
      </c>
      <c r="E282" t="s">
        <v>587</v>
      </c>
      <c r="F282" t="s">
        <v>2067</v>
      </c>
      <c r="G282" t="str">
        <f>INDEX(Parametria!H:H,MATCH(Tabla_Consulta_desde_Reporte_de_Valorización_de_Instrumentos[[#This Row],[CODIGO_SBS]],Parametria!C:C,0),1)</f>
        <v>Nomura - US High Yield Bond Fund</v>
      </c>
      <c r="H282" t="s">
        <v>2066</v>
      </c>
      <c r="I282" t="s">
        <v>156</v>
      </c>
      <c r="J282" t="s">
        <v>5684</v>
      </c>
      <c r="K282" t="s">
        <v>50</v>
      </c>
      <c r="L282">
        <v>1</v>
      </c>
      <c r="M282" s="5">
        <v>1468.9445298999999</v>
      </c>
      <c r="N282">
        <v>437.06880000000001</v>
      </c>
      <c r="O282">
        <v>1</v>
      </c>
      <c r="P282" s="15"/>
      <c r="R282">
        <v>3.3609</v>
      </c>
      <c r="S282" t="s">
        <v>155</v>
      </c>
      <c r="T282">
        <v>1468.4944963999999</v>
      </c>
      <c r="U282" s="5">
        <v>436.714</v>
      </c>
      <c r="V282" t="s">
        <v>156</v>
      </c>
      <c r="W282">
        <v>0</v>
      </c>
      <c r="X282">
        <v>0</v>
      </c>
      <c r="Y282">
        <v>0</v>
      </c>
      <c r="Z282">
        <v>0.3548</v>
      </c>
      <c r="AA282" t="str">
        <f>+MID(Tabla_Consulta_desde_Reporte_de_Valorización_de_Instrumentos[[#This Row],[CODIGO_SBS]],7,1)</f>
        <v>2</v>
      </c>
      <c r="AB282">
        <f>INDEX('Cálculo Caja'!F:F,MATCH(Tabla_Consulta_desde_Reporte_de_Valorización_de_Instrumentos[[#This Row],[PORTAFOLIO]],'Cálculo Caja'!A:A,0),1)</f>
        <v>26256910350.436607</v>
      </c>
      <c r="AC282" s="17">
        <f>Tabla_Consulta_desde_Reporte_de_Valorización_de_Instrumentos[[#This Row],[VALOR_VECTOR_LOCAL]]/Tabla_Consulta_desde_Reporte_de_Valorización_de_Instrumentos[[#This Row],[Patrimonio]]</f>
        <v>5.5945063996289032E-8</v>
      </c>
      <c r="AD282" s="4">
        <f>(Tabla_Consulta_desde_Reporte_de_Valorización_de_Instrumentos[[#This Row],[VALOR_VECTOR_LOCAL]]/INDEX('Tipo de Cambio'!$D:$D,MATCH("2",'Tipo de Cambio'!$E:$E,0),1))/1000000</f>
        <v>4.3706879999404918E-4</v>
      </c>
      <c r="AE282">
        <f>IF(Tabla_Consulta_desde_Reporte_de_Valorización_de_Instrumentos[[#This Row],[PORTAFOLIO]]="IN-FONDO0",Tabla_Consulta_desde_Reporte_de_Valorización_de_Instrumentos[[#This Row],[Inv MM$]],0)</f>
        <v>0</v>
      </c>
      <c r="AF282" s="26">
        <f>IF(Tabla_Consulta_desde_Reporte_de_Valorización_de_Instrumentos[[#This Row],[PORTAFOLIO]]="IN-FONDO1",Tabla_Consulta_desde_Reporte_de_Valorización_de_Instrumentos[[#This Row],[Inv MM$]],0)</f>
        <v>0</v>
      </c>
      <c r="AG282" s="26">
        <f>IF(Tabla_Consulta_desde_Reporte_de_Valorización_de_Instrumentos[[#This Row],[PORTAFOLIO]]="IN-FONDO2",Tabla_Consulta_desde_Reporte_de_Valorización_de_Instrumentos[[#This Row],[Inv MM$]],0)</f>
        <v>4.3706879999404918E-4</v>
      </c>
      <c r="AH282" s="26">
        <f>IF(Tabla_Consulta_desde_Reporte_de_Valorización_de_Instrumentos[[#This Row],[PORTAFOLIO]]="IN-FONDO3",Tabla_Consulta_desde_Reporte_de_Valorización_de_Instrumentos[[#This Row],[Inv MM$]],0)</f>
        <v>0</v>
      </c>
      <c r="AI28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8.7413759998809836E-4</v>
      </c>
      <c r="AJ282" s="26">
        <f>IFERROR(IFERROR(INDEX('BD(MSCI)'!$T:$T,MATCH(Tabla_Consulta_desde_Reporte_de_Valorización_de_Instrumentos[[#This Row],[CODIGO_ISIN]],'BD(MSCI)'!$C:$C,0),1),INDEX('BD(MSCI)'!$T:$T,MATCH(Tabla_Consulta_desde_Reporte_de_Valorización_de_Instrumentos[[#This Row],[CODIGO_SBS]],'BD(MSCI)'!$C:$C,0),1)),0)</f>
        <v>147.15787048000001</v>
      </c>
      <c r="AK282" s="26">
        <f>Tabla_Consulta_desde_Reporte_de_Valorización_de_Instrumentos[[#This Row],[C02-H]]*Tabla_Consulta_desde_Reporte_de_Valorización_de_Instrumentos[[#This Row],[Inv MM$]]</f>
        <v>6.4318113860373324E-2</v>
      </c>
      <c r="AL282" s="26">
        <f>Tabla_Consulta_desde_Reporte_de_Valorización_de_Instrumentos[[#This Row],[C02-H]]*Tabla_Consulta_desde_Reporte_de_Valorización_de_Instrumentos[[#This Row],[Weight]]</f>
        <v>8.2327564815612137E-6</v>
      </c>
      <c r="AM282" s="26" t="str">
        <f>INDEX(Parametria!G:G,MATCH(Tabla_Consulta_desde_Reporte_de_Valorización_de_Instrumentos[[#This Row],[CODIGO_SBS]],Parametria!C:C,0))</f>
        <v>52RFIG</v>
      </c>
      <c r="AN282" s="26" t="str">
        <f>INDEX(Parametria!F:F,MATCH(Tabla_Consulta_desde_Reporte_de_Valorización_de_Instrumentos[[#This Row],[CODIGO_SBS]],Parametria!C:C,0))</f>
        <v>TD</v>
      </c>
      <c r="AO282" s="26" t="str">
        <f>+INDEX(Parametria!J:J,MATCH(Tabla_Consulta_desde_Reporte_de_Valorización_de_Instrumentos[[#This Row],[CODIGO_SBS]],Parametria!C:C,0))</f>
        <v>RFITD</v>
      </c>
      <c r="AP282" s="26">
        <f>Tabla_Consulta_desde_Reporte_de_Valorización_de_Instrumentos[[#This Row],[Huella]]/$AU$4</f>
        <v>5.9625962629721546E-6</v>
      </c>
      <c r="AQ282" s="26" t="str">
        <f>IFERROR(INDEX('BD(MSCI)'!W:W,MATCH(Tabla_Consulta_desde_Reporte_de_Valorización_de_Instrumentos[[#This Row],[CODIGO_ISIN]],'BD(MSCI)'!C:C,0)),IF(Tabla_Consulta_desde_Reporte_de_Valorización_de_Instrumentos[[#This Row],[Rank_rt]]="Cash","Cash","Cuestionario Integra"))</f>
        <v>ETF</v>
      </c>
      <c r="AR282" s="26" t="str">
        <f>IFERROR(INDEX('BD(MSCI)'!X:X,MATCH(Tabla_Consulta_desde_Reporte_de_Valorización_de_Instrumentos[[#This Row],[CODIGO_ISIN]],'BD(MSCI)'!C:C,0)),"Cuestionario Integra")</f>
        <v>Otros ETFs</v>
      </c>
      <c r="AU282" s="26"/>
    </row>
    <row r="283" spans="2:47" hidden="1" x14ac:dyDescent="0.25">
      <c r="B283" s="14" t="s">
        <v>6390</v>
      </c>
      <c r="C283" t="s">
        <v>586</v>
      </c>
      <c r="D283" t="s">
        <v>12</v>
      </c>
      <c r="E283" t="s">
        <v>587</v>
      </c>
      <c r="F283" t="s">
        <v>2067</v>
      </c>
      <c r="G283" t="str">
        <f>INDEX(Parametria!H:H,MATCH(Tabla_Consulta_desde_Reporte_de_Valorización_de_Instrumentos[[#This Row],[CODIGO_SBS]],Parametria!C:C,0),1)</f>
        <v>Nomura - US High Yield Bond Fund</v>
      </c>
      <c r="H283" t="s">
        <v>2066</v>
      </c>
      <c r="I283" t="s">
        <v>156</v>
      </c>
      <c r="J283" t="s">
        <v>5684</v>
      </c>
      <c r="K283" t="s">
        <v>50</v>
      </c>
      <c r="L283">
        <v>1</v>
      </c>
      <c r="M283" s="5">
        <v>1468.9445298999999</v>
      </c>
      <c r="N283">
        <v>437.06880000000001</v>
      </c>
      <c r="O283">
        <v>1</v>
      </c>
      <c r="P283" s="15"/>
      <c r="R283">
        <v>3.3609</v>
      </c>
      <c r="S283" t="s">
        <v>155</v>
      </c>
      <c r="T283">
        <v>1468.4944963999999</v>
      </c>
      <c r="U283" s="5">
        <v>436.714</v>
      </c>
      <c r="V283" t="s">
        <v>156</v>
      </c>
      <c r="W283">
        <v>0</v>
      </c>
      <c r="X283">
        <v>0</v>
      </c>
      <c r="Y283">
        <v>0</v>
      </c>
      <c r="Z283">
        <v>0.3548</v>
      </c>
      <c r="AA283" t="str">
        <f>+MID(Tabla_Consulta_desde_Reporte_de_Valorización_de_Instrumentos[[#This Row],[CODIGO_SBS]],7,1)</f>
        <v>2</v>
      </c>
      <c r="AB283">
        <f>INDEX('Cálculo Caja'!F:F,MATCH(Tabla_Consulta_desde_Reporte_de_Valorización_de_Instrumentos[[#This Row],[PORTAFOLIO]],'Cálculo Caja'!A:A,0),1)</f>
        <v>7679510866.0565634</v>
      </c>
      <c r="AC283" s="17">
        <f>Tabla_Consulta_desde_Reporte_de_Valorización_de_Instrumentos[[#This Row],[VALOR_VECTOR_LOCAL]]/Tabla_Consulta_desde_Reporte_de_Valorización_de_Instrumentos[[#This Row],[Patrimonio]]</f>
        <v>1.912810015534628E-7</v>
      </c>
      <c r="AD283" s="4">
        <f>(Tabla_Consulta_desde_Reporte_de_Valorización_de_Instrumentos[[#This Row],[VALOR_VECTOR_LOCAL]]/INDEX('Tipo de Cambio'!$D:$D,MATCH("2",'Tipo de Cambio'!$E:$E,0),1))/1000000</f>
        <v>4.3706879999404918E-4</v>
      </c>
      <c r="AE283">
        <f>IF(Tabla_Consulta_desde_Reporte_de_Valorización_de_Instrumentos[[#This Row],[PORTAFOLIO]]="IN-FONDO0",Tabla_Consulta_desde_Reporte_de_Valorización_de_Instrumentos[[#This Row],[Inv MM$]],0)</f>
        <v>0</v>
      </c>
      <c r="AF283" s="26">
        <f>IF(Tabla_Consulta_desde_Reporte_de_Valorización_de_Instrumentos[[#This Row],[PORTAFOLIO]]="IN-FONDO1",Tabla_Consulta_desde_Reporte_de_Valorización_de_Instrumentos[[#This Row],[Inv MM$]],0)</f>
        <v>4.3706879999404918E-4</v>
      </c>
      <c r="AG283" s="26">
        <f>IF(Tabla_Consulta_desde_Reporte_de_Valorización_de_Instrumentos[[#This Row],[PORTAFOLIO]]="IN-FONDO2",Tabla_Consulta_desde_Reporte_de_Valorización_de_Instrumentos[[#This Row],[Inv MM$]],0)</f>
        <v>0</v>
      </c>
      <c r="AH283" s="26">
        <f>IF(Tabla_Consulta_desde_Reporte_de_Valorización_de_Instrumentos[[#This Row],[PORTAFOLIO]]="IN-FONDO3",Tabla_Consulta_desde_Reporte_de_Valorización_de_Instrumentos[[#This Row],[Inv MM$]],0)</f>
        <v>0</v>
      </c>
      <c r="AI28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8.7413759998809836E-4</v>
      </c>
      <c r="AJ283" s="26">
        <f>IFERROR(IFERROR(INDEX('BD(MSCI)'!$T:$T,MATCH(Tabla_Consulta_desde_Reporte_de_Valorización_de_Instrumentos[[#This Row],[CODIGO_ISIN]],'BD(MSCI)'!$C:$C,0),1),INDEX('BD(MSCI)'!$T:$T,MATCH(Tabla_Consulta_desde_Reporte_de_Valorización_de_Instrumentos[[#This Row],[CODIGO_SBS]],'BD(MSCI)'!$C:$C,0),1)),0)</f>
        <v>147.15787048000001</v>
      </c>
      <c r="AK283" s="26">
        <f>Tabla_Consulta_desde_Reporte_de_Valorización_de_Instrumentos[[#This Row],[C02-H]]*Tabla_Consulta_desde_Reporte_de_Valorización_de_Instrumentos[[#This Row],[Inv MM$]]</f>
        <v>6.4318113860373324E-2</v>
      </c>
      <c r="AL283" s="26">
        <f>Tabla_Consulta_desde_Reporte_de_Valorización_de_Instrumentos[[#This Row],[C02-H]]*Tabla_Consulta_desde_Reporte_de_Valorización_de_Instrumentos[[#This Row],[Weight]]</f>
        <v>2.8148504851889161E-5</v>
      </c>
      <c r="AM283" s="26" t="str">
        <f>INDEX(Parametria!G:G,MATCH(Tabla_Consulta_desde_Reporte_de_Valorización_de_Instrumentos[[#This Row],[CODIGO_SBS]],Parametria!C:C,0))</f>
        <v>52RFIG</v>
      </c>
      <c r="AN283" s="26" t="str">
        <f>INDEX(Parametria!F:F,MATCH(Tabla_Consulta_desde_Reporte_de_Valorización_de_Instrumentos[[#This Row],[CODIGO_SBS]],Parametria!C:C,0))</f>
        <v>TD</v>
      </c>
      <c r="AO283" s="26" t="str">
        <f>+INDEX(Parametria!J:J,MATCH(Tabla_Consulta_desde_Reporte_de_Valorización_de_Instrumentos[[#This Row],[CODIGO_SBS]],Parametria!C:C,0))</f>
        <v>RFITD</v>
      </c>
      <c r="AP283" s="26">
        <f>Tabla_Consulta_desde_Reporte_de_Valorización_de_Instrumentos[[#This Row],[Huella]]/$AU$4</f>
        <v>5.9625962629721546E-6</v>
      </c>
      <c r="AQ283" s="26" t="str">
        <f>IFERROR(INDEX('BD(MSCI)'!W:W,MATCH(Tabla_Consulta_desde_Reporte_de_Valorización_de_Instrumentos[[#This Row],[CODIGO_ISIN]],'BD(MSCI)'!C:C,0)),IF(Tabla_Consulta_desde_Reporte_de_Valorización_de_Instrumentos[[#This Row],[Rank_rt]]="Cash","Cash","Cuestionario Integra"))</f>
        <v>ETF</v>
      </c>
      <c r="AR283" s="26" t="str">
        <f>IFERROR(INDEX('BD(MSCI)'!X:X,MATCH(Tabla_Consulta_desde_Reporte_de_Valorización_de_Instrumentos[[#This Row],[CODIGO_ISIN]],'BD(MSCI)'!C:C,0)),"Cuestionario Integra")</f>
        <v>Otros ETFs</v>
      </c>
      <c r="AU283" s="26"/>
    </row>
    <row r="284" spans="2:47" hidden="1" x14ac:dyDescent="0.25">
      <c r="B284" s="14" t="s">
        <v>6390</v>
      </c>
      <c r="C284" t="s">
        <v>586</v>
      </c>
      <c r="D284" t="s">
        <v>10</v>
      </c>
      <c r="E284" t="s">
        <v>587</v>
      </c>
      <c r="F284" t="s">
        <v>628</v>
      </c>
      <c r="G284" t="str">
        <f>INDEX(Parametria!H:H,MATCH(Tabla_Consulta_desde_Reporte_de_Valorización_de_Instrumentos[[#This Row],[CODIGO_SBS]],Parametria!C:C,0),1)</f>
        <v>Fidelity - European Dynamic Growth</v>
      </c>
      <c r="H284" t="s">
        <v>629</v>
      </c>
      <c r="I284" t="s">
        <v>156</v>
      </c>
      <c r="J284" t="s">
        <v>630</v>
      </c>
      <c r="K284" t="s">
        <v>57</v>
      </c>
      <c r="L284">
        <v>1</v>
      </c>
      <c r="M284" s="5">
        <v>107.9847632</v>
      </c>
      <c r="N284">
        <v>27.365400000000001</v>
      </c>
      <c r="O284">
        <v>1.38</v>
      </c>
      <c r="P284" s="15"/>
      <c r="R284">
        <v>3.9460326999999999</v>
      </c>
      <c r="S284" t="s">
        <v>428</v>
      </c>
      <c r="T284">
        <v>108.43172250000001</v>
      </c>
      <c r="U284" s="5">
        <v>27.4344</v>
      </c>
      <c r="V284" t="s">
        <v>156</v>
      </c>
      <c r="W284">
        <v>0</v>
      </c>
      <c r="X284">
        <v>0</v>
      </c>
      <c r="Y284">
        <v>0</v>
      </c>
      <c r="Z284">
        <v>-0.05</v>
      </c>
      <c r="AA284" t="str">
        <f>+MID(Tabla_Consulta_desde_Reporte_de_Valorización_de_Instrumentos[[#This Row],[CODIGO_SBS]],7,1)</f>
        <v>4</v>
      </c>
      <c r="AB284">
        <f>INDEX('Cálculo Caja'!F:F,MATCH(Tabla_Consulta_desde_Reporte_de_Valorización_de_Instrumentos[[#This Row],[PORTAFOLIO]],'Cálculo Caja'!A:A,0),1)</f>
        <v>26256910350.436607</v>
      </c>
      <c r="AC284" s="17">
        <f>Tabla_Consulta_desde_Reporte_de_Valorización_de_Instrumentos[[#This Row],[VALOR_VECTOR_LOCAL]]/Tabla_Consulta_desde_Reporte_de_Valorización_de_Instrumentos[[#This Row],[Patrimonio]]</f>
        <v>4.1126226109160021E-9</v>
      </c>
      <c r="AD284" s="4">
        <f>(Tabla_Consulta_desde_Reporte_de_Valorización_de_Instrumentos[[#This Row],[VALOR_VECTOR_LOCAL]]/INDEX('Tipo de Cambio'!$D:$D,MATCH("2",'Tipo de Cambio'!$E:$E,0),1))/1000000</f>
        <v>3.2129716206968376E-5</v>
      </c>
      <c r="AE284">
        <f>IF(Tabla_Consulta_desde_Reporte_de_Valorización_de_Instrumentos[[#This Row],[PORTAFOLIO]]="IN-FONDO0",Tabla_Consulta_desde_Reporte_de_Valorización_de_Instrumentos[[#This Row],[Inv MM$]],0)</f>
        <v>0</v>
      </c>
      <c r="AF284" s="26">
        <f>IF(Tabla_Consulta_desde_Reporte_de_Valorización_de_Instrumentos[[#This Row],[PORTAFOLIO]]="IN-FONDO1",Tabla_Consulta_desde_Reporte_de_Valorización_de_Instrumentos[[#This Row],[Inv MM$]],0)</f>
        <v>0</v>
      </c>
      <c r="AG284" s="26">
        <f>IF(Tabla_Consulta_desde_Reporte_de_Valorización_de_Instrumentos[[#This Row],[PORTAFOLIO]]="IN-FONDO2",Tabla_Consulta_desde_Reporte_de_Valorización_de_Instrumentos[[#This Row],[Inv MM$]],0)</f>
        <v>3.2129716206968376E-5</v>
      </c>
      <c r="AH284" s="26">
        <f>IF(Tabla_Consulta_desde_Reporte_de_Valorización_de_Instrumentos[[#This Row],[PORTAFOLIO]]="IN-FONDO3",Tabla_Consulta_desde_Reporte_de_Valorización_de_Instrumentos[[#This Row],[Inv MM$]],0)</f>
        <v>0</v>
      </c>
      <c r="AI28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5.7973183581778694E-5</v>
      </c>
      <c r="AJ284" s="26">
        <f>IFERROR(IFERROR(INDEX('BD(MSCI)'!$T:$T,MATCH(Tabla_Consulta_desde_Reporte_de_Valorización_de_Instrumentos[[#This Row],[CODIGO_ISIN]],'BD(MSCI)'!$C:$C,0),1),INDEX('BD(MSCI)'!$T:$T,MATCH(Tabla_Consulta_desde_Reporte_de_Valorización_de_Instrumentos[[#This Row],[CODIGO_SBS]],'BD(MSCI)'!$C:$C,0),1)),0)</f>
        <v>18.484933380000001</v>
      </c>
      <c r="AK284" s="26">
        <f>Tabla_Consulta_desde_Reporte_de_Valorización_de_Instrumentos[[#This Row],[C02-H]]*Tabla_Consulta_desde_Reporte_de_Valorización_de_Instrumentos[[#This Row],[Inv MM$]]</f>
        <v>5.9391566360411673E-4</v>
      </c>
      <c r="AL284" s="26">
        <f>Tabla_Consulta_desde_Reporte_de_Valorización_de_Instrumentos[[#This Row],[C02-H]]*Tabla_Consulta_desde_Reporte_de_Valorización_de_Instrumentos[[#This Row],[Weight]]</f>
        <v>7.6021554979863967E-8</v>
      </c>
      <c r="AM284" s="26" t="str">
        <f>INDEX(Parametria!G:G,MATCH(Tabla_Consulta_desde_Reporte_de_Valorización_de_Instrumentos[[#This Row],[CODIGO_SBS]],Parametria!C:C,0))</f>
        <v>52RVI</v>
      </c>
      <c r="AN284" s="26" t="str">
        <f>INDEX(Parametria!F:F,MATCH(Tabla_Consulta_desde_Reporte_de_Valorización_de_Instrumentos[[#This Row],[CODIGO_SBS]],Parametria!C:C,0))</f>
        <v>TD</v>
      </c>
      <c r="AO284" s="26" t="str">
        <f>+INDEX(Parametria!J:J,MATCH(Tabla_Consulta_desde_Reporte_de_Valorización_de_Instrumentos[[#This Row],[CODIGO_SBS]],Parametria!C:C,0))</f>
        <v>RVITD</v>
      </c>
      <c r="AP284" s="26">
        <f>Tabla_Consulta_desde_Reporte_de_Valorización_de_Instrumentos[[#This Row],[Huella]]/$AU$4</f>
        <v>5.5058817862946256E-8</v>
      </c>
      <c r="AQ284" s="26" t="str">
        <f>IFERROR(INDEX('BD(MSCI)'!W:W,MATCH(Tabla_Consulta_desde_Reporte_de_Valorización_de_Instrumentos[[#This Row],[CODIGO_ISIN]],'BD(MSCI)'!C:C,0)),IF(Tabla_Consulta_desde_Reporte_de_Valorización_de_Instrumentos[[#This Row],[Rank_rt]]="Cash","Cash","Cuestionario Integra"))</f>
        <v>ETF</v>
      </c>
      <c r="AR284" s="26" t="str">
        <f>IFERROR(INDEX('BD(MSCI)'!X:X,MATCH(Tabla_Consulta_desde_Reporte_de_Valorización_de_Instrumentos[[#This Row],[CODIGO_ISIN]],'BD(MSCI)'!C:C,0)),"Cuestionario Integra")</f>
        <v>Otros ETFs</v>
      </c>
      <c r="AU284" s="26"/>
    </row>
    <row r="285" spans="2:47" hidden="1" x14ac:dyDescent="0.25">
      <c r="B285" s="14" t="s">
        <v>6390</v>
      </c>
      <c r="C285" t="s">
        <v>586</v>
      </c>
      <c r="D285" t="s">
        <v>11</v>
      </c>
      <c r="E285" t="s">
        <v>587</v>
      </c>
      <c r="F285" t="s">
        <v>628</v>
      </c>
      <c r="G285" t="str">
        <f>INDEX(Parametria!H:H,MATCH(Tabla_Consulta_desde_Reporte_de_Valorización_de_Instrumentos[[#This Row],[CODIGO_SBS]],Parametria!C:C,0),1)</f>
        <v>Fidelity - European Dynamic Growth</v>
      </c>
      <c r="H285" t="s">
        <v>629</v>
      </c>
      <c r="I285" t="s">
        <v>156</v>
      </c>
      <c r="J285" t="s">
        <v>630</v>
      </c>
      <c r="K285" t="s">
        <v>57</v>
      </c>
      <c r="L285">
        <v>1</v>
      </c>
      <c r="M285" s="5">
        <v>86.8573095</v>
      </c>
      <c r="N285">
        <v>22.011299999999999</v>
      </c>
      <c r="O285">
        <v>1.1100000000000001</v>
      </c>
      <c r="P285" s="15"/>
      <c r="R285">
        <v>3.9460326999999999</v>
      </c>
      <c r="S285" t="s">
        <v>428</v>
      </c>
      <c r="T285">
        <v>87.216820299999995</v>
      </c>
      <c r="U285" s="5">
        <v>22.066800000000001</v>
      </c>
      <c r="V285" t="s">
        <v>156</v>
      </c>
      <c r="W285">
        <v>0</v>
      </c>
      <c r="X285">
        <v>0</v>
      </c>
      <c r="Y285">
        <v>0</v>
      </c>
      <c r="Z285">
        <v>-0.05</v>
      </c>
      <c r="AA285" t="str">
        <f>+MID(Tabla_Consulta_desde_Reporte_de_Valorización_de_Instrumentos[[#This Row],[CODIGO_SBS]],7,1)</f>
        <v>4</v>
      </c>
      <c r="AB285">
        <f>INDEX('Cálculo Caja'!F:F,MATCH(Tabla_Consulta_desde_Reporte_de_Valorización_de_Instrumentos[[#This Row],[PORTAFOLIO]],'Cálculo Caja'!A:A,0),1)</f>
        <v>3164069580.822104</v>
      </c>
      <c r="AC285" s="17">
        <f>Tabla_Consulta_desde_Reporte_de_Valorización_de_Instrumentos[[#This Row],[VALOR_VECTOR_LOCAL]]/Tabla_Consulta_desde_Reporte_de_Valorización_de_Instrumentos[[#This Row],[Patrimonio]]</f>
        <v>2.7451137619240442E-8</v>
      </c>
      <c r="AD285" s="4">
        <f>(Tabla_Consulta_desde_Reporte_de_Valorización_de_Instrumentos[[#This Row],[VALOR_VECTOR_LOCAL]]/INDEX('Tipo de Cambio'!$D:$D,MATCH("2",'Tipo de Cambio'!$E:$E,0),1))/1000000</f>
        <v>2.5843467374810321E-5</v>
      </c>
      <c r="AE285">
        <f>IF(Tabla_Consulta_desde_Reporte_de_Valorización_de_Instrumentos[[#This Row],[PORTAFOLIO]]="IN-FONDO0",Tabla_Consulta_desde_Reporte_de_Valorización_de_Instrumentos[[#This Row],[Inv MM$]],0)</f>
        <v>0</v>
      </c>
      <c r="AF285" s="26">
        <f>IF(Tabla_Consulta_desde_Reporte_de_Valorización_de_Instrumentos[[#This Row],[PORTAFOLIO]]="IN-FONDO1",Tabla_Consulta_desde_Reporte_de_Valorización_de_Instrumentos[[#This Row],[Inv MM$]],0)</f>
        <v>0</v>
      </c>
      <c r="AG285" s="26">
        <f>IF(Tabla_Consulta_desde_Reporte_de_Valorización_de_Instrumentos[[#This Row],[PORTAFOLIO]]="IN-FONDO2",Tabla_Consulta_desde_Reporte_de_Valorización_de_Instrumentos[[#This Row],[Inv MM$]],0)</f>
        <v>0</v>
      </c>
      <c r="AH285" s="26">
        <f>IF(Tabla_Consulta_desde_Reporte_de_Valorización_de_Instrumentos[[#This Row],[PORTAFOLIO]]="IN-FONDO3",Tabla_Consulta_desde_Reporte_de_Valorización_de_Instrumentos[[#This Row],[Inv MM$]],0)</f>
        <v>2.5843467374810321E-5</v>
      </c>
      <c r="AI28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5.7973183581778694E-5</v>
      </c>
      <c r="AJ285" s="26">
        <f>IFERROR(IFERROR(INDEX('BD(MSCI)'!$T:$T,MATCH(Tabla_Consulta_desde_Reporte_de_Valorización_de_Instrumentos[[#This Row],[CODIGO_ISIN]],'BD(MSCI)'!$C:$C,0),1),INDEX('BD(MSCI)'!$T:$T,MATCH(Tabla_Consulta_desde_Reporte_de_Valorización_de_Instrumentos[[#This Row],[CODIGO_SBS]],'BD(MSCI)'!$C:$C,0),1)),0)</f>
        <v>18.484933380000001</v>
      </c>
      <c r="AK285" s="26">
        <f>Tabla_Consulta_desde_Reporte_de_Valorización_de_Instrumentos[[#This Row],[C02-H]]*Tabla_Consulta_desde_Reporte_de_Valorización_de_Instrumentos[[#This Row],[Inv MM$]]</f>
        <v>4.7771477273157232E-4</v>
      </c>
      <c r="AL285" s="26">
        <f>Tabla_Consulta_desde_Reporte_de_Valorización_de_Instrumentos[[#This Row],[C02-H]]*Tabla_Consulta_desde_Reporte_de_Valorización_de_Instrumentos[[#This Row],[Weight]]</f>
        <v>5.0743245009687143E-7</v>
      </c>
      <c r="AM285" s="26" t="str">
        <f>INDEX(Parametria!G:G,MATCH(Tabla_Consulta_desde_Reporte_de_Valorización_de_Instrumentos[[#This Row],[CODIGO_SBS]],Parametria!C:C,0))</f>
        <v>52RVI</v>
      </c>
      <c r="AN285" s="26" t="str">
        <f>INDEX(Parametria!F:F,MATCH(Tabla_Consulta_desde_Reporte_de_Valorización_de_Instrumentos[[#This Row],[CODIGO_SBS]],Parametria!C:C,0))</f>
        <v>TD</v>
      </c>
      <c r="AO285" s="26" t="str">
        <f>+INDEX(Parametria!J:J,MATCH(Tabla_Consulta_desde_Reporte_de_Valorización_de_Instrumentos[[#This Row],[CODIGO_SBS]],Parametria!C:C,0))</f>
        <v>RVITD</v>
      </c>
      <c r="AP285" s="26">
        <f>Tabla_Consulta_desde_Reporte_de_Valorización_de_Instrumentos[[#This Row],[Huella]]/$AU$4</f>
        <v>4.428644043946055E-8</v>
      </c>
      <c r="AQ285" s="26" t="str">
        <f>IFERROR(INDEX('BD(MSCI)'!W:W,MATCH(Tabla_Consulta_desde_Reporte_de_Valorización_de_Instrumentos[[#This Row],[CODIGO_ISIN]],'BD(MSCI)'!C:C,0)),IF(Tabla_Consulta_desde_Reporte_de_Valorización_de_Instrumentos[[#This Row],[Rank_rt]]="Cash","Cash","Cuestionario Integra"))</f>
        <v>ETF</v>
      </c>
      <c r="AR285" s="26" t="str">
        <f>IFERROR(INDEX('BD(MSCI)'!X:X,MATCH(Tabla_Consulta_desde_Reporte_de_Valorización_de_Instrumentos[[#This Row],[CODIGO_ISIN]],'BD(MSCI)'!C:C,0)),"Cuestionario Integra")</f>
        <v>Otros ETFs</v>
      </c>
      <c r="AU285" s="26"/>
    </row>
    <row r="286" spans="2:47" hidden="1" x14ac:dyDescent="0.25">
      <c r="B286" s="14" t="s">
        <v>6390</v>
      </c>
      <c r="C286" t="s">
        <v>586</v>
      </c>
      <c r="D286" t="s">
        <v>11</v>
      </c>
      <c r="E286" t="s">
        <v>587</v>
      </c>
      <c r="F286" t="s">
        <v>631</v>
      </c>
      <c r="G286" t="str">
        <f>INDEX(Parametria!H:H,MATCH(Tabla_Consulta_desde_Reporte_de_Valorización_de_Instrumentos[[#This Row],[CODIGO_SBS]],Parametria!C:C,0),1)</f>
        <v>Robeco - Chinese Equities</v>
      </c>
      <c r="H286" t="s">
        <v>632</v>
      </c>
      <c r="I286" t="s">
        <v>156</v>
      </c>
      <c r="J286" t="s">
        <v>633</v>
      </c>
      <c r="K286" t="s">
        <v>50</v>
      </c>
      <c r="L286">
        <v>237.76</v>
      </c>
      <c r="M286" s="5">
        <v>663.94579499999998</v>
      </c>
      <c r="N286">
        <v>197.55</v>
      </c>
      <c r="O286">
        <v>1</v>
      </c>
      <c r="P286" s="15"/>
      <c r="R286">
        <v>3.3609</v>
      </c>
      <c r="S286" t="s">
        <v>428</v>
      </c>
      <c r="T286">
        <v>667.17346599999996</v>
      </c>
      <c r="U286" s="5">
        <v>198.41</v>
      </c>
      <c r="V286" t="s">
        <v>156</v>
      </c>
      <c r="W286">
        <v>0</v>
      </c>
      <c r="X286">
        <v>0</v>
      </c>
      <c r="Y286">
        <v>0</v>
      </c>
      <c r="Z286">
        <v>-0.86</v>
      </c>
      <c r="AA286" t="str">
        <f>+MID(Tabla_Consulta_desde_Reporte_de_Valorización_de_Instrumentos[[#This Row],[CODIGO_SBS]],7,1)</f>
        <v>2</v>
      </c>
      <c r="AB286">
        <f>INDEX('Cálculo Caja'!F:F,MATCH(Tabla_Consulta_desde_Reporte_de_Valorización_de_Instrumentos[[#This Row],[PORTAFOLIO]],'Cálculo Caja'!A:A,0),1)</f>
        <v>3164069580.822104</v>
      </c>
      <c r="AC286" s="17">
        <f>Tabla_Consulta_desde_Reporte_de_Valorización_de_Instrumentos[[#This Row],[VALOR_VECTOR_LOCAL]]/Tabla_Consulta_desde_Reporte_de_Valorización_de_Instrumentos[[#This Row],[Patrimonio]]</f>
        <v>2.0983918906975817E-7</v>
      </c>
      <c r="AD286" s="4">
        <f>(Tabla_Consulta_desde_Reporte_de_Valorización_de_Instrumentos[[#This Row],[VALOR_VECTOR_LOCAL]]/INDEX('Tipo de Cambio'!$D:$D,MATCH("2",'Tipo de Cambio'!$E:$E,0),1))/1000000</f>
        <v>1.9754999999999998E-4</v>
      </c>
      <c r="AE286">
        <f>IF(Tabla_Consulta_desde_Reporte_de_Valorización_de_Instrumentos[[#This Row],[PORTAFOLIO]]="IN-FONDO0",Tabla_Consulta_desde_Reporte_de_Valorización_de_Instrumentos[[#This Row],[Inv MM$]],0)</f>
        <v>0</v>
      </c>
      <c r="AF286" s="26">
        <f>IF(Tabla_Consulta_desde_Reporte_de_Valorización_de_Instrumentos[[#This Row],[PORTAFOLIO]]="IN-FONDO1",Tabla_Consulta_desde_Reporte_de_Valorización_de_Instrumentos[[#This Row],[Inv MM$]],0)</f>
        <v>0</v>
      </c>
      <c r="AG286" s="26">
        <f>IF(Tabla_Consulta_desde_Reporte_de_Valorización_de_Instrumentos[[#This Row],[PORTAFOLIO]]="IN-FONDO2",Tabla_Consulta_desde_Reporte_de_Valorización_de_Instrumentos[[#This Row],[Inv MM$]],0)</f>
        <v>0</v>
      </c>
      <c r="AH286" s="26">
        <f>IF(Tabla_Consulta_desde_Reporte_de_Valorización_de_Instrumentos[[#This Row],[PORTAFOLIO]]="IN-FONDO3",Tabla_Consulta_desde_Reporte_de_Valorización_de_Instrumentos[[#This Row],[Inv MM$]],0)</f>
        <v>1.9754999999999998E-4</v>
      </c>
      <c r="AI28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3.9509999999999995E-4</v>
      </c>
      <c r="AJ286" s="26">
        <f>IFERROR(IFERROR(INDEX('BD(MSCI)'!$T:$T,MATCH(Tabla_Consulta_desde_Reporte_de_Valorización_de_Instrumentos[[#This Row],[CODIGO_ISIN]],'BD(MSCI)'!$C:$C,0),1),INDEX('BD(MSCI)'!$T:$T,MATCH(Tabla_Consulta_desde_Reporte_de_Valorización_de_Instrumentos[[#This Row],[CODIGO_SBS]],'BD(MSCI)'!$C:$C,0),1)),0)</f>
        <v>71.988742619999996</v>
      </c>
      <c r="AK286" s="26">
        <f>Tabla_Consulta_desde_Reporte_de_Valorización_de_Instrumentos[[#This Row],[C02-H]]*Tabla_Consulta_desde_Reporte_de_Valorización_de_Instrumentos[[#This Row],[Inv MM$]]</f>
        <v>1.4221376104580997E-2</v>
      </c>
      <c r="AL286" s="26">
        <f>Tabla_Consulta_desde_Reporte_de_Valorización_de_Instrumentos[[#This Row],[C02-H]]*Tabla_Consulta_desde_Reporte_de_Valorización_de_Instrumentos[[#This Row],[Weight]]</f>
        <v>1.5106059373532336E-5</v>
      </c>
      <c r="AM286" s="26" t="str">
        <f>INDEX(Parametria!G:G,MATCH(Tabla_Consulta_desde_Reporte_de_Valorización_de_Instrumentos[[#This Row],[CODIGO_SBS]],Parametria!C:C,0))</f>
        <v>52RVI</v>
      </c>
      <c r="AN286" s="26" t="str">
        <f>INDEX(Parametria!F:F,MATCH(Tabla_Consulta_desde_Reporte_de_Valorización_de_Instrumentos[[#This Row],[CODIGO_SBS]],Parametria!C:C,0))</f>
        <v>TD</v>
      </c>
      <c r="AO286" s="26" t="str">
        <f>+INDEX(Parametria!J:J,MATCH(Tabla_Consulta_desde_Reporte_de_Valorización_de_Instrumentos[[#This Row],[CODIGO_SBS]],Parametria!C:C,0))</f>
        <v>RVITD</v>
      </c>
      <c r="AP286" s="26">
        <f>Tabla_Consulta_desde_Reporte_de_Valorización_de_Instrumentos[[#This Row],[Huella]]/$AU$4</f>
        <v>1.3183894695602936E-6</v>
      </c>
      <c r="AQ286" s="26" t="str">
        <f>IFERROR(INDEX('BD(MSCI)'!W:W,MATCH(Tabla_Consulta_desde_Reporte_de_Valorización_de_Instrumentos[[#This Row],[CODIGO_ISIN]],'BD(MSCI)'!C:C,0)),IF(Tabla_Consulta_desde_Reporte_de_Valorización_de_Instrumentos[[#This Row],[Rank_rt]]="Cash","Cash","Cuestionario Integra"))</f>
        <v>ETF</v>
      </c>
      <c r="AR286" s="26" t="str">
        <f>IFERROR(INDEX('BD(MSCI)'!X:X,MATCH(Tabla_Consulta_desde_Reporte_de_Valorización_de_Instrumentos[[#This Row],[CODIGO_ISIN]],'BD(MSCI)'!C:C,0)),"Cuestionario Integra")</f>
        <v>Otros ETFs</v>
      </c>
      <c r="AU286" s="26"/>
    </row>
    <row r="287" spans="2:47" hidden="1" x14ac:dyDescent="0.25">
      <c r="B287" s="14" t="s">
        <v>6390</v>
      </c>
      <c r="C287" t="s">
        <v>586</v>
      </c>
      <c r="D287" t="s">
        <v>10</v>
      </c>
      <c r="E287" t="s">
        <v>587</v>
      </c>
      <c r="F287" t="s">
        <v>631</v>
      </c>
      <c r="G287" t="str">
        <f>INDEX(Parametria!H:H,MATCH(Tabla_Consulta_desde_Reporte_de_Valorización_de_Instrumentos[[#This Row],[CODIGO_SBS]],Parametria!C:C,0),1)</f>
        <v>Robeco - Chinese Equities</v>
      </c>
      <c r="H287" t="s">
        <v>632</v>
      </c>
      <c r="I287" t="s">
        <v>156</v>
      </c>
      <c r="J287" t="s">
        <v>633</v>
      </c>
      <c r="K287" t="s">
        <v>50</v>
      </c>
      <c r="L287">
        <v>237.76</v>
      </c>
      <c r="M287" s="5">
        <v>663.94579499999998</v>
      </c>
      <c r="N287">
        <v>197.55</v>
      </c>
      <c r="O287">
        <v>1</v>
      </c>
      <c r="P287" s="15"/>
      <c r="R287">
        <v>3.3609</v>
      </c>
      <c r="S287" t="s">
        <v>428</v>
      </c>
      <c r="T287">
        <v>667.17346599999996</v>
      </c>
      <c r="U287" s="5">
        <v>198.41</v>
      </c>
      <c r="V287" t="s">
        <v>156</v>
      </c>
      <c r="W287">
        <v>0</v>
      </c>
      <c r="X287">
        <v>0</v>
      </c>
      <c r="Y287">
        <v>0</v>
      </c>
      <c r="Z287">
        <v>-0.86</v>
      </c>
      <c r="AA287" t="str">
        <f>+MID(Tabla_Consulta_desde_Reporte_de_Valorización_de_Instrumentos[[#This Row],[CODIGO_SBS]],7,1)</f>
        <v>2</v>
      </c>
      <c r="AB287">
        <f>INDEX('Cálculo Caja'!F:F,MATCH(Tabla_Consulta_desde_Reporte_de_Valorización_de_Instrumentos[[#This Row],[PORTAFOLIO]],'Cálculo Caja'!A:A,0),1)</f>
        <v>26256910350.436607</v>
      </c>
      <c r="AC287" s="17">
        <f>Tabla_Consulta_desde_Reporte_de_Valorización_de_Instrumentos[[#This Row],[VALOR_VECTOR_LOCAL]]/Tabla_Consulta_desde_Reporte_de_Valorización_de_Instrumentos[[#This Row],[Patrimonio]]</f>
        <v>2.528651643086254E-8</v>
      </c>
      <c r="AD287" s="4">
        <f>(Tabla_Consulta_desde_Reporte_de_Valorización_de_Instrumentos[[#This Row],[VALOR_VECTOR_LOCAL]]/INDEX('Tipo de Cambio'!$D:$D,MATCH("2",'Tipo de Cambio'!$E:$E,0),1))/1000000</f>
        <v>1.9754999999999998E-4</v>
      </c>
      <c r="AE287">
        <f>IF(Tabla_Consulta_desde_Reporte_de_Valorización_de_Instrumentos[[#This Row],[PORTAFOLIO]]="IN-FONDO0",Tabla_Consulta_desde_Reporte_de_Valorización_de_Instrumentos[[#This Row],[Inv MM$]],0)</f>
        <v>0</v>
      </c>
      <c r="AF287" s="26">
        <f>IF(Tabla_Consulta_desde_Reporte_de_Valorización_de_Instrumentos[[#This Row],[PORTAFOLIO]]="IN-FONDO1",Tabla_Consulta_desde_Reporte_de_Valorización_de_Instrumentos[[#This Row],[Inv MM$]],0)</f>
        <v>0</v>
      </c>
      <c r="AG287" s="26">
        <f>IF(Tabla_Consulta_desde_Reporte_de_Valorización_de_Instrumentos[[#This Row],[PORTAFOLIO]]="IN-FONDO2",Tabla_Consulta_desde_Reporte_de_Valorización_de_Instrumentos[[#This Row],[Inv MM$]],0)</f>
        <v>1.9754999999999998E-4</v>
      </c>
      <c r="AH287" s="26">
        <f>IF(Tabla_Consulta_desde_Reporte_de_Valorización_de_Instrumentos[[#This Row],[PORTAFOLIO]]="IN-FONDO3",Tabla_Consulta_desde_Reporte_de_Valorización_de_Instrumentos[[#This Row],[Inv MM$]],0)</f>
        <v>0</v>
      </c>
      <c r="AI28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3.9509999999999995E-4</v>
      </c>
      <c r="AJ287" s="26">
        <f>IFERROR(IFERROR(INDEX('BD(MSCI)'!$T:$T,MATCH(Tabla_Consulta_desde_Reporte_de_Valorización_de_Instrumentos[[#This Row],[CODIGO_ISIN]],'BD(MSCI)'!$C:$C,0),1),INDEX('BD(MSCI)'!$T:$T,MATCH(Tabla_Consulta_desde_Reporte_de_Valorización_de_Instrumentos[[#This Row],[CODIGO_SBS]],'BD(MSCI)'!$C:$C,0),1)),0)</f>
        <v>71.988742619999996</v>
      </c>
      <c r="AK287" s="26">
        <f>Tabla_Consulta_desde_Reporte_de_Valorización_de_Instrumentos[[#This Row],[C02-H]]*Tabla_Consulta_desde_Reporte_de_Valorización_de_Instrumentos[[#This Row],[Inv MM$]]</f>
        <v>1.4221376104580997E-2</v>
      </c>
      <c r="AL287" s="26">
        <f>Tabla_Consulta_desde_Reporte_de_Valorización_de_Instrumentos[[#This Row],[C02-H]]*Tabla_Consulta_desde_Reporte_de_Valorización_de_Instrumentos[[#This Row],[Weight]]</f>
        <v>1.8203445230977643E-6</v>
      </c>
      <c r="AM287" s="26" t="str">
        <f>INDEX(Parametria!G:G,MATCH(Tabla_Consulta_desde_Reporte_de_Valorización_de_Instrumentos[[#This Row],[CODIGO_SBS]],Parametria!C:C,0))</f>
        <v>52RVI</v>
      </c>
      <c r="AN287" s="26" t="str">
        <f>INDEX(Parametria!F:F,MATCH(Tabla_Consulta_desde_Reporte_de_Valorización_de_Instrumentos[[#This Row],[CODIGO_SBS]],Parametria!C:C,0))</f>
        <v>TD</v>
      </c>
      <c r="AO287" s="26" t="str">
        <f>+INDEX(Parametria!J:J,MATCH(Tabla_Consulta_desde_Reporte_de_Valorización_de_Instrumentos[[#This Row],[CODIGO_SBS]],Parametria!C:C,0))</f>
        <v>RVITD</v>
      </c>
      <c r="AP287" s="26">
        <f>Tabla_Consulta_desde_Reporte_de_Valorización_de_Instrumentos[[#This Row],[Huella]]/$AU$4</f>
        <v>1.3183894695602936E-6</v>
      </c>
      <c r="AQ287" s="26" t="str">
        <f>IFERROR(INDEX('BD(MSCI)'!W:W,MATCH(Tabla_Consulta_desde_Reporte_de_Valorización_de_Instrumentos[[#This Row],[CODIGO_ISIN]],'BD(MSCI)'!C:C,0)),IF(Tabla_Consulta_desde_Reporte_de_Valorización_de_Instrumentos[[#This Row],[Rank_rt]]="Cash","Cash","Cuestionario Integra"))</f>
        <v>ETF</v>
      </c>
      <c r="AR287" s="26" t="str">
        <f>IFERROR(INDEX('BD(MSCI)'!X:X,MATCH(Tabla_Consulta_desde_Reporte_de_Valorización_de_Instrumentos[[#This Row],[CODIGO_ISIN]],'BD(MSCI)'!C:C,0)),"Cuestionario Integra")</f>
        <v>Otros ETFs</v>
      </c>
      <c r="AU287" s="26"/>
    </row>
    <row r="288" spans="2:47" hidden="1" x14ac:dyDescent="0.25">
      <c r="B288" s="14" t="s">
        <v>6390</v>
      </c>
      <c r="C288" t="s">
        <v>586</v>
      </c>
      <c r="D288" t="s">
        <v>12</v>
      </c>
      <c r="E288" t="s">
        <v>587</v>
      </c>
      <c r="F288" t="s">
        <v>634</v>
      </c>
      <c r="G288" t="str">
        <f>INDEX(Parametria!H:H,MATCH(Tabla_Consulta_desde_Reporte_de_Valorización_de_Instrumentos[[#This Row],[CODIGO_SBS]],Parametria!C:C,0),1)</f>
        <v>Robeco Luxembourg S.A.</v>
      </c>
      <c r="H288" t="s">
        <v>635</v>
      </c>
      <c r="I288" t="s">
        <v>156</v>
      </c>
      <c r="J288" t="s">
        <v>633</v>
      </c>
      <c r="K288" t="s">
        <v>50</v>
      </c>
      <c r="L288">
        <v>1</v>
      </c>
      <c r="M288" s="5">
        <v>1329.135123</v>
      </c>
      <c r="N288">
        <v>395.47</v>
      </c>
      <c r="O288">
        <v>1</v>
      </c>
      <c r="P288" s="15"/>
      <c r="R288">
        <v>3.3609</v>
      </c>
      <c r="S288" t="s">
        <v>155</v>
      </c>
      <c r="T288">
        <v>1328.7313899999999</v>
      </c>
      <c r="U288" s="5">
        <v>395.15</v>
      </c>
      <c r="V288" t="s">
        <v>156</v>
      </c>
      <c r="W288">
        <v>0</v>
      </c>
      <c r="X288">
        <v>0</v>
      </c>
      <c r="Y288">
        <v>0</v>
      </c>
      <c r="Z288">
        <v>0.32</v>
      </c>
      <c r="AA288" t="str">
        <f>+MID(Tabla_Consulta_desde_Reporte_de_Valorización_de_Instrumentos[[#This Row],[CODIGO_SBS]],7,1)</f>
        <v>2</v>
      </c>
      <c r="AB288">
        <f>INDEX('Cálculo Caja'!F:F,MATCH(Tabla_Consulta_desde_Reporte_de_Valorización_de_Instrumentos[[#This Row],[PORTAFOLIO]],'Cálculo Caja'!A:A,0),1)</f>
        <v>7679510866.0565634</v>
      </c>
      <c r="AC288" s="17">
        <f>Tabla_Consulta_desde_Reporte_de_Valorización_de_Instrumentos[[#This Row],[VALOR_VECTOR_LOCAL]]/Tabla_Consulta_desde_Reporte_de_Valorización_de_Instrumentos[[#This Row],[Patrimonio]]</f>
        <v>1.7307549220026201E-7</v>
      </c>
      <c r="AD288" s="4">
        <f>(Tabla_Consulta_desde_Reporte_de_Valorización_de_Instrumentos[[#This Row],[VALOR_VECTOR_LOCAL]]/INDEX('Tipo de Cambio'!$D:$D,MATCH("2",'Tipo de Cambio'!$E:$E,0),1))/1000000</f>
        <v>3.9547000000000003E-4</v>
      </c>
      <c r="AE288">
        <f>IF(Tabla_Consulta_desde_Reporte_de_Valorización_de_Instrumentos[[#This Row],[PORTAFOLIO]]="IN-FONDO0",Tabla_Consulta_desde_Reporte_de_Valorización_de_Instrumentos[[#This Row],[Inv MM$]],0)</f>
        <v>0</v>
      </c>
      <c r="AF288" s="26">
        <f>IF(Tabla_Consulta_desde_Reporte_de_Valorización_de_Instrumentos[[#This Row],[PORTAFOLIO]]="IN-FONDO1",Tabla_Consulta_desde_Reporte_de_Valorización_de_Instrumentos[[#This Row],[Inv MM$]],0)</f>
        <v>3.9547000000000003E-4</v>
      </c>
      <c r="AG288" s="26">
        <f>IF(Tabla_Consulta_desde_Reporte_de_Valorización_de_Instrumentos[[#This Row],[PORTAFOLIO]]="IN-FONDO2",Tabla_Consulta_desde_Reporte_de_Valorización_de_Instrumentos[[#This Row],[Inv MM$]],0)</f>
        <v>0</v>
      </c>
      <c r="AH288" s="26">
        <f>IF(Tabla_Consulta_desde_Reporte_de_Valorización_de_Instrumentos[[#This Row],[PORTAFOLIO]]="IN-FONDO3",Tabla_Consulta_desde_Reporte_de_Valorización_de_Instrumentos[[#This Row],[Inv MM$]],0)</f>
        <v>0</v>
      </c>
      <c r="AI28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3.9547000000000003E-4</v>
      </c>
      <c r="AJ288" s="26">
        <f>IFERROR(IFERROR(INDEX('BD(MSCI)'!$T:$T,MATCH(Tabla_Consulta_desde_Reporte_de_Valorización_de_Instrumentos[[#This Row],[CODIGO_ISIN]],'BD(MSCI)'!$C:$C,0),1),INDEX('BD(MSCI)'!$T:$T,MATCH(Tabla_Consulta_desde_Reporte_de_Valorización_de_Instrumentos[[#This Row],[CODIGO_SBS]],'BD(MSCI)'!$C:$C,0),1)),0)</f>
        <v>111.30548919</v>
      </c>
      <c r="AK288" s="26">
        <f>Tabla_Consulta_desde_Reporte_de_Valorización_de_Instrumentos[[#This Row],[C02-H]]*Tabla_Consulta_desde_Reporte_de_Valorización_de_Instrumentos[[#This Row],[Inv MM$]]</f>
        <v>4.4017981809969305E-2</v>
      </c>
      <c r="AL288" s="26">
        <f>Tabla_Consulta_desde_Reporte_de_Valorización_de_Instrumentos[[#This Row],[C02-H]]*Tabla_Consulta_desde_Reporte_de_Valorización_de_Instrumentos[[#This Row],[Weight]]</f>
        <v>1.9264252326150192E-5</v>
      </c>
      <c r="AM288" s="26" t="str">
        <f>INDEX(Parametria!G:G,MATCH(Tabla_Consulta_desde_Reporte_de_Valorización_de_Instrumentos[[#This Row],[CODIGO_SBS]],Parametria!C:C,0))</f>
        <v>52RFIG</v>
      </c>
      <c r="AN288" s="26" t="str">
        <f>INDEX(Parametria!F:F,MATCH(Tabla_Consulta_desde_Reporte_de_Valorización_de_Instrumentos[[#This Row],[CODIGO_SBS]],Parametria!C:C,0))</f>
        <v>TD</v>
      </c>
      <c r="AO288" s="26" t="str">
        <f>+INDEX(Parametria!J:J,MATCH(Tabla_Consulta_desde_Reporte_de_Valorización_de_Instrumentos[[#This Row],[CODIGO_SBS]],Parametria!C:C,0))</f>
        <v>RFITD</v>
      </c>
      <c r="AP288" s="26">
        <f>Tabla_Consulta_desde_Reporte_de_Valorización_de_Instrumentos[[#This Row],[Huella]]/$AU$4</f>
        <v>4.0806770922025273E-6</v>
      </c>
      <c r="AQ288" s="26" t="str">
        <f>IFERROR(INDEX('BD(MSCI)'!W:W,MATCH(Tabla_Consulta_desde_Reporte_de_Valorización_de_Instrumentos[[#This Row],[CODIGO_ISIN]],'BD(MSCI)'!C:C,0)),IF(Tabla_Consulta_desde_Reporte_de_Valorización_de_Instrumentos[[#This Row],[Rank_rt]]="Cash","Cash","Cuestionario Integra"))</f>
        <v>ETF</v>
      </c>
      <c r="AR288" s="26" t="str">
        <f>IFERROR(INDEX('BD(MSCI)'!X:X,MATCH(Tabla_Consulta_desde_Reporte_de_Valorización_de_Instrumentos[[#This Row],[CODIGO_ISIN]],'BD(MSCI)'!C:C,0)),"Cuestionario Integra")</f>
        <v>Otros ETFs</v>
      </c>
      <c r="AU288" s="26"/>
    </row>
    <row r="289" spans="2:47" hidden="1" x14ac:dyDescent="0.25">
      <c r="B289" s="14" t="s">
        <v>6390</v>
      </c>
      <c r="C289" t="s">
        <v>586</v>
      </c>
      <c r="D289" t="s">
        <v>12</v>
      </c>
      <c r="E289" t="s">
        <v>587</v>
      </c>
      <c r="F289" t="s">
        <v>1455</v>
      </c>
      <c r="G289" t="str">
        <f>INDEX(Parametria!H:H,MATCH(Tabla_Consulta_desde_Reporte_de_Valorización_de_Instrumentos[[#This Row],[CODIGO_SBS]],Parametria!C:C,0),1)</f>
        <v>SSGA - Bloomberg Barclays Convertible Securities</v>
      </c>
      <c r="H289" t="s">
        <v>1454</v>
      </c>
      <c r="I289" t="s">
        <v>156</v>
      </c>
      <c r="J289" t="s">
        <v>5967</v>
      </c>
      <c r="K289" t="s">
        <v>50</v>
      </c>
      <c r="L289">
        <v>1</v>
      </c>
      <c r="M289" s="5">
        <v>95663716.547999993</v>
      </c>
      <c r="N289">
        <v>28463720</v>
      </c>
      <c r="O289">
        <v>319100</v>
      </c>
      <c r="P289" s="15"/>
      <c r="R289">
        <v>3.3609</v>
      </c>
      <c r="S289" t="s">
        <v>155</v>
      </c>
      <c r="T289">
        <v>153786251.3328</v>
      </c>
      <c r="U289" s="5">
        <v>45734328</v>
      </c>
      <c r="V289" t="s">
        <v>156</v>
      </c>
      <c r="W289">
        <v>0</v>
      </c>
      <c r="X289">
        <v>0</v>
      </c>
      <c r="Y289">
        <v>0</v>
      </c>
      <c r="Z289">
        <v>-0.44</v>
      </c>
      <c r="AA289" t="str">
        <f>+MID(Tabla_Consulta_desde_Reporte_de_Valorización_de_Instrumentos[[#This Row],[CODIGO_SBS]],7,1)</f>
        <v>2</v>
      </c>
      <c r="AB289">
        <f>INDEX('Cálculo Caja'!F:F,MATCH(Tabla_Consulta_desde_Reporte_de_Valorización_de_Instrumentos[[#This Row],[PORTAFOLIO]],'Cálculo Caja'!A:A,0),1)</f>
        <v>7679510866.0565634</v>
      </c>
      <c r="AC289" s="17">
        <f>Tabla_Consulta_desde_Reporte_de_Valorización_de_Instrumentos[[#This Row],[VALOR_VECTOR_LOCAL]]/Tabla_Consulta_desde_Reporte_de_Valorización_de_Instrumentos[[#This Row],[Patrimonio]]</f>
        <v>1.2457006470403421E-2</v>
      </c>
      <c r="AD289" s="4">
        <f>(Tabla_Consulta_desde_Reporte_de_Valorización_de_Instrumentos[[#This Row],[VALOR_VECTOR_LOCAL]]/INDEX('Tipo de Cambio'!$D:$D,MATCH("2",'Tipo de Cambio'!$E:$E,0),1))/1000000</f>
        <v>28.463719999999995</v>
      </c>
      <c r="AE289">
        <f>IF(Tabla_Consulta_desde_Reporte_de_Valorización_de_Instrumentos[[#This Row],[PORTAFOLIO]]="IN-FONDO0",Tabla_Consulta_desde_Reporte_de_Valorización_de_Instrumentos[[#This Row],[Inv MM$]],0)</f>
        <v>0</v>
      </c>
      <c r="AF289" s="26">
        <f>IF(Tabla_Consulta_desde_Reporte_de_Valorización_de_Instrumentos[[#This Row],[PORTAFOLIO]]="IN-FONDO1",Tabla_Consulta_desde_Reporte_de_Valorización_de_Instrumentos[[#This Row],[Inv MM$]],0)</f>
        <v>28.463719999999995</v>
      </c>
      <c r="AG289" s="26">
        <f>IF(Tabla_Consulta_desde_Reporte_de_Valorización_de_Instrumentos[[#This Row],[PORTAFOLIO]]="IN-FONDO2",Tabla_Consulta_desde_Reporte_de_Valorización_de_Instrumentos[[#This Row],[Inv MM$]],0)</f>
        <v>0</v>
      </c>
      <c r="AH289" s="26">
        <f>IF(Tabla_Consulta_desde_Reporte_de_Valorización_de_Instrumentos[[#This Row],[PORTAFOLIO]]="IN-FONDO3",Tabla_Consulta_desde_Reporte_de_Valorización_de_Instrumentos[[#This Row],[Inv MM$]],0)</f>
        <v>0</v>
      </c>
      <c r="AI28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36.946639999999995</v>
      </c>
      <c r="AJ289" s="26">
        <f>IFERROR(IFERROR(INDEX('BD(MSCI)'!$T:$T,MATCH(Tabla_Consulta_desde_Reporte_de_Valorización_de_Instrumentos[[#This Row],[CODIGO_ISIN]],'BD(MSCI)'!$C:$C,0),1),INDEX('BD(MSCI)'!$T:$T,MATCH(Tabla_Consulta_desde_Reporte_de_Valorización_de_Instrumentos[[#This Row],[CODIGO_SBS]],'BD(MSCI)'!$C:$C,0),1)),0)</f>
        <v>49.107639769999999</v>
      </c>
      <c r="AK289" s="26">
        <f>Tabla_Consulta_desde_Reporte_de_Valorización_de_Instrumentos[[#This Row],[C02-H]]*Tabla_Consulta_desde_Reporte_de_Valorización_de_Instrumentos[[#This Row],[Inv MM$]]</f>
        <v>1397.7861082741442</v>
      </c>
      <c r="AL289" s="26">
        <f>Tabla_Consulta_desde_Reporte_de_Valorización_de_Instrumentos[[#This Row],[C02-H]]*Tabla_Consulta_desde_Reporte_de_Valorización_de_Instrumentos[[#This Row],[Weight]]</f>
        <v>0.61173418636113031</v>
      </c>
      <c r="AM289" s="26" t="str">
        <f>INDEX(Parametria!G:G,MATCH(Tabla_Consulta_desde_Reporte_de_Valorización_de_Instrumentos[[#This Row],[CODIGO_SBS]],Parametria!C:C,0))</f>
        <v>52RFIG</v>
      </c>
      <c r="AN289" s="26" t="str">
        <f>INDEX(Parametria!F:F,MATCH(Tabla_Consulta_desde_Reporte_de_Valorización_de_Instrumentos[[#This Row],[CODIGO_SBS]],Parametria!C:C,0))</f>
        <v>TD</v>
      </c>
      <c r="AO289" s="26" t="str">
        <f>+INDEX(Parametria!J:J,MATCH(Tabla_Consulta_desde_Reporte_de_Valorización_de_Instrumentos[[#This Row],[CODIGO_SBS]],Parametria!C:C,0))</f>
        <v>RFITD</v>
      </c>
      <c r="AP289" s="26">
        <f>Tabla_Consulta_desde_Reporte_de_Valorización_de_Instrumentos[[#This Row],[Huella]]/$AU$4</f>
        <v>0.12958144642927233</v>
      </c>
      <c r="AQ289" s="26" t="str">
        <f>IFERROR(INDEX('BD(MSCI)'!W:W,MATCH(Tabla_Consulta_desde_Reporte_de_Valorización_de_Instrumentos[[#This Row],[CODIGO_ISIN]],'BD(MSCI)'!C:C,0)),IF(Tabla_Consulta_desde_Reporte_de_Valorización_de_Instrumentos[[#This Row],[Rank_rt]]="Cash","Cash","Cuestionario Integra"))</f>
        <v>ETF</v>
      </c>
      <c r="AR289" s="26" t="str">
        <f>IFERROR(INDEX('BD(MSCI)'!X:X,MATCH(Tabla_Consulta_desde_Reporte_de_Valorización_de_Instrumentos[[#This Row],[CODIGO_ISIN]],'BD(MSCI)'!C:C,0)),"Cuestionario Integra")</f>
        <v>Otros ETFs</v>
      </c>
      <c r="AU289" s="26"/>
    </row>
    <row r="290" spans="2:47" hidden="1" x14ac:dyDescent="0.25">
      <c r="B290" s="14" t="s">
        <v>6390</v>
      </c>
      <c r="C290" t="s">
        <v>586</v>
      </c>
      <c r="D290" t="s">
        <v>11</v>
      </c>
      <c r="E290" t="s">
        <v>587</v>
      </c>
      <c r="F290" t="s">
        <v>1455</v>
      </c>
      <c r="G290" t="str">
        <f>INDEX(Parametria!H:H,MATCH(Tabla_Consulta_desde_Reporte_de_Valorización_de_Instrumentos[[#This Row],[CODIGO_SBS]],Parametria!C:C,0),1)</f>
        <v>SSGA - Bloomberg Barclays Convertible Securities</v>
      </c>
      <c r="H290" t="s">
        <v>1454</v>
      </c>
      <c r="I290" t="s">
        <v>156</v>
      </c>
      <c r="J290" t="s">
        <v>5967</v>
      </c>
      <c r="K290" t="s">
        <v>50</v>
      </c>
      <c r="L290">
        <v>1</v>
      </c>
      <c r="M290" s="5">
        <v>28510245.828000002</v>
      </c>
      <c r="N290">
        <v>8482920</v>
      </c>
      <c r="O290">
        <v>95100</v>
      </c>
      <c r="P290" s="15"/>
      <c r="R290">
        <v>3.3609</v>
      </c>
      <c r="S290" t="s">
        <v>155</v>
      </c>
      <c r="T290">
        <v>28665371.426399998</v>
      </c>
      <c r="U290" s="5">
        <v>8524764</v>
      </c>
      <c r="V290" t="s">
        <v>156</v>
      </c>
      <c r="W290">
        <v>0</v>
      </c>
      <c r="X290">
        <v>0</v>
      </c>
      <c r="Y290">
        <v>0</v>
      </c>
      <c r="Z290">
        <v>-0.44</v>
      </c>
      <c r="AA290" t="str">
        <f>+MID(Tabla_Consulta_desde_Reporte_de_Valorización_de_Instrumentos[[#This Row],[CODIGO_SBS]],7,1)</f>
        <v>2</v>
      </c>
      <c r="AB290">
        <f>INDEX('Cálculo Caja'!F:F,MATCH(Tabla_Consulta_desde_Reporte_de_Valorización_de_Instrumentos[[#This Row],[PORTAFOLIO]],'Cálculo Caja'!A:A,0),1)</f>
        <v>3164069580.822104</v>
      </c>
      <c r="AC290" s="17">
        <f>Tabla_Consulta_desde_Reporte_de_Valorización_de_Instrumentos[[#This Row],[VALOR_VECTOR_LOCAL]]/Tabla_Consulta_desde_Reporte_de_Valorización_de_Instrumentos[[#This Row],[Patrimonio]]</f>
        <v>9.0106254302385891E-3</v>
      </c>
      <c r="AD290" s="4">
        <f>(Tabla_Consulta_desde_Reporte_de_Valorización_de_Instrumentos[[#This Row],[VALOR_VECTOR_LOCAL]]/INDEX('Tipo de Cambio'!$D:$D,MATCH("2",'Tipo de Cambio'!$E:$E,0),1))/1000000</f>
        <v>8.48292</v>
      </c>
      <c r="AE290">
        <f>IF(Tabla_Consulta_desde_Reporte_de_Valorización_de_Instrumentos[[#This Row],[PORTAFOLIO]]="IN-FONDO0",Tabla_Consulta_desde_Reporte_de_Valorización_de_Instrumentos[[#This Row],[Inv MM$]],0)</f>
        <v>0</v>
      </c>
      <c r="AF290" s="26">
        <f>IF(Tabla_Consulta_desde_Reporte_de_Valorización_de_Instrumentos[[#This Row],[PORTAFOLIO]]="IN-FONDO1",Tabla_Consulta_desde_Reporte_de_Valorización_de_Instrumentos[[#This Row],[Inv MM$]],0)</f>
        <v>0</v>
      </c>
      <c r="AG290" s="26">
        <f>IF(Tabla_Consulta_desde_Reporte_de_Valorización_de_Instrumentos[[#This Row],[PORTAFOLIO]]="IN-FONDO2",Tabla_Consulta_desde_Reporte_de_Valorización_de_Instrumentos[[#This Row],[Inv MM$]],0)</f>
        <v>0</v>
      </c>
      <c r="AH290" s="26">
        <f>IF(Tabla_Consulta_desde_Reporte_de_Valorización_de_Instrumentos[[#This Row],[PORTAFOLIO]]="IN-FONDO3",Tabla_Consulta_desde_Reporte_de_Valorización_de_Instrumentos[[#This Row],[Inv MM$]],0)</f>
        <v>8.48292</v>
      </c>
      <c r="AI29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36.946639999999995</v>
      </c>
      <c r="AJ290" s="26">
        <f>IFERROR(IFERROR(INDEX('BD(MSCI)'!$T:$T,MATCH(Tabla_Consulta_desde_Reporte_de_Valorización_de_Instrumentos[[#This Row],[CODIGO_ISIN]],'BD(MSCI)'!$C:$C,0),1),INDEX('BD(MSCI)'!$T:$T,MATCH(Tabla_Consulta_desde_Reporte_de_Valorización_de_Instrumentos[[#This Row],[CODIGO_SBS]],'BD(MSCI)'!$C:$C,0),1)),0)</f>
        <v>49.107639769999999</v>
      </c>
      <c r="AK290" s="26">
        <f>Tabla_Consulta_desde_Reporte_de_Valorización_de_Instrumentos[[#This Row],[C02-H]]*Tabla_Consulta_desde_Reporte_de_Valorización_de_Instrumentos[[#This Row],[Inv MM$]]</f>
        <v>416.57617955772838</v>
      </c>
      <c r="AL290" s="26">
        <f>Tabla_Consulta_desde_Reporte_de_Valorización_de_Instrumentos[[#This Row],[C02-H]]*Tabla_Consulta_desde_Reporte_de_Valorización_de_Instrumentos[[#This Row],[Weight]]</f>
        <v>0.4424905477305579</v>
      </c>
      <c r="AM290" s="26" t="str">
        <f>INDEX(Parametria!G:G,MATCH(Tabla_Consulta_desde_Reporte_de_Valorización_de_Instrumentos[[#This Row],[CODIGO_SBS]],Parametria!C:C,0))</f>
        <v>52RFIG</v>
      </c>
      <c r="AN290" s="26" t="str">
        <f>INDEX(Parametria!F:F,MATCH(Tabla_Consulta_desde_Reporte_de_Valorización_de_Instrumentos[[#This Row],[CODIGO_SBS]],Parametria!C:C,0))</f>
        <v>TD</v>
      </c>
      <c r="AO290" s="26" t="str">
        <f>+INDEX(Parametria!J:J,MATCH(Tabla_Consulta_desde_Reporte_de_Valorización_de_Instrumentos[[#This Row],[CODIGO_SBS]],Parametria!C:C,0))</f>
        <v>RFITD</v>
      </c>
      <c r="AP290" s="26">
        <f>Tabla_Consulta_desde_Reporte_de_Valorización_de_Instrumentos[[#This Row],[Huella]]/$AU$4</f>
        <v>3.8618600925803194E-2</v>
      </c>
      <c r="AQ290" s="26" t="str">
        <f>IFERROR(INDEX('BD(MSCI)'!W:W,MATCH(Tabla_Consulta_desde_Reporte_de_Valorización_de_Instrumentos[[#This Row],[CODIGO_ISIN]],'BD(MSCI)'!C:C,0)),IF(Tabla_Consulta_desde_Reporte_de_Valorización_de_Instrumentos[[#This Row],[Rank_rt]]="Cash","Cash","Cuestionario Integra"))</f>
        <v>ETF</v>
      </c>
      <c r="AR290" s="26" t="str">
        <f>IFERROR(INDEX('BD(MSCI)'!X:X,MATCH(Tabla_Consulta_desde_Reporte_de_Valorización_de_Instrumentos[[#This Row],[CODIGO_ISIN]],'BD(MSCI)'!C:C,0)),"Cuestionario Integra")</f>
        <v>Otros ETFs</v>
      </c>
      <c r="AU290" s="26"/>
    </row>
    <row r="291" spans="2:47" hidden="1" x14ac:dyDescent="0.25">
      <c r="B291" s="14" t="s">
        <v>6390</v>
      </c>
      <c r="C291" t="s">
        <v>586</v>
      </c>
      <c r="D291" t="s">
        <v>11</v>
      </c>
      <c r="E291" t="s">
        <v>587</v>
      </c>
      <c r="F291" t="s">
        <v>5633</v>
      </c>
      <c r="G291" t="str">
        <f>INDEX(Parametria!H:H,MATCH(Tabla_Consulta_desde_Reporte_de_Valorización_de_Instrumentos[[#This Row],[CODIGO_SBS]],Parametria!C:C,0),1)</f>
        <v>AIRR US - First Trust American Industrial Rennaisance</v>
      </c>
      <c r="H291" t="s">
        <v>5632</v>
      </c>
      <c r="I291" t="s">
        <v>156</v>
      </c>
      <c r="J291" t="s">
        <v>5856</v>
      </c>
      <c r="K291" t="s">
        <v>50</v>
      </c>
      <c r="L291">
        <v>0</v>
      </c>
      <c r="M291" s="5">
        <v>63577365.571199998</v>
      </c>
      <c r="N291">
        <v>18916768</v>
      </c>
      <c r="O291">
        <v>192400</v>
      </c>
      <c r="P291" s="15"/>
      <c r="R291">
        <v>3.3609</v>
      </c>
      <c r="S291" t="s">
        <v>428</v>
      </c>
      <c r="T291">
        <v>64418229.376800001</v>
      </c>
      <c r="U291" s="5">
        <v>19157268</v>
      </c>
      <c r="V291" t="s">
        <v>156</v>
      </c>
      <c r="W291">
        <v>0</v>
      </c>
      <c r="X291">
        <v>0</v>
      </c>
      <c r="Y291">
        <v>0</v>
      </c>
      <c r="Z291">
        <v>-1.25</v>
      </c>
      <c r="AA291" t="str">
        <f>+MID(Tabla_Consulta_desde_Reporte_de_Valorización_de_Instrumentos[[#This Row],[CODIGO_SBS]],7,1)</f>
        <v>2</v>
      </c>
      <c r="AB291">
        <f>INDEX('Cálculo Caja'!F:F,MATCH(Tabla_Consulta_desde_Reporte_de_Valorización_de_Instrumentos[[#This Row],[PORTAFOLIO]],'Cálculo Caja'!A:A,0),1)</f>
        <v>3164069580.822104</v>
      </c>
      <c r="AC291" s="17">
        <f>Tabla_Consulta_desde_Reporte_de_Valorización_de_Instrumentos[[#This Row],[VALOR_VECTOR_LOCAL]]/Tabla_Consulta_desde_Reporte_de_Valorización_de_Instrumentos[[#This Row],[Patrimonio]]</f>
        <v>2.0093542176364217E-2</v>
      </c>
      <c r="AD291" s="4">
        <f>(Tabla_Consulta_desde_Reporte_de_Valorización_de_Instrumentos[[#This Row],[VALOR_VECTOR_LOCAL]]/INDEX('Tipo de Cambio'!$D:$D,MATCH("2",'Tipo de Cambio'!$E:$E,0),1))/1000000</f>
        <v>18.916768000000001</v>
      </c>
      <c r="AE291">
        <f>IF(Tabla_Consulta_desde_Reporte_de_Valorización_de_Instrumentos[[#This Row],[PORTAFOLIO]]="IN-FONDO0",Tabla_Consulta_desde_Reporte_de_Valorización_de_Instrumentos[[#This Row],[Inv MM$]],0)</f>
        <v>0</v>
      </c>
      <c r="AF291" s="26">
        <f>IF(Tabla_Consulta_desde_Reporte_de_Valorización_de_Instrumentos[[#This Row],[PORTAFOLIO]]="IN-FONDO1",Tabla_Consulta_desde_Reporte_de_Valorización_de_Instrumentos[[#This Row],[Inv MM$]],0)</f>
        <v>0</v>
      </c>
      <c r="AG291" s="26">
        <f>IF(Tabla_Consulta_desde_Reporte_de_Valorización_de_Instrumentos[[#This Row],[PORTAFOLIO]]="IN-FONDO2",Tabla_Consulta_desde_Reporte_de_Valorización_de_Instrumentos[[#This Row],[Inv MM$]],0)</f>
        <v>0</v>
      </c>
      <c r="AH291" s="26">
        <f>IF(Tabla_Consulta_desde_Reporte_de_Valorización_de_Instrumentos[[#This Row],[PORTAFOLIO]]="IN-FONDO3",Tabla_Consulta_desde_Reporte_de_Valorización_de_Instrumentos[[#This Row],[Inv MM$]],0)</f>
        <v>18.916768000000001</v>
      </c>
      <c r="AI29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109.84310400000001</v>
      </c>
      <c r="AJ291" s="26">
        <f>IFERROR(IFERROR(INDEX('BD(MSCI)'!$T:$T,MATCH(Tabla_Consulta_desde_Reporte_de_Valorización_de_Instrumentos[[#This Row],[CODIGO_ISIN]],'BD(MSCI)'!$C:$C,0),1),INDEX('BD(MSCI)'!$T:$T,MATCH(Tabla_Consulta_desde_Reporte_de_Valorización_de_Instrumentos[[#This Row],[CODIGO_SBS]],'BD(MSCI)'!$C:$C,0),1)),0)</f>
        <v>26.742295039999998</v>
      </c>
      <c r="AK291" s="26">
        <f>Tabla_Consulta_desde_Reporte_de_Valorización_de_Instrumentos[[#This Row],[C02-H]]*Tabla_Consulta_desde_Reporte_de_Valorización_de_Instrumentos[[#This Row],[Inv MM$]]</f>
        <v>505.87779105923073</v>
      </c>
      <c r="AL291" s="26">
        <f>Tabla_Consulta_desde_Reporte_de_Valorización_de_Instrumentos[[#This Row],[C02-H]]*Tabla_Consulta_desde_Reporte_de_Valorización_de_Instrumentos[[#This Row],[Weight]]</f>
        <v>0.53734743327901557</v>
      </c>
      <c r="AM291" s="26" t="str">
        <f>INDEX(Parametria!G:G,MATCH(Tabla_Consulta_desde_Reporte_de_Valorización_de_Instrumentos[[#This Row],[CODIGO_SBS]],Parametria!C:C,0))</f>
        <v>52RVI</v>
      </c>
      <c r="AN291" s="26" t="str">
        <f>INDEX(Parametria!F:F,MATCH(Tabla_Consulta_desde_Reporte_de_Valorización_de_Instrumentos[[#This Row],[CODIGO_SBS]],Parametria!C:C,0))</f>
        <v>TD</v>
      </c>
      <c r="AO291" s="26" t="str">
        <f>+INDEX(Parametria!J:J,MATCH(Tabla_Consulta_desde_Reporte_de_Valorización_de_Instrumentos[[#This Row],[CODIGO_SBS]],Parametria!C:C,0))</f>
        <v>RVITD</v>
      </c>
      <c r="AP291" s="26">
        <f>Tabla_Consulta_desde_Reporte_de_Valorización_de_Instrumentos[[#This Row],[Huella]]/$AU$4</f>
        <v>4.6897286712083784E-2</v>
      </c>
      <c r="AQ291" s="26" t="str">
        <f>IFERROR(INDEX('BD(MSCI)'!W:W,MATCH(Tabla_Consulta_desde_Reporte_de_Valorización_de_Instrumentos[[#This Row],[CODIGO_ISIN]],'BD(MSCI)'!C:C,0)),IF(Tabla_Consulta_desde_Reporte_de_Valorización_de_Instrumentos[[#This Row],[Rank_rt]]="Cash","Cash","Cuestionario Integra"))</f>
        <v>ETF</v>
      </c>
      <c r="AR291" s="26" t="str">
        <f>IFERROR(INDEX('BD(MSCI)'!X:X,MATCH(Tabla_Consulta_desde_Reporte_de_Valorización_de_Instrumentos[[#This Row],[CODIGO_ISIN]],'BD(MSCI)'!C:C,0)),"Cuestionario Integra")</f>
        <v>Otros ETFs</v>
      </c>
      <c r="AU291" s="26"/>
    </row>
    <row r="292" spans="2:47" hidden="1" x14ac:dyDescent="0.25">
      <c r="B292" s="14" t="s">
        <v>6390</v>
      </c>
      <c r="C292" t="s">
        <v>586</v>
      </c>
      <c r="D292" t="s">
        <v>10</v>
      </c>
      <c r="E292" t="s">
        <v>587</v>
      </c>
      <c r="F292" t="s">
        <v>5633</v>
      </c>
      <c r="G292" t="str">
        <f>INDEX(Parametria!H:H,MATCH(Tabla_Consulta_desde_Reporte_de_Valorización_de_Instrumentos[[#This Row],[CODIGO_SBS]],Parametria!C:C,0),1)</f>
        <v>AIRR US - First Trust American Industrial Rennaisance</v>
      </c>
      <c r="H292" t="s">
        <v>5632</v>
      </c>
      <c r="I292" t="s">
        <v>156</v>
      </c>
      <c r="J292" t="s">
        <v>5856</v>
      </c>
      <c r="K292" t="s">
        <v>50</v>
      </c>
      <c r="L292">
        <v>0</v>
      </c>
      <c r="M292" s="5">
        <v>305594322.66240001</v>
      </c>
      <c r="N292">
        <v>90926336</v>
      </c>
      <c r="O292">
        <v>924800</v>
      </c>
      <c r="P292" s="15"/>
      <c r="R292">
        <v>3.3609</v>
      </c>
      <c r="S292" t="s">
        <v>428</v>
      </c>
      <c r="T292">
        <v>309636063.03359997</v>
      </c>
      <c r="U292" s="5">
        <v>92082336</v>
      </c>
      <c r="V292" t="s">
        <v>156</v>
      </c>
      <c r="W292">
        <v>0</v>
      </c>
      <c r="X292">
        <v>0</v>
      </c>
      <c r="Y292">
        <v>0</v>
      </c>
      <c r="Z292">
        <v>-1.25</v>
      </c>
      <c r="AA292" t="str">
        <f>+MID(Tabla_Consulta_desde_Reporte_de_Valorización_de_Instrumentos[[#This Row],[CODIGO_SBS]],7,1)</f>
        <v>2</v>
      </c>
      <c r="AB292">
        <f>INDEX('Cálculo Caja'!F:F,MATCH(Tabla_Consulta_desde_Reporte_de_Valorización_de_Instrumentos[[#This Row],[PORTAFOLIO]],'Cálculo Caja'!A:A,0),1)</f>
        <v>26256910350.436607</v>
      </c>
      <c r="AC292" s="17">
        <f>Tabla_Consulta_desde_Reporte_de_Valorización_de_Instrumentos[[#This Row],[VALOR_VECTOR_LOCAL]]/Tabla_Consulta_desde_Reporte_de_Valorización_de_Instrumentos[[#This Row],[Patrimonio]]</f>
        <v>1.1638624597631628E-2</v>
      </c>
      <c r="AD292" s="4">
        <f>(Tabla_Consulta_desde_Reporte_de_Valorización_de_Instrumentos[[#This Row],[VALOR_VECTOR_LOCAL]]/INDEX('Tipo de Cambio'!$D:$D,MATCH("2",'Tipo de Cambio'!$E:$E,0),1))/1000000</f>
        <v>90.926336000000006</v>
      </c>
      <c r="AE292">
        <f>IF(Tabla_Consulta_desde_Reporte_de_Valorización_de_Instrumentos[[#This Row],[PORTAFOLIO]]="IN-FONDO0",Tabla_Consulta_desde_Reporte_de_Valorización_de_Instrumentos[[#This Row],[Inv MM$]],0)</f>
        <v>0</v>
      </c>
      <c r="AF292" s="26">
        <f>IF(Tabla_Consulta_desde_Reporte_de_Valorización_de_Instrumentos[[#This Row],[PORTAFOLIO]]="IN-FONDO1",Tabla_Consulta_desde_Reporte_de_Valorización_de_Instrumentos[[#This Row],[Inv MM$]],0)</f>
        <v>0</v>
      </c>
      <c r="AG292" s="26">
        <f>IF(Tabla_Consulta_desde_Reporte_de_Valorización_de_Instrumentos[[#This Row],[PORTAFOLIO]]="IN-FONDO2",Tabla_Consulta_desde_Reporte_de_Valorización_de_Instrumentos[[#This Row],[Inv MM$]],0)</f>
        <v>90.926336000000006</v>
      </c>
      <c r="AH292" s="26">
        <f>IF(Tabla_Consulta_desde_Reporte_de_Valorización_de_Instrumentos[[#This Row],[PORTAFOLIO]]="IN-FONDO3",Tabla_Consulta_desde_Reporte_de_Valorización_de_Instrumentos[[#This Row],[Inv MM$]],0)</f>
        <v>0</v>
      </c>
      <c r="AI29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109.84310400000001</v>
      </c>
      <c r="AJ292" s="26">
        <f>IFERROR(IFERROR(INDEX('BD(MSCI)'!$T:$T,MATCH(Tabla_Consulta_desde_Reporte_de_Valorización_de_Instrumentos[[#This Row],[CODIGO_ISIN]],'BD(MSCI)'!$C:$C,0),1),INDEX('BD(MSCI)'!$T:$T,MATCH(Tabla_Consulta_desde_Reporte_de_Valorización_de_Instrumentos[[#This Row],[CODIGO_SBS]],'BD(MSCI)'!$C:$C,0),1)),0)</f>
        <v>26.742295039999998</v>
      </c>
      <c r="AK292" s="26">
        <f>Tabla_Consulta_desde_Reporte_de_Valorización_de_Instrumentos[[#This Row],[C02-H]]*Tabla_Consulta_desde_Reporte_de_Valorización_de_Instrumentos[[#This Row],[Inv MM$]]</f>
        <v>2431.5789042181736</v>
      </c>
      <c r="AL292" s="26">
        <f>Tabla_Consulta_desde_Reporte_de_Valorización_de_Instrumentos[[#This Row],[C02-H]]*Tabla_Consulta_desde_Reporte_de_Valorización_de_Instrumentos[[#This Row],[Weight]]</f>
        <v>0.31124353284966627</v>
      </c>
      <c r="AM292" s="26" t="str">
        <f>INDEX(Parametria!G:G,MATCH(Tabla_Consulta_desde_Reporte_de_Valorización_de_Instrumentos[[#This Row],[CODIGO_SBS]],Parametria!C:C,0))</f>
        <v>52RVI</v>
      </c>
      <c r="AN292" s="26" t="str">
        <f>INDEX(Parametria!F:F,MATCH(Tabla_Consulta_desde_Reporte_de_Valorización_de_Instrumentos[[#This Row],[CODIGO_SBS]],Parametria!C:C,0))</f>
        <v>TD</v>
      </c>
      <c r="AO292" s="26" t="str">
        <f>+INDEX(Parametria!J:J,MATCH(Tabla_Consulta_desde_Reporte_de_Valorización_de_Instrumentos[[#This Row],[CODIGO_SBS]],Parametria!C:C,0))</f>
        <v>RVITD</v>
      </c>
      <c r="AP292" s="26">
        <f>Tabla_Consulta_desde_Reporte_de_Valorización_de_Instrumentos[[#This Row],[Huella]]/$AU$4</f>
        <v>0.22541897479903891</v>
      </c>
      <c r="AQ292" s="26" t="str">
        <f>IFERROR(INDEX('BD(MSCI)'!W:W,MATCH(Tabla_Consulta_desde_Reporte_de_Valorización_de_Instrumentos[[#This Row],[CODIGO_ISIN]],'BD(MSCI)'!C:C,0)),IF(Tabla_Consulta_desde_Reporte_de_Valorización_de_Instrumentos[[#This Row],[Rank_rt]]="Cash","Cash","Cuestionario Integra"))</f>
        <v>ETF</v>
      </c>
      <c r="AR292" s="26" t="str">
        <f>IFERROR(INDEX('BD(MSCI)'!X:X,MATCH(Tabla_Consulta_desde_Reporte_de_Valorización_de_Instrumentos[[#This Row],[CODIGO_ISIN]],'BD(MSCI)'!C:C,0)),"Cuestionario Integra")</f>
        <v>Otros ETFs</v>
      </c>
      <c r="AU292" s="26"/>
    </row>
    <row r="293" spans="2:47" hidden="1" x14ac:dyDescent="0.25">
      <c r="B293" s="14" t="s">
        <v>6390</v>
      </c>
      <c r="C293" t="s">
        <v>586</v>
      </c>
      <c r="D293" t="s">
        <v>10</v>
      </c>
      <c r="E293" t="s">
        <v>587</v>
      </c>
      <c r="F293" t="s">
        <v>642</v>
      </c>
      <c r="G293" t="str">
        <f>INDEX(Parametria!H:H,MATCH(Tabla_Consulta_desde_Reporte_de_Valorización_de_Instrumentos[[#This Row],[CODIGO_SBS]],Parametria!C:C,0),1)</f>
        <v>Invesco  - Euro Equity Fund</v>
      </c>
      <c r="H293" t="s">
        <v>643</v>
      </c>
      <c r="I293" t="s">
        <v>156</v>
      </c>
      <c r="J293" t="s">
        <v>644</v>
      </c>
      <c r="K293" t="s">
        <v>57</v>
      </c>
      <c r="L293">
        <v>12.6</v>
      </c>
      <c r="M293" s="5">
        <v>81.998559499999999</v>
      </c>
      <c r="N293">
        <v>20.78</v>
      </c>
      <c r="O293">
        <v>1</v>
      </c>
      <c r="P293" s="15"/>
      <c r="R293">
        <v>3.9460326999999999</v>
      </c>
      <c r="S293" t="s">
        <v>428</v>
      </c>
      <c r="T293">
        <v>82.130871999999997</v>
      </c>
      <c r="U293" s="5">
        <v>20.78</v>
      </c>
      <c r="V293" t="s">
        <v>156</v>
      </c>
      <c r="W293">
        <v>0</v>
      </c>
      <c r="X293">
        <v>0</v>
      </c>
      <c r="Y293">
        <v>0</v>
      </c>
      <c r="Z293">
        <v>0</v>
      </c>
      <c r="AA293" t="str">
        <f>+MID(Tabla_Consulta_desde_Reporte_de_Valorización_de_Instrumentos[[#This Row],[CODIGO_SBS]],7,1)</f>
        <v>4</v>
      </c>
      <c r="AB293">
        <f>INDEX('Cálculo Caja'!F:F,MATCH(Tabla_Consulta_desde_Reporte_de_Valorización_de_Instrumentos[[#This Row],[PORTAFOLIO]],'Cálculo Caja'!A:A,0),1)</f>
        <v>26256910350.436607</v>
      </c>
      <c r="AC293" s="17">
        <f>Tabla_Consulta_desde_Reporte_de_Valorización_de_Instrumentos[[#This Row],[VALOR_VECTOR_LOCAL]]/Tabla_Consulta_desde_Reporte_de_Valorización_de_Instrumentos[[#This Row],[Patrimonio]]</f>
        <v>3.122932531116956E-9</v>
      </c>
      <c r="AD293" s="4">
        <f>(Tabla_Consulta_desde_Reporte_de_Valorización_de_Instrumentos[[#This Row],[VALOR_VECTOR_LOCAL]]/INDEX('Tipo de Cambio'!$D:$D,MATCH("2",'Tipo de Cambio'!$E:$E,0),1))/1000000</f>
        <v>2.4397798060043442E-5</v>
      </c>
      <c r="AE293">
        <f>IF(Tabla_Consulta_desde_Reporte_de_Valorización_de_Instrumentos[[#This Row],[PORTAFOLIO]]="IN-FONDO0",Tabla_Consulta_desde_Reporte_de_Valorización_de_Instrumentos[[#This Row],[Inv MM$]],0)</f>
        <v>0</v>
      </c>
      <c r="AF293" s="26">
        <f>IF(Tabla_Consulta_desde_Reporte_de_Valorización_de_Instrumentos[[#This Row],[PORTAFOLIO]]="IN-FONDO1",Tabla_Consulta_desde_Reporte_de_Valorización_de_Instrumentos[[#This Row],[Inv MM$]],0)</f>
        <v>0</v>
      </c>
      <c r="AG293" s="26">
        <f>IF(Tabla_Consulta_desde_Reporte_de_Valorización_de_Instrumentos[[#This Row],[PORTAFOLIO]]="IN-FONDO2",Tabla_Consulta_desde_Reporte_de_Valorización_de_Instrumentos[[#This Row],[Inv MM$]],0)</f>
        <v>2.4397798060043442E-5</v>
      </c>
      <c r="AH293" s="26">
        <f>IF(Tabla_Consulta_desde_Reporte_de_Valorización_de_Instrumentos[[#This Row],[PORTAFOLIO]]="IN-FONDO3",Tabla_Consulta_desde_Reporte_de_Valorización_de_Instrumentos[[#This Row],[Inv MM$]],0)</f>
        <v>0</v>
      </c>
      <c r="AI29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2.4397798060043442E-5</v>
      </c>
      <c r="AJ293" s="26">
        <f>IFERROR(IFERROR(INDEX('BD(MSCI)'!$T:$T,MATCH(Tabla_Consulta_desde_Reporte_de_Valorización_de_Instrumentos[[#This Row],[CODIGO_ISIN]],'BD(MSCI)'!$C:$C,0),1),INDEX('BD(MSCI)'!$T:$T,MATCH(Tabla_Consulta_desde_Reporte_de_Valorización_de_Instrumentos[[#This Row],[CODIGO_SBS]],'BD(MSCI)'!$C:$C,0),1)),0)</f>
        <v>66.254312119999994</v>
      </c>
      <c r="AK293" s="26">
        <f>Tabla_Consulta_desde_Reporte_de_Valorización_de_Instrumentos[[#This Row],[C02-H]]*Tabla_Consulta_desde_Reporte_de_Valorización_de_Instrumentos[[#This Row],[Inv MM$]]</f>
        <v>1.6164593277108485E-3</v>
      </c>
      <c r="AL293" s="26">
        <f>Tabla_Consulta_desde_Reporte_de_Valorización_de_Instrumentos[[#This Row],[C02-H]]*Tabla_Consulta_desde_Reporte_de_Valorización_de_Instrumentos[[#This Row],[Weight]]</f>
        <v>2.0690774664632441E-7</v>
      </c>
      <c r="AM293" s="26" t="str">
        <f>INDEX(Parametria!G:G,MATCH(Tabla_Consulta_desde_Reporte_de_Valorización_de_Instrumentos[[#This Row],[CODIGO_SBS]],Parametria!C:C,0))</f>
        <v>52RVI</v>
      </c>
      <c r="AN293" s="26" t="str">
        <f>INDEX(Parametria!F:F,MATCH(Tabla_Consulta_desde_Reporte_de_Valorización_de_Instrumentos[[#This Row],[CODIGO_SBS]],Parametria!C:C,0))</f>
        <v>TD</v>
      </c>
      <c r="AO293" s="26" t="str">
        <f>+INDEX(Parametria!J:J,MATCH(Tabla_Consulta_desde_Reporte_de_Valorización_de_Instrumentos[[#This Row],[CODIGO_SBS]],Parametria!C:C,0))</f>
        <v>RVITD</v>
      </c>
      <c r="AP293" s="26">
        <f>Tabla_Consulta_desde_Reporte_de_Valorización_de_Instrumentos[[#This Row],[Huella]]/$AU$4</f>
        <v>1.4985349799869339E-7</v>
      </c>
      <c r="AQ293" s="26" t="str">
        <f>IFERROR(INDEX('BD(MSCI)'!W:W,MATCH(Tabla_Consulta_desde_Reporte_de_Valorización_de_Instrumentos[[#This Row],[CODIGO_ISIN]],'BD(MSCI)'!C:C,0)),IF(Tabla_Consulta_desde_Reporte_de_Valorización_de_Instrumentos[[#This Row],[Rank_rt]]="Cash","Cash","Cuestionario Integra"))</f>
        <v>ETF</v>
      </c>
      <c r="AR293" s="26" t="str">
        <f>IFERROR(INDEX('BD(MSCI)'!X:X,MATCH(Tabla_Consulta_desde_Reporte_de_Valorización_de_Instrumentos[[#This Row],[CODIGO_ISIN]],'BD(MSCI)'!C:C,0)),"Cuestionario Integra")</f>
        <v>Otros ETFs</v>
      </c>
      <c r="AU293" s="26"/>
    </row>
    <row r="294" spans="2:47" hidden="1" x14ac:dyDescent="0.25">
      <c r="B294" s="14" t="s">
        <v>6390</v>
      </c>
      <c r="C294" t="s">
        <v>586</v>
      </c>
      <c r="D294" t="s">
        <v>10</v>
      </c>
      <c r="E294" t="s">
        <v>587</v>
      </c>
      <c r="F294" t="s">
        <v>645</v>
      </c>
      <c r="G294" t="str">
        <f>INDEX(Parametria!H:H,MATCH(Tabla_Consulta_desde_Reporte_de_Valorización_de_Instrumentos[[#This Row],[CODIGO_SBS]],Parametria!C:C,0),1)</f>
        <v>Eastspring - Japan Dynamic Fund</v>
      </c>
      <c r="H294" t="s">
        <v>646</v>
      </c>
      <c r="I294" t="s">
        <v>156</v>
      </c>
      <c r="J294" t="s">
        <v>647</v>
      </c>
      <c r="K294" t="s">
        <v>78</v>
      </c>
      <c r="L294">
        <v>1</v>
      </c>
      <c r="M294" s="5">
        <v>60.585740800000004</v>
      </c>
      <c r="N294">
        <v>2825.498</v>
      </c>
      <c r="O294">
        <v>0.997</v>
      </c>
      <c r="P294" s="15"/>
      <c r="R294">
        <v>2.14425E-2</v>
      </c>
      <c r="S294" t="s">
        <v>428</v>
      </c>
      <c r="T294">
        <v>60.7558358</v>
      </c>
      <c r="U294" s="5">
        <v>2825.498</v>
      </c>
      <c r="V294" t="s">
        <v>156</v>
      </c>
      <c r="W294">
        <v>0</v>
      </c>
      <c r="X294">
        <v>0</v>
      </c>
      <c r="Y294">
        <v>0</v>
      </c>
      <c r="Z294">
        <v>0</v>
      </c>
      <c r="AA294" t="str">
        <f>+MID(Tabla_Consulta_desde_Reporte_de_Valorización_de_Instrumentos[[#This Row],[CODIGO_SBS]],7,1)</f>
        <v>5</v>
      </c>
      <c r="AB294">
        <f>INDEX('Cálculo Caja'!F:F,MATCH(Tabla_Consulta_desde_Reporte_de_Valorización_de_Instrumentos[[#This Row],[PORTAFOLIO]],'Cálculo Caja'!A:A,0),1)</f>
        <v>26256910350.436607</v>
      </c>
      <c r="AC294" s="17">
        <f>Tabla_Consulta_desde_Reporte_de_Valorización_de_Instrumentos[[#This Row],[VALOR_VECTOR_LOCAL]]/Tabla_Consulta_desde_Reporte_de_Valorización_de_Instrumentos[[#This Row],[Patrimonio]]</f>
        <v>2.307420789094958E-9</v>
      </c>
      <c r="AD294" s="4">
        <f>(Tabla_Consulta_desde_Reporte_de_Valorización_de_Instrumentos[[#This Row],[VALOR_VECTOR_LOCAL]]/INDEX('Tipo de Cambio'!$D:$D,MATCH("2",'Tipo de Cambio'!$E:$E,0),1))/1000000</f>
        <v>1.8026641911392784E-5</v>
      </c>
      <c r="AE294">
        <f>IF(Tabla_Consulta_desde_Reporte_de_Valorización_de_Instrumentos[[#This Row],[PORTAFOLIO]]="IN-FONDO0",Tabla_Consulta_desde_Reporte_de_Valorización_de_Instrumentos[[#This Row],[Inv MM$]],0)</f>
        <v>0</v>
      </c>
      <c r="AF294" s="26">
        <f>IF(Tabla_Consulta_desde_Reporte_de_Valorización_de_Instrumentos[[#This Row],[PORTAFOLIO]]="IN-FONDO1",Tabla_Consulta_desde_Reporte_de_Valorización_de_Instrumentos[[#This Row],[Inv MM$]],0)</f>
        <v>0</v>
      </c>
      <c r="AG294" s="26">
        <f>IF(Tabla_Consulta_desde_Reporte_de_Valorización_de_Instrumentos[[#This Row],[PORTAFOLIO]]="IN-FONDO2",Tabla_Consulta_desde_Reporte_de_Valorización_de_Instrumentos[[#This Row],[Inv MM$]],0)</f>
        <v>1.8026641911392784E-5</v>
      </c>
      <c r="AH294" s="26">
        <f>IF(Tabla_Consulta_desde_Reporte_de_Valorización_de_Instrumentos[[#This Row],[PORTAFOLIO]]="IN-FONDO3",Tabla_Consulta_desde_Reporte_de_Valorización_de_Instrumentos[[#This Row],[Inv MM$]],0)</f>
        <v>0</v>
      </c>
      <c r="AI29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3.6125607367074295E-5</v>
      </c>
      <c r="AJ294" s="26">
        <f>IFERROR(IFERROR(INDEX('BD(MSCI)'!$T:$T,MATCH(Tabla_Consulta_desde_Reporte_de_Valorización_de_Instrumentos[[#This Row],[CODIGO_ISIN]],'BD(MSCI)'!$C:$C,0),1),INDEX('BD(MSCI)'!$T:$T,MATCH(Tabla_Consulta_desde_Reporte_de_Valorización_de_Instrumentos[[#This Row],[CODIGO_SBS]],'BD(MSCI)'!$C:$C,0),1)),0)</f>
        <v>131.51194706999999</v>
      </c>
      <c r="AK294" s="26">
        <f>Tabla_Consulta_desde_Reporte_de_Valorización_de_Instrumentos[[#This Row],[C02-H]]*Tabla_Consulta_desde_Reporte_de_Valorización_de_Instrumentos[[#This Row],[Inv MM$]]</f>
        <v>2.3707187769009311E-3</v>
      </c>
      <c r="AL294" s="26">
        <f>Tabla_Consulta_desde_Reporte_de_Valorización_de_Instrumentos[[#This Row],[C02-H]]*Tabla_Consulta_desde_Reporte_de_Valorización_de_Instrumentos[[#This Row],[Weight]]</f>
        <v>3.0345340068367373E-7</v>
      </c>
      <c r="AM294" s="26" t="str">
        <f>INDEX(Parametria!G:G,MATCH(Tabla_Consulta_desde_Reporte_de_Valorización_de_Instrumentos[[#This Row],[CODIGO_SBS]],Parametria!C:C,0))</f>
        <v>52RVI</v>
      </c>
      <c r="AN294" s="26" t="str">
        <f>INDEX(Parametria!F:F,MATCH(Tabla_Consulta_desde_Reporte_de_Valorización_de_Instrumentos[[#This Row],[CODIGO_SBS]],Parametria!C:C,0))</f>
        <v>TD</v>
      </c>
      <c r="AO294" s="26" t="str">
        <f>+INDEX(Parametria!J:J,MATCH(Tabla_Consulta_desde_Reporte_de_Valorización_de_Instrumentos[[#This Row],[CODIGO_SBS]],Parametria!C:C,0))</f>
        <v>RVITD</v>
      </c>
      <c r="AP294" s="26">
        <f>Tabla_Consulta_desde_Reporte_de_Valorización_de_Instrumentos[[#This Row],[Huella]]/$AU$4</f>
        <v>2.1977695039991589E-7</v>
      </c>
      <c r="AQ294" s="26" t="str">
        <f>IFERROR(INDEX('BD(MSCI)'!W:W,MATCH(Tabla_Consulta_desde_Reporte_de_Valorización_de_Instrumentos[[#This Row],[CODIGO_ISIN]],'BD(MSCI)'!C:C,0)),IF(Tabla_Consulta_desde_Reporte_de_Valorización_de_Instrumentos[[#This Row],[Rank_rt]]="Cash","Cash","Cuestionario Integra"))</f>
        <v>ETF</v>
      </c>
      <c r="AR294" s="26" t="str">
        <f>IFERROR(INDEX('BD(MSCI)'!X:X,MATCH(Tabla_Consulta_desde_Reporte_de_Valorización_de_Instrumentos[[#This Row],[CODIGO_ISIN]],'BD(MSCI)'!C:C,0)),"Cuestionario Integra")</f>
        <v>Otros ETFs</v>
      </c>
      <c r="AU294" s="26"/>
    </row>
    <row r="295" spans="2:47" hidden="1" x14ac:dyDescent="0.25">
      <c r="B295" s="14" t="s">
        <v>6390</v>
      </c>
      <c r="C295" t="s">
        <v>586</v>
      </c>
      <c r="D295" t="s">
        <v>11</v>
      </c>
      <c r="E295" t="s">
        <v>587</v>
      </c>
      <c r="F295" t="s">
        <v>645</v>
      </c>
      <c r="G295" t="str">
        <f>INDEX(Parametria!H:H,MATCH(Tabla_Consulta_desde_Reporte_de_Valorización_de_Instrumentos[[#This Row],[CODIGO_SBS]],Parametria!C:C,0),1)</f>
        <v>Eastspring - Japan Dynamic Fund</v>
      </c>
      <c r="H295" t="s">
        <v>646</v>
      </c>
      <c r="I295" t="s">
        <v>156</v>
      </c>
      <c r="J295" t="s">
        <v>647</v>
      </c>
      <c r="K295" t="s">
        <v>78</v>
      </c>
      <c r="L295">
        <v>1</v>
      </c>
      <c r="M295" s="5">
        <v>60.828812999999997</v>
      </c>
      <c r="N295">
        <v>2836.8339999999998</v>
      </c>
      <c r="O295">
        <v>1.0009999999999999</v>
      </c>
      <c r="P295" s="15"/>
      <c r="R295">
        <v>2.14425E-2</v>
      </c>
      <c r="S295" t="s">
        <v>428</v>
      </c>
      <c r="T295">
        <v>60.999590400000002</v>
      </c>
      <c r="U295" s="5">
        <v>2836.8339999999998</v>
      </c>
      <c r="V295" t="s">
        <v>156</v>
      </c>
      <c r="W295">
        <v>0</v>
      </c>
      <c r="X295">
        <v>0</v>
      </c>
      <c r="Y295">
        <v>0</v>
      </c>
      <c r="Z295">
        <v>0</v>
      </c>
      <c r="AA295" t="str">
        <f>+MID(Tabla_Consulta_desde_Reporte_de_Valorización_de_Instrumentos[[#This Row],[CODIGO_SBS]],7,1)</f>
        <v>5</v>
      </c>
      <c r="AB295">
        <f>INDEX('Cálculo Caja'!F:F,MATCH(Tabla_Consulta_desde_Reporte_de_Valorización_de_Instrumentos[[#This Row],[PORTAFOLIO]],'Cálculo Caja'!A:A,0),1)</f>
        <v>3164069580.822104</v>
      </c>
      <c r="AC295" s="17">
        <f>Tabla_Consulta_desde_Reporte_de_Valorización_de_Instrumentos[[#This Row],[VALOR_VECTOR_LOCAL]]/Tabla_Consulta_desde_Reporte_de_Valorización_de_Instrumentos[[#This Row],[Patrimonio]]</f>
        <v>1.9224865776875602E-8</v>
      </c>
      <c r="AD295" s="4">
        <f>(Tabla_Consulta_desde_Reporte_de_Valorización_de_Instrumentos[[#This Row],[VALOR_VECTOR_LOCAL]]/INDEX('Tipo de Cambio'!$D:$D,MATCH("2",'Tipo de Cambio'!$E:$E,0),1))/1000000</f>
        <v>1.8098965455681511E-5</v>
      </c>
      <c r="AE295">
        <f>IF(Tabla_Consulta_desde_Reporte_de_Valorización_de_Instrumentos[[#This Row],[PORTAFOLIO]]="IN-FONDO0",Tabla_Consulta_desde_Reporte_de_Valorización_de_Instrumentos[[#This Row],[Inv MM$]],0)</f>
        <v>0</v>
      </c>
      <c r="AF295" s="26">
        <f>IF(Tabla_Consulta_desde_Reporte_de_Valorización_de_Instrumentos[[#This Row],[PORTAFOLIO]]="IN-FONDO1",Tabla_Consulta_desde_Reporte_de_Valorización_de_Instrumentos[[#This Row],[Inv MM$]],0)</f>
        <v>0</v>
      </c>
      <c r="AG295" s="26">
        <f>IF(Tabla_Consulta_desde_Reporte_de_Valorización_de_Instrumentos[[#This Row],[PORTAFOLIO]]="IN-FONDO2",Tabla_Consulta_desde_Reporte_de_Valorización_de_Instrumentos[[#This Row],[Inv MM$]],0)</f>
        <v>0</v>
      </c>
      <c r="AH295" s="26">
        <f>IF(Tabla_Consulta_desde_Reporte_de_Valorización_de_Instrumentos[[#This Row],[PORTAFOLIO]]="IN-FONDO3",Tabla_Consulta_desde_Reporte_de_Valorización_de_Instrumentos[[#This Row],[Inv MM$]],0)</f>
        <v>1.8098965455681511E-5</v>
      </c>
      <c r="AI29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3.6125607367074295E-5</v>
      </c>
      <c r="AJ295" s="26">
        <f>IFERROR(IFERROR(INDEX('BD(MSCI)'!$T:$T,MATCH(Tabla_Consulta_desde_Reporte_de_Valorización_de_Instrumentos[[#This Row],[CODIGO_ISIN]],'BD(MSCI)'!$C:$C,0),1),INDEX('BD(MSCI)'!$T:$T,MATCH(Tabla_Consulta_desde_Reporte_de_Valorización_de_Instrumentos[[#This Row],[CODIGO_SBS]],'BD(MSCI)'!$C:$C,0),1)),0)</f>
        <v>131.51194706999999</v>
      </c>
      <c r="AK295" s="26">
        <f>Tabla_Consulta_desde_Reporte_de_Valorización_de_Instrumentos[[#This Row],[C02-H]]*Tabla_Consulta_desde_Reporte_de_Valorización_de_Instrumentos[[#This Row],[Inv MM$]]</f>
        <v>2.3802301870293452E-3</v>
      </c>
      <c r="AL295" s="26">
        <f>Tabla_Consulta_desde_Reporte_de_Valorización_de_Instrumentos[[#This Row],[C02-H]]*Tabla_Consulta_desde_Reporte_de_Valorización_de_Instrumentos[[#This Row],[Weight]]</f>
        <v>2.5282995304763186E-6</v>
      </c>
      <c r="AM295" s="26" t="str">
        <f>INDEX(Parametria!G:G,MATCH(Tabla_Consulta_desde_Reporte_de_Valorización_de_Instrumentos[[#This Row],[CODIGO_SBS]],Parametria!C:C,0))</f>
        <v>52RVI</v>
      </c>
      <c r="AN295" s="26" t="str">
        <f>INDEX(Parametria!F:F,MATCH(Tabla_Consulta_desde_Reporte_de_Valorización_de_Instrumentos[[#This Row],[CODIGO_SBS]],Parametria!C:C,0))</f>
        <v>TD</v>
      </c>
      <c r="AO295" s="26" t="str">
        <f>+INDEX(Parametria!J:J,MATCH(Tabla_Consulta_desde_Reporte_de_Valorización_de_Instrumentos[[#This Row],[CODIGO_SBS]],Parametria!C:C,0))</f>
        <v>RVITD</v>
      </c>
      <c r="AP295" s="26">
        <f>Tabla_Consulta_desde_Reporte_de_Valorización_de_Instrumentos[[#This Row],[Huella]]/$AU$4</f>
        <v>2.2065870353419456E-7</v>
      </c>
      <c r="AQ295" s="26" t="str">
        <f>IFERROR(INDEX('BD(MSCI)'!W:W,MATCH(Tabla_Consulta_desde_Reporte_de_Valorización_de_Instrumentos[[#This Row],[CODIGO_ISIN]],'BD(MSCI)'!C:C,0)),IF(Tabla_Consulta_desde_Reporte_de_Valorización_de_Instrumentos[[#This Row],[Rank_rt]]="Cash","Cash","Cuestionario Integra"))</f>
        <v>ETF</v>
      </c>
      <c r="AR295" s="26" t="str">
        <f>IFERROR(INDEX('BD(MSCI)'!X:X,MATCH(Tabla_Consulta_desde_Reporte_de_Valorización_de_Instrumentos[[#This Row],[CODIGO_ISIN]],'BD(MSCI)'!C:C,0)),"Cuestionario Integra")</f>
        <v>Otros ETFs</v>
      </c>
      <c r="AU295" s="26"/>
    </row>
    <row r="296" spans="2:47" hidden="1" x14ac:dyDescent="0.25">
      <c r="B296" s="14" t="s">
        <v>6390</v>
      </c>
      <c r="C296" t="s">
        <v>586</v>
      </c>
      <c r="D296" t="s">
        <v>11</v>
      </c>
      <c r="E296" t="s">
        <v>587</v>
      </c>
      <c r="F296" t="s">
        <v>648</v>
      </c>
      <c r="G296" t="str">
        <f>INDEX(Parametria!H:H,MATCH(Tabla_Consulta_desde_Reporte_de_Valorización_de_Instrumentos[[#This Row],[CODIGO_SBS]],Parametria!C:C,0),1)</f>
        <v>Groupama - Avenir Euro (Mid Small Caps)</v>
      </c>
      <c r="H296" t="s">
        <v>649</v>
      </c>
      <c r="I296" t="s">
        <v>156</v>
      </c>
      <c r="J296" t="s">
        <v>650</v>
      </c>
      <c r="K296" t="s">
        <v>57</v>
      </c>
      <c r="L296">
        <v>1</v>
      </c>
      <c r="M296" s="5">
        <v>2488.6958991000001</v>
      </c>
      <c r="N296">
        <v>630.68304000000001</v>
      </c>
      <c r="O296">
        <v>1.3779999999999999</v>
      </c>
      <c r="P296" s="15"/>
      <c r="R296">
        <v>3.9460326999999999</v>
      </c>
      <c r="S296" t="s">
        <v>428</v>
      </c>
      <c r="T296">
        <v>2482.0366890999999</v>
      </c>
      <c r="U296" s="5">
        <v>627.98216000000002</v>
      </c>
      <c r="V296" t="s">
        <v>156</v>
      </c>
      <c r="W296">
        <v>0</v>
      </c>
      <c r="X296">
        <v>0</v>
      </c>
      <c r="Y296">
        <v>0</v>
      </c>
      <c r="Z296">
        <v>1.96</v>
      </c>
      <c r="AA296" t="str">
        <f>+MID(Tabla_Consulta_desde_Reporte_de_Valorización_de_Instrumentos[[#This Row],[CODIGO_SBS]],7,1)</f>
        <v>4</v>
      </c>
      <c r="AB296">
        <f>INDEX('Cálculo Caja'!F:F,MATCH(Tabla_Consulta_desde_Reporte_de_Valorización_de_Instrumentos[[#This Row],[PORTAFOLIO]],'Cálculo Caja'!A:A,0),1)</f>
        <v>3164069580.822104</v>
      </c>
      <c r="AC296" s="17">
        <f>Tabla_Consulta_desde_Reporte_de_Valorización_de_Instrumentos[[#This Row],[VALOR_VECTOR_LOCAL]]/Tabla_Consulta_desde_Reporte_de_Valorización_de_Instrumentos[[#This Row],[Patrimonio]]</f>
        <v>7.8654904246871048E-7</v>
      </c>
      <c r="AD296" s="4">
        <f>(Tabla_Consulta_desde_Reporte_de_Valorización_de_Instrumentos[[#This Row],[VALOR_VECTOR_LOCAL]]/INDEX('Tipo de Cambio'!$D:$D,MATCH("2",'Tipo de Cambio'!$E:$E,0),1))/1000000</f>
        <v>7.4048495911809345E-4</v>
      </c>
      <c r="AE296">
        <f>IF(Tabla_Consulta_desde_Reporte_de_Valorización_de_Instrumentos[[#This Row],[PORTAFOLIO]]="IN-FONDO0",Tabla_Consulta_desde_Reporte_de_Valorización_de_Instrumentos[[#This Row],[Inv MM$]],0)</f>
        <v>0</v>
      </c>
      <c r="AF296" s="26">
        <f>IF(Tabla_Consulta_desde_Reporte_de_Valorización_de_Instrumentos[[#This Row],[PORTAFOLIO]]="IN-FONDO1",Tabla_Consulta_desde_Reporte_de_Valorización_de_Instrumentos[[#This Row],[Inv MM$]],0)</f>
        <v>0</v>
      </c>
      <c r="AG296" s="26">
        <f>IF(Tabla_Consulta_desde_Reporte_de_Valorización_de_Instrumentos[[#This Row],[PORTAFOLIO]]="IN-FONDO2",Tabla_Consulta_desde_Reporte_de_Valorización_de_Instrumentos[[#This Row],[Inv MM$]],0)</f>
        <v>0</v>
      </c>
      <c r="AH296" s="26">
        <f>IF(Tabla_Consulta_desde_Reporte_de_Valorización_de_Instrumentos[[#This Row],[PORTAFOLIO]]="IN-FONDO3",Tabla_Consulta_desde_Reporte_de_Valorización_de_Instrumentos[[#This Row],[Inv MM$]],0)</f>
        <v>7.4048495911809345E-4</v>
      </c>
      <c r="AI29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2.1709428409652175E-3</v>
      </c>
      <c r="AJ296" s="26">
        <f>IFERROR(IFERROR(INDEX('BD(MSCI)'!$T:$T,MATCH(Tabla_Consulta_desde_Reporte_de_Valorización_de_Instrumentos[[#This Row],[CODIGO_ISIN]],'BD(MSCI)'!$C:$C,0),1),INDEX('BD(MSCI)'!$T:$T,MATCH(Tabla_Consulta_desde_Reporte_de_Valorización_de_Instrumentos[[#This Row],[CODIGO_SBS]],'BD(MSCI)'!$C:$C,0),1)),0)</f>
        <v>11.37433998</v>
      </c>
      <c r="AK296" s="26">
        <f>Tabla_Consulta_desde_Reporte_de_Valorización_de_Instrumentos[[#This Row],[C02-H]]*Tabla_Consulta_desde_Reporte_de_Valorización_de_Instrumentos[[#This Row],[Inv MM$]]</f>
        <v>8.4225276750855959E-3</v>
      </c>
      <c r="AL296" s="26">
        <f>Tabla_Consulta_desde_Reporte_de_Valorización_de_Instrumentos[[#This Row],[C02-H]]*Tabla_Consulta_desde_Reporte_de_Valorización_de_Instrumentos[[#This Row],[Weight]]</f>
        <v>8.9464762199825718E-6</v>
      </c>
      <c r="AM296" s="26" t="str">
        <f>INDEX(Parametria!G:G,MATCH(Tabla_Consulta_desde_Reporte_de_Valorización_de_Instrumentos[[#This Row],[CODIGO_SBS]],Parametria!C:C,0))</f>
        <v>52RVI</v>
      </c>
      <c r="AN296" s="26" t="str">
        <f>INDEX(Parametria!F:F,MATCH(Tabla_Consulta_desde_Reporte_de_Valorización_de_Instrumentos[[#This Row],[CODIGO_SBS]],Parametria!C:C,0))</f>
        <v>TD</v>
      </c>
      <c r="AO296" s="26" t="str">
        <f>+INDEX(Parametria!J:J,MATCH(Tabla_Consulta_desde_Reporte_de_Valorización_de_Instrumentos[[#This Row],[CODIGO_SBS]],Parametria!C:C,0))</f>
        <v>RVITD</v>
      </c>
      <c r="AP296" s="26">
        <f>Tabla_Consulta_desde_Reporte_de_Valorización_de_Instrumentos[[#This Row],[Huella]]/$AU$4</f>
        <v>7.808085316255795E-7</v>
      </c>
      <c r="AQ296" s="26" t="str">
        <f>IFERROR(INDEX('BD(MSCI)'!W:W,MATCH(Tabla_Consulta_desde_Reporte_de_Valorización_de_Instrumentos[[#This Row],[CODIGO_ISIN]],'BD(MSCI)'!C:C,0)),IF(Tabla_Consulta_desde_Reporte_de_Valorización_de_Instrumentos[[#This Row],[Rank_rt]]="Cash","Cash","Cuestionario Integra"))</f>
        <v>ETF</v>
      </c>
      <c r="AR296" s="26" t="str">
        <f>IFERROR(INDEX('BD(MSCI)'!X:X,MATCH(Tabla_Consulta_desde_Reporte_de_Valorización_de_Instrumentos[[#This Row],[CODIGO_ISIN]],'BD(MSCI)'!C:C,0)),"Cuestionario Integra")</f>
        <v>Otros ETFs</v>
      </c>
      <c r="AU296" s="26"/>
    </row>
    <row r="297" spans="2:47" hidden="1" x14ac:dyDescent="0.25">
      <c r="B297" s="14" t="s">
        <v>6390</v>
      </c>
      <c r="C297" t="s">
        <v>586</v>
      </c>
      <c r="D297" t="s">
        <v>10</v>
      </c>
      <c r="E297" t="s">
        <v>587</v>
      </c>
      <c r="F297" t="s">
        <v>648</v>
      </c>
      <c r="G297" t="str">
        <f>INDEX(Parametria!H:H,MATCH(Tabla_Consulta_desde_Reporte_de_Valorización_de_Instrumentos[[#This Row],[CODIGO_SBS]],Parametria!C:C,0),1)</f>
        <v>Groupama - Avenir Euro (Mid Small Caps)</v>
      </c>
      <c r="H297" t="s">
        <v>649</v>
      </c>
      <c r="I297" t="s">
        <v>156</v>
      </c>
      <c r="J297" t="s">
        <v>650</v>
      </c>
      <c r="K297" t="s">
        <v>57</v>
      </c>
      <c r="L297">
        <v>1</v>
      </c>
      <c r="M297" s="5">
        <v>3001.6056490000001</v>
      </c>
      <c r="N297">
        <v>760.66416000000004</v>
      </c>
      <c r="O297">
        <v>1.6619999999999999</v>
      </c>
      <c r="P297" s="15"/>
      <c r="R297">
        <v>3.9460326999999999</v>
      </c>
      <c r="S297" t="s">
        <v>428</v>
      </c>
      <c r="T297">
        <v>2993.5740039000002</v>
      </c>
      <c r="U297" s="5">
        <v>757.40664000000004</v>
      </c>
      <c r="V297" t="s">
        <v>156</v>
      </c>
      <c r="W297">
        <v>0</v>
      </c>
      <c r="X297">
        <v>0</v>
      </c>
      <c r="Y297">
        <v>0</v>
      </c>
      <c r="Z297">
        <v>1.96</v>
      </c>
      <c r="AA297" t="str">
        <f>+MID(Tabla_Consulta_desde_Reporte_de_Valorización_de_Instrumentos[[#This Row],[CODIGO_SBS]],7,1)</f>
        <v>4</v>
      </c>
      <c r="AB297">
        <f>INDEX('Cálculo Caja'!F:F,MATCH(Tabla_Consulta_desde_Reporte_de_Valorización_de_Instrumentos[[#This Row],[PORTAFOLIO]],'Cálculo Caja'!A:A,0),1)</f>
        <v>26256910350.436607</v>
      </c>
      <c r="AC297" s="17">
        <f>Tabla_Consulta_desde_Reporte_de_Valorización_de_Instrumentos[[#This Row],[VALOR_VECTOR_LOCAL]]/Tabla_Consulta_desde_Reporte_de_Valorización_de_Instrumentos[[#This Row],[Patrimonio]]</f>
        <v>1.1431678780706537E-7</v>
      </c>
      <c r="AD297" s="4">
        <f>(Tabla_Consulta_desde_Reporte_de_Valorización_de_Instrumentos[[#This Row],[VALOR_VECTOR_LOCAL]]/INDEX('Tipo de Cambio'!$D:$D,MATCH("2",'Tipo de Cambio'!$E:$E,0),1))/1000000</f>
        <v>8.930957924960576E-4</v>
      </c>
      <c r="AE297">
        <f>IF(Tabla_Consulta_desde_Reporte_de_Valorización_de_Instrumentos[[#This Row],[PORTAFOLIO]]="IN-FONDO0",Tabla_Consulta_desde_Reporte_de_Valorización_de_Instrumentos[[#This Row],[Inv MM$]],0)</f>
        <v>0</v>
      </c>
      <c r="AF297" s="26">
        <f>IF(Tabla_Consulta_desde_Reporte_de_Valorización_de_Instrumentos[[#This Row],[PORTAFOLIO]]="IN-FONDO1",Tabla_Consulta_desde_Reporte_de_Valorización_de_Instrumentos[[#This Row],[Inv MM$]],0)</f>
        <v>0</v>
      </c>
      <c r="AG297" s="26">
        <f>IF(Tabla_Consulta_desde_Reporte_de_Valorización_de_Instrumentos[[#This Row],[PORTAFOLIO]]="IN-FONDO2",Tabla_Consulta_desde_Reporte_de_Valorización_de_Instrumentos[[#This Row],[Inv MM$]],0)</f>
        <v>8.930957924960576E-4</v>
      </c>
      <c r="AH297" s="26">
        <f>IF(Tabla_Consulta_desde_Reporte_de_Valorización_de_Instrumentos[[#This Row],[PORTAFOLIO]]="IN-FONDO3",Tabla_Consulta_desde_Reporte_de_Valorización_de_Instrumentos[[#This Row],[Inv MM$]],0)</f>
        <v>0</v>
      </c>
      <c r="AI29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2.1709428409652175E-3</v>
      </c>
      <c r="AJ297" s="26">
        <f>IFERROR(IFERROR(INDEX('BD(MSCI)'!$T:$T,MATCH(Tabla_Consulta_desde_Reporte_de_Valorización_de_Instrumentos[[#This Row],[CODIGO_ISIN]],'BD(MSCI)'!$C:$C,0),1),INDEX('BD(MSCI)'!$T:$T,MATCH(Tabla_Consulta_desde_Reporte_de_Valorización_de_Instrumentos[[#This Row],[CODIGO_SBS]],'BD(MSCI)'!$C:$C,0),1)),0)</f>
        <v>11.37433998</v>
      </c>
      <c r="AK297" s="26">
        <f>Tabla_Consulta_desde_Reporte_de_Valorización_de_Instrumentos[[#This Row],[C02-H]]*Tabla_Consulta_desde_Reporte_de_Valorización_de_Instrumentos[[#This Row],[Inv MM$]]</f>
        <v>1.0158375178557692E-2</v>
      </c>
      <c r="AL297" s="26">
        <f>Tabla_Consulta_desde_Reporte_de_Valorización_de_Instrumentos[[#This Row],[C02-H]]*Tabla_Consulta_desde_Reporte_de_Valorización_de_Instrumentos[[#This Row],[Weight]]</f>
        <v>1.30027800993908E-6</v>
      </c>
      <c r="AM297" s="26" t="str">
        <f>INDEX(Parametria!G:G,MATCH(Tabla_Consulta_desde_Reporte_de_Valorización_de_Instrumentos[[#This Row],[CODIGO_SBS]],Parametria!C:C,0))</f>
        <v>52RVI</v>
      </c>
      <c r="AN297" s="26" t="str">
        <f>INDEX(Parametria!F:F,MATCH(Tabla_Consulta_desde_Reporte_de_Valorización_de_Instrumentos[[#This Row],[CODIGO_SBS]],Parametria!C:C,0))</f>
        <v>TD</v>
      </c>
      <c r="AO297" s="26" t="str">
        <f>+INDEX(Parametria!J:J,MATCH(Tabla_Consulta_desde_Reporte_de_Valorización_de_Instrumentos[[#This Row],[CODIGO_SBS]],Parametria!C:C,0))</f>
        <v>RVITD</v>
      </c>
      <c r="AP297" s="26">
        <f>Tabla_Consulta_desde_Reporte_de_Valorización_de_Instrumentos[[#This Row],[Huella]]/$AU$4</f>
        <v>9.4172988357568764E-7</v>
      </c>
      <c r="AQ297" s="26" t="str">
        <f>IFERROR(INDEX('BD(MSCI)'!W:W,MATCH(Tabla_Consulta_desde_Reporte_de_Valorización_de_Instrumentos[[#This Row],[CODIGO_ISIN]],'BD(MSCI)'!C:C,0)),IF(Tabla_Consulta_desde_Reporte_de_Valorización_de_Instrumentos[[#This Row],[Rank_rt]]="Cash","Cash","Cuestionario Integra"))</f>
        <v>ETF</v>
      </c>
      <c r="AR297" s="26" t="str">
        <f>IFERROR(INDEX('BD(MSCI)'!X:X,MATCH(Tabla_Consulta_desde_Reporte_de_Valorización_de_Instrumentos[[#This Row],[CODIGO_ISIN]],'BD(MSCI)'!C:C,0)),"Cuestionario Integra")</f>
        <v>Otros ETFs</v>
      </c>
      <c r="AU297" s="26"/>
    </row>
    <row r="298" spans="2:47" hidden="1" x14ac:dyDescent="0.25">
      <c r="B298" s="14" t="s">
        <v>6390</v>
      </c>
      <c r="C298" t="s">
        <v>586</v>
      </c>
      <c r="D298" t="s">
        <v>12</v>
      </c>
      <c r="E298" t="s">
        <v>587</v>
      </c>
      <c r="F298" t="s">
        <v>648</v>
      </c>
      <c r="G298" t="str">
        <f>INDEX(Parametria!H:H,MATCH(Tabla_Consulta_desde_Reporte_de_Valorización_de_Instrumentos[[#This Row],[CODIGO_SBS]],Parametria!C:C,0),1)</f>
        <v>Groupama - Avenir Euro (Mid Small Caps)</v>
      </c>
      <c r="H298" t="s">
        <v>649</v>
      </c>
      <c r="I298" t="s">
        <v>156</v>
      </c>
      <c r="J298" t="s">
        <v>650</v>
      </c>
      <c r="K298" t="s">
        <v>57</v>
      </c>
      <c r="L298">
        <v>1</v>
      </c>
      <c r="M298" s="5">
        <v>1806.0202460999999</v>
      </c>
      <c r="N298">
        <v>457.68</v>
      </c>
      <c r="O298">
        <v>1</v>
      </c>
      <c r="P298" s="15"/>
      <c r="R298">
        <v>3.9460326999999999</v>
      </c>
      <c r="S298" t="s">
        <v>428</v>
      </c>
      <c r="T298">
        <v>1801.1877280000001</v>
      </c>
      <c r="U298" s="5">
        <v>455.72</v>
      </c>
      <c r="V298" t="s">
        <v>156</v>
      </c>
      <c r="W298">
        <v>0</v>
      </c>
      <c r="X298">
        <v>0</v>
      </c>
      <c r="Y298">
        <v>0</v>
      </c>
      <c r="Z298">
        <v>1.96</v>
      </c>
      <c r="AA298" t="str">
        <f>+MID(Tabla_Consulta_desde_Reporte_de_Valorización_de_Instrumentos[[#This Row],[CODIGO_SBS]],7,1)</f>
        <v>4</v>
      </c>
      <c r="AB298">
        <f>INDEX('Cálculo Caja'!F:F,MATCH(Tabla_Consulta_desde_Reporte_de_Valorización_de_Instrumentos[[#This Row],[PORTAFOLIO]],'Cálculo Caja'!A:A,0),1)</f>
        <v>7679510866.0565634</v>
      </c>
      <c r="AC298" s="17">
        <f>Tabla_Consulta_desde_Reporte_de_Valorización_de_Instrumentos[[#This Row],[VALOR_VECTOR_LOCAL]]/Tabla_Consulta_desde_Reporte_de_Valorización_de_Instrumentos[[#This Row],[Patrimonio]]</f>
        <v>2.3517386427338869E-7</v>
      </c>
      <c r="AD298" s="4">
        <f>(Tabla_Consulta_desde_Reporte_de_Valorización_de_Instrumentos[[#This Row],[VALOR_VECTOR_LOCAL]]/INDEX('Tipo de Cambio'!$D:$D,MATCH("2",'Tipo de Cambio'!$E:$E,0),1))/1000000</f>
        <v>5.3736208935106658E-4</v>
      </c>
      <c r="AE298">
        <f>IF(Tabla_Consulta_desde_Reporte_de_Valorización_de_Instrumentos[[#This Row],[PORTAFOLIO]]="IN-FONDO0",Tabla_Consulta_desde_Reporte_de_Valorización_de_Instrumentos[[#This Row],[Inv MM$]],0)</f>
        <v>0</v>
      </c>
      <c r="AF298" s="26">
        <f>IF(Tabla_Consulta_desde_Reporte_de_Valorización_de_Instrumentos[[#This Row],[PORTAFOLIO]]="IN-FONDO1",Tabla_Consulta_desde_Reporte_de_Valorización_de_Instrumentos[[#This Row],[Inv MM$]],0)</f>
        <v>5.3736208935106658E-4</v>
      </c>
      <c r="AG298" s="26">
        <f>IF(Tabla_Consulta_desde_Reporte_de_Valorización_de_Instrumentos[[#This Row],[PORTAFOLIO]]="IN-FONDO2",Tabla_Consulta_desde_Reporte_de_Valorización_de_Instrumentos[[#This Row],[Inv MM$]],0)</f>
        <v>0</v>
      </c>
      <c r="AH298" s="26">
        <f>IF(Tabla_Consulta_desde_Reporte_de_Valorización_de_Instrumentos[[#This Row],[PORTAFOLIO]]="IN-FONDO3",Tabla_Consulta_desde_Reporte_de_Valorización_de_Instrumentos[[#This Row],[Inv MM$]],0)</f>
        <v>0</v>
      </c>
      <c r="AI29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2.1709428409652175E-3</v>
      </c>
      <c r="AJ298" s="26">
        <f>IFERROR(IFERROR(INDEX('BD(MSCI)'!$T:$T,MATCH(Tabla_Consulta_desde_Reporte_de_Valorización_de_Instrumentos[[#This Row],[CODIGO_ISIN]],'BD(MSCI)'!$C:$C,0),1),INDEX('BD(MSCI)'!$T:$T,MATCH(Tabla_Consulta_desde_Reporte_de_Valorización_de_Instrumentos[[#This Row],[CODIGO_SBS]],'BD(MSCI)'!$C:$C,0),1)),0)</f>
        <v>11.37433998</v>
      </c>
      <c r="AK298" s="26">
        <f>Tabla_Consulta_desde_Reporte_de_Valorización_de_Instrumentos[[#This Row],[C02-H]]*Tabla_Consulta_desde_Reporte_de_Valorización_de_Instrumentos[[#This Row],[Inv MM$]]</f>
        <v>6.112139096642169E-3</v>
      </c>
      <c r="AL298" s="26">
        <f>Tabla_Consulta_desde_Reporte_de_Valorización_de_Instrumentos[[#This Row],[C02-H]]*Tabla_Consulta_desde_Reporte_de_Valorización_de_Instrumentos[[#This Row],[Weight]]</f>
        <v>2.6749474866558988E-6</v>
      </c>
      <c r="AM298" s="26" t="str">
        <f>INDEX(Parametria!G:G,MATCH(Tabla_Consulta_desde_Reporte_de_Valorización_de_Instrumentos[[#This Row],[CODIGO_SBS]],Parametria!C:C,0))</f>
        <v>52RVI</v>
      </c>
      <c r="AN298" s="26" t="str">
        <f>INDEX(Parametria!F:F,MATCH(Tabla_Consulta_desde_Reporte_de_Valorización_de_Instrumentos[[#This Row],[CODIGO_SBS]],Parametria!C:C,0))</f>
        <v>TD</v>
      </c>
      <c r="AO298" s="26" t="str">
        <f>+INDEX(Parametria!J:J,MATCH(Tabla_Consulta_desde_Reporte_de_Valorización_de_Instrumentos[[#This Row],[CODIGO_SBS]],Parametria!C:C,0))</f>
        <v>RVITD</v>
      </c>
      <c r="AP298" s="26">
        <f>Tabla_Consulta_desde_Reporte_de_Valorización_de_Instrumentos[[#This Row],[Huella]]/$AU$4</f>
        <v>5.6662447868916821E-7</v>
      </c>
      <c r="AQ298" s="26" t="str">
        <f>IFERROR(INDEX('BD(MSCI)'!W:W,MATCH(Tabla_Consulta_desde_Reporte_de_Valorización_de_Instrumentos[[#This Row],[CODIGO_ISIN]],'BD(MSCI)'!C:C,0)),IF(Tabla_Consulta_desde_Reporte_de_Valorización_de_Instrumentos[[#This Row],[Rank_rt]]="Cash","Cash","Cuestionario Integra"))</f>
        <v>ETF</v>
      </c>
      <c r="AR298" s="26" t="str">
        <f>IFERROR(INDEX('BD(MSCI)'!X:X,MATCH(Tabla_Consulta_desde_Reporte_de_Valorización_de_Instrumentos[[#This Row],[CODIGO_ISIN]],'BD(MSCI)'!C:C,0)),"Cuestionario Integra")</f>
        <v>Otros ETFs</v>
      </c>
      <c r="AU298" s="26"/>
    </row>
    <row r="299" spans="2:47" hidden="1" x14ac:dyDescent="0.25">
      <c r="B299" s="14" t="s">
        <v>6390</v>
      </c>
      <c r="C299" t="s">
        <v>586</v>
      </c>
      <c r="D299" t="s">
        <v>12</v>
      </c>
      <c r="E299" t="s">
        <v>587</v>
      </c>
      <c r="F299" t="s">
        <v>651</v>
      </c>
      <c r="G299" t="str">
        <f>INDEX(Parametria!H:H,MATCH(Tabla_Consulta_desde_Reporte_de_Valorización_de_Instrumentos[[#This Row],[CODIGO_SBS]],Parametria!C:C,0),1)</f>
        <v>Pimco - US High Yield Bond</v>
      </c>
      <c r="H299" t="s">
        <v>652</v>
      </c>
      <c r="I299" t="s">
        <v>156</v>
      </c>
      <c r="J299" t="s">
        <v>653</v>
      </c>
      <c r="K299" t="s">
        <v>50</v>
      </c>
      <c r="L299">
        <v>35.94</v>
      </c>
      <c r="M299" s="5">
        <v>159.87801300000001</v>
      </c>
      <c r="N299">
        <v>47.57</v>
      </c>
      <c r="O299">
        <v>1</v>
      </c>
      <c r="P299" s="15"/>
      <c r="R299">
        <v>3.3609</v>
      </c>
      <c r="S299" t="s">
        <v>155</v>
      </c>
      <c r="T299">
        <v>159.85800399999999</v>
      </c>
      <c r="U299" s="5">
        <v>47.54</v>
      </c>
      <c r="V299" t="s">
        <v>156</v>
      </c>
      <c r="W299">
        <v>0</v>
      </c>
      <c r="X299">
        <v>0</v>
      </c>
      <c r="Y299">
        <v>0</v>
      </c>
      <c r="Z299">
        <v>0.03</v>
      </c>
      <c r="AA299" t="str">
        <f>+MID(Tabla_Consulta_desde_Reporte_de_Valorización_de_Instrumentos[[#This Row],[CODIGO_SBS]],7,1)</f>
        <v>2</v>
      </c>
      <c r="AB299">
        <f>INDEX('Cálculo Caja'!F:F,MATCH(Tabla_Consulta_desde_Reporte_de_Valorización_de_Instrumentos[[#This Row],[PORTAFOLIO]],'Cálculo Caja'!A:A,0),1)</f>
        <v>7679510866.0565634</v>
      </c>
      <c r="AC299" s="17">
        <f>Tabla_Consulta_desde_Reporte_de_Valorización_de_Instrumentos[[#This Row],[VALOR_VECTOR_LOCAL]]/Tabla_Consulta_desde_Reporte_de_Valorización_de_Instrumentos[[#This Row],[Patrimonio]]</f>
        <v>2.0818775542939954E-8</v>
      </c>
      <c r="AD299" s="4">
        <f>(Tabla_Consulta_desde_Reporte_de_Valorización_de_Instrumentos[[#This Row],[VALOR_VECTOR_LOCAL]]/INDEX('Tipo de Cambio'!$D:$D,MATCH("2",'Tipo de Cambio'!$E:$E,0),1))/1000000</f>
        <v>4.757E-5</v>
      </c>
      <c r="AE299">
        <f>IF(Tabla_Consulta_desde_Reporte_de_Valorización_de_Instrumentos[[#This Row],[PORTAFOLIO]]="IN-FONDO0",Tabla_Consulta_desde_Reporte_de_Valorización_de_Instrumentos[[#This Row],[Inv MM$]],0)</f>
        <v>0</v>
      </c>
      <c r="AF299" s="26">
        <f>IF(Tabla_Consulta_desde_Reporte_de_Valorización_de_Instrumentos[[#This Row],[PORTAFOLIO]]="IN-FONDO1",Tabla_Consulta_desde_Reporte_de_Valorización_de_Instrumentos[[#This Row],[Inv MM$]],0)</f>
        <v>4.757E-5</v>
      </c>
      <c r="AG299" s="26">
        <f>IF(Tabla_Consulta_desde_Reporte_de_Valorización_de_Instrumentos[[#This Row],[PORTAFOLIO]]="IN-FONDO2",Tabla_Consulta_desde_Reporte_de_Valorización_de_Instrumentos[[#This Row],[Inv MM$]],0)</f>
        <v>0</v>
      </c>
      <c r="AH299" s="26">
        <f>IF(Tabla_Consulta_desde_Reporte_de_Valorización_de_Instrumentos[[#This Row],[PORTAFOLIO]]="IN-FONDO3",Tabla_Consulta_desde_Reporte_de_Valorización_de_Instrumentos[[#This Row],[Inv MM$]],0)</f>
        <v>0</v>
      </c>
      <c r="AI29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9.5140000000000001E-5</v>
      </c>
      <c r="AJ299" s="26">
        <f>IFERROR(IFERROR(INDEX('BD(MSCI)'!$T:$T,MATCH(Tabla_Consulta_desde_Reporte_de_Valorización_de_Instrumentos[[#This Row],[CODIGO_ISIN]],'BD(MSCI)'!$C:$C,0),1),INDEX('BD(MSCI)'!$T:$T,MATCH(Tabla_Consulta_desde_Reporte_de_Valorización_de_Instrumentos[[#This Row],[CODIGO_SBS]],'BD(MSCI)'!$C:$C,0),1)),0)</f>
        <v>106.87427083999999</v>
      </c>
      <c r="AK299" s="26">
        <f>Tabla_Consulta_desde_Reporte_de_Valorización_de_Instrumentos[[#This Row],[C02-H]]*Tabla_Consulta_desde_Reporte_de_Valorización_de_Instrumentos[[#This Row],[Inv MM$]]</f>
        <v>5.0840090638587998E-3</v>
      </c>
      <c r="AL299" s="26">
        <f>Tabla_Consulta_desde_Reporte_de_Valorización_de_Instrumentos[[#This Row],[C02-H]]*Tabla_Consulta_desde_Reporte_de_Valorización_de_Instrumentos[[#This Row],[Weight]]</f>
        <v>2.2249914559333324E-6</v>
      </c>
      <c r="AM299" s="26" t="str">
        <f>INDEX(Parametria!G:G,MATCH(Tabla_Consulta_desde_Reporte_de_Valorización_de_Instrumentos[[#This Row],[CODIGO_SBS]],Parametria!C:C,0))</f>
        <v>52RFIG</v>
      </c>
      <c r="AN299" s="26" t="str">
        <f>INDEX(Parametria!F:F,MATCH(Tabla_Consulta_desde_Reporte_de_Valorización_de_Instrumentos[[#This Row],[CODIGO_SBS]],Parametria!C:C,0))</f>
        <v>TD</v>
      </c>
      <c r="AO299" s="26" t="str">
        <f>+INDEX(Parametria!J:J,MATCH(Tabla_Consulta_desde_Reporte_de_Valorización_de_Instrumentos[[#This Row],[CODIGO_SBS]],Parametria!C:C,0))</f>
        <v>RFITD</v>
      </c>
      <c r="AP299" s="26">
        <f>Tabla_Consulta_desde_Reporte_de_Valorización_de_Instrumentos[[#This Row],[Huella]]/$AU$4</f>
        <v>4.7131191550313118E-7</v>
      </c>
      <c r="AQ299" s="26" t="str">
        <f>IFERROR(INDEX('BD(MSCI)'!W:W,MATCH(Tabla_Consulta_desde_Reporte_de_Valorización_de_Instrumentos[[#This Row],[CODIGO_ISIN]],'BD(MSCI)'!C:C,0)),IF(Tabla_Consulta_desde_Reporte_de_Valorización_de_Instrumentos[[#This Row],[Rank_rt]]="Cash","Cash","Cuestionario Integra"))</f>
        <v>ETF</v>
      </c>
      <c r="AR299" s="26" t="str">
        <f>IFERROR(INDEX('BD(MSCI)'!X:X,MATCH(Tabla_Consulta_desde_Reporte_de_Valorización_de_Instrumentos[[#This Row],[CODIGO_ISIN]],'BD(MSCI)'!C:C,0)),"Cuestionario Integra")</f>
        <v>Otros ETFs</v>
      </c>
      <c r="AU299" s="26"/>
    </row>
    <row r="300" spans="2:47" hidden="1" x14ac:dyDescent="0.25">
      <c r="B300" s="14" t="s">
        <v>6390</v>
      </c>
      <c r="C300" t="s">
        <v>586</v>
      </c>
      <c r="D300" t="s">
        <v>12</v>
      </c>
      <c r="E300" t="s">
        <v>587</v>
      </c>
      <c r="F300" t="s">
        <v>860</v>
      </c>
      <c r="G300" t="str">
        <f>INDEX(Parametria!H:H,MATCH(Tabla_Consulta_desde_Reporte_de_Valorización_de_Instrumentos[[#This Row],[CODIGO_SBS]],Parametria!C:C,0),1)</f>
        <v>PIMCO - Asia High Yield Bond Fund</v>
      </c>
      <c r="H300" t="s">
        <v>861</v>
      </c>
      <c r="I300" t="s">
        <v>156</v>
      </c>
      <c r="J300" t="s">
        <v>653</v>
      </c>
      <c r="K300" t="s">
        <v>50</v>
      </c>
      <c r="L300">
        <v>1</v>
      </c>
      <c r="M300" s="5">
        <v>43564248.827025197</v>
      </c>
      <c r="N300">
        <v>12962078.26089</v>
      </c>
      <c r="O300">
        <v>1156296.0090000001</v>
      </c>
      <c r="P300" s="15"/>
      <c r="R300">
        <v>3.3609</v>
      </c>
      <c r="S300" t="s">
        <v>155</v>
      </c>
      <c r="T300">
        <v>43586284.360068701</v>
      </c>
      <c r="U300" s="5">
        <v>12962078.26089</v>
      </c>
      <c r="V300" t="s">
        <v>156</v>
      </c>
      <c r="W300">
        <v>0</v>
      </c>
      <c r="X300">
        <v>0</v>
      </c>
      <c r="Y300">
        <v>0</v>
      </c>
      <c r="Z300">
        <v>0</v>
      </c>
      <c r="AA300" t="str">
        <f>+MID(Tabla_Consulta_desde_Reporte_de_Valorización_de_Instrumentos[[#This Row],[CODIGO_SBS]],7,1)</f>
        <v>2</v>
      </c>
      <c r="AB300">
        <f>INDEX('Cálculo Caja'!F:F,MATCH(Tabla_Consulta_desde_Reporte_de_Valorización_de_Instrumentos[[#This Row],[PORTAFOLIO]],'Cálculo Caja'!A:A,0),1)</f>
        <v>7679510866.0565634</v>
      </c>
      <c r="AC300" s="17">
        <f>Tabla_Consulta_desde_Reporte_de_Valorización_de_Instrumentos[[#This Row],[VALOR_VECTOR_LOCAL]]/Tabla_Consulta_desde_Reporte_de_Valorización_de_Instrumentos[[#This Row],[Patrimonio]]</f>
        <v>5.672789528767928E-3</v>
      </c>
      <c r="AD300" s="4">
        <f>(Tabla_Consulta_desde_Reporte_de_Valorización_de_Instrumentos[[#This Row],[VALOR_VECTOR_LOCAL]]/INDEX('Tipo de Cambio'!$D:$D,MATCH("2",'Tipo de Cambio'!$E:$E,0),1))/1000000</f>
        <v>12.962078260889999</v>
      </c>
      <c r="AE300">
        <f>IF(Tabla_Consulta_desde_Reporte_de_Valorización_de_Instrumentos[[#This Row],[PORTAFOLIO]]="IN-FONDO0",Tabla_Consulta_desde_Reporte_de_Valorización_de_Instrumentos[[#This Row],[Inv MM$]],0)</f>
        <v>0</v>
      </c>
      <c r="AF300" s="26">
        <f>IF(Tabla_Consulta_desde_Reporte_de_Valorización_de_Instrumentos[[#This Row],[PORTAFOLIO]]="IN-FONDO1",Tabla_Consulta_desde_Reporte_de_Valorización_de_Instrumentos[[#This Row],[Inv MM$]],0)</f>
        <v>12.962078260889999</v>
      </c>
      <c r="AG300" s="26">
        <f>IF(Tabla_Consulta_desde_Reporte_de_Valorización_de_Instrumentos[[#This Row],[PORTAFOLIO]]="IN-FONDO2",Tabla_Consulta_desde_Reporte_de_Valorización_de_Instrumentos[[#This Row],[Inv MM$]],0)</f>
        <v>0</v>
      </c>
      <c r="AH300" s="26">
        <f>IF(Tabla_Consulta_desde_Reporte_de_Valorización_de_Instrumentos[[#This Row],[PORTAFOLIO]]="IN-FONDO3",Tabla_Consulta_desde_Reporte_de_Valorización_de_Instrumentos[[#This Row],[Inv MM$]],0)</f>
        <v>0</v>
      </c>
      <c r="AI30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12.962090053809991</v>
      </c>
      <c r="AJ300" s="26">
        <f>IFERROR(IFERROR(INDEX('BD(MSCI)'!$T:$T,MATCH(Tabla_Consulta_desde_Reporte_de_Valorización_de_Instrumentos[[#This Row],[CODIGO_ISIN]],'BD(MSCI)'!$C:$C,0),1),INDEX('BD(MSCI)'!$T:$T,MATCH(Tabla_Consulta_desde_Reporte_de_Valorización_de_Instrumentos[[#This Row],[CODIGO_SBS]],'BD(MSCI)'!$C:$C,0),1)),0)</f>
        <v>415.65856077000001</v>
      </c>
      <c r="AK300" s="26">
        <f>Tabla_Consulta_desde_Reporte_de_Valorización_de_Instrumentos[[#This Row],[C02-H]]*Tabla_Consulta_desde_Reporte_de_Valorización_de_Instrumentos[[#This Row],[Inv MM$]]</f>
        <v>5387.798794509642</v>
      </c>
      <c r="AL300" s="26">
        <f>Tabla_Consulta_desde_Reporte_de_Valorización_de_Instrumentos[[#This Row],[C02-H]]*Tabla_Consulta_desde_Reporte_de_Valorización_de_Instrumentos[[#This Row],[Weight]]</f>
        <v>2.3579435310788037</v>
      </c>
      <c r="AM300" s="26" t="str">
        <f>INDEX(Parametria!G:G,MATCH(Tabla_Consulta_desde_Reporte_de_Valorización_de_Instrumentos[[#This Row],[CODIGO_SBS]],Parametria!C:C,0))</f>
        <v>52RFIG</v>
      </c>
      <c r="AN300" s="26" t="str">
        <f>INDEX(Parametria!F:F,MATCH(Tabla_Consulta_desde_Reporte_de_Valorización_de_Instrumentos[[#This Row],[CODIGO_SBS]],Parametria!C:C,0))</f>
        <v>TD</v>
      </c>
      <c r="AO300" s="26" t="str">
        <f>+INDEX(Parametria!J:J,MATCH(Tabla_Consulta_desde_Reporte_de_Valorización_de_Instrumentos[[#This Row],[CODIGO_SBS]],Parametria!C:C,0))</f>
        <v>RFITD</v>
      </c>
      <c r="AP300" s="26">
        <f>Tabla_Consulta_desde_Reporte_de_Valorización_de_Instrumentos[[#This Row],[Huella]]/$AU$4</f>
        <v>0.49947467407904811</v>
      </c>
      <c r="AQ300" s="26" t="str">
        <f>IFERROR(INDEX('BD(MSCI)'!W:W,MATCH(Tabla_Consulta_desde_Reporte_de_Valorización_de_Instrumentos[[#This Row],[CODIGO_ISIN]],'BD(MSCI)'!C:C,0)),IF(Tabla_Consulta_desde_Reporte_de_Valorización_de_Instrumentos[[#This Row],[Rank_rt]]="Cash","Cash","Cuestionario Integra"))</f>
        <v>ETF</v>
      </c>
      <c r="AR300" s="26" t="str">
        <f>IFERROR(INDEX('BD(MSCI)'!X:X,MATCH(Tabla_Consulta_desde_Reporte_de_Valorización_de_Instrumentos[[#This Row],[CODIGO_ISIN]],'BD(MSCI)'!C:C,0)),"Cuestionario Integra")</f>
        <v>Otros ETFs</v>
      </c>
      <c r="AU300" s="26"/>
    </row>
    <row r="301" spans="2:47" hidden="1" x14ac:dyDescent="0.25">
      <c r="B301" s="14" t="s">
        <v>6390</v>
      </c>
      <c r="C301" t="s">
        <v>586</v>
      </c>
      <c r="D301" t="s">
        <v>12</v>
      </c>
      <c r="E301" t="s">
        <v>587</v>
      </c>
      <c r="F301" t="s">
        <v>5431</v>
      </c>
      <c r="G301" t="str">
        <f>INDEX(Parametria!H:H,MATCH(Tabla_Consulta_desde_Reporte_de_Valorización_de_Instrumentos[[#This Row],[CODIGO_SBS]],Parametria!C:C,0),1)</f>
        <v>Pimco - GIS Income Fund</v>
      </c>
      <c r="H301" t="s">
        <v>5430</v>
      </c>
      <c r="I301" t="s">
        <v>156</v>
      </c>
      <c r="J301" t="s">
        <v>653</v>
      </c>
      <c r="K301" t="s">
        <v>50</v>
      </c>
      <c r="L301">
        <v>12</v>
      </c>
      <c r="M301" s="5">
        <v>51354220.830055103</v>
      </c>
      <c r="N301">
        <v>15279901.46391</v>
      </c>
      <c r="O301">
        <v>762850.79700000002</v>
      </c>
      <c r="P301" s="15"/>
      <c r="R301">
        <v>3.3609</v>
      </c>
      <c r="S301" t="s">
        <v>155</v>
      </c>
      <c r="T301">
        <v>51354545.041643798</v>
      </c>
      <c r="U301" s="5">
        <v>15272272.955940001</v>
      </c>
      <c r="V301" t="s">
        <v>156</v>
      </c>
      <c r="W301">
        <v>0</v>
      </c>
      <c r="X301">
        <v>0</v>
      </c>
      <c r="Y301">
        <v>0</v>
      </c>
      <c r="Z301">
        <v>0.01</v>
      </c>
      <c r="AA301" t="str">
        <f>+MID(Tabla_Consulta_desde_Reporte_de_Valorización_de_Instrumentos[[#This Row],[CODIGO_SBS]],7,1)</f>
        <v>2</v>
      </c>
      <c r="AB301">
        <f>INDEX('Cálculo Caja'!F:F,MATCH(Tabla_Consulta_desde_Reporte_de_Valorización_de_Instrumentos[[#This Row],[PORTAFOLIO]],'Cálculo Caja'!A:A,0),1)</f>
        <v>7679510866.0565634</v>
      </c>
      <c r="AC301" s="17">
        <f>Tabla_Consulta_desde_Reporte_de_Valorización_de_Instrumentos[[#This Row],[VALOR_VECTOR_LOCAL]]/Tabla_Consulta_desde_Reporte_de_Valorización_de_Instrumentos[[#This Row],[Patrimonio]]</f>
        <v>6.6871734054105908E-3</v>
      </c>
      <c r="AD301" s="4">
        <f>(Tabla_Consulta_desde_Reporte_de_Valorización_de_Instrumentos[[#This Row],[VALOR_VECTOR_LOCAL]]/INDEX('Tipo de Cambio'!$D:$D,MATCH("2",'Tipo de Cambio'!$E:$E,0),1))/1000000</f>
        <v>15.279901463909995</v>
      </c>
      <c r="AE301">
        <f>IF(Tabla_Consulta_desde_Reporte_de_Valorización_de_Instrumentos[[#This Row],[PORTAFOLIO]]="IN-FONDO0",Tabla_Consulta_desde_Reporte_de_Valorización_de_Instrumentos[[#This Row],[Inv MM$]],0)</f>
        <v>0</v>
      </c>
      <c r="AF301" s="26">
        <f>IF(Tabla_Consulta_desde_Reporte_de_Valorización_de_Instrumentos[[#This Row],[PORTAFOLIO]]="IN-FONDO1",Tabla_Consulta_desde_Reporte_de_Valorización_de_Instrumentos[[#This Row],[Inv MM$]],0)</f>
        <v>15.279901463909995</v>
      </c>
      <c r="AG301" s="26">
        <f>IF(Tabla_Consulta_desde_Reporte_de_Valorización_de_Instrumentos[[#This Row],[PORTAFOLIO]]="IN-FONDO2",Tabla_Consulta_desde_Reporte_de_Valorización_de_Instrumentos[[#This Row],[Inv MM$]],0)</f>
        <v>0</v>
      </c>
      <c r="AH301" s="26">
        <f>IF(Tabla_Consulta_desde_Reporte_de_Valorización_de_Instrumentos[[#This Row],[PORTAFOLIO]]="IN-FONDO3",Tabla_Consulta_desde_Reporte_de_Valorización_de_Instrumentos[[#This Row],[Inv MM$]],0)</f>
        <v>0</v>
      </c>
      <c r="AI30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15.279933672149991</v>
      </c>
      <c r="AJ301" s="26">
        <f>IFERROR(IFERROR(INDEX('BD(MSCI)'!$T:$T,MATCH(Tabla_Consulta_desde_Reporte_de_Valorización_de_Instrumentos[[#This Row],[CODIGO_ISIN]],'BD(MSCI)'!$C:$C,0),1),INDEX('BD(MSCI)'!$T:$T,MATCH(Tabla_Consulta_desde_Reporte_de_Valorización_de_Instrumentos[[#This Row],[CODIGO_SBS]],'BD(MSCI)'!$C:$C,0),1)),0)</f>
        <v>46.205657029999998</v>
      </c>
      <c r="AK301" s="26">
        <f>Tabla_Consulta_desde_Reporte_de_Valorización_de_Instrumentos[[#This Row],[C02-H]]*Tabla_Consulta_desde_Reporte_de_Valorización_de_Instrumentos[[#This Row],[Inv MM$]]</f>
        <v>706.01788649362015</v>
      </c>
      <c r="AL301" s="26">
        <f>Tabla_Consulta_desde_Reporte_de_Valorización_de_Instrumentos[[#This Row],[C02-H]]*Tabla_Consulta_desde_Reporte_de_Valorización_de_Instrumentos[[#This Row],[Weight]]</f>
        <v>0.30898524087053891</v>
      </c>
      <c r="AM301" s="26" t="str">
        <f>INDEX(Parametria!G:G,MATCH(Tabla_Consulta_desde_Reporte_de_Valorización_de_Instrumentos[[#This Row],[CODIGO_SBS]],Parametria!C:C,0))</f>
        <v>52RFIG</v>
      </c>
      <c r="AN301" s="26" t="str">
        <f>INDEX(Parametria!F:F,MATCH(Tabla_Consulta_desde_Reporte_de_Valorización_de_Instrumentos[[#This Row],[CODIGO_SBS]],Parametria!C:C,0))</f>
        <v>TD</v>
      </c>
      <c r="AO301" s="26" t="str">
        <f>+INDEX(Parametria!J:J,MATCH(Tabla_Consulta_desde_Reporte_de_Valorización_de_Instrumentos[[#This Row],[CODIGO_SBS]],Parametria!C:C,0))</f>
        <v>RFITD</v>
      </c>
      <c r="AP301" s="26">
        <f>Tabla_Consulta_desde_Reporte_de_Valorización_de_Instrumentos[[#This Row],[Huella]]/$AU$4</f>
        <v>6.5451229193957641E-2</v>
      </c>
      <c r="AQ301" s="26" t="str">
        <f>IFERROR(INDEX('BD(MSCI)'!W:W,MATCH(Tabla_Consulta_desde_Reporte_de_Valorización_de_Instrumentos[[#This Row],[CODIGO_ISIN]],'BD(MSCI)'!C:C,0)),IF(Tabla_Consulta_desde_Reporte_de_Valorización_de_Instrumentos[[#This Row],[Rank_rt]]="Cash","Cash","Cuestionario Integra"))</f>
        <v>ETF</v>
      </c>
      <c r="AR301" s="26" t="str">
        <f>IFERROR(INDEX('BD(MSCI)'!X:X,MATCH(Tabla_Consulta_desde_Reporte_de_Valorización_de_Instrumentos[[#This Row],[CODIGO_ISIN]],'BD(MSCI)'!C:C,0)),"Cuestionario Integra")</f>
        <v>Otros ETFs</v>
      </c>
      <c r="AU301" s="26"/>
    </row>
    <row r="302" spans="2:47" hidden="1" x14ac:dyDescent="0.25">
      <c r="B302" s="14" t="s">
        <v>6390</v>
      </c>
      <c r="C302" t="s">
        <v>586</v>
      </c>
      <c r="D302" t="s">
        <v>10</v>
      </c>
      <c r="E302" t="s">
        <v>587</v>
      </c>
      <c r="F302" t="s">
        <v>5431</v>
      </c>
      <c r="G302" t="str">
        <f>INDEX(Parametria!H:H,MATCH(Tabla_Consulta_desde_Reporte_de_Valorización_de_Instrumentos[[#This Row],[CODIGO_SBS]],Parametria!C:C,0),1)</f>
        <v>Pimco - GIS Income Fund</v>
      </c>
      <c r="H302" t="s">
        <v>5430</v>
      </c>
      <c r="I302" t="s">
        <v>156</v>
      </c>
      <c r="J302" t="s">
        <v>653</v>
      </c>
      <c r="K302" t="s">
        <v>50</v>
      </c>
      <c r="L302">
        <v>12</v>
      </c>
      <c r="M302" s="5">
        <v>108.24867380000001</v>
      </c>
      <c r="N302">
        <v>32.208240000000004</v>
      </c>
      <c r="O302">
        <v>1.6080000000000001</v>
      </c>
      <c r="P302" s="15"/>
      <c r="R302">
        <v>3.3609</v>
      </c>
      <c r="S302" t="s">
        <v>155</v>
      </c>
      <c r="T302">
        <v>108.24935720000001</v>
      </c>
      <c r="U302" s="5">
        <v>32.192160000000001</v>
      </c>
      <c r="V302" t="s">
        <v>156</v>
      </c>
      <c r="W302">
        <v>0</v>
      </c>
      <c r="X302">
        <v>0</v>
      </c>
      <c r="Y302">
        <v>0</v>
      </c>
      <c r="Z302">
        <v>0.01</v>
      </c>
      <c r="AA302" t="str">
        <f>+MID(Tabla_Consulta_desde_Reporte_de_Valorización_de_Instrumentos[[#This Row],[CODIGO_SBS]],7,1)</f>
        <v>2</v>
      </c>
      <c r="AB302">
        <f>INDEX('Cálculo Caja'!F:F,MATCH(Tabla_Consulta_desde_Reporte_de_Valorización_de_Instrumentos[[#This Row],[PORTAFOLIO]],'Cálculo Caja'!A:A,0),1)</f>
        <v>26256910350.436607</v>
      </c>
      <c r="AC302" s="17">
        <f>Tabla_Consulta_desde_Reporte_de_Valorización_de_Instrumentos[[#This Row],[VALOR_VECTOR_LOCAL]]/Tabla_Consulta_desde_Reporte_de_Valorización_de_Instrumentos[[#This Row],[Patrimonio]]</f>
        <v>4.1226737020945811E-9</v>
      </c>
      <c r="AD302" s="4">
        <f>(Tabla_Consulta_desde_Reporte_de_Valorización_de_Instrumentos[[#This Row],[VALOR_VECTOR_LOCAL]]/INDEX('Tipo de Cambio'!$D:$D,MATCH("2",'Tipo de Cambio'!$E:$E,0),1))/1000000</f>
        <v>3.2208239995239374E-5</v>
      </c>
      <c r="AE302">
        <f>IF(Tabla_Consulta_desde_Reporte_de_Valorización_de_Instrumentos[[#This Row],[PORTAFOLIO]]="IN-FONDO0",Tabla_Consulta_desde_Reporte_de_Valorización_de_Instrumentos[[#This Row],[Inv MM$]],0)</f>
        <v>0</v>
      </c>
      <c r="AF302" s="26">
        <f>IF(Tabla_Consulta_desde_Reporte_de_Valorización_de_Instrumentos[[#This Row],[PORTAFOLIO]]="IN-FONDO1",Tabla_Consulta_desde_Reporte_de_Valorización_de_Instrumentos[[#This Row],[Inv MM$]],0)</f>
        <v>0</v>
      </c>
      <c r="AG302" s="26">
        <f>IF(Tabla_Consulta_desde_Reporte_de_Valorización_de_Instrumentos[[#This Row],[PORTAFOLIO]]="IN-FONDO2",Tabla_Consulta_desde_Reporte_de_Valorización_de_Instrumentos[[#This Row],[Inv MM$]],0)</f>
        <v>3.2208239995239374E-5</v>
      </c>
      <c r="AH302" s="26">
        <f>IF(Tabla_Consulta_desde_Reporte_de_Valorización_de_Instrumentos[[#This Row],[PORTAFOLIO]]="IN-FONDO3",Tabla_Consulta_desde_Reporte_de_Valorización_de_Instrumentos[[#This Row],[Inv MM$]],0)</f>
        <v>0</v>
      </c>
      <c r="AI30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15.279933672149991</v>
      </c>
      <c r="AJ302" s="26">
        <f>IFERROR(IFERROR(INDEX('BD(MSCI)'!$T:$T,MATCH(Tabla_Consulta_desde_Reporte_de_Valorización_de_Instrumentos[[#This Row],[CODIGO_ISIN]],'BD(MSCI)'!$C:$C,0),1),INDEX('BD(MSCI)'!$T:$T,MATCH(Tabla_Consulta_desde_Reporte_de_Valorización_de_Instrumentos[[#This Row],[CODIGO_SBS]],'BD(MSCI)'!$C:$C,0),1)),0)</f>
        <v>46.205657029999998</v>
      </c>
      <c r="AK302" s="26">
        <f>Tabla_Consulta_desde_Reporte_de_Valorización_de_Instrumentos[[#This Row],[C02-H]]*Tabla_Consulta_desde_Reporte_de_Valorización_de_Instrumentos[[#This Row],[Inv MM$]]</f>
        <v>1.4882028907599592E-3</v>
      </c>
      <c r="AL302" s="26">
        <f>Tabla_Consulta_desde_Reporte_de_Valorización_de_Instrumentos[[#This Row],[C02-H]]*Tabla_Consulta_desde_Reporte_de_Valorización_de_Instrumentos[[#This Row],[Weight]]</f>
        <v>1.904908471255826E-7</v>
      </c>
      <c r="AM302" s="26" t="str">
        <f>INDEX(Parametria!G:G,MATCH(Tabla_Consulta_desde_Reporte_de_Valorización_de_Instrumentos[[#This Row],[CODIGO_SBS]],Parametria!C:C,0))</f>
        <v>52RFIG</v>
      </c>
      <c r="AN302" s="26" t="str">
        <f>INDEX(Parametria!F:F,MATCH(Tabla_Consulta_desde_Reporte_de_Valorización_de_Instrumentos[[#This Row],[CODIGO_SBS]],Parametria!C:C,0))</f>
        <v>TD</v>
      </c>
      <c r="AO302" s="26" t="str">
        <f>+INDEX(Parametria!J:J,MATCH(Tabla_Consulta_desde_Reporte_de_Valorización_de_Instrumentos[[#This Row],[CODIGO_SBS]],Parametria!C:C,0))</f>
        <v>RFITD</v>
      </c>
      <c r="AP302" s="26">
        <f>Tabla_Consulta_desde_Reporte_de_Valorización_de_Instrumentos[[#This Row],[Huella]]/$AU$4</f>
        <v>1.3796351389055155E-7</v>
      </c>
      <c r="AQ302" s="26" t="str">
        <f>IFERROR(INDEX('BD(MSCI)'!W:W,MATCH(Tabla_Consulta_desde_Reporte_de_Valorización_de_Instrumentos[[#This Row],[CODIGO_ISIN]],'BD(MSCI)'!C:C,0)),IF(Tabla_Consulta_desde_Reporte_de_Valorización_de_Instrumentos[[#This Row],[Rank_rt]]="Cash","Cash","Cuestionario Integra"))</f>
        <v>ETF</v>
      </c>
      <c r="AR302" s="26" t="str">
        <f>IFERROR(INDEX('BD(MSCI)'!X:X,MATCH(Tabla_Consulta_desde_Reporte_de_Valorización_de_Instrumentos[[#This Row],[CODIGO_ISIN]],'BD(MSCI)'!C:C,0)),"Cuestionario Integra")</f>
        <v>Otros ETFs</v>
      </c>
      <c r="AU302" s="26"/>
    </row>
    <row r="303" spans="2:47" hidden="1" x14ac:dyDescent="0.25">
      <c r="B303" s="14" t="s">
        <v>6390</v>
      </c>
      <c r="C303" t="s">
        <v>586</v>
      </c>
      <c r="D303" t="s">
        <v>10</v>
      </c>
      <c r="E303" t="s">
        <v>587</v>
      </c>
      <c r="F303" t="s">
        <v>860</v>
      </c>
      <c r="G303" t="str">
        <f>INDEX(Parametria!H:H,MATCH(Tabla_Consulta_desde_Reporte_de_Valorización_de_Instrumentos[[#This Row],[CODIGO_SBS]],Parametria!C:C,0),1)</f>
        <v>PIMCO - Asia High Yield Bond Fund</v>
      </c>
      <c r="H303" t="s">
        <v>861</v>
      </c>
      <c r="I303" t="s">
        <v>156</v>
      </c>
      <c r="J303" t="s">
        <v>653</v>
      </c>
      <c r="K303" t="s">
        <v>50</v>
      </c>
      <c r="L303">
        <v>1</v>
      </c>
      <c r="M303" s="5">
        <v>39.634824799999997</v>
      </c>
      <c r="N303">
        <v>11.792920000000001</v>
      </c>
      <c r="O303">
        <v>1.052</v>
      </c>
      <c r="P303" s="15"/>
      <c r="R303">
        <v>3.3609</v>
      </c>
      <c r="S303" t="s">
        <v>155</v>
      </c>
      <c r="T303">
        <v>39.654872699999999</v>
      </c>
      <c r="U303" s="5">
        <v>11.792920000000001</v>
      </c>
      <c r="V303" t="s">
        <v>156</v>
      </c>
      <c r="W303">
        <v>0</v>
      </c>
      <c r="X303">
        <v>0</v>
      </c>
      <c r="Y303">
        <v>0</v>
      </c>
      <c r="Z303">
        <v>0</v>
      </c>
      <c r="AA303" t="str">
        <f>+MID(Tabla_Consulta_desde_Reporte_de_Valorización_de_Instrumentos[[#This Row],[CODIGO_SBS]],7,1)</f>
        <v>2</v>
      </c>
      <c r="AB303">
        <f>INDEX('Cálculo Caja'!F:F,MATCH(Tabla_Consulta_desde_Reporte_de_Valorización_de_Instrumentos[[#This Row],[PORTAFOLIO]],'Cálculo Caja'!A:A,0),1)</f>
        <v>26256910350.436607</v>
      </c>
      <c r="AC303" s="17">
        <f>Tabla_Consulta_desde_Reporte_de_Valorización_de_Instrumentos[[#This Row],[VALOR_VECTOR_LOCAL]]/Tabla_Consulta_desde_Reporte_de_Valorización_de_Instrumentos[[#This Row],[Patrimonio]]</f>
        <v>1.5095007093757678E-9</v>
      </c>
      <c r="AD303" s="4">
        <f>(Tabla_Consulta_desde_Reporte_de_Valorización_de_Instrumentos[[#This Row],[VALOR_VECTOR_LOCAL]]/INDEX('Tipo de Cambio'!$D:$D,MATCH("2",'Tipo de Cambio'!$E:$E,0),1))/1000000</f>
        <v>1.1792919991668897E-5</v>
      </c>
      <c r="AE303">
        <f>IF(Tabla_Consulta_desde_Reporte_de_Valorización_de_Instrumentos[[#This Row],[PORTAFOLIO]]="IN-FONDO0",Tabla_Consulta_desde_Reporte_de_Valorización_de_Instrumentos[[#This Row],[Inv MM$]],0)</f>
        <v>0</v>
      </c>
      <c r="AF303" s="26">
        <f>IF(Tabla_Consulta_desde_Reporte_de_Valorización_de_Instrumentos[[#This Row],[PORTAFOLIO]]="IN-FONDO1",Tabla_Consulta_desde_Reporte_de_Valorización_de_Instrumentos[[#This Row],[Inv MM$]],0)</f>
        <v>0</v>
      </c>
      <c r="AG303" s="26">
        <f>IF(Tabla_Consulta_desde_Reporte_de_Valorización_de_Instrumentos[[#This Row],[PORTAFOLIO]]="IN-FONDO2",Tabla_Consulta_desde_Reporte_de_Valorización_de_Instrumentos[[#This Row],[Inv MM$]],0)</f>
        <v>1.1792919991668897E-5</v>
      </c>
      <c r="AH303" s="26">
        <f>IF(Tabla_Consulta_desde_Reporte_de_Valorización_de_Instrumentos[[#This Row],[PORTAFOLIO]]="IN-FONDO3",Tabla_Consulta_desde_Reporte_de_Valorización_de_Instrumentos[[#This Row],[Inv MM$]],0)</f>
        <v>0</v>
      </c>
      <c r="AI30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12.962090053809991</v>
      </c>
      <c r="AJ303" s="26">
        <f>IFERROR(IFERROR(INDEX('BD(MSCI)'!$T:$T,MATCH(Tabla_Consulta_desde_Reporte_de_Valorización_de_Instrumentos[[#This Row],[CODIGO_ISIN]],'BD(MSCI)'!$C:$C,0),1),INDEX('BD(MSCI)'!$T:$T,MATCH(Tabla_Consulta_desde_Reporte_de_Valorización_de_Instrumentos[[#This Row],[CODIGO_SBS]],'BD(MSCI)'!$C:$C,0),1)),0)</f>
        <v>415.65856077000001</v>
      </c>
      <c r="AK303" s="26">
        <f>Tabla_Consulta_desde_Reporte_de_Valorización_de_Instrumentos[[#This Row],[C02-H]]*Tabla_Consulta_desde_Reporte_de_Valorización_de_Instrumentos[[#This Row],[Inv MM$]]</f>
        <v>4.9018281510128546E-3</v>
      </c>
      <c r="AL303" s="26">
        <f>Tabla_Consulta_desde_Reporte_de_Valorización_de_Instrumentos[[#This Row],[C02-H]]*Tabla_Consulta_desde_Reporte_de_Valorización_de_Instrumentos[[#This Row],[Weight]]</f>
        <v>6.2743689234042573E-7</v>
      </c>
      <c r="AM303" s="26" t="str">
        <f>INDEX(Parametria!G:G,MATCH(Tabla_Consulta_desde_Reporte_de_Valorización_de_Instrumentos[[#This Row],[CODIGO_SBS]],Parametria!C:C,0))</f>
        <v>52RFIG</v>
      </c>
      <c r="AN303" s="26" t="str">
        <f>INDEX(Parametria!F:F,MATCH(Tabla_Consulta_desde_Reporte_de_Valorización_de_Instrumentos[[#This Row],[CODIGO_SBS]],Parametria!C:C,0))</f>
        <v>TD</v>
      </c>
      <c r="AO303" s="26" t="str">
        <f>+INDEX(Parametria!J:J,MATCH(Tabla_Consulta_desde_Reporte_de_Valorización_de_Instrumentos[[#This Row],[CODIGO_SBS]],Parametria!C:C,0))</f>
        <v>RFITD</v>
      </c>
      <c r="AP303" s="26">
        <f>Tabla_Consulta_desde_Reporte_de_Valorización_de_Instrumentos[[#This Row],[Huella]]/$AU$4</f>
        <v>4.5442287499926553E-7</v>
      </c>
      <c r="AQ303" s="26" t="str">
        <f>IFERROR(INDEX('BD(MSCI)'!W:W,MATCH(Tabla_Consulta_desde_Reporte_de_Valorización_de_Instrumentos[[#This Row],[CODIGO_ISIN]],'BD(MSCI)'!C:C,0)),IF(Tabla_Consulta_desde_Reporte_de_Valorización_de_Instrumentos[[#This Row],[Rank_rt]]="Cash","Cash","Cuestionario Integra"))</f>
        <v>ETF</v>
      </c>
      <c r="AR303" s="26" t="str">
        <f>IFERROR(INDEX('BD(MSCI)'!X:X,MATCH(Tabla_Consulta_desde_Reporte_de_Valorización_de_Instrumentos[[#This Row],[CODIGO_ISIN]],'BD(MSCI)'!C:C,0)),"Cuestionario Integra")</f>
        <v>Otros ETFs</v>
      </c>
      <c r="AU303" s="26"/>
    </row>
    <row r="304" spans="2:47" hidden="1" x14ac:dyDescent="0.25">
      <c r="B304" s="14" t="s">
        <v>6390</v>
      </c>
      <c r="C304" t="s">
        <v>586</v>
      </c>
      <c r="D304" t="s">
        <v>10</v>
      </c>
      <c r="E304" t="s">
        <v>587</v>
      </c>
      <c r="F304" t="s">
        <v>651</v>
      </c>
      <c r="G304" t="str">
        <f>INDEX(Parametria!H:H,MATCH(Tabla_Consulta_desde_Reporte_de_Valorización_de_Instrumentos[[#This Row],[CODIGO_SBS]],Parametria!C:C,0),1)</f>
        <v>Pimco - US High Yield Bond</v>
      </c>
      <c r="H304" t="s">
        <v>652</v>
      </c>
      <c r="I304" t="s">
        <v>156</v>
      </c>
      <c r="J304" t="s">
        <v>653</v>
      </c>
      <c r="K304" t="s">
        <v>50</v>
      </c>
      <c r="L304">
        <v>35.94</v>
      </c>
      <c r="M304" s="5">
        <v>159.87801300000001</v>
      </c>
      <c r="N304">
        <v>47.57</v>
      </c>
      <c r="O304">
        <v>1</v>
      </c>
      <c r="P304" s="15"/>
      <c r="R304">
        <v>3.3609</v>
      </c>
      <c r="S304" t="s">
        <v>155</v>
      </c>
      <c r="T304">
        <v>159.85800399999999</v>
      </c>
      <c r="U304" s="5">
        <v>47.54</v>
      </c>
      <c r="V304" t="s">
        <v>156</v>
      </c>
      <c r="W304">
        <v>0</v>
      </c>
      <c r="X304">
        <v>0</v>
      </c>
      <c r="Y304">
        <v>0</v>
      </c>
      <c r="Z304">
        <v>0.03</v>
      </c>
      <c r="AA304" t="str">
        <f>+MID(Tabla_Consulta_desde_Reporte_de_Valorización_de_Instrumentos[[#This Row],[CODIGO_SBS]],7,1)</f>
        <v>2</v>
      </c>
      <c r="AB304">
        <f>INDEX('Cálculo Caja'!F:F,MATCH(Tabla_Consulta_desde_Reporte_de_Valorización_de_Instrumentos[[#This Row],[PORTAFOLIO]],'Cálculo Caja'!A:A,0),1)</f>
        <v>26256910350.436607</v>
      </c>
      <c r="AC304" s="17">
        <f>Tabla_Consulta_desde_Reporte_de_Valorización_de_Instrumentos[[#This Row],[VALOR_VECTOR_LOCAL]]/Tabla_Consulta_desde_Reporte_de_Valorización_de_Instrumentos[[#This Row],[Patrimonio]]</f>
        <v>6.0889880365281257E-9</v>
      </c>
      <c r="AD304" s="4">
        <f>(Tabla_Consulta_desde_Reporte_de_Valorización_de_Instrumentos[[#This Row],[VALOR_VECTOR_LOCAL]]/INDEX('Tipo de Cambio'!$D:$D,MATCH("2",'Tipo de Cambio'!$E:$E,0),1))/1000000</f>
        <v>4.757E-5</v>
      </c>
      <c r="AE304">
        <f>IF(Tabla_Consulta_desde_Reporte_de_Valorización_de_Instrumentos[[#This Row],[PORTAFOLIO]]="IN-FONDO0",Tabla_Consulta_desde_Reporte_de_Valorización_de_Instrumentos[[#This Row],[Inv MM$]],0)</f>
        <v>0</v>
      </c>
      <c r="AF304" s="26">
        <f>IF(Tabla_Consulta_desde_Reporte_de_Valorización_de_Instrumentos[[#This Row],[PORTAFOLIO]]="IN-FONDO1",Tabla_Consulta_desde_Reporte_de_Valorización_de_Instrumentos[[#This Row],[Inv MM$]],0)</f>
        <v>0</v>
      </c>
      <c r="AG304" s="26">
        <f>IF(Tabla_Consulta_desde_Reporte_de_Valorización_de_Instrumentos[[#This Row],[PORTAFOLIO]]="IN-FONDO2",Tabla_Consulta_desde_Reporte_de_Valorización_de_Instrumentos[[#This Row],[Inv MM$]],0)</f>
        <v>4.757E-5</v>
      </c>
      <c r="AH304" s="26">
        <f>IF(Tabla_Consulta_desde_Reporte_de_Valorización_de_Instrumentos[[#This Row],[PORTAFOLIO]]="IN-FONDO3",Tabla_Consulta_desde_Reporte_de_Valorización_de_Instrumentos[[#This Row],[Inv MM$]],0)</f>
        <v>0</v>
      </c>
      <c r="AI30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9.5140000000000001E-5</v>
      </c>
      <c r="AJ304" s="26">
        <f>IFERROR(IFERROR(INDEX('BD(MSCI)'!$T:$T,MATCH(Tabla_Consulta_desde_Reporte_de_Valorización_de_Instrumentos[[#This Row],[CODIGO_ISIN]],'BD(MSCI)'!$C:$C,0),1),INDEX('BD(MSCI)'!$T:$T,MATCH(Tabla_Consulta_desde_Reporte_de_Valorización_de_Instrumentos[[#This Row],[CODIGO_SBS]],'BD(MSCI)'!$C:$C,0),1)),0)</f>
        <v>106.87427083999999</v>
      </c>
      <c r="AK304" s="26">
        <f>Tabla_Consulta_desde_Reporte_de_Valorización_de_Instrumentos[[#This Row],[C02-H]]*Tabla_Consulta_desde_Reporte_de_Valorización_de_Instrumentos[[#This Row],[Inv MM$]]</f>
        <v>5.0840090638587998E-3</v>
      </c>
      <c r="AL304" s="26">
        <f>Tabla_Consulta_desde_Reporte_de_Valorización_de_Instrumentos[[#This Row],[C02-H]]*Tabla_Consulta_desde_Reporte_de_Valorización_de_Instrumentos[[#This Row],[Weight]]</f>
        <v>6.5075615655742674E-7</v>
      </c>
      <c r="AM304" s="26" t="str">
        <f>INDEX(Parametria!G:G,MATCH(Tabla_Consulta_desde_Reporte_de_Valorización_de_Instrumentos[[#This Row],[CODIGO_SBS]],Parametria!C:C,0))</f>
        <v>52RFIG</v>
      </c>
      <c r="AN304" s="26" t="str">
        <f>INDEX(Parametria!F:F,MATCH(Tabla_Consulta_desde_Reporte_de_Valorización_de_Instrumentos[[#This Row],[CODIGO_SBS]],Parametria!C:C,0))</f>
        <v>TD</v>
      </c>
      <c r="AO304" s="26" t="str">
        <f>+INDEX(Parametria!J:J,MATCH(Tabla_Consulta_desde_Reporte_de_Valorización_de_Instrumentos[[#This Row],[CODIGO_SBS]],Parametria!C:C,0))</f>
        <v>RFITD</v>
      </c>
      <c r="AP304" s="26">
        <f>Tabla_Consulta_desde_Reporte_de_Valorización_de_Instrumentos[[#This Row],[Huella]]/$AU$4</f>
        <v>4.7131191550313118E-7</v>
      </c>
      <c r="AQ304" s="26" t="str">
        <f>IFERROR(INDEX('BD(MSCI)'!W:W,MATCH(Tabla_Consulta_desde_Reporte_de_Valorización_de_Instrumentos[[#This Row],[CODIGO_ISIN]],'BD(MSCI)'!C:C,0)),IF(Tabla_Consulta_desde_Reporte_de_Valorización_de_Instrumentos[[#This Row],[Rank_rt]]="Cash","Cash","Cuestionario Integra"))</f>
        <v>ETF</v>
      </c>
      <c r="AR304" s="26" t="str">
        <f>IFERROR(INDEX('BD(MSCI)'!X:X,MATCH(Tabla_Consulta_desde_Reporte_de_Valorización_de_Instrumentos[[#This Row],[CODIGO_ISIN]],'BD(MSCI)'!C:C,0)),"Cuestionario Integra")</f>
        <v>Otros ETFs</v>
      </c>
      <c r="AU304" s="26"/>
    </row>
    <row r="305" spans="2:47" hidden="1" x14ac:dyDescent="0.25">
      <c r="B305" s="14" t="s">
        <v>6390</v>
      </c>
      <c r="C305" t="s">
        <v>586</v>
      </c>
      <c r="D305" t="s">
        <v>10</v>
      </c>
      <c r="E305" t="s">
        <v>587</v>
      </c>
      <c r="F305" t="s">
        <v>654</v>
      </c>
      <c r="G305" t="str">
        <f>INDEX(Parametria!H:H,MATCH(Tabla_Consulta_desde_Reporte_de_Valorización_de_Instrumentos[[#This Row],[CODIGO_SBS]],Parametria!C:C,0),1)</f>
        <v>Pimco - Emerging Markets Local Bond Fund</v>
      </c>
      <c r="H305" t="s">
        <v>655</v>
      </c>
      <c r="I305" t="s">
        <v>156</v>
      </c>
      <c r="J305" t="s">
        <v>653</v>
      </c>
      <c r="K305" t="s">
        <v>50</v>
      </c>
      <c r="L305">
        <v>1</v>
      </c>
      <c r="M305" s="5">
        <v>144364173.81532869</v>
      </c>
      <c r="N305">
        <v>42954022.379519999</v>
      </c>
      <c r="O305">
        <v>2396987.8560000001</v>
      </c>
      <c r="P305" s="15"/>
      <c r="R305">
        <v>3.3609</v>
      </c>
      <c r="S305" t="s">
        <v>155</v>
      </c>
      <c r="T305">
        <v>144275993.42608219</v>
      </c>
      <c r="U305" s="5">
        <v>42906082.622400001</v>
      </c>
      <c r="V305" t="s">
        <v>156</v>
      </c>
      <c r="W305">
        <v>0</v>
      </c>
      <c r="X305">
        <v>0</v>
      </c>
      <c r="Y305">
        <v>0</v>
      </c>
      <c r="Z305">
        <v>0.02</v>
      </c>
      <c r="AA305" t="str">
        <f>+MID(Tabla_Consulta_desde_Reporte_de_Valorización_de_Instrumentos[[#This Row],[CODIGO_SBS]],7,1)</f>
        <v>2</v>
      </c>
      <c r="AB305">
        <f>INDEX('Cálculo Caja'!F:F,MATCH(Tabla_Consulta_desde_Reporte_de_Valorización_de_Instrumentos[[#This Row],[PORTAFOLIO]],'Cálculo Caja'!A:A,0),1)</f>
        <v>26256910350.436607</v>
      </c>
      <c r="AC305" s="17">
        <f>Tabla_Consulta_desde_Reporte_de_Valorización_de_Instrumentos[[#This Row],[VALOR_VECTOR_LOCAL]]/Tabla_Consulta_desde_Reporte_de_Valorización_de_Instrumentos[[#This Row],[Patrimonio]]</f>
        <v>5.4981401805688137E-3</v>
      </c>
      <c r="AD305" s="4">
        <f>(Tabla_Consulta_desde_Reporte_de_Valorización_de_Instrumentos[[#This Row],[VALOR_VECTOR_LOCAL]]/INDEX('Tipo de Cambio'!$D:$D,MATCH("2",'Tipo de Cambio'!$E:$E,0),1))/1000000</f>
        <v>42.954022379519976</v>
      </c>
      <c r="AE305">
        <f>IF(Tabla_Consulta_desde_Reporte_de_Valorización_de_Instrumentos[[#This Row],[PORTAFOLIO]]="IN-FONDO0",Tabla_Consulta_desde_Reporte_de_Valorización_de_Instrumentos[[#This Row],[Inv MM$]],0)</f>
        <v>0</v>
      </c>
      <c r="AF305" s="26">
        <f>IF(Tabla_Consulta_desde_Reporte_de_Valorización_de_Instrumentos[[#This Row],[PORTAFOLIO]]="IN-FONDO1",Tabla_Consulta_desde_Reporte_de_Valorización_de_Instrumentos[[#This Row],[Inv MM$]],0)</f>
        <v>0</v>
      </c>
      <c r="AG305" s="26">
        <f>IF(Tabla_Consulta_desde_Reporte_de_Valorización_de_Instrumentos[[#This Row],[PORTAFOLIO]]="IN-FONDO2",Tabla_Consulta_desde_Reporte_de_Valorización_de_Instrumentos[[#This Row],[Inv MM$]],0)</f>
        <v>42.954022379519976</v>
      </c>
      <c r="AH305" s="26">
        <f>IF(Tabla_Consulta_desde_Reporte_de_Valorización_de_Instrumentos[[#This Row],[PORTAFOLIO]]="IN-FONDO3",Tabla_Consulta_desde_Reporte_de_Valorización_de_Instrumentos[[#This Row],[Inv MM$]],0)</f>
        <v>0</v>
      </c>
      <c r="AI30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146.17737840383995</v>
      </c>
      <c r="AJ305" s="26">
        <f>IFERROR(IFERROR(INDEX('BD(MSCI)'!$T:$T,MATCH(Tabla_Consulta_desde_Reporte_de_Valorización_de_Instrumentos[[#This Row],[CODIGO_ISIN]],'BD(MSCI)'!$C:$C,0),1),INDEX('BD(MSCI)'!$T:$T,MATCH(Tabla_Consulta_desde_Reporte_de_Valorización_de_Instrumentos[[#This Row],[CODIGO_SBS]],'BD(MSCI)'!$C:$C,0),1)),0)</f>
        <v>169.70566217000001</v>
      </c>
      <c r="AK305" s="26">
        <f>Tabla_Consulta_desde_Reporte_de_Valorización_de_Instrumentos[[#This Row],[C02-H]]*Tabla_Consulta_desde_Reporte_de_Valorización_de_Instrumentos[[#This Row],[Inv MM$]]</f>
        <v>7289.5408107814374</v>
      </c>
      <c r="AL305" s="26">
        <f>Tabla_Consulta_desde_Reporte_de_Valorización_de_Instrumentos[[#This Row],[C02-H]]*Tabla_Consulta_desde_Reporte_de_Valorización_de_Instrumentos[[#This Row],[Weight]]</f>
        <v>0.9330655200469139</v>
      </c>
      <c r="AM305" s="26" t="str">
        <f>INDEX(Parametria!G:G,MATCH(Tabla_Consulta_desde_Reporte_de_Valorización_de_Instrumentos[[#This Row],[CODIGO_SBS]],Parametria!C:C,0))</f>
        <v>52RFIG</v>
      </c>
      <c r="AN305" s="26" t="str">
        <f>INDEX(Parametria!F:F,MATCH(Tabla_Consulta_desde_Reporte_de_Valorización_de_Instrumentos[[#This Row],[CODIGO_SBS]],Parametria!C:C,0))</f>
        <v>TD</v>
      </c>
      <c r="AO305" s="26" t="str">
        <f>+INDEX(Parametria!J:J,MATCH(Tabla_Consulta_desde_Reporte_de_Valorización_de_Instrumentos[[#This Row],[CODIGO_SBS]],Parametria!C:C,0))</f>
        <v>RFITD</v>
      </c>
      <c r="AP305" s="26">
        <f>Tabla_Consulta_desde_Reporte_de_Valorización_de_Instrumentos[[#This Row],[Huella]]/$AU$4</f>
        <v>0.67577523948392926</v>
      </c>
      <c r="AQ305" s="26" t="str">
        <f>IFERROR(INDEX('BD(MSCI)'!W:W,MATCH(Tabla_Consulta_desde_Reporte_de_Valorización_de_Instrumentos[[#This Row],[CODIGO_ISIN]],'BD(MSCI)'!C:C,0)),IF(Tabla_Consulta_desde_Reporte_de_Valorización_de_Instrumentos[[#This Row],[Rank_rt]]="Cash","Cash","Cuestionario Integra"))</f>
        <v>ETF</v>
      </c>
      <c r="AR305" s="26" t="str">
        <f>IFERROR(INDEX('BD(MSCI)'!X:X,MATCH(Tabla_Consulta_desde_Reporte_de_Valorización_de_Instrumentos[[#This Row],[CODIGO_ISIN]],'BD(MSCI)'!C:C,0)),"Cuestionario Integra")</f>
        <v>Otros ETFs</v>
      </c>
      <c r="AU305" s="26"/>
    </row>
    <row r="306" spans="2:47" hidden="1" x14ac:dyDescent="0.25">
      <c r="B306" s="14" t="s">
        <v>6390</v>
      </c>
      <c r="C306" t="s">
        <v>586</v>
      </c>
      <c r="D306" t="s">
        <v>12</v>
      </c>
      <c r="E306" t="s">
        <v>587</v>
      </c>
      <c r="F306" t="s">
        <v>654</v>
      </c>
      <c r="G306" t="str">
        <f>INDEX(Parametria!H:H,MATCH(Tabla_Consulta_desde_Reporte_de_Valorización_de_Instrumentos[[#This Row],[CODIGO_SBS]],Parametria!C:C,0),1)</f>
        <v>Pimco - Emerging Markets Local Bond Fund</v>
      </c>
      <c r="H306" t="s">
        <v>655</v>
      </c>
      <c r="I306" t="s">
        <v>156</v>
      </c>
      <c r="J306" t="s">
        <v>653</v>
      </c>
      <c r="K306" t="s">
        <v>50</v>
      </c>
      <c r="L306">
        <v>1</v>
      </c>
      <c r="M306" s="5">
        <v>346923377.262137</v>
      </c>
      <c r="N306">
        <v>103223356.02432001</v>
      </c>
      <c r="O306">
        <v>5760231.9210000001</v>
      </c>
      <c r="P306" s="15"/>
      <c r="R306">
        <v>3.3609</v>
      </c>
      <c r="S306" t="s">
        <v>155</v>
      </c>
      <c r="T306">
        <v>346711469.8502273</v>
      </c>
      <c r="U306" s="5">
        <v>103108151.38590001</v>
      </c>
      <c r="V306" t="s">
        <v>156</v>
      </c>
      <c r="W306">
        <v>0</v>
      </c>
      <c r="X306">
        <v>0</v>
      </c>
      <c r="Y306">
        <v>0</v>
      </c>
      <c r="Z306">
        <v>0.02</v>
      </c>
      <c r="AA306" t="str">
        <f>+MID(Tabla_Consulta_desde_Reporte_de_Valorización_de_Instrumentos[[#This Row],[CODIGO_SBS]],7,1)</f>
        <v>2</v>
      </c>
      <c r="AB306">
        <f>INDEX('Cálculo Caja'!F:F,MATCH(Tabla_Consulta_desde_Reporte_de_Valorización_de_Instrumentos[[#This Row],[PORTAFOLIO]],'Cálculo Caja'!A:A,0),1)</f>
        <v>7679510866.0565634</v>
      </c>
      <c r="AC306" s="17">
        <f>Tabla_Consulta_desde_Reporte_de_Valorización_de_Instrumentos[[#This Row],[VALOR_VECTOR_LOCAL]]/Tabla_Consulta_desde_Reporte_de_Valorización_de_Instrumentos[[#This Row],[Patrimonio]]</f>
        <v>4.5175191924727687E-2</v>
      </c>
      <c r="AD306" s="4">
        <f>(Tabla_Consulta_desde_Reporte_de_Valorización_de_Instrumentos[[#This Row],[VALOR_VECTOR_LOCAL]]/INDEX('Tipo de Cambio'!$D:$D,MATCH("2",'Tipo de Cambio'!$E:$E,0),1))/1000000</f>
        <v>103.22335602431998</v>
      </c>
      <c r="AE306">
        <f>IF(Tabla_Consulta_desde_Reporte_de_Valorización_de_Instrumentos[[#This Row],[PORTAFOLIO]]="IN-FONDO0",Tabla_Consulta_desde_Reporte_de_Valorización_de_Instrumentos[[#This Row],[Inv MM$]],0)</f>
        <v>0</v>
      </c>
      <c r="AF306" s="26">
        <f>IF(Tabla_Consulta_desde_Reporte_de_Valorización_de_Instrumentos[[#This Row],[PORTAFOLIO]]="IN-FONDO1",Tabla_Consulta_desde_Reporte_de_Valorización_de_Instrumentos[[#This Row],[Inv MM$]],0)</f>
        <v>103.22335602431998</v>
      </c>
      <c r="AG306" s="26">
        <f>IF(Tabla_Consulta_desde_Reporte_de_Valorización_de_Instrumentos[[#This Row],[PORTAFOLIO]]="IN-FONDO2",Tabla_Consulta_desde_Reporte_de_Valorización_de_Instrumentos[[#This Row],[Inv MM$]],0)</f>
        <v>0</v>
      </c>
      <c r="AH306" s="26">
        <f>IF(Tabla_Consulta_desde_Reporte_de_Valorización_de_Instrumentos[[#This Row],[PORTAFOLIO]]="IN-FONDO3",Tabla_Consulta_desde_Reporte_de_Valorización_de_Instrumentos[[#This Row],[Inv MM$]],0)</f>
        <v>0</v>
      </c>
      <c r="AI30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146.17737840383995</v>
      </c>
      <c r="AJ306" s="26">
        <f>IFERROR(IFERROR(INDEX('BD(MSCI)'!$T:$T,MATCH(Tabla_Consulta_desde_Reporte_de_Valorización_de_Instrumentos[[#This Row],[CODIGO_ISIN]],'BD(MSCI)'!$C:$C,0),1),INDEX('BD(MSCI)'!$T:$T,MATCH(Tabla_Consulta_desde_Reporte_de_Valorización_de_Instrumentos[[#This Row],[CODIGO_SBS]],'BD(MSCI)'!$C:$C,0),1)),0)</f>
        <v>169.70566217000001</v>
      </c>
      <c r="AK306" s="26">
        <f>Tabla_Consulta_desde_Reporte_de_Valorización_de_Instrumentos[[#This Row],[C02-H]]*Tabla_Consulta_desde_Reporte_de_Valorización_de_Instrumentos[[#This Row],[Inv MM$]]</f>
        <v>17517.587985516882</v>
      </c>
      <c r="AL306" s="26">
        <f>Tabla_Consulta_desde_Reporte_de_Valorización_de_Instrumentos[[#This Row],[C02-H]]*Tabla_Consulta_desde_Reporte_de_Valorización_de_Instrumentos[[#This Row],[Weight]]</f>
        <v>7.6664858592427496</v>
      </c>
      <c r="AM306" s="26" t="str">
        <f>INDEX(Parametria!G:G,MATCH(Tabla_Consulta_desde_Reporte_de_Valorización_de_Instrumentos[[#This Row],[CODIGO_SBS]],Parametria!C:C,0))</f>
        <v>52RFIG</v>
      </c>
      <c r="AN306" s="26" t="str">
        <f>INDEX(Parametria!F:F,MATCH(Tabla_Consulta_desde_Reporte_de_Valorización_de_Instrumentos[[#This Row],[CODIGO_SBS]],Parametria!C:C,0))</f>
        <v>TD</v>
      </c>
      <c r="AO306" s="26" t="str">
        <f>+INDEX(Parametria!J:J,MATCH(Tabla_Consulta_desde_Reporte_de_Valorización_de_Instrumentos[[#This Row],[CODIGO_SBS]],Parametria!C:C,0))</f>
        <v>RFITD</v>
      </c>
      <c r="AP306" s="26">
        <f>Tabla_Consulta_desde_Reporte_de_Valorización_de_Instrumentos[[#This Row],[Huella]]/$AU$4</f>
        <v>1.6239640497772927</v>
      </c>
      <c r="AQ306" s="26" t="str">
        <f>IFERROR(INDEX('BD(MSCI)'!W:W,MATCH(Tabla_Consulta_desde_Reporte_de_Valorización_de_Instrumentos[[#This Row],[CODIGO_ISIN]],'BD(MSCI)'!C:C,0)),IF(Tabla_Consulta_desde_Reporte_de_Valorización_de_Instrumentos[[#This Row],[Rank_rt]]="Cash","Cash","Cuestionario Integra"))</f>
        <v>ETF</v>
      </c>
      <c r="AR306" s="26" t="str">
        <f>IFERROR(INDEX('BD(MSCI)'!X:X,MATCH(Tabla_Consulta_desde_Reporte_de_Valorización_de_Instrumentos[[#This Row],[CODIGO_ISIN]],'BD(MSCI)'!C:C,0)),"Cuestionario Integra")</f>
        <v>Otros ETFs</v>
      </c>
      <c r="AU306" s="26"/>
    </row>
    <row r="307" spans="2:47" hidden="1" x14ac:dyDescent="0.25">
      <c r="B307" s="14" t="s">
        <v>6390</v>
      </c>
      <c r="C307" t="s">
        <v>586</v>
      </c>
      <c r="D307" t="s">
        <v>11</v>
      </c>
      <c r="E307" t="s">
        <v>587</v>
      </c>
      <c r="F307" t="s">
        <v>656</v>
      </c>
      <c r="G307" t="str">
        <f>INDEX(Parametria!H:H,MATCH(Tabla_Consulta_desde_Reporte_de_Valorización_de_Instrumentos[[#This Row],[CODIGO_SBS]],Parametria!C:C,0),1)</f>
        <v>Man GLG - Continental European Growth</v>
      </c>
      <c r="H307" t="s">
        <v>657</v>
      </c>
      <c r="I307" t="s">
        <v>156</v>
      </c>
      <c r="J307" t="s">
        <v>658</v>
      </c>
      <c r="K307" t="s">
        <v>60</v>
      </c>
      <c r="L307">
        <v>1</v>
      </c>
      <c r="M307" s="5">
        <v>65.156930299999999</v>
      </c>
      <c r="N307">
        <v>14.407514000000001</v>
      </c>
      <c r="O307">
        <v>1.661</v>
      </c>
      <c r="P307" s="15"/>
      <c r="R307">
        <v>4.5224270000000004</v>
      </c>
      <c r="S307" t="s">
        <v>428</v>
      </c>
      <c r="T307">
        <v>65.099722900000003</v>
      </c>
      <c r="U307" s="5">
        <v>14.372633</v>
      </c>
      <c r="V307" t="s">
        <v>156</v>
      </c>
      <c r="W307">
        <v>0</v>
      </c>
      <c r="X307">
        <v>0</v>
      </c>
      <c r="Y307">
        <v>0</v>
      </c>
      <c r="Z307">
        <v>2.1000000000000001E-2</v>
      </c>
      <c r="AA307" t="str">
        <f>+MID(Tabla_Consulta_desde_Reporte_de_Valorización_de_Instrumentos[[#This Row],[CODIGO_SBS]],7,1)</f>
        <v>6</v>
      </c>
      <c r="AB307">
        <f>INDEX('Cálculo Caja'!F:F,MATCH(Tabla_Consulta_desde_Reporte_de_Valorización_de_Instrumentos[[#This Row],[PORTAFOLIO]],'Cálculo Caja'!A:A,0),1)</f>
        <v>3164069580.822104</v>
      </c>
      <c r="AC307" s="17">
        <f>Tabla_Consulta_desde_Reporte_de_Valorización_de_Instrumentos[[#This Row],[VALOR_VECTOR_LOCAL]]/Tabla_Consulta_desde_Reporte_de_Valorización_de_Instrumentos[[#This Row],[Patrimonio]]</f>
        <v>2.0592761516663804E-8</v>
      </c>
      <c r="AD307" s="4">
        <f>(Tabla_Consulta_desde_Reporte_de_Valorización_de_Instrumentos[[#This Row],[VALOR_VECTOR_LOCAL]]/INDEX('Tipo de Cambio'!$D:$D,MATCH("2",'Tipo de Cambio'!$E:$E,0),1))/1000000</f>
        <v>1.938675066202505E-5</v>
      </c>
      <c r="AE307">
        <f>IF(Tabla_Consulta_desde_Reporte_de_Valorización_de_Instrumentos[[#This Row],[PORTAFOLIO]]="IN-FONDO0",Tabla_Consulta_desde_Reporte_de_Valorización_de_Instrumentos[[#This Row],[Inv MM$]],0)</f>
        <v>0</v>
      </c>
      <c r="AF307" s="26">
        <f>IF(Tabla_Consulta_desde_Reporte_de_Valorización_de_Instrumentos[[#This Row],[PORTAFOLIO]]="IN-FONDO1",Tabla_Consulta_desde_Reporte_de_Valorización_de_Instrumentos[[#This Row],[Inv MM$]],0)</f>
        <v>0</v>
      </c>
      <c r="AG307" s="26">
        <f>IF(Tabla_Consulta_desde_Reporte_de_Valorización_de_Instrumentos[[#This Row],[PORTAFOLIO]]="IN-FONDO2",Tabla_Consulta_desde_Reporte_de_Valorización_de_Instrumentos[[#This Row],[Inv MM$]],0)</f>
        <v>0</v>
      </c>
      <c r="AH307" s="26">
        <f>IF(Tabla_Consulta_desde_Reporte_de_Valorización_de_Instrumentos[[#This Row],[PORTAFOLIO]]="IN-FONDO3",Tabla_Consulta_desde_Reporte_de_Valorización_de_Instrumentos[[#This Row],[Inv MM$]],0)</f>
        <v>1.938675066202505E-5</v>
      </c>
      <c r="AI30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3.1513682585021865E-5</v>
      </c>
      <c r="AJ307" s="26">
        <f>IFERROR(IFERROR(INDEX('BD(MSCI)'!$T:$T,MATCH(Tabla_Consulta_desde_Reporte_de_Valorización_de_Instrumentos[[#This Row],[CODIGO_ISIN]],'BD(MSCI)'!$C:$C,0),1),INDEX('BD(MSCI)'!$T:$T,MATCH(Tabla_Consulta_desde_Reporte_de_Valorización_de_Instrumentos[[#This Row],[CODIGO_SBS]],'BD(MSCI)'!$C:$C,0),1)),0)</f>
        <v>71.352824049999995</v>
      </c>
      <c r="AK307" s="26">
        <f>Tabla_Consulta_desde_Reporte_de_Valorización_de_Instrumentos[[#This Row],[C02-H]]*Tabla_Consulta_desde_Reporte_de_Valorización_de_Instrumentos[[#This Row],[Inv MM$]]</f>
        <v>1.3832994088886943E-3</v>
      </c>
      <c r="AL307" s="26">
        <f>Tabla_Consulta_desde_Reporte_de_Valorización_de_Instrumentos[[#This Row],[C02-H]]*Tabla_Consulta_desde_Reporte_de_Valorización_de_Instrumentos[[#This Row],[Weight]]</f>
        <v>1.4693516892021235E-6</v>
      </c>
      <c r="AM307" s="26" t="str">
        <f>INDEX(Parametria!G:G,MATCH(Tabla_Consulta_desde_Reporte_de_Valorización_de_Instrumentos[[#This Row],[CODIGO_SBS]],Parametria!C:C,0))</f>
        <v>52RVI</v>
      </c>
      <c r="AN307" s="26" t="str">
        <f>INDEX(Parametria!F:F,MATCH(Tabla_Consulta_desde_Reporte_de_Valorización_de_Instrumentos[[#This Row],[CODIGO_SBS]],Parametria!C:C,0))</f>
        <v>TD</v>
      </c>
      <c r="AO307" s="26" t="str">
        <f>+INDEX(Parametria!J:J,MATCH(Tabla_Consulta_desde_Reporte_de_Valorización_de_Instrumentos[[#This Row],[CODIGO_SBS]],Parametria!C:C,0))</f>
        <v>RVITD</v>
      </c>
      <c r="AP307" s="26">
        <f>Tabla_Consulta_desde_Reporte_de_Valorización_de_Instrumentos[[#This Row],[Huella]]/$AU$4</f>
        <v>1.2823846022470171E-7</v>
      </c>
      <c r="AQ307" s="26" t="str">
        <f>IFERROR(INDEX('BD(MSCI)'!W:W,MATCH(Tabla_Consulta_desde_Reporte_de_Valorización_de_Instrumentos[[#This Row],[CODIGO_ISIN]],'BD(MSCI)'!C:C,0)),IF(Tabla_Consulta_desde_Reporte_de_Valorización_de_Instrumentos[[#This Row],[Rank_rt]]="Cash","Cash","Cuestionario Integra"))</f>
        <v>ETF</v>
      </c>
      <c r="AR307" s="26" t="str">
        <f>IFERROR(INDEX('BD(MSCI)'!X:X,MATCH(Tabla_Consulta_desde_Reporte_de_Valorización_de_Instrumentos[[#This Row],[CODIGO_ISIN]],'BD(MSCI)'!C:C,0)),"Cuestionario Integra")</f>
        <v>Otros ETFs</v>
      </c>
      <c r="AU307" s="26"/>
    </row>
    <row r="308" spans="2:47" hidden="1" x14ac:dyDescent="0.25">
      <c r="B308" s="14" t="s">
        <v>6390</v>
      </c>
      <c r="C308" t="s">
        <v>586</v>
      </c>
      <c r="D308" t="s">
        <v>10</v>
      </c>
      <c r="E308" t="s">
        <v>587</v>
      </c>
      <c r="F308" t="s">
        <v>656</v>
      </c>
      <c r="G308" t="str">
        <f>INDEX(Parametria!H:H,MATCH(Tabla_Consulta_desde_Reporte_de_Valorización_de_Instrumentos[[#This Row],[CODIGO_SBS]],Parametria!C:C,0),1)</f>
        <v>Man GLG - Continental European Growth</v>
      </c>
      <c r="H308" t="s">
        <v>657</v>
      </c>
      <c r="I308" t="s">
        <v>156</v>
      </c>
      <c r="J308" t="s">
        <v>658</v>
      </c>
      <c r="K308" t="s">
        <v>60</v>
      </c>
      <c r="L308">
        <v>1</v>
      </c>
      <c r="M308" s="5">
        <v>40.757405499999997</v>
      </c>
      <c r="N308">
        <v>9.0122859999999996</v>
      </c>
      <c r="O308">
        <v>1.0389999999999999</v>
      </c>
      <c r="P308" s="15"/>
      <c r="R308">
        <v>4.5224270000000004</v>
      </c>
      <c r="S308" t="s">
        <v>428</v>
      </c>
      <c r="T308">
        <v>40.721620799999997</v>
      </c>
      <c r="U308" s="5">
        <v>8.9904670000000007</v>
      </c>
      <c r="V308" t="s">
        <v>156</v>
      </c>
      <c r="W308">
        <v>0</v>
      </c>
      <c r="X308">
        <v>0</v>
      </c>
      <c r="Y308">
        <v>0</v>
      </c>
      <c r="Z308">
        <v>2.1000000000000001E-2</v>
      </c>
      <c r="AA308" t="str">
        <f>+MID(Tabla_Consulta_desde_Reporte_de_Valorización_de_Instrumentos[[#This Row],[CODIGO_SBS]],7,1)</f>
        <v>6</v>
      </c>
      <c r="AB308">
        <f>INDEX('Cálculo Caja'!F:F,MATCH(Tabla_Consulta_desde_Reporte_de_Valorización_de_Instrumentos[[#This Row],[PORTAFOLIO]],'Cálculo Caja'!A:A,0),1)</f>
        <v>26256910350.436607</v>
      </c>
      <c r="AC308" s="17">
        <f>Tabla_Consulta_desde_Reporte_de_Valorización_de_Instrumentos[[#This Row],[VALOR_VECTOR_LOCAL]]/Tabla_Consulta_desde_Reporte_de_Valorización_de_Instrumentos[[#This Row],[Patrimonio]]</f>
        <v>1.5522544334437379E-9</v>
      </c>
      <c r="AD308" s="4">
        <f>(Tabla_Consulta_desde_Reporte_de_Valorización_de_Instrumentos[[#This Row],[VALOR_VECTOR_LOCAL]]/INDEX('Tipo de Cambio'!$D:$D,MATCH("2",'Tipo de Cambio'!$E:$E,0),1))/1000000</f>
        <v>1.2126931922996816E-5</v>
      </c>
      <c r="AE308">
        <f>IF(Tabla_Consulta_desde_Reporte_de_Valorización_de_Instrumentos[[#This Row],[PORTAFOLIO]]="IN-FONDO0",Tabla_Consulta_desde_Reporte_de_Valorización_de_Instrumentos[[#This Row],[Inv MM$]],0)</f>
        <v>0</v>
      </c>
      <c r="AF308" s="26">
        <f>IF(Tabla_Consulta_desde_Reporte_de_Valorización_de_Instrumentos[[#This Row],[PORTAFOLIO]]="IN-FONDO1",Tabla_Consulta_desde_Reporte_de_Valorización_de_Instrumentos[[#This Row],[Inv MM$]],0)</f>
        <v>0</v>
      </c>
      <c r="AG308" s="26">
        <f>IF(Tabla_Consulta_desde_Reporte_de_Valorización_de_Instrumentos[[#This Row],[PORTAFOLIO]]="IN-FONDO2",Tabla_Consulta_desde_Reporte_de_Valorización_de_Instrumentos[[#This Row],[Inv MM$]],0)</f>
        <v>1.2126931922996816E-5</v>
      </c>
      <c r="AH308" s="26">
        <f>IF(Tabla_Consulta_desde_Reporte_de_Valorización_de_Instrumentos[[#This Row],[PORTAFOLIO]]="IN-FONDO3",Tabla_Consulta_desde_Reporte_de_Valorización_de_Instrumentos[[#This Row],[Inv MM$]],0)</f>
        <v>0</v>
      </c>
      <c r="AI30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3.1513682585021865E-5</v>
      </c>
      <c r="AJ308" s="26">
        <f>IFERROR(IFERROR(INDEX('BD(MSCI)'!$T:$T,MATCH(Tabla_Consulta_desde_Reporte_de_Valorización_de_Instrumentos[[#This Row],[CODIGO_ISIN]],'BD(MSCI)'!$C:$C,0),1),INDEX('BD(MSCI)'!$T:$T,MATCH(Tabla_Consulta_desde_Reporte_de_Valorización_de_Instrumentos[[#This Row],[CODIGO_SBS]],'BD(MSCI)'!$C:$C,0),1)),0)</f>
        <v>71.352824049999995</v>
      </c>
      <c r="AK308" s="26">
        <f>Tabla_Consulta_desde_Reporte_de_Valorización_de_Instrumentos[[#This Row],[C02-H]]*Tabla_Consulta_desde_Reporte_de_Valorización_de_Instrumentos[[#This Row],[Inv MM$]]</f>
        <v>8.6529083976791992E-4</v>
      </c>
      <c r="AL308" s="26">
        <f>Tabla_Consulta_desde_Reporte_de_Valorización_de_Instrumentos[[#This Row],[C02-H]]*Tabla_Consulta_desde_Reporte_de_Valorización_de_Instrumentos[[#This Row],[Weight]]</f>
        <v>1.1075773747034346E-7</v>
      </c>
      <c r="AM308" s="26" t="str">
        <f>INDEX(Parametria!G:G,MATCH(Tabla_Consulta_desde_Reporte_de_Valorización_de_Instrumentos[[#This Row],[CODIGO_SBS]],Parametria!C:C,0))</f>
        <v>52RVI</v>
      </c>
      <c r="AN308" s="26" t="str">
        <f>INDEX(Parametria!F:F,MATCH(Tabla_Consulta_desde_Reporte_de_Valorización_de_Instrumentos[[#This Row],[CODIGO_SBS]],Parametria!C:C,0))</f>
        <v>TD</v>
      </c>
      <c r="AO308" s="26" t="str">
        <f>+INDEX(Parametria!J:J,MATCH(Tabla_Consulta_desde_Reporte_de_Valorización_de_Instrumentos[[#This Row],[CODIGO_SBS]],Parametria!C:C,0))</f>
        <v>RVITD</v>
      </c>
      <c r="AP308" s="26">
        <f>Tabla_Consulta_desde_Reporte_de_Valorización_de_Instrumentos[[#This Row],[Huella]]/$AU$4</f>
        <v>8.0216592463899258E-8</v>
      </c>
      <c r="AQ308" s="26" t="str">
        <f>IFERROR(INDEX('BD(MSCI)'!W:W,MATCH(Tabla_Consulta_desde_Reporte_de_Valorización_de_Instrumentos[[#This Row],[CODIGO_ISIN]],'BD(MSCI)'!C:C,0)),IF(Tabla_Consulta_desde_Reporte_de_Valorización_de_Instrumentos[[#This Row],[Rank_rt]]="Cash","Cash","Cuestionario Integra"))</f>
        <v>ETF</v>
      </c>
      <c r="AR308" s="26" t="str">
        <f>IFERROR(INDEX('BD(MSCI)'!X:X,MATCH(Tabla_Consulta_desde_Reporte_de_Valorización_de_Instrumentos[[#This Row],[CODIGO_ISIN]],'BD(MSCI)'!C:C,0)),"Cuestionario Integra")</f>
        <v>Otros ETFs</v>
      </c>
      <c r="AU308" s="26"/>
    </row>
    <row r="309" spans="2:47" hidden="1" x14ac:dyDescent="0.25">
      <c r="B309" s="14" t="s">
        <v>6390</v>
      </c>
      <c r="C309" t="s">
        <v>586</v>
      </c>
      <c r="D309" t="s">
        <v>10</v>
      </c>
      <c r="E309" t="s">
        <v>587</v>
      </c>
      <c r="F309" t="s">
        <v>659</v>
      </c>
      <c r="G309" t="str">
        <f>INDEX(Parametria!H:H,MATCH(Tabla_Consulta_desde_Reporte_de_Valorización_de_Instrumentos[[#This Row],[CODIGO_SBS]],Parametria!C:C,0),1)</f>
        <v>Janus Henderson - Horizon Euroland Fund</v>
      </c>
      <c r="H309" t="s">
        <v>660</v>
      </c>
      <c r="I309" t="s">
        <v>156</v>
      </c>
      <c r="J309" t="s">
        <v>661</v>
      </c>
      <c r="K309" t="s">
        <v>57</v>
      </c>
      <c r="L309">
        <v>1</v>
      </c>
      <c r="M309" s="5">
        <v>83.063988300000005</v>
      </c>
      <c r="N309">
        <v>21.05</v>
      </c>
      <c r="O309">
        <v>1</v>
      </c>
      <c r="P309" s="15"/>
      <c r="R309">
        <v>3.9460326999999999</v>
      </c>
      <c r="S309" t="s">
        <v>428</v>
      </c>
      <c r="T309">
        <v>83.316592</v>
      </c>
      <c r="U309" s="5">
        <v>21.08</v>
      </c>
      <c r="V309" t="s">
        <v>156</v>
      </c>
      <c r="W309">
        <v>0</v>
      </c>
      <c r="X309">
        <v>0</v>
      </c>
      <c r="Y309">
        <v>0</v>
      </c>
      <c r="Z309">
        <v>-0.03</v>
      </c>
      <c r="AA309" t="str">
        <f>+MID(Tabla_Consulta_desde_Reporte_de_Valorización_de_Instrumentos[[#This Row],[CODIGO_SBS]],7,1)</f>
        <v>4</v>
      </c>
      <c r="AB309">
        <f>INDEX('Cálculo Caja'!F:F,MATCH(Tabla_Consulta_desde_Reporte_de_Valorización_de_Instrumentos[[#This Row],[PORTAFOLIO]],'Cálculo Caja'!A:A,0),1)</f>
        <v>26256910350.436607</v>
      </c>
      <c r="AC309" s="17">
        <f>Tabla_Consulta_desde_Reporte_de_Valorización_de_Instrumentos[[#This Row],[VALOR_VECTOR_LOCAL]]/Tabla_Consulta_desde_Reporte_de_Valorización_de_Instrumentos[[#This Row],[Patrimonio]]</f>
        <v>3.1635096129510451E-9</v>
      </c>
      <c r="AD309" s="4">
        <f>(Tabla_Consulta_desde_Reporte_de_Valorización_de_Instrumentos[[#This Row],[VALOR_VECTOR_LOCAL]]/INDEX('Tipo de Cambio'!$D:$D,MATCH("2",'Tipo de Cambio'!$E:$E,0),1))/1000000</f>
        <v>2.4714805052218158E-5</v>
      </c>
      <c r="AE309">
        <f>IF(Tabla_Consulta_desde_Reporte_de_Valorización_de_Instrumentos[[#This Row],[PORTAFOLIO]]="IN-FONDO0",Tabla_Consulta_desde_Reporte_de_Valorización_de_Instrumentos[[#This Row],[Inv MM$]],0)</f>
        <v>0</v>
      </c>
      <c r="AF309" s="26">
        <f>IF(Tabla_Consulta_desde_Reporte_de_Valorización_de_Instrumentos[[#This Row],[PORTAFOLIO]]="IN-FONDO1",Tabla_Consulta_desde_Reporte_de_Valorización_de_Instrumentos[[#This Row],[Inv MM$]],0)</f>
        <v>0</v>
      </c>
      <c r="AG309" s="26">
        <f>IF(Tabla_Consulta_desde_Reporte_de_Valorización_de_Instrumentos[[#This Row],[PORTAFOLIO]]="IN-FONDO2",Tabla_Consulta_desde_Reporte_de_Valorización_de_Instrumentos[[#This Row],[Inv MM$]],0)</f>
        <v>2.4714805052218158E-5</v>
      </c>
      <c r="AH309" s="26">
        <f>IF(Tabla_Consulta_desde_Reporte_de_Valorización_de_Instrumentos[[#This Row],[PORTAFOLIO]]="IN-FONDO3",Tabla_Consulta_desde_Reporte_de_Valorización_de_Instrumentos[[#This Row],[Inv MM$]],0)</f>
        <v>0</v>
      </c>
      <c r="AI30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4.9429610104436316E-5</v>
      </c>
      <c r="AJ309" s="26">
        <f>IFERROR(IFERROR(INDEX('BD(MSCI)'!$T:$T,MATCH(Tabla_Consulta_desde_Reporte_de_Valorización_de_Instrumentos[[#This Row],[CODIGO_ISIN]],'BD(MSCI)'!$C:$C,0),1),INDEX('BD(MSCI)'!$T:$T,MATCH(Tabla_Consulta_desde_Reporte_de_Valorización_de_Instrumentos[[#This Row],[CODIGO_SBS]],'BD(MSCI)'!$C:$C,0),1)),0)</f>
        <v>61.731639360000003</v>
      </c>
      <c r="AK309" s="26">
        <f>Tabla_Consulta_desde_Reporte_de_Valorización_de_Instrumentos[[#This Row],[C02-H]]*Tabla_Consulta_desde_Reporte_de_Valorización_de_Instrumentos[[#This Row],[Inv MM$]]</f>
        <v>1.5256854323362373E-3</v>
      </c>
      <c r="AL309" s="26">
        <f>Tabla_Consulta_desde_Reporte_de_Valorización_de_Instrumentos[[#This Row],[C02-H]]*Tabla_Consulta_desde_Reporte_de_Valorización_de_Instrumentos[[#This Row],[Weight]]</f>
        <v>1.9528863453858711E-7</v>
      </c>
      <c r="AM309" s="26" t="str">
        <f>INDEX(Parametria!G:G,MATCH(Tabla_Consulta_desde_Reporte_de_Valorización_de_Instrumentos[[#This Row],[CODIGO_SBS]],Parametria!C:C,0))</f>
        <v>52RVI</v>
      </c>
      <c r="AN309" s="26" t="str">
        <f>INDEX(Parametria!F:F,MATCH(Tabla_Consulta_desde_Reporte_de_Valorización_de_Instrumentos[[#This Row],[CODIGO_SBS]],Parametria!C:C,0))</f>
        <v>TD</v>
      </c>
      <c r="AO309" s="26" t="str">
        <f>+INDEX(Parametria!J:J,MATCH(Tabla_Consulta_desde_Reporte_de_Valorización_de_Instrumentos[[#This Row],[CODIGO_SBS]],Parametria!C:C,0))</f>
        <v>RVITD</v>
      </c>
      <c r="AP309" s="26">
        <f>Tabla_Consulta_desde_Reporte_de_Valorización_de_Instrumentos[[#This Row],[Huella]]/$AU$4</f>
        <v>1.4143832446746913E-7</v>
      </c>
      <c r="AQ309" s="26" t="str">
        <f>IFERROR(INDEX('BD(MSCI)'!W:W,MATCH(Tabla_Consulta_desde_Reporte_de_Valorización_de_Instrumentos[[#This Row],[CODIGO_ISIN]],'BD(MSCI)'!C:C,0)),IF(Tabla_Consulta_desde_Reporte_de_Valorización_de_Instrumentos[[#This Row],[Rank_rt]]="Cash","Cash","Cuestionario Integra"))</f>
        <v>Proxies</v>
      </c>
      <c r="AR309" s="26" t="str">
        <f>IFERROR(INDEX('BD(MSCI)'!X:X,MATCH(Tabla_Consulta_desde_Reporte_de_Valorización_de_Instrumentos[[#This Row],[CODIGO_ISIN]],'BD(MSCI)'!C:C,0)),"Cuestionario Integra")</f>
        <v>TD</v>
      </c>
      <c r="AU309" s="26"/>
    </row>
    <row r="310" spans="2:47" hidden="1" x14ac:dyDescent="0.25">
      <c r="B310" s="14" t="s">
        <v>6390</v>
      </c>
      <c r="C310" t="s">
        <v>586</v>
      </c>
      <c r="D310" t="s">
        <v>11</v>
      </c>
      <c r="E310" t="s">
        <v>587</v>
      </c>
      <c r="F310" t="s">
        <v>659</v>
      </c>
      <c r="G310" t="str">
        <f>INDEX(Parametria!H:H,MATCH(Tabla_Consulta_desde_Reporte_de_Valorización_de_Instrumentos[[#This Row],[CODIGO_SBS]],Parametria!C:C,0),1)</f>
        <v>Janus Henderson - Horizon Euroland Fund</v>
      </c>
      <c r="H310" t="s">
        <v>660</v>
      </c>
      <c r="I310" t="s">
        <v>156</v>
      </c>
      <c r="J310" t="s">
        <v>661</v>
      </c>
      <c r="K310" t="s">
        <v>57</v>
      </c>
      <c r="L310">
        <v>1</v>
      </c>
      <c r="M310" s="5">
        <v>83.063988300000005</v>
      </c>
      <c r="N310">
        <v>21.05</v>
      </c>
      <c r="O310">
        <v>1</v>
      </c>
      <c r="P310" s="15"/>
      <c r="R310">
        <v>3.9460326999999999</v>
      </c>
      <c r="S310" t="s">
        <v>428</v>
      </c>
      <c r="T310">
        <v>83.316592</v>
      </c>
      <c r="U310" s="5">
        <v>21.08</v>
      </c>
      <c r="V310" t="s">
        <v>156</v>
      </c>
      <c r="W310">
        <v>0</v>
      </c>
      <c r="X310">
        <v>0</v>
      </c>
      <c r="Y310">
        <v>0</v>
      </c>
      <c r="Z310">
        <v>-0.03</v>
      </c>
      <c r="AA310" t="str">
        <f>+MID(Tabla_Consulta_desde_Reporte_de_Valorización_de_Instrumentos[[#This Row],[CODIGO_SBS]],7,1)</f>
        <v>4</v>
      </c>
      <c r="AB310">
        <f>INDEX('Cálculo Caja'!F:F,MATCH(Tabla_Consulta_desde_Reporte_de_Valorización_de_Instrumentos[[#This Row],[PORTAFOLIO]],'Cálculo Caja'!A:A,0),1)</f>
        <v>3164069580.822104</v>
      </c>
      <c r="AC310" s="17">
        <f>Tabla_Consulta_desde_Reporte_de_Valorización_de_Instrumentos[[#This Row],[VALOR_VECTOR_LOCAL]]/Tabla_Consulta_desde_Reporte_de_Valorización_de_Instrumentos[[#This Row],[Patrimonio]]</f>
        <v>2.6252263478484538E-8</v>
      </c>
      <c r="AD310" s="4">
        <f>(Tabla_Consulta_desde_Reporte_de_Valorización_de_Instrumentos[[#This Row],[VALOR_VECTOR_LOCAL]]/INDEX('Tipo de Cambio'!$D:$D,MATCH("2",'Tipo de Cambio'!$E:$E,0),1))/1000000</f>
        <v>2.4714805052218158E-5</v>
      </c>
      <c r="AE310">
        <f>IF(Tabla_Consulta_desde_Reporte_de_Valorización_de_Instrumentos[[#This Row],[PORTAFOLIO]]="IN-FONDO0",Tabla_Consulta_desde_Reporte_de_Valorización_de_Instrumentos[[#This Row],[Inv MM$]],0)</f>
        <v>0</v>
      </c>
      <c r="AF310" s="26">
        <f>IF(Tabla_Consulta_desde_Reporte_de_Valorización_de_Instrumentos[[#This Row],[PORTAFOLIO]]="IN-FONDO1",Tabla_Consulta_desde_Reporte_de_Valorización_de_Instrumentos[[#This Row],[Inv MM$]],0)</f>
        <v>0</v>
      </c>
      <c r="AG310" s="26">
        <f>IF(Tabla_Consulta_desde_Reporte_de_Valorización_de_Instrumentos[[#This Row],[PORTAFOLIO]]="IN-FONDO2",Tabla_Consulta_desde_Reporte_de_Valorización_de_Instrumentos[[#This Row],[Inv MM$]],0)</f>
        <v>0</v>
      </c>
      <c r="AH310" s="26">
        <f>IF(Tabla_Consulta_desde_Reporte_de_Valorización_de_Instrumentos[[#This Row],[PORTAFOLIO]]="IN-FONDO3",Tabla_Consulta_desde_Reporte_de_Valorización_de_Instrumentos[[#This Row],[Inv MM$]],0)</f>
        <v>2.4714805052218158E-5</v>
      </c>
      <c r="AI31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4.9429610104436316E-5</v>
      </c>
      <c r="AJ310" s="26">
        <f>IFERROR(IFERROR(INDEX('BD(MSCI)'!$T:$T,MATCH(Tabla_Consulta_desde_Reporte_de_Valorización_de_Instrumentos[[#This Row],[CODIGO_ISIN]],'BD(MSCI)'!$C:$C,0),1),INDEX('BD(MSCI)'!$T:$T,MATCH(Tabla_Consulta_desde_Reporte_de_Valorización_de_Instrumentos[[#This Row],[CODIGO_SBS]],'BD(MSCI)'!$C:$C,0),1)),0)</f>
        <v>61.731639360000003</v>
      </c>
      <c r="AK310" s="26">
        <f>Tabla_Consulta_desde_Reporte_de_Valorización_de_Instrumentos[[#This Row],[C02-H]]*Tabla_Consulta_desde_Reporte_de_Valorización_de_Instrumentos[[#This Row],[Inv MM$]]</f>
        <v>1.5256854323362373E-3</v>
      </c>
      <c r="AL310" s="26">
        <f>Tabla_Consulta_desde_Reporte_de_Valorización_de_Instrumentos[[#This Row],[C02-H]]*Tabla_Consulta_desde_Reporte_de_Valorización_de_Instrumentos[[#This Row],[Weight]]</f>
        <v>1.6205952614375068E-6</v>
      </c>
      <c r="AM310" s="26" t="str">
        <f>INDEX(Parametria!G:G,MATCH(Tabla_Consulta_desde_Reporte_de_Valorización_de_Instrumentos[[#This Row],[CODIGO_SBS]],Parametria!C:C,0))</f>
        <v>52RVI</v>
      </c>
      <c r="AN310" s="26" t="str">
        <f>INDEX(Parametria!F:F,MATCH(Tabla_Consulta_desde_Reporte_de_Valorización_de_Instrumentos[[#This Row],[CODIGO_SBS]],Parametria!C:C,0))</f>
        <v>TD</v>
      </c>
      <c r="AO310" s="26" t="str">
        <f>+INDEX(Parametria!J:J,MATCH(Tabla_Consulta_desde_Reporte_de_Valorización_de_Instrumentos[[#This Row],[CODIGO_SBS]],Parametria!C:C,0))</f>
        <v>RVITD</v>
      </c>
      <c r="AP310" s="26">
        <f>Tabla_Consulta_desde_Reporte_de_Valorización_de_Instrumentos[[#This Row],[Huella]]/$AU$4</f>
        <v>1.4143832446746913E-7</v>
      </c>
      <c r="AQ310" s="26" t="str">
        <f>IFERROR(INDEX('BD(MSCI)'!W:W,MATCH(Tabla_Consulta_desde_Reporte_de_Valorización_de_Instrumentos[[#This Row],[CODIGO_ISIN]],'BD(MSCI)'!C:C,0)),IF(Tabla_Consulta_desde_Reporte_de_Valorización_de_Instrumentos[[#This Row],[Rank_rt]]="Cash","Cash","Cuestionario Integra"))</f>
        <v>Proxies</v>
      </c>
      <c r="AR310" s="26" t="str">
        <f>IFERROR(INDEX('BD(MSCI)'!X:X,MATCH(Tabla_Consulta_desde_Reporte_de_Valorización_de_Instrumentos[[#This Row],[CODIGO_ISIN]],'BD(MSCI)'!C:C,0)),"Cuestionario Integra")</f>
        <v>TD</v>
      </c>
      <c r="AU310" s="26"/>
    </row>
    <row r="311" spans="2:47" hidden="1" x14ac:dyDescent="0.25">
      <c r="B311" s="14" t="s">
        <v>6390</v>
      </c>
      <c r="C311" t="s">
        <v>586</v>
      </c>
      <c r="D311" t="s">
        <v>12</v>
      </c>
      <c r="E311" t="s">
        <v>587</v>
      </c>
      <c r="F311" t="s">
        <v>5857</v>
      </c>
      <c r="G311" t="str">
        <f>INDEX(Parametria!H:H,MATCH(Tabla_Consulta_desde_Reporte_de_Valorización_de_Instrumentos[[#This Row],[CODIGO_SBS]],Parametria!C:C,0),1)</f>
        <v>Global Evolution Funds - Frontier Markets Fund</v>
      </c>
      <c r="H311" t="s">
        <v>5858</v>
      </c>
      <c r="I311" t="s">
        <v>156</v>
      </c>
      <c r="J311" t="s">
        <v>5859</v>
      </c>
      <c r="K311" t="s">
        <v>50</v>
      </c>
      <c r="L311">
        <v>1</v>
      </c>
      <c r="M311" s="5">
        <v>236091564.82932031</v>
      </c>
      <c r="N311">
        <v>70246530.640400007</v>
      </c>
      <c r="O311">
        <v>339125.86</v>
      </c>
      <c r="P311" s="15"/>
      <c r="R311">
        <v>3.3609</v>
      </c>
      <c r="S311" t="s">
        <v>155</v>
      </c>
      <c r="T311">
        <v>235982915.0080418</v>
      </c>
      <c r="U311" s="5">
        <v>70178705.468400002</v>
      </c>
      <c r="V311" t="s">
        <v>156</v>
      </c>
      <c r="W311">
        <v>0</v>
      </c>
      <c r="X311">
        <v>0</v>
      </c>
      <c r="Y311">
        <v>0</v>
      </c>
      <c r="Z311">
        <v>0.2</v>
      </c>
      <c r="AA311" t="str">
        <f>+MID(Tabla_Consulta_desde_Reporte_de_Valorización_de_Instrumentos[[#This Row],[CODIGO_SBS]],7,1)</f>
        <v>2</v>
      </c>
      <c r="AB311">
        <f>INDEX('Cálculo Caja'!F:F,MATCH(Tabla_Consulta_desde_Reporte_de_Valorización_de_Instrumentos[[#This Row],[PORTAFOLIO]],'Cálculo Caja'!A:A,0),1)</f>
        <v>7679510866.0565634</v>
      </c>
      <c r="AC311" s="17">
        <f>Tabla_Consulta_desde_Reporte_de_Valorización_de_Instrumentos[[#This Row],[VALOR_VECTOR_LOCAL]]/Tabla_Consulta_desde_Reporte_de_Valorización_de_Instrumentos[[#This Row],[Patrimonio]]</f>
        <v>3.0743047174116907E-2</v>
      </c>
      <c r="AD311" s="4">
        <f>(Tabla_Consulta_desde_Reporte_de_Valorización_de_Instrumentos[[#This Row],[VALOR_VECTOR_LOCAL]]/INDEX('Tipo de Cambio'!$D:$D,MATCH("2",'Tipo de Cambio'!$E:$E,0),1))/1000000</f>
        <v>70.246530640399996</v>
      </c>
      <c r="AE311">
        <f>IF(Tabla_Consulta_desde_Reporte_de_Valorización_de_Instrumentos[[#This Row],[PORTAFOLIO]]="IN-FONDO0",Tabla_Consulta_desde_Reporte_de_Valorización_de_Instrumentos[[#This Row],[Inv MM$]],0)</f>
        <v>0</v>
      </c>
      <c r="AF311" s="26">
        <f>IF(Tabla_Consulta_desde_Reporte_de_Valorización_de_Instrumentos[[#This Row],[PORTAFOLIO]]="IN-FONDO1",Tabla_Consulta_desde_Reporte_de_Valorización_de_Instrumentos[[#This Row],[Inv MM$]],0)</f>
        <v>70.246530640399996</v>
      </c>
      <c r="AG311" s="26">
        <f>IF(Tabla_Consulta_desde_Reporte_de_Valorización_de_Instrumentos[[#This Row],[PORTAFOLIO]]="IN-FONDO2",Tabla_Consulta_desde_Reporte_de_Valorización_de_Instrumentos[[#This Row],[Inv MM$]],0)</f>
        <v>0</v>
      </c>
      <c r="AH311" s="26">
        <f>IF(Tabla_Consulta_desde_Reporte_de_Valorización_de_Instrumentos[[#This Row],[PORTAFOLIO]]="IN-FONDO3",Tabla_Consulta_desde_Reporte_de_Valorización_de_Instrumentos[[#This Row],[Inv MM$]],0)</f>
        <v>0</v>
      </c>
      <c r="AI31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70.246530640399996</v>
      </c>
      <c r="AJ311" s="26">
        <f>IFERROR(IFERROR(INDEX('BD(MSCI)'!$T:$T,MATCH(Tabla_Consulta_desde_Reporte_de_Valorización_de_Instrumentos[[#This Row],[CODIGO_ISIN]],'BD(MSCI)'!$C:$C,0),1),INDEX('BD(MSCI)'!$T:$T,MATCH(Tabla_Consulta_desde_Reporte_de_Valorización_de_Instrumentos[[#This Row],[CODIGO_SBS]],'BD(MSCI)'!$C:$C,0),1)),0)</f>
        <v>0.64173709999999995</v>
      </c>
      <c r="AK311" s="26">
        <f>Tabla_Consulta_desde_Reporte_de_Valorización_de_Instrumentos[[#This Row],[C02-H]]*Tabla_Consulta_desde_Reporte_de_Valorización_de_Instrumentos[[#This Row],[Inv MM$]]</f>
        <v>45.079804858231434</v>
      </c>
      <c r="AL311" s="26">
        <f>Tabla_Consulta_desde_Reporte_de_Valorización_de_Instrumentos[[#This Row],[C02-H]]*Tabla_Consulta_desde_Reporte_de_Valorización_de_Instrumentos[[#This Row],[Weight]]</f>
        <v>1.9728953938680977E-2</v>
      </c>
      <c r="AM311" s="26" t="str">
        <f>INDEX(Parametria!G:G,MATCH(Tabla_Consulta_desde_Reporte_de_Valorización_de_Instrumentos[[#This Row],[CODIGO_SBS]],Parametria!C:C,0))</f>
        <v>52RFIG</v>
      </c>
      <c r="AN311" s="26" t="str">
        <f>INDEX(Parametria!F:F,MATCH(Tabla_Consulta_desde_Reporte_de_Valorización_de_Instrumentos[[#This Row],[CODIGO_SBS]],Parametria!C:C,0))</f>
        <v>TD</v>
      </c>
      <c r="AO311" s="26" t="str">
        <f>+INDEX(Parametria!J:J,MATCH(Tabla_Consulta_desde_Reporte_de_Valorización_de_Instrumentos[[#This Row],[CODIGO_SBS]],Parametria!C:C,0))</f>
        <v>RFITD</v>
      </c>
      <c r="AP311" s="26">
        <f>Tabla_Consulta_desde_Reporte_de_Valorización_de_Instrumentos[[#This Row],[Huella]]/$AU$4</f>
        <v>4.1791131588018952E-3</v>
      </c>
      <c r="AQ311" s="26" t="str">
        <f>IFERROR(INDEX('BD(MSCI)'!W:W,MATCH(Tabla_Consulta_desde_Reporte_de_Valorización_de_Instrumentos[[#This Row],[CODIGO_ISIN]],'BD(MSCI)'!C:C,0)),IF(Tabla_Consulta_desde_Reporte_de_Valorización_de_Instrumentos[[#This Row],[Rank_rt]]="Cash","Cash","Cuestionario Integra"))</f>
        <v>ETF</v>
      </c>
      <c r="AR311" s="26" t="str">
        <f>IFERROR(INDEX('BD(MSCI)'!X:X,MATCH(Tabla_Consulta_desde_Reporte_de_Valorización_de_Instrumentos[[#This Row],[CODIGO_ISIN]],'BD(MSCI)'!C:C,0)),"Cuestionario Integra")</f>
        <v>Otros ETFs</v>
      </c>
      <c r="AU311" s="26"/>
    </row>
    <row r="312" spans="2:47" hidden="1" x14ac:dyDescent="0.25">
      <c r="B312" s="14" t="s">
        <v>6390</v>
      </c>
      <c r="C312" t="s">
        <v>586</v>
      </c>
      <c r="D312" t="s">
        <v>11</v>
      </c>
      <c r="E312" t="s">
        <v>587</v>
      </c>
      <c r="F312" t="s">
        <v>662</v>
      </c>
      <c r="G312" t="str">
        <f>INDEX(Parametria!H:H,MATCH(Tabla_Consulta_desde_Reporte_de_Valorización_de_Instrumentos[[#This Row],[CODIGO_SBS]],Parametria!C:C,0),1)</f>
        <v>Veritas - Asian Fund</v>
      </c>
      <c r="H312" t="s">
        <v>663</v>
      </c>
      <c r="I312" t="s">
        <v>156</v>
      </c>
      <c r="J312" t="s">
        <v>664</v>
      </c>
      <c r="K312" t="s">
        <v>50</v>
      </c>
      <c r="L312">
        <v>591.01</v>
      </c>
      <c r="M312" s="5">
        <v>2706.8112341999999</v>
      </c>
      <c r="N312">
        <v>805.38285410000003</v>
      </c>
      <c r="O312">
        <v>1.0016</v>
      </c>
      <c r="P312" s="15"/>
      <c r="R312">
        <v>3.3609</v>
      </c>
      <c r="S312" t="s">
        <v>428</v>
      </c>
      <c r="T312">
        <v>2710.4446781000001</v>
      </c>
      <c r="U312" s="5">
        <v>806.05622979999998</v>
      </c>
      <c r="V312" t="s">
        <v>156</v>
      </c>
      <c r="W312">
        <v>0</v>
      </c>
      <c r="X312">
        <v>0</v>
      </c>
      <c r="Y312">
        <v>0</v>
      </c>
      <c r="Z312">
        <v>-0.67230000000000001</v>
      </c>
      <c r="AA312" t="str">
        <f>+MID(Tabla_Consulta_desde_Reporte_de_Valorización_de_Instrumentos[[#This Row],[CODIGO_SBS]],7,1)</f>
        <v>2</v>
      </c>
      <c r="AB312">
        <f>INDEX('Cálculo Caja'!F:F,MATCH(Tabla_Consulta_desde_Reporte_de_Valorización_de_Instrumentos[[#This Row],[PORTAFOLIO]],'Cálculo Caja'!A:A,0),1)</f>
        <v>3164069580.822104</v>
      </c>
      <c r="AC312" s="17">
        <f>Tabla_Consulta_desde_Reporte_de_Valorización_de_Instrumentos[[#This Row],[VALOR_VECTOR_LOCAL]]/Tabla_Consulta_desde_Reporte_de_Valorización_de_Instrumentos[[#This Row],[Patrimonio]]</f>
        <v>8.5548410521891974E-7</v>
      </c>
      <c r="AD312" s="4">
        <f>(Tabla_Consulta_desde_Reporte_de_Valorización_de_Instrumentos[[#This Row],[VALOR_VECTOR_LOCAL]]/INDEX('Tipo de Cambio'!$D:$D,MATCH("2",'Tipo de Cambio'!$E:$E,0),1))/1000000</f>
        <v>8.0538285405694896E-4</v>
      </c>
      <c r="AE312">
        <f>IF(Tabla_Consulta_desde_Reporte_de_Valorización_de_Instrumentos[[#This Row],[PORTAFOLIO]]="IN-FONDO0",Tabla_Consulta_desde_Reporte_de_Valorización_de_Instrumentos[[#This Row],[Inv MM$]],0)</f>
        <v>0</v>
      </c>
      <c r="AF312" s="26">
        <f>IF(Tabla_Consulta_desde_Reporte_de_Valorización_de_Instrumentos[[#This Row],[PORTAFOLIO]]="IN-FONDO1",Tabla_Consulta_desde_Reporte_de_Valorización_de_Instrumentos[[#This Row],[Inv MM$]],0)</f>
        <v>0</v>
      </c>
      <c r="AG312" s="26">
        <f>IF(Tabla_Consulta_desde_Reporte_de_Valorización_de_Instrumentos[[#This Row],[PORTAFOLIO]]="IN-FONDO2",Tabla_Consulta_desde_Reporte_de_Valorización_de_Instrumentos[[#This Row],[Inv MM$]],0)</f>
        <v>0</v>
      </c>
      <c r="AH312" s="26">
        <f>IF(Tabla_Consulta_desde_Reporte_de_Valorización_de_Instrumentos[[#This Row],[PORTAFOLIO]]="IN-FONDO3",Tabla_Consulta_desde_Reporte_de_Valorización_de_Instrumentos[[#This Row],[Inv MM$]],0)</f>
        <v>8.0538285405694896E-4</v>
      </c>
      <c r="AI31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1.6131779970246065E-3</v>
      </c>
      <c r="AJ312" s="26">
        <f>IFERROR(IFERROR(INDEX('BD(MSCI)'!$T:$T,MATCH(Tabla_Consulta_desde_Reporte_de_Valorización_de_Instrumentos[[#This Row],[CODIGO_ISIN]],'BD(MSCI)'!$C:$C,0),1),INDEX('BD(MSCI)'!$T:$T,MATCH(Tabla_Consulta_desde_Reporte_de_Valorización_de_Instrumentos[[#This Row],[CODIGO_SBS]],'BD(MSCI)'!$C:$C,0),1)),0)</f>
        <v>105.37258032</v>
      </c>
      <c r="AK312" s="26">
        <f>Tabla_Consulta_desde_Reporte_de_Valorización_de_Instrumentos[[#This Row],[C02-H]]*Tabla_Consulta_desde_Reporte_de_Valorización_de_Instrumentos[[#This Row],[Inv MM$]]</f>
        <v>8.4865269477466684E-2</v>
      </c>
      <c r="AL312" s="26">
        <f>Tabla_Consulta_desde_Reporte_de_Valorización_de_Instrumentos[[#This Row],[C02-H]]*Tabla_Consulta_desde_Reporte_de_Valorización_de_Instrumentos[[#This Row],[Weight]]</f>
        <v>9.0144567589663945E-5</v>
      </c>
      <c r="AM312" s="26" t="str">
        <f>INDEX(Parametria!G:G,MATCH(Tabla_Consulta_desde_Reporte_de_Valorización_de_Instrumentos[[#This Row],[CODIGO_SBS]],Parametria!C:C,0))</f>
        <v>52RVI</v>
      </c>
      <c r="AN312" s="26" t="str">
        <f>INDEX(Parametria!F:F,MATCH(Tabla_Consulta_desde_Reporte_de_Valorización_de_Instrumentos[[#This Row],[CODIGO_SBS]],Parametria!C:C,0))</f>
        <v>TD</v>
      </c>
      <c r="AO312" s="26" t="str">
        <f>+INDEX(Parametria!J:J,MATCH(Tabla_Consulta_desde_Reporte_de_Valorización_de_Instrumentos[[#This Row],[CODIGO_SBS]],Parametria!C:C,0))</f>
        <v>RVITD</v>
      </c>
      <c r="AP312" s="26">
        <f>Tabla_Consulta_desde_Reporte_de_Valorización_de_Instrumentos[[#This Row],[Huella]]/$AU$4</f>
        <v>7.8674156978696368E-6</v>
      </c>
      <c r="AQ312" s="26" t="str">
        <f>IFERROR(INDEX('BD(MSCI)'!W:W,MATCH(Tabla_Consulta_desde_Reporte_de_Valorización_de_Instrumentos[[#This Row],[CODIGO_ISIN]],'BD(MSCI)'!C:C,0)),IF(Tabla_Consulta_desde_Reporte_de_Valorización_de_Instrumentos[[#This Row],[Rank_rt]]="Cash","Cash","Cuestionario Integra"))</f>
        <v>Proxies</v>
      </c>
      <c r="AR312" s="26" t="str">
        <f>IFERROR(INDEX('BD(MSCI)'!X:X,MATCH(Tabla_Consulta_desde_Reporte_de_Valorización_de_Instrumentos[[#This Row],[CODIGO_ISIN]],'BD(MSCI)'!C:C,0)),"Cuestionario Integra")</f>
        <v>TD</v>
      </c>
      <c r="AU312" s="26"/>
    </row>
    <row r="313" spans="2:47" hidden="1" x14ac:dyDescent="0.25">
      <c r="B313" s="14" t="s">
        <v>6390</v>
      </c>
      <c r="C313" t="s">
        <v>586</v>
      </c>
      <c r="D313" t="s">
        <v>10</v>
      </c>
      <c r="E313" t="s">
        <v>587</v>
      </c>
      <c r="F313" t="s">
        <v>662</v>
      </c>
      <c r="G313" t="str">
        <f>INDEX(Parametria!H:H,MATCH(Tabla_Consulta_desde_Reporte_de_Valorización_de_Instrumentos[[#This Row],[CODIGO_SBS]],Parametria!C:C,0),1)</f>
        <v>Veritas - Asian Fund</v>
      </c>
      <c r="H313" t="s">
        <v>663</v>
      </c>
      <c r="I313" t="s">
        <v>156</v>
      </c>
      <c r="J313" t="s">
        <v>664</v>
      </c>
      <c r="K313" t="s">
        <v>50</v>
      </c>
      <c r="L313">
        <v>591.01</v>
      </c>
      <c r="M313" s="5">
        <v>2714.9186960000002</v>
      </c>
      <c r="N313">
        <v>807.79514300000005</v>
      </c>
      <c r="O313">
        <v>1.0045999999999999</v>
      </c>
      <c r="P313" s="15"/>
      <c r="R313">
        <v>3.3609</v>
      </c>
      <c r="S313" t="s">
        <v>428</v>
      </c>
      <c r="T313">
        <v>2718.5630228</v>
      </c>
      <c r="U313" s="5">
        <v>808.47053559999995</v>
      </c>
      <c r="V313" t="s">
        <v>156</v>
      </c>
      <c r="W313">
        <v>0</v>
      </c>
      <c r="X313">
        <v>0</v>
      </c>
      <c r="Y313">
        <v>0</v>
      </c>
      <c r="Z313">
        <v>-0.67230000000000001</v>
      </c>
      <c r="AA313" t="str">
        <f>+MID(Tabla_Consulta_desde_Reporte_de_Valorización_de_Instrumentos[[#This Row],[CODIGO_SBS]],7,1)</f>
        <v>2</v>
      </c>
      <c r="AB313">
        <f>INDEX('Cálculo Caja'!F:F,MATCH(Tabla_Consulta_desde_Reporte_de_Valorización_de_Instrumentos[[#This Row],[PORTAFOLIO]],'Cálculo Caja'!A:A,0),1)</f>
        <v>26256910350.436607</v>
      </c>
      <c r="AC313" s="17">
        <f>Tabla_Consulta_desde_Reporte_de_Valorización_de_Instrumentos[[#This Row],[VALOR_VECTOR_LOCAL]]/Tabla_Consulta_desde_Reporte_de_Valorización_de_Instrumentos[[#This Row],[Patrimonio]]</f>
        <v>1.0339825439343269E-7</v>
      </c>
      <c r="AD313" s="4">
        <f>(Tabla_Consulta_desde_Reporte_de_Valorización_de_Instrumentos[[#This Row],[VALOR_VECTOR_LOCAL]]/INDEX('Tipo de Cambio'!$D:$D,MATCH("2",'Tipo de Cambio'!$E:$E,0),1))/1000000</f>
        <v>8.077951429676575E-4</v>
      </c>
      <c r="AE313">
        <f>IF(Tabla_Consulta_desde_Reporte_de_Valorización_de_Instrumentos[[#This Row],[PORTAFOLIO]]="IN-FONDO0",Tabla_Consulta_desde_Reporte_de_Valorización_de_Instrumentos[[#This Row],[Inv MM$]],0)</f>
        <v>0</v>
      </c>
      <c r="AF313" s="26">
        <f>IF(Tabla_Consulta_desde_Reporte_de_Valorización_de_Instrumentos[[#This Row],[PORTAFOLIO]]="IN-FONDO1",Tabla_Consulta_desde_Reporte_de_Valorización_de_Instrumentos[[#This Row],[Inv MM$]],0)</f>
        <v>0</v>
      </c>
      <c r="AG313" s="26">
        <f>IF(Tabla_Consulta_desde_Reporte_de_Valorización_de_Instrumentos[[#This Row],[PORTAFOLIO]]="IN-FONDO2",Tabla_Consulta_desde_Reporte_de_Valorización_de_Instrumentos[[#This Row],[Inv MM$]],0)</f>
        <v>8.077951429676575E-4</v>
      </c>
      <c r="AH313" s="26">
        <f>IF(Tabla_Consulta_desde_Reporte_de_Valorización_de_Instrumentos[[#This Row],[PORTAFOLIO]]="IN-FONDO3",Tabla_Consulta_desde_Reporte_de_Valorización_de_Instrumentos[[#This Row],[Inv MM$]],0)</f>
        <v>0</v>
      </c>
      <c r="AI31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1.6131779970246065E-3</v>
      </c>
      <c r="AJ313" s="26">
        <f>IFERROR(IFERROR(INDEX('BD(MSCI)'!$T:$T,MATCH(Tabla_Consulta_desde_Reporte_de_Valorización_de_Instrumentos[[#This Row],[CODIGO_ISIN]],'BD(MSCI)'!$C:$C,0),1),INDEX('BD(MSCI)'!$T:$T,MATCH(Tabla_Consulta_desde_Reporte_de_Valorización_de_Instrumentos[[#This Row],[CODIGO_SBS]],'BD(MSCI)'!$C:$C,0),1)),0)</f>
        <v>105.37258032</v>
      </c>
      <c r="AK313" s="26">
        <f>Tabla_Consulta_desde_Reporte_de_Valorización_de_Instrumentos[[#This Row],[C02-H]]*Tabla_Consulta_desde_Reporte_de_Valorización_de_Instrumentos[[#This Row],[Inv MM$]]</f>
        <v>8.5119458584465374E-2</v>
      </c>
      <c r="AL313" s="26">
        <f>Tabla_Consulta_desde_Reporte_de_Valorización_de_Instrumentos[[#This Row],[C02-H]]*Tabla_Consulta_desde_Reporte_de_Valorización_de_Instrumentos[[#This Row],[Weight]]</f>
        <v>1.0895340866019779E-5</v>
      </c>
      <c r="AM313" s="26" t="str">
        <f>INDEX(Parametria!G:G,MATCH(Tabla_Consulta_desde_Reporte_de_Valorización_de_Instrumentos[[#This Row],[CODIGO_SBS]],Parametria!C:C,0))</f>
        <v>52RVI</v>
      </c>
      <c r="AN313" s="26" t="str">
        <f>INDEX(Parametria!F:F,MATCH(Tabla_Consulta_desde_Reporte_de_Valorización_de_Instrumentos[[#This Row],[CODIGO_SBS]],Parametria!C:C,0))</f>
        <v>TD</v>
      </c>
      <c r="AO313" s="26" t="str">
        <f>+INDEX(Parametria!J:J,MATCH(Tabla_Consulta_desde_Reporte_de_Valorización_de_Instrumentos[[#This Row],[CODIGO_SBS]],Parametria!C:C,0))</f>
        <v>RVITD</v>
      </c>
      <c r="AP313" s="26">
        <f>Tabla_Consulta_desde_Reporte_de_Valorización_de_Instrumentos[[#This Row],[Huella]]/$AU$4</f>
        <v>7.8909802417984092E-6</v>
      </c>
      <c r="AQ313" s="26" t="str">
        <f>IFERROR(INDEX('BD(MSCI)'!W:W,MATCH(Tabla_Consulta_desde_Reporte_de_Valorización_de_Instrumentos[[#This Row],[CODIGO_ISIN]],'BD(MSCI)'!C:C,0)),IF(Tabla_Consulta_desde_Reporte_de_Valorización_de_Instrumentos[[#This Row],[Rank_rt]]="Cash","Cash","Cuestionario Integra"))</f>
        <v>Proxies</v>
      </c>
      <c r="AR313" s="26" t="str">
        <f>IFERROR(INDEX('BD(MSCI)'!X:X,MATCH(Tabla_Consulta_desde_Reporte_de_Valorización_de_Instrumentos[[#This Row],[CODIGO_ISIN]],'BD(MSCI)'!C:C,0)),"Cuestionario Integra")</f>
        <v>TD</v>
      </c>
      <c r="AU313" s="26"/>
    </row>
    <row r="314" spans="2:47" hidden="1" x14ac:dyDescent="0.25">
      <c r="B314" s="14" t="s">
        <v>6390</v>
      </c>
      <c r="C314" t="s">
        <v>586</v>
      </c>
      <c r="D314" t="s">
        <v>10</v>
      </c>
      <c r="E314" t="s">
        <v>587</v>
      </c>
      <c r="F314" t="s">
        <v>665</v>
      </c>
      <c r="G314" t="str">
        <f>INDEX(Parametria!H:H,MATCH(Tabla_Consulta_desde_Reporte_de_Valorización_de_Instrumentos[[#This Row],[CODIGO_SBS]],Parametria!C:C,0),1)</f>
        <v>Degroof - EM  Sustainable Debt</v>
      </c>
      <c r="H314" t="s">
        <v>666</v>
      </c>
      <c r="I314" t="s">
        <v>156</v>
      </c>
      <c r="J314" t="s">
        <v>667</v>
      </c>
      <c r="K314" t="s">
        <v>50</v>
      </c>
      <c r="L314">
        <v>126.51</v>
      </c>
      <c r="M314" s="5">
        <v>520.77145499999995</v>
      </c>
      <c r="N314">
        <v>154.94999999999999</v>
      </c>
      <c r="O314">
        <v>1</v>
      </c>
      <c r="P314" s="15"/>
      <c r="R314">
        <v>3.3609</v>
      </c>
      <c r="S314" t="s">
        <v>155</v>
      </c>
      <c r="T314">
        <v>519.656204</v>
      </c>
      <c r="U314" s="5">
        <v>154.54</v>
      </c>
      <c r="V314" t="s">
        <v>156</v>
      </c>
      <c r="W314">
        <v>0</v>
      </c>
      <c r="X314">
        <v>0</v>
      </c>
      <c r="Y314">
        <v>0</v>
      </c>
      <c r="Z314">
        <v>0.41</v>
      </c>
      <c r="AA314" t="str">
        <f>+MID(Tabla_Consulta_desde_Reporte_de_Valorización_de_Instrumentos[[#This Row],[CODIGO_SBS]],7,1)</f>
        <v>2</v>
      </c>
      <c r="AB314">
        <f>INDEX('Cálculo Caja'!F:F,MATCH(Tabla_Consulta_desde_Reporte_de_Valorización_de_Instrumentos[[#This Row],[PORTAFOLIO]],'Cálculo Caja'!A:A,0),1)</f>
        <v>26256910350.436607</v>
      </c>
      <c r="AC314" s="17">
        <f>Tabla_Consulta_desde_Reporte_de_Valorización_de_Instrumentos[[#This Row],[VALOR_VECTOR_LOCAL]]/Tabla_Consulta_desde_Reporte_de_Valorización_de_Instrumentos[[#This Row],[Patrimonio]]</f>
        <v>1.9833691323523921E-8</v>
      </c>
      <c r="AD314" s="4">
        <f>(Tabla_Consulta_desde_Reporte_de_Valorización_de_Instrumentos[[#This Row],[VALOR_VECTOR_LOCAL]]/INDEX('Tipo de Cambio'!$D:$D,MATCH("2",'Tipo de Cambio'!$E:$E,0),1))/1000000</f>
        <v>1.5495E-4</v>
      </c>
      <c r="AE314">
        <f>IF(Tabla_Consulta_desde_Reporte_de_Valorización_de_Instrumentos[[#This Row],[PORTAFOLIO]]="IN-FONDO0",Tabla_Consulta_desde_Reporte_de_Valorización_de_Instrumentos[[#This Row],[Inv MM$]],0)</f>
        <v>0</v>
      </c>
      <c r="AF314" s="26">
        <f>IF(Tabla_Consulta_desde_Reporte_de_Valorización_de_Instrumentos[[#This Row],[PORTAFOLIO]]="IN-FONDO1",Tabla_Consulta_desde_Reporte_de_Valorización_de_Instrumentos[[#This Row],[Inv MM$]],0)</f>
        <v>0</v>
      </c>
      <c r="AG314" s="26">
        <f>IF(Tabla_Consulta_desde_Reporte_de_Valorización_de_Instrumentos[[#This Row],[PORTAFOLIO]]="IN-FONDO2",Tabla_Consulta_desde_Reporte_de_Valorización_de_Instrumentos[[#This Row],[Inv MM$]],0)</f>
        <v>1.5495E-4</v>
      </c>
      <c r="AH314" s="26">
        <f>IF(Tabla_Consulta_desde_Reporte_de_Valorización_de_Instrumentos[[#This Row],[PORTAFOLIO]]="IN-FONDO3",Tabla_Consulta_desde_Reporte_de_Valorización_de_Instrumentos[[#This Row],[Inv MM$]],0)</f>
        <v>0</v>
      </c>
      <c r="AI31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3.4058009997322143E-4</v>
      </c>
      <c r="AJ314" s="26">
        <f>IFERROR(IFERROR(INDEX('BD(MSCI)'!$T:$T,MATCH(Tabla_Consulta_desde_Reporte_de_Valorización_de_Instrumentos[[#This Row],[CODIGO_ISIN]],'BD(MSCI)'!$C:$C,0),1),INDEX('BD(MSCI)'!$T:$T,MATCH(Tabla_Consulta_desde_Reporte_de_Valorización_de_Instrumentos[[#This Row],[CODIGO_SBS]],'BD(MSCI)'!$C:$C,0),1)),0)</f>
        <v>6.141282E-2</v>
      </c>
      <c r="AK314" s="26">
        <f>Tabla_Consulta_desde_Reporte_de_Valorización_de_Instrumentos[[#This Row],[C02-H]]*Tabla_Consulta_desde_Reporte_de_Valorización_de_Instrumentos[[#This Row],[Inv MM$]]</f>
        <v>9.5159164590000003E-6</v>
      </c>
      <c r="AL314" s="26">
        <f>Tabla_Consulta_desde_Reporte_de_Valorización_de_Instrumentos[[#This Row],[C02-H]]*Tabla_Consulta_desde_Reporte_de_Valorización_de_Instrumentos[[#This Row],[Weight]]</f>
        <v>1.2180429151871363E-9</v>
      </c>
      <c r="AM314" s="26" t="str">
        <f>INDEX(Parametria!G:G,MATCH(Tabla_Consulta_desde_Reporte_de_Valorización_de_Instrumentos[[#This Row],[CODIGO_SBS]],Parametria!C:C,0))</f>
        <v>52RFIG</v>
      </c>
      <c r="AN314" s="26" t="str">
        <f>INDEX(Parametria!F:F,MATCH(Tabla_Consulta_desde_Reporte_de_Valorización_de_Instrumentos[[#This Row],[CODIGO_SBS]],Parametria!C:C,0))</f>
        <v>TD</v>
      </c>
      <c r="AO314" s="26" t="str">
        <f>+INDEX(Parametria!J:J,MATCH(Tabla_Consulta_desde_Reporte_de_Valorización_de_Instrumentos[[#This Row],[CODIGO_SBS]],Parametria!C:C,0))</f>
        <v>RFITD</v>
      </c>
      <c r="AP314" s="26">
        <f>Tabla_Consulta_desde_Reporte_de_Valorización_de_Instrumentos[[#This Row],[Huella]]/$AU$4</f>
        <v>8.8217089264096291E-10</v>
      </c>
      <c r="AQ314" s="26" t="str">
        <f>IFERROR(INDEX('BD(MSCI)'!W:W,MATCH(Tabla_Consulta_desde_Reporte_de_Valorización_de_Instrumentos[[#This Row],[CODIGO_ISIN]],'BD(MSCI)'!C:C,0)),IF(Tabla_Consulta_desde_Reporte_de_Valorización_de_Instrumentos[[#This Row],[Rank_rt]]="Cash","Cash","Cuestionario Integra"))</f>
        <v>ETF</v>
      </c>
      <c r="AR314" s="26" t="str">
        <f>IFERROR(INDEX('BD(MSCI)'!X:X,MATCH(Tabla_Consulta_desde_Reporte_de_Valorización_de_Instrumentos[[#This Row],[CODIGO_ISIN]],'BD(MSCI)'!C:C,0)),"Cuestionario Integra")</f>
        <v>Otros ETFs</v>
      </c>
      <c r="AU314" s="26"/>
    </row>
    <row r="315" spans="2:47" hidden="1" x14ac:dyDescent="0.25">
      <c r="B315" s="14" t="s">
        <v>6390</v>
      </c>
      <c r="C315" t="s">
        <v>586</v>
      </c>
      <c r="D315" t="s">
        <v>12</v>
      </c>
      <c r="E315" t="s">
        <v>587</v>
      </c>
      <c r="F315" t="s">
        <v>665</v>
      </c>
      <c r="G315" t="str">
        <f>INDEX(Parametria!H:H,MATCH(Tabla_Consulta_desde_Reporte_de_Valorización_de_Instrumentos[[#This Row],[CODIGO_SBS]],Parametria!C:C,0),1)</f>
        <v>Degroof - EM  Sustainable Debt</v>
      </c>
      <c r="H315" t="s">
        <v>666</v>
      </c>
      <c r="I315" t="s">
        <v>156</v>
      </c>
      <c r="J315" t="s">
        <v>667</v>
      </c>
      <c r="K315" t="s">
        <v>50</v>
      </c>
      <c r="L315">
        <v>126.51</v>
      </c>
      <c r="M315" s="5">
        <v>623.88420299999996</v>
      </c>
      <c r="N315">
        <v>185.6301</v>
      </c>
      <c r="O315">
        <v>1.198</v>
      </c>
      <c r="P315" s="15"/>
      <c r="R315">
        <v>3.3609</v>
      </c>
      <c r="S315" t="s">
        <v>155</v>
      </c>
      <c r="T315">
        <v>622.54813230000002</v>
      </c>
      <c r="U315" s="5">
        <v>185.13892000000001</v>
      </c>
      <c r="V315" t="s">
        <v>156</v>
      </c>
      <c r="W315">
        <v>0</v>
      </c>
      <c r="X315">
        <v>0</v>
      </c>
      <c r="Y315">
        <v>0</v>
      </c>
      <c r="Z315">
        <v>0.41</v>
      </c>
      <c r="AA315" t="str">
        <f>+MID(Tabla_Consulta_desde_Reporte_de_Valorización_de_Instrumentos[[#This Row],[CODIGO_SBS]],7,1)</f>
        <v>2</v>
      </c>
      <c r="AB315">
        <f>INDEX('Cálculo Caja'!F:F,MATCH(Tabla_Consulta_desde_Reporte_de_Valorización_de_Instrumentos[[#This Row],[PORTAFOLIO]],'Cálculo Caja'!A:A,0),1)</f>
        <v>7679510866.0565634</v>
      </c>
      <c r="AC315" s="17">
        <f>Tabla_Consulta_desde_Reporte_de_Valorización_de_Instrumentos[[#This Row],[VALOR_VECTOR_LOCAL]]/Tabla_Consulta_desde_Reporte_de_Valorización_de_Instrumentos[[#This Row],[Patrimonio]]</f>
        <v>8.1240096391759537E-8</v>
      </c>
      <c r="AD315" s="4">
        <f>(Tabla_Consulta_desde_Reporte_de_Valorización_de_Instrumentos[[#This Row],[VALOR_VECTOR_LOCAL]]/INDEX('Tipo de Cambio'!$D:$D,MATCH("2",'Tipo de Cambio'!$E:$E,0),1))/1000000</f>
        <v>1.8563009997322143E-4</v>
      </c>
      <c r="AE315">
        <f>IF(Tabla_Consulta_desde_Reporte_de_Valorización_de_Instrumentos[[#This Row],[PORTAFOLIO]]="IN-FONDO0",Tabla_Consulta_desde_Reporte_de_Valorización_de_Instrumentos[[#This Row],[Inv MM$]],0)</f>
        <v>0</v>
      </c>
      <c r="AF315" s="26">
        <f>IF(Tabla_Consulta_desde_Reporte_de_Valorización_de_Instrumentos[[#This Row],[PORTAFOLIO]]="IN-FONDO1",Tabla_Consulta_desde_Reporte_de_Valorización_de_Instrumentos[[#This Row],[Inv MM$]],0)</f>
        <v>1.8563009997322143E-4</v>
      </c>
      <c r="AG315" s="26">
        <f>IF(Tabla_Consulta_desde_Reporte_de_Valorización_de_Instrumentos[[#This Row],[PORTAFOLIO]]="IN-FONDO2",Tabla_Consulta_desde_Reporte_de_Valorización_de_Instrumentos[[#This Row],[Inv MM$]],0)</f>
        <v>0</v>
      </c>
      <c r="AH315" s="26">
        <f>IF(Tabla_Consulta_desde_Reporte_de_Valorización_de_Instrumentos[[#This Row],[PORTAFOLIO]]="IN-FONDO3",Tabla_Consulta_desde_Reporte_de_Valorización_de_Instrumentos[[#This Row],[Inv MM$]],0)</f>
        <v>0</v>
      </c>
      <c r="AI31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3.4058009997322143E-4</v>
      </c>
      <c r="AJ315" s="26">
        <f>IFERROR(IFERROR(INDEX('BD(MSCI)'!$T:$T,MATCH(Tabla_Consulta_desde_Reporte_de_Valorización_de_Instrumentos[[#This Row],[CODIGO_ISIN]],'BD(MSCI)'!$C:$C,0),1),INDEX('BD(MSCI)'!$T:$T,MATCH(Tabla_Consulta_desde_Reporte_de_Valorización_de_Instrumentos[[#This Row],[CODIGO_SBS]],'BD(MSCI)'!$C:$C,0),1)),0)</f>
        <v>6.141282E-2</v>
      </c>
      <c r="AK315" s="26">
        <f>Tabla_Consulta_desde_Reporte_de_Valorización_de_Instrumentos[[#This Row],[C02-H]]*Tabla_Consulta_desde_Reporte_de_Valorización_de_Instrumentos[[#This Row],[Inv MM$]]</f>
        <v>1.1400067916237453E-5</v>
      </c>
      <c r="AL315" s="26">
        <f>Tabla_Consulta_desde_Reporte_de_Valorización_de_Instrumentos[[#This Row],[C02-H]]*Tabla_Consulta_desde_Reporte_de_Valorización_de_Instrumentos[[#This Row],[Weight]]</f>
        <v>4.9891834164897783E-9</v>
      </c>
      <c r="AM315" s="26" t="str">
        <f>INDEX(Parametria!G:G,MATCH(Tabla_Consulta_desde_Reporte_de_Valorización_de_Instrumentos[[#This Row],[CODIGO_SBS]],Parametria!C:C,0))</f>
        <v>52RFIG</v>
      </c>
      <c r="AN315" s="26" t="str">
        <f>INDEX(Parametria!F:F,MATCH(Tabla_Consulta_desde_Reporte_de_Valorización_de_Instrumentos[[#This Row],[CODIGO_SBS]],Parametria!C:C,0))</f>
        <v>TD</v>
      </c>
      <c r="AO315" s="26" t="str">
        <f>+INDEX(Parametria!J:J,MATCH(Tabla_Consulta_desde_Reporte_de_Valorización_de_Instrumentos[[#This Row],[CODIGO_SBS]],Parametria!C:C,0))</f>
        <v>RFITD</v>
      </c>
      <c r="AP315" s="26">
        <f>Tabla_Consulta_desde_Reporte_de_Valorización_de_Instrumentos[[#This Row],[Huella]]/$AU$4</f>
        <v>1.056840729231416E-9</v>
      </c>
      <c r="AQ315" s="26" t="str">
        <f>IFERROR(INDEX('BD(MSCI)'!W:W,MATCH(Tabla_Consulta_desde_Reporte_de_Valorización_de_Instrumentos[[#This Row],[CODIGO_ISIN]],'BD(MSCI)'!C:C,0)),IF(Tabla_Consulta_desde_Reporte_de_Valorización_de_Instrumentos[[#This Row],[Rank_rt]]="Cash","Cash","Cuestionario Integra"))</f>
        <v>ETF</v>
      </c>
      <c r="AR315" s="26" t="str">
        <f>IFERROR(INDEX('BD(MSCI)'!X:X,MATCH(Tabla_Consulta_desde_Reporte_de_Valorización_de_Instrumentos[[#This Row],[CODIGO_ISIN]],'BD(MSCI)'!C:C,0)),"Cuestionario Integra")</f>
        <v>Otros ETFs</v>
      </c>
      <c r="AU315" s="26"/>
    </row>
    <row r="316" spans="2:47" hidden="1" x14ac:dyDescent="0.25">
      <c r="B316" s="14" t="s">
        <v>6390</v>
      </c>
      <c r="C316" t="s">
        <v>586</v>
      </c>
      <c r="D316" t="s">
        <v>12</v>
      </c>
      <c r="E316" t="s">
        <v>587</v>
      </c>
      <c r="F316" t="s">
        <v>671</v>
      </c>
      <c r="G316" t="str">
        <f>INDEX(Parametria!H:H,MATCH(Tabla_Consulta_desde_Reporte_de_Valorización_de_Instrumentos[[#This Row],[CODIGO_SBS]],Parametria!C:C,0),1)</f>
        <v>Lazard Capital Fi</v>
      </c>
      <c r="H316" t="s">
        <v>672</v>
      </c>
      <c r="I316" t="s">
        <v>156</v>
      </c>
      <c r="J316" t="s">
        <v>670</v>
      </c>
      <c r="K316" t="s">
        <v>57</v>
      </c>
      <c r="L316">
        <v>1</v>
      </c>
      <c r="M316" s="5">
        <v>62150.962072800001</v>
      </c>
      <c r="N316">
        <v>15750.24</v>
      </c>
      <c r="O316">
        <v>1</v>
      </c>
      <c r="P316" s="15"/>
      <c r="R316">
        <v>3.9460326999999999</v>
      </c>
      <c r="S316" t="s">
        <v>155</v>
      </c>
      <c r="T316">
        <v>62222.870344000003</v>
      </c>
      <c r="U316" s="5">
        <v>15743.06</v>
      </c>
      <c r="V316" t="s">
        <v>156</v>
      </c>
      <c r="W316">
        <v>0</v>
      </c>
      <c r="X316">
        <v>0</v>
      </c>
      <c r="Y316">
        <v>0</v>
      </c>
      <c r="Z316">
        <v>7.18</v>
      </c>
      <c r="AA316" t="str">
        <f>+MID(Tabla_Consulta_desde_Reporte_de_Valorización_de_Instrumentos[[#This Row],[CODIGO_SBS]],7,1)</f>
        <v>4</v>
      </c>
      <c r="AB316">
        <f>INDEX('Cálculo Caja'!F:F,MATCH(Tabla_Consulta_desde_Reporte_de_Valorización_de_Instrumentos[[#This Row],[PORTAFOLIO]],'Cálculo Caja'!A:A,0),1)</f>
        <v>7679510866.0565634</v>
      </c>
      <c r="AC316" s="17">
        <f>Tabla_Consulta_desde_Reporte_de_Valorización_de_Instrumentos[[#This Row],[VALOR_VECTOR_LOCAL]]/Tabla_Consulta_desde_Reporte_de_Valorización_de_Instrumentos[[#This Row],[Patrimonio]]</f>
        <v>8.0930886298380339E-6</v>
      </c>
      <c r="AD316" s="4">
        <f>(Tabla_Consulta_desde_Reporte_de_Valorización_de_Instrumentos[[#This Row],[VALOR_VECTOR_LOCAL]]/INDEX('Tipo de Cambio'!$D:$D,MATCH("2",'Tipo de Cambio'!$E:$E,0),1))/1000000</f>
        <v>1.8492356830848881E-2</v>
      </c>
      <c r="AE316">
        <f>IF(Tabla_Consulta_desde_Reporte_de_Valorización_de_Instrumentos[[#This Row],[PORTAFOLIO]]="IN-FONDO0",Tabla_Consulta_desde_Reporte_de_Valorización_de_Instrumentos[[#This Row],[Inv MM$]],0)</f>
        <v>0</v>
      </c>
      <c r="AF316" s="26">
        <f>IF(Tabla_Consulta_desde_Reporte_de_Valorización_de_Instrumentos[[#This Row],[PORTAFOLIO]]="IN-FONDO1",Tabla_Consulta_desde_Reporte_de_Valorización_de_Instrumentos[[#This Row],[Inv MM$]],0)</f>
        <v>1.8492356830848881E-2</v>
      </c>
      <c r="AG316" s="26">
        <f>IF(Tabla_Consulta_desde_Reporte_de_Valorización_de_Instrumentos[[#This Row],[PORTAFOLIO]]="IN-FONDO2",Tabla_Consulta_desde_Reporte_de_Valorización_de_Instrumentos[[#This Row],[Inv MM$]],0)</f>
        <v>0</v>
      </c>
      <c r="AH316" s="26">
        <f>IF(Tabla_Consulta_desde_Reporte_de_Valorización_de_Instrumentos[[#This Row],[PORTAFOLIO]]="IN-FONDO3",Tabla_Consulta_desde_Reporte_de_Valorización_de_Instrumentos[[#This Row],[Inv MM$]],0)</f>
        <v>0</v>
      </c>
      <c r="AI31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5.4293559655389928E-2</v>
      </c>
      <c r="AJ316" s="26">
        <f>IFERROR(IFERROR(INDEX('BD(MSCI)'!$T:$T,MATCH(Tabla_Consulta_desde_Reporte_de_Valorización_de_Instrumentos[[#This Row],[CODIGO_ISIN]],'BD(MSCI)'!$C:$C,0),1),INDEX('BD(MSCI)'!$T:$T,MATCH(Tabla_Consulta_desde_Reporte_de_Valorización_de_Instrumentos[[#This Row],[CODIGO_SBS]],'BD(MSCI)'!$C:$C,0),1)),0)</f>
        <v>2.7975900199999999</v>
      </c>
      <c r="AK316" s="26">
        <f>Tabla_Consulta_desde_Reporte_de_Valorización_de_Instrumentos[[#This Row],[C02-H]]*Tabla_Consulta_desde_Reporte_de_Valorización_de_Instrumentos[[#This Row],[Inv MM$]]</f>
        <v>5.1734032916261656E-2</v>
      </c>
      <c r="AL316" s="26">
        <f>Tabla_Consulta_desde_Reporte_de_Valorización_de_Instrumentos[[#This Row],[C02-H]]*Tabla_Consulta_desde_Reporte_de_Valorización_de_Instrumentos[[#This Row],[Weight]]</f>
        <v>2.2641143981810357E-5</v>
      </c>
      <c r="AM316" s="26" t="str">
        <f>INDEX(Parametria!G:G,MATCH(Tabla_Consulta_desde_Reporte_de_Valorización_de_Instrumentos[[#This Row],[CODIGO_SBS]],Parametria!C:C,0))</f>
        <v>52RFIG</v>
      </c>
      <c r="AN316" s="26" t="str">
        <f>INDEX(Parametria!F:F,MATCH(Tabla_Consulta_desde_Reporte_de_Valorización_de_Instrumentos[[#This Row],[CODIGO_SBS]],Parametria!C:C,0))</f>
        <v>TD</v>
      </c>
      <c r="AO316" s="26" t="str">
        <f>+INDEX(Parametria!J:J,MATCH(Tabla_Consulta_desde_Reporte_de_Valorización_de_Instrumentos[[#This Row],[CODIGO_SBS]],Parametria!C:C,0))</f>
        <v>RFITD</v>
      </c>
      <c r="AP316" s="26">
        <f>Tabla_Consulta_desde_Reporte_de_Valorización_de_Instrumentos[[#This Row],[Huella]]/$AU$4</f>
        <v>4.7959918725948429E-6</v>
      </c>
      <c r="AQ316" s="26" t="str">
        <f>IFERROR(INDEX('BD(MSCI)'!W:W,MATCH(Tabla_Consulta_desde_Reporte_de_Valorización_de_Instrumentos[[#This Row],[CODIGO_ISIN]],'BD(MSCI)'!C:C,0)),IF(Tabla_Consulta_desde_Reporte_de_Valorización_de_Instrumentos[[#This Row],[Rank_rt]]="Cash","Cash","Cuestionario Integra"))</f>
        <v>ETF</v>
      </c>
      <c r="AR316" s="26" t="str">
        <f>IFERROR(INDEX('BD(MSCI)'!X:X,MATCH(Tabla_Consulta_desde_Reporte_de_Valorización_de_Instrumentos[[#This Row],[CODIGO_ISIN]],'BD(MSCI)'!C:C,0)),"Cuestionario Integra")</f>
        <v>Otros ETFs</v>
      </c>
      <c r="AU316" s="26"/>
    </row>
    <row r="317" spans="2:47" hidden="1" x14ac:dyDescent="0.25">
      <c r="B317" s="14" t="s">
        <v>6390</v>
      </c>
      <c r="C317" t="s">
        <v>586</v>
      </c>
      <c r="D317" t="s">
        <v>12</v>
      </c>
      <c r="E317" t="s">
        <v>587</v>
      </c>
      <c r="F317" t="s">
        <v>668</v>
      </c>
      <c r="G317" t="str">
        <f>INDEX(Parametria!H:H,MATCH(Tabla_Consulta_desde_Reporte_de_Valorización_de_Instrumentos[[#This Row],[CODIGO_SBS]],Parametria!C:C,0),1)</f>
        <v>Lazard - Convertible Global Fund</v>
      </c>
      <c r="H317" t="s">
        <v>669</v>
      </c>
      <c r="I317" t="s">
        <v>156</v>
      </c>
      <c r="J317" t="s">
        <v>670</v>
      </c>
      <c r="K317" t="s">
        <v>50</v>
      </c>
      <c r="L317">
        <v>1</v>
      </c>
      <c r="M317" s="5">
        <v>5962.0013369999997</v>
      </c>
      <c r="N317">
        <v>1773.93</v>
      </c>
      <c r="O317">
        <v>1</v>
      </c>
      <c r="P317" s="15"/>
      <c r="R317">
        <v>3.3609</v>
      </c>
      <c r="S317" t="s">
        <v>155</v>
      </c>
      <c r="T317">
        <v>5978.3329139999996</v>
      </c>
      <c r="U317" s="5">
        <v>1777.89</v>
      </c>
      <c r="V317" t="s">
        <v>156</v>
      </c>
      <c r="W317">
        <v>0</v>
      </c>
      <c r="X317">
        <v>0</v>
      </c>
      <c r="Y317">
        <v>0</v>
      </c>
      <c r="Z317">
        <v>-3.96</v>
      </c>
      <c r="AA317" t="str">
        <f>+MID(Tabla_Consulta_desde_Reporte_de_Valorización_de_Instrumentos[[#This Row],[CODIGO_SBS]],7,1)</f>
        <v>2</v>
      </c>
      <c r="AB317">
        <f>INDEX('Cálculo Caja'!F:F,MATCH(Tabla_Consulta_desde_Reporte_de_Valorización_de_Instrumentos[[#This Row],[PORTAFOLIO]],'Cálculo Caja'!A:A,0),1)</f>
        <v>7679510866.0565634</v>
      </c>
      <c r="AC317" s="17">
        <f>Tabla_Consulta_desde_Reporte_de_Valorización_de_Instrumentos[[#This Row],[VALOR_VECTOR_LOCAL]]/Tabla_Consulta_desde_Reporte_de_Valorización_de_Instrumentos[[#This Row],[Patrimonio]]</f>
        <v>7.7635170273044926E-7</v>
      </c>
      <c r="AD317" s="4">
        <f>(Tabla_Consulta_desde_Reporte_de_Valorización_de_Instrumentos[[#This Row],[VALOR_VECTOR_LOCAL]]/INDEX('Tipo de Cambio'!$D:$D,MATCH("2",'Tipo de Cambio'!$E:$E,0),1))/1000000</f>
        <v>1.7739299999999997E-3</v>
      </c>
      <c r="AE317">
        <f>IF(Tabla_Consulta_desde_Reporte_de_Valorización_de_Instrumentos[[#This Row],[PORTAFOLIO]]="IN-FONDO0",Tabla_Consulta_desde_Reporte_de_Valorización_de_Instrumentos[[#This Row],[Inv MM$]],0)</f>
        <v>0</v>
      </c>
      <c r="AF317" s="26">
        <f>IF(Tabla_Consulta_desde_Reporte_de_Valorización_de_Instrumentos[[#This Row],[PORTAFOLIO]]="IN-FONDO1",Tabla_Consulta_desde_Reporte_de_Valorización_de_Instrumentos[[#This Row],[Inv MM$]],0)</f>
        <v>1.7739299999999997E-3</v>
      </c>
      <c r="AG317" s="26">
        <f>IF(Tabla_Consulta_desde_Reporte_de_Valorización_de_Instrumentos[[#This Row],[PORTAFOLIO]]="IN-FONDO2",Tabla_Consulta_desde_Reporte_de_Valorización_de_Instrumentos[[#This Row],[Inv MM$]],0)</f>
        <v>0</v>
      </c>
      <c r="AH317" s="26">
        <f>IF(Tabla_Consulta_desde_Reporte_de_Valorización_de_Instrumentos[[#This Row],[PORTAFOLIO]]="IN-FONDO3",Tabla_Consulta_desde_Reporte_de_Valorización_de_Instrumentos[[#This Row],[Inv MM$]],0)</f>
        <v>0</v>
      </c>
      <c r="AI31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1.7739299999999997E-3</v>
      </c>
      <c r="AJ317" s="26">
        <f>IFERROR(IFERROR(INDEX('BD(MSCI)'!$T:$T,MATCH(Tabla_Consulta_desde_Reporte_de_Valorización_de_Instrumentos[[#This Row],[CODIGO_ISIN]],'BD(MSCI)'!$C:$C,0),1),INDEX('BD(MSCI)'!$T:$T,MATCH(Tabla_Consulta_desde_Reporte_de_Valorización_de_Instrumentos[[#This Row],[CODIGO_SBS]],'BD(MSCI)'!$C:$C,0),1)),0)</f>
        <v>70.169577059999995</v>
      </c>
      <c r="AK317" s="26">
        <f>Tabla_Consulta_desde_Reporte_de_Valorización_de_Instrumentos[[#This Row],[C02-H]]*Tabla_Consulta_desde_Reporte_de_Valorización_de_Instrumentos[[#This Row],[Inv MM$]]</f>
        <v>0.12447591783404577</v>
      </c>
      <c r="AL317" s="26">
        <f>Tabla_Consulta_desde_Reporte_de_Valorización_de_Instrumentos[[#This Row],[C02-H]]*Tabla_Consulta_desde_Reporte_de_Valorización_de_Instrumentos[[#This Row],[Weight]]</f>
        <v>5.447627063040647E-5</v>
      </c>
      <c r="AM317" s="26" t="str">
        <f>INDEX(Parametria!G:G,MATCH(Tabla_Consulta_desde_Reporte_de_Valorización_de_Instrumentos[[#This Row],[CODIGO_SBS]],Parametria!C:C,0))</f>
        <v>52RFIG</v>
      </c>
      <c r="AN317" s="26" t="str">
        <f>INDEX(Parametria!F:F,MATCH(Tabla_Consulta_desde_Reporte_de_Valorización_de_Instrumentos[[#This Row],[CODIGO_SBS]],Parametria!C:C,0))</f>
        <v>TD</v>
      </c>
      <c r="AO317" s="26" t="str">
        <f>+INDEX(Parametria!J:J,MATCH(Tabla_Consulta_desde_Reporte_de_Valorización_de_Instrumentos[[#This Row],[CODIGO_SBS]],Parametria!C:C,0))</f>
        <v>RFITD</v>
      </c>
      <c r="AP317" s="26">
        <f>Tabla_Consulta_desde_Reporte_de_Valorización_de_Instrumentos[[#This Row],[Huella]]/$AU$4</f>
        <v>1.1539511934671064E-5</v>
      </c>
      <c r="AQ317" s="26" t="str">
        <f>IFERROR(INDEX('BD(MSCI)'!W:W,MATCH(Tabla_Consulta_desde_Reporte_de_Valorización_de_Instrumentos[[#This Row],[CODIGO_ISIN]],'BD(MSCI)'!C:C,0)),IF(Tabla_Consulta_desde_Reporte_de_Valorización_de_Instrumentos[[#This Row],[Rank_rt]]="Cash","Cash","Cuestionario Integra"))</f>
        <v>ETF</v>
      </c>
      <c r="AR317" s="26" t="str">
        <f>IFERROR(INDEX('BD(MSCI)'!X:X,MATCH(Tabla_Consulta_desde_Reporte_de_Valorización_de_Instrumentos[[#This Row],[CODIGO_ISIN]],'BD(MSCI)'!C:C,0)),"Cuestionario Integra")</f>
        <v>Otros ETFs</v>
      </c>
      <c r="AU317" s="26"/>
    </row>
    <row r="318" spans="2:47" hidden="1" x14ac:dyDescent="0.25">
      <c r="B318" s="14" t="s">
        <v>6390</v>
      </c>
      <c r="C318" t="s">
        <v>586</v>
      </c>
      <c r="D318" t="s">
        <v>10</v>
      </c>
      <c r="E318" t="s">
        <v>587</v>
      </c>
      <c r="F318" t="s">
        <v>671</v>
      </c>
      <c r="G318" t="str">
        <f>INDEX(Parametria!H:H,MATCH(Tabla_Consulta_desde_Reporte_de_Valorización_de_Instrumentos[[#This Row],[CODIGO_SBS]],Parametria!C:C,0),1)</f>
        <v>Lazard Capital Fi</v>
      </c>
      <c r="H318" t="s">
        <v>672</v>
      </c>
      <c r="I318" t="s">
        <v>156</v>
      </c>
      <c r="J318" t="s">
        <v>670</v>
      </c>
      <c r="K318" t="s">
        <v>57</v>
      </c>
      <c r="L318">
        <v>1</v>
      </c>
      <c r="M318" s="5">
        <v>120324.262573</v>
      </c>
      <c r="N318">
        <v>30492.464639999998</v>
      </c>
      <c r="O318">
        <v>1.9359999999999999</v>
      </c>
      <c r="P318" s="15"/>
      <c r="R318">
        <v>3.9460326999999999</v>
      </c>
      <c r="S318" t="s">
        <v>155</v>
      </c>
      <c r="T318">
        <v>120463.47698589999</v>
      </c>
      <c r="U318" s="5">
        <v>30478.564160000002</v>
      </c>
      <c r="V318" t="s">
        <v>156</v>
      </c>
      <c r="W318">
        <v>0</v>
      </c>
      <c r="X318">
        <v>0</v>
      </c>
      <c r="Y318">
        <v>0</v>
      </c>
      <c r="Z318">
        <v>7.18</v>
      </c>
      <c r="AA318" t="str">
        <f>+MID(Tabla_Consulta_desde_Reporte_de_Valorización_de_Instrumentos[[#This Row],[CODIGO_SBS]],7,1)</f>
        <v>4</v>
      </c>
      <c r="AB318">
        <f>INDEX('Cálculo Caja'!F:F,MATCH(Tabla_Consulta_desde_Reporte_de_Valorización_de_Instrumentos[[#This Row],[PORTAFOLIO]],'Cálculo Caja'!A:A,0),1)</f>
        <v>26256910350.436607</v>
      </c>
      <c r="AC318" s="17">
        <f>Tabla_Consulta_desde_Reporte_de_Valorización_de_Instrumentos[[#This Row],[VALOR_VECTOR_LOCAL]]/Tabla_Consulta_desde_Reporte_de_Valorización_de_Instrumentos[[#This Row],[Patrimonio]]</f>
        <v>4.5825750618445944E-6</v>
      </c>
      <c r="AD318" s="4">
        <f>(Tabla_Consulta_desde_Reporte_de_Valorización_de_Instrumentos[[#This Row],[VALOR_VECTOR_LOCAL]]/INDEX('Tipo de Cambio'!$D:$D,MATCH("2",'Tipo de Cambio'!$E:$E,0),1))/1000000</f>
        <v>3.5801202824541051E-2</v>
      </c>
      <c r="AE318">
        <f>IF(Tabla_Consulta_desde_Reporte_de_Valorización_de_Instrumentos[[#This Row],[PORTAFOLIO]]="IN-FONDO0",Tabla_Consulta_desde_Reporte_de_Valorización_de_Instrumentos[[#This Row],[Inv MM$]],0)</f>
        <v>0</v>
      </c>
      <c r="AF318" s="26">
        <f>IF(Tabla_Consulta_desde_Reporte_de_Valorización_de_Instrumentos[[#This Row],[PORTAFOLIO]]="IN-FONDO1",Tabla_Consulta_desde_Reporte_de_Valorización_de_Instrumentos[[#This Row],[Inv MM$]],0)</f>
        <v>0</v>
      </c>
      <c r="AG318" s="26">
        <f>IF(Tabla_Consulta_desde_Reporte_de_Valorización_de_Instrumentos[[#This Row],[PORTAFOLIO]]="IN-FONDO2",Tabla_Consulta_desde_Reporte_de_Valorización_de_Instrumentos[[#This Row],[Inv MM$]],0)</f>
        <v>3.5801202824541051E-2</v>
      </c>
      <c r="AH318" s="26">
        <f>IF(Tabla_Consulta_desde_Reporte_de_Valorización_de_Instrumentos[[#This Row],[PORTAFOLIO]]="IN-FONDO3",Tabla_Consulta_desde_Reporte_de_Valorización_de_Instrumentos[[#This Row],[Inv MM$]],0)</f>
        <v>0</v>
      </c>
      <c r="AI31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5.4293559655389928E-2</v>
      </c>
      <c r="AJ318" s="26">
        <f>IFERROR(IFERROR(INDEX('BD(MSCI)'!$T:$T,MATCH(Tabla_Consulta_desde_Reporte_de_Valorización_de_Instrumentos[[#This Row],[CODIGO_ISIN]],'BD(MSCI)'!$C:$C,0),1),INDEX('BD(MSCI)'!$T:$T,MATCH(Tabla_Consulta_desde_Reporte_de_Valorización_de_Instrumentos[[#This Row],[CODIGO_SBS]],'BD(MSCI)'!$C:$C,0),1)),0)</f>
        <v>2.7975900199999999</v>
      </c>
      <c r="AK318" s="26">
        <f>Tabla_Consulta_desde_Reporte_de_Valorización_de_Instrumentos[[#This Row],[C02-H]]*Tabla_Consulta_desde_Reporte_de_Valorización_de_Instrumentos[[#This Row],[Inv MM$]]</f>
        <v>0.10015708772593185</v>
      </c>
      <c r="AL318" s="26">
        <f>Tabla_Consulta_desde_Reporte_de_Valorización_de_Instrumentos[[#This Row],[C02-H]]*Tabla_Consulta_desde_Reporte_de_Valorización_de_Instrumentos[[#This Row],[Weight]]</f>
        <v>1.282016625891732E-5</v>
      </c>
      <c r="AM318" s="26" t="str">
        <f>INDEX(Parametria!G:G,MATCH(Tabla_Consulta_desde_Reporte_de_Valorización_de_Instrumentos[[#This Row],[CODIGO_SBS]],Parametria!C:C,0))</f>
        <v>52RFIG</v>
      </c>
      <c r="AN318" s="26" t="str">
        <f>INDEX(Parametria!F:F,MATCH(Tabla_Consulta_desde_Reporte_de_Valorización_de_Instrumentos[[#This Row],[CODIGO_SBS]],Parametria!C:C,0))</f>
        <v>TD</v>
      </c>
      <c r="AO318" s="26" t="str">
        <f>+INDEX(Parametria!J:J,MATCH(Tabla_Consulta_desde_Reporte_de_Valorización_de_Instrumentos[[#This Row],[CODIGO_SBS]],Parametria!C:C,0))</f>
        <v>RFITD</v>
      </c>
      <c r="AP318" s="26">
        <f>Tabla_Consulta_desde_Reporte_de_Valorización_de_Instrumentos[[#This Row],[Huella]]/$AU$4</f>
        <v>9.2850402653481846E-6</v>
      </c>
      <c r="AQ318" s="26" t="str">
        <f>IFERROR(INDEX('BD(MSCI)'!W:W,MATCH(Tabla_Consulta_desde_Reporte_de_Valorización_de_Instrumentos[[#This Row],[CODIGO_ISIN]],'BD(MSCI)'!C:C,0)),IF(Tabla_Consulta_desde_Reporte_de_Valorización_de_Instrumentos[[#This Row],[Rank_rt]]="Cash","Cash","Cuestionario Integra"))</f>
        <v>ETF</v>
      </c>
      <c r="AR318" s="26" t="str">
        <f>IFERROR(INDEX('BD(MSCI)'!X:X,MATCH(Tabla_Consulta_desde_Reporte_de_Valorización_de_Instrumentos[[#This Row],[CODIGO_ISIN]],'BD(MSCI)'!C:C,0)),"Cuestionario Integra")</f>
        <v>Otros ETFs</v>
      </c>
      <c r="AU318" s="26"/>
    </row>
    <row r="319" spans="2:47" hidden="1" x14ac:dyDescent="0.25">
      <c r="B319" s="14" t="s">
        <v>6390</v>
      </c>
      <c r="C319" t="s">
        <v>586</v>
      </c>
      <c r="D319" t="s">
        <v>11</v>
      </c>
      <c r="E319" t="s">
        <v>587</v>
      </c>
      <c r="F319" t="s">
        <v>945</v>
      </c>
      <c r="G319" t="str">
        <f>INDEX(Parametria!H:H,MATCH(Tabla_Consulta_desde_Reporte_de_Valorización_de_Instrumentos[[#This Row],[CODIGO_SBS]],Parametria!C:C,0),1)</f>
        <v>Krane - CSI China Internet Fund</v>
      </c>
      <c r="H319" t="s">
        <v>946</v>
      </c>
      <c r="I319" t="s">
        <v>156</v>
      </c>
      <c r="J319" t="s">
        <v>5860</v>
      </c>
      <c r="K319" t="s">
        <v>50</v>
      </c>
      <c r="L319">
        <v>33.380000000000003</v>
      </c>
      <c r="M319" s="5">
        <v>26574484.387320001</v>
      </c>
      <c r="N319">
        <v>7906954.7999999998</v>
      </c>
      <c r="O319">
        <v>232216</v>
      </c>
      <c r="P319" s="15"/>
      <c r="R319">
        <v>3.3609</v>
      </c>
      <c r="S319" t="s">
        <v>428</v>
      </c>
      <c r="T319">
        <v>26853415.047823999</v>
      </c>
      <c r="U319" s="5">
        <v>7985908.2400000002</v>
      </c>
      <c r="V319" t="s">
        <v>156</v>
      </c>
      <c r="W319">
        <v>0</v>
      </c>
      <c r="X319">
        <v>0</v>
      </c>
      <c r="Y319">
        <v>0</v>
      </c>
      <c r="Z319">
        <v>-0.34</v>
      </c>
      <c r="AA319" t="str">
        <f>+MID(Tabla_Consulta_desde_Reporte_de_Valorización_de_Instrumentos[[#This Row],[CODIGO_SBS]],7,1)</f>
        <v>2</v>
      </c>
      <c r="AB319">
        <f>INDEX('Cálculo Caja'!F:F,MATCH(Tabla_Consulta_desde_Reporte_de_Valorización_de_Instrumentos[[#This Row],[PORTAFOLIO]],'Cálculo Caja'!A:A,0),1)</f>
        <v>3164069580.822104</v>
      </c>
      <c r="AC319" s="17">
        <f>Tabla_Consulta_desde_Reporte_de_Valorización_de_Instrumentos[[#This Row],[VALOR_VECTOR_LOCAL]]/Tabla_Consulta_desde_Reporte_de_Valorización_de_Instrumentos[[#This Row],[Patrimonio]]</f>
        <v>8.398830590955364E-3</v>
      </c>
      <c r="AD319" s="4">
        <f>(Tabla_Consulta_desde_Reporte_de_Valorización_de_Instrumentos[[#This Row],[VALOR_VECTOR_LOCAL]]/INDEX('Tipo de Cambio'!$D:$D,MATCH("2",'Tipo de Cambio'!$E:$E,0),1))/1000000</f>
        <v>7.9069547999999994</v>
      </c>
      <c r="AE319">
        <f>IF(Tabla_Consulta_desde_Reporte_de_Valorización_de_Instrumentos[[#This Row],[PORTAFOLIO]]="IN-FONDO0",Tabla_Consulta_desde_Reporte_de_Valorización_de_Instrumentos[[#This Row],[Inv MM$]],0)</f>
        <v>0</v>
      </c>
      <c r="AF319" s="26">
        <f>IF(Tabla_Consulta_desde_Reporte_de_Valorización_de_Instrumentos[[#This Row],[PORTAFOLIO]]="IN-FONDO1",Tabla_Consulta_desde_Reporte_de_Valorización_de_Instrumentos[[#This Row],[Inv MM$]],0)</f>
        <v>0</v>
      </c>
      <c r="AG319" s="26">
        <f>IF(Tabla_Consulta_desde_Reporte_de_Valorización_de_Instrumentos[[#This Row],[PORTAFOLIO]]="IN-FONDO2",Tabla_Consulta_desde_Reporte_de_Valorización_de_Instrumentos[[#This Row],[Inv MM$]],0)</f>
        <v>0</v>
      </c>
      <c r="AH319" s="26">
        <f>IF(Tabla_Consulta_desde_Reporte_de_Valorización_de_Instrumentos[[#This Row],[PORTAFOLIO]]="IN-FONDO3",Tabla_Consulta_desde_Reporte_de_Valorización_de_Instrumentos[[#This Row],[Inv MM$]],0)</f>
        <v>7.9069547999999994</v>
      </c>
      <c r="AI31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46.086164250000003</v>
      </c>
      <c r="AJ319" s="26">
        <f>IFERROR(IFERROR(INDEX('BD(MSCI)'!$T:$T,MATCH(Tabla_Consulta_desde_Reporte_de_Valorización_de_Instrumentos[[#This Row],[CODIGO_ISIN]],'BD(MSCI)'!$C:$C,0),1),INDEX('BD(MSCI)'!$T:$T,MATCH(Tabla_Consulta_desde_Reporte_de_Valorización_de_Instrumentos[[#This Row],[CODIGO_SBS]],'BD(MSCI)'!$C:$C,0),1)),0)</f>
        <v>7.0893212800000001</v>
      </c>
      <c r="AK319" s="26">
        <f>Tabla_Consulta_desde_Reporte_de_Valorización_de_Instrumentos[[#This Row],[C02-H]]*Tabla_Consulta_desde_Reporte_de_Valorización_de_Instrumentos[[#This Row],[Inv MM$]]</f>
        <v>56.054942923638137</v>
      </c>
      <c r="AL319" s="26">
        <f>Tabla_Consulta_desde_Reporte_de_Valorización_de_Instrumentos[[#This Row],[C02-H]]*Tabla_Consulta_desde_Reporte_de_Valorización_de_Instrumentos[[#This Row],[Weight]]</f>
        <v>5.9542008435574841E-2</v>
      </c>
      <c r="AM319" s="26" t="str">
        <f>INDEX(Parametria!G:G,MATCH(Tabla_Consulta_desde_Reporte_de_Valorización_de_Instrumentos[[#This Row],[CODIGO_SBS]],Parametria!C:C,0))</f>
        <v>52RVI</v>
      </c>
      <c r="AN319" s="26" t="str">
        <f>INDEX(Parametria!F:F,MATCH(Tabla_Consulta_desde_Reporte_de_Valorización_de_Instrumentos[[#This Row],[CODIGO_SBS]],Parametria!C:C,0))</f>
        <v>TD</v>
      </c>
      <c r="AO319" s="26" t="str">
        <f>+INDEX(Parametria!J:J,MATCH(Tabla_Consulta_desde_Reporte_de_Valorización_de_Instrumentos[[#This Row],[CODIGO_SBS]],Parametria!C:C,0))</f>
        <v>RVITD</v>
      </c>
      <c r="AP319" s="26">
        <f>Tabla_Consulta_desde_Reporte_de_Valorización_de_Instrumentos[[#This Row],[Huella]]/$AU$4</f>
        <v>5.1965608618931318E-3</v>
      </c>
      <c r="AQ319" s="26" t="str">
        <f>IFERROR(INDEX('BD(MSCI)'!W:W,MATCH(Tabla_Consulta_desde_Reporte_de_Valorización_de_Instrumentos[[#This Row],[CODIGO_ISIN]],'BD(MSCI)'!C:C,0)),IF(Tabla_Consulta_desde_Reporte_de_Valorización_de_Instrumentos[[#This Row],[Rank_rt]]="Cash","Cash","Cuestionario Integra"))</f>
        <v>ETF</v>
      </c>
      <c r="AR319" s="26" t="str">
        <f>IFERROR(INDEX('BD(MSCI)'!X:X,MATCH(Tabla_Consulta_desde_Reporte_de_Valorización_de_Instrumentos[[#This Row],[CODIGO_ISIN]],'BD(MSCI)'!C:C,0)),"Cuestionario Integra")</f>
        <v>Otros ETFs</v>
      </c>
      <c r="AU319" s="26"/>
    </row>
    <row r="320" spans="2:47" hidden="1" x14ac:dyDescent="0.25">
      <c r="B320" s="14" t="s">
        <v>6390</v>
      </c>
      <c r="C320" t="s">
        <v>586</v>
      </c>
      <c r="D320" t="s">
        <v>10</v>
      </c>
      <c r="E320" t="s">
        <v>587</v>
      </c>
      <c r="F320" t="s">
        <v>945</v>
      </c>
      <c r="G320" t="str">
        <f>INDEX(Parametria!H:H,MATCH(Tabla_Consulta_desde_Reporte_de_Valorización_de_Instrumentos[[#This Row],[CODIGO_SBS]],Parametria!C:C,0),1)</f>
        <v>Krane - CSI China Internet Fund</v>
      </c>
      <c r="H320" t="s">
        <v>946</v>
      </c>
      <c r="I320" t="s">
        <v>156</v>
      </c>
      <c r="J320" t="s">
        <v>5860</v>
      </c>
      <c r="K320" t="s">
        <v>50</v>
      </c>
      <c r="L320">
        <v>33.380000000000003</v>
      </c>
      <c r="M320" s="5">
        <v>128316505.04050501</v>
      </c>
      <c r="N320">
        <v>38179209.450000003</v>
      </c>
      <c r="O320">
        <v>1121269</v>
      </c>
      <c r="P320" s="15"/>
      <c r="R320">
        <v>3.3609</v>
      </c>
      <c r="S320" t="s">
        <v>428</v>
      </c>
      <c r="T320">
        <v>129663338.603966</v>
      </c>
      <c r="U320" s="5">
        <v>38560440.909999996</v>
      </c>
      <c r="V320" t="s">
        <v>156</v>
      </c>
      <c r="W320">
        <v>0</v>
      </c>
      <c r="X320">
        <v>0</v>
      </c>
      <c r="Y320">
        <v>0</v>
      </c>
      <c r="Z320">
        <v>-0.34</v>
      </c>
      <c r="AA320" t="str">
        <f>+MID(Tabla_Consulta_desde_Reporte_de_Valorización_de_Instrumentos[[#This Row],[CODIGO_SBS]],7,1)</f>
        <v>2</v>
      </c>
      <c r="AB320">
        <f>INDEX('Cálculo Caja'!F:F,MATCH(Tabla_Consulta_desde_Reporte_de_Valorización_de_Instrumentos[[#This Row],[PORTAFOLIO]],'Cálculo Caja'!A:A,0),1)</f>
        <v>26256910350.436607</v>
      </c>
      <c r="AC320" s="17">
        <f>Tabla_Consulta_desde_Reporte_de_Valorización_de_Instrumentos[[#This Row],[VALOR_VECTOR_LOCAL]]/Tabla_Consulta_desde_Reporte_de_Valorización_de_Instrumentos[[#This Row],[Patrimonio]]</f>
        <v>4.8869613114389645E-3</v>
      </c>
      <c r="AD320" s="4">
        <f>(Tabla_Consulta_desde_Reporte_de_Valorización_de_Instrumentos[[#This Row],[VALOR_VECTOR_LOCAL]]/INDEX('Tipo de Cambio'!$D:$D,MATCH("2",'Tipo de Cambio'!$E:$E,0),1))/1000000</f>
        <v>38.179209450000002</v>
      </c>
      <c r="AE320">
        <f>IF(Tabla_Consulta_desde_Reporte_de_Valorización_de_Instrumentos[[#This Row],[PORTAFOLIO]]="IN-FONDO0",Tabla_Consulta_desde_Reporte_de_Valorización_de_Instrumentos[[#This Row],[Inv MM$]],0)</f>
        <v>0</v>
      </c>
      <c r="AF320" s="26">
        <f>IF(Tabla_Consulta_desde_Reporte_de_Valorización_de_Instrumentos[[#This Row],[PORTAFOLIO]]="IN-FONDO1",Tabla_Consulta_desde_Reporte_de_Valorización_de_Instrumentos[[#This Row],[Inv MM$]],0)</f>
        <v>0</v>
      </c>
      <c r="AG320" s="26">
        <f>IF(Tabla_Consulta_desde_Reporte_de_Valorización_de_Instrumentos[[#This Row],[PORTAFOLIO]]="IN-FONDO2",Tabla_Consulta_desde_Reporte_de_Valorización_de_Instrumentos[[#This Row],[Inv MM$]],0)</f>
        <v>38.179209450000002</v>
      </c>
      <c r="AH320" s="26">
        <f>IF(Tabla_Consulta_desde_Reporte_de_Valorización_de_Instrumentos[[#This Row],[PORTAFOLIO]]="IN-FONDO3",Tabla_Consulta_desde_Reporte_de_Valorización_de_Instrumentos[[#This Row],[Inv MM$]],0)</f>
        <v>0</v>
      </c>
      <c r="AI32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46.086164250000003</v>
      </c>
      <c r="AJ320" s="26">
        <f>IFERROR(IFERROR(INDEX('BD(MSCI)'!$T:$T,MATCH(Tabla_Consulta_desde_Reporte_de_Valorización_de_Instrumentos[[#This Row],[CODIGO_ISIN]],'BD(MSCI)'!$C:$C,0),1),INDEX('BD(MSCI)'!$T:$T,MATCH(Tabla_Consulta_desde_Reporte_de_Valorización_de_Instrumentos[[#This Row],[CODIGO_SBS]],'BD(MSCI)'!$C:$C,0),1)),0)</f>
        <v>7.0893212800000001</v>
      </c>
      <c r="AK320" s="26">
        <f>Tabla_Consulta_desde_Reporte_de_Valorización_de_Instrumentos[[#This Row],[C02-H]]*Tabla_Consulta_desde_Reporte_de_Valorización_de_Instrumentos[[#This Row],[Inv MM$]]</f>
        <v>270.66468200746209</v>
      </c>
      <c r="AL320" s="26">
        <f>Tabla_Consulta_desde_Reporte_de_Valorización_de_Instrumentos[[#This Row],[C02-H]]*Tabla_Consulta_desde_Reporte_de_Valorización_de_Instrumentos[[#This Row],[Weight]]</f>
        <v>3.464523881972096E-2</v>
      </c>
      <c r="AM320" s="26" t="str">
        <f>INDEX(Parametria!G:G,MATCH(Tabla_Consulta_desde_Reporte_de_Valorización_de_Instrumentos[[#This Row],[CODIGO_SBS]],Parametria!C:C,0))</f>
        <v>52RVI</v>
      </c>
      <c r="AN320" s="26" t="str">
        <f>INDEX(Parametria!F:F,MATCH(Tabla_Consulta_desde_Reporte_de_Valorización_de_Instrumentos[[#This Row],[CODIGO_SBS]],Parametria!C:C,0))</f>
        <v>TD</v>
      </c>
      <c r="AO320" s="26" t="str">
        <f>+INDEX(Parametria!J:J,MATCH(Tabla_Consulta_desde_Reporte_de_Valorización_de_Instrumentos[[#This Row],[CODIGO_SBS]],Parametria!C:C,0))</f>
        <v>RVITD</v>
      </c>
      <c r="AP320" s="26">
        <f>Tabla_Consulta_desde_Reporte_de_Valorización_de_Instrumentos[[#This Row],[Huella]]/$AU$4</f>
        <v>2.509190840017075E-2</v>
      </c>
      <c r="AQ320" s="26" t="str">
        <f>IFERROR(INDEX('BD(MSCI)'!W:W,MATCH(Tabla_Consulta_desde_Reporte_de_Valorización_de_Instrumentos[[#This Row],[CODIGO_ISIN]],'BD(MSCI)'!C:C,0)),IF(Tabla_Consulta_desde_Reporte_de_Valorización_de_Instrumentos[[#This Row],[Rank_rt]]="Cash","Cash","Cuestionario Integra"))</f>
        <v>ETF</v>
      </c>
      <c r="AR320" s="26" t="str">
        <f>IFERROR(INDEX('BD(MSCI)'!X:X,MATCH(Tabla_Consulta_desde_Reporte_de_Valorización_de_Instrumentos[[#This Row],[CODIGO_ISIN]],'BD(MSCI)'!C:C,0)),"Cuestionario Integra")</f>
        <v>Otros ETFs</v>
      </c>
      <c r="AU320" s="26"/>
    </row>
    <row r="321" spans="2:47" hidden="1" x14ac:dyDescent="0.25">
      <c r="B321" s="14" t="s">
        <v>6390</v>
      </c>
      <c r="C321" t="s">
        <v>586</v>
      </c>
      <c r="D321" t="s">
        <v>10</v>
      </c>
      <c r="E321" t="s">
        <v>587</v>
      </c>
      <c r="F321" t="s">
        <v>676</v>
      </c>
      <c r="G321" t="str">
        <f>INDEX(Parametria!H:H,MATCH(Tabla_Consulta_desde_Reporte_de_Valorización_de_Instrumentos[[#This Row],[CODIGO_SBS]],Parametria!C:C,0),1)</f>
        <v>Moneda - Deuda Latam LCC</v>
      </c>
      <c r="H321" t="s">
        <v>677</v>
      </c>
      <c r="I321" t="s">
        <v>156</v>
      </c>
      <c r="J321" t="s">
        <v>675</v>
      </c>
      <c r="K321" t="s">
        <v>50</v>
      </c>
      <c r="L321">
        <v>1</v>
      </c>
      <c r="M321" s="5">
        <v>294.61246089999997</v>
      </c>
      <c r="N321">
        <v>87.658799999999999</v>
      </c>
      <c r="O321">
        <v>1</v>
      </c>
      <c r="P321" s="15"/>
      <c r="R321">
        <v>3.3609</v>
      </c>
      <c r="S321" t="s">
        <v>155</v>
      </c>
      <c r="T321">
        <v>293.63702740000002</v>
      </c>
      <c r="U321" s="5">
        <v>87.324399999999997</v>
      </c>
      <c r="V321" t="s">
        <v>156</v>
      </c>
      <c r="W321">
        <v>0</v>
      </c>
      <c r="X321">
        <v>0</v>
      </c>
      <c r="Y321">
        <v>0</v>
      </c>
      <c r="Z321">
        <v>0.33439999999999998</v>
      </c>
      <c r="AA321" t="str">
        <f>+MID(Tabla_Consulta_desde_Reporte_de_Valorización_de_Instrumentos[[#This Row],[CODIGO_SBS]],7,1)</f>
        <v>2</v>
      </c>
      <c r="AB321">
        <f>INDEX('Cálculo Caja'!F:F,MATCH(Tabla_Consulta_desde_Reporte_de_Valorización_de_Instrumentos[[#This Row],[PORTAFOLIO]],'Cálculo Caja'!A:A,0),1)</f>
        <v>26256910350.436607</v>
      </c>
      <c r="AC321" s="17">
        <f>Tabla_Consulta_desde_Reporte_de_Valorización_de_Instrumentos[[#This Row],[VALOR_VECTOR_LOCAL]]/Tabla_Consulta_desde_Reporte_de_Valorización_de_Instrumentos[[#This Row],[Patrimonio]]</f>
        <v>1.1220378063068684E-8</v>
      </c>
      <c r="AD321" s="4">
        <f>(Tabla_Consulta_desde_Reporte_de_Valorización_de_Instrumentos[[#This Row],[VALOR_VECTOR_LOCAL]]/INDEX('Tipo de Cambio'!$D:$D,MATCH("2",'Tipo de Cambio'!$E:$E,0),1))/1000000</f>
        <v>8.7658799994049202E-5</v>
      </c>
      <c r="AE321">
        <f>IF(Tabla_Consulta_desde_Reporte_de_Valorización_de_Instrumentos[[#This Row],[PORTAFOLIO]]="IN-FONDO0",Tabla_Consulta_desde_Reporte_de_Valorización_de_Instrumentos[[#This Row],[Inv MM$]],0)</f>
        <v>0</v>
      </c>
      <c r="AF321" s="26">
        <f>IF(Tabla_Consulta_desde_Reporte_de_Valorización_de_Instrumentos[[#This Row],[PORTAFOLIO]]="IN-FONDO1",Tabla_Consulta_desde_Reporte_de_Valorización_de_Instrumentos[[#This Row],[Inv MM$]],0)</f>
        <v>0</v>
      </c>
      <c r="AG321" s="26">
        <f>IF(Tabla_Consulta_desde_Reporte_de_Valorización_de_Instrumentos[[#This Row],[PORTAFOLIO]]="IN-FONDO2",Tabla_Consulta_desde_Reporte_de_Valorización_de_Instrumentos[[#This Row],[Inv MM$]],0)</f>
        <v>8.7658799994049202E-5</v>
      </c>
      <c r="AH321" s="26">
        <f>IF(Tabla_Consulta_desde_Reporte_de_Valorización_de_Instrumentos[[#This Row],[PORTAFOLIO]]="IN-FONDO3",Tabla_Consulta_desde_Reporte_de_Valorización_de_Instrumentos[[#This Row],[Inv MM$]],0)</f>
        <v>0</v>
      </c>
      <c r="AI32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44.300303073599984</v>
      </c>
      <c r="AJ321" s="26">
        <f>IFERROR(IFERROR(INDEX('BD(MSCI)'!$T:$T,MATCH(Tabla_Consulta_desde_Reporte_de_Valorización_de_Instrumentos[[#This Row],[CODIGO_ISIN]],'BD(MSCI)'!$C:$C,0),1),INDEX('BD(MSCI)'!$T:$T,MATCH(Tabla_Consulta_desde_Reporte_de_Valorización_de_Instrumentos[[#This Row],[CODIGO_SBS]],'BD(MSCI)'!$C:$C,0),1)),0)</f>
        <v>145.75331588</v>
      </c>
      <c r="AK321" s="26">
        <f>Tabla_Consulta_desde_Reporte_de_Valorización_de_Instrumentos[[#This Row],[C02-H]]*Tabla_Consulta_desde_Reporte_de_Valorización_de_Instrumentos[[#This Row],[Inv MM$]]</f>
        <v>1.2776560765194395E-2</v>
      </c>
      <c r="AL321" s="26">
        <f>Tabla_Consulta_desde_Reporte_de_Valorización_de_Instrumentos[[#This Row],[C02-H]]*Tabla_Consulta_desde_Reporte_de_Valorización_de_Instrumentos[[#This Row],[Weight]]</f>
        <v>1.6354073081194724E-6</v>
      </c>
      <c r="AM321" s="26" t="str">
        <f>INDEX(Parametria!G:G,MATCH(Tabla_Consulta_desde_Reporte_de_Valorización_de_Instrumentos[[#This Row],[CODIGO_SBS]],Parametria!C:C,0))</f>
        <v>52RFLG</v>
      </c>
      <c r="AN321" s="26" t="str">
        <f>INDEX(Parametria!F:F,MATCH(Tabla_Consulta_desde_Reporte_de_Valorización_de_Instrumentos[[#This Row],[CODIGO_SBS]],Parametria!C:C,0))</f>
        <v>TD</v>
      </c>
      <c r="AO321" s="26" t="str">
        <f>+INDEX(Parametria!J:J,MATCH(Tabla_Consulta_desde_Reporte_de_Valorización_de_Instrumentos[[#This Row],[CODIGO_SBS]],Parametria!C:C,0))</f>
        <v>=IF(E802="ALT";LEFT(E802;3);LEFT(E802;3)&amp;F802)</v>
      </c>
      <c r="AP321" s="26">
        <f>Tabla_Consulta_desde_Reporte_de_Valorización_de_Instrumentos[[#This Row],[Huella]]/$AU$4</f>
        <v>1.1844481888502719E-6</v>
      </c>
      <c r="AQ321" s="26" t="str">
        <f>IFERROR(INDEX('BD(MSCI)'!W:W,MATCH(Tabla_Consulta_desde_Reporte_de_Valorización_de_Instrumentos[[#This Row],[CODIGO_ISIN]],'BD(MSCI)'!C:C,0)),IF(Tabla_Consulta_desde_Reporte_de_Valorización_de_Instrumentos[[#This Row],[Rank_rt]]="Cash","Cash","Cuestionario Integra"))</f>
        <v>Proxies</v>
      </c>
      <c r="AR321" s="26" t="str">
        <f>IFERROR(INDEX('BD(MSCI)'!X:X,MATCH(Tabla_Consulta_desde_Reporte_de_Valorización_de_Instrumentos[[#This Row],[CODIGO_ISIN]],'BD(MSCI)'!C:C,0)),"Cuestionario Integra")</f>
        <v>TD</v>
      </c>
      <c r="AU321" s="26"/>
    </row>
    <row r="322" spans="2:47" hidden="1" x14ac:dyDescent="0.25">
      <c r="B322" s="14" t="s">
        <v>6390</v>
      </c>
      <c r="C322" t="s">
        <v>586</v>
      </c>
      <c r="D322" t="s">
        <v>12</v>
      </c>
      <c r="E322" t="s">
        <v>587</v>
      </c>
      <c r="F322" t="s">
        <v>676</v>
      </c>
      <c r="G322" t="str">
        <f>INDEX(Parametria!H:H,MATCH(Tabla_Consulta_desde_Reporte_de_Valorización_de_Instrumentos[[#This Row],[CODIGO_SBS]],Parametria!C:C,0),1)</f>
        <v>Moneda - Deuda Latam LCC</v>
      </c>
      <c r="H322" t="s">
        <v>677</v>
      </c>
      <c r="I322" t="s">
        <v>156</v>
      </c>
      <c r="J322" t="s">
        <v>675</v>
      </c>
      <c r="K322" t="s">
        <v>50</v>
      </c>
      <c r="L322">
        <v>1</v>
      </c>
      <c r="M322" s="5">
        <v>148888593.98760131</v>
      </c>
      <c r="N322">
        <v>44300215.414800003</v>
      </c>
      <c r="O322">
        <v>505371</v>
      </c>
      <c r="P322" s="15"/>
      <c r="R322">
        <v>3.3609</v>
      </c>
      <c r="S322" t="s">
        <v>155</v>
      </c>
      <c r="T322">
        <v>148395638.19438019</v>
      </c>
      <c r="U322" s="5">
        <v>44131219.352399997</v>
      </c>
      <c r="V322" t="s">
        <v>156</v>
      </c>
      <c r="W322">
        <v>0</v>
      </c>
      <c r="X322">
        <v>0</v>
      </c>
      <c r="Y322">
        <v>0</v>
      </c>
      <c r="Z322">
        <v>0.33439999999999998</v>
      </c>
      <c r="AA322" t="str">
        <f>+MID(Tabla_Consulta_desde_Reporte_de_Valorización_de_Instrumentos[[#This Row],[CODIGO_SBS]],7,1)</f>
        <v>2</v>
      </c>
      <c r="AB322">
        <f>INDEX('Cálculo Caja'!F:F,MATCH(Tabla_Consulta_desde_Reporte_de_Valorización_de_Instrumentos[[#This Row],[PORTAFOLIO]],'Cálculo Caja'!A:A,0),1)</f>
        <v>7679510866.0565634</v>
      </c>
      <c r="AC322" s="17">
        <f>Tabla_Consulta_desde_Reporte_de_Valorización_de_Instrumentos[[#This Row],[VALOR_VECTOR_LOCAL]]/Tabla_Consulta_desde_Reporte_de_Valorización_de_Instrumentos[[#This Row],[Patrimonio]]</f>
        <v>1.9387770469300184E-2</v>
      </c>
      <c r="AD322" s="4">
        <f>(Tabla_Consulta_desde_Reporte_de_Valorización_de_Instrumentos[[#This Row],[VALOR_VECTOR_LOCAL]]/INDEX('Tipo de Cambio'!$D:$D,MATCH("2",'Tipo de Cambio'!$E:$E,0),1))/1000000</f>
        <v>44.300215414799993</v>
      </c>
      <c r="AE322">
        <f>IF(Tabla_Consulta_desde_Reporte_de_Valorización_de_Instrumentos[[#This Row],[PORTAFOLIO]]="IN-FONDO0",Tabla_Consulta_desde_Reporte_de_Valorización_de_Instrumentos[[#This Row],[Inv MM$]],0)</f>
        <v>0</v>
      </c>
      <c r="AF322" s="26">
        <f>IF(Tabla_Consulta_desde_Reporte_de_Valorización_de_Instrumentos[[#This Row],[PORTAFOLIO]]="IN-FONDO1",Tabla_Consulta_desde_Reporte_de_Valorización_de_Instrumentos[[#This Row],[Inv MM$]],0)</f>
        <v>44.300215414799993</v>
      </c>
      <c r="AG322" s="26">
        <f>IF(Tabla_Consulta_desde_Reporte_de_Valorización_de_Instrumentos[[#This Row],[PORTAFOLIO]]="IN-FONDO2",Tabla_Consulta_desde_Reporte_de_Valorización_de_Instrumentos[[#This Row],[Inv MM$]],0)</f>
        <v>0</v>
      </c>
      <c r="AH322" s="26">
        <f>IF(Tabla_Consulta_desde_Reporte_de_Valorización_de_Instrumentos[[#This Row],[PORTAFOLIO]]="IN-FONDO3",Tabla_Consulta_desde_Reporte_de_Valorización_de_Instrumentos[[#This Row],[Inv MM$]],0)</f>
        <v>0</v>
      </c>
      <c r="AI32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44.300303073599984</v>
      </c>
      <c r="AJ322" s="26">
        <f>IFERROR(IFERROR(INDEX('BD(MSCI)'!$T:$T,MATCH(Tabla_Consulta_desde_Reporte_de_Valorización_de_Instrumentos[[#This Row],[CODIGO_ISIN]],'BD(MSCI)'!$C:$C,0),1),INDEX('BD(MSCI)'!$T:$T,MATCH(Tabla_Consulta_desde_Reporte_de_Valorización_de_Instrumentos[[#This Row],[CODIGO_SBS]],'BD(MSCI)'!$C:$C,0),1)),0)</f>
        <v>145.75331588</v>
      </c>
      <c r="AK322" s="26">
        <f>Tabla_Consulta_desde_Reporte_de_Valorización_de_Instrumentos[[#This Row],[C02-H]]*Tabla_Consulta_desde_Reporte_de_Valorización_de_Instrumentos[[#This Row],[Inv MM$]]</f>
        <v>6456.9032909053885</v>
      </c>
      <c r="AL322" s="26">
        <f>Tabla_Consulta_desde_Reporte_de_Valorización_de_Instrumentos[[#This Row],[C02-H]]*Tabla_Consulta_desde_Reporte_de_Valorización_de_Instrumentos[[#This Row],[Weight]]</f>
        <v>2.8258318334208457</v>
      </c>
      <c r="AM322" s="26" t="str">
        <f>INDEX(Parametria!G:G,MATCH(Tabla_Consulta_desde_Reporte_de_Valorización_de_Instrumentos[[#This Row],[CODIGO_SBS]],Parametria!C:C,0))</f>
        <v>52RFLG</v>
      </c>
      <c r="AN322" s="26" t="str">
        <f>INDEX(Parametria!F:F,MATCH(Tabla_Consulta_desde_Reporte_de_Valorización_de_Instrumentos[[#This Row],[CODIGO_SBS]],Parametria!C:C,0))</f>
        <v>TD</v>
      </c>
      <c r="AO322" s="26" t="str">
        <f>+INDEX(Parametria!J:J,MATCH(Tabla_Consulta_desde_Reporte_de_Valorización_de_Instrumentos[[#This Row],[CODIGO_SBS]],Parametria!C:C,0))</f>
        <v>=IF(E802="ALT";LEFT(E802;3);LEFT(E802;3)&amp;F802)</v>
      </c>
      <c r="AP322" s="26">
        <f>Tabla_Consulta_desde_Reporte_de_Valorización_de_Instrumentos[[#This Row],[Huella]]/$AU$4</f>
        <v>0.59858576568808619</v>
      </c>
      <c r="AQ322" s="26" t="str">
        <f>IFERROR(INDEX('BD(MSCI)'!W:W,MATCH(Tabla_Consulta_desde_Reporte_de_Valorización_de_Instrumentos[[#This Row],[CODIGO_ISIN]],'BD(MSCI)'!C:C,0)),IF(Tabla_Consulta_desde_Reporte_de_Valorización_de_Instrumentos[[#This Row],[Rank_rt]]="Cash","Cash","Cuestionario Integra"))</f>
        <v>Proxies</v>
      </c>
      <c r="AR322" s="26" t="str">
        <f>IFERROR(INDEX('BD(MSCI)'!X:X,MATCH(Tabla_Consulta_desde_Reporte_de_Valorización_de_Instrumentos[[#This Row],[CODIGO_ISIN]],'BD(MSCI)'!C:C,0)),"Cuestionario Integra")</f>
        <v>TD</v>
      </c>
      <c r="AU322" s="26"/>
    </row>
    <row r="323" spans="2:47" hidden="1" x14ac:dyDescent="0.25">
      <c r="B323" s="14" t="s">
        <v>6390</v>
      </c>
      <c r="C323" t="s">
        <v>586</v>
      </c>
      <c r="D323" t="s">
        <v>12</v>
      </c>
      <c r="E323" t="s">
        <v>587</v>
      </c>
      <c r="F323" t="s">
        <v>678</v>
      </c>
      <c r="G323" t="str">
        <f>INDEX(Parametria!H:H,MATCH(Tabla_Consulta_desde_Reporte_de_Valorización_de_Instrumentos[[#This Row],[CODIGO_SBS]],Parametria!C:C,0),1)</f>
        <v>BlueBay - Financial Capital Bond - E</v>
      </c>
      <c r="H323" t="s">
        <v>679</v>
      </c>
      <c r="I323" t="s">
        <v>156</v>
      </c>
      <c r="J323" t="s">
        <v>680</v>
      </c>
      <c r="K323" t="s">
        <v>57</v>
      </c>
      <c r="L323">
        <v>1</v>
      </c>
      <c r="M323" s="5">
        <v>102267871.9087857</v>
      </c>
      <c r="N323">
        <v>25916630.622140002</v>
      </c>
      <c r="O323">
        <v>196352.986</v>
      </c>
      <c r="P323" s="15"/>
      <c r="R323">
        <v>3.9460326999999999</v>
      </c>
      <c r="S323" t="s">
        <v>155</v>
      </c>
      <c r="T323">
        <v>102417369.5601088</v>
      </c>
      <c r="U323" s="5">
        <v>25912703.562419999</v>
      </c>
      <c r="V323" t="s">
        <v>156</v>
      </c>
      <c r="W323">
        <v>0</v>
      </c>
      <c r="X323">
        <v>0</v>
      </c>
      <c r="Y323">
        <v>0</v>
      </c>
      <c r="Z323">
        <v>0.02</v>
      </c>
      <c r="AA323" t="str">
        <f>+MID(Tabla_Consulta_desde_Reporte_de_Valorización_de_Instrumentos[[#This Row],[CODIGO_SBS]],7,1)</f>
        <v>4</v>
      </c>
      <c r="AB323">
        <f>INDEX('Cálculo Caja'!F:F,MATCH(Tabla_Consulta_desde_Reporte_de_Valorización_de_Instrumentos[[#This Row],[PORTAFOLIO]],'Cálculo Caja'!A:A,0),1)</f>
        <v>7679510866.0565634</v>
      </c>
      <c r="AC323" s="17">
        <f>Tabla_Consulta_desde_Reporte_de_Valorización_de_Instrumentos[[#This Row],[VALOR_VECTOR_LOCAL]]/Tabla_Consulta_desde_Reporte_de_Valorización_de_Instrumentos[[#This Row],[Patrimonio]]</f>
        <v>1.3316977303959511E-2</v>
      </c>
      <c r="AD323" s="4">
        <f>(Tabla_Consulta_desde_Reporte_de_Valorización_de_Instrumentos[[#This Row],[VALOR_VECTOR_LOCAL]]/INDEX('Tipo de Cambio'!$D:$D,MATCH("2",'Tipo de Cambio'!$E:$E,0),1))/1000000</f>
        <v>30.428716090566724</v>
      </c>
      <c r="AE323">
        <f>IF(Tabla_Consulta_desde_Reporte_de_Valorización_de_Instrumentos[[#This Row],[PORTAFOLIO]]="IN-FONDO0",Tabla_Consulta_desde_Reporte_de_Valorización_de_Instrumentos[[#This Row],[Inv MM$]],0)</f>
        <v>0</v>
      </c>
      <c r="AF323" s="26">
        <f>IF(Tabla_Consulta_desde_Reporte_de_Valorización_de_Instrumentos[[#This Row],[PORTAFOLIO]]="IN-FONDO1",Tabla_Consulta_desde_Reporte_de_Valorización_de_Instrumentos[[#This Row],[Inv MM$]],0)</f>
        <v>30.428716090566724</v>
      </c>
      <c r="AG323" s="26">
        <f>IF(Tabla_Consulta_desde_Reporte_de_Valorización_de_Instrumentos[[#This Row],[PORTAFOLIO]]="IN-FONDO2",Tabla_Consulta_desde_Reporte_de_Valorización_de_Instrumentos[[#This Row],[Inv MM$]],0)</f>
        <v>0</v>
      </c>
      <c r="AH323" s="26">
        <f>IF(Tabla_Consulta_desde_Reporte_de_Valorización_de_Instrumentos[[#This Row],[PORTAFOLIO]]="IN-FONDO3",Tabla_Consulta_desde_Reporte_de_Valorización_de_Instrumentos[[#This Row],[Inv MM$]],0)</f>
        <v>0</v>
      </c>
      <c r="AI32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31.192300517160582</v>
      </c>
      <c r="AJ323" s="26">
        <f>IFERROR(IFERROR(INDEX('BD(MSCI)'!$T:$T,MATCH(Tabla_Consulta_desde_Reporte_de_Valorización_de_Instrumentos[[#This Row],[CODIGO_ISIN]],'BD(MSCI)'!$C:$C,0),1),INDEX('BD(MSCI)'!$T:$T,MATCH(Tabla_Consulta_desde_Reporte_de_Valorización_de_Instrumentos[[#This Row],[CODIGO_SBS]],'BD(MSCI)'!$C:$C,0),1)),0)</f>
        <v>0.51333318999999999</v>
      </c>
      <c r="AK323" s="26">
        <f>Tabla_Consulta_desde_Reporte_de_Valorización_de_Instrumentos[[#This Row],[C02-H]]*Tabla_Consulta_desde_Reporte_de_Valorización_de_Instrumentos[[#This Row],[Inv MM$]]</f>
        <v>15.620069898374945</v>
      </c>
      <c r="AL323" s="26">
        <f>Tabla_Consulta_desde_Reporte_de_Valorización_de_Instrumentos[[#This Row],[C02-H]]*Tabla_Consulta_desde_Reporte_de_Valorización_de_Instrumentos[[#This Row],[Weight]]</f>
        <v>6.8360464405991354E-3</v>
      </c>
      <c r="AM323" s="26" t="str">
        <f>INDEX(Parametria!G:G,MATCH(Tabla_Consulta_desde_Reporte_de_Valorización_de_Instrumentos[[#This Row],[CODIGO_SBS]],Parametria!C:C,0))</f>
        <v>52RFIG</v>
      </c>
      <c r="AN323" s="26" t="str">
        <f>INDEX(Parametria!F:F,MATCH(Tabla_Consulta_desde_Reporte_de_Valorización_de_Instrumentos[[#This Row],[CODIGO_SBS]],Parametria!C:C,0))</f>
        <v>TD</v>
      </c>
      <c r="AO323" s="26" t="str">
        <f>+INDEX(Parametria!J:J,MATCH(Tabla_Consulta_desde_Reporte_de_Valorización_de_Instrumentos[[#This Row],[CODIGO_SBS]],Parametria!C:C,0))</f>
        <v>RFITD</v>
      </c>
      <c r="AP323" s="26">
        <f>Tabla_Consulta_desde_Reporte_de_Valorización_de_Instrumentos[[#This Row],[Huella]]/$AU$4</f>
        <v>1.4480550627712966E-3</v>
      </c>
      <c r="AQ323" s="26" t="str">
        <f>IFERROR(INDEX('BD(MSCI)'!W:W,MATCH(Tabla_Consulta_desde_Reporte_de_Valorización_de_Instrumentos[[#This Row],[CODIGO_ISIN]],'BD(MSCI)'!C:C,0)),IF(Tabla_Consulta_desde_Reporte_de_Valorización_de_Instrumentos[[#This Row],[Rank_rt]]="Cash","Cash","Cuestionario Integra"))</f>
        <v>ETF</v>
      </c>
      <c r="AR323" s="26" t="str">
        <f>IFERROR(INDEX('BD(MSCI)'!X:X,MATCH(Tabla_Consulta_desde_Reporte_de_Valorización_de_Instrumentos[[#This Row],[CODIGO_ISIN]],'BD(MSCI)'!C:C,0)),"Cuestionario Integra")</f>
        <v>Otros ETFs</v>
      </c>
      <c r="AU323" s="26"/>
    </row>
    <row r="324" spans="2:47" hidden="1" x14ac:dyDescent="0.25">
      <c r="B324" s="14" t="s">
        <v>6390</v>
      </c>
      <c r="C324" t="s">
        <v>586</v>
      </c>
      <c r="D324" t="s">
        <v>10</v>
      </c>
      <c r="E324" t="s">
        <v>587</v>
      </c>
      <c r="F324" t="s">
        <v>678</v>
      </c>
      <c r="G324" t="str">
        <f>INDEX(Parametria!H:H,MATCH(Tabla_Consulta_desde_Reporte_de_Valorización_de_Instrumentos[[#This Row],[CODIGO_SBS]],Parametria!C:C,0),1)</f>
        <v>BlueBay - Financial Capital Bond - E</v>
      </c>
      <c r="H324" t="s">
        <v>679</v>
      </c>
      <c r="I324" t="s">
        <v>156</v>
      </c>
      <c r="J324" t="s">
        <v>680</v>
      </c>
      <c r="K324" t="s">
        <v>57</v>
      </c>
      <c r="L324">
        <v>1</v>
      </c>
      <c r="M324" s="5">
        <v>2566330.8993393001</v>
      </c>
      <c r="N324">
        <v>650357.23077999998</v>
      </c>
      <c r="O324">
        <v>4927.3220000000001</v>
      </c>
      <c r="P324" s="15"/>
      <c r="R324">
        <v>3.9460326999999999</v>
      </c>
      <c r="S324" t="s">
        <v>155</v>
      </c>
      <c r="T324">
        <v>2570082.4239853998</v>
      </c>
      <c r="U324" s="5">
        <v>650258.68434000004</v>
      </c>
      <c r="V324" t="s">
        <v>156</v>
      </c>
      <c r="W324">
        <v>0</v>
      </c>
      <c r="X324">
        <v>0</v>
      </c>
      <c r="Y324">
        <v>0</v>
      </c>
      <c r="Z324">
        <v>0.02</v>
      </c>
      <c r="AA324" t="str">
        <f>+MID(Tabla_Consulta_desde_Reporte_de_Valorización_de_Instrumentos[[#This Row],[CODIGO_SBS]],7,1)</f>
        <v>4</v>
      </c>
      <c r="AB324">
        <f>INDEX('Cálculo Caja'!F:F,MATCH(Tabla_Consulta_desde_Reporte_de_Valorización_de_Instrumentos[[#This Row],[PORTAFOLIO]],'Cálculo Caja'!A:A,0),1)</f>
        <v>26256910350.436607</v>
      </c>
      <c r="AC324" s="17">
        <f>Tabla_Consulta_desde_Reporte_de_Valorización_de_Instrumentos[[#This Row],[VALOR_VECTOR_LOCAL]]/Tabla_Consulta_desde_Reporte_de_Valorización_de_Instrumentos[[#This Row],[Patrimonio]]</f>
        <v>9.7739256640933244E-5</v>
      </c>
      <c r="AD324" s="4">
        <f>(Tabla_Consulta_desde_Reporte_de_Valorización_de_Instrumentos[[#This Row],[VALOR_VECTOR_LOCAL]]/INDEX('Tipo de Cambio'!$D:$D,MATCH("2",'Tipo de Cambio'!$E:$E,0),1))/1000000</f>
        <v>0.76358442659385883</v>
      </c>
      <c r="AE324">
        <f>IF(Tabla_Consulta_desde_Reporte_de_Valorización_de_Instrumentos[[#This Row],[PORTAFOLIO]]="IN-FONDO0",Tabla_Consulta_desde_Reporte_de_Valorización_de_Instrumentos[[#This Row],[Inv MM$]],0)</f>
        <v>0</v>
      </c>
      <c r="AF324" s="26">
        <f>IF(Tabla_Consulta_desde_Reporte_de_Valorización_de_Instrumentos[[#This Row],[PORTAFOLIO]]="IN-FONDO1",Tabla_Consulta_desde_Reporte_de_Valorización_de_Instrumentos[[#This Row],[Inv MM$]],0)</f>
        <v>0</v>
      </c>
      <c r="AG324" s="26">
        <f>IF(Tabla_Consulta_desde_Reporte_de_Valorización_de_Instrumentos[[#This Row],[PORTAFOLIO]]="IN-FONDO2",Tabla_Consulta_desde_Reporte_de_Valorización_de_Instrumentos[[#This Row],[Inv MM$]],0)</f>
        <v>0.76358442659385883</v>
      </c>
      <c r="AH324" s="26">
        <f>IF(Tabla_Consulta_desde_Reporte_de_Valorización_de_Instrumentos[[#This Row],[PORTAFOLIO]]="IN-FONDO3",Tabla_Consulta_desde_Reporte_de_Valorización_de_Instrumentos[[#This Row],[Inv MM$]],0)</f>
        <v>0</v>
      </c>
      <c r="AI32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31.192300517160582</v>
      </c>
      <c r="AJ324" s="26">
        <f>IFERROR(IFERROR(INDEX('BD(MSCI)'!$T:$T,MATCH(Tabla_Consulta_desde_Reporte_de_Valorización_de_Instrumentos[[#This Row],[CODIGO_ISIN]],'BD(MSCI)'!$C:$C,0),1),INDEX('BD(MSCI)'!$T:$T,MATCH(Tabla_Consulta_desde_Reporte_de_Valorización_de_Instrumentos[[#This Row],[CODIGO_SBS]],'BD(MSCI)'!$C:$C,0),1)),0)</f>
        <v>0.51333318999999999</v>
      </c>
      <c r="AK324" s="26">
        <f>Tabla_Consulta_desde_Reporte_de_Valorización_de_Instrumentos[[#This Row],[C02-H]]*Tabla_Consulta_desde_Reporte_de_Valorización_de_Instrumentos[[#This Row],[Inv MM$]]</f>
        <v>0.39197322953774638</v>
      </c>
      <c r="AL324" s="26">
        <f>Tabla_Consulta_desde_Reporte_de_Valorización_de_Instrumentos[[#This Row],[C02-H]]*Tabla_Consulta_desde_Reporte_de_Valorización_de_Instrumentos[[#This Row],[Weight]]</f>
        <v>5.0172804399718947E-5</v>
      </c>
      <c r="AM324" s="26" t="str">
        <f>INDEX(Parametria!G:G,MATCH(Tabla_Consulta_desde_Reporte_de_Valorización_de_Instrumentos[[#This Row],[CODIGO_SBS]],Parametria!C:C,0))</f>
        <v>52RFIG</v>
      </c>
      <c r="AN324" s="26" t="str">
        <f>INDEX(Parametria!F:F,MATCH(Tabla_Consulta_desde_Reporte_de_Valorización_de_Instrumentos[[#This Row],[CODIGO_SBS]],Parametria!C:C,0))</f>
        <v>TD</v>
      </c>
      <c r="AO324" s="26" t="str">
        <f>+INDEX(Parametria!J:J,MATCH(Tabla_Consulta_desde_Reporte_de_Valorización_de_Instrumentos[[#This Row],[CODIGO_SBS]],Parametria!C:C,0))</f>
        <v>RFITD</v>
      </c>
      <c r="AP324" s="26">
        <f>Tabla_Consulta_desde_Reporte_de_Valorización_de_Instrumentos[[#This Row],[Huella]]/$AU$4</f>
        <v>3.6337789984025618E-5</v>
      </c>
      <c r="AQ324" s="26" t="str">
        <f>IFERROR(INDEX('BD(MSCI)'!W:W,MATCH(Tabla_Consulta_desde_Reporte_de_Valorización_de_Instrumentos[[#This Row],[CODIGO_ISIN]],'BD(MSCI)'!C:C,0)),IF(Tabla_Consulta_desde_Reporte_de_Valorización_de_Instrumentos[[#This Row],[Rank_rt]]="Cash","Cash","Cuestionario Integra"))</f>
        <v>ETF</v>
      </c>
      <c r="AR324" s="26" t="str">
        <f>IFERROR(INDEX('BD(MSCI)'!X:X,MATCH(Tabla_Consulta_desde_Reporte_de_Valorización_de_Instrumentos[[#This Row],[CODIGO_ISIN]],'BD(MSCI)'!C:C,0)),"Cuestionario Integra")</f>
        <v>Otros ETFs</v>
      </c>
      <c r="AU324" s="26"/>
    </row>
    <row r="325" spans="2:47" hidden="1" x14ac:dyDescent="0.25">
      <c r="B325" s="14" t="s">
        <v>6390</v>
      </c>
      <c r="C325" t="s">
        <v>586</v>
      </c>
      <c r="D325" t="s">
        <v>12</v>
      </c>
      <c r="E325" t="s">
        <v>587</v>
      </c>
      <c r="F325" t="s">
        <v>6032</v>
      </c>
      <c r="G325" t="str">
        <f>INDEX(Parametria!H:H,MATCH(Tabla_Consulta_desde_Reporte_de_Valorización_de_Instrumentos[[#This Row],[CODIGO_SBS]],Parametria!C:C,0),1)</f>
        <v>Invesco - Power Shares QQQ</v>
      </c>
      <c r="H325" t="s">
        <v>694</v>
      </c>
      <c r="I325" t="s">
        <v>156</v>
      </c>
      <c r="J325" t="s">
        <v>4985</v>
      </c>
      <c r="K325" t="s">
        <v>50</v>
      </c>
      <c r="L325">
        <v>1</v>
      </c>
      <c r="M325" s="5">
        <v>15071831.696699999</v>
      </c>
      <c r="N325">
        <v>4484463</v>
      </c>
      <c r="O325">
        <v>7300</v>
      </c>
      <c r="P325" s="15"/>
      <c r="R325">
        <v>3.3609</v>
      </c>
      <c r="S325" t="s">
        <v>428</v>
      </c>
      <c r="U325" s="5"/>
      <c r="V325" t="s">
        <v>156</v>
      </c>
      <c r="W325">
        <v>0</v>
      </c>
      <c r="X325">
        <v>0</v>
      </c>
      <c r="Y325">
        <v>0</v>
      </c>
      <c r="Z325">
        <v>-5.12</v>
      </c>
      <c r="AA325" t="str">
        <f>+MID(Tabla_Consulta_desde_Reporte_de_Valorización_de_Instrumentos[[#This Row],[CODIGO_SBS]],7,1)</f>
        <v>2</v>
      </c>
      <c r="AB325">
        <f>INDEX('Cálculo Caja'!F:F,MATCH(Tabla_Consulta_desde_Reporte_de_Valorización_de_Instrumentos[[#This Row],[PORTAFOLIO]],'Cálculo Caja'!A:A,0),1)</f>
        <v>7679510866.0565634</v>
      </c>
      <c r="AC325" s="17">
        <f>Tabla_Consulta_desde_Reporte_de_Valorización_de_Instrumentos[[#This Row],[VALOR_VECTOR_LOCAL]]/Tabla_Consulta_desde_Reporte_de_Valorización_de_Instrumentos[[#This Row],[Patrimonio]]</f>
        <v>1.9626030823548272E-3</v>
      </c>
      <c r="AD325" s="4">
        <f>(Tabla_Consulta_desde_Reporte_de_Valorización_de_Instrumentos[[#This Row],[VALOR_VECTOR_LOCAL]]/INDEX('Tipo de Cambio'!$D:$D,MATCH("2",'Tipo de Cambio'!$E:$E,0),1))/1000000</f>
        <v>4.4844629999999999</v>
      </c>
      <c r="AE325">
        <f>IF(Tabla_Consulta_desde_Reporte_de_Valorización_de_Instrumentos[[#This Row],[PORTAFOLIO]]="IN-FONDO0",Tabla_Consulta_desde_Reporte_de_Valorización_de_Instrumentos[[#This Row],[Inv MM$]],0)</f>
        <v>0</v>
      </c>
      <c r="AF325" s="26">
        <f>IF(Tabla_Consulta_desde_Reporte_de_Valorización_de_Instrumentos[[#This Row],[PORTAFOLIO]]="IN-FONDO1",Tabla_Consulta_desde_Reporte_de_Valorización_de_Instrumentos[[#This Row],[Inv MM$]],0)</f>
        <v>4.4844629999999999</v>
      </c>
      <c r="AG325" s="26">
        <f>IF(Tabla_Consulta_desde_Reporte_de_Valorización_de_Instrumentos[[#This Row],[PORTAFOLIO]]="IN-FONDO2",Tabla_Consulta_desde_Reporte_de_Valorización_de_Instrumentos[[#This Row],[Inv MM$]],0)</f>
        <v>0</v>
      </c>
      <c r="AH325" s="26">
        <f>IF(Tabla_Consulta_desde_Reporte_de_Valorización_de_Instrumentos[[#This Row],[PORTAFOLIO]]="IN-FONDO3",Tabla_Consulta_desde_Reporte_de_Valorización_de_Instrumentos[[#This Row],[Inv MM$]],0)</f>
        <v>0</v>
      </c>
      <c r="AI32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8.2317540000000005</v>
      </c>
      <c r="AJ325" s="26">
        <f>IFERROR(IFERROR(INDEX('BD(MSCI)'!$T:$T,MATCH(Tabla_Consulta_desde_Reporte_de_Valorización_de_Instrumentos[[#This Row],[CODIGO_ISIN]],'BD(MSCI)'!$C:$C,0),1),INDEX('BD(MSCI)'!$T:$T,MATCH(Tabla_Consulta_desde_Reporte_de_Valorización_de_Instrumentos[[#This Row],[CODIGO_SBS]],'BD(MSCI)'!$C:$C,0),1)),0)</f>
        <v>9.1969589999999997</v>
      </c>
      <c r="AK325" s="26">
        <f>Tabla_Consulta_desde_Reporte_de_Valorización_de_Instrumentos[[#This Row],[C02-H]]*Tabla_Consulta_desde_Reporte_de_Valorización_de_Instrumentos[[#This Row],[Inv MM$]]</f>
        <v>41.243422348016999</v>
      </c>
      <c r="AL325" s="26">
        <f>Tabla_Consulta_desde_Reporte_de_Valorización_de_Instrumentos[[#This Row],[C02-H]]*Tabla_Consulta_desde_Reporte_de_Valorización_de_Instrumentos[[#This Row],[Weight]]</f>
        <v>1.804998008169097E-2</v>
      </c>
      <c r="AM325" s="26" t="str">
        <f>INDEX(Parametria!G:G,MATCH(Tabla_Consulta_desde_Reporte_de_Valorización_de_Instrumentos[[#This Row],[CODIGO_SBS]],Parametria!C:C,0))</f>
        <v>52RVI</v>
      </c>
      <c r="AN325" s="26" t="str">
        <f>INDEX(Parametria!F:F,MATCH(Tabla_Consulta_desde_Reporte_de_Valorización_de_Instrumentos[[#This Row],[CODIGO_SBS]],Parametria!C:C,0))</f>
        <v>TD</v>
      </c>
      <c r="AO325" s="26" t="str">
        <f>+INDEX(Parametria!J:J,MATCH(Tabla_Consulta_desde_Reporte_de_Valorización_de_Instrumentos[[#This Row],[CODIGO_SBS]],Parametria!C:C,0))</f>
        <v>RVITD</v>
      </c>
      <c r="AP325" s="26">
        <f>Tabla_Consulta_desde_Reporte_de_Valorización_de_Instrumentos[[#This Row],[Huella]]/$AU$4</f>
        <v>3.8234621820273794E-3</v>
      </c>
      <c r="AQ325" s="26" t="str">
        <f>IFERROR(INDEX('BD(MSCI)'!W:W,MATCH(Tabla_Consulta_desde_Reporte_de_Valorización_de_Instrumentos[[#This Row],[CODIGO_ISIN]],'BD(MSCI)'!C:C,0)),IF(Tabla_Consulta_desde_Reporte_de_Valorización_de_Instrumentos[[#This Row],[Rank_rt]]="Cash","Cash","Cuestionario Integra"))</f>
        <v>ETF</v>
      </c>
      <c r="AR325" s="26" t="str">
        <f>IFERROR(INDEX('BD(MSCI)'!X:X,MATCH(Tabla_Consulta_desde_Reporte_de_Valorización_de_Instrumentos[[#This Row],[CODIGO_ISIN]],'BD(MSCI)'!C:C,0)),"Cuestionario Integra")</f>
        <v>Otros ETFs</v>
      </c>
      <c r="AU325" s="26"/>
    </row>
    <row r="326" spans="2:47" hidden="1" x14ac:dyDescent="0.25">
      <c r="B326" s="14" t="s">
        <v>6390</v>
      </c>
      <c r="C326" t="s">
        <v>586</v>
      </c>
      <c r="D326" t="s">
        <v>11</v>
      </c>
      <c r="E326" t="s">
        <v>587</v>
      </c>
      <c r="F326" t="s">
        <v>6032</v>
      </c>
      <c r="G326" t="str">
        <f>INDEX(Parametria!H:H,MATCH(Tabla_Consulta_desde_Reporte_de_Valorización_de_Instrumentos[[#This Row],[CODIGO_SBS]],Parametria!C:C,0),1)</f>
        <v>Invesco - Power Shares QQQ</v>
      </c>
      <c r="H326" t="s">
        <v>694</v>
      </c>
      <c r="I326" t="s">
        <v>156</v>
      </c>
      <c r="J326" t="s">
        <v>4985</v>
      </c>
      <c r="K326" t="s">
        <v>50</v>
      </c>
      <c r="L326">
        <v>1</v>
      </c>
      <c r="M326" s="5">
        <v>12594270.321900001</v>
      </c>
      <c r="N326">
        <v>3747291</v>
      </c>
      <c r="O326">
        <v>6100</v>
      </c>
      <c r="P326" s="15"/>
      <c r="R326">
        <v>3.3609</v>
      </c>
      <c r="S326" t="s">
        <v>428</v>
      </c>
      <c r="U326" s="5"/>
      <c r="V326" t="s">
        <v>156</v>
      </c>
      <c r="W326">
        <v>0</v>
      </c>
      <c r="X326">
        <v>0</v>
      </c>
      <c r="Y326">
        <v>0</v>
      </c>
      <c r="Z326">
        <v>-5.12</v>
      </c>
      <c r="AA326" t="str">
        <f>+MID(Tabla_Consulta_desde_Reporte_de_Valorización_de_Instrumentos[[#This Row],[CODIGO_SBS]],7,1)</f>
        <v>2</v>
      </c>
      <c r="AB326">
        <f>INDEX('Cálculo Caja'!F:F,MATCH(Tabla_Consulta_desde_Reporte_de_Valorización_de_Instrumentos[[#This Row],[PORTAFOLIO]],'Cálculo Caja'!A:A,0),1)</f>
        <v>3164069580.822104</v>
      </c>
      <c r="AC326" s="17">
        <f>Tabla_Consulta_desde_Reporte_de_Valorización_de_Instrumentos[[#This Row],[VALOR_VECTOR_LOCAL]]/Tabla_Consulta_desde_Reporte_de_Valorización_de_Instrumentos[[#This Row],[Patrimonio]]</f>
        <v>3.9804024532948783E-3</v>
      </c>
      <c r="AD326" s="4">
        <f>(Tabla_Consulta_desde_Reporte_de_Valorización_de_Instrumentos[[#This Row],[VALOR_VECTOR_LOCAL]]/INDEX('Tipo de Cambio'!$D:$D,MATCH("2",'Tipo de Cambio'!$E:$E,0),1))/1000000</f>
        <v>3.7472910000000006</v>
      </c>
      <c r="AE326">
        <f>IF(Tabla_Consulta_desde_Reporte_de_Valorización_de_Instrumentos[[#This Row],[PORTAFOLIO]]="IN-FONDO0",Tabla_Consulta_desde_Reporte_de_Valorización_de_Instrumentos[[#This Row],[Inv MM$]],0)</f>
        <v>0</v>
      </c>
      <c r="AF326" s="26">
        <f>IF(Tabla_Consulta_desde_Reporte_de_Valorización_de_Instrumentos[[#This Row],[PORTAFOLIO]]="IN-FONDO1",Tabla_Consulta_desde_Reporte_de_Valorización_de_Instrumentos[[#This Row],[Inv MM$]],0)</f>
        <v>0</v>
      </c>
      <c r="AG326" s="26">
        <f>IF(Tabla_Consulta_desde_Reporte_de_Valorización_de_Instrumentos[[#This Row],[PORTAFOLIO]]="IN-FONDO2",Tabla_Consulta_desde_Reporte_de_Valorización_de_Instrumentos[[#This Row],[Inv MM$]],0)</f>
        <v>0</v>
      </c>
      <c r="AH326" s="26">
        <f>IF(Tabla_Consulta_desde_Reporte_de_Valorización_de_Instrumentos[[#This Row],[PORTAFOLIO]]="IN-FONDO3",Tabla_Consulta_desde_Reporte_de_Valorización_de_Instrumentos[[#This Row],[Inv MM$]],0)</f>
        <v>3.7472910000000006</v>
      </c>
      <c r="AI32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8.2317540000000005</v>
      </c>
      <c r="AJ326" s="26">
        <f>IFERROR(IFERROR(INDEX('BD(MSCI)'!$T:$T,MATCH(Tabla_Consulta_desde_Reporte_de_Valorización_de_Instrumentos[[#This Row],[CODIGO_ISIN]],'BD(MSCI)'!$C:$C,0),1),INDEX('BD(MSCI)'!$T:$T,MATCH(Tabla_Consulta_desde_Reporte_de_Valorización_de_Instrumentos[[#This Row],[CODIGO_SBS]],'BD(MSCI)'!$C:$C,0),1)),0)</f>
        <v>9.1969589999999997</v>
      </c>
      <c r="AK326" s="26">
        <f>Tabla_Consulta_desde_Reporte_de_Valorización_de_Instrumentos[[#This Row],[C02-H]]*Tabla_Consulta_desde_Reporte_de_Valorización_de_Instrumentos[[#This Row],[Inv MM$]]</f>
        <v>34.463681688069002</v>
      </c>
      <c r="AL326" s="26">
        <f>Tabla_Consulta_desde_Reporte_de_Valorización_de_Instrumentos[[#This Row],[C02-H]]*Tabla_Consulta_desde_Reporte_de_Valorización_de_Instrumentos[[#This Row],[Weight]]</f>
        <v>3.6607598166452406E-2</v>
      </c>
      <c r="AM326" s="26" t="str">
        <f>INDEX(Parametria!G:G,MATCH(Tabla_Consulta_desde_Reporte_de_Valorización_de_Instrumentos[[#This Row],[CODIGO_SBS]],Parametria!C:C,0))</f>
        <v>52RVI</v>
      </c>
      <c r="AN326" s="26" t="str">
        <f>INDEX(Parametria!F:F,MATCH(Tabla_Consulta_desde_Reporte_de_Valorización_de_Instrumentos[[#This Row],[CODIGO_SBS]],Parametria!C:C,0))</f>
        <v>TD</v>
      </c>
      <c r="AO326" s="26" t="str">
        <f>+INDEX(Parametria!J:J,MATCH(Tabla_Consulta_desde_Reporte_de_Valorización_de_Instrumentos[[#This Row],[CODIGO_SBS]],Parametria!C:C,0))</f>
        <v>RVITD</v>
      </c>
      <c r="AP326" s="26">
        <f>Tabla_Consulta_desde_Reporte_de_Valorización_de_Instrumentos[[#This Row],[Huella]]/$AU$4</f>
        <v>3.1949478507352076E-3</v>
      </c>
      <c r="AQ326" s="26" t="str">
        <f>IFERROR(INDEX('BD(MSCI)'!W:W,MATCH(Tabla_Consulta_desde_Reporte_de_Valorización_de_Instrumentos[[#This Row],[CODIGO_ISIN]],'BD(MSCI)'!C:C,0)),IF(Tabla_Consulta_desde_Reporte_de_Valorización_de_Instrumentos[[#This Row],[Rank_rt]]="Cash","Cash","Cuestionario Integra"))</f>
        <v>ETF</v>
      </c>
      <c r="AR326" s="26" t="str">
        <f>IFERROR(INDEX('BD(MSCI)'!X:X,MATCH(Tabla_Consulta_desde_Reporte_de_Valorización_de_Instrumentos[[#This Row],[CODIGO_ISIN]],'BD(MSCI)'!C:C,0)),"Cuestionario Integra")</f>
        <v>Otros ETFs</v>
      </c>
      <c r="AU326" s="26"/>
    </row>
    <row r="327" spans="2:47" hidden="1" x14ac:dyDescent="0.25">
      <c r="B327" s="14" t="s">
        <v>6390</v>
      </c>
      <c r="C327" t="s">
        <v>586</v>
      </c>
      <c r="D327" t="s">
        <v>10</v>
      </c>
      <c r="E327" t="s">
        <v>587</v>
      </c>
      <c r="F327" t="s">
        <v>947</v>
      </c>
      <c r="G327" t="str">
        <f>INDEX(Parametria!H:H,MATCH(Tabla_Consulta_desde_Reporte_de_Valorización_de_Instrumentos[[#This Row],[CODIGO_SBS]],Parametria!C:C,0),1)</f>
        <v>Schroder - International Selection Fund China A</v>
      </c>
      <c r="H327" t="s">
        <v>948</v>
      </c>
      <c r="I327" t="s">
        <v>156</v>
      </c>
      <c r="J327" t="s">
        <v>4854</v>
      </c>
      <c r="K327" t="s">
        <v>50</v>
      </c>
      <c r="L327">
        <v>1</v>
      </c>
      <c r="M327" s="5">
        <v>776.94337340000004</v>
      </c>
      <c r="N327">
        <v>231.17122599999999</v>
      </c>
      <c r="O327">
        <v>1.43</v>
      </c>
      <c r="P327" s="15"/>
      <c r="R327">
        <v>3.3609</v>
      </c>
      <c r="S327" t="s">
        <v>428</v>
      </c>
      <c r="T327">
        <v>777.97926340000004</v>
      </c>
      <c r="U327" s="5">
        <v>231.36241699999999</v>
      </c>
      <c r="V327" t="s">
        <v>156</v>
      </c>
      <c r="W327">
        <v>0</v>
      </c>
      <c r="X327">
        <v>0</v>
      </c>
      <c r="Y327">
        <v>0</v>
      </c>
      <c r="Z327">
        <v>-0.13370000000000001</v>
      </c>
      <c r="AA327" t="str">
        <f>+MID(Tabla_Consulta_desde_Reporte_de_Valorización_de_Instrumentos[[#This Row],[CODIGO_SBS]],7,1)</f>
        <v>2</v>
      </c>
      <c r="AB327">
        <f>INDEX('Cálculo Caja'!F:F,MATCH(Tabla_Consulta_desde_Reporte_de_Valorización_de_Instrumentos[[#This Row],[PORTAFOLIO]],'Cálculo Caja'!A:A,0),1)</f>
        <v>26256910350.436607</v>
      </c>
      <c r="AC327" s="17">
        <f>Tabla_Consulta_desde_Reporte_de_Valorización_de_Instrumentos[[#This Row],[VALOR_VECTOR_LOCAL]]/Tabla_Consulta_desde_Reporte_de_Valorización_de_Instrumentos[[#This Row],[Patrimonio]]</f>
        <v>2.9590053171929301E-8</v>
      </c>
      <c r="AD327" s="4">
        <f>(Tabla_Consulta_desde_Reporte_de_Valorización_de_Instrumentos[[#This Row],[VALOR_VECTOR_LOCAL]]/INDEX('Tipo de Cambio'!$D:$D,MATCH("2",'Tipo de Cambio'!$E:$E,0),1))/1000000</f>
        <v>2.3117122598113603E-4</v>
      </c>
      <c r="AE327">
        <f>IF(Tabla_Consulta_desde_Reporte_de_Valorización_de_Instrumentos[[#This Row],[PORTAFOLIO]]="IN-FONDO0",Tabla_Consulta_desde_Reporte_de_Valorización_de_Instrumentos[[#This Row],[Inv MM$]],0)</f>
        <v>0</v>
      </c>
      <c r="AF327" s="26">
        <f>IF(Tabla_Consulta_desde_Reporte_de_Valorización_de_Instrumentos[[#This Row],[PORTAFOLIO]]="IN-FONDO1",Tabla_Consulta_desde_Reporte_de_Valorización_de_Instrumentos[[#This Row],[Inv MM$]],0)</f>
        <v>0</v>
      </c>
      <c r="AG327" s="26">
        <f>IF(Tabla_Consulta_desde_Reporte_de_Valorización_de_Instrumentos[[#This Row],[PORTAFOLIO]]="IN-FONDO2",Tabla_Consulta_desde_Reporte_de_Valorización_de_Instrumentos[[#This Row],[Inv MM$]],0)</f>
        <v>2.3117122598113603E-4</v>
      </c>
      <c r="AH327" s="26">
        <f>IF(Tabla_Consulta_desde_Reporte_de_Valorización_de_Instrumentos[[#This Row],[PORTAFOLIO]]="IN-FONDO3",Tabla_Consulta_desde_Reporte_de_Valorización_de_Instrumentos[[#This Row],[Inv MM$]],0)</f>
        <v>0</v>
      </c>
      <c r="AI32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5.1730623996548545E-4</v>
      </c>
      <c r="AJ327" s="26">
        <f>IFERROR(IFERROR(INDEX('BD(MSCI)'!$T:$T,MATCH(Tabla_Consulta_desde_Reporte_de_Valorización_de_Instrumentos[[#This Row],[CODIGO_ISIN]],'BD(MSCI)'!$C:$C,0),1),INDEX('BD(MSCI)'!$T:$T,MATCH(Tabla_Consulta_desde_Reporte_de_Valorización_de_Instrumentos[[#This Row],[CODIGO_SBS]],'BD(MSCI)'!$C:$C,0),1)),0)</f>
        <v>77.041533999999999</v>
      </c>
      <c r="AK327" s="26">
        <f>Tabla_Consulta_desde_Reporte_de_Valorización_de_Instrumentos[[#This Row],[C02-H]]*Tabla_Consulta_desde_Reporte_de_Valorización_de_Instrumentos[[#This Row],[Inv MM$]]</f>
        <v>1.7809785866247374E-2</v>
      </c>
      <c r="AL327" s="26">
        <f>Tabla_Consulta_desde_Reporte_de_Valorización_de_Instrumentos[[#This Row],[C02-H]]*Tabla_Consulta_desde_Reporte_de_Valorización_de_Instrumentos[[#This Row],[Weight]]</f>
        <v>2.2796630875069992E-6</v>
      </c>
      <c r="AM327" s="26" t="str">
        <f>INDEX(Parametria!G:G,MATCH(Tabla_Consulta_desde_Reporte_de_Valorización_de_Instrumentos[[#This Row],[CODIGO_SBS]],Parametria!C:C,0))</f>
        <v>52RVI</v>
      </c>
      <c r="AN327" s="26" t="str">
        <f>INDEX(Parametria!F:F,MATCH(Tabla_Consulta_desde_Reporte_de_Valorización_de_Instrumentos[[#This Row],[CODIGO_SBS]],Parametria!C:C,0))</f>
        <v>TD</v>
      </c>
      <c r="AO327" s="26" t="str">
        <f>+INDEX(Parametria!J:J,MATCH(Tabla_Consulta_desde_Reporte_de_Valorización_de_Instrumentos[[#This Row],[CODIGO_SBS]],Parametria!C:C,0))</f>
        <v>RVITD</v>
      </c>
      <c r="AP327" s="26">
        <f>Tabla_Consulta_desde_Reporte_de_Valorización_de_Instrumentos[[#This Row],[Huella]]/$AU$4</f>
        <v>1.6510521885164702E-6</v>
      </c>
      <c r="AQ327" s="26" t="str">
        <f>IFERROR(INDEX('BD(MSCI)'!W:W,MATCH(Tabla_Consulta_desde_Reporte_de_Valorización_de_Instrumentos[[#This Row],[CODIGO_ISIN]],'BD(MSCI)'!C:C,0)),IF(Tabla_Consulta_desde_Reporte_de_Valorización_de_Instrumentos[[#This Row],[Rank_rt]]="Cash","Cash","Cuestionario Integra"))</f>
        <v>ETF</v>
      </c>
      <c r="AR327" s="26" t="str">
        <f>IFERROR(INDEX('BD(MSCI)'!X:X,MATCH(Tabla_Consulta_desde_Reporte_de_Valorización_de_Instrumentos[[#This Row],[CODIGO_ISIN]],'BD(MSCI)'!C:C,0)),"Cuestionario Integra")</f>
        <v>Otros ETFs</v>
      </c>
      <c r="AU327" s="26"/>
    </row>
    <row r="328" spans="2:47" hidden="1" x14ac:dyDescent="0.25">
      <c r="B328" s="14" t="s">
        <v>6390</v>
      </c>
      <c r="C328" t="s">
        <v>586</v>
      </c>
      <c r="D328" t="s">
        <v>11</v>
      </c>
      <c r="E328" t="s">
        <v>587</v>
      </c>
      <c r="F328" t="s">
        <v>947</v>
      </c>
      <c r="G328" t="str">
        <f>INDEX(Parametria!H:H,MATCH(Tabla_Consulta_desde_Reporte_de_Valorización_de_Instrumentos[[#This Row],[CODIGO_SBS]],Parametria!C:C,0),1)</f>
        <v>Schroder - International Selection Fund China A</v>
      </c>
      <c r="H328" t="s">
        <v>948</v>
      </c>
      <c r="I328" t="s">
        <v>156</v>
      </c>
      <c r="J328" t="s">
        <v>4854</v>
      </c>
      <c r="K328" t="s">
        <v>50</v>
      </c>
      <c r="L328">
        <v>1</v>
      </c>
      <c r="M328" s="5">
        <v>961.67116850000002</v>
      </c>
      <c r="N328">
        <v>286.13501400000001</v>
      </c>
      <c r="O328">
        <v>1.77</v>
      </c>
      <c r="P328" s="15"/>
      <c r="R328">
        <v>3.3609</v>
      </c>
      <c r="S328" t="s">
        <v>428</v>
      </c>
      <c r="T328">
        <v>962.95335399999999</v>
      </c>
      <c r="U328" s="5">
        <v>286.37166300000001</v>
      </c>
      <c r="V328" t="s">
        <v>156</v>
      </c>
      <c r="W328">
        <v>0</v>
      </c>
      <c r="X328">
        <v>0</v>
      </c>
      <c r="Y328">
        <v>0</v>
      </c>
      <c r="Z328">
        <v>-0.13370000000000001</v>
      </c>
      <c r="AA328" t="str">
        <f>+MID(Tabla_Consulta_desde_Reporte_de_Valorización_de_Instrumentos[[#This Row],[CODIGO_SBS]],7,1)</f>
        <v>2</v>
      </c>
      <c r="AB328">
        <f>INDEX('Cálculo Caja'!F:F,MATCH(Tabla_Consulta_desde_Reporte_de_Valorización_de_Instrumentos[[#This Row],[PORTAFOLIO]],'Cálculo Caja'!A:A,0),1)</f>
        <v>3164069580.822104</v>
      </c>
      <c r="AC328" s="17">
        <f>Tabla_Consulta_desde_Reporte_de_Valorización_de_Instrumentos[[#This Row],[VALOR_VECTOR_LOCAL]]/Tabla_Consulta_desde_Reporte_de_Valorización_de_Instrumentos[[#This Row],[Patrimonio]]</f>
        <v>3.0393489900754138E-7</v>
      </c>
      <c r="AD328" s="4">
        <f>(Tabla_Consulta_desde_Reporte_de_Valorización_de_Instrumentos[[#This Row],[VALOR_VECTOR_LOCAL]]/INDEX('Tipo de Cambio'!$D:$D,MATCH("2",'Tipo de Cambio'!$E:$E,0),1))/1000000</f>
        <v>2.861350139843494E-4</v>
      </c>
      <c r="AE328">
        <f>IF(Tabla_Consulta_desde_Reporte_de_Valorización_de_Instrumentos[[#This Row],[PORTAFOLIO]]="IN-FONDO0",Tabla_Consulta_desde_Reporte_de_Valorización_de_Instrumentos[[#This Row],[Inv MM$]],0)</f>
        <v>0</v>
      </c>
      <c r="AF328" s="26">
        <f>IF(Tabla_Consulta_desde_Reporte_de_Valorización_de_Instrumentos[[#This Row],[PORTAFOLIO]]="IN-FONDO1",Tabla_Consulta_desde_Reporte_de_Valorización_de_Instrumentos[[#This Row],[Inv MM$]],0)</f>
        <v>0</v>
      </c>
      <c r="AG328" s="26">
        <f>IF(Tabla_Consulta_desde_Reporte_de_Valorización_de_Instrumentos[[#This Row],[PORTAFOLIO]]="IN-FONDO2",Tabla_Consulta_desde_Reporte_de_Valorización_de_Instrumentos[[#This Row],[Inv MM$]],0)</f>
        <v>0</v>
      </c>
      <c r="AH328" s="26">
        <f>IF(Tabla_Consulta_desde_Reporte_de_Valorización_de_Instrumentos[[#This Row],[PORTAFOLIO]]="IN-FONDO3",Tabla_Consulta_desde_Reporte_de_Valorización_de_Instrumentos[[#This Row],[Inv MM$]],0)</f>
        <v>2.861350139843494E-4</v>
      </c>
      <c r="AI32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5.1730623996548545E-4</v>
      </c>
      <c r="AJ328" s="26">
        <f>IFERROR(IFERROR(INDEX('BD(MSCI)'!$T:$T,MATCH(Tabla_Consulta_desde_Reporte_de_Valorización_de_Instrumentos[[#This Row],[CODIGO_ISIN]],'BD(MSCI)'!$C:$C,0),1),INDEX('BD(MSCI)'!$T:$T,MATCH(Tabla_Consulta_desde_Reporte_de_Valorización_de_Instrumentos[[#This Row],[CODIGO_SBS]],'BD(MSCI)'!$C:$C,0),1)),0)</f>
        <v>77.041533999999999</v>
      </c>
      <c r="AK328" s="26">
        <f>Tabla_Consulta_desde_Reporte_de_Valorización_de_Instrumentos[[#This Row],[C02-H]]*Tabla_Consulta_desde_Reporte_de_Valorización_de_Instrumentos[[#This Row],[Inv MM$]]</f>
        <v>2.2044280408465729E-2</v>
      </c>
      <c r="AL328" s="26">
        <f>Tabla_Consulta_desde_Reporte_de_Valorización_de_Instrumentos[[#This Row],[C02-H]]*Tabla_Consulta_desde_Reporte_de_Valorización_de_Instrumentos[[#This Row],[Weight]]</f>
        <v>2.3415610855676065E-5</v>
      </c>
      <c r="AM328" s="26" t="str">
        <f>INDEX(Parametria!G:G,MATCH(Tabla_Consulta_desde_Reporte_de_Valorización_de_Instrumentos[[#This Row],[CODIGO_SBS]],Parametria!C:C,0))</f>
        <v>52RVI</v>
      </c>
      <c r="AN328" s="26" t="str">
        <f>INDEX(Parametria!F:F,MATCH(Tabla_Consulta_desde_Reporte_de_Valorización_de_Instrumentos[[#This Row],[CODIGO_SBS]],Parametria!C:C,0))</f>
        <v>TD</v>
      </c>
      <c r="AO328" s="26" t="str">
        <f>+INDEX(Parametria!J:J,MATCH(Tabla_Consulta_desde_Reporte_de_Valorización_de_Instrumentos[[#This Row],[CODIGO_SBS]],Parametria!C:C,0))</f>
        <v>RVITD</v>
      </c>
      <c r="AP328" s="26">
        <f>Tabla_Consulta_desde_Reporte_de_Valorización_de_Instrumentos[[#This Row],[Huella]]/$AU$4</f>
        <v>2.0436100515753699E-6</v>
      </c>
      <c r="AQ328" s="26" t="str">
        <f>IFERROR(INDEX('BD(MSCI)'!W:W,MATCH(Tabla_Consulta_desde_Reporte_de_Valorización_de_Instrumentos[[#This Row],[CODIGO_ISIN]],'BD(MSCI)'!C:C,0)),IF(Tabla_Consulta_desde_Reporte_de_Valorización_de_Instrumentos[[#This Row],[Rank_rt]]="Cash","Cash","Cuestionario Integra"))</f>
        <v>ETF</v>
      </c>
      <c r="AR328" s="26" t="str">
        <f>IFERROR(INDEX('BD(MSCI)'!X:X,MATCH(Tabla_Consulta_desde_Reporte_de_Valorización_de_Instrumentos[[#This Row],[CODIGO_ISIN]],'BD(MSCI)'!C:C,0)),"Cuestionario Integra")</f>
        <v>Otros ETFs</v>
      </c>
      <c r="AU328" s="26"/>
    </row>
    <row r="329" spans="2:47" hidden="1" x14ac:dyDescent="0.25">
      <c r="B329" s="14" t="s">
        <v>6390</v>
      </c>
      <c r="C329" t="s">
        <v>586</v>
      </c>
      <c r="D329" t="s">
        <v>11</v>
      </c>
      <c r="E329" t="s">
        <v>587</v>
      </c>
      <c r="F329" t="s">
        <v>1477</v>
      </c>
      <c r="G329" t="str">
        <f>INDEX(Parametria!H:H,MATCH(Tabla_Consulta_desde_Reporte_de_Valorización_de_Instrumentos[[#This Row],[CODIGO_SBS]],Parametria!C:C,0),1)</f>
        <v>Global X - Copper Miners ETF</v>
      </c>
      <c r="H329" t="s">
        <v>1476</v>
      </c>
      <c r="I329" t="s">
        <v>156</v>
      </c>
      <c r="J329" t="s">
        <v>5968</v>
      </c>
      <c r="K329" t="s">
        <v>50</v>
      </c>
      <c r="L329">
        <v>1</v>
      </c>
      <c r="M329" s="5">
        <v>62225856.936899997</v>
      </c>
      <c r="N329">
        <v>18514641</v>
      </c>
      <c r="O329">
        <v>257900</v>
      </c>
      <c r="P329" s="15"/>
      <c r="R329">
        <v>3.3609</v>
      </c>
      <c r="S329" t="s">
        <v>428</v>
      </c>
      <c r="T329">
        <v>62873054.149999999</v>
      </c>
      <c r="U329" s="5">
        <v>18697750</v>
      </c>
      <c r="V329" t="s">
        <v>156</v>
      </c>
      <c r="W329">
        <v>0</v>
      </c>
      <c r="X329">
        <v>0</v>
      </c>
      <c r="Y329">
        <v>0</v>
      </c>
      <c r="Z329">
        <v>-0.71</v>
      </c>
      <c r="AA329" t="str">
        <f>+MID(Tabla_Consulta_desde_Reporte_de_Valorización_de_Instrumentos[[#This Row],[CODIGO_SBS]],7,1)</f>
        <v>2</v>
      </c>
      <c r="AB329">
        <f>INDEX('Cálculo Caja'!F:F,MATCH(Tabla_Consulta_desde_Reporte_de_Valorización_de_Instrumentos[[#This Row],[PORTAFOLIO]],'Cálculo Caja'!A:A,0),1)</f>
        <v>3164069580.822104</v>
      </c>
      <c r="AC329" s="17">
        <f>Tabla_Consulta_desde_Reporte_de_Valorización_de_Instrumentos[[#This Row],[VALOR_VECTOR_LOCAL]]/Tabla_Consulta_desde_Reporte_de_Valorización_de_Instrumentos[[#This Row],[Patrimonio]]</f>
        <v>1.9666399662656018E-2</v>
      </c>
      <c r="AD329" s="4">
        <f>(Tabla_Consulta_desde_Reporte_de_Valorización_de_Instrumentos[[#This Row],[VALOR_VECTOR_LOCAL]]/INDEX('Tipo de Cambio'!$D:$D,MATCH("2",'Tipo de Cambio'!$E:$E,0),1))/1000000</f>
        <v>18.514641000000001</v>
      </c>
      <c r="AE329">
        <f>IF(Tabla_Consulta_desde_Reporte_de_Valorización_de_Instrumentos[[#This Row],[PORTAFOLIO]]="IN-FONDO0",Tabla_Consulta_desde_Reporte_de_Valorización_de_Instrumentos[[#This Row],[Inv MM$]],0)</f>
        <v>0</v>
      </c>
      <c r="AF329" s="26">
        <f>IF(Tabla_Consulta_desde_Reporte_de_Valorización_de_Instrumentos[[#This Row],[PORTAFOLIO]]="IN-FONDO1",Tabla_Consulta_desde_Reporte_de_Valorización_de_Instrumentos[[#This Row],[Inv MM$]],0)</f>
        <v>0</v>
      </c>
      <c r="AG329" s="26">
        <f>IF(Tabla_Consulta_desde_Reporte_de_Valorización_de_Instrumentos[[#This Row],[PORTAFOLIO]]="IN-FONDO2",Tabla_Consulta_desde_Reporte_de_Valorización_de_Instrumentos[[#This Row],[Inv MM$]],0)</f>
        <v>0</v>
      </c>
      <c r="AH329" s="26">
        <f>IF(Tabla_Consulta_desde_Reporte_de_Valorización_de_Instrumentos[[#This Row],[PORTAFOLIO]]="IN-FONDO3",Tabla_Consulta_desde_Reporte_de_Valorización_de_Instrumentos[[#This Row],[Inv MM$]],0)</f>
        <v>18.514641000000001</v>
      </c>
      <c r="AI32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154.33414200000001</v>
      </c>
      <c r="AJ329" s="26">
        <f>IFERROR(IFERROR(INDEX('BD(MSCI)'!$T:$T,MATCH(Tabla_Consulta_desde_Reporte_de_Valorización_de_Instrumentos[[#This Row],[CODIGO_ISIN]],'BD(MSCI)'!$C:$C,0),1),INDEX('BD(MSCI)'!$T:$T,MATCH(Tabla_Consulta_desde_Reporte_de_Valorización_de_Instrumentos[[#This Row],[CODIGO_SBS]],'BD(MSCI)'!$C:$C,0),1)),0)</f>
        <v>120.63185874</v>
      </c>
      <c r="AK329" s="26">
        <f>Tabla_Consulta_desde_Reporte_de_Valorización_de_Instrumentos[[#This Row],[C02-H]]*Tabla_Consulta_desde_Reporte_de_Valorización_de_Instrumentos[[#This Row],[Inv MM$]]</f>
        <v>2233.4555577338124</v>
      </c>
      <c r="AL329" s="26">
        <f>Tabla_Consulta_desde_Reporte_de_Valorización_de_Instrumentos[[#This Row],[C02-H]]*Tabla_Consulta_desde_Reporte_de_Valorización_de_Instrumentos[[#This Row],[Weight]]</f>
        <v>2.3723943460299042</v>
      </c>
      <c r="AM329" s="26" t="str">
        <f>INDEX(Parametria!G:G,MATCH(Tabla_Consulta_desde_Reporte_de_Valorización_de_Instrumentos[[#This Row],[CODIGO_SBS]],Parametria!C:C,0))</f>
        <v>52RVI</v>
      </c>
      <c r="AN329" s="26" t="str">
        <f>INDEX(Parametria!F:F,MATCH(Tabla_Consulta_desde_Reporte_de_Valorización_de_Instrumentos[[#This Row],[CODIGO_SBS]],Parametria!C:C,0))</f>
        <v>TD</v>
      </c>
      <c r="AO329" s="26" t="str">
        <f>+INDEX(Parametria!J:J,MATCH(Tabla_Consulta_desde_Reporte_de_Valorización_de_Instrumentos[[#This Row],[CODIGO_SBS]],Parametria!C:C,0))</f>
        <v>RVITD</v>
      </c>
      <c r="AP329" s="26">
        <f>Tabla_Consulta_desde_Reporte_de_Valorización_de_Instrumentos[[#This Row],[Huella]]/$AU$4</f>
        <v>0.2070519945744678</v>
      </c>
      <c r="AQ329" s="26" t="str">
        <f>IFERROR(INDEX('BD(MSCI)'!W:W,MATCH(Tabla_Consulta_desde_Reporte_de_Valorización_de_Instrumentos[[#This Row],[CODIGO_ISIN]],'BD(MSCI)'!C:C,0)),IF(Tabla_Consulta_desde_Reporte_de_Valorización_de_Instrumentos[[#This Row],[Rank_rt]]="Cash","Cash","Cuestionario Integra"))</f>
        <v>ETF</v>
      </c>
      <c r="AR329" s="26" t="str">
        <f>IFERROR(INDEX('BD(MSCI)'!X:X,MATCH(Tabla_Consulta_desde_Reporte_de_Valorización_de_Instrumentos[[#This Row],[CODIGO_ISIN]],'BD(MSCI)'!C:C,0)),"Cuestionario Integra")</f>
        <v>Otros ETFs</v>
      </c>
      <c r="AU329" s="26"/>
    </row>
    <row r="330" spans="2:47" hidden="1" x14ac:dyDescent="0.25">
      <c r="B330" s="14" t="s">
        <v>6390</v>
      </c>
      <c r="C330" t="s">
        <v>586</v>
      </c>
      <c r="D330" t="s">
        <v>11</v>
      </c>
      <c r="E330" t="s">
        <v>587</v>
      </c>
      <c r="F330" t="s">
        <v>6198</v>
      </c>
      <c r="G330" t="str">
        <f>INDEX(Parametria!H:H,MATCH(Tabla_Consulta_desde_Reporte_de_Valorización_de_Instrumentos[[#This Row],[CODIGO_SBS]],Parametria!C:C,0),1)</f>
        <v>Global X - Silvers Miners ETF</v>
      </c>
      <c r="H330" t="s">
        <v>6197</v>
      </c>
      <c r="I330" t="s">
        <v>156</v>
      </c>
      <c r="J330" t="s">
        <v>5968</v>
      </c>
      <c r="K330" t="s">
        <v>50</v>
      </c>
      <c r="L330">
        <v>68.02</v>
      </c>
      <c r="M330" s="5">
        <v>33319371.081599999</v>
      </c>
      <c r="N330">
        <v>9913824</v>
      </c>
      <c r="O330">
        <v>118700</v>
      </c>
      <c r="P330" s="15"/>
      <c r="R330">
        <v>3.3609</v>
      </c>
      <c r="S330" t="s">
        <v>428</v>
      </c>
      <c r="T330">
        <v>34130514.416199997</v>
      </c>
      <c r="U330" s="5">
        <v>10150037</v>
      </c>
      <c r="V330" t="s">
        <v>156</v>
      </c>
      <c r="W330">
        <v>0</v>
      </c>
      <c r="X330">
        <v>0</v>
      </c>
      <c r="Y330">
        <v>0</v>
      </c>
      <c r="Z330">
        <v>-1.99</v>
      </c>
      <c r="AA330" t="str">
        <f>+MID(Tabla_Consulta_desde_Reporte_de_Valorización_de_Instrumentos[[#This Row],[CODIGO_SBS]],7,1)</f>
        <v>2</v>
      </c>
      <c r="AB330">
        <f>INDEX('Cálculo Caja'!F:F,MATCH(Tabla_Consulta_desde_Reporte_de_Valorización_de_Instrumentos[[#This Row],[PORTAFOLIO]],'Cálculo Caja'!A:A,0),1)</f>
        <v>3164069580.822104</v>
      </c>
      <c r="AC330" s="17">
        <f>Tabla_Consulta_desde_Reporte_de_Valorización_de_Instrumentos[[#This Row],[VALOR_VECTOR_LOCAL]]/Tabla_Consulta_desde_Reporte_de_Valorización_de_Instrumentos[[#This Row],[Patrimonio]]</f>
        <v>1.0530543096635314E-2</v>
      </c>
      <c r="AD330" s="4">
        <f>(Tabla_Consulta_desde_Reporte_de_Valorización_de_Instrumentos[[#This Row],[VALOR_VECTOR_LOCAL]]/INDEX('Tipo de Cambio'!$D:$D,MATCH("2",'Tipo de Cambio'!$E:$E,0),1))/1000000</f>
        <v>9.913824</v>
      </c>
      <c r="AE330">
        <f>IF(Tabla_Consulta_desde_Reporte_de_Valorización_de_Instrumentos[[#This Row],[PORTAFOLIO]]="IN-FONDO0",Tabla_Consulta_desde_Reporte_de_Valorización_de_Instrumentos[[#This Row],[Inv MM$]],0)</f>
        <v>0</v>
      </c>
      <c r="AF330" s="26">
        <f>IF(Tabla_Consulta_desde_Reporte_de_Valorización_de_Instrumentos[[#This Row],[PORTAFOLIO]]="IN-FONDO1",Tabla_Consulta_desde_Reporte_de_Valorización_de_Instrumentos[[#This Row],[Inv MM$]],0)</f>
        <v>0</v>
      </c>
      <c r="AG330" s="26">
        <f>IF(Tabla_Consulta_desde_Reporte_de_Valorización_de_Instrumentos[[#This Row],[PORTAFOLIO]]="IN-FONDO2",Tabla_Consulta_desde_Reporte_de_Valorización_de_Instrumentos[[#This Row],[Inv MM$]],0)</f>
        <v>0</v>
      </c>
      <c r="AH330" s="26">
        <f>IF(Tabla_Consulta_desde_Reporte_de_Valorización_de_Instrumentos[[#This Row],[PORTAFOLIO]]="IN-FONDO3",Tabla_Consulta_desde_Reporte_de_Valorización_de_Instrumentos[[#This Row],[Inv MM$]],0)</f>
        <v>9.913824</v>
      </c>
      <c r="AI33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45.76896</v>
      </c>
      <c r="AJ330" s="26">
        <f>IFERROR(IFERROR(INDEX('BD(MSCI)'!$T:$T,MATCH(Tabla_Consulta_desde_Reporte_de_Valorización_de_Instrumentos[[#This Row],[CODIGO_ISIN]],'BD(MSCI)'!$C:$C,0),1),INDEX('BD(MSCI)'!$T:$T,MATCH(Tabla_Consulta_desde_Reporte_de_Valorización_de_Instrumentos[[#This Row],[CODIGO_SBS]],'BD(MSCI)'!$C:$C,0),1)),0)</f>
        <v>66.174081770000001</v>
      </c>
      <c r="AK330" s="26">
        <f>Tabla_Consulta_desde_Reporte_de_Valorización_de_Instrumentos[[#This Row],[C02-H]]*Tabla_Consulta_desde_Reporte_de_Valorización_de_Instrumentos[[#This Row],[Inv MM$]]</f>
        <v>656.03820002938846</v>
      </c>
      <c r="AL330" s="26">
        <f>Tabla_Consulta_desde_Reporte_de_Valorización_de_Instrumentos[[#This Row],[C02-H]]*Tabla_Consulta_desde_Reporte_de_Valorización_de_Instrumentos[[#This Row],[Weight]]</f>
        <v>0.6968490199592543</v>
      </c>
      <c r="AM330" s="26" t="str">
        <f>INDEX(Parametria!G:G,MATCH(Tabla_Consulta_desde_Reporte_de_Valorización_de_Instrumentos[[#This Row],[CODIGO_SBS]],Parametria!C:C,0))</f>
        <v>52RVI</v>
      </c>
      <c r="AN330" s="26" t="str">
        <f>INDEX(Parametria!F:F,MATCH(Tabla_Consulta_desde_Reporte_de_Valorización_de_Instrumentos[[#This Row],[CODIGO_SBS]],Parametria!C:C,0))</f>
        <v>TD</v>
      </c>
      <c r="AO330" s="26" t="str">
        <f>+INDEX(Parametria!J:J,MATCH(Tabla_Consulta_desde_Reporte_de_Valorización_de_Instrumentos[[#This Row],[CODIGO_SBS]],Parametria!C:C,0))</f>
        <v>RVITD</v>
      </c>
      <c r="AP330" s="26">
        <f>Tabla_Consulta_desde_Reporte_de_Valorización_de_Instrumentos[[#This Row],[Huella]]/$AU$4</f>
        <v>6.0817873614173582E-2</v>
      </c>
      <c r="AQ330" s="26" t="str">
        <f>IFERROR(INDEX('BD(MSCI)'!W:W,MATCH(Tabla_Consulta_desde_Reporte_de_Valorización_de_Instrumentos[[#This Row],[CODIGO_ISIN]],'BD(MSCI)'!C:C,0)),IF(Tabla_Consulta_desde_Reporte_de_Valorización_de_Instrumentos[[#This Row],[Rank_rt]]="Cash","Cash","Cuestionario Integra"))</f>
        <v>ETF</v>
      </c>
      <c r="AR330" s="26" t="str">
        <f>IFERROR(INDEX('BD(MSCI)'!X:X,MATCH(Tabla_Consulta_desde_Reporte_de_Valorización_de_Instrumentos[[#This Row],[CODIGO_ISIN]],'BD(MSCI)'!C:C,0)),"Cuestionario Integra")</f>
        <v>Otros ETFs</v>
      </c>
      <c r="AU330" s="26"/>
    </row>
    <row r="331" spans="2:47" hidden="1" x14ac:dyDescent="0.25">
      <c r="B331" s="14" t="s">
        <v>6390</v>
      </c>
      <c r="C331" t="s">
        <v>586</v>
      </c>
      <c r="D331" t="s">
        <v>11</v>
      </c>
      <c r="E331" t="s">
        <v>587</v>
      </c>
      <c r="F331" t="s">
        <v>6201</v>
      </c>
      <c r="G331" t="str">
        <f>INDEX(Parametria!H:H,MATCH(Tabla_Consulta_desde_Reporte_de_Valorización_de_Instrumentos[[#This Row],[CODIGO_SBS]],Parametria!C:C,0),1)</f>
        <v>Global X - Uranium Miners ETF</v>
      </c>
      <c r="H331" t="s">
        <v>6200</v>
      </c>
      <c r="I331" t="s">
        <v>156</v>
      </c>
      <c r="J331" t="s">
        <v>5968</v>
      </c>
      <c r="K331" t="s">
        <v>50</v>
      </c>
      <c r="L331">
        <v>48.36</v>
      </c>
      <c r="M331" s="5">
        <v>12652151.741699999</v>
      </c>
      <c r="N331">
        <v>3764513</v>
      </c>
      <c r="O331">
        <v>88100</v>
      </c>
      <c r="P331" s="15"/>
      <c r="R331">
        <v>3.3609</v>
      </c>
      <c r="S331" t="s">
        <v>428</v>
      </c>
      <c r="T331">
        <v>17418301.625999998</v>
      </c>
      <c r="U331" s="5">
        <v>5180010</v>
      </c>
      <c r="V331" t="s">
        <v>156</v>
      </c>
      <c r="W331">
        <v>0</v>
      </c>
      <c r="X331">
        <v>0</v>
      </c>
      <c r="Y331">
        <v>0</v>
      </c>
      <c r="Z331">
        <v>-0.08</v>
      </c>
      <c r="AA331" t="str">
        <f>+MID(Tabla_Consulta_desde_Reporte_de_Valorización_de_Instrumentos[[#This Row],[CODIGO_SBS]],7,1)</f>
        <v>2</v>
      </c>
      <c r="AB331">
        <f>INDEX('Cálculo Caja'!F:F,MATCH(Tabla_Consulta_desde_Reporte_de_Valorización_de_Instrumentos[[#This Row],[PORTAFOLIO]],'Cálculo Caja'!A:A,0),1)</f>
        <v>3164069580.822104</v>
      </c>
      <c r="AC331" s="17">
        <f>Tabla_Consulta_desde_Reporte_de_Valorización_de_Instrumentos[[#This Row],[VALOR_VECTOR_LOCAL]]/Tabla_Consulta_desde_Reporte_de_Valorización_de_Instrumentos[[#This Row],[Patrimonio]]</f>
        <v>3.9986957993549104E-3</v>
      </c>
      <c r="AD331" s="4">
        <f>(Tabla_Consulta_desde_Reporte_de_Valorización_de_Instrumentos[[#This Row],[VALOR_VECTOR_LOCAL]]/INDEX('Tipo de Cambio'!$D:$D,MATCH("2",'Tipo de Cambio'!$E:$E,0),1))/1000000</f>
        <v>3.7645129999999996</v>
      </c>
      <c r="AE331">
        <f>IF(Tabla_Consulta_desde_Reporte_de_Valorización_de_Instrumentos[[#This Row],[PORTAFOLIO]]="IN-FONDO0",Tabla_Consulta_desde_Reporte_de_Valorización_de_Instrumentos[[#This Row],[Inv MM$]],0)</f>
        <v>0</v>
      </c>
      <c r="AF331" s="26">
        <f>IF(Tabla_Consulta_desde_Reporte_de_Valorización_de_Instrumentos[[#This Row],[PORTAFOLIO]]="IN-FONDO1",Tabla_Consulta_desde_Reporte_de_Valorización_de_Instrumentos[[#This Row],[Inv MM$]],0)</f>
        <v>0</v>
      </c>
      <c r="AG331" s="26">
        <f>IF(Tabla_Consulta_desde_Reporte_de_Valorización_de_Instrumentos[[#This Row],[PORTAFOLIO]]="IN-FONDO2",Tabla_Consulta_desde_Reporte_de_Valorización_de_Instrumentos[[#This Row],[Inv MM$]],0)</f>
        <v>0</v>
      </c>
      <c r="AH331" s="26">
        <f>IF(Tabla_Consulta_desde_Reporte_de_Valorización_de_Instrumentos[[#This Row],[PORTAFOLIO]]="IN-FONDO3",Tabla_Consulta_desde_Reporte_de_Valorización_de_Instrumentos[[#This Row],[Inv MM$]],0)</f>
        <v>3.7645129999999996</v>
      </c>
      <c r="AI33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3.7645129999999996</v>
      </c>
      <c r="AJ331" s="26">
        <f>IFERROR(IFERROR(INDEX('BD(MSCI)'!$T:$T,MATCH(Tabla_Consulta_desde_Reporte_de_Valorización_de_Instrumentos[[#This Row],[CODIGO_ISIN]],'BD(MSCI)'!$C:$C,0),1),INDEX('BD(MSCI)'!$T:$T,MATCH(Tabla_Consulta_desde_Reporte_de_Valorización_de_Instrumentos[[#This Row],[CODIGO_SBS]],'BD(MSCI)'!$C:$C,0),1)),0)</f>
        <v>68.750798759999995</v>
      </c>
      <c r="AK331" s="26">
        <f>Tabla_Consulta_desde_Reporte_de_Valorización_de_Instrumentos[[#This Row],[C02-H]]*Tabla_Consulta_desde_Reporte_de_Valorización_de_Instrumentos[[#This Row],[Inv MM$]]</f>
        <v>258.81327569240381</v>
      </c>
      <c r="AL331" s="26">
        <f>Tabla_Consulta_desde_Reporte_de_Valorización_de_Instrumentos[[#This Row],[C02-H]]*Tabla_Consulta_desde_Reporte_de_Valorización_de_Instrumentos[[#This Row],[Weight]]</f>
        <v>0.27491353020390674</v>
      </c>
      <c r="AM331" s="26" t="str">
        <f>INDEX(Parametria!G:G,MATCH(Tabla_Consulta_desde_Reporte_de_Valorización_de_Instrumentos[[#This Row],[CODIGO_SBS]],Parametria!C:C,0))</f>
        <v>52RVI</v>
      </c>
      <c r="AN331" s="26" t="str">
        <f>INDEX(Parametria!F:F,MATCH(Tabla_Consulta_desde_Reporte_de_Valorización_de_Instrumentos[[#This Row],[CODIGO_SBS]],Parametria!C:C,0))</f>
        <v>TD</v>
      </c>
      <c r="AO331" s="26" t="str">
        <f>+INDEX(Parametria!J:J,MATCH(Tabla_Consulta_desde_Reporte_de_Valorización_de_Instrumentos[[#This Row],[CODIGO_SBS]],Parametria!C:C,0))</f>
        <v>RVITD</v>
      </c>
      <c r="AP331" s="26">
        <f>Tabla_Consulta_desde_Reporte_de_Valorización_de_Instrumentos[[#This Row],[Huella]]/$AU$4</f>
        <v>2.3993226446304122E-2</v>
      </c>
      <c r="AQ331" s="26" t="str">
        <f>IFERROR(INDEX('BD(MSCI)'!W:W,MATCH(Tabla_Consulta_desde_Reporte_de_Valorización_de_Instrumentos[[#This Row],[CODIGO_ISIN]],'BD(MSCI)'!C:C,0)),IF(Tabla_Consulta_desde_Reporte_de_Valorización_de_Instrumentos[[#This Row],[Rank_rt]]="Cash","Cash","Cuestionario Integra"))</f>
        <v>ETF</v>
      </c>
      <c r="AR331" s="26" t="str">
        <f>IFERROR(INDEX('BD(MSCI)'!X:X,MATCH(Tabla_Consulta_desde_Reporte_de_Valorización_de_Instrumentos[[#This Row],[CODIGO_ISIN]],'BD(MSCI)'!C:C,0)),"Cuestionario Integra")</f>
        <v>Otros ETFs</v>
      </c>
      <c r="AU331" s="26"/>
    </row>
    <row r="332" spans="2:47" hidden="1" x14ac:dyDescent="0.25">
      <c r="B332" s="14" t="s">
        <v>6390</v>
      </c>
      <c r="C332" t="s">
        <v>586</v>
      </c>
      <c r="D332" t="s">
        <v>11</v>
      </c>
      <c r="E332" t="s">
        <v>587</v>
      </c>
      <c r="F332" t="s">
        <v>6193</v>
      </c>
      <c r="G332" t="str">
        <f>INDEX(Parametria!H:H,MATCH(Tabla_Consulta_desde_Reporte_de_Valorización_de_Instrumentos[[#This Row],[CODIGO_SBS]],Parametria!C:C,0),1)</f>
        <v>Global X - Argentina ETF</v>
      </c>
      <c r="H332" t="s">
        <v>6192</v>
      </c>
      <c r="I332" t="s">
        <v>156</v>
      </c>
      <c r="J332" t="s">
        <v>5968</v>
      </c>
      <c r="K332" t="s">
        <v>50</v>
      </c>
      <c r="L332">
        <v>91.24</v>
      </c>
      <c r="M332" s="5">
        <v>6420895.2620999999</v>
      </c>
      <c r="N332">
        <v>1910469</v>
      </c>
      <c r="O332">
        <v>20900</v>
      </c>
      <c r="P332" s="15"/>
      <c r="R332">
        <v>3.3609</v>
      </c>
      <c r="S332" t="s">
        <v>428</v>
      </c>
      <c r="T332">
        <v>6427656.9764</v>
      </c>
      <c r="U332" s="5">
        <v>1911514</v>
      </c>
      <c r="V332" t="s">
        <v>156</v>
      </c>
      <c r="W332">
        <v>0</v>
      </c>
      <c r="X332">
        <v>0</v>
      </c>
      <c r="Y332">
        <v>0</v>
      </c>
      <c r="Z332">
        <v>-0.05</v>
      </c>
      <c r="AA332" t="str">
        <f>+MID(Tabla_Consulta_desde_Reporte_de_Valorización_de_Instrumentos[[#This Row],[CODIGO_SBS]],7,1)</f>
        <v>2</v>
      </c>
      <c r="AB332">
        <f>INDEX('Cálculo Caja'!F:F,MATCH(Tabla_Consulta_desde_Reporte_de_Valorización_de_Instrumentos[[#This Row],[PORTAFOLIO]],'Cálculo Caja'!A:A,0),1)</f>
        <v>3164069580.822104</v>
      </c>
      <c r="AC332" s="17">
        <f>Tabla_Consulta_desde_Reporte_de_Valorización_de_Instrumentos[[#This Row],[VALOR_VECTOR_LOCAL]]/Tabla_Consulta_desde_Reporte_de_Valorización_de_Instrumentos[[#This Row],[Patrimonio]]</f>
        <v>2.0293154426874807E-3</v>
      </c>
      <c r="AD332" s="4">
        <f>(Tabla_Consulta_desde_Reporte_de_Valorización_de_Instrumentos[[#This Row],[VALOR_VECTOR_LOCAL]]/INDEX('Tipo de Cambio'!$D:$D,MATCH("2",'Tipo de Cambio'!$E:$E,0),1))/1000000</f>
        <v>1.910469</v>
      </c>
      <c r="AE332">
        <f>IF(Tabla_Consulta_desde_Reporte_de_Valorización_de_Instrumentos[[#This Row],[PORTAFOLIO]]="IN-FONDO0",Tabla_Consulta_desde_Reporte_de_Valorización_de_Instrumentos[[#This Row],[Inv MM$]],0)</f>
        <v>0</v>
      </c>
      <c r="AF332" s="26">
        <f>IF(Tabla_Consulta_desde_Reporte_de_Valorización_de_Instrumentos[[#This Row],[PORTAFOLIO]]="IN-FONDO1",Tabla_Consulta_desde_Reporte_de_Valorización_de_Instrumentos[[#This Row],[Inv MM$]],0)</f>
        <v>0</v>
      </c>
      <c r="AG332" s="26">
        <f>IF(Tabla_Consulta_desde_Reporte_de_Valorización_de_Instrumentos[[#This Row],[PORTAFOLIO]]="IN-FONDO2",Tabla_Consulta_desde_Reporte_de_Valorización_de_Instrumentos[[#This Row],[Inv MM$]],0)</f>
        <v>0</v>
      </c>
      <c r="AH332" s="26">
        <f>IF(Tabla_Consulta_desde_Reporte_de_Valorización_de_Instrumentos[[#This Row],[PORTAFOLIO]]="IN-FONDO3",Tabla_Consulta_desde_Reporte_de_Valorización_de_Instrumentos[[#This Row],[Inv MM$]],0)</f>
        <v>1.910469</v>
      </c>
      <c r="AI33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1.910469</v>
      </c>
      <c r="AJ332" s="26">
        <f>IFERROR(IFERROR(INDEX('BD(MSCI)'!$T:$T,MATCH(Tabla_Consulta_desde_Reporte_de_Valorización_de_Instrumentos[[#This Row],[CODIGO_ISIN]],'BD(MSCI)'!$C:$C,0),1),INDEX('BD(MSCI)'!$T:$T,MATCH(Tabla_Consulta_desde_Reporte_de_Valorización_de_Instrumentos[[#This Row],[CODIGO_SBS]],'BD(MSCI)'!$C:$C,0),1)),0)</f>
        <v>207.09422203</v>
      </c>
      <c r="AK332" s="26">
        <f>Tabla_Consulta_desde_Reporte_de_Valorización_de_Instrumentos[[#This Row],[C02-H]]*Tabla_Consulta_desde_Reporte_de_Valorización_de_Instrumentos[[#This Row],[Inv MM$]]</f>
        <v>395.64709126743207</v>
      </c>
      <c r="AL332" s="26">
        <f>Tabla_Consulta_desde_Reporte_de_Valorización_de_Instrumentos[[#This Row],[C02-H]]*Tabla_Consulta_desde_Reporte_de_Valorización_de_Instrumentos[[#This Row],[Weight]]</f>
        <v>0.42025950285682884</v>
      </c>
      <c r="AM332" s="26" t="str">
        <f>INDEX(Parametria!G:G,MATCH(Tabla_Consulta_desde_Reporte_de_Valorización_de_Instrumentos[[#This Row],[CODIGO_SBS]],Parametria!C:C,0))</f>
        <v>52RVI</v>
      </c>
      <c r="AN332" s="26" t="str">
        <f>INDEX(Parametria!F:F,MATCH(Tabla_Consulta_desde_Reporte_de_Valorización_de_Instrumentos[[#This Row],[CODIGO_SBS]],Parametria!C:C,0))</f>
        <v>TD</v>
      </c>
      <c r="AO332" s="26" t="str">
        <f>+INDEX(Parametria!J:J,MATCH(Tabla_Consulta_desde_Reporte_de_Valorización_de_Instrumentos[[#This Row],[CODIGO_SBS]],Parametria!C:C,0))</f>
        <v>RVITD</v>
      </c>
      <c r="AP332" s="26">
        <f>Tabla_Consulta_desde_Reporte_de_Valorización_de_Instrumentos[[#This Row],[Huella]]/$AU$4</f>
        <v>3.6678374508435883E-2</v>
      </c>
      <c r="AQ332" s="26" t="str">
        <f>IFERROR(INDEX('BD(MSCI)'!W:W,MATCH(Tabla_Consulta_desde_Reporte_de_Valorización_de_Instrumentos[[#This Row],[CODIGO_ISIN]],'BD(MSCI)'!C:C,0)),IF(Tabla_Consulta_desde_Reporte_de_Valorización_de_Instrumentos[[#This Row],[Rank_rt]]="Cash","Cash","Cuestionario Integra"))</f>
        <v>ETF</v>
      </c>
      <c r="AR332" s="26" t="str">
        <f>IFERROR(INDEX('BD(MSCI)'!X:X,MATCH(Tabla_Consulta_desde_Reporte_de_Valorización_de_Instrumentos[[#This Row],[CODIGO_ISIN]],'BD(MSCI)'!C:C,0)),"Cuestionario Integra")</f>
        <v>Otros ETFs</v>
      </c>
      <c r="AU332" s="26"/>
    </row>
    <row r="333" spans="2:47" hidden="1" x14ac:dyDescent="0.25">
      <c r="B333" s="14" t="s">
        <v>6390</v>
      </c>
      <c r="C333" t="s">
        <v>586</v>
      </c>
      <c r="D333" t="s">
        <v>10</v>
      </c>
      <c r="E333" t="s">
        <v>587</v>
      </c>
      <c r="F333" t="s">
        <v>6198</v>
      </c>
      <c r="G333" t="str">
        <f>INDEX(Parametria!H:H,MATCH(Tabla_Consulta_desde_Reporte_de_Valorización_de_Instrumentos[[#This Row],[CODIGO_SBS]],Parametria!C:C,0),1)</f>
        <v>Global X - Silvers Miners ETF</v>
      </c>
      <c r="H333" t="s">
        <v>6197</v>
      </c>
      <c r="I333" t="s">
        <v>156</v>
      </c>
      <c r="J333" t="s">
        <v>5968</v>
      </c>
      <c r="K333" t="s">
        <v>50</v>
      </c>
      <c r="L333">
        <v>68.02</v>
      </c>
      <c r="M333" s="5">
        <v>102708996.45119999</v>
      </c>
      <c r="N333">
        <v>30559968</v>
      </c>
      <c r="O333">
        <v>365900</v>
      </c>
      <c r="P333" s="15"/>
      <c r="R333">
        <v>3.3609</v>
      </c>
      <c r="S333" t="s">
        <v>428</v>
      </c>
      <c r="T333">
        <v>105209395.32340001</v>
      </c>
      <c r="U333" s="5">
        <v>31288109</v>
      </c>
      <c r="V333" t="s">
        <v>156</v>
      </c>
      <c r="W333">
        <v>0</v>
      </c>
      <c r="X333">
        <v>0</v>
      </c>
      <c r="Y333">
        <v>0</v>
      </c>
      <c r="Z333">
        <v>-1.99</v>
      </c>
      <c r="AA333" t="str">
        <f>+MID(Tabla_Consulta_desde_Reporte_de_Valorización_de_Instrumentos[[#This Row],[CODIGO_SBS]],7,1)</f>
        <v>2</v>
      </c>
      <c r="AB333">
        <f>INDEX('Cálculo Caja'!F:F,MATCH(Tabla_Consulta_desde_Reporte_de_Valorización_de_Instrumentos[[#This Row],[PORTAFOLIO]],'Cálculo Caja'!A:A,0),1)</f>
        <v>26256910350.436607</v>
      </c>
      <c r="AC333" s="17">
        <f>Tabla_Consulta_desde_Reporte_de_Valorización_de_Instrumentos[[#This Row],[VALOR_VECTOR_LOCAL]]/Tabla_Consulta_desde_Reporte_de_Valorización_de_Instrumentos[[#This Row],[Patrimonio]]</f>
        <v>3.911693915255041E-3</v>
      </c>
      <c r="AD333" s="4">
        <f>(Tabla_Consulta_desde_Reporte_de_Valorización_de_Instrumentos[[#This Row],[VALOR_VECTOR_LOCAL]]/INDEX('Tipo de Cambio'!$D:$D,MATCH("2",'Tipo de Cambio'!$E:$E,0),1))/1000000</f>
        <v>30.559967999999998</v>
      </c>
      <c r="AE333">
        <f>IF(Tabla_Consulta_desde_Reporte_de_Valorización_de_Instrumentos[[#This Row],[PORTAFOLIO]]="IN-FONDO0",Tabla_Consulta_desde_Reporte_de_Valorización_de_Instrumentos[[#This Row],[Inv MM$]],0)</f>
        <v>0</v>
      </c>
      <c r="AF333" s="26">
        <f>IF(Tabla_Consulta_desde_Reporte_de_Valorización_de_Instrumentos[[#This Row],[PORTAFOLIO]]="IN-FONDO1",Tabla_Consulta_desde_Reporte_de_Valorización_de_Instrumentos[[#This Row],[Inv MM$]],0)</f>
        <v>0</v>
      </c>
      <c r="AG333" s="26">
        <f>IF(Tabla_Consulta_desde_Reporte_de_Valorización_de_Instrumentos[[#This Row],[PORTAFOLIO]]="IN-FONDO2",Tabla_Consulta_desde_Reporte_de_Valorización_de_Instrumentos[[#This Row],[Inv MM$]],0)</f>
        <v>30.559967999999998</v>
      </c>
      <c r="AH333" s="26">
        <f>IF(Tabla_Consulta_desde_Reporte_de_Valorización_de_Instrumentos[[#This Row],[PORTAFOLIO]]="IN-FONDO3",Tabla_Consulta_desde_Reporte_de_Valorización_de_Instrumentos[[#This Row],[Inv MM$]],0)</f>
        <v>0</v>
      </c>
      <c r="AI33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45.76896</v>
      </c>
      <c r="AJ333" s="26">
        <f>IFERROR(IFERROR(INDEX('BD(MSCI)'!$T:$T,MATCH(Tabla_Consulta_desde_Reporte_de_Valorización_de_Instrumentos[[#This Row],[CODIGO_ISIN]],'BD(MSCI)'!$C:$C,0),1),INDEX('BD(MSCI)'!$T:$T,MATCH(Tabla_Consulta_desde_Reporte_de_Valorización_de_Instrumentos[[#This Row],[CODIGO_SBS]],'BD(MSCI)'!$C:$C,0),1)),0)</f>
        <v>66.174081770000001</v>
      </c>
      <c r="AK333" s="26">
        <f>Tabla_Consulta_desde_Reporte_de_Valorización_de_Instrumentos[[#This Row],[C02-H]]*Tabla_Consulta_desde_Reporte_de_Valorización_de_Instrumentos[[#This Row],[Inv MM$]]</f>
        <v>2022.2778213205831</v>
      </c>
      <c r="AL333" s="26">
        <f>Tabla_Consulta_desde_Reporte_de_Valorización_de_Instrumentos[[#This Row],[C02-H]]*Tabla_Consulta_desde_Reporte_de_Valorización_de_Instrumentos[[#This Row],[Weight]]</f>
        <v>0.25885275300729854</v>
      </c>
      <c r="AM333" s="26" t="str">
        <f>INDEX(Parametria!G:G,MATCH(Tabla_Consulta_desde_Reporte_de_Valorización_de_Instrumentos[[#This Row],[CODIGO_SBS]],Parametria!C:C,0))</f>
        <v>52RVI</v>
      </c>
      <c r="AN333" s="26" t="str">
        <f>INDEX(Parametria!F:F,MATCH(Tabla_Consulta_desde_Reporte_de_Valorización_de_Instrumentos[[#This Row],[CODIGO_SBS]],Parametria!C:C,0))</f>
        <v>TD</v>
      </c>
      <c r="AO333" s="26" t="str">
        <f>+INDEX(Parametria!J:J,MATCH(Tabla_Consulta_desde_Reporte_de_Valorización_de_Instrumentos[[#This Row],[CODIGO_SBS]],Parametria!C:C,0))</f>
        <v>RVITD</v>
      </c>
      <c r="AP333" s="26">
        <f>Tabla_Consulta_desde_Reporte_de_Valorización_de_Instrumentos[[#This Row],[Huella]]/$AU$4</f>
        <v>0.1874748100709866</v>
      </c>
      <c r="AQ333" s="26" t="str">
        <f>IFERROR(INDEX('BD(MSCI)'!W:W,MATCH(Tabla_Consulta_desde_Reporte_de_Valorización_de_Instrumentos[[#This Row],[CODIGO_ISIN]],'BD(MSCI)'!C:C,0)),IF(Tabla_Consulta_desde_Reporte_de_Valorización_de_Instrumentos[[#This Row],[Rank_rt]]="Cash","Cash","Cuestionario Integra"))</f>
        <v>ETF</v>
      </c>
      <c r="AR333" s="26" t="str">
        <f>IFERROR(INDEX('BD(MSCI)'!X:X,MATCH(Tabla_Consulta_desde_Reporte_de_Valorización_de_Instrumentos[[#This Row],[CODIGO_ISIN]],'BD(MSCI)'!C:C,0)),"Cuestionario Integra")</f>
        <v>Otros ETFs</v>
      </c>
      <c r="AU333" s="26"/>
    </row>
    <row r="334" spans="2:47" hidden="1" x14ac:dyDescent="0.25">
      <c r="B334" s="14" t="s">
        <v>6390</v>
      </c>
      <c r="C334" t="s">
        <v>586</v>
      </c>
      <c r="D334" t="s">
        <v>10</v>
      </c>
      <c r="E334" t="s">
        <v>587</v>
      </c>
      <c r="F334" t="s">
        <v>1477</v>
      </c>
      <c r="G334" t="str">
        <f>INDEX(Parametria!H:H,MATCH(Tabla_Consulta_desde_Reporte_de_Valorización_de_Instrumentos[[#This Row],[CODIGO_SBS]],Parametria!C:C,0),1)</f>
        <v>Global X - Copper Miners ETF</v>
      </c>
      <c r="H334" t="s">
        <v>1476</v>
      </c>
      <c r="I334" t="s">
        <v>156</v>
      </c>
      <c r="J334" t="s">
        <v>5968</v>
      </c>
      <c r="K334" t="s">
        <v>50</v>
      </c>
      <c r="L334">
        <v>1</v>
      </c>
      <c r="M334" s="5">
        <v>398134496.05110002</v>
      </c>
      <c r="N334">
        <v>118460679</v>
      </c>
      <c r="O334">
        <v>1650100</v>
      </c>
      <c r="P334" s="15"/>
      <c r="R334">
        <v>3.3609</v>
      </c>
      <c r="S334" t="s">
        <v>428</v>
      </c>
      <c r="T334">
        <v>402275403.85000002</v>
      </c>
      <c r="U334" s="5">
        <v>119632250</v>
      </c>
      <c r="V334" t="s">
        <v>156</v>
      </c>
      <c r="W334">
        <v>0</v>
      </c>
      <c r="X334">
        <v>0</v>
      </c>
      <c r="Y334">
        <v>0</v>
      </c>
      <c r="Z334">
        <v>-0.71</v>
      </c>
      <c r="AA334" t="str">
        <f>+MID(Tabla_Consulta_desde_Reporte_de_Valorización_de_Instrumentos[[#This Row],[CODIGO_SBS]],7,1)</f>
        <v>2</v>
      </c>
      <c r="AB334">
        <f>INDEX('Cálculo Caja'!F:F,MATCH(Tabla_Consulta_desde_Reporte_de_Valorización_de_Instrumentos[[#This Row],[PORTAFOLIO]],'Cálculo Caja'!A:A,0),1)</f>
        <v>26256910350.436607</v>
      </c>
      <c r="AC334" s="17">
        <f>Tabla_Consulta_desde_Reporte_de_Valorización_de_Instrumentos[[#This Row],[VALOR_VECTOR_LOCAL]]/Tabla_Consulta_desde_Reporte_de_Valorización_de_Instrumentos[[#This Row],[Patrimonio]]</f>
        <v>1.516303672966152E-2</v>
      </c>
      <c r="AD334" s="4">
        <f>(Tabla_Consulta_desde_Reporte_de_Valorización_de_Instrumentos[[#This Row],[VALOR_VECTOR_LOCAL]]/INDEX('Tipo de Cambio'!$D:$D,MATCH("2",'Tipo de Cambio'!$E:$E,0),1))/1000000</f>
        <v>118.460679</v>
      </c>
      <c r="AE334">
        <f>IF(Tabla_Consulta_desde_Reporte_de_Valorización_de_Instrumentos[[#This Row],[PORTAFOLIO]]="IN-FONDO0",Tabla_Consulta_desde_Reporte_de_Valorización_de_Instrumentos[[#This Row],[Inv MM$]],0)</f>
        <v>0</v>
      </c>
      <c r="AF334" s="26">
        <f>IF(Tabla_Consulta_desde_Reporte_de_Valorización_de_Instrumentos[[#This Row],[PORTAFOLIO]]="IN-FONDO1",Tabla_Consulta_desde_Reporte_de_Valorización_de_Instrumentos[[#This Row],[Inv MM$]],0)</f>
        <v>0</v>
      </c>
      <c r="AG334" s="26">
        <f>IF(Tabla_Consulta_desde_Reporte_de_Valorización_de_Instrumentos[[#This Row],[PORTAFOLIO]]="IN-FONDO2",Tabla_Consulta_desde_Reporte_de_Valorización_de_Instrumentos[[#This Row],[Inv MM$]],0)</f>
        <v>118.460679</v>
      </c>
      <c r="AH334" s="26">
        <f>IF(Tabla_Consulta_desde_Reporte_de_Valorización_de_Instrumentos[[#This Row],[PORTAFOLIO]]="IN-FONDO3",Tabla_Consulta_desde_Reporte_de_Valorización_de_Instrumentos[[#This Row],[Inv MM$]],0)</f>
        <v>0</v>
      </c>
      <c r="AI33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154.33414200000001</v>
      </c>
      <c r="AJ334" s="26">
        <f>IFERROR(IFERROR(INDEX('BD(MSCI)'!$T:$T,MATCH(Tabla_Consulta_desde_Reporte_de_Valorización_de_Instrumentos[[#This Row],[CODIGO_ISIN]],'BD(MSCI)'!$C:$C,0),1),INDEX('BD(MSCI)'!$T:$T,MATCH(Tabla_Consulta_desde_Reporte_de_Valorización_de_Instrumentos[[#This Row],[CODIGO_SBS]],'BD(MSCI)'!$C:$C,0),1)),0)</f>
        <v>120.63185874</v>
      </c>
      <c r="AK334" s="26">
        <f>Tabla_Consulta_desde_Reporte_de_Valorización_de_Instrumentos[[#This Row],[C02-H]]*Tabla_Consulta_desde_Reporte_de_Valorización_de_Instrumentos[[#This Row],[Inv MM$]]</f>
        <v>14290.131895372484</v>
      </c>
      <c r="AL334" s="26">
        <f>Tabla_Consulta_desde_Reporte_de_Valorización_de_Instrumentos[[#This Row],[C02-H]]*Tabla_Consulta_desde_Reporte_de_Valorización_de_Instrumentos[[#This Row],[Weight]]</f>
        <v>1.8291453048419599</v>
      </c>
      <c r="AM334" s="26" t="str">
        <f>INDEX(Parametria!G:G,MATCH(Tabla_Consulta_desde_Reporte_de_Valorización_de_Instrumentos[[#This Row],[CODIGO_SBS]],Parametria!C:C,0))</f>
        <v>52RVI</v>
      </c>
      <c r="AN334" s="26" t="str">
        <f>INDEX(Parametria!F:F,MATCH(Tabla_Consulta_desde_Reporte_de_Valorización_de_Instrumentos[[#This Row],[CODIGO_SBS]],Parametria!C:C,0))</f>
        <v>TD</v>
      </c>
      <c r="AO334" s="26" t="str">
        <f>+INDEX(Parametria!J:J,MATCH(Tabla_Consulta_desde_Reporte_de_Valorización_de_Instrumentos[[#This Row],[CODIGO_SBS]],Parametria!C:C,0))</f>
        <v>RVITD</v>
      </c>
      <c r="AP334" s="26">
        <f>Tabla_Consulta_desde_Reporte_de_Valorización_de_Instrumentos[[#This Row],[Huella]]/$AU$4</f>
        <v>1.3247634596639368</v>
      </c>
      <c r="AQ334" s="26" t="str">
        <f>IFERROR(INDEX('BD(MSCI)'!W:W,MATCH(Tabla_Consulta_desde_Reporte_de_Valorización_de_Instrumentos[[#This Row],[CODIGO_ISIN]],'BD(MSCI)'!C:C,0)),IF(Tabla_Consulta_desde_Reporte_de_Valorización_de_Instrumentos[[#This Row],[Rank_rt]]="Cash","Cash","Cuestionario Integra"))</f>
        <v>ETF</v>
      </c>
      <c r="AR334" s="26" t="str">
        <f>IFERROR(INDEX('BD(MSCI)'!X:X,MATCH(Tabla_Consulta_desde_Reporte_de_Valorización_de_Instrumentos[[#This Row],[CODIGO_ISIN]],'BD(MSCI)'!C:C,0)),"Cuestionario Integra")</f>
        <v>Otros ETFs</v>
      </c>
      <c r="AU334" s="26"/>
    </row>
    <row r="335" spans="2:47" hidden="1" x14ac:dyDescent="0.25">
      <c r="B335" s="14" t="s">
        <v>6390</v>
      </c>
      <c r="C335" t="s">
        <v>586</v>
      </c>
      <c r="D335" t="s">
        <v>12</v>
      </c>
      <c r="E335" t="s">
        <v>587</v>
      </c>
      <c r="F335" t="s">
        <v>6198</v>
      </c>
      <c r="G335" t="str">
        <f>INDEX(Parametria!H:H,MATCH(Tabla_Consulta_desde_Reporte_de_Valorización_de_Instrumentos[[#This Row],[CODIGO_SBS]],Parametria!C:C,0),1)</f>
        <v>Global X - Silvers Miners ETF</v>
      </c>
      <c r="H335" t="s">
        <v>6197</v>
      </c>
      <c r="I335" t="s">
        <v>156</v>
      </c>
      <c r="J335" t="s">
        <v>5968</v>
      </c>
      <c r="K335" t="s">
        <v>50</v>
      </c>
      <c r="L335">
        <v>68.02</v>
      </c>
      <c r="M335" s="5">
        <v>17796530.131200001</v>
      </c>
      <c r="N335">
        <v>5295168</v>
      </c>
      <c r="O335">
        <v>63400</v>
      </c>
      <c r="P335" s="15"/>
      <c r="R335">
        <v>3.3609</v>
      </c>
      <c r="S335" t="s">
        <v>428</v>
      </c>
      <c r="T335">
        <v>18229777.7084</v>
      </c>
      <c r="U335" s="5">
        <v>5421334</v>
      </c>
      <c r="V335" t="s">
        <v>156</v>
      </c>
      <c r="W335">
        <v>0</v>
      </c>
      <c r="X335">
        <v>0</v>
      </c>
      <c r="Y335">
        <v>0</v>
      </c>
      <c r="Z335">
        <v>-1.99</v>
      </c>
      <c r="AA335" t="str">
        <f>+MID(Tabla_Consulta_desde_Reporte_de_Valorización_de_Instrumentos[[#This Row],[CODIGO_SBS]],7,1)</f>
        <v>2</v>
      </c>
      <c r="AB335">
        <f>INDEX('Cálculo Caja'!F:F,MATCH(Tabla_Consulta_desde_Reporte_de_Valorización_de_Instrumentos[[#This Row],[PORTAFOLIO]],'Cálculo Caja'!A:A,0),1)</f>
        <v>7679510866.0565634</v>
      </c>
      <c r="AC335" s="17">
        <f>Tabla_Consulta_desde_Reporte_de_Valorización_de_Instrumentos[[#This Row],[VALOR_VECTOR_LOCAL]]/Tabla_Consulta_desde_Reporte_de_Valorización_de_Instrumentos[[#This Row],[Patrimonio]]</f>
        <v>2.3174041213823477E-3</v>
      </c>
      <c r="AD335" s="4">
        <f>(Tabla_Consulta_desde_Reporte_de_Valorización_de_Instrumentos[[#This Row],[VALOR_VECTOR_LOCAL]]/INDEX('Tipo de Cambio'!$D:$D,MATCH("2",'Tipo de Cambio'!$E:$E,0),1))/1000000</f>
        <v>5.2951680000000003</v>
      </c>
      <c r="AE335">
        <f>IF(Tabla_Consulta_desde_Reporte_de_Valorización_de_Instrumentos[[#This Row],[PORTAFOLIO]]="IN-FONDO0",Tabla_Consulta_desde_Reporte_de_Valorización_de_Instrumentos[[#This Row],[Inv MM$]],0)</f>
        <v>0</v>
      </c>
      <c r="AF335" s="26">
        <f>IF(Tabla_Consulta_desde_Reporte_de_Valorización_de_Instrumentos[[#This Row],[PORTAFOLIO]]="IN-FONDO1",Tabla_Consulta_desde_Reporte_de_Valorización_de_Instrumentos[[#This Row],[Inv MM$]],0)</f>
        <v>5.2951680000000003</v>
      </c>
      <c r="AG335" s="26">
        <f>IF(Tabla_Consulta_desde_Reporte_de_Valorización_de_Instrumentos[[#This Row],[PORTAFOLIO]]="IN-FONDO2",Tabla_Consulta_desde_Reporte_de_Valorización_de_Instrumentos[[#This Row],[Inv MM$]],0)</f>
        <v>0</v>
      </c>
      <c r="AH335" s="26">
        <f>IF(Tabla_Consulta_desde_Reporte_de_Valorización_de_Instrumentos[[#This Row],[PORTAFOLIO]]="IN-FONDO3",Tabla_Consulta_desde_Reporte_de_Valorización_de_Instrumentos[[#This Row],[Inv MM$]],0)</f>
        <v>0</v>
      </c>
      <c r="AI33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45.76896</v>
      </c>
      <c r="AJ335" s="26">
        <f>IFERROR(IFERROR(INDEX('BD(MSCI)'!$T:$T,MATCH(Tabla_Consulta_desde_Reporte_de_Valorización_de_Instrumentos[[#This Row],[CODIGO_ISIN]],'BD(MSCI)'!$C:$C,0),1),INDEX('BD(MSCI)'!$T:$T,MATCH(Tabla_Consulta_desde_Reporte_de_Valorización_de_Instrumentos[[#This Row],[CODIGO_SBS]],'BD(MSCI)'!$C:$C,0),1)),0)</f>
        <v>66.174081770000001</v>
      </c>
      <c r="AK335" s="26">
        <f>Tabla_Consulta_desde_Reporte_de_Valorización_de_Instrumentos[[#This Row],[C02-H]]*Tabla_Consulta_desde_Reporte_de_Valorización_de_Instrumentos[[#This Row],[Inv MM$]]</f>
        <v>350.4028802178874</v>
      </c>
      <c r="AL335" s="26">
        <f>Tabla_Consulta_desde_Reporte_de_Valorización_de_Instrumentos[[#This Row],[C02-H]]*Tabla_Consulta_desde_Reporte_de_Valorización_de_Instrumentos[[#This Row],[Weight]]</f>
        <v>0.15335208982249049</v>
      </c>
      <c r="AM335" s="26" t="str">
        <f>INDEX(Parametria!G:G,MATCH(Tabla_Consulta_desde_Reporte_de_Valorización_de_Instrumentos[[#This Row],[CODIGO_SBS]],Parametria!C:C,0))</f>
        <v>52RVI</v>
      </c>
      <c r="AN335" s="26" t="str">
        <f>INDEX(Parametria!F:F,MATCH(Tabla_Consulta_desde_Reporte_de_Valorización_de_Instrumentos[[#This Row],[CODIGO_SBS]],Parametria!C:C,0))</f>
        <v>TD</v>
      </c>
      <c r="AO335" s="26" t="str">
        <f>+INDEX(Parametria!J:J,MATCH(Tabla_Consulta_desde_Reporte_de_Valorización_de_Instrumentos[[#This Row],[CODIGO_SBS]],Parametria!C:C,0))</f>
        <v>RVITD</v>
      </c>
      <c r="AP335" s="26">
        <f>Tabla_Consulta_desde_Reporte_de_Valorización_de_Instrumentos[[#This Row],[Huella]]/$AU$4</f>
        <v>3.2484020110687496E-2</v>
      </c>
      <c r="AQ335" s="26" t="str">
        <f>IFERROR(INDEX('BD(MSCI)'!W:W,MATCH(Tabla_Consulta_desde_Reporte_de_Valorización_de_Instrumentos[[#This Row],[CODIGO_ISIN]],'BD(MSCI)'!C:C,0)),IF(Tabla_Consulta_desde_Reporte_de_Valorización_de_Instrumentos[[#This Row],[Rank_rt]]="Cash","Cash","Cuestionario Integra"))</f>
        <v>ETF</v>
      </c>
      <c r="AR335" s="26" t="str">
        <f>IFERROR(INDEX('BD(MSCI)'!X:X,MATCH(Tabla_Consulta_desde_Reporte_de_Valorización_de_Instrumentos[[#This Row],[CODIGO_ISIN]],'BD(MSCI)'!C:C,0)),"Cuestionario Integra")</f>
        <v>Otros ETFs</v>
      </c>
      <c r="AU335" s="26"/>
    </row>
    <row r="336" spans="2:47" hidden="1" x14ac:dyDescent="0.25">
      <c r="B336" s="14" t="s">
        <v>6390</v>
      </c>
      <c r="C336" t="s">
        <v>586</v>
      </c>
      <c r="D336" t="s">
        <v>12</v>
      </c>
      <c r="E336" t="s">
        <v>587</v>
      </c>
      <c r="F336" t="s">
        <v>1477</v>
      </c>
      <c r="G336" t="str">
        <f>INDEX(Parametria!H:H,MATCH(Tabla_Consulta_desde_Reporte_de_Valorización_de_Instrumentos[[#This Row],[CODIGO_SBS]],Parametria!C:C,0),1)</f>
        <v>Global X - Copper Miners ETF</v>
      </c>
      <c r="H336" t="s">
        <v>1476</v>
      </c>
      <c r="I336" t="s">
        <v>156</v>
      </c>
      <c r="J336" t="s">
        <v>5968</v>
      </c>
      <c r="K336" t="s">
        <v>50</v>
      </c>
      <c r="L336">
        <v>1</v>
      </c>
      <c r="M336" s="5">
        <v>58341264.859800003</v>
      </c>
      <c r="N336">
        <v>17358822</v>
      </c>
      <c r="O336">
        <v>241800</v>
      </c>
      <c r="P336" s="15"/>
      <c r="R336">
        <v>3.3609</v>
      </c>
      <c r="S336" t="s">
        <v>428</v>
      </c>
      <c r="T336">
        <v>58948059.299999997</v>
      </c>
      <c r="U336" s="5">
        <v>17530500</v>
      </c>
      <c r="V336" t="s">
        <v>156</v>
      </c>
      <c r="W336">
        <v>0</v>
      </c>
      <c r="X336">
        <v>0</v>
      </c>
      <c r="Y336">
        <v>0</v>
      </c>
      <c r="Z336">
        <v>-0.71</v>
      </c>
      <c r="AA336" t="str">
        <f>+MID(Tabla_Consulta_desde_Reporte_de_Valorización_de_Instrumentos[[#This Row],[CODIGO_SBS]],7,1)</f>
        <v>2</v>
      </c>
      <c r="AB336">
        <f>INDEX('Cálculo Caja'!F:F,MATCH(Tabla_Consulta_desde_Reporte_de_Valorización_de_Instrumentos[[#This Row],[PORTAFOLIO]],'Cálculo Caja'!A:A,0),1)</f>
        <v>7679510866.0565634</v>
      </c>
      <c r="AC336" s="17">
        <f>Tabla_Consulta_desde_Reporte_de_Valorización_de_Instrumentos[[#This Row],[VALOR_VECTOR_LOCAL]]/Tabla_Consulta_desde_Reporte_de_Valorización_de_Instrumentos[[#This Row],[Patrimonio]]</f>
        <v>7.5970027098559599E-3</v>
      </c>
      <c r="AD336" s="4">
        <f>(Tabla_Consulta_desde_Reporte_de_Valorización_de_Instrumentos[[#This Row],[VALOR_VECTOR_LOCAL]]/INDEX('Tipo de Cambio'!$D:$D,MATCH("2",'Tipo de Cambio'!$E:$E,0),1))/1000000</f>
        <v>17.358822</v>
      </c>
      <c r="AE336">
        <f>IF(Tabla_Consulta_desde_Reporte_de_Valorización_de_Instrumentos[[#This Row],[PORTAFOLIO]]="IN-FONDO0",Tabla_Consulta_desde_Reporte_de_Valorización_de_Instrumentos[[#This Row],[Inv MM$]],0)</f>
        <v>0</v>
      </c>
      <c r="AF336" s="26">
        <f>IF(Tabla_Consulta_desde_Reporte_de_Valorización_de_Instrumentos[[#This Row],[PORTAFOLIO]]="IN-FONDO1",Tabla_Consulta_desde_Reporte_de_Valorización_de_Instrumentos[[#This Row],[Inv MM$]],0)</f>
        <v>17.358822</v>
      </c>
      <c r="AG336" s="26">
        <f>IF(Tabla_Consulta_desde_Reporte_de_Valorización_de_Instrumentos[[#This Row],[PORTAFOLIO]]="IN-FONDO2",Tabla_Consulta_desde_Reporte_de_Valorización_de_Instrumentos[[#This Row],[Inv MM$]],0)</f>
        <v>0</v>
      </c>
      <c r="AH336" s="26">
        <f>IF(Tabla_Consulta_desde_Reporte_de_Valorización_de_Instrumentos[[#This Row],[PORTAFOLIO]]="IN-FONDO3",Tabla_Consulta_desde_Reporte_de_Valorización_de_Instrumentos[[#This Row],[Inv MM$]],0)</f>
        <v>0</v>
      </c>
      <c r="AI33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154.33414200000001</v>
      </c>
      <c r="AJ336" s="26">
        <f>IFERROR(IFERROR(INDEX('BD(MSCI)'!$T:$T,MATCH(Tabla_Consulta_desde_Reporte_de_Valorización_de_Instrumentos[[#This Row],[CODIGO_ISIN]],'BD(MSCI)'!$C:$C,0),1),INDEX('BD(MSCI)'!$T:$T,MATCH(Tabla_Consulta_desde_Reporte_de_Valorización_de_Instrumentos[[#This Row],[CODIGO_SBS]],'BD(MSCI)'!$C:$C,0),1)),0)</f>
        <v>120.63185874</v>
      </c>
      <c r="AK336" s="26">
        <f>Tabla_Consulta_desde_Reporte_de_Valorización_de_Instrumentos[[#This Row],[C02-H]]*Tabla_Consulta_desde_Reporte_de_Valorización_de_Instrumentos[[#This Row],[Inv MM$]]</f>
        <v>2094.0269633968041</v>
      </c>
      <c r="AL336" s="26">
        <f>Tabla_Consulta_desde_Reporte_de_Valorización_de_Instrumentos[[#This Row],[C02-H]]*Tabla_Consulta_desde_Reporte_de_Valorización_de_Instrumentos[[#This Row],[Weight]]</f>
        <v>0.91644055774274136</v>
      </c>
      <c r="AM336" s="26" t="str">
        <f>INDEX(Parametria!G:G,MATCH(Tabla_Consulta_desde_Reporte_de_Valorización_de_Instrumentos[[#This Row],[CODIGO_SBS]],Parametria!C:C,0))</f>
        <v>52RVI</v>
      </c>
      <c r="AN336" s="26" t="str">
        <f>INDEX(Parametria!F:F,MATCH(Tabla_Consulta_desde_Reporte_de_Valorización_de_Instrumentos[[#This Row],[CODIGO_SBS]],Parametria!C:C,0))</f>
        <v>TD</v>
      </c>
      <c r="AO336" s="26" t="str">
        <f>+INDEX(Parametria!J:J,MATCH(Tabla_Consulta_desde_Reporte_de_Valorización_de_Instrumentos[[#This Row],[CODIGO_SBS]],Parametria!C:C,0))</f>
        <v>RVITD</v>
      </c>
      <c r="AP336" s="26">
        <f>Tabla_Consulta_desde_Reporte_de_Valorización_de_Instrumentos[[#This Row],[Huella]]/$AU$4</f>
        <v>0.19412629813147075</v>
      </c>
      <c r="AQ336" s="26" t="str">
        <f>IFERROR(INDEX('BD(MSCI)'!W:W,MATCH(Tabla_Consulta_desde_Reporte_de_Valorización_de_Instrumentos[[#This Row],[CODIGO_ISIN]],'BD(MSCI)'!C:C,0)),IF(Tabla_Consulta_desde_Reporte_de_Valorización_de_Instrumentos[[#This Row],[Rank_rt]]="Cash","Cash","Cuestionario Integra"))</f>
        <v>ETF</v>
      </c>
      <c r="AR336" s="26" t="str">
        <f>IFERROR(INDEX('BD(MSCI)'!X:X,MATCH(Tabla_Consulta_desde_Reporte_de_Valorización_de_Instrumentos[[#This Row],[CODIGO_ISIN]],'BD(MSCI)'!C:C,0)),"Cuestionario Integra")</f>
        <v>Otros ETFs</v>
      </c>
      <c r="AU336" s="26"/>
    </row>
    <row r="337" spans="2:47" hidden="1" x14ac:dyDescent="0.25">
      <c r="B337" s="14" t="s">
        <v>6390</v>
      </c>
      <c r="C337" t="s">
        <v>586</v>
      </c>
      <c r="D337" t="s">
        <v>10</v>
      </c>
      <c r="E337" t="s">
        <v>587</v>
      </c>
      <c r="F337" t="s">
        <v>5385</v>
      </c>
      <c r="G337" t="str">
        <f>INDEX(Parametria!H:H,MATCH(Tabla_Consulta_desde_Reporte_de_Valorización_de_Instrumentos[[#This Row],[CODIGO_SBS]],Parametria!C:C,0),1)</f>
        <v>Baillie Gifford &amp; Co Ltd - Overseas Growth Funds ICVC - Pacific Fund</v>
      </c>
      <c r="H337" t="s">
        <v>1680</v>
      </c>
      <c r="I337" t="s">
        <v>156</v>
      </c>
      <c r="J337" t="s">
        <v>5563</v>
      </c>
      <c r="K337" t="s">
        <v>60</v>
      </c>
      <c r="L337">
        <v>1226</v>
      </c>
      <c r="M337" s="5">
        <v>65516638.324499004</v>
      </c>
      <c r="N337">
        <v>14487052.70964</v>
      </c>
      <c r="O337">
        <v>915742.902</v>
      </c>
      <c r="P337" s="15"/>
      <c r="R337">
        <v>4.5224270000000004</v>
      </c>
      <c r="S337" t="s">
        <v>428</v>
      </c>
      <c r="T337">
        <v>65203199.532632403</v>
      </c>
      <c r="U337" s="5">
        <v>14395478.419439999</v>
      </c>
      <c r="V337" t="s">
        <v>156</v>
      </c>
      <c r="W337">
        <v>0</v>
      </c>
      <c r="X337">
        <v>0</v>
      </c>
      <c r="Y337">
        <v>0</v>
      </c>
      <c r="Z337">
        <v>0.1</v>
      </c>
      <c r="AA337" t="str">
        <f>+MID(Tabla_Consulta_desde_Reporte_de_Valorización_de_Instrumentos[[#This Row],[CODIGO_SBS]],7,1)</f>
        <v>6</v>
      </c>
      <c r="AB337">
        <f>INDEX('Cálculo Caja'!F:F,MATCH(Tabla_Consulta_desde_Reporte_de_Valorización_de_Instrumentos[[#This Row],[PORTAFOLIO]],'Cálculo Caja'!A:A,0),1)</f>
        <v>26256910350.436607</v>
      </c>
      <c r="AC337" s="17">
        <f>Tabla_Consulta_desde_Reporte_de_Valorización_de_Instrumentos[[#This Row],[VALOR_VECTOR_LOCAL]]/Tabla_Consulta_desde_Reporte_de_Valorización_de_Instrumentos[[#This Row],[Patrimonio]]</f>
        <v>2.4952150671988557E-3</v>
      </c>
      <c r="AD337" s="4">
        <f>(Tabla_Consulta_desde_Reporte_de_Valorización_de_Instrumentos[[#This Row],[VALOR_VECTOR_LOCAL]]/INDEX('Tipo de Cambio'!$D:$D,MATCH("2",'Tipo de Cambio'!$E:$E,0),1))/1000000</f>
        <v>19.493777953672826</v>
      </c>
      <c r="AE337">
        <f>IF(Tabla_Consulta_desde_Reporte_de_Valorización_de_Instrumentos[[#This Row],[PORTAFOLIO]]="IN-FONDO0",Tabla_Consulta_desde_Reporte_de_Valorización_de_Instrumentos[[#This Row],[Inv MM$]],0)</f>
        <v>0</v>
      </c>
      <c r="AF337" s="26">
        <f>IF(Tabla_Consulta_desde_Reporte_de_Valorización_de_Instrumentos[[#This Row],[PORTAFOLIO]]="IN-FONDO1",Tabla_Consulta_desde_Reporte_de_Valorización_de_Instrumentos[[#This Row],[Inv MM$]],0)</f>
        <v>0</v>
      </c>
      <c r="AG337" s="26">
        <f>IF(Tabla_Consulta_desde_Reporte_de_Valorización_de_Instrumentos[[#This Row],[PORTAFOLIO]]="IN-FONDO2",Tabla_Consulta_desde_Reporte_de_Valorización_de_Instrumentos[[#This Row],[Inv MM$]],0)</f>
        <v>19.493777953672826</v>
      </c>
      <c r="AH337" s="26">
        <f>IF(Tabla_Consulta_desde_Reporte_de_Valorización_de_Instrumentos[[#This Row],[PORTAFOLIO]]="IN-FONDO3",Tabla_Consulta_desde_Reporte_de_Valorización_de_Instrumentos[[#This Row],[Inv MM$]],0)</f>
        <v>0</v>
      </c>
      <c r="AI33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23.364725624382249</v>
      </c>
      <c r="AJ337" s="26">
        <f>IFERROR(IFERROR(INDEX('BD(MSCI)'!$T:$T,MATCH(Tabla_Consulta_desde_Reporte_de_Valorización_de_Instrumentos[[#This Row],[CODIGO_ISIN]],'BD(MSCI)'!$C:$C,0),1),INDEX('BD(MSCI)'!$T:$T,MATCH(Tabla_Consulta_desde_Reporte_de_Valorización_de_Instrumentos[[#This Row],[CODIGO_SBS]],'BD(MSCI)'!$C:$C,0),1)),0)</f>
        <v>26.159180240000001</v>
      </c>
      <c r="AK337" s="26">
        <f>Tabla_Consulta_desde_Reporte_de_Valorización_de_Instrumentos[[#This Row],[C02-H]]*Tabla_Consulta_desde_Reporte_de_Valorización_de_Instrumentos[[#This Row],[Inv MM$]]</f>
        <v>509.94125104866583</v>
      </c>
      <c r="AL337" s="26">
        <f>Tabla_Consulta_desde_Reporte_de_Valorización_de_Instrumentos[[#This Row],[C02-H]]*Tabla_Consulta_desde_Reporte_de_Valorización_de_Instrumentos[[#This Row],[Weight]]</f>
        <v>6.5272780680418585E-2</v>
      </c>
      <c r="AM337" s="26" t="str">
        <f>INDEX(Parametria!G:G,MATCH(Tabla_Consulta_desde_Reporte_de_Valorización_de_Instrumentos[[#This Row],[CODIGO_SBS]],Parametria!C:C,0))</f>
        <v>52RVI</v>
      </c>
      <c r="AN337" s="26" t="str">
        <f>INDEX(Parametria!F:F,MATCH(Tabla_Consulta_desde_Reporte_de_Valorización_de_Instrumentos[[#This Row],[CODIGO_SBS]],Parametria!C:C,0))</f>
        <v>TD</v>
      </c>
      <c r="AO337" s="26" t="str">
        <f>+INDEX(Parametria!J:J,MATCH(Tabla_Consulta_desde_Reporte_de_Valorización_de_Instrumentos[[#This Row],[CODIGO_SBS]],Parametria!C:C,0))</f>
        <v>RVITD</v>
      </c>
      <c r="AP337" s="26">
        <f>Tabla_Consulta_desde_Reporte_de_Valorización_de_Instrumentos[[#This Row],[Huella]]/$AU$4</f>
        <v>4.7273988855438612E-2</v>
      </c>
      <c r="AQ337" s="26" t="str">
        <f>IFERROR(INDEX('BD(MSCI)'!W:W,MATCH(Tabla_Consulta_desde_Reporte_de_Valorización_de_Instrumentos[[#This Row],[CODIGO_ISIN]],'BD(MSCI)'!C:C,0)),IF(Tabla_Consulta_desde_Reporte_de_Valorización_de_Instrumentos[[#This Row],[Rank_rt]]="Cash","Cash","Cuestionario Integra"))</f>
        <v>ETF</v>
      </c>
      <c r="AR337" s="26" t="str">
        <f>IFERROR(INDEX('BD(MSCI)'!X:X,MATCH(Tabla_Consulta_desde_Reporte_de_Valorización_de_Instrumentos[[#This Row],[CODIGO_ISIN]],'BD(MSCI)'!C:C,0)),"Cuestionario Integra")</f>
        <v>Otros ETFs</v>
      </c>
      <c r="AU337" s="26"/>
    </row>
    <row r="338" spans="2:47" hidden="1" x14ac:dyDescent="0.25">
      <c r="B338" s="14" t="s">
        <v>6390</v>
      </c>
      <c r="C338" t="s">
        <v>586</v>
      </c>
      <c r="D338" t="s">
        <v>11</v>
      </c>
      <c r="E338" t="s">
        <v>587</v>
      </c>
      <c r="F338" t="s">
        <v>5385</v>
      </c>
      <c r="G338" t="str">
        <f>INDEX(Parametria!H:H,MATCH(Tabla_Consulta_desde_Reporte_de_Valorización_de_Instrumentos[[#This Row],[CODIGO_SBS]],Parametria!C:C,0),1)</f>
        <v>Baillie Gifford &amp; Co Ltd - Overseas Growth Funds ICVC - Pacific Fund</v>
      </c>
      <c r="H338" t="s">
        <v>1680</v>
      </c>
      <c r="I338" t="s">
        <v>156</v>
      </c>
      <c r="J338" t="s">
        <v>5563</v>
      </c>
      <c r="K338" t="s">
        <v>60</v>
      </c>
      <c r="L338">
        <v>1226</v>
      </c>
      <c r="M338" s="5">
        <v>13009868.0264873</v>
      </c>
      <c r="N338">
        <v>2876744.7272199998</v>
      </c>
      <c r="O338">
        <v>181842.27100000001</v>
      </c>
      <c r="P338" s="15"/>
      <c r="R338">
        <v>4.5224270000000004</v>
      </c>
      <c r="S338" t="s">
        <v>428</v>
      </c>
      <c r="T338">
        <v>12947627.3892866</v>
      </c>
      <c r="U338" s="5">
        <v>2858560.50012</v>
      </c>
      <c r="V338" t="s">
        <v>156</v>
      </c>
      <c r="W338">
        <v>0</v>
      </c>
      <c r="X338">
        <v>0</v>
      </c>
      <c r="Y338">
        <v>0</v>
      </c>
      <c r="Z338">
        <v>0.1</v>
      </c>
      <c r="AA338" t="str">
        <f>+MID(Tabla_Consulta_desde_Reporte_de_Valorización_de_Instrumentos[[#This Row],[CODIGO_SBS]],7,1)</f>
        <v>6</v>
      </c>
      <c r="AB338">
        <f>INDEX('Cálculo Caja'!F:F,MATCH(Tabla_Consulta_desde_Reporte_de_Valorización_de_Instrumentos[[#This Row],[PORTAFOLIO]],'Cálculo Caja'!A:A,0),1)</f>
        <v>3164069580.822104</v>
      </c>
      <c r="AC338" s="17">
        <f>Tabla_Consulta_desde_Reporte_de_Valorización_de_Instrumentos[[#This Row],[VALOR_VECTOR_LOCAL]]/Tabla_Consulta_desde_Reporte_de_Valorización_de_Instrumentos[[#This Row],[Patrimonio]]</f>
        <v>4.1117515573431268E-3</v>
      </c>
      <c r="AD338" s="4">
        <f>(Tabla_Consulta_desde_Reporte_de_Valorización_de_Instrumentos[[#This Row],[VALOR_VECTOR_LOCAL]]/INDEX('Tipo de Cambio'!$D:$D,MATCH("2",'Tipo de Cambio'!$E:$E,0),1))/1000000</f>
        <v>3.8709476707094232</v>
      </c>
      <c r="AE338">
        <f>IF(Tabla_Consulta_desde_Reporte_de_Valorización_de_Instrumentos[[#This Row],[PORTAFOLIO]]="IN-FONDO0",Tabla_Consulta_desde_Reporte_de_Valorización_de_Instrumentos[[#This Row],[Inv MM$]],0)</f>
        <v>0</v>
      </c>
      <c r="AF338" s="26">
        <f>IF(Tabla_Consulta_desde_Reporte_de_Valorización_de_Instrumentos[[#This Row],[PORTAFOLIO]]="IN-FONDO1",Tabla_Consulta_desde_Reporte_de_Valorización_de_Instrumentos[[#This Row],[Inv MM$]],0)</f>
        <v>0</v>
      </c>
      <c r="AG338" s="26">
        <f>IF(Tabla_Consulta_desde_Reporte_de_Valorización_de_Instrumentos[[#This Row],[PORTAFOLIO]]="IN-FONDO2",Tabla_Consulta_desde_Reporte_de_Valorización_de_Instrumentos[[#This Row],[Inv MM$]],0)</f>
        <v>0</v>
      </c>
      <c r="AH338" s="26">
        <f>IF(Tabla_Consulta_desde_Reporte_de_Valorización_de_Instrumentos[[#This Row],[PORTAFOLIO]]="IN-FONDO3",Tabla_Consulta_desde_Reporte_de_Valorización_de_Instrumentos[[#This Row],[Inv MM$]],0)</f>
        <v>3.8709476707094232</v>
      </c>
      <c r="AI33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23.364725624382249</v>
      </c>
      <c r="AJ338" s="26">
        <f>IFERROR(IFERROR(INDEX('BD(MSCI)'!$T:$T,MATCH(Tabla_Consulta_desde_Reporte_de_Valorización_de_Instrumentos[[#This Row],[CODIGO_ISIN]],'BD(MSCI)'!$C:$C,0),1),INDEX('BD(MSCI)'!$T:$T,MATCH(Tabla_Consulta_desde_Reporte_de_Valorización_de_Instrumentos[[#This Row],[CODIGO_SBS]],'BD(MSCI)'!$C:$C,0),1)),0)</f>
        <v>26.159180240000001</v>
      </c>
      <c r="AK338" s="26">
        <f>Tabla_Consulta_desde_Reporte_de_Valorización_de_Instrumentos[[#This Row],[C02-H]]*Tabla_Consulta_desde_Reporte_de_Valorización_de_Instrumentos[[#This Row],[Inv MM$]]</f>
        <v>101.26081781769598</v>
      </c>
      <c r="AL338" s="26">
        <f>Tabla_Consulta_desde_Reporte_de_Valorización_de_Instrumentos[[#This Row],[C02-H]]*Tabla_Consulta_desde_Reporte_de_Valorización_de_Instrumentos[[#This Row],[Weight]]</f>
        <v>0.10756005009063956</v>
      </c>
      <c r="AM338" s="26" t="str">
        <f>INDEX(Parametria!G:G,MATCH(Tabla_Consulta_desde_Reporte_de_Valorización_de_Instrumentos[[#This Row],[CODIGO_SBS]],Parametria!C:C,0))</f>
        <v>52RVI</v>
      </c>
      <c r="AN338" s="26" t="str">
        <f>INDEX(Parametria!F:F,MATCH(Tabla_Consulta_desde_Reporte_de_Valorización_de_Instrumentos[[#This Row],[CODIGO_SBS]],Parametria!C:C,0))</f>
        <v>TD</v>
      </c>
      <c r="AO338" s="26" t="str">
        <f>+INDEX(Parametria!J:J,MATCH(Tabla_Consulta_desde_Reporte_de_Valorización_de_Instrumentos[[#This Row],[CODIGO_SBS]],Parametria!C:C,0))</f>
        <v>RVITD</v>
      </c>
      <c r="AP338" s="26">
        <f>Tabla_Consulta_desde_Reporte_de_Valorización_de_Instrumentos[[#This Row],[Huella]]/$AU$4</f>
        <v>9.387361314979234E-3</v>
      </c>
      <c r="AQ338" s="26" t="str">
        <f>IFERROR(INDEX('BD(MSCI)'!W:W,MATCH(Tabla_Consulta_desde_Reporte_de_Valorización_de_Instrumentos[[#This Row],[CODIGO_ISIN]],'BD(MSCI)'!C:C,0)),IF(Tabla_Consulta_desde_Reporte_de_Valorización_de_Instrumentos[[#This Row],[Rank_rt]]="Cash","Cash","Cuestionario Integra"))</f>
        <v>ETF</v>
      </c>
      <c r="AR338" s="26" t="str">
        <f>IFERROR(INDEX('BD(MSCI)'!X:X,MATCH(Tabla_Consulta_desde_Reporte_de_Valorización_de_Instrumentos[[#This Row],[CODIGO_ISIN]],'BD(MSCI)'!C:C,0)),"Cuestionario Integra")</f>
        <v>Otros ETFs</v>
      </c>
      <c r="AU338" s="26"/>
    </row>
    <row r="339" spans="2:47" hidden="1" x14ac:dyDescent="0.25">
      <c r="B339" s="14" t="s">
        <v>6390</v>
      </c>
      <c r="C339" t="s">
        <v>586</v>
      </c>
      <c r="D339" t="s">
        <v>11</v>
      </c>
      <c r="E339" t="s">
        <v>587</v>
      </c>
      <c r="F339" t="s">
        <v>5000</v>
      </c>
      <c r="G339" t="str">
        <f>INDEX(Parametria!H:H,MATCH(Tabla_Consulta_desde_Reporte_de_Valorización_de_Instrumentos[[#This Row],[CODIGO_SBS]],Parametria!C:C,0),1)</f>
        <v>Joh Berenberg - European Focus Fund</v>
      </c>
      <c r="H339" t="s">
        <v>2596</v>
      </c>
      <c r="I339" t="s">
        <v>156</v>
      </c>
      <c r="J339" t="s">
        <v>4986</v>
      </c>
      <c r="K339" t="s">
        <v>57</v>
      </c>
      <c r="L339">
        <v>1</v>
      </c>
      <c r="M339" s="5">
        <v>880.6277126</v>
      </c>
      <c r="N339">
        <v>223.16786999999999</v>
      </c>
      <c r="O339">
        <v>1.1870000000000001</v>
      </c>
      <c r="P339" s="15"/>
      <c r="R339">
        <v>3.9460326999999999</v>
      </c>
      <c r="S339" t="s">
        <v>428</v>
      </c>
      <c r="T339">
        <v>882.04868929999998</v>
      </c>
      <c r="U339" s="5">
        <v>223.16786999999999</v>
      </c>
      <c r="V339" t="s">
        <v>156</v>
      </c>
      <c r="W339">
        <v>0</v>
      </c>
      <c r="X339">
        <v>0</v>
      </c>
      <c r="Y339">
        <v>0</v>
      </c>
      <c r="Z339">
        <v>0</v>
      </c>
      <c r="AA339" t="str">
        <f>+MID(Tabla_Consulta_desde_Reporte_de_Valorización_de_Instrumentos[[#This Row],[CODIGO_SBS]],7,1)</f>
        <v>4</v>
      </c>
      <c r="AB339">
        <f>INDEX('Cálculo Caja'!F:F,MATCH(Tabla_Consulta_desde_Reporte_de_Valorización_de_Instrumentos[[#This Row],[PORTAFOLIO]],'Cálculo Caja'!A:A,0),1)</f>
        <v>3164069580.822104</v>
      </c>
      <c r="AC339" s="17">
        <f>Tabla_Consulta_desde_Reporte_de_Valorización_de_Instrumentos[[#This Row],[VALOR_VECTOR_LOCAL]]/Tabla_Consulta_desde_Reporte_de_Valorización_de_Instrumentos[[#This Row],[Patrimonio]]</f>
        <v>2.7832122211774844E-7</v>
      </c>
      <c r="AD339" s="4">
        <f>(Tabla_Consulta_desde_Reporte_de_Valorización_de_Instrumentos[[#This Row],[VALOR_VECTOR_LOCAL]]/INDEX('Tipo de Cambio'!$D:$D,MATCH("2",'Tipo de Cambio'!$E:$E,0),1))/1000000</f>
        <v>2.6202139682823052E-4</v>
      </c>
      <c r="AE339">
        <f>IF(Tabla_Consulta_desde_Reporte_de_Valorización_de_Instrumentos[[#This Row],[PORTAFOLIO]]="IN-FONDO0",Tabla_Consulta_desde_Reporte_de_Valorización_de_Instrumentos[[#This Row],[Inv MM$]],0)</f>
        <v>0</v>
      </c>
      <c r="AF339" s="26">
        <f>IF(Tabla_Consulta_desde_Reporte_de_Valorización_de_Instrumentos[[#This Row],[PORTAFOLIO]]="IN-FONDO1",Tabla_Consulta_desde_Reporte_de_Valorización_de_Instrumentos[[#This Row],[Inv MM$]],0)</f>
        <v>0</v>
      </c>
      <c r="AG339" s="26">
        <f>IF(Tabla_Consulta_desde_Reporte_de_Valorización_de_Instrumentos[[#This Row],[PORTAFOLIO]]="IN-FONDO2",Tabla_Consulta_desde_Reporte_de_Valorización_de_Instrumentos[[#This Row],[Inv MM$]],0)</f>
        <v>0</v>
      </c>
      <c r="AH339" s="26">
        <f>IF(Tabla_Consulta_desde_Reporte_de_Valorización_de_Instrumentos[[#This Row],[PORTAFOLIO]]="IN-FONDO3",Tabla_Consulta_desde_Reporte_de_Valorización_de_Instrumentos[[#This Row],[Inv MM$]],0)</f>
        <v>2.6202139682823052E-4</v>
      </c>
      <c r="AI33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5.5450526439346606E-4</v>
      </c>
      <c r="AJ339" s="26">
        <f>IFERROR(IFERROR(INDEX('BD(MSCI)'!$T:$T,MATCH(Tabla_Consulta_desde_Reporte_de_Valorización_de_Instrumentos[[#This Row],[CODIGO_ISIN]],'BD(MSCI)'!$C:$C,0),1),INDEX('BD(MSCI)'!$T:$T,MATCH(Tabla_Consulta_desde_Reporte_de_Valorización_de_Instrumentos[[#This Row],[CODIGO_SBS]],'BD(MSCI)'!$C:$C,0),1)),0)</f>
        <v>35.551672289999999</v>
      </c>
      <c r="AK339" s="26">
        <f>Tabla_Consulta_desde_Reporte_de_Valorización_de_Instrumentos[[#This Row],[C02-H]]*Tabla_Consulta_desde_Reporte_de_Valorización_de_Instrumentos[[#This Row],[Inv MM$]]</f>
        <v>9.3152988330052963E-3</v>
      </c>
      <c r="AL339" s="26">
        <f>Tabla_Consulta_desde_Reporte_de_Valorización_de_Instrumentos[[#This Row],[C02-H]]*Tabla_Consulta_desde_Reporte_de_Valorización_de_Instrumentos[[#This Row],[Weight]]</f>
        <v>9.8947848800824924E-6</v>
      </c>
      <c r="AM339" s="26" t="str">
        <f>INDEX(Parametria!G:G,MATCH(Tabla_Consulta_desde_Reporte_de_Valorización_de_Instrumentos[[#This Row],[CODIGO_SBS]],Parametria!C:C,0))</f>
        <v>52RVI</v>
      </c>
      <c r="AN339" s="26" t="str">
        <f>INDEX(Parametria!F:F,MATCH(Tabla_Consulta_desde_Reporte_de_Valorización_de_Instrumentos[[#This Row],[CODIGO_SBS]],Parametria!C:C,0))</f>
        <v>TD</v>
      </c>
      <c r="AO339" s="26" t="str">
        <f>+INDEX(Parametria!J:J,MATCH(Tabla_Consulta_desde_Reporte_de_Valorización_de_Instrumentos[[#This Row],[CODIGO_SBS]],Parametria!C:C,0))</f>
        <v>RVITD</v>
      </c>
      <c r="AP339" s="26">
        <f>Tabla_Consulta_desde_Reporte_de_Valorización_de_Instrumentos[[#This Row],[Huella]]/$AU$4</f>
        <v>8.6357268079602015E-7</v>
      </c>
      <c r="AQ339" s="26" t="str">
        <f>IFERROR(INDEX('BD(MSCI)'!W:W,MATCH(Tabla_Consulta_desde_Reporte_de_Valorización_de_Instrumentos[[#This Row],[CODIGO_ISIN]],'BD(MSCI)'!C:C,0)),IF(Tabla_Consulta_desde_Reporte_de_Valorización_de_Instrumentos[[#This Row],[Rank_rt]]="Cash","Cash","Cuestionario Integra"))</f>
        <v>ETF</v>
      </c>
      <c r="AR339" s="26" t="str">
        <f>IFERROR(INDEX('BD(MSCI)'!X:X,MATCH(Tabla_Consulta_desde_Reporte_de_Valorización_de_Instrumentos[[#This Row],[CODIGO_ISIN]],'BD(MSCI)'!C:C,0)),"Cuestionario Integra")</f>
        <v>Otros ETFs</v>
      </c>
      <c r="AU339" s="26"/>
    </row>
    <row r="340" spans="2:47" hidden="1" x14ac:dyDescent="0.25">
      <c r="B340" s="14" t="s">
        <v>6390</v>
      </c>
      <c r="C340" t="s">
        <v>586</v>
      </c>
      <c r="D340" t="s">
        <v>10</v>
      </c>
      <c r="E340" t="s">
        <v>587</v>
      </c>
      <c r="F340" t="s">
        <v>5000</v>
      </c>
      <c r="G340" t="str">
        <f>INDEX(Parametria!H:H,MATCH(Tabla_Consulta_desde_Reporte_de_Valorización_de_Instrumentos[[#This Row],[CODIGO_SBS]],Parametria!C:C,0),1)</f>
        <v>Joh Berenberg - European Focus Fund</v>
      </c>
      <c r="H340" t="s">
        <v>2596</v>
      </c>
      <c r="I340" t="s">
        <v>156</v>
      </c>
      <c r="J340" t="s">
        <v>4986</v>
      </c>
      <c r="K340" t="s">
        <v>57</v>
      </c>
      <c r="L340">
        <v>1</v>
      </c>
      <c r="M340" s="5">
        <v>983.00903049999999</v>
      </c>
      <c r="N340">
        <v>249.11324999999999</v>
      </c>
      <c r="O340">
        <v>1.325</v>
      </c>
      <c r="P340" s="15"/>
      <c r="R340">
        <v>3.9460326999999999</v>
      </c>
      <c r="S340" t="s">
        <v>428</v>
      </c>
      <c r="T340">
        <v>984.59520929999996</v>
      </c>
      <c r="U340" s="5">
        <v>249.11324999999999</v>
      </c>
      <c r="V340" t="s">
        <v>156</v>
      </c>
      <c r="W340">
        <v>0</v>
      </c>
      <c r="X340">
        <v>0</v>
      </c>
      <c r="Y340">
        <v>0</v>
      </c>
      <c r="Z340">
        <v>0</v>
      </c>
      <c r="AA340" t="str">
        <f>+MID(Tabla_Consulta_desde_Reporte_de_Valorización_de_Instrumentos[[#This Row],[CODIGO_SBS]],7,1)</f>
        <v>4</v>
      </c>
      <c r="AB340">
        <f>INDEX('Cálculo Caja'!F:F,MATCH(Tabla_Consulta_desde_Reporte_de_Valorización_de_Instrumentos[[#This Row],[PORTAFOLIO]],'Cálculo Caja'!A:A,0),1)</f>
        <v>26256910350.436607</v>
      </c>
      <c r="AC340" s="17">
        <f>Tabla_Consulta_desde_Reporte_de_Valorización_de_Instrumentos[[#This Row],[VALOR_VECTOR_LOCAL]]/Tabla_Consulta_desde_Reporte_de_Valorización_de_Instrumentos[[#This Row],[Patrimonio]]</f>
        <v>3.7438107430779806E-8</v>
      </c>
      <c r="AD340" s="4">
        <f>(Tabla_Consulta_desde_Reporte_de_Valorización_de_Instrumentos[[#This Row],[VALOR_VECTOR_LOCAL]]/INDEX('Tipo de Cambio'!$D:$D,MATCH("2",'Tipo de Cambio'!$E:$E,0),1))/1000000</f>
        <v>2.9248386756523554E-4</v>
      </c>
      <c r="AE340">
        <f>IF(Tabla_Consulta_desde_Reporte_de_Valorización_de_Instrumentos[[#This Row],[PORTAFOLIO]]="IN-FONDO0",Tabla_Consulta_desde_Reporte_de_Valorización_de_Instrumentos[[#This Row],[Inv MM$]],0)</f>
        <v>0</v>
      </c>
      <c r="AF340" s="26">
        <f>IF(Tabla_Consulta_desde_Reporte_de_Valorización_de_Instrumentos[[#This Row],[PORTAFOLIO]]="IN-FONDO1",Tabla_Consulta_desde_Reporte_de_Valorización_de_Instrumentos[[#This Row],[Inv MM$]],0)</f>
        <v>0</v>
      </c>
      <c r="AG340" s="26">
        <f>IF(Tabla_Consulta_desde_Reporte_de_Valorización_de_Instrumentos[[#This Row],[PORTAFOLIO]]="IN-FONDO2",Tabla_Consulta_desde_Reporte_de_Valorización_de_Instrumentos[[#This Row],[Inv MM$]],0)</f>
        <v>2.9248386756523554E-4</v>
      </c>
      <c r="AH340" s="26">
        <f>IF(Tabla_Consulta_desde_Reporte_de_Valorización_de_Instrumentos[[#This Row],[PORTAFOLIO]]="IN-FONDO3",Tabla_Consulta_desde_Reporte_de_Valorización_de_Instrumentos[[#This Row],[Inv MM$]],0)</f>
        <v>0</v>
      </c>
      <c r="AI34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5.5450526439346606E-4</v>
      </c>
      <c r="AJ340" s="26">
        <f>IFERROR(IFERROR(INDEX('BD(MSCI)'!$T:$T,MATCH(Tabla_Consulta_desde_Reporte_de_Valorización_de_Instrumentos[[#This Row],[CODIGO_ISIN]],'BD(MSCI)'!$C:$C,0),1),INDEX('BD(MSCI)'!$T:$T,MATCH(Tabla_Consulta_desde_Reporte_de_Valorización_de_Instrumentos[[#This Row],[CODIGO_SBS]],'BD(MSCI)'!$C:$C,0),1)),0)</f>
        <v>35.551672289999999</v>
      </c>
      <c r="AK340" s="26">
        <f>Tabla_Consulta_desde_Reporte_de_Valorización_de_Instrumentos[[#This Row],[C02-H]]*Tabla_Consulta_desde_Reporte_de_Valorización_de_Instrumentos[[#This Row],[Inv MM$]]</f>
        <v>1.0398290609791014E-2</v>
      </c>
      <c r="AL340" s="26">
        <f>Tabla_Consulta_desde_Reporte_de_Valorización_de_Instrumentos[[#This Row],[C02-H]]*Tabla_Consulta_desde_Reporte_de_Valorización_de_Instrumentos[[#This Row],[Weight]]</f>
        <v>1.3309873265368976E-6</v>
      </c>
      <c r="AM340" s="26" t="str">
        <f>INDEX(Parametria!G:G,MATCH(Tabla_Consulta_desde_Reporte_de_Valorización_de_Instrumentos[[#This Row],[CODIGO_SBS]],Parametria!C:C,0))</f>
        <v>52RVI</v>
      </c>
      <c r="AN340" s="26" t="str">
        <f>INDEX(Parametria!F:F,MATCH(Tabla_Consulta_desde_Reporte_de_Valorización_de_Instrumentos[[#This Row],[CODIGO_SBS]],Parametria!C:C,0))</f>
        <v>TD</v>
      </c>
      <c r="AO340" s="26" t="str">
        <f>+INDEX(Parametria!J:J,MATCH(Tabla_Consulta_desde_Reporte_de_Valorización_de_Instrumentos[[#This Row],[CODIGO_SBS]],Parametria!C:C,0))</f>
        <v>RVITD</v>
      </c>
      <c r="AP340" s="26">
        <f>Tabla_Consulta_desde_Reporte_de_Valorización_de_Instrumentos[[#This Row],[Huella]]/$AU$4</f>
        <v>9.6397118960662381E-7</v>
      </c>
      <c r="AQ340" s="26" t="str">
        <f>IFERROR(INDEX('BD(MSCI)'!W:W,MATCH(Tabla_Consulta_desde_Reporte_de_Valorización_de_Instrumentos[[#This Row],[CODIGO_ISIN]],'BD(MSCI)'!C:C,0)),IF(Tabla_Consulta_desde_Reporte_de_Valorización_de_Instrumentos[[#This Row],[Rank_rt]]="Cash","Cash","Cuestionario Integra"))</f>
        <v>ETF</v>
      </c>
      <c r="AR340" s="26" t="str">
        <f>IFERROR(INDEX('BD(MSCI)'!X:X,MATCH(Tabla_Consulta_desde_Reporte_de_Valorización_de_Instrumentos[[#This Row],[CODIGO_ISIN]],'BD(MSCI)'!C:C,0)),"Cuestionario Integra")</f>
        <v>Otros ETFs</v>
      </c>
      <c r="AU340" s="26"/>
    </row>
    <row r="341" spans="2:47" hidden="1" x14ac:dyDescent="0.25">
      <c r="B341" s="14" t="s">
        <v>6390</v>
      </c>
      <c r="C341" t="s">
        <v>586</v>
      </c>
      <c r="D341" t="s">
        <v>11</v>
      </c>
      <c r="E341" t="s">
        <v>587</v>
      </c>
      <c r="F341" t="s">
        <v>683</v>
      </c>
      <c r="G341" t="str">
        <f>INDEX(Parametria!H:H,MATCH(Tabla_Consulta_desde_Reporte_de_Valorización_de_Instrumentos[[#This Row],[CODIGO_SBS]],Parametria!C:C,0),1)</f>
        <v>SKYY US - First Trust Cloud Computing ETF</v>
      </c>
      <c r="H341" t="s">
        <v>684</v>
      </c>
      <c r="I341" t="s">
        <v>156</v>
      </c>
      <c r="J341" t="s">
        <v>5969</v>
      </c>
      <c r="K341" t="s">
        <v>50</v>
      </c>
      <c r="L341">
        <v>71.540000000000006</v>
      </c>
      <c r="M341" s="5">
        <v>34187935.190399997</v>
      </c>
      <c r="N341">
        <v>10172256</v>
      </c>
      <c r="O341">
        <v>78200</v>
      </c>
      <c r="P341" s="15"/>
      <c r="R341">
        <v>3.3609</v>
      </c>
      <c r="S341" t="s">
        <v>428</v>
      </c>
      <c r="T341">
        <v>34541810.835199997</v>
      </c>
      <c r="U341" s="5">
        <v>10272352</v>
      </c>
      <c r="V341" t="s">
        <v>156</v>
      </c>
      <c r="W341">
        <v>0</v>
      </c>
      <c r="X341">
        <v>0</v>
      </c>
      <c r="Y341">
        <v>0</v>
      </c>
      <c r="Z341">
        <v>-1.28</v>
      </c>
      <c r="AA341" t="str">
        <f>+MID(Tabla_Consulta_desde_Reporte_de_Valorización_de_Instrumentos[[#This Row],[CODIGO_SBS]],7,1)</f>
        <v>2</v>
      </c>
      <c r="AB341">
        <f>INDEX('Cálculo Caja'!F:F,MATCH(Tabla_Consulta_desde_Reporte_de_Valorización_de_Instrumentos[[#This Row],[PORTAFOLIO]],'Cálculo Caja'!A:A,0),1)</f>
        <v>3164069580.822104</v>
      </c>
      <c r="AC341" s="17">
        <f>Tabla_Consulta_desde_Reporte_de_Valorización_de_Instrumentos[[#This Row],[VALOR_VECTOR_LOCAL]]/Tabla_Consulta_desde_Reporte_de_Valorización_de_Instrumentos[[#This Row],[Patrimonio]]</f>
        <v>1.0805051632751111E-2</v>
      </c>
      <c r="AD341" s="4">
        <f>(Tabla_Consulta_desde_Reporte_de_Valorización_de_Instrumentos[[#This Row],[VALOR_VECTOR_LOCAL]]/INDEX('Tipo de Cambio'!$D:$D,MATCH("2",'Tipo de Cambio'!$E:$E,0),1))/1000000</f>
        <v>10.172256000000001</v>
      </c>
      <c r="AE341">
        <f>IF(Tabla_Consulta_desde_Reporte_de_Valorización_de_Instrumentos[[#This Row],[PORTAFOLIO]]="IN-FONDO0",Tabla_Consulta_desde_Reporte_de_Valorización_de_Instrumentos[[#This Row],[Inv MM$]],0)</f>
        <v>0</v>
      </c>
      <c r="AF341" s="26">
        <f>IF(Tabla_Consulta_desde_Reporte_de_Valorización_de_Instrumentos[[#This Row],[PORTAFOLIO]]="IN-FONDO1",Tabla_Consulta_desde_Reporte_de_Valorización_de_Instrumentos[[#This Row],[Inv MM$]],0)</f>
        <v>0</v>
      </c>
      <c r="AG341" s="26">
        <f>IF(Tabla_Consulta_desde_Reporte_de_Valorización_de_Instrumentos[[#This Row],[PORTAFOLIO]]="IN-FONDO2",Tabla_Consulta_desde_Reporte_de_Valorización_de_Instrumentos[[#This Row],[Inv MM$]],0)</f>
        <v>0</v>
      </c>
      <c r="AH341" s="26">
        <f>IF(Tabla_Consulta_desde_Reporte_de_Valorización_de_Instrumentos[[#This Row],[PORTAFOLIO]]="IN-FONDO3",Tabla_Consulta_desde_Reporte_de_Valorización_de_Instrumentos[[#This Row],[Inv MM$]],0)</f>
        <v>10.172256000000001</v>
      </c>
      <c r="AI34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13.502304000000001</v>
      </c>
      <c r="AJ341" s="26">
        <f>IFERROR(IFERROR(INDEX('BD(MSCI)'!$T:$T,MATCH(Tabla_Consulta_desde_Reporte_de_Valorización_de_Instrumentos[[#This Row],[CODIGO_ISIN]],'BD(MSCI)'!$C:$C,0),1),INDEX('BD(MSCI)'!$T:$T,MATCH(Tabla_Consulta_desde_Reporte_de_Valorización_de_Instrumentos[[#This Row],[CODIGO_SBS]],'BD(MSCI)'!$C:$C,0),1)),0)</f>
        <v>4.1286529300000003</v>
      </c>
      <c r="AK341" s="26">
        <f>Tabla_Consulta_desde_Reporte_de_Valorización_de_Instrumentos[[#This Row],[C02-H]]*Tabla_Consulta_desde_Reporte_de_Valorización_de_Instrumentos[[#This Row],[Inv MM$]]</f>
        <v>41.997714539110085</v>
      </c>
      <c r="AL341" s="26">
        <f>Tabla_Consulta_desde_Reporte_de_Valorización_de_Instrumentos[[#This Row],[C02-H]]*Tabla_Consulta_desde_Reporte_de_Valorización_de_Instrumentos[[#This Row],[Weight]]</f>
        <v>4.4610308082359162E-2</v>
      </c>
      <c r="AM341" s="26" t="str">
        <f>INDEX(Parametria!G:G,MATCH(Tabla_Consulta_desde_Reporte_de_Valorización_de_Instrumentos[[#This Row],[CODIGO_SBS]],Parametria!C:C,0))</f>
        <v>52RVI</v>
      </c>
      <c r="AN341" s="26" t="str">
        <f>INDEX(Parametria!F:F,MATCH(Tabla_Consulta_desde_Reporte_de_Valorización_de_Instrumentos[[#This Row],[CODIGO_SBS]],Parametria!C:C,0))</f>
        <v>TD</v>
      </c>
      <c r="AO341" s="26" t="str">
        <f>+INDEX(Parametria!J:J,MATCH(Tabla_Consulta_desde_Reporte_de_Valorización_de_Instrumentos[[#This Row],[CODIGO_SBS]],Parametria!C:C,0))</f>
        <v>RVITD</v>
      </c>
      <c r="AP341" s="26">
        <f>Tabla_Consulta_desde_Reporte_de_Valorización_de_Instrumentos[[#This Row],[Huella]]/$AU$4</f>
        <v>3.8933886697593472E-3</v>
      </c>
      <c r="AQ341" s="26" t="str">
        <f>IFERROR(INDEX('BD(MSCI)'!W:W,MATCH(Tabla_Consulta_desde_Reporte_de_Valorización_de_Instrumentos[[#This Row],[CODIGO_ISIN]],'BD(MSCI)'!C:C,0)),IF(Tabla_Consulta_desde_Reporte_de_Valorización_de_Instrumentos[[#This Row],[Rank_rt]]="Cash","Cash","Cuestionario Integra"))</f>
        <v>ETF</v>
      </c>
      <c r="AR341" s="26" t="str">
        <f>IFERROR(INDEX('BD(MSCI)'!X:X,MATCH(Tabla_Consulta_desde_Reporte_de_Valorización_de_Instrumentos[[#This Row],[CODIGO_ISIN]],'BD(MSCI)'!C:C,0)),"Cuestionario Integra")</f>
        <v>Otros ETFs</v>
      </c>
      <c r="AU341" s="26"/>
    </row>
    <row r="342" spans="2:47" hidden="1" x14ac:dyDescent="0.25">
      <c r="B342" s="14" t="s">
        <v>6390</v>
      </c>
      <c r="C342" t="s">
        <v>586</v>
      </c>
      <c r="D342" t="s">
        <v>12</v>
      </c>
      <c r="E342" t="s">
        <v>587</v>
      </c>
      <c r="F342" t="s">
        <v>683</v>
      </c>
      <c r="G342" t="str">
        <f>INDEX(Parametria!H:H,MATCH(Tabla_Consulta_desde_Reporte_de_Valorización_de_Instrumentos[[#This Row],[CODIGO_SBS]],Parametria!C:C,0),1)</f>
        <v>SKYY US - First Trust Cloud Computing ETF</v>
      </c>
      <c r="H342" t="s">
        <v>684</v>
      </c>
      <c r="I342" t="s">
        <v>156</v>
      </c>
      <c r="J342" t="s">
        <v>5969</v>
      </c>
      <c r="K342" t="s">
        <v>50</v>
      </c>
      <c r="L342">
        <v>71.540000000000006</v>
      </c>
      <c r="M342" s="5">
        <v>11191958.3232</v>
      </c>
      <c r="N342">
        <v>3330048</v>
      </c>
      <c r="O342">
        <v>25600</v>
      </c>
      <c r="P342" s="15"/>
      <c r="R342">
        <v>3.3609</v>
      </c>
      <c r="S342" t="s">
        <v>428</v>
      </c>
      <c r="T342">
        <v>11307805.081599999</v>
      </c>
      <c r="U342" s="5">
        <v>3362816</v>
      </c>
      <c r="V342" t="s">
        <v>156</v>
      </c>
      <c r="W342">
        <v>0</v>
      </c>
      <c r="X342">
        <v>0</v>
      </c>
      <c r="Y342">
        <v>0</v>
      </c>
      <c r="Z342">
        <v>-1.28</v>
      </c>
      <c r="AA342" t="str">
        <f>+MID(Tabla_Consulta_desde_Reporte_de_Valorización_de_Instrumentos[[#This Row],[CODIGO_SBS]],7,1)</f>
        <v>2</v>
      </c>
      <c r="AB342">
        <f>INDEX('Cálculo Caja'!F:F,MATCH(Tabla_Consulta_desde_Reporte_de_Valorización_de_Instrumentos[[#This Row],[PORTAFOLIO]],'Cálculo Caja'!A:A,0),1)</f>
        <v>7679510866.0565634</v>
      </c>
      <c r="AC342" s="17">
        <f>Tabla_Consulta_desde_Reporte_de_Valorización_de_Instrumentos[[#This Row],[VALOR_VECTOR_LOCAL]]/Tabla_Consulta_desde_Reporte_de_Valorización_de_Instrumentos[[#This Row],[Patrimonio]]</f>
        <v>1.4573790594747972E-3</v>
      </c>
      <c r="AD342" s="4">
        <f>(Tabla_Consulta_desde_Reporte_de_Valorización_de_Instrumentos[[#This Row],[VALOR_VECTOR_LOCAL]]/INDEX('Tipo de Cambio'!$D:$D,MATCH("2",'Tipo de Cambio'!$E:$E,0),1))/1000000</f>
        <v>3.3300480000000001</v>
      </c>
      <c r="AE342">
        <f>IF(Tabla_Consulta_desde_Reporte_de_Valorización_de_Instrumentos[[#This Row],[PORTAFOLIO]]="IN-FONDO0",Tabla_Consulta_desde_Reporte_de_Valorización_de_Instrumentos[[#This Row],[Inv MM$]],0)</f>
        <v>0</v>
      </c>
      <c r="AF342" s="26">
        <f>IF(Tabla_Consulta_desde_Reporte_de_Valorización_de_Instrumentos[[#This Row],[PORTAFOLIO]]="IN-FONDO1",Tabla_Consulta_desde_Reporte_de_Valorización_de_Instrumentos[[#This Row],[Inv MM$]],0)</f>
        <v>3.3300480000000001</v>
      </c>
      <c r="AG342" s="26">
        <f>IF(Tabla_Consulta_desde_Reporte_de_Valorización_de_Instrumentos[[#This Row],[PORTAFOLIO]]="IN-FONDO2",Tabla_Consulta_desde_Reporte_de_Valorización_de_Instrumentos[[#This Row],[Inv MM$]],0)</f>
        <v>0</v>
      </c>
      <c r="AH342" s="26">
        <f>IF(Tabla_Consulta_desde_Reporte_de_Valorización_de_Instrumentos[[#This Row],[PORTAFOLIO]]="IN-FONDO3",Tabla_Consulta_desde_Reporte_de_Valorización_de_Instrumentos[[#This Row],[Inv MM$]],0)</f>
        <v>0</v>
      </c>
      <c r="AI34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13.502304000000001</v>
      </c>
      <c r="AJ342" s="26">
        <f>IFERROR(IFERROR(INDEX('BD(MSCI)'!$T:$T,MATCH(Tabla_Consulta_desde_Reporte_de_Valorización_de_Instrumentos[[#This Row],[CODIGO_ISIN]],'BD(MSCI)'!$C:$C,0),1),INDEX('BD(MSCI)'!$T:$T,MATCH(Tabla_Consulta_desde_Reporte_de_Valorización_de_Instrumentos[[#This Row],[CODIGO_SBS]],'BD(MSCI)'!$C:$C,0),1)),0)</f>
        <v>4.1286529300000003</v>
      </c>
      <c r="AK342" s="26">
        <f>Tabla_Consulta_desde_Reporte_de_Valorización_de_Instrumentos[[#This Row],[C02-H]]*Tabla_Consulta_desde_Reporte_de_Valorización_de_Instrumentos[[#This Row],[Inv MM$]]</f>
        <v>13.748612432240641</v>
      </c>
      <c r="AL342" s="26">
        <f>Tabla_Consulta_desde_Reporte_de_Valorización_de_Instrumentos[[#This Row],[C02-H]]*Tabla_Consulta_desde_Reporte_de_Valorización_de_Instrumentos[[#This Row],[Weight]]</f>
        <v>6.0170123240212659E-3</v>
      </c>
      <c r="AM342" s="26" t="str">
        <f>INDEX(Parametria!G:G,MATCH(Tabla_Consulta_desde_Reporte_de_Valorización_de_Instrumentos[[#This Row],[CODIGO_SBS]],Parametria!C:C,0))</f>
        <v>52RVI</v>
      </c>
      <c r="AN342" s="26" t="str">
        <f>INDEX(Parametria!F:F,MATCH(Tabla_Consulta_desde_Reporte_de_Valorización_de_Instrumentos[[#This Row],[CODIGO_SBS]],Parametria!C:C,0))</f>
        <v>TD</v>
      </c>
      <c r="AO342" s="26" t="str">
        <f>+INDEX(Parametria!J:J,MATCH(Tabla_Consulta_desde_Reporte_de_Valorización_de_Instrumentos[[#This Row],[CODIGO_SBS]],Parametria!C:C,0))</f>
        <v>RVITD</v>
      </c>
      <c r="AP342" s="26">
        <f>Tabla_Consulta_desde_Reporte_de_Valorización_de_Instrumentos[[#This Row],[Huella]]/$AU$4</f>
        <v>1.2745620197677659E-3</v>
      </c>
      <c r="AQ342" s="26" t="str">
        <f>IFERROR(INDEX('BD(MSCI)'!W:W,MATCH(Tabla_Consulta_desde_Reporte_de_Valorización_de_Instrumentos[[#This Row],[CODIGO_ISIN]],'BD(MSCI)'!C:C,0)),IF(Tabla_Consulta_desde_Reporte_de_Valorización_de_Instrumentos[[#This Row],[Rank_rt]]="Cash","Cash","Cuestionario Integra"))</f>
        <v>ETF</v>
      </c>
      <c r="AR342" s="26" t="str">
        <f>IFERROR(INDEX('BD(MSCI)'!X:X,MATCH(Tabla_Consulta_desde_Reporte_de_Valorización_de_Instrumentos[[#This Row],[CODIGO_ISIN]],'BD(MSCI)'!C:C,0)),"Cuestionario Integra")</f>
        <v>Otros ETFs</v>
      </c>
      <c r="AU342" s="26"/>
    </row>
    <row r="343" spans="2:47" hidden="1" x14ac:dyDescent="0.25">
      <c r="B343" s="14" t="s">
        <v>6390</v>
      </c>
      <c r="C343" t="s">
        <v>586</v>
      </c>
      <c r="D343" t="s">
        <v>11</v>
      </c>
      <c r="E343" t="s">
        <v>587</v>
      </c>
      <c r="F343" t="s">
        <v>2621</v>
      </c>
      <c r="G343" t="str">
        <f>INDEX(Parametria!H:H,MATCH(Tabla_Consulta_desde_Reporte_de_Valorización_de_Instrumentos[[#This Row],[CODIGO_SBS]],Parametria!C:C,0),1)</f>
        <v>Liontrust - Liontrust European Dynamic Fund S</v>
      </c>
      <c r="H343" t="s">
        <v>2620</v>
      </c>
      <c r="I343" t="s">
        <v>156</v>
      </c>
      <c r="J343" t="s">
        <v>5970</v>
      </c>
      <c r="K343" t="s">
        <v>60</v>
      </c>
      <c r="L343">
        <v>0</v>
      </c>
      <c r="M343" s="5">
        <v>11.6475715</v>
      </c>
      <c r="N343">
        <v>2.5755135</v>
      </c>
      <c r="O343">
        <v>1.5449999999999999</v>
      </c>
      <c r="P343" s="15"/>
      <c r="R343">
        <v>4.5224270000000004</v>
      </c>
      <c r="S343" t="s">
        <v>428</v>
      </c>
      <c r="T343">
        <v>11.647659000000001</v>
      </c>
      <c r="U343" s="5">
        <v>2.5715552000000002</v>
      </c>
      <c r="V343" t="s">
        <v>156</v>
      </c>
      <c r="W343">
        <v>0</v>
      </c>
      <c r="X343">
        <v>0</v>
      </c>
      <c r="Y343">
        <v>0</v>
      </c>
      <c r="Z343">
        <v>2.562E-3</v>
      </c>
      <c r="AA343" t="str">
        <f>+MID(Tabla_Consulta_desde_Reporte_de_Valorización_de_Instrumentos[[#This Row],[CODIGO_SBS]],7,1)</f>
        <v>6</v>
      </c>
      <c r="AB343">
        <f>INDEX('Cálculo Caja'!F:F,MATCH(Tabla_Consulta_desde_Reporte_de_Valorización_de_Instrumentos[[#This Row],[PORTAFOLIO]],'Cálculo Caja'!A:A,0),1)</f>
        <v>3164069580.822104</v>
      </c>
      <c r="AC343" s="17">
        <f>Tabla_Consulta_desde_Reporte_de_Valorización_de_Instrumentos[[#This Row],[VALOR_VECTOR_LOCAL]]/Tabla_Consulta_desde_Reporte_de_Valorización_de_Instrumentos[[#This Row],[Patrimonio]]</f>
        <v>3.6811995445984063E-9</v>
      </c>
      <c r="AD343" s="4">
        <f>(Tabla_Consulta_desde_Reporte_de_Valorización_de_Instrumentos[[#This Row],[VALOR_VECTOR_LOCAL]]/INDEX('Tipo de Cambio'!$D:$D,MATCH("2",'Tipo de Cambio'!$E:$E,0),1))/1000000</f>
        <v>3.4656108482846855E-6</v>
      </c>
      <c r="AE343">
        <f>IF(Tabla_Consulta_desde_Reporte_de_Valorización_de_Instrumentos[[#This Row],[PORTAFOLIO]]="IN-FONDO0",Tabla_Consulta_desde_Reporte_de_Valorización_de_Instrumentos[[#This Row],[Inv MM$]],0)</f>
        <v>0</v>
      </c>
      <c r="AF343" s="26">
        <f>IF(Tabla_Consulta_desde_Reporte_de_Valorización_de_Instrumentos[[#This Row],[PORTAFOLIO]]="IN-FONDO1",Tabla_Consulta_desde_Reporte_de_Valorización_de_Instrumentos[[#This Row],[Inv MM$]],0)</f>
        <v>0</v>
      </c>
      <c r="AG343" s="26">
        <f>IF(Tabla_Consulta_desde_Reporte_de_Valorización_de_Instrumentos[[#This Row],[PORTAFOLIO]]="IN-FONDO2",Tabla_Consulta_desde_Reporte_de_Valorización_de_Instrumentos[[#This Row],[Inv MM$]],0)</f>
        <v>0</v>
      </c>
      <c r="AH343" s="26">
        <f>IF(Tabla_Consulta_desde_Reporte_de_Valorización_de_Instrumentos[[#This Row],[PORTAFOLIO]]="IN-FONDO3",Tabla_Consulta_desde_Reporte_de_Valorización_de_Instrumentos[[#This Row],[Inv MM$]],0)</f>
        <v>3.4656108482846855E-6</v>
      </c>
      <c r="AI34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7.2048816090928026E-6</v>
      </c>
      <c r="AJ343" s="26">
        <f>IFERROR(IFERROR(INDEX('BD(MSCI)'!$T:$T,MATCH(Tabla_Consulta_desde_Reporte_de_Valorización_de_Instrumentos[[#This Row],[CODIGO_ISIN]],'BD(MSCI)'!$C:$C,0),1),INDEX('BD(MSCI)'!$T:$T,MATCH(Tabla_Consulta_desde_Reporte_de_Valorización_de_Instrumentos[[#This Row],[CODIGO_SBS]],'BD(MSCI)'!$C:$C,0),1)),0)</f>
        <v>209.88483607000001</v>
      </c>
      <c r="AK343" s="26">
        <f>Tabla_Consulta_desde_Reporte_de_Valorización_de_Instrumentos[[#This Row],[C02-H]]*Tabla_Consulta_desde_Reporte_de_Valorización_de_Instrumentos[[#This Row],[Inv MM$]]</f>
        <v>7.2737916477464489E-4</v>
      </c>
      <c r="AL343" s="26">
        <f>Tabla_Consulta_desde_Reporte_de_Valorización_de_Instrumentos[[#This Row],[C02-H]]*Tabla_Consulta_desde_Reporte_de_Valorización_de_Instrumentos[[#This Row],[Weight]]</f>
        <v>7.7262796295899516E-7</v>
      </c>
      <c r="AM343" s="26" t="str">
        <f>INDEX(Parametria!G:G,MATCH(Tabla_Consulta_desde_Reporte_de_Valorización_de_Instrumentos[[#This Row],[CODIGO_SBS]],Parametria!C:C,0))</f>
        <v>52RVI</v>
      </c>
      <c r="AN343" s="26" t="str">
        <f>INDEX(Parametria!F:F,MATCH(Tabla_Consulta_desde_Reporte_de_Valorización_de_Instrumentos[[#This Row],[CODIGO_SBS]],Parametria!C:C,0))</f>
        <v>TD</v>
      </c>
      <c r="AO343" s="26" t="str">
        <f>+INDEX(Parametria!J:J,MATCH(Tabla_Consulta_desde_Reporte_de_Valorización_de_Instrumentos[[#This Row],[CODIGO_SBS]],Parametria!C:C,0))</f>
        <v>RVITD</v>
      </c>
      <c r="AP343" s="26">
        <f>Tabla_Consulta_desde_Reporte_de_Valorización_de_Instrumentos[[#This Row],[Huella]]/$AU$4</f>
        <v>6.7431521687099601E-8</v>
      </c>
      <c r="AQ343" s="26" t="str">
        <f>IFERROR(INDEX('BD(MSCI)'!W:W,MATCH(Tabla_Consulta_desde_Reporte_de_Valorización_de_Instrumentos[[#This Row],[CODIGO_ISIN]],'BD(MSCI)'!C:C,0)),IF(Tabla_Consulta_desde_Reporte_de_Valorización_de_Instrumentos[[#This Row],[Rank_rt]]="Cash","Cash","Cuestionario Integra"))</f>
        <v>ETF</v>
      </c>
      <c r="AR343" s="26" t="str">
        <f>IFERROR(INDEX('BD(MSCI)'!X:X,MATCH(Tabla_Consulta_desde_Reporte_de_Valorización_de_Instrumentos[[#This Row],[CODIGO_ISIN]],'BD(MSCI)'!C:C,0)),"Cuestionario Integra")</f>
        <v>Otros ETFs</v>
      </c>
      <c r="AU343" s="26"/>
    </row>
    <row r="344" spans="2:47" hidden="1" x14ac:dyDescent="0.25">
      <c r="B344" s="14" t="s">
        <v>6390</v>
      </c>
      <c r="C344" t="s">
        <v>586</v>
      </c>
      <c r="D344" t="s">
        <v>10</v>
      </c>
      <c r="E344" t="s">
        <v>587</v>
      </c>
      <c r="F344" t="s">
        <v>2621</v>
      </c>
      <c r="G344" t="str">
        <f>INDEX(Parametria!H:H,MATCH(Tabla_Consulta_desde_Reporte_de_Valorización_de_Instrumentos[[#This Row],[CODIGO_SBS]],Parametria!C:C,0),1)</f>
        <v>Liontrust - Liontrust European Dynamic Fund S</v>
      </c>
      <c r="H344" t="s">
        <v>2620</v>
      </c>
      <c r="I344" t="s">
        <v>156</v>
      </c>
      <c r="J344" t="s">
        <v>5970</v>
      </c>
      <c r="K344" t="s">
        <v>60</v>
      </c>
      <c r="L344">
        <v>0</v>
      </c>
      <c r="M344" s="5">
        <v>12.5673151</v>
      </c>
      <c r="N344">
        <v>2.7788873000000001</v>
      </c>
      <c r="O344">
        <v>1.667</v>
      </c>
      <c r="P344" s="15"/>
      <c r="R344">
        <v>4.5224270000000004</v>
      </c>
      <c r="S344" t="s">
        <v>428</v>
      </c>
      <c r="T344">
        <v>12.567409400000001</v>
      </c>
      <c r="U344" s="5">
        <v>2.7746165</v>
      </c>
      <c r="V344" t="s">
        <v>156</v>
      </c>
      <c r="W344">
        <v>0</v>
      </c>
      <c r="X344">
        <v>0</v>
      </c>
      <c r="Y344">
        <v>0</v>
      </c>
      <c r="Z344">
        <v>2.562E-3</v>
      </c>
      <c r="AA344" t="str">
        <f>+MID(Tabla_Consulta_desde_Reporte_de_Valorización_de_Instrumentos[[#This Row],[CODIGO_SBS]],7,1)</f>
        <v>6</v>
      </c>
      <c r="AB344">
        <f>INDEX('Cálculo Caja'!F:F,MATCH(Tabla_Consulta_desde_Reporte_de_Valorización_de_Instrumentos[[#This Row],[PORTAFOLIO]],'Cálculo Caja'!A:A,0),1)</f>
        <v>26256910350.436607</v>
      </c>
      <c r="AC344" s="17">
        <f>Tabla_Consulta_desde_Reporte_de_Valorización_de_Instrumentos[[#This Row],[VALOR_VECTOR_LOCAL]]/Tabla_Consulta_desde_Reporte_de_Valorización_de_Instrumentos[[#This Row],[Patrimonio]]</f>
        <v>4.7862886121295027E-10</v>
      </c>
      <c r="AD344" s="4">
        <f>(Tabla_Consulta_desde_Reporte_de_Valorización_de_Instrumentos[[#This Row],[VALOR_VECTOR_LOCAL]]/INDEX('Tipo de Cambio'!$D:$D,MATCH("2",'Tipo de Cambio'!$E:$E,0),1))/1000000</f>
        <v>3.739270760808117E-6</v>
      </c>
      <c r="AE344">
        <f>IF(Tabla_Consulta_desde_Reporte_de_Valorización_de_Instrumentos[[#This Row],[PORTAFOLIO]]="IN-FONDO0",Tabla_Consulta_desde_Reporte_de_Valorización_de_Instrumentos[[#This Row],[Inv MM$]],0)</f>
        <v>0</v>
      </c>
      <c r="AF344" s="26">
        <f>IF(Tabla_Consulta_desde_Reporte_de_Valorización_de_Instrumentos[[#This Row],[PORTAFOLIO]]="IN-FONDO1",Tabla_Consulta_desde_Reporte_de_Valorización_de_Instrumentos[[#This Row],[Inv MM$]],0)</f>
        <v>0</v>
      </c>
      <c r="AG344" s="26">
        <f>IF(Tabla_Consulta_desde_Reporte_de_Valorización_de_Instrumentos[[#This Row],[PORTAFOLIO]]="IN-FONDO2",Tabla_Consulta_desde_Reporte_de_Valorización_de_Instrumentos[[#This Row],[Inv MM$]],0)</f>
        <v>3.739270760808117E-6</v>
      </c>
      <c r="AH344" s="26">
        <f>IF(Tabla_Consulta_desde_Reporte_de_Valorización_de_Instrumentos[[#This Row],[PORTAFOLIO]]="IN-FONDO3",Tabla_Consulta_desde_Reporte_de_Valorización_de_Instrumentos[[#This Row],[Inv MM$]],0)</f>
        <v>0</v>
      </c>
      <c r="AI34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7.2048816090928026E-6</v>
      </c>
      <c r="AJ344" s="26">
        <f>IFERROR(IFERROR(INDEX('BD(MSCI)'!$T:$T,MATCH(Tabla_Consulta_desde_Reporte_de_Valorización_de_Instrumentos[[#This Row],[CODIGO_ISIN]],'BD(MSCI)'!$C:$C,0),1),INDEX('BD(MSCI)'!$T:$T,MATCH(Tabla_Consulta_desde_Reporte_de_Valorización_de_Instrumentos[[#This Row],[CODIGO_SBS]],'BD(MSCI)'!$C:$C,0),1)),0)</f>
        <v>209.88483607000001</v>
      </c>
      <c r="AK344" s="26">
        <f>Tabla_Consulta_desde_Reporte_de_Valorización_de_Instrumentos[[#This Row],[C02-H]]*Tabla_Consulta_desde_Reporte_de_Valorización_de_Instrumentos[[#This Row],[Inv MM$]]</f>
        <v>7.8481623065355585E-4</v>
      </c>
      <c r="AL344" s="26">
        <f>Tabla_Consulta_desde_Reporte_de_Valorización_de_Instrumentos[[#This Row],[C02-H]]*Tabla_Consulta_desde_Reporte_de_Valorización_de_Instrumentos[[#This Row],[Weight]]</f>
        <v>1.0045694007405085E-7</v>
      </c>
      <c r="AM344" s="26" t="str">
        <f>INDEX(Parametria!G:G,MATCH(Tabla_Consulta_desde_Reporte_de_Valorización_de_Instrumentos[[#This Row],[CODIGO_SBS]],Parametria!C:C,0))</f>
        <v>52RVI</v>
      </c>
      <c r="AN344" s="26" t="str">
        <f>INDEX(Parametria!F:F,MATCH(Tabla_Consulta_desde_Reporte_de_Valorización_de_Instrumentos[[#This Row],[CODIGO_SBS]],Parametria!C:C,0))</f>
        <v>TD</v>
      </c>
      <c r="AO344" s="26" t="str">
        <f>+INDEX(Parametria!J:J,MATCH(Tabla_Consulta_desde_Reporte_de_Valorización_de_Instrumentos[[#This Row],[CODIGO_SBS]],Parametria!C:C,0))</f>
        <v>RVITD</v>
      </c>
      <c r="AP344" s="26">
        <f>Tabla_Consulta_desde_Reporte_de_Valorización_de_Instrumentos[[#This Row],[Huella]]/$AU$4</f>
        <v>7.2756211946349867E-8</v>
      </c>
      <c r="AQ344" s="26" t="str">
        <f>IFERROR(INDEX('BD(MSCI)'!W:W,MATCH(Tabla_Consulta_desde_Reporte_de_Valorización_de_Instrumentos[[#This Row],[CODIGO_ISIN]],'BD(MSCI)'!C:C,0)),IF(Tabla_Consulta_desde_Reporte_de_Valorización_de_Instrumentos[[#This Row],[Rank_rt]]="Cash","Cash","Cuestionario Integra"))</f>
        <v>ETF</v>
      </c>
      <c r="AR344" s="26" t="str">
        <f>IFERROR(INDEX('BD(MSCI)'!X:X,MATCH(Tabla_Consulta_desde_Reporte_de_Valorización_de_Instrumentos[[#This Row],[CODIGO_ISIN]],'BD(MSCI)'!C:C,0)),"Cuestionario Integra")</f>
        <v>Otros ETFs</v>
      </c>
      <c r="AU344" s="26"/>
    </row>
    <row r="345" spans="2:47" hidden="1" x14ac:dyDescent="0.25">
      <c r="B345" s="14" t="s">
        <v>6390</v>
      </c>
      <c r="C345" t="s">
        <v>586</v>
      </c>
      <c r="D345" t="s">
        <v>11</v>
      </c>
      <c r="E345" t="s">
        <v>587</v>
      </c>
      <c r="F345" t="s">
        <v>949</v>
      </c>
      <c r="G345" t="str">
        <f>INDEX(Parametria!H:H,MATCH(Tabla_Consulta_desde_Reporte_de_Valorización_de_Instrumentos[[#This Row],[CODIGO_SBS]],Parametria!C:C,0),1)</f>
        <v>Moneda - Latam High Yield</v>
      </c>
      <c r="H345" t="s">
        <v>4788</v>
      </c>
      <c r="I345" t="s">
        <v>156</v>
      </c>
      <c r="J345" t="s">
        <v>4855</v>
      </c>
      <c r="K345" t="s">
        <v>50</v>
      </c>
      <c r="L345">
        <v>1</v>
      </c>
      <c r="M345" s="5">
        <v>56.848521099999999</v>
      </c>
      <c r="N345">
        <v>16.914671999999999</v>
      </c>
      <c r="O345">
        <v>1.163</v>
      </c>
      <c r="P345" s="15"/>
      <c r="R345">
        <v>3.3609</v>
      </c>
      <c r="S345" t="s">
        <v>155</v>
      </c>
      <c r="T345">
        <v>56.896829500000003</v>
      </c>
      <c r="U345" s="5">
        <v>16.920487000000001</v>
      </c>
      <c r="V345" t="s">
        <v>156</v>
      </c>
      <c r="W345">
        <v>0</v>
      </c>
      <c r="X345">
        <v>0</v>
      </c>
      <c r="Y345">
        <v>0</v>
      </c>
      <c r="Z345">
        <v>-5.0000000000000001E-3</v>
      </c>
      <c r="AA345" t="str">
        <f>+MID(Tabla_Consulta_desde_Reporte_de_Valorización_de_Instrumentos[[#This Row],[CODIGO_SBS]],7,1)</f>
        <v>2</v>
      </c>
      <c r="AB345">
        <f>INDEX('Cálculo Caja'!F:F,MATCH(Tabla_Consulta_desde_Reporte_de_Valorización_de_Instrumentos[[#This Row],[PORTAFOLIO]],'Cálculo Caja'!A:A,0),1)</f>
        <v>3164069580.822104</v>
      </c>
      <c r="AC345" s="17">
        <f>Tabla_Consulta_desde_Reporte_de_Valorización_de_Instrumentos[[#This Row],[VALOR_VECTOR_LOCAL]]/Tabla_Consulta_desde_Reporte_de_Valorización_de_Instrumentos[[#This Row],[Patrimonio]]</f>
        <v>1.7966899794039719E-8</v>
      </c>
      <c r="AD345" s="4">
        <f>(Tabla_Consulta_desde_Reporte_de_Valorización_de_Instrumentos[[#This Row],[VALOR_VECTOR_LOCAL]]/INDEX('Tipo de Cambio'!$D:$D,MATCH("2",'Tipo de Cambio'!$E:$E,0),1))/1000000</f>
        <v>1.6914671992621024E-5</v>
      </c>
      <c r="AE345">
        <f>IF(Tabla_Consulta_desde_Reporte_de_Valorización_de_Instrumentos[[#This Row],[PORTAFOLIO]]="IN-FONDO0",Tabla_Consulta_desde_Reporte_de_Valorización_de_Instrumentos[[#This Row],[Inv MM$]],0)</f>
        <v>0</v>
      </c>
      <c r="AF345" s="26">
        <f>IF(Tabla_Consulta_desde_Reporte_de_Valorización_de_Instrumentos[[#This Row],[PORTAFOLIO]]="IN-FONDO1",Tabla_Consulta_desde_Reporte_de_Valorización_de_Instrumentos[[#This Row],[Inv MM$]],0)</f>
        <v>0</v>
      </c>
      <c r="AG345" s="26">
        <f>IF(Tabla_Consulta_desde_Reporte_de_Valorización_de_Instrumentos[[#This Row],[PORTAFOLIO]]="IN-FONDO2",Tabla_Consulta_desde_Reporte_de_Valorización_de_Instrumentos[[#This Row],[Inv MM$]],0)</f>
        <v>0</v>
      </c>
      <c r="AH345" s="26">
        <f>IF(Tabla_Consulta_desde_Reporte_de_Valorización_de_Instrumentos[[#This Row],[PORTAFOLIO]]="IN-FONDO3",Tabla_Consulta_desde_Reporte_de_Valorización_de_Instrumentos[[#This Row],[Inv MM$]],0)</f>
        <v>1.6914671992621024E-5</v>
      </c>
      <c r="AI34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81.80509590863997</v>
      </c>
      <c r="AJ345" s="26">
        <f>IFERROR(IFERROR(INDEX('BD(MSCI)'!$T:$T,MATCH(Tabla_Consulta_desde_Reporte_de_Valorización_de_Instrumentos[[#This Row],[CODIGO_ISIN]],'BD(MSCI)'!$C:$C,0),1),INDEX('BD(MSCI)'!$T:$T,MATCH(Tabla_Consulta_desde_Reporte_de_Valorización_de_Instrumentos[[#This Row],[CODIGO_SBS]],'BD(MSCI)'!$C:$C,0),1)),0)</f>
        <v>145.75331588</v>
      </c>
      <c r="AK345" s="26">
        <f>Tabla_Consulta_desde_Reporte_de_Valorización_de_Instrumentos[[#This Row],[C02-H]]*Tabla_Consulta_desde_Reporte_de_Valorización_de_Instrumentos[[#This Row],[Inv MM$]]</f>
        <v>2.4653695299470813E-3</v>
      </c>
      <c r="AL345" s="26">
        <f>Tabla_Consulta_desde_Reporte_de_Valorización_de_Instrumentos[[#This Row],[C02-H]]*Tabla_Consulta_desde_Reporte_de_Valorización_de_Instrumentos[[#This Row],[Weight]]</f>
        <v>2.6187352210649782E-6</v>
      </c>
      <c r="AM345" s="26" t="str">
        <f>INDEX(Parametria!G:G,MATCH(Tabla_Consulta_desde_Reporte_de_Valorización_de_Instrumentos[[#This Row],[CODIGO_SBS]],Parametria!C:C,0))</f>
        <v>52RFIG</v>
      </c>
      <c r="AN345" s="26" t="str">
        <f>INDEX(Parametria!F:F,MATCH(Tabla_Consulta_desde_Reporte_de_Valorización_de_Instrumentos[[#This Row],[CODIGO_SBS]],Parametria!C:C,0))</f>
        <v>TD</v>
      </c>
      <c r="AO345" s="26" t="str">
        <f>+INDEX(Parametria!J:J,MATCH(Tabla_Consulta_desde_Reporte_de_Valorización_de_Instrumentos[[#This Row],[CODIGO_SBS]],Parametria!C:C,0))</f>
        <v>RFITD</v>
      </c>
      <c r="AP345" s="26">
        <f>Tabla_Consulta_desde_Reporte_de_Valorización_de_Instrumentos[[#This Row],[Huella]]/$AU$4</f>
        <v>2.2855152714863149E-7</v>
      </c>
      <c r="AQ345" s="26" t="str">
        <f>IFERROR(INDEX('BD(MSCI)'!W:W,MATCH(Tabla_Consulta_desde_Reporte_de_Valorización_de_Instrumentos[[#This Row],[CODIGO_ISIN]],'BD(MSCI)'!C:C,0)),IF(Tabla_Consulta_desde_Reporte_de_Valorización_de_Instrumentos[[#This Row],[Rank_rt]]="Cash","Cash","Cuestionario Integra"))</f>
        <v>Proxies</v>
      </c>
      <c r="AR345" s="26" t="str">
        <f>IFERROR(INDEX('BD(MSCI)'!X:X,MATCH(Tabla_Consulta_desde_Reporte_de_Valorización_de_Instrumentos[[#This Row],[CODIGO_ISIN]],'BD(MSCI)'!C:C,0)),"Cuestionario Integra")</f>
        <v>TD</v>
      </c>
      <c r="AU345" s="26"/>
    </row>
    <row r="346" spans="2:47" hidden="1" x14ac:dyDescent="0.25">
      <c r="B346" s="14" t="s">
        <v>6390</v>
      </c>
      <c r="C346" t="s">
        <v>586</v>
      </c>
      <c r="D346" t="s">
        <v>10</v>
      </c>
      <c r="E346" t="s">
        <v>587</v>
      </c>
      <c r="F346" t="s">
        <v>949</v>
      </c>
      <c r="G346" t="str">
        <f>INDEX(Parametria!H:H,MATCH(Tabla_Consulta_desde_Reporte_de_Valorización_de_Instrumentos[[#This Row],[CODIGO_SBS]],Parametria!C:C,0),1)</f>
        <v>Moneda - Latam High Yield</v>
      </c>
      <c r="H346" t="s">
        <v>4788</v>
      </c>
      <c r="I346" t="s">
        <v>156</v>
      </c>
      <c r="J346" t="s">
        <v>4855</v>
      </c>
      <c r="K346" t="s">
        <v>50</v>
      </c>
      <c r="L346">
        <v>1</v>
      </c>
      <c r="M346" s="5">
        <v>132394187.13744029</v>
      </c>
      <c r="N346">
        <v>39392480.328911997</v>
      </c>
      <c r="O346">
        <v>2708503.8730000001</v>
      </c>
      <c r="P346" s="15"/>
      <c r="R346">
        <v>3.3609</v>
      </c>
      <c r="S346" t="s">
        <v>155</v>
      </c>
      <c r="T346">
        <v>132506692.4296162</v>
      </c>
      <c r="U346" s="5">
        <v>39406022.848277003</v>
      </c>
      <c r="V346" t="s">
        <v>156</v>
      </c>
      <c r="W346">
        <v>0</v>
      </c>
      <c r="X346">
        <v>0</v>
      </c>
      <c r="Y346">
        <v>0</v>
      </c>
      <c r="Z346">
        <v>-5.0000000000000001E-3</v>
      </c>
      <c r="AA346" t="str">
        <f>+MID(Tabla_Consulta_desde_Reporte_de_Valorización_de_Instrumentos[[#This Row],[CODIGO_SBS]],7,1)</f>
        <v>2</v>
      </c>
      <c r="AB346">
        <f>INDEX('Cálculo Caja'!F:F,MATCH(Tabla_Consulta_desde_Reporte_de_Valorización_de_Instrumentos[[#This Row],[PORTAFOLIO]],'Cálculo Caja'!A:A,0),1)</f>
        <v>26256910350.436607</v>
      </c>
      <c r="AC346" s="17">
        <f>Tabla_Consulta_desde_Reporte_de_Valorización_de_Instrumentos[[#This Row],[VALOR_VECTOR_LOCAL]]/Tabla_Consulta_desde_Reporte_de_Valorización_de_Instrumentos[[#This Row],[Patrimonio]]</f>
        <v>5.0422606990101863E-3</v>
      </c>
      <c r="AD346" s="4">
        <f>(Tabla_Consulta_desde_Reporte_de_Valorización_de_Instrumentos[[#This Row],[VALOR_VECTOR_LOCAL]]/INDEX('Tipo de Cambio'!$D:$D,MATCH("2",'Tipo de Cambio'!$E:$E,0),1))/1000000</f>
        <v>39.392480328911979</v>
      </c>
      <c r="AE346">
        <f>IF(Tabla_Consulta_desde_Reporte_de_Valorización_de_Instrumentos[[#This Row],[PORTAFOLIO]]="IN-FONDO0",Tabla_Consulta_desde_Reporte_de_Valorización_de_Instrumentos[[#This Row],[Inv MM$]],0)</f>
        <v>0</v>
      </c>
      <c r="AF346" s="26">
        <f>IF(Tabla_Consulta_desde_Reporte_de_Valorización_de_Instrumentos[[#This Row],[PORTAFOLIO]]="IN-FONDO1",Tabla_Consulta_desde_Reporte_de_Valorización_de_Instrumentos[[#This Row],[Inv MM$]],0)</f>
        <v>0</v>
      </c>
      <c r="AG346" s="26">
        <f>IF(Tabla_Consulta_desde_Reporte_de_Valorización_de_Instrumentos[[#This Row],[PORTAFOLIO]]="IN-FONDO2",Tabla_Consulta_desde_Reporte_de_Valorización_de_Instrumentos[[#This Row],[Inv MM$]],0)</f>
        <v>39.392480328911979</v>
      </c>
      <c r="AH346" s="26">
        <f>IF(Tabla_Consulta_desde_Reporte_de_Valorización_de_Instrumentos[[#This Row],[PORTAFOLIO]]="IN-FONDO3",Tabla_Consulta_desde_Reporte_de_Valorización_de_Instrumentos[[#This Row],[Inv MM$]],0)</f>
        <v>0</v>
      </c>
      <c r="AI34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81.80509590863997</v>
      </c>
      <c r="AJ346" s="26">
        <f>IFERROR(IFERROR(INDEX('BD(MSCI)'!$T:$T,MATCH(Tabla_Consulta_desde_Reporte_de_Valorización_de_Instrumentos[[#This Row],[CODIGO_ISIN]],'BD(MSCI)'!$C:$C,0),1),INDEX('BD(MSCI)'!$T:$T,MATCH(Tabla_Consulta_desde_Reporte_de_Valorización_de_Instrumentos[[#This Row],[CODIGO_SBS]],'BD(MSCI)'!$C:$C,0),1)),0)</f>
        <v>145.75331588</v>
      </c>
      <c r="AK346" s="26">
        <f>Tabla_Consulta_desde_Reporte_de_Valorización_de_Instrumentos[[#This Row],[C02-H]]*Tabla_Consulta_desde_Reporte_de_Valorización_de_Instrumentos[[#This Row],[Inv MM$]]</f>
        <v>5741.5846286765945</v>
      </c>
      <c r="AL346" s="26">
        <f>Tabla_Consulta_desde_Reporte_de_Valorización_de_Instrumentos[[#This Row],[C02-H]]*Tabla_Consulta_desde_Reporte_de_Valorización_de_Instrumentos[[#This Row],[Weight]]</f>
        <v>0.73492621641214129</v>
      </c>
      <c r="AM346" s="26" t="str">
        <f>INDEX(Parametria!G:G,MATCH(Tabla_Consulta_desde_Reporte_de_Valorización_de_Instrumentos[[#This Row],[CODIGO_SBS]],Parametria!C:C,0))</f>
        <v>52RFIG</v>
      </c>
      <c r="AN346" s="26" t="str">
        <f>INDEX(Parametria!F:F,MATCH(Tabla_Consulta_desde_Reporte_de_Valorización_de_Instrumentos[[#This Row],[CODIGO_SBS]],Parametria!C:C,0))</f>
        <v>TD</v>
      </c>
      <c r="AO346" s="26" t="str">
        <f>+INDEX(Parametria!J:J,MATCH(Tabla_Consulta_desde_Reporte_de_Valorización_de_Instrumentos[[#This Row],[CODIGO_SBS]],Parametria!C:C,0))</f>
        <v>RFITD</v>
      </c>
      <c r="AP346" s="26">
        <f>Tabla_Consulta_desde_Reporte_de_Valorización_de_Instrumentos[[#This Row],[Huella]]/$AU$4</f>
        <v>0.53227231017384691</v>
      </c>
      <c r="AQ346" s="26" t="str">
        <f>IFERROR(INDEX('BD(MSCI)'!W:W,MATCH(Tabla_Consulta_desde_Reporte_de_Valorización_de_Instrumentos[[#This Row],[CODIGO_ISIN]],'BD(MSCI)'!C:C,0)),IF(Tabla_Consulta_desde_Reporte_de_Valorización_de_Instrumentos[[#This Row],[Rank_rt]]="Cash","Cash","Cuestionario Integra"))</f>
        <v>Proxies</v>
      </c>
      <c r="AR346" s="26" t="str">
        <f>IFERROR(INDEX('BD(MSCI)'!X:X,MATCH(Tabla_Consulta_desde_Reporte_de_Valorización_de_Instrumentos[[#This Row],[CODIGO_ISIN]],'BD(MSCI)'!C:C,0)),"Cuestionario Integra")</f>
        <v>TD</v>
      </c>
      <c r="AU346" s="26"/>
    </row>
    <row r="347" spans="2:47" hidden="1" x14ac:dyDescent="0.25">
      <c r="B347" s="14" t="s">
        <v>6390</v>
      </c>
      <c r="C347" t="s">
        <v>586</v>
      </c>
      <c r="D347" t="s">
        <v>12</v>
      </c>
      <c r="E347" t="s">
        <v>587</v>
      </c>
      <c r="F347" t="s">
        <v>949</v>
      </c>
      <c r="G347" t="str">
        <f>INDEX(Parametria!H:H,MATCH(Tabla_Consulta_desde_Reporte_de_Valorización_de_Instrumentos[[#This Row],[CODIGO_SBS]],Parametria!C:C,0),1)</f>
        <v>Moneda - Latam High Yield</v>
      </c>
      <c r="H347" t="s">
        <v>4788</v>
      </c>
      <c r="I347" t="s">
        <v>156</v>
      </c>
      <c r="J347" t="s">
        <v>4855</v>
      </c>
      <c r="K347" t="s">
        <v>50</v>
      </c>
      <c r="L347">
        <v>1</v>
      </c>
      <c r="M347" s="5">
        <v>142544502.8533867</v>
      </c>
      <c r="N347">
        <v>42412598.665055998</v>
      </c>
      <c r="O347">
        <v>2916157.7740000002</v>
      </c>
      <c r="P347" s="15"/>
      <c r="R347">
        <v>3.3609</v>
      </c>
      <c r="S347" t="s">
        <v>155</v>
      </c>
      <c r="T347">
        <v>142665633.6317715</v>
      </c>
      <c r="U347" s="5">
        <v>42427179.453925997</v>
      </c>
      <c r="V347" t="s">
        <v>156</v>
      </c>
      <c r="W347">
        <v>0</v>
      </c>
      <c r="X347">
        <v>0</v>
      </c>
      <c r="Y347">
        <v>0</v>
      </c>
      <c r="Z347">
        <v>-5.0000000000000001E-3</v>
      </c>
      <c r="AA347" t="str">
        <f>+MID(Tabla_Consulta_desde_Reporte_de_Valorización_de_Instrumentos[[#This Row],[CODIGO_SBS]],7,1)</f>
        <v>2</v>
      </c>
      <c r="AB347">
        <f>INDEX('Cálculo Caja'!F:F,MATCH(Tabla_Consulta_desde_Reporte_de_Valorización_de_Instrumentos[[#This Row],[PORTAFOLIO]],'Cálculo Caja'!A:A,0),1)</f>
        <v>7679510866.0565634</v>
      </c>
      <c r="AC347" s="17">
        <f>Tabla_Consulta_desde_Reporte_de_Valorización_de_Instrumentos[[#This Row],[VALOR_VECTOR_LOCAL]]/Tabla_Consulta_desde_Reporte_de_Valorización_de_Instrumentos[[#This Row],[Patrimonio]]</f>
        <v>1.8561664322064231E-2</v>
      </c>
      <c r="AD347" s="4">
        <f>(Tabla_Consulta_desde_Reporte_de_Valorización_de_Instrumentos[[#This Row],[VALOR_VECTOR_LOCAL]]/INDEX('Tipo de Cambio'!$D:$D,MATCH("2",'Tipo de Cambio'!$E:$E,0),1))/1000000</f>
        <v>42.412598665055995</v>
      </c>
      <c r="AE347">
        <f>IF(Tabla_Consulta_desde_Reporte_de_Valorización_de_Instrumentos[[#This Row],[PORTAFOLIO]]="IN-FONDO0",Tabla_Consulta_desde_Reporte_de_Valorización_de_Instrumentos[[#This Row],[Inv MM$]],0)</f>
        <v>0</v>
      </c>
      <c r="AF347" s="26">
        <f>IF(Tabla_Consulta_desde_Reporte_de_Valorización_de_Instrumentos[[#This Row],[PORTAFOLIO]]="IN-FONDO1",Tabla_Consulta_desde_Reporte_de_Valorización_de_Instrumentos[[#This Row],[Inv MM$]],0)</f>
        <v>42.412598665055995</v>
      </c>
      <c r="AG347" s="26">
        <f>IF(Tabla_Consulta_desde_Reporte_de_Valorización_de_Instrumentos[[#This Row],[PORTAFOLIO]]="IN-FONDO2",Tabla_Consulta_desde_Reporte_de_Valorización_de_Instrumentos[[#This Row],[Inv MM$]],0)</f>
        <v>0</v>
      </c>
      <c r="AH347" s="26">
        <f>IF(Tabla_Consulta_desde_Reporte_de_Valorización_de_Instrumentos[[#This Row],[PORTAFOLIO]]="IN-FONDO3",Tabla_Consulta_desde_Reporte_de_Valorización_de_Instrumentos[[#This Row],[Inv MM$]],0)</f>
        <v>0</v>
      </c>
      <c r="AI34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81.80509590863997</v>
      </c>
      <c r="AJ347" s="26">
        <f>IFERROR(IFERROR(INDEX('BD(MSCI)'!$T:$T,MATCH(Tabla_Consulta_desde_Reporte_de_Valorización_de_Instrumentos[[#This Row],[CODIGO_ISIN]],'BD(MSCI)'!$C:$C,0),1),INDEX('BD(MSCI)'!$T:$T,MATCH(Tabla_Consulta_desde_Reporte_de_Valorización_de_Instrumentos[[#This Row],[CODIGO_SBS]],'BD(MSCI)'!$C:$C,0),1)),0)</f>
        <v>145.75331588</v>
      </c>
      <c r="AK347" s="26">
        <f>Tabla_Consulta_desde_Reporte_de_Valorización_de_Instrumentos[[#This Row],[C02-H]]*Tabla_Consulta_desde_Reporte_de_Valorización_de_Instrumentos[[#This Row],[Inv MM$]]</f>
        <v>6181.7768905195726</v>
      </c>
      <c r="AL347" s="26">
        <f>Tabla_Consulta_desde_Reporte_de_Valorización_de_Instrumentos[[#This Row],[C02-H]]*Tabla_Consulta_desde_Reporte_de_Valorización_de_Instrumentos[[#This Row],[Weight]]</f>
        <v>2.7054241231923539</v>
      </c>
      <c r="AM347" s="26" t="str">
        <f>INDEX(Parametria!G:G,MATCH(Tabla_Consulta_desde_Reporte_de_Valorización_de_Instrumentos[[#This Row],[CODIGO_SBS]],Parametria!C:C,0))</f>
        <v>52RFIG</v>
      </c>
      <c r="AN347" s="26" t="str">
        <f>INDEX(Parametria!F:F,MATCH(Tabla_Consulta_desde_Reporte_de_Valorización_de_Instrumentos[[#This Row],[CODIGO_SBS]],Parametria!C:C,0))</f>
        <v>TD</v>
      </c>
      <c r="AO347" s="26" t="str">
        <f>+INDEX(Parametria!J:J,MATCH(Tabla_Consulta_desde_Reporte_de_Valorización_de_Instrumentos[[#This Row],[CODIGO_SBS]],Parametria!C:C,0))</f>
        <v>RFITD</v>
      </c>
      <c r="AP347" s="26">
        <f>Tabla_Consulta_desde_Reporte_de_Valorización_de_Instrumentos[[#This Row],[Huella]]/$AU$4</f>
        <v>0.57308023469029146</v>
      </c>
      <c r="AQ347" s="26" t="str">
        <f>IFERROR(INDEX('BD(MSCI)'!W:W,MATCH(Tabla_Consulta_desde_Reporte_de_Valorización_de_Instrumentos[[#This Row],[CODIGO_ISIN]],'BD(MSCI)'!C:C,0)),IF(Tabla_Consulta_desde_Reporte_de_Valorización_de_Instrumentos[[#This Row],[Rank_rt]]="Cash","Cash","Cuestionario Integra"))</f>
        <v>Proxies</v>
      </c>
      <c r="AR347" s="26" t="str">
        <f>IFERROR(INDEX('BD(MSCI)'!X:X,MATCH(Tabla_Consulta_desde_Reporte_de_Valorización_de_Instrumentos[[#This Row],[CODIGO_ISIN]],'BD(MSCI)'!C:C,0)),"Cuestionario Integra")</f>
        <v>TD</v>
      </c>
      <c r="AU347" s="26"/>
    </row>
    <row r="348" spans="2:47" hidden="1" x14ac:dyDescent="0.25">
      <c r="B348" s="14" t="s">
        <v>6390</v>
      </c>
      <c r="C348" t="s">
        <v>586</v>
      </c>
      <c r="D348" t="s">
        <v>12</v>
      </c>
      <c r="E348" t="s">
        <v>587</v>
      </c>
      <c r="F348" t="s">
        <v>5844</v>
      </c>
      <c r="G348" t="str">
        <f>INDEX(Parametria!H:H,MATCH(Tabla_Consulta_desde_Reporte_de_Valorización_de_Instrumentos[[#This Row],[CODIGO_SBS]],Parametria!C:C,0),1)</f>
        <v>Neuberger Berman - CLO Income Fund</v>
      </c>
      <c r="H348" t="s">
        <v>5843</v>
      </c>
      <c r="I348" t="s">
        <v>156</v>
      </c>
      <c r="J348" t="s">
        <v>5566</v>
      </c>
      <c r="K348" t="s">
        <v>50</v>
      </c>
      <c r="L348">
        <v>1</v>
      </c>
      <c r="M348" s="5">
        <v>56.147464200000002</v>
      </c>
      <c r="N348">
        <v>16.70608</v>
      </c>
      <c r="O348">
        <v>1.544</v>
      </c>
      <c r="P348" s="15"/>
      <c r="R348">
        <v>3.3609</v>
      </c>
      <c r="S348" t="s">
        <v>155</v>
      </c>
      <c r="T348">
        <v>56.123945999999997</v>
      </c>
      <c r="U348" s="5">
        <v>16.690639999999998</v>
      </c>
      <c r="V348" t="s">
        <v>156</v>
      </c>
      <c r="W348">
        <v>0</v>
      </c>
      <c r="X348">
        <v>0</v>
      </c>
      <c r="Y348">
        <v>0</v>
      </c>
      <c r="Z348">
        <v>0.01</v>
      </c>
      <c r="AA348" t="str">
        <f>+MID(Tabla_Consulta_desde_Reporte_de_Valorización_de_Instrumentos[[#This Row],[CODIGO_SBS]],7,1)</f>
        <v>2</v>
      </c>
      <c r="AB348">
        <f>INDEX('Cálculo Caja'!F:F,MATCH(Tabla_Consulta_desde_Reporte_de_Valorización_de_Instrumentos[[#This Row],[PORTAFOLIO]],'Cálculo Caja'!A:A,0),1)</f>
        <v>7679510866.0565634</v>
      </c>
      <c r="AC348" s="17">
        <f>Tabla_Consulta_desde_Reporte_de_Valorización_de_Instrumentos[[#This Row],[VALOR_VECTOR_LOCAL]]/Tabla_Consulta_desde_Reporte_de_Valorización_de_Instrumentos[[#This Row],[Patrimonio]]</f>
        <v>7.3113333881942645E-9</v>
      </c>
      <c r="AD348" s="4">
        <f>(Tabla_Consulta_desde_Reporte_de_Valorización_de_Instrumentos[[#This Row],[VALOR_VECTOR_LOCAL]]/INDEX('Tipo de Cambio'!$D:$D,MATCH("2",'Tipo de Cambio'!$E:$E,0),1))/1000000</f>
        <v>1.6706079978577169E-5</v>
      </c>
      <c r="AE348">
        <f>IF(Tabla_Consulta_desde_Reporte_de_Valorización_de_Instrumentos[[#This Row],[PORTAFOLIO]]="IN-FONDO0",Tabla_Consulta_desde_Reporte_de_Valorización_de_Instrumentos[[#This Row],[Inv MM$]],0)</f>
        <v>0</v>
      </c>
      <c r="AF348" s="26">
        <f>IF(Tabla_Consulta_desde_Reporte_de_Valorización_de_Instrumentos[[#This Row],[PORTAFOLIO]]="IN-FONDO1",Tabla_Consulta_desde_Reporte_de_Valorización_de_Instrumentos[[#This Row],[Inv MM$]],0)</f>
        <v>1.6706079978577169E-5</v>
      </c>
      <c r="AG348" s="26">
        <f>IF(Tabla_Consulta_desde_Reporte_de_Valorización_de_Instrumentos[[#This Row],[PORTAFOLIO]]="IN-FONDO2",Tabla_Consulta_desde_Reporte_de_Valorización_de_Instrumentos[[#This Row],[Inv MM$]],0)</f>
        <v>0</v>
      </c>
      <c r="AH348" s="26">
        <f>IF(Tabla_Consulta_desde_Reporte_de_Valorización_de_Instrumentos[[#This Row],[PORTAFOLIO]]="IN-FONDO3",Tabla_Consulta_desde_Reporte_de_Valorización_de_Instrumentos[[#This Row],[Inv MM$]],0)</f>
        <v>0</v>
      </c>
      <c r="AI34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0.77832481963997757</v>
      </c>
      <c r="AJ348" s="26">
        <f>IFERROR(IFERROR(INDEX('BD(MSCI)'!$T:$T,MATCH(Tabla_Consulta_desde_Reporte_de_Valorización_de_Instrumentos[[#This Row],[CODIGO_ISIN]],'BD(MSCI)'!$C:$C,0),1),INDEX('BD(MSCI)'!$T:$T,MATCH(Tabla_Consulta_desde_Reporte_de_Valorización_de_Instrumentos[[#This Row],[CODIGO_SBS]],'BD(MSCI)'!$C:$C,0),1)),0)</f>
        <v>130.42998961999999</v>
      </c>
      <c r="AK348" s="26">
        <f>Tabla_Consulta_desde_Reporte_de_Valorización_de_Instrumentos[[#This Row],[C02-H]]*Tabla_Consulta_desde_Reporte_de_Valorización_de_Instrumentos[[#This Row],[Inv MM$]]</f>
        <v>2.1789738381967098E-3</v>
      </c>
      <c r="AL348" s="26">
        <f>Tabla_Consulta_desde_Reporte_de_Valorización_de_Instrumentos[[#This Row],[C02-H]]*Tabla_Consulta_desde_Reporte_de_Valorización_de_Instrumentos[[#This Row],[Weight]]</f>
        <v>9.5361713793053724E-7</v>
      </c>
      <c r="AM348" s="26" t="str">
        <f>INDEX(Parametria!G:G,MATCH(Tabla_Consulta_desde_Reporte_de_Valorización_de_Instrumentos[[#This Row],[CODIGO_SBS]],Parametria!C:C,0))</f>
        <v>52RFIG</v>
      </c>
      <c r="AN348" s="26" t="str">
        <f>INDEX(Parametria!F:F,MATCH(Tabla_Consulta_desde_Reporte_de_Valorización_de_Instrumentos[[#This Row],[CODIGO_SBS]],Parametria!C:C,0))</f>
        <v>TD</v>
      </c>
      <c r="AO348" s="26" t="str">
        <f>+INDEX(Parametria!J:J,MATCH(Tabla_Consulta_desde_Reporte_de_Valorización_de_Instrumentos[[#This Row],[CODIGO_SBS]],Parametria!C:C,0))</f>
        <v>RFITD</v>
      </c>
      <c r="AP348" s="26">
        <f>Tabla_Consulta_desde_Reporte_de_Valorización_de_Instrumentos[[#This Row],[Huella]]/$AU$4</f>
        <v>2.0200127903238211E-7</v>
      </c>
      <c r="AQ348" s="26" t="str">
        <f>IFERROR(INDEX('BD(MSCI)'!W:W,MATCH(Tabla_Consulta_desde_Reporte_de_Valorización_de_Instrumentos[[#This Row],[CODIGO_ISIN]],'BD(MSCI)'!C:C,0)),IF(Tabla_Consulta_desde_Reporte_de_Valorización_de_Instrumentos[[#This Row],[Rank_rt]]="Cash","Cash","Cuestionario Integra"))</f>
        <v>Proxies</v>
      </c>
      <c r="AR348" s="26" t="str">
        <f>IFERROR(INDEX('BD(MSCI)'!X:X,MATCH(Tabla_Consulta_desde_Reporte_de_Valorización_de_Instrumentos[[#This Row],[CODIGO_ISIN]],'BD(MSCI)'!C:C,0)),"Cuestionario Integra")</f>
        <v>TD</v>
      </c>
      <c r="AU348" s="26"/>
    </row>
    <row r="349" spans="2:47" hidden="1" x14ac:dyDescent="0.25">
      <c r="B349" s="14" t="s">
        <v>6390</v>
      </c>
      <c r="C349" t="s">
        <v>586</v>
      </c>
      <c r="D349" t="s">
        <v>10</v>
      </c>
      <c r="E349" t="s">
        <v>587</v>
      </c>
      <c r="F349" t="s">
        <v>5844</v>
      </c>
      <c r="G349" t="str">
        <f>INDEX(Parametria!H:H,MATCH(Tabla_Consulta_desde_Reporte_de_Valorización_de_Instrumentos[[#This Row],[CODIGO_SBS]],Parametria!C:C,0),1)</f>
        <v>Neuberger Berman - CLO Income Fund</v>
      </c>
      <c r="H349" t="s">
        <v>5843</v>
      </c>
      <c r="I349" t="s">
        <v>156</v>
      </c>
      <c r="J349" t="s">
        <v>5566</v>
      </c>
      <c r="K349" t="s">
        <v>50</v>
      </c>
      <c r="L349">
        <v>1</v>
      </c>
      <c r="M349" s="5">
        <v>2615815.7388638002</v>
      </c>
      <c r="N349">
        <v>778308.11355999997</v>
      </c>
      <c r="O349">
        <v>71932.357999999993</v>
      </c>
      <c r="P349" s="15"/>
      <c r="R349">
        <v>3.3609</v>
      </c>
      <c r="S349" t="s">
        <v>155</v>
      </c>
      <c r="T349">
        <v>2614720.0651866999</v>
      </c>
      <c r="U349" s="5">
        <v>777588.78998</v>
      </c>
      <c r="V349" t="s">
        <v>156</v>
      </c>
      <c r="W349">
        <v>0</v>
      </c>
      <c r="X349">
        <v>0</v>
      </c>
      <c r="Y349">
        <v>0</v>
      </c>
      <c r="Z349">
        <v>0.01</v>
      </c>
      <c r="AA349" t="str">
        <f>+MID(Tabla_Consulta_desde_Reporte_de_Valorización_de_Instrumentos[[#This Row],[CODIGO_SBS]],7,1)</f>
        <v>2</v>
      </c>
      <c r="AB349">
        <f>INDEX('Cálculo Caja'!F:F,MATCH(Tabla_Consulta_desde_Reporte_de_Valorización_de_Instrumentos[[#This Row],[PORTAFOLIO]],'Cálculo Caja'!A:A,0),1)</f>
        <v>26256910350.436607</v>
      </c>
      <c r="AC349" s="17">
        <f>Tabla_Consulta_desde_Reporte_de_Valorización_de_Instrumentos[[#This Row],[VALOR_VECTOR_LOCAL]]/Tabla_Consulta_desde_Reporte_de_Valorización_de_Instrumentos[[#This Row],[Patrimonio]]</f>
        <v>9.96238972503596E-5</v>
      </c>
      <c r="AD349" s="4">
        <f>(Tabla_Consulta_desde_Reporte_de_Valorización_de_Instrumentos[[#This Row],[VALOR_VECTOR_LOCAL]]/INDEX('Tipo de Cambio'!$D:$D,MATCH("2",'Tipo de Cambio'!$E:$E,0),1))/1000000</f>
        <v>0.77830811355999896</v>
      </c>
      <c r="AE349">
        <f>IF(Tabla_Consulta_desde_Reporte_de_Valorización_de_Instrumentos[[#This Row],[PORTAFOLIO]]="IN-FONDO0",Tabla_Consulta_desde_Reporte_de_Valorización_de_Instrumentos[[#This Row],[Inv MM$]],0)</f>
        <v>0</v>
      </c>
      <c r="AF349" s="26">
        <f>IF(Tabla_Consulta_desde_Reporte_de_Valorización_de_Instrumentos[[#This Row],[PORTAFOLIO]]="IN-FONDO1",Tabla_Consulta_desde_Reporte_de_Valorización_de_Instrumentos[[#This Row],[Inv MM$]],0)</f>
        <v>0</v>
      </c>
      <c r="AG349" s="26">
        <f>IF(Tabla_Consulta_desde_Reporte_de_Valorización_de_Instrumentos[[#This Row],[PORTAFOLIO]]="IN-FONDO2",Tabla_Consulta_desde_Reporte_de_Valorización_de_Instrumentos[[#This Row],[Inv MM$]],0)</f>
        <v>0.77830811355999896</v>
      </c>
      <c r="AH349" s="26">
        <f>IF(Tabla_Consulta_desde_Reporte_de_Valorización_de_Instrumentos[[#This Row],[PORTAFOLIO]]="IN-FONDO3",Tabla_Consulta_desde_Reporte_de_Valorización_de_Instrumentos[[#This Row],[Inv MM$]],0)</f>
        <v>0</v>
      </c>
      <c r="AI34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0.77832481963997757</v>
      </c>
      <c r="AJ349" s="26">
        <f>IFERROR(IFERROR(INDEX('BD(MSCI)'!$T:$T,MATCH(Tabla_Consulta_desde_Reporte_de_Valorización_de_Instrumentos[[#This Row],[CODIGO_ISIN]],'BD(MSCI)'!$C:$C,0),1),INDEX('BD(MSCI)'!$T:$T,MATCH(Tabla_Consulta_desde_Reporte_de_Valorización_de_Instrumentos[[#This Row],[CODIGO_SBS]],'BD(MSCI)'!$C:$C,0),1)),0)</f>
        <v>130.42998961999999</v>
      </c>
      <c r="AK349" s="26">
        <f>Tabla_Consulta_desde_Reporte_de_Valorización_de_Instrumentos[[#This Row],[C02-H]]*Tabla_Consulta_desde_Reporte_de_Valorización_de_Instrumentos[[#This Row],[Inv MM$]]</f>
        <v>101.51471917279244</v>
      </c>
      <c r="AL349" s="26">
        <f>Tabla_Consulta_desde_Reporte_de_Valorización_de_Instrumentos[[#This Row],[C02-H]]*Tabla_Consulta_desde_Reporte_de_Valorización_de_Instrumentos[[#This Row],[Weight]]</f>
        <v>1.2993943884268349E-2</v>
      </c>
      <c r="AM349" s="26" t="str">
        <f>INDEX(Parametria!G:G,MATCH(Tabla_Consulta_desde_Reporte_de_Valorización_de_Instrumentos[[#This Row],[CODIGO_SBS]],Parametria!C:C,0))</f>
        <v>52RFIG</v>
      </c>
      <c r="AN349" s="26" t="str">
        <f>INDEX(Parametria!F:F,MATCH(Tabla_Consulta_desde_Reporte_de_Valorización_de_Instrumentos[[#This Row],[CODIGO_SBS]],Parametria!C:C,0))</f>
        <v>TD</v>
      </c>
      <c r="AO349" s="26" t="str">
        <f>+INDEX(Parametria!J:J,MATCH(Tabla_Consulta_desde_Reporte_de_Valorización_de_Instrumentos[[#This Row],[CODIGO_SBS]],Parametria!C:C,0))</f>
        <v>RFITD</v>
      </c>
      <c r="AP349" s="26">
        <f>Tabla_Consulta_desde_Reporte_de_Valorización_de_Instrumentos[[#This Row],[Huella]]/$AU$4</f>
        <v>9.4108991829327041E-3</v>
      </c>
      <c r="AQ349" s="26" t="str">
        <f>IFERROR(INDEX('BD(MSCI)'!W:W,MATCH(Tabla_Consulta_desde_Reporte_de_Valorización_de_Instrumentos[[#This Row],[CODIGO_ISIN]],'BD(MSCI)'!C:C,0)),IF(Tabla_Consulta_desde_Reporte_de_Valorización_de_Instrumentos[[#This Row],[Rank_rt]]="Cash","Cash","Cuestionario Integra"))</f>
        <v>Proxies</v>
      </c>
      <c r="AR349" s="26" t="str">
        <f>IFERROR(INDEX('BD(MSCI)'!X:X,MATCH(Tabla_Consulta_desde_Reporte_de_Valorización_de_Instrumentos[[#This Row],[CODIGO_ISIN]],'BD(MSCI)'!C:C,0)),"Cuestionario Integra")</f>
        <v>TD</v>
      </c>
      <c r="AU349" s="26"/>
    </row>
    <row r="350" spans="2:47" hidden="1" x14ac:dyDescent="0.25">
      <c r="B350" s="14" t="s">
        <v>6390</v>
      </c>
      <c r="C350" t="s">
        <v>586</v>
      </c>
      <c r="D350" t="s">
        <v>10</v>
      </c>
      <c r="E350" t="s">
        <v>587</v>
      </c>
      <c r="F350" t="s">
        <v>5460</v>
      </c>
      <c r="G350" t="str">
        <f>INDEX(Parametria!H:H,MATCH(Tabla_Consulta_desde_Reporte_de_Valorización_de_Instrumentos[[#This Row],[CODIGO_SBS]],Parametria!C:C,0),1)</f>
        <v>Premier Miton - European Opportunities Fund</v>
      </c>
      <c r="H350" t="s">
        <v>5459</v>
      </c>
      <c r="I350" t="s">
        <v>156</v>
      </c>
      <c r="J350" t="s">
        <v>5484</v>
      </c>
      <c r="K350" t="s">
        <v>57</v>
      </c>
      <c r="L350">
        <v>1</v>
      </c>
      <c r="M350" s="5">
        <v>8.8212218999999994</v>
      </c>
      <c r="N350">
        <v>2.2354660000000002</v>
      </c>
      <c r="O350">
        <v>1.7769999999999999</v>
      </c>
      <c r="P350" s="15"/>
      <c r="R350">
        <v>3.9460326999999999</v>
      </c>
      <c r="S350" t="s">
        <v>428</v>
      </c>
      <c r="T350">
        <v>8.8284324000000005</v>
      </c>
      <c r="U350" s="5">
        <v>2.233689</v>
      </c>
      <c r="V350" t="s">
        <v>156</v>
      </c>
      <c r="W350">
        <v>0</v>
      </c>
      <c r="X350">
        <v>0</v>
      </c>
      <c r="Y350">
        <v>0</v>
      </c>
      <c r="Z350">
        <v>1E-3</v>
      </c>
      <c r="AA350" t="str">
        <f>+MID(Tabla_Consulta_desde_Reporte_de_Valorización_de_Instrumentos[[#This Row],[CODIGO_SBS]],7,1)</f>
        <v>4</v>
      </c>
      <c r="AB350">
        <f>INDEX('Cálculo Caja'!F:F,MATCH(Tabla_Consulta_desde_Reporte_de_Valorización_de_Instrumentos[[#This Row],[PORTAFOLIO]],'Cálculo Caja'!A:A,0),1)</f>
        <v>26256910350.436607</v>
      </c>
      <c r="AC350" s="17">
        <f>Tabla_Consulta_desde_Reporte_de_Valorización_de_Instrumentos[[#This Row],[VALOR_VECTOR_LOCAL]]/Tabla_Consulta_desde_Reporte_de_Valorización_de_Instrumentos[[#This Row],[Patrimonio]]</f>
        <v>3.359581071142027E-10</v>
      </c>
      <c r="AD350" s="4">
        <f>(Tabla_Consulta_desde_Reporte_de_Valorización_de_Instrumentos[[#This Row],[VALOR_VECTOR_LOCAL]]/INDEX('Tipo de Cambio'!$D:$D,MATCH("2",'Tipo de Cambio'!$E:$E,0),1))/1000000</f>
        <v>2.62466062661787E-6</v>
      </c>
      <c r="AE350">
        <f>IF(Tabla_Consulta_desde_Reporte_de_Valorización_de_Instrumentos[[#This Row],[PORTAFOLIO]]="IN-FONDO0",Tabla_Consulta_desde_Reporte_de_Valorización_de_Instrumentos[[#This Row],[Inv MM$]],0)</f>
        <v>0</v>
      </c>
      <c r="AF350" s="26">
        <f>IF(Tabla_Consulta_desde_Reporte_de_Valorización_de_Instrumentos[[#This Row],[PORTAFOLIO]]="IN-FONDO1",Tabla_Consulta_desde_Reporte_de_Valorización_de_Instrumentos[[#This Row],[Inv MM$]],0)</f>
        <v>0</v>
      </c>
      <c r="AG350" s="26">
        <f>IF(Tabla_Consulta_desde_Reporte_de_Valorización_de_Instrumentos[[#This Row],[PORTAFOLIO]]="IN-FONDO2",Tabla_Consulta_desde_Reporte_de_Valorización_de_Instrumentos[[#This Row],[Inv MM$]],0)</f>
        <v>2.62466062661787E-6</v>
      </c>
      <c r="AH350" s="26">
        <f>IF(Tabla_Consulta_desde_Reporte_de_Valorización_de_Instrumentos[[#This Row],[PORTAFOLIO]]="IN-FONDO3",Tabla_Consulta_desde_Reporte_de_Valorización_de_Instrumentos[[#This Row],[Inv MM$]],0)</f>
        <v>0</v>
      </c>
      <c r="AI35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5.0395847243297923E-6</v>
      </c>
      <c r="AJ350" s="26">
        <f>IFERROR(IFERROR(INDEX('BD(MSCI)'!$T:$T,MATCH(Tabla_Consulta_desde_Reporte_de_Valorización_de_Instrumentos[[#This Row],[CODIGO_ISIN]],'BD(MSCI)'!$C:$C,0),1),INDEX('BD(MSCI)'!$T:$T,MATCH(Tabla_Consulta_desde_Reporte_de_Valorización_de_Instrumentos[[#This Row],[CODIGO_SBS]],'BD(MSCI)'!$C:$C,0),1)),0)</f>
        <v>3.6843052799999998</v>
      </c>
      <c r="AK350" s="26">
        <f>Tabla_Consulta_desde_Reporte_de_Valorización_de_Instrumentos[[#This Row],[C02-H]]*Tabla_Consulta_desde_Reporte_de_Valorización_de_Instrumentos[[#This Row],[Inv MM$]]</f>
        <v>9.6700510048563263E-6</v>
      </c>
      <c r="AL350" s="26">
        <f>Tabla_Consulta_desde_Reporte_de_Valorización_de_Instrumentos[[#This Row],[C02-H]]*Tabla_Consulta_desde_Reporte_de_Valorización_de_Instrumentos[[#This Row],[Weight]]</f>
        <v>1.2377722278996624E-9</v>
      </c>
      <c r="AM350" s="26" t="str">
        <f>INDEX(Parametria!G:G,MATCH(Tabla_Consulta_desde_Reporte_de_Valorización_de_Instrumentos[[#This Row],[CODIGO_SBS]],Parametria!C:C,0))</f>
        <v>52RVI</v>
      </c>
      <c r="AN350" s="26" t="str">
        <f>INDEX(Parametria!F:F,MATCH(Tabla_Consulta_desde_Reporte_de_Valorización_de_Instrumentos[[#This Row],[CODIGO_SBS]],Parametria!C:C,0))</f>
        <v>TD</v>
      </c>
      <c r="AO350" s="26" t="str">
        <f>+INDEX(Parametria!J:J,MATCH(Tabla_Consulta_desde_Reporte_de_Valorización_de_Instrumentos[[#This Row],[CODIGO_SBS]],Parametria!C:C,0))</f>
        <v>RVITD</v>
      </c>
      <c r="AP350" s="26">
        <f>Tabla_Consulta_desde_Reporte_de_Valorización_de_Instrumentos[[#This Row],[Huella]]/$AU$4</f>
        <v>8.9645990100823193E-10</v>
      </c>
      <c r="AQ350" s="26" t="str">
        <f>IFERROR(INDEX('BD(MSCI)'!W:W,MATCH(Tabla_Consulta_desde_Reporte_de_Valorización_de_Instrumentos[[#This Row],[CODIGO_ISIN]],'BD(MSCI)'!C:C,0)),IF(Tabla_Consulta_desde_Reporte_de_Valorización_de_Instrumentos[[#This Row],[Rank_rt]]="Cash","Cash","Cuestionario Integra"))</f>
        <v>ETF</v>
      </c>
      <c r="AR350" s="26" t="str">
        <f>IFERROR(INDEX('BD(MSCI)'!X:X,MATCH(Tabla_Consulta_desde_Reporte_de_Valorización_de_Instrumentos[[#This Row],[CODIGO_ISIN]],'BD(MSCI)'!C:C,0)),"Cuestionario Integra")</f>
        <v>Otros ETFs</v>
      </c>
      <c r="AU350" s="26"/>
    </row>
    <row r="351" spans="2:47" hidden="1" x14ac:dyDescent="0.25">
      <c r="B351" s="14" t="s">
        <v>6390</v>
      </c>
      <c r="C351" t="s">
        <v>586</v>
      </c>
      <c r="D351" t="s">
        <v>11</v>
      </c>
      <c r="E351" t="s">
        <v>587</v>
      </c>
      <c r="F351" t="s">
        <v>5460</v>
      </c>
      <c r="G351" t="str">
        <f>INDEX(Parametria!H:H,MATCH(Tabla_Consulta_desde_Reporte_de_Valorización_de_Instrumentos[[#This Row],[CODIGO_SBS]],Parametria!C:C,0),1)</f>
        <v>Premier Miton - European Opportunities Fund</v>
      </c>
      <c r="H351" t="s">
        <v>5459</v>
      </c>
      <c r="I351" t="s">
        <v>156</v>
      </c>
      <c r="J351" t="s">
        <v>5484</v>
      </c>
      <c r="K351" t="s">
        <v>57</v>
      </c>
      <c r="L351">
        <v>1</v>
      </c>
      <c r="M351" s="5">
        <v>8.1163184000000008</v>
      </c>
      <c r="N351">
        <v>2.0568300000000002</v>
      </c>
      <c r="O351">
        <v>1.635</v>
      </c>
      <c r="P351" s="15"/>
      <c r="R351">
        <v>3.9460326999999999</v>
      </c>
      <c r="S351" t="s">
        <v>428</v>
      </c>
      <c r="T351">
        <v>8.1229527000000008</v>
      </c>
      <c r="U351" s="5">
        <v>2.0551949999999999</v>
      </c>
      <c r="V351" t="s">
        <v>156</v>
      </c>
      <c r="W351">
        <v>0</v>
      </c>
      <c r="X351">
        <v>0</v>
      </c>
      <c r="Y351">
        <v>0</v>
      </c>
      <c r="Z351">
        <v>1E-3</v>
      </c>
      <c r="AA351" t="str">
        <f>+MID(Tabla_Consulta_desde_Reporte_de_Valorización_de_Instrumentos[[#This Row],[CODIGO_SBS]],7,1)</f>
        <v>4</v>
      </c>
      <c r="AB351">
        <f>INDEX('Cálculo Caja'!F:F,MATCH(Tabla_Consulta_desde_Reporte_de_Valorización_de_Instrumentos[[#This Row],[PORTAFOLIO]],'Cálculo Caja'!A:A,0),1)</f>
        <v>3164069580.822104</v>
      </c>
      <c r="AC351" s="17">
        <f>Tabla_Consulta_desde_Reporte_de_Valorización_de_Instrumentos[[#This Row],[VALOR_VECTOR_LOCAL]]/Tabla_Consulta_desde_Reporte_de_Valorización_de_Instrumentos[[#This Row],[Patrimonio]]</f>
        <v>2.5651516797210193E-9</v>
      </c>
      <c r="AD351" s="4">
        <f>(Tabla_Consulta_desde_Reporte_de_Valorización_de_Instrumentos[[#This Row],[VALOR_VECTOR_LOCAL]]/INDEX('Tipo de Cambio'!$D:$D,MATCH("2",'Tipo de Cambio'!$E:$E,0),1))/1000000</f>
        <v>2.4149240977119227E-6</v>
      </c>
      <c r="AE351">
        <f>IF(Tabla_Consulta_desde_Reporte_de_Valorización_de_Instrumentos[[#This Row],[PORTAFOLIO]]="IN-FONDO0",Tabla_Consulta_desde_Reporte_de_Valorización_de_Instrumentos[[#This Row],[Inv MM$]],0)</f>
        <v>0</v>
      </c>
      <c r="AF351" s="26">
        <f>IF(Tabla_Consulta_desde_Reporte_de_Valorización_de_Instrumentos[[#This Row],[PORTAFOLIO]]="IN-FONDO1",Tabla_Consulta_desde_Reporte_de_Valorización_de_Instrumentos[[#This Row],[Inv MM$]],0)</f>
        <v>0</v>
      </c>
      <c r="AG351" s="26">
        <f>IF(Tabla_Consulta_desde_Reporte_de_Valorización_de_Instrumentos[[#This Row],[PORTAFOLIO]]="IN-FONDO2",Tabla_Consulta_desde_Reporte_de_Valorización_de_Instrumentos[[#This Row],[Inv MM$]],0)</f>
        <v>0</v>
      </c>
      <c r="AH351" s="26">
        <f>IF(Tabla_Consulta_desde_Reporte_de_Valorización_de_Instrumentos[[#This Row],[PORTAFOLIO]]="IN-FONDO3",Tabla_Consulta_desde_Reporte_de_Valorización_de_Instrumentos[[#This Row],[Inv MM$]],0)</f>
        <v>2.4149240977119227E-6</v>
      </c>
      <c r="AI35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5.0395847243297923E-6</v>
      </c>
      <c r="AJ351" s="26">
        <f>IFERROR(IFERROR(INDEX('BD(MSCI)'!$T:$T,MATCH(Tabla_Consulta_desde_Reporte_de_Valorización_de_Instrumentos[[#This Row],[CODIGO_ISIN]],'BD(MSCI)'!$C:$C,0),1),INDEX('BD(MSCI)'!$T:$T,MATCH(Tabla_Consulta_desde_Reporte_de_Valorización_de_Instrumentos[[#This Row],[CODIGO_SBS]],'BD(MSCI)'!$C:$C,0),1)),0)</f>
        <v>3.6843052799999998</v>
      </c>
      <c r="AK351" s="26">
        <f>Tabla_Consulta_desde_Reporte_de_Valorización_de_Instrumentos[[#This Row],[C02-H]]*Tabla_Consulta_desde_Reporte_de_Valorización_de_Instrumentos[[#This Row],[Inv MM$]]</f>
        <v>8.8973176039992727E-6</v>
      </c>
      <c r="AL351" s="26">
        <f>Tabla_Consulta_desde_Reporte_de_Valorización_de_Instrumentos[[#This Row],[C02-H]]*Tabla_Consulta_desde_Reporte_de_Valorización_de_Instrumentos[[#This Row],[Weight]]</f>
        <v>9.4508018775970202E-9</v>
      </c>
      <c r="AM351" s="26" t="str">
        <f>INDEX(Parametria!G:G,MATCH(Tabla_Consulta_desde_Reporte_de_Valorización_de_Instrumentos[[#This Row],[CODIGO_SBS]],Parametria!C:C,0))</f>
        <v>52RVI</v>
      </c>
      <c r="AN351" s="26" t="str">
        <f>INDEX(Parametria!F:F,MATCH(Tabla_Consulta_desde_Reporte_de_Valorización_de_Instrumentos[[#This Row],[CODIGO_SBS]],Parametria!C:C,0))</f>
        <v>TD</v>
      </c>
      <c r="AO351" s="26" t="str">
        <f>+INDEX(Parametria!J:J,MATCH(Tabla_Consulta_desde_Reporte_de_Valorización_de_Instrumentos[[#This Row],[CODIGO_SBS]],Parametria!C:C,0))</f>
        <v>RVITD</v>
      </c>
      <c r="AP351" s="26">
        <f>Tabla_Consulta_desde_Reporte_de_Valorización_de_Instrumentos[[#This Row],[Huella]]/$AU$4</f>
        <v>8.2482382507748659E-10</v>
      </c>
      <c r="AQ351" s="26" t="str">
        <f>IFERROR(INDEX('BD(MSCI)'!W:W,MATCH(Tabla_Consulta_desde_Reporte_de_Valorización_de_Instrumentos[[#This Row],[CODIGO_ISIN]],'BD(MSCI)'!C:C,0)),IF(Tabla_Consulta_desde_Reporte_de_Valorización_de_Instrumentos[[#This Row],[Rank_rt]]="Cash","Cash","Cuestionario Integra"))</f>
        <v>ETF</v>
      </c>
      <c r="AR351" s="26" t="str">
        <f>IFERROR(INDEX('BD(MSCI)'!X:X,MATCH(Tabla_Consulta_desde_Reporte_de_Valorización_de_Instrumentos[[#This Row],[CODIGO_ISIN]],'BD(MSCI)'!C:C,0)),"Cuestionario Integra")</f>
        <v>Otros ETFs</v>
      </c>
      <c r="AU351" s="26"/>
    </row>
    <row r="352" spans="2:47" hidden="1" x14ac:dyDescent="0.25">
      <c r="B352" s="14" t="s">
        <v>6390</v>
      </c>
      <c r="C352" t="s">
        <v>586</v>
      </c>
      <c r="D352" t="s">
        <v>10</v>
      </c>
      <c r="E352" t="s">
        <v>587</v>
      </c>
      <c r="F352" t="s">
        <v>6372</v>
      </c>
      <c r="G352" t="str">
        <f>INDEX(Parametria!H:H,MATCH(Tabla_Consulta_desde_Reporte_de_Valorización_de_Instrumentos[[#This Row],[CODIGO_SBS]],Parametria!C:C,0),1)</f>
        <v>DNCA - Alpha Bonds</v>
      </c>
      <c r="H352" t="s">
        <v>6371</v>
      </c>
      <c r="I352" t="s">
        <v>156</v>
      </c>
      <c r="J352" t="s">
        <v>6438</v>
      </c>
      <c r="K352" t="s">
        <v>50</v>
      </c>
      <c r="L352">
        <v>0</v>
      </c>
      <c r="M352" s="5">
        <v>10985777.6106629</v>
      </c>
      <c r="N352">
        <v>3268701.1248960001</v>
      </c>
      <c r="O352">
        <v>29437.1499</v>
      </c>
      <c r="P352" s="15"/>
      <c r="R352">
        <v>3.3609</v>
      </c>
      <c r="S352" t="s">
        <v>155</v>
      </c>
      <c r="T352">
        <v>10984405.4273575</v>
      </c>
      <c r="U352" s="5">
        <v>3266640.5244029998</v>
      </c>
      <c r="V352" t="s">
        <v>156</v>
      </c>
      <c r="W352">
        <v>0</v>
      </c>
      <c r="X352">
        <v>0</v>
      </c>
      <c r="Y352">
        <v>0</v>
      </c>
      <c r="Z352">
        <v>7.0000000000000007E-2</v>
      </c>
      <c r="AA352" t="str">
        <f>+MID(Tabla_Consulta_desde_Reporte_de_Valorización_de_Instrumentos[[#This Row],[CODIGO_SBS]],7,1)</f>
        <v>2</v>
      </c>
      <c r="AB352">
        <f>INDEX('Cálculo Caja'!F:F,MATCH(Tabla_Consulta_desde_Reporte_de_Valorización_de_Instrumentos[[#This Row],[PORTAFOLIO]],'Cálculo Caja'!A:A,0),1)</f>
        <v>26256910350.436607</v>
      </c>
      <c r="AC352" s="17">
        <f>Tabla_Consulta_desde_Reporte_de_Valorización_de_Instrumentos[[#This Row],[VALOR_VECTOR_LOCAL]]/Tabla_Consulta_desde_Reporte_de_Valorización_de_Instrumentos[[#This Row],[Patrimonio]]</f>
        <v>4.1839567047461946E-4</v>
      </c>
      <c r="AD352" s="4">
        <f>(Tabla_Consulta_desde_Reporte_de_Valorización_de_Instrumentos[[#This Row],[VALOR_VECTOR_LOCAL]]/INDEX('Tipo de Cambio'!$D:$D,MATCH("2",'Tipo de Cambio'!$E:$E,0),1))/1000000</f>
        <v>3.2687011248959803</v>
      </c>
      <c r="AE352">
        <f>IF(Tabla_Consulta_desde_Reporte_de_Valorización_de_Instrumentos[[#This Row],[PORTAFOLIO]]="IN-FONDO0",Tabla_Consulta_desde_Reporte_de_Valorización_de_Instrumentos[[#This Row],[Inv MM$]],0)</f>
        <v>0</v>
      </c>
      <c r="AF352" s="26">
        <f>IF(Tabla_Consulta_desde_Reporte_de_Valorización_de_Instrumentos[[#This Row],[PORTAFOLIO]]="IN-FONDO1",Tabla_Consulta_desde_Reporte_de_Valorización_de_Instrumentos[[#This Row],[Inv MM$]],0)</f>
        <v>0</v>
      </c>
      <c r="AG352" s="26">
        <f>IF(Tabla_Consulta_desde_Reporte_de_Valorización_de_Instrumentos[[#This Row],[PORTAFOLIO]]="IN-FONDO2",Tabla_Consulta_desde_Reporte_de_Valorización_de_Instrumentos[[#This Row],[Inv MM$]],0)</f>
        <v>3.2687011248959803</v>
      </c>
      <c r="AH352" s="26">
        <f>IF(Tabla_Consulta_desde_Reporte_de_Valorización_de_Instrumentos[[#This Row],[PORTAFOLIO]]="IN-FONDO3",Tabla_Consulta_desde_Reporte_de_Valorización_de_Instrumentos[[#This Row],[Inv MM$]],0)</f>
        <v>0</v>
      </c>
      <c r="AI35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10.849110633663958</v>
      </c>
      <c r="AJ352" s="26">
        <f>IFERROR(IFERROR(INDEX('BD(MSCI)'!$T:$T,MATCH(Tabla_Consulta_desde_Reporte_de_Valorización_de_Instrumentos[[#This Row],[CODIGO_ISIN]],'BD(MSCI)'!$C:$C,0),1),INDEX('BD(MSCI)'!$T:$T,MATCH(Tabla_Consulta_desde_Reporte_de_Valorización_de_Instrumentos[[#This Row],[CODIGO_SBS]],'BD(MSCI)'!$C:$C,0),1)),0)</f>
        <v>25.369141249999998</v>
      </c>
      <c r="AK352" s="26">
        <f>Tabla_Consulta_desde_Reporte_de_Valorización_de_Instrumentos[[#This Row],[C02-H]]*Tabla_Consulta_desde_Reporte_de_Valorización_de_Instrumentos[[#This Row],[Inv MM$]]</f>
        <v>82.924140541520018</v>
      </c>
      <c r="AL352" s="26">
        <f>Tabla_Consulta_desde_Reporte_de_Valorización_de_Instrumentos[[#This Row],[C02-H]]*Tabla_Consulta_desde_Reporte_de_Valorización_de_Instrumentos[[#This Row],[Weight]]</f>
        <v>1.0614338862659075E-2</v>
      </c>
      <c r="AM352" s="26" t="str">
        <f>INDEX(Parametria!G:G,MATCH(Tabla_Consulta_desde_Reporte_de_Valorización_de_Instrumentos[[#This Row],[CODIGO_SBS]],Parametria!C:C,0))</f>
        <v>52RFIG</v>
      </c>
      <c r="AN352" s="26" t="str">
        <f>INDEX(Parametria!F:F,MATCH(Tabla_Consulta_desde_Reporte_de_Valorización_de_Instrumentos[[#This Row],[CODIGO_SBS]],Parametria!C:C,0))</f>
        <v>TD</v>
      </c>
      <c r="AO352" s="26" t="str">
        <f>+INDEX(Parametria!J:J,MATCH(Tabla_Consulta_desde_Reporte_de_Valorización_de_Instrumentos[[#This Row],[CODIGO_SBS]],Parametria!C:C,0))</f>
        <v>RFITD</v>
      </c>
      <c r="AP352" s="26">
        <f>Tabla_Consulta_desde_Reporte_de_Valorización_de_Instrumentos[[#This Row],[Huella]]/$AU$4</f>
        <v>7.6874637769450147E-3</v>
      </c>
      <c r="AQ352" s="26" t="str">
        <f>IFERROR(INDEX('BD(MSCI)'!W:W,MATCH(Tabla_Consulta_desde_Reporte_de_Valorización_de_Instrumentos[[#This Row],[CODIGO_ISIN]],'BD(MSCI)'!C:C,0)),IF(Tabla_Consulta_desde_Reporte_de_Valorización_de_Instrumentos[[#This Row],[Rank_rt]]="Cash","Cash","Cuestionario Integra"))</f>
        <v>ETF</v>
      </c>
      <c r="AR352" s="26" t="str">
        <f>IFERROR(INDEX('BD(MSCI)'!X:X,MATCH(Tabla_Consulta_desde_Reporte_de_Valorización_de_Instrumentos[[#This Row],[CODIGO_ISIN]],'BD(MSCI)'!C:C,0)),"Cuestionario Integra")</f>
        <v>Otros ETFs</v>
      </c>
      <c r="AU352" s="26"/>
    </row>
    <row r="353" spans="2:47" hidden="1" x14ac:dyDescent="0.25">
      <c r="B353" s="14" t="s">
        <v>6390</v>
      </c>
      <c r="C353" t="s">
        <v>586</v>
      </c>
      <c r="D353" t="s">
        <v>12</v>
      </c>
      <c r="E353" t="s">
        <v>587</v>
      </c>
      <c r="F353" t="s">
        <v>6372</v>
      </c>
      <c r="G353" t="str">
        <f>INDEX(Parametria!H:H,MATCH(Tabla_Consulta_desde_Reporte_de_Valorización_de_Instrumentos[[#This Row],[CODIGO_SBS]],Parametria!C:C,0),1)</f>
        <v>DNCA - Alpha Bonds</v>
      </c>
      <c r="H353" t="s">
        <v>6371</v>
      </c>
      <c r="I353" t="s">
        <v>156</v>
      </c>
      <c r="J353" t="s">
        <v>6438</v>
      </c>
      <c r="K353" t="s">
        <v>50</v>
      </c>
      <c r="L353">
        <v>0</v>
      </c>
      <c r="M353" s="5">
        <v>25476998.318018299</v>
      </c>
      <c r="N353">
        <v>7580409.5087679997</v>
      </c>
      <c r="O353">
        <v>68267.376699999993</v>
      </c>
      <c r="P353" s="15"/>
      <c r="R353">
        <v>3.3609</v>
      </c>
      <c r="S353" t="s">
        <v>155</v>
      </c>
      <c r="T353">
        <v>25473816.102520801</v>
      </c>
      <c r="U353" s="5">
        <v>7575630.7923990004</v>
      </c>
      <c r="V353" t="s">
        <v>156</v>
      </c>
      <c r="W353">
        <v>0</v>
      </c>
      <c r="X353">
        <v>0</v>
      </c>
      <c r="Y353">
        <v>0</v>
      </c>
      <c r="Z353">
        <v>7.0000000000000007E-2</v>
      </c>
      <c r="AA353" t="str">
        <f>+MID(Tabla_Consulta_desde_Reporte_de_Valorización_de_Instrumentos[[#This Row],[CODIGO_SBS]],7,1)</f>
        <v>2</v>
      </c>
      <c r="AB353">
        <f>INDEX('Cálculo Caja'!F:F,MATCH(Tabla_Consulta_desde_Reporte_de_Valorización_de_Instrumentos[[#This Row],[PORTAFOLIO]],'Cálculo Caja'!A:A,0),1)</f>
        <v>7679510866.0565634</v>
      </c>
      <c r="AC353" s="17">
        <f>Tabla_Consulta_desde_Reporte_de_Valorización_de_Instrumentos[[#This Row],[VALOR_VECTOR_LOCAL]]/Tabla_Consulta_desde_Reporte_de_Valorización_de_Instrumentos[[#This Row],[Patrimonio]]</f>
        <v>3.3175287804626499E-3</v>
      </c>
      <c r="AD353" s="4">
        <f>(Tabla_Consulta_desde_Reporte_de_Valorización_de_Instrumentos[[#This Row],[VALOR_VECTOR_LOCAL]]/INDEX('Tipo de Cambio'!$D:$D,MATCH("2",'Tipo de Cambio'!$E:$E,0),1))/1000000</f>
        <v>7.5804095087679784</v>
      </c>
      <c r="AE353">
        <f>IF(Tabla_Consulta_desde_Reporte_de_Valorización_de_Instrumentos[[#This Row],[PORTAFOLIO]]="IN-FONDO0",Tabla_Consulta_desde_Reporte_de_Valorización_de_Instrumentos[[#This Row],[Inv MM$]],0)</f>
        <v>0</v>
      </c>
      <c r="AF353" s="26">
        <f>IF(Tabla_Consulta_desde_Reporte_de_Valorización_de_Instrumentos[[#This Row],[PORTAFOLIO]]="IN-FONDO1",Tabla_Consulta_desde_Reporte_de_Valorización_de_Instrumentos[[#This Row],[Inv MM$]],0)</f>
        <v>7.5804095087679784</v>
      </c>
      <c r="AG353" s="26">
        <f>IF(Tabla_Consulta_desde_Reporte_de_Valorización_de_Instrumentos[[#This Row],[PORTAFOLIO]]="IN-FONDO2",Tabla_Consulta_desde_Reporte_de_Valorización_de_Instrumentos[[#This Row],[Inv MM$]],0)</f>
        <v>0</v>
      </c>
      <c r="AH353" s="26">
        <f>IF(Tabla_Consulta_desde_Reporte_de_Valorización_de_Instrumentos[[#This Row],[PORTAFOLIO]]="IN-FONDO3",Tabla_Consulta_desde_Reporte_de_Valorización_de_Instrumentos[[#This Row],[Inv MM$]],0)</f>
        <v>0</v>
      </c>
      <c r="AI35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10.849110633663958</v>
      </c>
      <c r="AJ353" s="26">
        <f>IFERROR(IFERROR(INDEX('BD(MSCI)'!$T:$T,MATCH(Tabla_Consulta_desde_Reporte_de_Valorización_de_Instrumentos[[#This Row],[CODIGO_ISIN]],'BD(MSCI)'!$C:$C,0),1),INDEX('BD(MSCI)'!$T:$T,MATCH(Tabla_Consulta_desde_Reporte_de_Valorización_de_Instrumentos[[#This Row],[CODIGO_SBS]],'BD(MSCI)'!$C:$C,0),1)),0)</f>
        <v>25.369141249999998</v>
      </c>
      <c r="AK353" s="26">
        <f>Tabla_Consulta_desde_Reporte_de_Valorización_de_Instrumentos[[#This Row],[C02-H]]*Tabla_Consulta_desde_Reporte_de_Valorización_de_Instrumentos[[#This Row],[Inv MM$]]</f>
        <v>192.30847956077795</v>
      </c>
      <c r="AL353" s="26">
        <f>Tabla_Consulta_desde_Reporte_de_Valorización_de_Instrumentos[[#This Row],[C02-H]]*Tabla_Consulta_desde_Reporte_de_Valorización_de_Instrumentos[[#This Row],[Weight]]</f>
        <v>8.4162856232497196E-2</v>
      </c>
      <c r="AM353" s="26" t="str">
        <f>INDEX(Parametria!G:G,MATCH(Tabla_Consulta_desde_Reporte_de_Valorización_de_Instrumentos[[#This Row],[CODIGO_SBS]],Parametria!C:C,0))</f>
        <v>52RFIG</v>
      </c>
      <c r="AN353" s="26" t="str">
        <f>INDEX(Parametria!F:F,MATCH(Tabla_Consulta_desde_Reporte_de_Valorización_de_Instrumentos[[#This Row],[CODIGO_SBS]],Parametria!C:C,0))</f>
        <v>TD</v>
      </c>
      <c r="AO353" s="26" t="str">
        <f>+INDEX(Parametria!J:J,MATCH(Tabla_Consulta_desde_Reporte_de_Valorización_de_Instrumentos[[#This Row],[CODIGO_SBS]],Parametria!C:C,0))</f>
        <v>RFITD</v>
      </c>
      <c r="AP353" s="26">
        <f>Tabla_Consulta_desde_Reporte_de_Valorización_de_Instrumentos[[#This Row],[Huella]]/$AU$4</f>
        <v>1.7827914295748846E-2</v>
      </c>
      <c r="AQ353" s="26" t="str">
        <f>IFERROR(INDEX('BD(MSCI)'!W:W,MATCH(Tabla_Consulta_desde_Reporte_de_Valorización_de_Instrumentos[[#This Row],[CODIGO_ISIN]],'BD(MSCI)'!C:C,0)),IF(Tabla_Consulta_desde_Reporte_de_Valorización_de_Instrumentos[[#This Row],[Rank_rt]]="Cash","Cash","Cuestionario Integra"))</f>
        <v>ETF</v>
      </c>
      <c r="AR353" s="26" t="str">
        <f>IFERROR(INDEX('BD(MSCI)'!X:X,MATCH(Tabla_Consulta_desde_Reporte_de_Valorización_de_Instrumentos[[#This Row],[CODIGO_ISIN]],'BD(MSCI)'!C:C,0)),"Cuestionario Integra")</f>
        <v>Otros ETFs</v>
      </c>
      <c r="AU353" s="26"/>
    </row>
    <row r="354" spans="2:47" hidden="1" x14ac:dyDescent="0.25">
      <c r="B354" s="14" t="s">
        <v>6390</v>
      </c>
      <c r="C354" t="s">
        <v>586</v>
      </c>
      <c r="D354" t="s">
        <v>12</v>
      </c>
      <c r="E354" t="s">
        <v>587</v>
      </c>
      <c r="F354" t="s">
        <v>688</v>
      </c>
      <c r="G354" t="str">
        <f>INDEX(Parametria!H:H,MATCH(Tabla_Consulta_desde_Reporte_de_Valorización_de_Instrumentos[[#This Row],[CODIGO_SBS]],Parametria!C:C,0),1)</f>
        <v>Allianz - China-A</v>
      </c>
      <c r="H354" t="s">
        <v>689</v>
      </c>
      <c r="I354" t="s">
        <v>156</v>
      </c>
      <c r="J354" t="s">
        <v>690</v>
      </c>
      <c r="K354" t="s">
        <v>50</v>
      </c>
      <c r="L354">
        <v>1753.82</v>
      </c>
      <c r="M354" s="5">
        <v>6477.1442255000002</v>
      </c>
      <c r="N354">
        <v>1927.2052799999999</v>
      </c>
      <c r="O354">
        <v>1.274</v>
      </c>
      <c r="P354" s="15"/>
      <c r="R354">
        <v>3.3609</v>
      </c>
      <c r="S354" t="s">
        <v>428</v>
      </c>
      <c r="T354">
        <v>6528.7434575999996</v>
      </c>
      <c r="U354" s="5">
        <v>1941.576</v>
      </c>
      <c r="V354" t="s">
        <v>156</v>
      </c>
      <c r="W354">
        <v>0</v>
      </c>
      <c r="X354">
        <v>0</v>
      </c>
      <c r="Y354">
        <v>0</v>
      </c>
      <c r="Z354">
        <v>-11.28</v>
      </c>
      <c r="AA354" t="str">
        <f>+MID(Tabla_Consulta_desde_Reporte_de_Valorización_de_Instrumentos[[#This Row],[CODIGO_SBS]],7,1)</f>
        <v>2</v>
      </c>
      <c r="AB354">
        <f>INDEX('Cálculo Caja'!F:F,MATCH(Tabla_Consulta_desde_Reporte_de_Valorización_de_Instrumentos[[#This Row],[PORTAFOLIO]],'Cálculo Caja'!A:A,0),1)</f>
        <v>7679510866.0565634</v>
      </c>
      <c r="AC354" s="17">
        <f>Tabla_Consulta_desde_Reporte_de_Valorización_de_Instrumentos[[#This Row],[VALOR_VECTOR_LOCAL]]/Tabla_Consulta_desde_Reporte_de_Valorización_de_Instrumentos[[#This Row],[Patrimonio]]</f>
        <v>8.4343187196061883E-7</v>
      </c>
      <c r="AD354" s="4">
        <f>(Tabla_Consulta_desde_Reporte_de_Valorización_de_Instrumentos[[#This Row],[VALOR_VECTOR_LOCAL]]/INDEX('Tipo de Cambio'!$D:$D,MATCH("2",'Tipo de Cambio'!$E:$E,0),1))/1000000</f>
        <v>1.9272052799845279E-3</v>
      </c>
      <c r="AE354">
        <f>IF(Tabla_Consulta_desde_Reporte_de_Valorización_de_Instrumentos[[#This Row],[PORTAFOLIO]]="IN-FONDO0",Tabla_Consulta_desde_Reporte_de_Valorización_de_Instrumentos[[#This Row],[Inv MM$]],0)</f>
        <v>0</v>
      </c>
      <c r="AF354" s="26">
        <f>IF(Tabla_Consulta_desde_Reporte_de_Valorización_de_Instrumentos[[#This Row],[PORTAFOLIO]]="IN-FONDO1",Tabla_Consulta_desde_Reporte_de_Valorización_de_Instrumentos[[#This Row],[Inv MM$]],0)</f>
        <v>1.9272052799845279E-3</v>
      </c>
      <c r="AG354" s="26">
        <f>IF(Tabla_Consulta_desde_Reporte_de_Valorización_de_Instrumentos[[#This Row],[PORTAFOLIO]]="IN-FONDO2",Tabla_Consulta_desde_Reporte_de_Valorización_de_Instrumentos[[#This Row],[Inv MM$]],0)</f>
        <v>0</v>
      </c>
      <c r="AH354" s="26">
        <f>IF(Tabla_Consulta_desde_Reporte_de_Valorización_de_Instrumentos[[#This Row],[PORTAFOLIO]]="IN-FONDO3",Tabla_Consulta_desde_Reporte_de_Valorización_de_Instrumentos[[#This Row],[Inv MM$]],0)</f>
        <v>0</v>
      </c>
      <c r="AI35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9.6904843199738175E-3</v>
      </c>
      <c r="AJ354" s="26">
        <f>IFERROR(IFERROR(INDEX('BD(MSCI)'!$T:$T,MATCH(Tabla_Consulta_desde_Reporte_de_Valorización_de_Instrumentos[[#This Row],[CODIGO_ISIN]],'BD(MSCI)'!$C:$C,0),1),INDEX('BD(MSCI)'!$T:$T,MATCH(Tabla_Consulta_desde_Reporte_de_Valorización_de_Instrumentos[[#This Row],[CODIGO_SBS]],'BD(MSCI)'!$C:$C,0),1)),0)</f>
        <v>35.826044969999998</v>
      </c>
      <c r="AK354" s="26">
        <f>Tabla_Consulta_desde_Reporte_de_Valorización_de_Instrumentos[[#This Row],[C02-H]]*Tabla_Consulta_desde_Reporte_de_Valorización_de_Instrumentos[[#This Row],[Inv MM$]]</f>
        <v>6.9044143027147134E-2</v>
      </c>
      <c r="AL354" s="26">
        <f>Tabla_Consulta_desde_Reporte_de_Valorización_de_Instrumentos[[#This Row],[C02-H]]*Tabla_Consulta_desde_Reporte_de_Valorización_de_Instrumentos[[#This Row],[Weight]]</f>
        <v>3.0216828173992411E-5</v>
      </c>
      <c r="AM354" s="26" t="str">
        <f>INDEX(Parametria!G:G,MATCH(Tabla_Consulta_desde_Reporte_de_Valorización_de_Instrumentos[[#This Row],[CODIGO_SBS]],Parametria!C:C,0))</f>
        <v>52RVI</v>
      </c>
      <c r="AN354" s="26" t="str">
        <f>INDEX(Parametria!F:F,MATCH(Tabla_Consulta_desde_Reporte_de_Valorización_de_Instrumentos[[#This Row],[CODIGO_SBS]],Parametria!C:C,0))</f>
        <v>TD</v>
      </c>
      <c r="AO354" s="26" t="str">
        <f>+INDEX(Parametria!J:J,MATCH(Tabla_Consulta_desde_Reporte_de_Valorización_de_Instrumentos[[#This Row],[CODIGO_SBS]],Parametria!C:C,0))</f>
        <v>RVITD</v>
      </c>
      <c r="AP354" s="26">
        <f>Tabla_Consulta_desde_Reporte_de_Valorización_de_Instrumentos[[#This Row],[Huella]]/$AU$4</f>
        <v>6.400721732722044E-6</v>
      </c>
      <c r="AQ354" s="26" t="str">
        <f>IFERROR(INDEX('BD(MSCI)'!W:W,MATCH(Tabla_Consulta_desde_Reporte_de_Valorización_de_Instrumentos[[#This Row],[CODIGO_ISIN]],'BD(MSCI)'!C:C,0)),IF(Tabla_Consulta_desde_Reporte_de_Valorización_de_Instrumentos[[#This Row],[Rank_rt]]="Cash","Cash","Cuestionario Integra"))</f>
        <v>ETF</v>
      </c>
      <c r="AR354" s="26" t="str">
        <f>IFERROR(INDEX('BD(MSCI)'!X:X,MATCH(Tabla_Consulta_desde_Reporte_de_Valorización_de_Instrumentos[[#This Row],[CODIGO_ISIN]],'BD(MSCI)'!C:C,0)),"Cuestionario Integra")</f>
        <v>Otros ETFs</v>
      </c>
      <c r="AU354" s="26"/>
    </row>
    <row r="355" spans="2:47" hidden="1" x14ac:dyDescent="0.25">
      <c r="B355" s="14" t="s">
        <v>6390</v>
      </c>
      <c r="C355" t="s">
        <v>586</v>
      </c>
      <c r="D355" t="s">
        <v>12</v>
      </c>
      <c r="E355" t="s">
        <v>587</v>
      </c>
      <c r="F355" t="s">
        <v>691</v>
      </c>
      <c r="G355" t="str">
        <f>INDEX(Parametria!H:H,MATCH(Tabla_Consulta_desde_Reporte_de_Valorización_de_Instrumentos[[#This Row],[CODIGO_SBS]],Parametria!C:C,0),1)</f>
        <v>Allianz - Euroland Equity Growth</v>
      </c>
      <c r="H355" t="s">
        <v>692</v>
      </c>
      <c r="I355" t="s">
        <v>156</v>
      </c>
      <c r="J355" t="s">
        <v>690</v>
      </c>
      <c r="K355" t="s">
        <v>57</v>
      </c>
      <c r="L355">
        <v>1</v>
      </c>
      <c r="M355" s="5">
        <v>9056.5791100000006</v>
      </c>
      <c r="N355">
        <v>2295.11</v>
      </c>
      <c r="O355">
        <v>1</v>
      </c>
      <c r="P355" s="15"/>
      <c r="R355">
        <v>3.9460326999999999</v>
      </c>
      <c r="S355" t="s">
        <v>428</v>
      </c>
      <c r="T355">
        <v>9071.1927639999994</v>
      </c>
      <c r="U355" s="5">
        <v>2295.11</v>
      </c>
      <c r="V355" t="s">
        <v>156</v>
      </c>
      <c r="W355">
        <v>0</v>
      </c>
      <c r="X355">
        <v>0</v>
      </c>
      <c r="Y355">
        <v>0</v>
      </c>
      <c r="Z355">
        <v>0</v>
      </c>
      <c r="AA355" t="str">
        <f>+MID(Tabla_Consulta_desde_Reporte_de_Valorización_de_Instrumentos[[#This Row],[CODIGO_SBS]],7,1)</f>
        <v>4</v>
      </c>
      <c r="AB355">
        <f>INDEX('Cálculo Caja'!F:F,MATCH(Tabla_Consulta_desde_Reporte_de_Valorización_de_Instrumentos[[#This Row],[PORTAFOLIO]],'Cálculo Caja'!A:A,0),1)</f>
        <v>7679510866.0565634</v>
      </c>
      <c r="AC355" s="17">
        <f>Tabla_Consulta_desde_Reporte_de_Valorización_de_Instrumentos[[#This Row],[VALOR_VECTOR_LOCAL]]/Tabla_Consulta_desde_Reporte_de_Valorización_de_Instrumentos[[#This Row],[Patrimonio]]</f>
        <v>1.1793171815186925E-6</v>
      </c>
      <c r="AD355" s="4">
        <f>(Tabla_Consulta_desde_Reporte_de_Valorización_de_Instrumentos[[#This Row],[VALOR_VECTOR_LOCAL]]/INDEX('Tipo de Cambio'!$D:$D,MATCH("2",'Tipo de Cambio'!$E:$E,0),1))/1000000</f>
        <v>2.6946886577999944E-3</v>
      </c>
      <c r="AE355">
        <f>IF(Tabla_Consulta_desde_Reporte_de_Valorización_de_Instrumentos[[#This Row],[PORTAFOLIO]]="IN-FONDO0",Tabla_Consulta_desde_Reporte_de_Valorización_de_Instrumentos[[#This Row],[Inv MM$]],0)</f>
        <v>0</v>
      </c>
      <c r="AF355" s="26">
        <f>IF(Tabla_Consulta_desde_Reporte_de_Valorización_de_Instrumentos[[#This Row],[PORTAFOLIO]]="IN-FONDO1",Tabla_Consulta_desde_Reporte_de_Valorización_de_Instrumentos[[#This Row],[Inv MM$]],0)</f>
        <v>2.6946886577999944E-3</v>
      </c>
      <c r="AG355" s="26">
        <f>IF(Tabla_Consulta_desde_Reporte_de_Valorización_de_Instrumentos[[#This Row],[PORTAFOLIO]]="IN-FONDO2",Tabla_Consulta_desde_Reporte_de_Valorización_de_Instrumentos[[#This Row],[Inv MM$]],0)</f>
        <v>0</v>
      </c>
      <c r="AH355" s="26">
        <f>IF(Tabla_Consulta_desde_Reporte_de_Valorización_de_Instrumentos[[#This Row],[PORTAFOLIO]]="IN-FONDO3",Tabla_Consulta_desde_Reporte_de_Valorización_de_Instrumentos[[#This Row],[Inv MM$]],0)</f>
        <v>0</v>
      </c>
      <c r="AI35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8.0840659733999835E-3</v>
      </c>
      <c r="AJ355" s="26">
        <f>IFERROR(IFERROR(INDEX('BD(MSCI)'!$T:$T,MATCH(Tabla_Consulta_desde_Reporte_de_Valorización_de_Instrumentos[[#This Row],[CODIGO_ISIN]],'BD(MSCI)'!$C:$C,0),1),INDEX('BD(MSCI)'!$T:$T,MATCH(Tabla_Consulta_desde_Reporte_de_Valorización_de_Instrumentos[[#This Row],[CODIGO_SBS]],'BD(MSCI)'!$C:$C,0),1)),0)</f>
        <v>32.946213380000003</v>
      </c>
      <c r="AK355" s="26">
        <f>Tabla_Consulta_desde_Reporte_de_Valorización_de_Instrumentos[[#This Row],[C02-H]]*Tabla_Consulta_desde_Reporte_de_Valorización_de_Instrumentos[[#This Row],[Inv MM$]]</f>
        <v>8.8779787512544422E-2</v>
      </c>
      <c r="AL355" s="26">
        <f>Tabla_Consulta_desde_Reporte_de_Valorización_de_Instrumentos[[#This Row],[C02-H]]*Tabla_Consulta_desde_Reporte_de_Valorización_de_Instrumentos[[#This Row],[Weight]]</f>
        <v>3.8854035505015043E-5</v>
      </c>
      <c r="AM355" s="26" t="str">
        <f>INDEX(Parametria!G:G,MATCH(Tabla_Consulta_desde_Reporte_de_Valorización_de_Instrumentos[[#This Row],[CODIGO_SBS]],Parametria!C:C,0))</f>
        <v>52RVI</v>
      </c>
      <c r="AN355" s="26" t="str">
        <f>INDEX(Parametria!F:F,MATCH(Tabla_Consulta_desde_Reporte_de_Valorización_de_Instrumentos[[#This Row],[CODIGO_SBS]],Parametria!C:C,0))</f>
        <v>TD</v>
      </c>
      <c r="AO355" s="26" t="str">
        <f>+INDEX(Parametria!J:J,MATCH(Tabla_Consulta_desde_Reporte_de_Valorización_de_Instrumentos[[#This Row],[CODIGO_SBS]],Parametria!C:C,0))</f>
        <v>RVITD</v>
      </c>
      <c r="AP355" s="26">
        <f>Tabla_Consulta_desde_Reporte_de_Valorización_de_Instrumentos[[#This Row],[Huella]]/$AU$4</f>
        <v>8.2303102108828965E-6</v>
      </c>
      <c r="AQ355" s="26" t="str">
        <f>IFERROR(INDEX('BD(MSCI)'!W:W,MATCH(Tabla_Consulta_desde_Reporte_de_Valorización_de_Instrumentos[[#This Row],[CODIGO_ISIN]],'BD(MSCI)'!C:C,0)),IF(Tabla_Consulta_desde_Reporte_de_Valorización_de_Instrumentos[[#This Row],[Rank_rt]]="Cash","Cash","Cuestionario Integra"))</f>
        <v>ETF</v>
      </c>
      <c r="AR355" s="26" t="str">
        <f>IFERROR(INDEX('BD(MSCI)'!X:X,MATCH(Tabla_Consulta_desde_Reporte_de_Valorización_de_Instrumentos[[#This Row],[CODIGO_ISIN]],'BD(MSCI)'!C:C,0)),"Cuestionario Integra")</f>
        <v>Otros ETFs</v>
      </c>
      <c r="AU355" s="26"/>
    </row>
    <row r="356" spans="2:47" hidden="1" x14ac:dyDescent="0.25">
      <c r="B356" s="14" t="s">
        <v>6390</v>
      </c>
      <c r="C356" t="s">
        <v>586</v>
      </c>
      <c r="D356" t="s">
        <v>10</v>
      </c>
      <c r="E356" t="s">
        <v>587</v>
      </c>
      <c r="F356" t="s">
        <v>691</v>
      </c>
      <c r="G356" t="str">
        <f>INDEX(Parametria!H:H,MATCH(Tabla_Consulta_desde_Reporte_de_Valorización_de_Instrumentos[[#This Row],[CODIGO_SBS]],Parametria!C:C,0),1)</f>
        <v>Allianz - Euroland Equity Growth</v>
      </c>
      <c r="H356" t="s">
        <v>692</v>
      </c>
      <c r="I356" t="s">
        <v>156</v>
      </c>
      <c r="J356" t="s">
        <v>690</v>
      </c>
      <c r="K356" t="s">
        <v>57</v>
      </c>
      <c r="L356">
        <v>1</v>
      </c>
      <c r="M356" s="5">
        <v>9056.5791100000006</v>
      </c>
      <c r="N356">
        <v>2295.11</v>
      </c>
      <c r="O356">
        <v>1</v>
      </c>
      <c r="P356" s="15"/>
      <c r="R356">
        <v>3.9460326999999999</v>
      </c>
      <c r="S356" t="s">
        <v>428</v>
      </c>
      <c r="T356">
        <v>9071.1927639999994</v>
      </c>
      <c r="U356" s="5">
        <v>2295.11</v>
      </c>
      <c r="V356" t="s">
        <v>156</v>
      </c>
      <c r="W356">
        <v>0</v>
      </c>
      <c r="X356">
        <v>0</v>
      </c>
      <c r="Y356">
        <v>0</v>
      </c>
      <c r="Z356">
        <v>0</v>
      </c>
      <c r="AA356" t="str">
        <f>+MID(Tabla_Consulta_desde_Reporte_de_Valorización_de_Instrumentos[[#This Row],[CODIGO_SBS]],7,1)</f>
        <v>4</v>
      </c>
      <c r="AB356">
        <f>INDEX('Cálculo Caja'!F:F,MATCH(Tabla_Consulta_desde_Reporte_de_Valorización_de_Instrumentos[[#This Row],[PORTAFOLIO]],'Cálculo Caja'!A:A,0),1)</f>
        <v>26256910350.436607</v>
      </c>
      <c r="AC356" s="17">
        <f>Tabla_Consulta_desde_Reporte_de_Valorización_de_Instrumentos[[#This Row],[VALOR_VECTOR_LOCAL]]/Tabla_Consulta_desde_Reporte_de_Valorización_de_Instrumentos[[#This Row],[Patrimonio]]</f>
        <v>3.4492173637822567E-7</v>
      </c>
      <c r="AD356" s="4">
        <f>(Tabla_Consulta_desde_Reporte_de_Valorización_de_Instrumentos[[#This Row],[VALOR_VECTOR_LOCAL]]/INDEX('Tipo de Cambio'!$D:$D,MATCH("2",'Tipo de Cambio'!$E:$E,0),1))/1000000</f>
        <v>2.6946886577999944E-3</v>
      </c>
      <c r="AE356">
        <f>IF(Tabla_Consulta_desde_Reporte_de_Valorización_de_Instrumentos[[#This Row],[PORTAFOLIO]]="IN-FONDO0",Tabla_Consulta_desde_Reporte_de_Valorización_de_Instrumentos[[#This Row],[Inv MM$]],0)</f>
        <v>0</v>
      </c>
      <c r="AF356" s="26">
        <f>IF(Tabla_Consulta_desde_Reporte_de_Valorización_de_Instrumentos[[#This Row],[PORTAFOLIO]]="IN-FONDO1",Tabla_Consulta_desde_Reporte_de_Valorización_de_Instrumentos[[#This Row],[Inv MM$]],0)</f>
        <v>0</v>
      </c>
      <c r="AG356" s="26">
        <f>IF(Tabla_Consulta_desde_Reporte_de_Valorización_de_Instrumentos[[#This Row],[PORTAFOLIO]]="IN-FONDO2",Tabla_Consulta_desde_Reporte_de_Valorización_de_Instrumentos[[#This Row],[Inv MM$]],0)</f>
        <v>2.6946886577999944E-3</v>
      </c>
      <c r="AH356" s="26">
        <f>IF(Tabla_Consulta_desde_Reporte_de_Valorización_de_Instrumentos[[#This Row],[PORTAFOLIO]]="IN-FONDO3",Tabla_Consulta_desde_Reporte_de_Valorización_de_Instrumentos[[#This Row],[Inv MM$]],0)</f>
        <v>0</v>
      </c>
      <c r="AI35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8.0840659733999835E-3</v>
      </c>
      <c r="AJ356" s="26">
        <f>IFERROR(IFERROR(INDEX('BD(MSCI)'!$T:$T,MATCH(Tabla_Consulta_desde_Reporte_de_Valorización_de_Instrumentos[[#This Row],[CODIGO_ISIN]],'BD(MSCI)'!$C:$C,0),1),INDEX('BD(MSCI)'!$T:$T,MATCH(Tabla_Consulta_desde_Reporte_de_Valorización_de_Instrumentos[[#This Row],[CODIGO_SBS]],'BD(MSCI)'!$C:$C,0),1)),0)</f>
        <v>32.946213380000003</v>
      </c>
      <c r="AK356" s="26">
        <f>Tabla_Consulta_desde_Reporte_de_Valorización_de_Instrumentos[[#This Row],[C02-H]]*Tabla_Consulta_desde_Reporte_de_Valorización_de_Instrumentos[[#This Row],[Inv MM$]]</f>
        <v>8.8779787512544422E-2</v>
      </c>
      <c r="AL356" s="26">
        <f>Tabla_Consulta_desde_Reporte_de_Valorización_de_Instrumentos[[#This Row],[C02-H]]*Tabla_Consulta_desde_Reporte_de_Valorización_de_Instrumentos[[#This Row],[Weight]]</f>
        <v>1.1363865126117132E-5</v>
      </c>
      <c r="AM356" s="26" t="str">
        <f>INDEX(Parametria!G:G,MATCH(Tabla_Consulta_desde_Reporte_de_Valorización_de_Instrumentos[[#This Row],[CODIGO_SBS]],Parametria!C:C,0))</f>
        <v>52RVI</v>
      </c>
      <c r="AN356" s="26" t="str">
        <f>INDEX(Parametria!F:F,MATCH(Tabla_Consulta_desde_Reporte_de_Valorización_de_Instrumentos[[#This Row],[CODIGO_SBS]],Parametria!C:C,0))</f>
        <v>TD</v>
      </c>
      <c r="AO356" s="26" t="str">
        <f>+INDEX(Parametria!J:J,MATCH(Tabla_Consulta_desde_Reporte_de_Valorización_de_Instrumentos[[#This Row],[CODIGO_SBS]],Parametria!C:C,0))</f>
        <v>RVITD</v>
      </c>
      <c r="AP356" s="26">
        <f>Tabla_Consulta_desde_Reporte_de_Valorización_de_Instrumentos[[#This Row],[Huella]]/$AU$4</f>
        <v>8.2303102108828965E-6</v>
      </c>
      <c r="AQ356" s="26" t="str">
        <f>IFERROR(INDEX('BD(MSCI)'!W:W,MATCH(Tabla_Consulta_desde_Reporte_de_Valorización_de_Instrumentos[[#This Row],[CODIGO_ISIN]],'BD(MSCI)'!C:C,0)),IF(Tabla_Consulta_desde_Reporte_de_Valorización_de_Instrumentos[[#This Row],[Rank_rt]]="Cash","Cash","Cuestionario Integra"))</f>
        <v>ETF</v>
      </c>
      <c r="AR356" s="26" t="str">
        <f>IFERROR(INDEX('BD(MSCI)'!X:X,MATCH(Tabla_Consulta_desde_Reporte_de_Valorización_de_Instrumentos[[#This Row],[CODIGO_ISIN]],'BD(MSCI)'!C:C,0)),"Cuestionario Integra")</f>
        <v>Otros ETFs</v>
      </c>
      <c r="AU356" s="26"/>
    </row>
    <row r="357" spans="2:47" hidden="1" x14ac:dyDescent="0.25">
      <c r="B357" s="14" t="s">
        <v>6390</v>
      </c>
      <c r="C357" t="s">
        <v>586</v>
      </c>
      <c r="D357" t="s">
        <v>10</v>
      </c>
      <c r="E357" t="s">
        <v>587</v>
      </c>
      <c r="F357" t="s">
        <v>688</v>
      </c>
      <c r="G357" t="str">
        <f>INDEX(Parametria!H:H,MATCH(Tabla_Consulta_desde_Reporte_de_Valorización_de_Instrumentos[[#This Row],[CODIGO_SBS]],Parametria!C:C,0),1)</f>
        <v>Allianz - China-A</v>
      </c>
      <c r="H357" t="s">
        <v>689</v>
      </c>
      <c r="I357" t="s">
        <v>156</v>
      </c>
      <c r="J357" t="s">
        <v>690</v>
      </c>
      <c r="K357" t="s">
        <v>50</v>
      </c>
      <c r="L357">
        <v>1753.82</v>
      </c>
      <c r="M357" s="5">
        <v>19543.282890900002</v>
      </c>
      <c r="N357">
        <v>5814.8956799999996</v>
      </c>
      <c r="O357">
        <v>3.8439999999999999</v>
      </c>
      <c r="P357" s="15"/>
      <c r="R357">
        <v>3.3609</v>
      </c>
      <c r="S357" t="s">
        <v>428</v>
      </c>
      <c r="T357">
        <v>19698.971625599999</v>
      </c>
      <c r="U357" s="5">
        <v>5858.2560000000003</v>
      </c>
      <c r="V357" t="s">
        <v>156</v>
      </c>
      <c r="W357">
        <v>0</v>
      </c>
      <c r="X357">
        <v>0</v>
      </c>
      <c r="Y357">
        <v>0</v>
      </c>
      <c r="Z357">
        <v>-11.28</v>
      </c>
      <c r="AA357" t="str">
        <f>+MID(Tabla_Consulta_desde_Reporte_de_Valorización_de_Instrumentos[[#This Row],[CODIGO_SBS]],7,1)</f>
        <v>2</v>
      </c>
      <c r="AB357">
        <f>INDEX('Cálculo Caja'!F:F,MATCH(Tabla_Consulta_desde_Reporte_de_Valorización_de_Instrumentos[[#This Row],[PORTAFOLIO]],'Cálculo Caja'!A:A,0),1)</f>
        <v>26256910350.436607</v>
      </c>
      <c r="AC357" s="17">
        <f>Tabla_Consulta_desde_Reporte_de_Valorización_de_Instrumentos[[#This Row],[VALOR_VECTOR_LOCAL]]/Tabla_Consulta_desde_Reporte_de_Valorización_de_Instrumentos[[#This Row],[Patrimonio]]</f>
        <v>7.4431007418871855E-7</v>
      </c>
      <c r="AD357" s="4">
        <f>(Tabla_Consulta_desde_Reporte_de_Valorización_de_Instrumentos[[#This Row],[VALOR_VECTOR_LOCAL]]/INDEX('Tipo de Cambio'!$D:$D,MATCH("2",'Tipo de Cambio'!$E:$E,0),1))/1000000</f>
        <v>5.8148956799964294E-3</v>
      </c>
      <c r="AE357">
        <f>IF(Tabla_Consulta_desde_Reporte_de_Valorización_de_Instrumentos[[#This Row],[PORTAFOLIO]]="IN-FONDO0",Tabla_Consulta_desde_Reporte_de_Valorización_de_Instrumentos[[#This Row],[Inv MM$]],0)</f>
        <v>0</v>
      </c>
      <c r="AF357" s="26">
        <f>IF(Tabla_Consulta_desde_Reporte_de_Valorización_de_Instrumentos[[#This Row],[PORTAFOLIO]]="IN-FONDO1",Tabla_Consulta_desde_Reporte_de_Valorización_de_Instrumentos[[#This Row],[Inv MM$]],0)</f>
        <v>0</v>
      </c>
      <c r="AG357" s="26">
        <f>IF(Tabla_Consulta_desde_Reporte_de_Valorización_de_Instrumentos[[#This Row],[PORTAFOLIO]]="IN-FONDO2",Tabla_Consulta_desde_Reporte_de_Valorización_de_Instrumentos[[#This Row],[Inv MM$]],0)</f>
        <v>5.8148956799964294E-3</v>
      </c>
      <c r="AH357" s="26">
        <f>IF(Tabla_Consulta_desde_Reporte_de_Valorización_de_Instrumentos[[#This Row],[PORTAFOLIO]]="IN-FONDO3",Tabla_Consulta_desde_Reporte_de_Valorización_de_Instrumentos[[#This Row],[Inv MM$]],0)</f>
        <v>0</v>
      </c>
      <c r="AI35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9.6904843199738175E-3</v>
      </c>
      <c r="AJ357" s="26">
        <f>IFERROR(IFERROR(INDEX('BD(MSCI)'!$T:$T,MATCH(Tabla_Consulta_desde_Reporte_de_Valorización_de_Instrumentos[[#This Row],[CODIGO_ISIN]],'BD(MSCI)'!$C:$C,0),1),INDEX('BD(MSCI)'!$T:$T,MATCH(Tabla_Consulta_desde_Reporte_de_Valorización_de_Instrumentos[[#This Row],[CODIGO_SBS]],'BD(MSCI)'!$C:$C,0),1)),0)</f>
        <v>35.826044969999998</v>
      </c>
      <c r="AK357" s="26">
        <f>Tabla_Consulta_desde_Reporte_de_Valorización_de_Instrumentos[[#This Row],[C02-H]]*Tabla_Consulta_desde_Reporte_de_Valorización_de_Instrumentos[[#This Row],[Inv MM$]]</f>
        <v>0.2083247141274108</v>
      </c>
      <c r="AL357" s="26">
        <f>Tabla_Consulta_desde_Reporte_de_Valorización_de_Instrumentos[[#This Row],[C02-H]]*Tabla_Consulta_desde_Reporte_de_Valorización_de_Instrumentos[[#This Row],[Weight]]</f>
        <v>2.6665686189509066E-5</v>
      </c>
      <c r="AM357" s="26" t="str">
        <f>INDEX(Parametria!G:G,MATCH(Tabla_Consulta_desde_Reporte_de_Valorización_de_Instrumentos[[#This Row],[CODIGO_SBS]],Parametria!C:C,0))</f>
        <v>52RVI</v>
      </c>
      <c r="AN357" s="26" t="str">
        <f>INDEX(Parametria!F:F,MATCH(Tabla_Consulta_desde_Reporte_de_Valorización_de_Instrumentos[[#This Row],[CODIGO_SBS]],Parametria!C:C,0))</f>
        <v>TD</v>
      </c>
      <c r="AO357" s="26" t="str">
        <f>+INDEX(Parametria!J:J,MATCH(Tabla_Consulta_desde_Reporte_de_Valorización_de_Instrumentos[[#This Row],[CODIGO_SBS]],Parametria!C:C,0))</f>
        <v>RVITD</v>
      </c>
      <c r="AP357" s="26">
        <f>Tabla_Consulta_desde_Reporte_de_Valorización_de_Instrumentos[[#This Row],[Huella]]/$AU$4</f>
        <v>1.9312695714886939E-5</v>
      </c>
      <c r="AQ357" s="26" t="str">
        <f>IFERROR(INDEX('BD(MSCI)'!W:W,MATCH(Tabla_Consulta_desde_Reporte_de_Valorización_de_Instrumentos[[#This Row],[CODIGO_ISIN]],'BD(MSCI)'!C:C,0)),IF(Tabla_Consulta_desde_Reporte_de_Valorización_de_Instrumentos[[#This Row],[Rank_rt]]="Cash","Cash","Cuestionario Integra"))</f>
        <v>ETF</v>
      </c>
      <c r="AR357" s="26" t="str">
        <f>IFERROR(INDEX('BD(MSCI)'!X:X,MATCH(Tabla_Consulta_desde_Reporte_de_Valorización_de_Instrumentos[[#This Row],[CODIGO_ISIN]],'BD(MSCI)'!C:C,0)),"Cuestionario Integra")</f>
        <v>Otros ETFs</v>
      </c>
      <c r="AU357" s="26"/>
    </row>
    <row r="358" spans="2:47" hidden="1" x14ac:dyDescent="0.25">
      <c r="B358" s="14" t="s">
        <v>6390</v>
      </c>
      <c r="C358" t="s">
        <v>586</v>
      </c>
      <c r="D358" t="s">
        <v>11</v>
      </c>
      <c r="E358" t="s">
        <v>587</v>
      </c>
      <c r="F358" t="s">
        <v>688</v>
      </c>
      <c r="G358" t="str">
        <f>INDEX(Parametria!H:H,MATCH(Tabla_Consulta_desde_Reporte_de_Valorización_de_Instrumentos[[#This Row],[CODIGO_SBS]],Parametria!C:C,0),1)</f>
        <v>Allianz - China-A</v>
      </c>
      <c r="H358" t="s">
        <v>689</v>
      </c>
      <c r="I358" t="s">
        <v>156</v>
      </c>
      <c r="J358" t="s">
        <v>690</v>
      </c>
      <c r="K358" t="s">
        <v>50</v>
      </c>
      <c r="L358">
        <v>1753.82</v>
      </c>
      <c r="M358" s="5">
        <v>6548.3216345999999</v>
      </c>
      <c r="N358">
        <v>1948.38336</v>
      </c>
      <c r="O358">
        <v>1.288</v>
      </c>
      <c r="P358" s="15"/>
      <c r="R358">
        <v>3.3609</v>
      </c>
      <c r="S358" t="s">
        <v>428</v>
      </c>
      <c r="T358">
        <v>6600.4878912000004</v>
      </c>
      <c r="U358" s="5">
        <v>1962.912</v>
      </c>
      <c r="V358" t="s">
        <v>156</v>
      </c>
      <c r="W358">
        <v>0</v>
      </c>
      <c r="X358">
        <v>0</v>
      </c>
      <c r="Y358">
        <v>0</v>
      </c>
      <c r="Z358">
        <v>-11.28</v>
      </c>
      <c r="AA358" t="str">
        <f>+MID(Tabla_Consulta_desde_Reporte_de_Valorización_de_Instrumentos[[#This Row],[CODIGO_SBS]],7,1)</f>
        <v>2</v>
      </c>
      <c r="AB358">
        <f>INDEX('Cálculo Caja'!F:F,MATCH(Tabla_Consulta_desde_Reporte_de_Valorización_de_Instrumentos[[#This Row],[PORTAFOLIO]],'Cálculo Caja'!A:A,0),1)</f>
        <v>3164069580.822104</v>
      </c>
      <c r="AC358" s="17">
        <f>Tabla_Consulta_desde_Reporte_de_Valorización_de_Instrumentos[[#This Row],[VALOR_VECTOR_LOCAL]]/Tabla_Consulta_desde_Reporte_de_Valorización_de_Instrumentos[[#This Row],[Patrimonio]]</f>
        <v>2.069588378931472E-6</v>
      </c>
      <c r="AD358" s="4">
        <f>(Tabla_Consulta_desde_Reporte_de_Valorización_de_Instrumentos[[#This Row],[VALOR_VECTOR_LOCAL]]/INDEX('Tipo de Cambio'!$D:$D,MATCH("2",'Tipo de Cambio'!$E:$E,0),1))/1000000</f>
        <v>1.9483833599928592E-3</v>
      </c>
      <c r="AE358">
        <f>IF(Tabla_Consulta_desde_Reporte_de_Valorización_de_Instrumentos[[#This Row],[PORTAFOLIO]]="IN-FONDO0",Tabla_Consulta_desde_Reporte_de_Valorización_de_Instrumentos[[#This Row],[Inv MM$]],0)</f>
        <v>0</v>
      </c>
      <c r="AF358" s="26">
        <f>IF(Tabla_Consulta_desde_Reporte_de_Valorización_de_Instrumentos[[#This Row],[PORTAFOLIO]]="IN-FONDO1",Tabla_Consulta_desde_Reporte_de_Valorización_de_Instrumentos[[#This Row],[Inv MM$]],0)</f>
        <v>0</v>
      </c>
      <c r="AG358" s="26">
        <f>IF(Tabla_Consulta_desde_Reporte_de_Valorización_de_Instrumentos[[#This Row],[PORTAFOLIO]]="IN-FONDO2",Tabla_Consulta_desde_Reporte_de_Valorización_de_Instrumentos[[#This Row],[Inv MM$]],0)</f>
        <v>0</v>
      </c>
      <c r="AH358" s="26">
        <f>IF(Tabla_Consulta_desde_Reporte_de_Valorización_de_Instrumentos[[#This Row],[PORTAFOLIO]]="IN-FONDO3",Tabla_Consulta_desde_Reporte_de_Valorización_de_Instrumentos[[#This Row],[Inv MM$]],0)</f>
        <v>1.9483833599928592E-3</v>
      </c>
      <c r="AI35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9.6904843199738175E-3</v>
      </c>
      <c r="AJ358" s="26">
        <f>IFERROR(IFERROR(INDEX('BD(MSCI)'!$T:$T,MATCH(Tabla_Consulta_desde_Reporte_de_Valorización_de_Instrumentos[[#This Row],[CODIGO_ISIN]],'BD(MSCI)'!$C:$C,0),1),INDEX('BD(MSCI)'!$T:$T,MATCH(Tabla_Consulta_desde_Reporte_de_Valorización_de_Instrumentos[[#This Row],[CODIGO_SBS]],'BD(MSCI)'!$C:$C,0),1)),0)</f>
        <v>35.826044969999998</v>
      </c>
      <c r="AK358" s="26">
        <f>Tabla_Consulta_desde_Reporte_de_Valorización_de_Instrumentos[[#This Row],[C02-H]]*Tabla_Consulta_desde_Reporte_de_Valorización_de_Instrumentos[[#This Row],[Inv MM$]]</f>
        <v>6.9802869873903869E-2</v>
      </c>
      <c r="AL358" s="26">
        <f>Tabla_Consulta_desde_Reporte_de_Valorización_de_Instrumentos[[#This Row],[C02-H]]*Tabla_Consulta_desde_Reporte_de_Valorización_de_Instrumentos[[#This Row],[Weight]]</f>
        <v>7.4145166332988306E-5</v>
      </c>
      <c r="AM358" s="26" t="str">
        <f>INDEX(Parametria!G:G,MATCH(Tabla_Consulta_desde_Reporte_de_Valorización_de_Instrumentos[[#This Row],[CODIGO_SBS]],Parametria!C:C,0))</f>
        <v>52RVI</v>
      </c>
      <c r="AN358" s="26" t="str">
        <f>INDEX(Parametria!F:F,MATCH(Tabla_Consulta_desde_Reporte_de_Valorización_de_Instrumentos[[#This Row],[CODIGO_SBS]],Parametria!C:C,0))</f>
        <v>TD</v>
      </c>
      <c r="AO358" s="26" t="str">
        <f>+INDEX(Parametria!J:J,MATCH(Tabla_Consulta_desde_Reporte_de_Valorización_de_Instrumentos[[#This Row],[CODIGO_SBS]],Parametria!C:C,0))</f>
        <v>RVITD</v>
      </c>
      <c r="AP358" s="26">
        <f>Tabla_Consulta_desde_Reporte_de_Valorización_de_Instrumentos[[#This Row],[Huella]]/$AU$4</f>
        <v>6.471059334208763E-6</v>
      </c>
      <c r="AQ358" s="26" t="str">
        <f>IFERROR(INDEX('BD(MSCI)'!W:W,MATCH(Tabla_Consulta_desde_Reporte_de_Valorización_de_Instrumentos[[#This Row],[CODIGO_ISIN]],'BD(MSCI)'!C:C,0)),IF(Tabla_Consulta_desde_Reporte_de_Valorización_de_Instrumentos[[#This Row],[Rank_rt]]="Cash","Cash","Cuestionario Integra"))</f>
        <v>ETF</v>
      </c>
      <c r="AR358" s="26" t="str">
        <f>IFERROR(INDEX('BD(MSCI)'!X:X,MATCH(Tabla_Consulta_desde_Reporte_de_Valorización_de_Instrumentos[[#This Row],[CODIGO_ISIN]],'BD(MSCI)'!C:C,0)),"Cuestionario Integra")</f>
        <v>Otros ETFs</v>
      </c>
      <c r="AU358" s="26"/>
    </row>
    <row r="359" spans="2:47" hidden="1" x14ac:dyDescent="0.25">
      <c r="B359" s="14" t="s">
        <v>6390</v>
      </c>
      <c r="C359" t="s">
        <v>586</v>
      </c>
      <c r="D359" t="s">
        <v>11</v>
      </c>
      <c r="E359" t="s">
        <v>587</v>
      </c>
      <c r="F359" t="s">
        <v>691</v>
      </c>
      <c r="G359" t="str">
        <f>INDEX(Parametria!H:H,MATCH(Tabla_Consulta_desde_Reporte_de_Valorización_de_Instrumentos[[#This Row],[CODIGO_SBS]],Parametria!C:C,0),1)</f>
        <v>Allianz - Euroland Equity Growth</v>
      </c>
      <c r="H359" t="s">
        <v>692</v>
      </c>
      <c r="I359" t="s">
        <v>156</v>
      </c>
      <c r="J359" t="s">
        <v>690</v>
      </c>
      <c r="K359" t="s">
        <v>57</v>
      </c>
      <c r="L359">
        <v>1</v>
      </c>
      <c r="M359" s="5">
        <v>9056.5791100000006</v>
      </c>
      <c r="N359">
        <v>2295.11</v>
      </c>
      <c r="O359">
        <v>1</v>
      </c>
      <c r="P359" s="15"/>
      <c r="R359">
        <v>3.9460326999999999</v>
      </c>
      <c r="S359" t="s">
        <v>428</v>
      </c>
      <c r="T359">
        <v>9071.1927639999994</v>
      </c>
      <c r="U359" s="5">
        <v>2295.11</v>
      </c>
      <c r="V359" t="s">
        <v>156</v>
      </c>
      <c r="W359">
        <v>0</v>
      </c>
      <c r="X359">
        <v>0</v>
      </c>
      <c r="Y359">
        <v>0</v>
      </c>
      <c r="Z359">
        <v>0</v>
      </c>
      <c r="AA359" t="str">
        <f>+MID(Tabla_Consulta_desde_Reporte_de_Valorización_de_Instrumentos[[#This Row],[CODIGO_SBS]],7,1)</f>
        <v>4</v>
      </c>
      <c r="AB359">
        <f>INDEX('Cálculo Caja'!F:F,MATCH(Tabla_Consulta_desde_Reporte_de_Valorización_de_Instrumentos[[#This Row],[PORTAFOLIO]],'Cálculo Caja'!A:A,0),1)</f>
        <v>3164069580.822104</v>
      </c>
      <c r="AC359" s="17">
        <f>Tabla_Consulta_desde_Reporte_de_Valorización_de_Instrumentos[[#This Row],[VALOR_VECTOR_LOCAL]]/Tabla_Consulta_desde_Reporte_de_Valorización_de_Instrumentos[[#This Row],[Patrimonio]]</f>
        <v>2.8623198316791999E-6</v>
      </c>
      <c r="AD359" s="4">
        <f>(Tabla_Consulta_desde_Reporte_de_Valorización_de_Instrumentos[[#This Row],[VALOR_VECTOR_LOCAL]]/INDEX('Tipo de Cambio'!$D:$D,MATCH("2",'Tipo de Cambio'!$E:$E,0),1))/1000000</f>
        <v>2.6946886577999944E-3</v>
      </c>
      <c r="AE359">
        <f>IF(Tabla_Consulta_desde_Reporte_de_Valorización_de_Instrumentos[[#This Row],[PORTAFOLIO]]="IN-FONDO0",Tabla_Consulta_desde_Reporte_de_Valorización_de_Instrumentos[[#This Row],[Inv MM$]],0)</f>
        <v>0</v>
      </c>
      <c r="AF359" s="26">
        <f>IF(Tabla_Consulta_desde_Reporte_de_Valorización_de_Instrumentos[[#This Row],[PORTAFOLIO]]="IN-FONDO1",Tabla_Consulta_desde_Reporte_de_Valorización_de_Instrumentos[[#This Row],[Inv MM$]],0)</f>
        <v>0</v>
      </c>
      <c r="AG359" s="26">
        <f>IF(Tabla_Consulta_desde_Reporte_de_Valorización_de_Instrumentos[[#This Row],[PORTAFOLIO]]="IN-FONDO2",Tabla_Consulta_desde_Reporte_de_Valorización_de_Instrumentos[[#This Row],[Inv MM$]],0)</f>
        <v>0</v>
      </c>
      <c r="AH359" s="26">
        <f>IF(Tabla_Consulta_desde_Reporte_de_Valorización_de_Instrumentos[[#This Row],[PORTAFOLIO]]="IN-FONDO3",Tabla_Consulta_desde_Reporte_de_Valorización_de_Instrumentos[[#This Row],[Inv MM$]],0)</f>
        <v>2.6946886577999944E-3</v>
      </c>
      <c r="AI35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8.0840659733999835E-3</v>
      </c>
      <c r="AJ359" s="26">
        <f>IFERROR(IFERROR(INDEX('BD(MSCI)'!$T:$T,MATCH(Tabla_Consulta_desde_Reporte_de_Valorización_de_Instrumentos[[#This Row],[CODIGO_ISIN]],'BD(MSCI)'!$C:$C,0),1),INDEX('BD(MSCI)'!$T:$T,MATCH(Tabla_Consulta_desde_Reporte_de_Valorización_de_Instrumentos[[#This Row],[CODIGO_SBS]],'BD(MSCI)'!$C:$C,0),1)),0)</f>
        <v>32.946213380000003</v>
      </c>
      <c r="AK359" s="26">
        <f>Tabla_Consulta_desde_Reporte_de_Valorización_de_Instrumentos[[#This Row],[C02-H]]*Tabla_Consulta_desde_Reporte_de_Valorización_de_Instrumentos[[#This Row],[Inv MM$]]</f>
        <v>8.8779787512544422E-2</v>
      </c>
      <c r="AL359" s="26">
        <f>Tabla_Consulta_desde_Reporte_de_Valorización_de_Instrumentos[[#This Row],[C02-H]]*Tabla_Consulta_desde_Reporte_de_Valorización_de_Instrumentos[[#This Row],[Weight]]</f>
        <v>9.4302599936308619E-5</v>
      </c>
      <c r="AM359" s="26" t="str">
        <f>INDEX(Parametria!G:G,MATCH(Tabla_Consulta_desde_Reporte_de_Valorización_de_Instrumentos[[#This Row],[CODIGO_SBS]],Parametria!C:C,0))</f>
        <v>52RVI</v>
      </c>
      <c r="AN359" s="26" t="str">
        <f>INDEX(Parametria!F:F,MATCH(Tabla_Consulta_desde_Reporte_de_Valorización_de_Instrumentos[[#This Row],[CODIGO_SBS]],Parametria!C:C,0))</f>
        <v>TD</v>
      </c>
      <c r="AO359" s="26" t="str">
        <f>+INDEX(Parametria!J:J,MATCH(Tabla_Consulta_desde_Reporte_de_Valorización_de_Instrumentos[[#This Row],[CODIGO_SBS]],Parametria!C:C,0))</f>
        <v>RVITD</v>
      </c>
      <c r="AP359" s="26">
        <f>Tabla_Consulta_desde_Reporte_de_Valorización_de_Instrumentos[[#This Row],[Huella]]/$AU$4</f>
        <v>8.2303102108828965E-6</v>
      </c>
      <c r="AQ359" s="26" t="str">
        <f>IFERROR(INDEX('BD(MSCI)'!W:W,MATCH(Tabla_Consulta_desde_Reporte_de_Valorización_de_Instrumentos[[#This Row],[CODIGO_ISIN]],'BD(MSCI)'!C:C,0)),IF(Tabla_Consulta_desde_Reporte_de_Valorización_de_Instrumentos[[#This Row],[Rank_rt]]="Cash","Cash","Cuestionario Integra"))</f>
        <v>ETF</v>
      </c>
      <c r="AR359" s="26" t="str">
        <f>IFERROR(INDEX('BD(MSCI)'!X:X,MATCH(Tabla_Consulta_desde_Reporte_de_Valorización_de_Instrumentos[[#This Row],[CODIGO_ISIN]],'BD(MSCI)'!C:C,0)),"Cuestionario Integra")</f>
        <v>Otros ETFs</v>
      </c>
      <c r="AU359" s="26"/>
    </row>
    <row r="360" spans="2:47" hidden="1" x14ac:dyDescent="0.25">
      <c r="B360" s="14" t="s">
        <v>6390</v>
      </c>
      <c r="C360" t="s">
        <v>586</v>
      </c>
      <c r="D360" t="s">
        <v>11</v>
      </c>
      <c r="E360" t="s">
        <v>587</v>
      </c>
      <c r="F360" t="s">
        <v>950</v>
      </c>
      <c r="G360" t="str">
        <f>INDEX(Parametria!H:H,MATCH(Tabla_Consulta_desde_Reporte_de_Valorización_de_Instrumentos[[#This Row],[CODIGO_SBS]],Parametria!C:C,0),1)</f>
        <v>BNP Paribas - China Equity Class</v>
      </c>
      <c r="H360" t="s">
        <v>951</v>
      </c>
      <c r="I360" t="s">
        <v>156</v>
      </c>
      <c r="J360" t="s">
        <v>952</v>
      </c>
      <c r="K360" t="s">
        <v>50</v>
      </c>
      <c r="L360">
        <v>465.85735</v>
      </c>
      <c r="M360" s="5">
        <v>2755.5809379000002</v>
      </c>
      <c r="N360">
        <v>819.89376000000004</v>
      </c>
      <c r="O360">
        <v>1.3440000000000001</v>
      </c>
      <c r="P360" s="15"/>
      <c r="R360">
        <v>3.3609</v>
      </c>
      <c r="S360" t="s">
        <v>428</v>
      </c>
      <c r="T360">
        <v>2735.1463721999999</v>
      </c>
      <c r="U360" s="5">
        <v>813.40224000000001</v>
      </c>
      <c r="V360" t="s">
        <v>156</v>
      </c>
      <c r="W360">
        <v>0</v>
      </c>
      <c r="X360">
        <v>0</v>
      </c>
      <c r="Y360">
        <v>0</v>
      </c>
      <c r="Z360">
        <v>4.83</v>
      </c>
      <c r="AA360" t="str">
        <f>+MID(Tabla_Consulta_desde_Reporte_de_Valorización_de_Instrumentos[[#This Row],[CODIGO_SBS]],7,1)</f>
        <v>2</v>
      </c>
      <c r="AB360">
        <f>INDEX('Cálculo Caja'!F:F,MATCH(Tabla_Consulta_desde_Reporte_de_Valorización_de_Instrumentos[[#This Row],[PORTAFOLIO]],'Cálculo Caja'!A:A,0),1)</f>
        <v>3164069580.822104</v>
      </c>
      <c r="AC360" s="17">
        <f>Tabla_Consulta_desde_Reporte_de_Valorización_de_Instrumentos[[#This Row],[VALOR_VECTOR_LOCAL]]/Tabla_Consulta_desde_Reporte_de_Valorización_de_Instrumentos[[#This Row],[Patrimonio]]</f>
        <v>8.7089770547461589E-7</v>
      </c>
      <c r="AD360" s="4">
        <f>(Tabla_Consulta_desde_Reporte_de_Valorización_de_Instrumentos[[#This Row],[VALOR_VECTOR_LOCAL]]/INDEX('Tipo de Cambio'!$D:$D,MATCH("2",'Tipo de Cambio'!$E:$E,0),1))/1000000</f>
        <v>8.1989375997500679E-4</v>
      </c>
      <c r="AE360">
        <f>IF(Tabla_Consulta_desde_Reporte_de_Valorización_de_Instrumentos[[#This Row],[PORTAFOLIO]]="IN-FONDO0",Tabla_Consulta_desde_Reporte_de_Valorización_de_Instrumentos[[#This Row],[Inv MM$]],0)</f>
        <v>0</v>
      </c>
      <c r="AF360" s="26">
        <f>IF(Tabla_Consulta_desde_Reporte_de_Valorización_de_Instrumentos[[#This Row],[PORTAFOLIO]]="IN-FONDO1",Tabla_Consulta_desde_Reporte_de_Valorización_de_Instrumentos[[#This Row],[Inv MM$]],0)</f>
        <v>0</v>
      </c>
      <c r="AG360" s="26">
        <f>IF(Tabla_Consulta_desde_Reporte_de_Valorización_de_Instrumentos[[#This Row],[PORTAFOLIO]]="IN-FONDO2",Tabla_Consulta_desde_Reporte_de_Valorización_de_Instrumentos[[#This Row],[Inv MM$]],0)</f>
        <v>0</v>
      </c>
      <c r="AH360" s="26">
        <f>IF(Tabla_Consulta_desde_Reporte_de_Valorización_de_Instrumentos[[#This Row],[PORTAFOLIO]]="IN-FONDO3",Tabla_Consulta_desde_Reporte_de_Valorización_de_Instrumentos[[#This Row],[Inv MM$]],0)</f>
        <v>8.1989375997500679E-4</v>
      </c>
      <c r="AI36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1.9515179599512039E-3</v>
      </c>
      <c r="AJ360" s="26">
        <f>IFERROR(IFERROR(INDEX('BD(MSCI)'!$T:$T,MATCH(Tabla_Consulta_desde_Reporte_de_Valorización_de_Instrumentos[[#This Row],[CODIGO_ISIN]],'BD(MSCI)'!$C:$C,0),1),INDEX('BD(MSCI)'!$T:$T,MATCH(Tabla_Consulta_desde_Reporte_de_Valorización_de_Instrumentos[[#This Row],[CODIGO_SBS]],'BD(MSCI)'!$C:$C,0),1)),0)</f>
        <v>25.653295719999999</v>
      </c>
      <c r="AK360" s="26">
        <f>Tabla_Consulta_desde_Reporte_de_Valorización_de_Instrumentos[[#This Row],[C02-H]]*Tabla_Consulta_desde_Reporte_de_Valorización_de_Instrumentos[[#This Row],[Inv MM$]]</f>
        <v>2.1032977083621548E-2</v>
      </c>
      <c r="AL360" s="26">
        <f>Tabla_Consulta_desde_Reporte_de_Valorización_de_Instrumentos[[#This Row],[C02-H]]*Tabla_Consulta_desde_Reporte_de_Valorización_de_Instrumentos[[#This Row],[Weight]]</f>
        <v>2.2341396380409783E-5</v>
      </c>
      <c r="AM360" s="26" t="str">
        <f>INDEX(Parametria!G:G,MATCH(Tabla_Consulta_desde_Reporte_de_Valorización_de_Instrumentos[[#This Row],[CODIGO_SBS]],Parametria!C:C,0))</f>
        <v>52RVI</v>
      </c>
      <c r="AN360" s="26" t="str">
        <f>INDEX(Parametria!F:F,MATCH(Tabla_Consulta_desde_Reporte_de_Valorización_de_Instrumentos[[#This Row],[CODIGO_SBS]],Parametria!C:C,0))</f>
        <v>TD</v>
      </c>
      <c r="AO360" s="26" t="str">
        <f>+INDEX(Parametria!J:J,MATCH(Tabla_Consulta_desde_Reporte_de_Valorización_de_Instrumentos[[#This Row],[CODIGO_SBS]],Parametria!C:C,0))</f>
        <v>RVITD</v>
      </c>
      <c r="AP360" s="26">
        <f>Tabla_Consulta_desde_Reporte_de_Valorización_de_Instrumentos[[#This Row],[Huella]]/$AU$4</f>
        <v>1.9498574045599801E-6</v>
      </c>
      <c r="AQ360" s="26" t="str">
        <f>IFERROR(INDEX('BD(MSCI)'!W:W,MATCH(Tabla_Consulta_desde_Reporte_de_Valorización_de_Instrumentos[[#This Row],[CODIGO_ISIN]],'BD(MSCI)'!C:C,0)),IF(Tabla_Consulta_desde_Reporte_de_Valorización_de_Instrumentos[[#This Row],[Rank_rt]]="Cash","Cash","Cuestionario Integra"))</f>
        <v>ETF</v>
      </c>
      <c r="AR360" s="26" t="str">
        <f>IFERROR(INDEX('BD(MSCI)'!X:X,MATCH(Tabla_Consulta_desde_Reporte_de_Valorización_de_Instrumentos[[#This Row],[CODIGO_ISIN]],'BD(MSCI)'!C:C,0)),"Cuestionario Integra")</f>
        <v>Otros ETFs</v>
      </c>
      <c r="AU360" s="26"/>
    </row>
    <row r="361" spans="2:47" hidden="1" x14ac:dyDescent="0.25">
      <c r="B361" s="14" t="s">
        <v>6390</v>
      </c>
      <c r="C361" t="s">
        <v>586</v>
      </c>
      <c r="D361" t="s">
        <v>10</v>
      </c>
      <c r="E361" t="s">
        <v>587</v>
      </c>
      <c r="F361" t="s">
        <v>950</v>
      </c>
      <c r="G361" t="str">
        <f>INDEX(Parametria!H:H,MATCH(Tabla_Consulta_desde_Reporte_de_Valorización_de_Instrumentos[[#This Row],[CODIGO_SBS]],Parametria!C:C,0),1)</f>
        <v>BNP Paribas - China Equity Class</v>
      </c>
      <c r="H361" t="s">
        <v>951</v>
      </c>
      <c r="I361" t="s">
        <v>156</v>
      </c>
      <c r="J361" t="s">
        <v>952</v>
      </c>
      <c r="K361" t="s">
        <v>50</v>
      </c>
      <c r="L361">
        <v>465.85735</v>
      </c>
      <c r="M361" s="5">
        <v>3803.2757737000002</v>
      </c>
      <c r="N361">
        <v>1131.6242</v>
      </c>
      <c r="O361">
        <v>1.855</v>
      </c>
      <c r="P361" s="15"/>
      <c r="R361">
        <v>3.3609</v>
      </c>
      <c r="S361" t="s">
        <v>428</v>
      </c>
      <c r="T361">
        <v>3775.0718158</v>
      </c>
      <c r="U361" s="5">
        <v>1122.66455</v>
      </c>
      <c r="V361" t="s">
        <v>156</v>
      </c>
      <c r="W361">
        <v>0</v>
      </c>
      <c r="X361">
        <v>0</v>
      </c>
      <c r="Y361">
        <v>0</v>
      </c>
      <c r="Z361">
        <v>4.83</v>
      </c>
      <c r="AA361" t="str">
        <f>+MID(Tabla_Consulta_desde_Reporte_de_Valorización_de_Instrumentos[[#This Row],[CODIGO_SBS]],7,1)</f>
        <v>2</v>
      </c>
      <c r="AB361">
        <f>INDEX('Cálculo Caja'!F:F,MATCH(Tabla_Consulta_desde_Reporte_de_Valorización_de_Instrumentos[[#This Row],[PORTAFOLIO]],'Cálculo Caja'!A:A,0),1)</f>
        <v>26256910350.436607</v>
      </c>
      <c r="AC361" s="17">
        <f>Tabla_Consulta_desde_Reporte_de_Valorización_de_Instrumentos[[#This Row],[VALOR_VECTOR_LOCAL]]/Tabla_Consulta_desde_Reporte_de_Valorización_de_Instrumentos[[#This Row],[Patrimonio]]</f>
        <v>1.4484856454699965E-7</v>
      </c>
      <c r="AD361" s="4">
        <f>(Tabla_Consulta_desde_Reporte_de_Valorización_de_Instrumentos[[#This Row],[VALOR_VECTOR_LOCAL]]/INDEX('Tipo de Cambio'!$D:$D,MATCH("2",'Tipo de Cambio'!$E:$E,0),1))/1000000</f>
        <v>1.131624199976197E-3</v>
      </c>
      <c r="AE361">
        <f>IF(Tabla_Consulta_desde_Reporte_de_Valorización_de_Instrumentos[[#This Row],[PORTAFOLIO]]="IN-FONDO0",Tabla_Consulta_desde_Reporte_de_Valorización_de_Instrumentos[[#This Row],[Inv MM$]],0)</f>
        <v>0</v>
      </c>
      <c r="AF361" s="26">
        <f>IF(Tabla_Consulta_desde_Reporte_de_Valorización_de_Instrumentos[[#This Row],[PORTAFOLIO]]="IN-FONDO1",Tabla_Consulta_desde_Reporte_de_Valorización_de_Instrumentos[[#This Row],[Inv MM$]],0)</f>
        <v>0</v>
      </c>
      <c r="AG361" s="26">
        <f>IF(Tabla_Consulta_desde_Reporte_de_Valorización_de_Instrumentos[[#This Row],[PORTAFOLIO]]="IN-FONDO2",Tabla_Consulta_desde_Reporte_de_Valorización_de_Instrumentos[[#This Row],[Inv MM$]],0)</f>
        <v>1.131624199976197E-3</v>
      </c>
      <c r="AH361" s="26">
        <f>IF(Tabla_Consulta_desde_Reporte_de_Valorización_de_Instrumentos[[#This Row],[PORTAFOLIO]]="IN-FONDO3",Tabla_Consulta_desde_Reporte_de_Valorización_de_Instrumentos[[#This Row],[Inv MM$]],0)</f>
        <v>0</v>
      </c>
      <c r="AI36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1.9515179599512039E-3</v>
      </c>
      <c r="AJ361" s="26">
        <f>IFERROR(IFERROR(INDEX('BD(MSCI)'!$T:$T,MATCH(Tabla_Consulta_desde_Reporte_de_Valorización_de_Instrumentos[[#This Row],[CODIGO_ISIN]],'BD(MSCI)'!$C:$C,0),1),INDEX('BD(MSCI)'!$T:$T,MATCH(Tabla_Consulta_desde_Reporte_de_Valorización_de_Instrumentos[[#This Row],[CODIGO_SBS]],'BD(MSCI)'!$C:$C,0),1)),0)</f>
        <v>25.653295719999999</v>
      </c>
      <c r="AK361" s="26">
        <f>Tabla_Consulta_desde_Reporte_de_Valorización_de_Instrumentos[[#This Row],[C02-H]]*Tabla_Consulta_desde_Reporte_de_Valorización_de_Instrumentos[[#This Row],[Inv MM$]]</f>
        <v>2.9029890245897798E-2</v>
      </c>
      <c r="AL361" s="26">
        <f>Tabla_Consulta_desde_Reporte_de_Valorización_de_Instrumentos[[#This Row],[C02-H]]*Tabla_Consulta_desde_Reporte_de_Valorización_de_Instrumentos[[#This Row],[Weight]]</f>
        <v>3.7158430609416897E-6</v>
      </c>
      <c r="AM361" s="26" t="str">
        <f>INDEX(Parametria!G:G,MATCH(Tabla_Consulta_desde_Reporte_de_Valorización_de_Instrumentos[[#This Row],[CODIGO_SBS]],Parametria!C:C,0))</f>
        <v>52RVI</v>
      </c>
      <c r="AN361" s="26" t="str">
        <f>INDEX(Parametria!F:F,MATCH(Tabla_Consulta_desde_Reporte_de_Valorización_de_Instrumentos[[#This Row],[CODIGO_SBS]],Parametria!C:C,0))</f>
        <v>TD</v>
      </c>
      <c r="AO361" s="26" t="str">
        <f>+INDEX(Parametria!J:J,MATCH(Tabla_Consulta_desde_Reporte_de_Valorización_de_Instrumentos[[#This Row],[CODIGO_SBS]],Parametria!C:C,0))</f>
        <v>RVITD</v>
      </c>
      <c r="AP361" s="26">
        <f>Tabla_Consulta_desde_Reporte_de_Valorización_de_Instrumentos[[#This Row],[Huella]]/$AU$4</f>
        <v>2.6912094386108186E-6</v>
      </c>
      <c r="AQ361" s="26" t="str">
        <f>IFERROR(INDEX('BD(MSCI)'!W:W,MATCH(Tabla_Consulta_desde_Reporte_de_Valorización_de_Instrumentos[[#This Row],[CODIGO_ISIN]],'BD(MSCI)'!C:C,0)),IF(Tabla_Consulta_desde_Reporte_de_Valorización_de_Instrumentos[[#This Row],[Rank_rt]]="Cash","Cash","Cuestionario Integra"))</f>
        <v>ETF</v>
      </c>
      <c r="AR361" s="26" t="str">
        <f>IFERROR(INDEX('BD(MSCI)'!X:X,MATCH(Tabla_Consulta_desde_Reporte_de_Valorización_de_Instrumentos[[#This Row],[CODIGO_ISIN]],'BD(MSCI)'!C:C,0)),"Cuestionario Integra")</f>
        <v>Otros ETFs</v>
      </c>
      <c r="AU361" s="26"/>
    </row>
    <row r="362" spans="2:47" hidden="1" x14ac:dyDescent="0.25">
      <c r="B362" s="14" t="s">
        <v>6390</v>
      </c>
      <c r="C362" t="s">
        <v>586</v>
      </c>
      <c r="D362" t="s">
        <v>10</v>
      </c>
      <c r="E362" t="s">
        <v>587</v>
      </c>
      <c r="F362" t="s">
        <v>695</v>
      </c>
      <c r="G362" t="str">
        <f>INDEX(Parametria!H:H,MATCH(Tabla_Consulta_desde_Reporte_de_Valorización_de_Instrumentos[[#This Row],[CODIGO_SBS]],Parametria!C:C,0),1)</f>
        <v>DFA - US Large Cap Value</v>
      </c>
      <c r="H362" t="s">
        <v>696</v>
      </c>
      <c r="I362" t="s">
        <v>156</v>
      </c>
      <c r="J362" t="s">
        <v>697</v>
      </c>
      <c r="K362" t="s">
        <v>50</v>
      </c>
      <c r="L362">
        <v>1</v>
      </c>
      <c r="M362" s="5">
        <v>190.66385700000001</v>
      </c>
      <c r="N362">
        <v>56.73</v>
      </c>
      <c r="O362">
        <v>1</v>
      </c>
      <c r="P362" s="15"/>
      <c r="R362">
        <v>3.3609</v>
      </c>
      <c r="S362" t="s">
        <v>428</v>
      </c>
      <c r="T362">
        <v>190.894802</v>
      </c>
      <c r="U362" s="5">
        <v>56.77</v>
      </c>
      <c r="V362" t="s">
        <v>156</v>
      </c>
      <c r="W362">
        <v>0</v>
      </c>
      <c r="X362">
        <v>0</v>
      </c>
      <c r="Y362">
        <v>0</v>
      </c>
      <c r="Z362">
        <v>-0.04</v>
      </c>
      <c r="AA362" t="str">
        <f>+MID(Tabla_Consulta_desde_Reporte_de_Valorización_de_Instrumentos[[#This Row],[CODIGO_SBS]],7,1)</f>
        <v>2</v>
      </c>
      <c r="AB362">
        <f>INDEX('Cálculo Caja'!F:F,MATCH(Tabla_Consulta_desde_Reporte_de_Valorización_de_Instrumentos[[#This Row],[PORTAFOLIO]],'Cálculo Caja'!A:A,0),1)</f>
        <v>26256910350.436607</v>
      </c>
      <c r="AC362" s="17">
        <f>Tabla_Consulta_desde_Reporte_de_Valorización_de_Instrumentos[[#This Row],[VALOR_VECTOR_LOCAL]]/Tabla_Consulta_desde_Reporte_de_Valorización_de_Instrumentos[[#This Row],[Patrimonio]]</f>
        <v>7.2614734351953026E-9</v>
      </c>
      <c r="AD362" s="4">
        <f>(Tabla_Consulta_desde_Reporte_de_Valorización_de_Instrumentos[[#This Row],[VALOR_VECTOR_LOCAL]]/INDEX('Tipo de Cambio'!$D:$D,MATCH("2",'Tipo de Cambio'!$E:$E,0),1))/1000000</f>
        <v>5.6730000000000001E-5</v>
      </c>
      <c r="AE362">
        <f>IF(Tabla_Consulta_desde_Reporte_de_Valorización_de_Instrumentos[[#This Row],[PORTAFOLIO]]="IN-FONDO0",Tabla_Consulta_desde_Reporte_de_Valorización_de_Instrumentos[[#This Row],[Inv MM$]],0)</f>
        <v>0</v>
      </c>
      <c r="AF362" s="26">
        <f>IF(Tabla_Consulta_desde_Reporte_de_Valorización_de_Instrumentos[[#This Row],[PORTAFOLIO]]="IN-FONDO1",Tabla_Consulta_desde_Reporte_de_Valorización_de_Instrumentos[[#This Row],[Inv MM$]],0)</f>
        <v>0</v>
      </c>
      <c r="AG362" s="26">
        <f>IF(Tabla_Consulta_desde_Reporte_de_Valorización_de_Instrumentos[[#This Row],[PORTAFOLIO]]="IN-FONDO2",Tabla_Consulta_desde_Reporte_de_Valorización_de_Instrumentos[[#This Row],[Inv MM$]],0)</f>
        <v>5.6730000000000001E-5</v>
      </c>
      <c r="AH362" s="26">
        <f>IF(Tabla_Consulta_desde_Reporte_de_Valorización_de_Instrumentos[[#This Row],[PORTAFOLIO]]="IN-FONDO3",Tabla_Consulta_desde_Reporte_de_Valorización_de_Instrumentos[[#This Row],[Inv MM$]],0)</f>
        <v>0</v>
      </c>
      <c r="AI36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5.6730000000000001E-5</v>
      </c>
      <c r="AJ362" s="26">
        <f>IFERROR(IFERROR(INDEX('BD(MSCI)'!$T:$T,MATCH(Tabla_Consulta_desde_Reporte_de_Valorización_de_Instrumentos[[#This Row],[CODIGO_ISIN]],'BD(MSCI)'!$C:$C,0),1),INDEX('BD(MSCI)'!$T:$T,MATCH(Tabla_Consulta_desde_Reporte_de_Valorización_de_Instrumentos[[#This Row],[CODIGO_SBS]],'BD(MSCI)'!$C:$C,0),1)),0)</f>
        <v>57.014758860000001</v>
      </c>
      <c r="AK362" s="26">
        <f>Tabla_Consulta_desde_Reporte_de_Valorización_de_Instrumentos[[#This Row],[C02-H]]*Tabla_Consulta_desde_Reporte_de_Valorización_de_Instrumentos[[#This Row],[Inv MM$]]</f>
        <v>3.2344472701278E-3</v>
      </c>
      <c r="AL362" s="26">
        <f>Tabla_Consulta_desde_Reporte_de_Valorización_de_Instrumentos[[#This Row],[C02-H]]*Tabla_Consulta_desde_Reporte_de_Valorización_de_Instrumentos[[#This Row],[Weight]]</f>
        <v>4.14011156875956E-7</v>
      </c>
      <c r="AM362" s="26" t="str">
        <f>INDEX(Parametria!G:G,MATCH(Tabla_Consulta_desde_Reporte_de_Valorización_de_Instrumentos[[#This Row],[CODIGO_SBS]],Parametria!C:C,0))</f>
        <v>52RVI</v>
      </c>
      <c r="AN362" s="26" t="str">
        <f>INDEX(Parametria!F:F,MATCH(Tabla_Consulta_desde_Reporte_de_Valorización_de_Instrumentos[[#This Row],[CODIGO_SBS]],Parametria!C:C,0))</f>
        <v>TD</v>
      </c>
      <c r="AO362" s="26" t="str">
        <f>+INDEX(Parametria!J:J,MATCH(Tabla_Consulta_desde_Reporte_de_Valorización_de_Instrumentos[[#This Row],[CODIGO_SBS]],Parametria!C:C,0))</f>
        <v>RVITD</v>
      </c>
      <c r="AP362" s="26">
        <f>Tabla_Consulta_desde_Reporte_de_Valorización_de_Instrumentos[[#This Row],[Huella]]/$AU$4</f>
        <v>2.9984870587951919E-7</v>
      </c>
      <c r="AQ362" s="26" t="str">
        <f>IFERROR(INDEX('BD(MSCI)'!W:W,MATCH(Tabla_Consulta_desde_Reporte_de_Valorización_de_Instrumentos[[#This Row],[CODIGO_ISIN]],'BD(MSCI)'!C:C,0)),IF(Tabla_Consulta_desde_Reporte_de_Valorización_de_Instrumentos[[#This Row],[Rank_rt]]="Cash","Cash","Cuestionario Integra"))</f>
        <v>ETF</v>
      </c>
      <c r="AR362" s="26" t="str">
        <f>IFERROR(INDEX('BD(MSCI)'!X:X,MATCH(Tabla_Consulta_desde_Reporte_de_Valorización_de_Instrumentos[[#This Row],[CODIGO_ISIN]],'BD(MSCI)'!C:C,0)),"Cuestionario Integra")</f>
        <v>Otros ETFs</v>
      </c>
      <c r="AU362" s="26"/>
    </row>
    <row r="363" spans="2:47" hidden="1" x14ac:dyDescent="0.25">
      <c r="B363" s="14" t="s">
        <v>6390</v>
      </c>
      <c r="C363" t="s">
        <v>586</v>
      </c>
      <c r="D363" t="s">
        <v>11</v>
      </c>
      <c r="E363" t="s">
        <v>587</v>
      </c>
      <c r="F363" t="s">
        <v>698</v>
      </c>
      <c r="G363" t="str">
        <f>INDEX(Parametria!H:H,MATCH(Tabla_Consulta_desde_Reporte_de_Valorización_de_Instrumentos[[#This Row],[CODIGO_SBS]],Parametria!C:C,0),1)</f>
        <v>BNP Paribas - Japan Small Caps</v>
      </c>
      <c r="H363" t="s">
        <v>699</v>
      </c>
      <c r="I363" t="s">
        <v>156</v>
      </c>
      <c r="J363" t="s">
        <v>700</v>
      </c>
      <c r="K363" t="s">
        <v>78</v>
      </c>
      <c r="L363">
        <v>1</v>
      </c>
      <c r="M363" s="5">
        <v>42889404.203730002</v>
      </c>
      <c r="N363">
        <v>2000205396</v>
      </c>
      <c r="O363">
        <v>57976.968000000001</v>
      </c>
      <c r="P363" s="15"/>
      <c r="R363">
        <v>2.14425E-2</v>
      </c>
      <c r="S363" t="s">
        <v>428</v>
      </c>
      <c r="T363">
        <v>43163155.9145962</v>
      </c>
      <c r="U363" s="5">
        <v>2007336563.0639999</v>
      </c>
      <c r="V363" t="s">
        <v>156</v>
      </c>
      <c r="W363">
        <v>0</v>
      </c>
      <c r="X363">
        <v>0</v>
      </c>
      <c r="Y363">
        <v>0</v>
      </c>
      <c r="Z363">
        <v>-123</v>
      </c>
      <c r="AA363" t="str">
        <f>+MID(Tabla_Consulta_desde_Reporte_de_Valorización_de_Instrumentos[[#This Row],[CODIGO_SBS]],7,1)</f>
        <v>5</v>
      </c>
      <c r="AB363">
        <f>INDEX('Cálculo Caja'!F:F,MATCH(Tabla_Consulta_desde_Reporte_de_Valorización_de_Instrumentos[[#This Row],[PORTAFOLIO]],'Cálculo Caja'!A:A,0),1)</f>
        <v>3164069580.822104</v>
      </c>
      <c r="AC363" s="17">
        <f>Tabla_Consulta_desde_Reporte_de_Valorización_de_Instrumentos[[#This Row],[VALOR_VECTOR_LOCAL]]/Tabla_Consulta_desde_Reporte_de_Valorización_de_Instrumentos[[#This Row],[Patrimonio]]</f>
        <v>1.3555139388744501E-2</v>
      </c>
      <c r="AD363" s="4">
        <f>(Tabla_Consulta_desde_Reporte_de_Valorización_de_Instrumentos[[#This Row],[VALOR_VECTOR_LOCAL]]/INDEX('Tipo de Cambio'!$D:$D,MATCH("2",'Tipo de Cambio'!$E:$E,0),1))/1000000</f>
        <v>12.761285430607874</v>
      </c>
      <c r="AE363">
        <f>IF(Tabla_Consulta_desde_Reporte_de_Valorización_de_Instrumentos[[#This Row],[PORTAFOLIO]]="IN-FONDO0",Tabla_Consulta_desde_Reporte_de_Valorización_de_Instrumentos[[#This Row],[Inv MM$]],0)</f>
        <v>0</v>
      </c>
      <c r="AF363" s="26">
        <f>IF(Tabla_Consulta_desde_Reporte_de_Valorización_de_Instrumentos[[#This Row],[PORTAFOLIO]]="IN-FONDO1",Tabla_Consulta_desde_Reporte_de_Valorización_de_Instrumentos[[#This Row],[Inv MM$]],0)</f>
        <v>0</v>
      </c>
      <c r="AG363" s="26">
        <f>IF(Tabla_Consulta_desde_Reporte_de_Valorización_de_Instrumentos[[#This Row],[PORTAFOLIO]]="IN-FONDO2",Tabla_Consulta_desde_Reporte_de_Valorización_de_Instrumentos[[#This Row],[Inv MM$]],0)</f>
        <v>0</v>
      </c>
      <c r="AH363" s="26">
        <f>IF(Tabla_Consulta_desde_Reporte_de_Valorización_de_Instrumentos[[#This Row],[PORTAFOLIO]]="IN-FONDO3",Tabla_Consulta_desde_Reporte_de_Valorización_de_Instrumentos[[#This Row],[Inv MM$]],0)</f>
        <v>12.761285430607874</v>
      </c>
      <c r="AI36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90.985261769726861</v>
      </c>
      <c r="AJ363" s="26">
        <f>IFERROR(IFERROR(INDEX('BD(MSCI)'!$T:$T,MATCH(Tabla_Consulta_desde_Reporte_de_Valorización_de_Instrumentos[[#This Row],[CODIGO_ISIN]],'BD(MSCI)'!$C:$C,0),1),INDEX('BD(MSCI)'!$T:$T,MATCH(Tabla_Consulta_desde_Reporte_de_Valorización_de_Instrumentos[[#This Row],[CODIGO_SBS]],'BD(MSCI)'!$C:$C,0),1)),0)</f>
        <v>121.3874163</v>
      </c>
      <c r="AK363" s="26">
        <f>Tabla_Consulta_desde_Reporte_de_Valorización_de_Instrumentos[[#This Row],[C02-H]]*Tabla_Consulta_desde_Reporte_de_Valorización_de_Instrumentos[[#This Row],[Inv MM$]]</f>
        <v>1549.0594670883227</v>
      </c>
      <c r="AL363" s="26">
        <f>Tabla_Consulta_desde_Reporte_de_Valorización_de_Instrumentos[[#This Row],[C02-H]]*Tabla_Consulta_desde_Reporte_de_Valorización_de_Instrumentos[[#This Row],[Weight]]</f>
        <v>1.6454233479860563</v>
      </c>
      <c r="AM363" s="26" t="str">
        <f>INDEX(Parametria!G:G,MATCH(Tabla_Consulta_desde_Reporte_de_Valorización_de_Instrumentos[[#This Row],[CODIGO_SBS]],Parametria!C:C,0))</f>
        <v>52RVI</v>
      </c>
      <c r="AN363" s="26" t="str">
        <f>INDEX(Parametria!F:F,MATCH(Tabla_Consulta_desde_Reporte_de_Valorización_de_Instrumentos[[#This Row],[CODIGO_SBS]],Parametria!C:C,0))</f>
        <v>TD</v>
      </c>
      <c r="AO363" s="26" t="str">
        <f>+INDEX(Parametria!J:J,MATCH(Tabla_Consulta_desde_Reporte_de_Valorización_de_Instrumentos[[#This Row],[CODIGO_SBS]],Parametria!C:C,0))</f>
        <v>RVITD</v>
      </c>
      <c r="AP363" s="26">
        <f>Tabla_Consulta_desde_Reporte_de_Valorización_de_Instrumentos[[#This Row],[Huella]]/$AU$4</f>
        <v>0.14360520909605012</v>
      </c>
      <c r="AQ363" s="26" t="str">
        <f>IFERROR(INDEX('BD(MSCI)'!W:W,MATCH(Tabla_Consulta_desde_Reporte_de_Valorización_de_Instrumentos[[#This Row],[CODIGO_ISIN]],'BD(MSCI)'!C:C,0)),IF(Tabla_Consulta_desde_Reporte_de_Valorización_de_Instrumentos[[#This Row],[Rank_rt]]="Cash","Cash","Cuestionario Integra"))</f>
        <v>ETF</v>
      </c>
      <c r="AR363" s="26" t="str">
        <f>IFERROR(INDEX('BD(MSCI)'!X:X,MATCH(Tabla_Consulta_desde_Reporte_de_Valorización_de_Instrumentos[[#This Row],[CODIGO_ISIN]],'BD(MSCI)'!C:C,0)),"Cuestionario Integra")</f>
        <v>Otros ETFs</v>
      </c>
      <c r="AU363" s="26"/>
    </row>
    <row r="364" spans="2:47" hidden="1" x14ac:dyDescent="0.25">
      <c r="B364" s="14" t="s">
        <v>6390</v>
      </c>
      <c r="C364" t="s">
        <v>586</v>
      </c>
      <c r="D364" t="s">
        <v>10</v>
      </c>
      <c r="E364" t="s">
        <v>587</v>
      </c>
      <c r="F364" t="s">
        <v>698</v>
      </c>
      <c r="G364" t="str">
        <f>INDEX(Parametria!H:H,MATCH(Tabla_Consulta_desde_Reporte_de_Valorización_de_Instrumentos[[#This Row],[CODIGO_SBS]],Parametria!C:C,0),1)</f>
        <v>BNP Paribas - Japan Small Caps</v>
      </c>
      <c r="H364" t="s">
        <v>699</v>
      </c>
      <c r="I364" t="s">
        <v>156</v>
      </c>
      <c r="J364" t="s">
        <v>700</v>
      </c>
      <c r="K364" t="s">
        <v>78</v>
      </c>
      <c r="L364">
        <v>1</v>
      </c>
      <c r="M364" s="5">
        <v>239288143.84564501</v>
      </c>
      <c r="N364">
        <v>11159526354</v>
      </c>
      <c r="O364">
        <v>323464.53200000001</v>
      </c>
      <c r="P364" s="15"/>
      <c r="R364">
        <v>2.14425E-2</v>
      </c>
      <c r="S364" t="s">
        <v>428</v>
      </c>
      <c r="T364">
        <v>240815456.70960081</v>
      </c>
      <c r="U364" s="5">
        <v>11199312491.436001</v>
      </c>
      <c r="V364" t="s">
        <v>156</v>
      </c>
      <c r="W364">
        <v>0</v>
      </c>
      <c r="X364">
        <v>0</v>
      </c>
      <c r="Y364">
        <v>0</v>
      </c>
      <c r="Z364">
        <v>-123</v>
      </c>
      <c r="AA364" t="str">
        <f>+MID(Tabla_Consulta_desde_Reporte_de_Valorización_de_Instrumentos[[#This Row],[CODIGO_SBS]],7,1)</f>
        <v>5</v>
      </c>
      <c r="AB364">
        <f>INDEX('Cálculo Caja'!F:F,MATCH(Tabla_Consulta_desde_Reporte_de_Valorización_de_Instrumentos[[#This Row],[PORTAFOLIO]],'Cálculo Caja'!A:A,0),1)</f>
        <v>26256910350.436607</v>
      </c>
      <c r="AC364" s="17">
        <f>Tabla_Consulta_desde_Reporte_de_Valorización_de_Instrumentos[[#This Row],[VALOR_VECTOR_LOCAL]]/Tabla_Consulta_desde_Reporte_de_Valorización_de_Instrumentos[[#This Row],[Patrimonio]]</f>
        <v>9.1133397133172627E-3</v>
      </c>
      <c r="AD364" s="4">
        <f>(Tabla_Consulta_desde_Reporte_de_Valorización_de_Instrumentos[[#This Row],[VALOR_VECTOR_LOCAL]]/INDEX('Tipo de Cambio'!$D:$D,MATCH("2",'Tipo de Cambio'!$E:$E,0),1))/1000000</f>
        <v>71.197638681795056</v>
      </c>
      <c r="AE364">
        <f>IF(Tabla_Consulta_desde_Reporte_de_Valorización_de_Instrumentos[[#This Row],[PORTAFOLIO]]="IN-FONDO0",Tabla_Consulta_desde_Reporte_de_Valorización_de_Instrumentos[[#This Row],[Inv MM$]],0)</f>
        <v>0</v>
      </c>
      <c r="AF364" s="26">
        <f>IF(Tabla_Consulta_desde_Reporte_de_Valorización_de_Instrumentos[[#This Row],[PORTAFOLIO]]="IN-FONDO1",Tabla_Consulta_desde_Reporte_de_Valorización_de_Instrumentos[[#This Row],[Inv MM$]],0)</f>
        <v>0</v>
      </c>
      <c r="AG364" s="26">
        <f>IF(Tabla_Consulta_desde_Reporte_de_Valorización_de_Instrumentos[[#This Row],[PORTAFOLIO]]="IN-FONDO2",Tabla_Consulta_desde_Reporte_de_Valorización_de_Instrumentos[[#This Row],[Inv MM$]],0)</f>
        <v>71.197638681795056</v>
      </c>
      <c r="AH364" s="26">
        <f>IF(Tabla_Consulta_desde_Reporte_de_Valorización_de_Instrumentos[[#This Row],[PORTAFOLIO]]="IN-FONDO3",Tabla_Consulta_desde_Reporte_de_Valorización_de_Instrumentos[[#This Row],[Inv MM$]],0)</f>
        <v>0</v>
      </c>
      <c r="AI36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90.985261769726861</v>
      </c>
      <c r="AJ364" s="26">
        <f>IFERROR(IFERROR(INDEX('BD(MSCI)'!$T:$T,MATCH(Tabla_Consulta_desde_Reporte_de_Valorización_de_Instrumentos[[#This Row],[CODIGO_ISIN]],'BD(MSCI)'!$C:$C,0),1),INDEX('BD(MSCI)'!$T:$T,MATCH(Tabla_Consulta_desde_Reporte_de_Valorización_de_Instrumentos[[#This Row],[CODIGO_SBS]],'BD(MSCI)'!$C:$C,0),1)),0)</f>
        <v>121.3874163</v>
      </c>
      <c r="AK364" s="26">
        <f>Tabla_Consulta_desde_Reporte_de_Valorización_de_Instrumentos[[#This Row],[C02-H]]*Tabla_Consulta_desde_Reporte_de_Valorización_de_Instrumentos[[#This Row],[Inv MM$]]</f>
        <v>8642.4974062440397</v>
      </c>
      <c r="AL364" s="26">
        <f>Tabla_Consulta_desde_Reporte_de_Valorización_de_Instrumentos[[#This Row],[C02-H]]*Tabla_Consulta_desde_Reporte_de_Valorización_de_Instrumentos[[#This Row],[Weight]]</f>
        <v>1.1062447616637652</v>
      </c>
      <c r="AM364" s="26" t="str">
        <f>INDEX(Parametria!G:G,MATCH(Tabla_Consulta_desde_Reporte_de_Valorización_de_Instrumentos[[#This Row],[CODIGO_SBS]],Parametria!C:C,0))</f>
        <v>52RVI</v>
      </c>
      <c r="AN364" s="26" t="str">
        <f>INDEX(Parametria!F:F,MATCH(Tabla_Consulta_desde_Reporte_de_Valorización_de_Instrumentos[[#This Row],[CODIGO_SBS]],Parametria!C:C,0))</f>
        <v>TD</v>
      </c>
      <c r="AO364" s="26" t="str">
        <f>+INDEX(Parametria!J:J,MATCH(Tabla_Consulta_desde_Reporte_de_Valorización_de_Instrumentos[[#This Row],[CODIGO_SBS]],Parametria!C:C,0))</f>
        <v>RVITD</v>
      </c>
      <c r="AP364" s="26">
        <f>Tabla_Consulta_desde_Reporte_de_Valorización_de_Instrumentos[[#This Row],[Huella]]/$AU$4</f>
        <v>0.80120077602222994</v>
      </c>
      <c r="AQ364" s="26" t="str">
        <f>IFERROR(INDEX('BD(MSCI)'!W:W,MATCH(Tabla_Consulta_desde_Reporte_de_Valorización_de_Instrumentos[[#This Row],[CODIGO_ISIN]],'BD(MSCI)'!C:C,0)),IF(Tabla_Consulta_desde_Reporte_de_Valorización_de_Instrumentos[[#This Row],[Rank_rt]]="Cash","Cash","Cuestionario Integra"))</f>
        <v>ETF</v>
      </c>
      <c r="AR364" s="26" t="str">
        <f>IFERROR(INDEX('BD(MSCI)'!X:X,MATCH(Tabla_Consulta_desde_Reporte_de_Valorización_de_Instrumentos[[#This Row],[CODIGO_ISIN]],'BD(MSCI)'!C:C,0)),"Cuestionario Integra")</f>
        <v>Otros ETFs</v>
      </c>
      <c r="AU364" s="26"/>
    </row>
    <row r="365" spans="2:47" hidden="1" x14ac:dyDescent="0.25">
      <c r="B365" s="14" t="s">
        <v>6390</v>
      </c>
      <c r="C365" t="s">
        <v>586</v>
      </c>
      <c r="D365" t="s">
        <v>12</v>
      </c>
      <c r="E365" t="s">
        <v>587</v>
      </c>
      <c r="F365" t="s">
        <v>698</v>
      </c>
      <c r="G365" t="str">
        <f>INDEX(Parametria!H:H,MATCH(Tabla_Consulta_desde_Reporte_de_Valorización_de_Instrumentos[[#This Row],[CODIGO_SBS]],Parametria!C:C,0),1)</f>
        <v>BNP Paribas - Japan Small Caps</v>
      </c>
      <c r="H365" t="s">
        <v>699</v>
      </c>
      <c r="I365" t="s">
        <v>156</v>
      </c>
      <c r="J365" t="s">
        <v>700</v>
      </c>
      <c r="K365" t="s">
        <v>78</v>
      </c>
      <c r="L365">
        <v>1</v>
      </c>
      <c r="M365" s="5">
        <v>23614818.232500002</v>
      </c>
      <c r="N365">
        <v>1101309000</v>
      </c>
      <c r="O365">
        <v>31922</v>
      </c>
      <c r="P365" s="15"/>
      <c r="R365">
        <v>2.14425E-2</v>
      </c>
      <c r="S365" t="s">
        <v>428</v>
      </c>
      <c r="T365">
        <v>23765545.364596199</v>
      </c>
      <c r="U365" s="5">
        <v>1105235406</v>
      </c>
      <c r="V365" t="s">
        <v>156</v>
      </c>
      <c r="W365">
        <v>0</v>
      </c>
      <c r="X365">
        <v>0</v>
      </c>
      <c r="Y365">
        <v>0</v>
      </c>
      <c r="Z365">
        <v>-123</v>
      </c>
      <c r="AA365" t="str">
        <f>+MID(Tabla_Consulta_desde_Reporte_de_Valorización_de_Instrumentos[[#This Row],[CODIGO_SBS]],7,1)</f>
        <v>5</v>
      </c>
      <c r="AB365">
        <f>INDEX('Cálculo Caja'!F:F,MATCH(Tabla_Consulta_desde_Reporte_de_Valorización_de_Instrumentos[[#This Row],[PORTAFOLIO]],'Cálculo Caja'!A:A,0),1)</f>
        <v>7679510866.0565634</v>
      </c>
      <c r="AC365" s="17">
        <f>Tabla_Consulta_desde_Reporte_de_Valorización_de_Instrumentos[[#This Row],[VALOR_VECTOR_LOCAL]]/Tabla_Consulta_desde_Reporte_de_Valorización_de_Instrumentos[[#This Row],[Patrimonio]]</f>
        <v>3.0750419713418851E-3</v>
      </c>
      <c r="AD365" s="4">
        <f>(Tabla_Consulta_desde_Reporte_de_Valorización_de_Instrumentos[[#This Row],[VALOR_VECTOR_LOCAL]]/INDEX('Tipo de Cambio'!$D:$D,MATCH("2",'Tipo de Cambio'!$E:$E,0),1))/1000000</f>
        <v>7.0263376573239311</v>
      </c>
      <c r="AE365">
        <f>IF(Tabla_Consulta_desde_Reporte_de_Valorización_de_Instrumentos[[#This Row],[PORTAFOLIO]]="IN-FONDO0",Tabla_Consulta_desde_Reporte_de_Valorización_de_Instrumentos[[#This Row],[Inv MM$]],0)</f>
        <v>0</v>
      </c>
      <c r="AF365" s="26">
        <f>IF(Tabla_Consulta_desde_Reporte_de_Valorización_de_Instrumentos[[#This Row],[PORTAFOLIO]]="IN-FONDO1",Tabla_Consulta_desde_Reporte_de_Valorización_de_Instrumentos[[#This Row],[Inv MM$]],0)</f>
        <v>7.0263376573239311</v>
      </c>
      <c r="AG365" s="26">
        <f>IF(Tabla_Consulta_desde_Reporte_de_Valorización_de_Instrumentos[[#This Row],[PORTAFOLIO]]="IN-FONDO2",Tabla_Consulta_desde_Reporte_de_Valorización_de_Instrumentos[[#This Row],[Inv MM$]],0)</f>
        <v>0</v>
      </c>
      <c r="AH365" s="26">
        <f>IF(Tabla_Consulta_desde_Reporte_de_Valorización_de_Instrumentos[[#This Row],[PORTAFOLIO]]="IN-FONDO3",Tabla_Consulta_desde_Reporte_de_Valorización_de_Instrumentos[[#This Row],[Inv MM$]],0)</f>
        <v>0</v>
      </c>
      <c r="AI36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90.985261769726861</v>
      </c>
      <c r="AJ365" s="26">
        <f>IFERROR(IFERROR(INDEX('BD(MSCI)'!$T:$T,MATCH(Tabla_Consulta_desde_Reporte_de_Valorización_de_Instrumentos[[#This Row],[CODIGO_ISIN]],'BD(MSCI)'!$C:$C,0),1),INDEX('BD(MSCI)'!$T:$T,MATCH(Tabla_Consulta_desde_Reporte_de_Valorización_de_Instrumentos[[#This Row],[CODIGO_SBS]],'BD(MSCI)'!$C:$C,0),1)),0)</f>
        <v>121.3874163</v>
      </c>
      <c r="AK365" s="26">
        <f>Tabla_Consulta_desde_Reporte_de_Valorización_de_Instrumentos[[#This Row],[C02-H]]*Tabla_Consulta_desde_Reporte_de_Valorización_de_Instrumentos[[#This Row],[Inv MM$]]</f>
        <v>852.9089742739468</v>
      </c>
      <c r="AL365" s="26">
        <f>Tabla_Consulta_desde_Reporte_de_Valorización_de_Instrumentos[[#This Row],[C02-H]]*Tabla_Consulta_desde_Reporte_de_Valorización_de_Instrumentos[[#This Row],[Weight]]</f>
        <v>0.37327139991525005</v>
      </c>
      <c r="AM365" s="26" t="str">
        <f>INDEX(Parametria!G:G,MATCH(Tabla_Consulta_desde_Reporte_de_Valorización_de_Instrumentos[[#This Row],[CODIGO_SBS]],Parametria!C:C,0))</f>
        <v>52RVI</v>
      </c>
      <c r="AN365" s="26" t="str">
        <f>INDEX(Parametria!F:F,MATCH(Tabla_Consulta_desde_Reporte_de_Valorización_de_Instrumentos[[#This Row],[CODIGO_SBS]],Parametria!C:C,0))</f>
        <v>TD</v>
      </c>
      <c r="AO365" s="26" t="str">
        <f>+INDEX(Parametria!J:J,MATCH(Tabla_Consulta_desde_Reporte_de_Valorización_de_Instrumentos[[#This Row],[CODIGO_SBS]],Parametria!C:C,0))</f>
        <v>RVITD</v>
      </c>
      <c r="AP365" s="26">
        <f>Tabla_Consulta_desde_Reporte_de_Valorización_de_Instrumentos[[#This Row],[Huella]]/$AU$4</f>
        <v>7.9068734411294361E-2</v>
      </c>
      <c r="AQ365" s="26" t="str">
        <f>IFERROR(INDEX('BD(MSCI)'!W:W,MATCH(Tabla_Consulta_desde_Reporte_de_Valorización_de_Instrumentos[[#This Row],[CODIGO_ISIN]],'BD(MSCI)'!C:C,0)),IF(Tabla_Consulta_desde_Reporte_de_Valorización_de_Instrumentos[[#This Row],[Rank_rt]]="Cash","Cash","Cuestionario Integra"))</f>
        <v>ETF</v>
      </c>
      <c r="AR365" s="26" t="str">
        <f>IFERROR(INDEX('BD(MSCI)'!X:X,MATCH(Tabla_Consulta_desde_Reporte_de_Valorización_de_Instrumentos[[#This Row],[CODIGO_ISIN]],'BD(MSCI)'!C:C,0)),"Cuestionario Integra")</f>
        <v>Otros ETFs</v>
      </c>
      <c r="AU365" s="26"/>
    </row>
    <row r="366" spans="2:47" hidden="1" x14ac:dyDescent="0.25">
      <c r="B366" s="14" t="s">
        <v>6390</v>
      </c>
      <c r="C366" t="s">
        <v>586</v>
      </c>
      <c r="D366" t="s">
        <v>12</v>
      </c>
      <c r="E366" t="s">
        <v>587</v>
      </c>
      <c r="F366" t="s">
        <v>701</v>
      </c>
      <c r="G366" t="str">
        <f>INDEX(Parametria!H:H,MATCH(Tabla_Consulta_desde_Reporte_de_Valorización_de_Instrumentos[[#This Row],[CODIGO_SBS]],Parametria!C:C,0),1)</f>
        <v>Goldman Sachs - Emerging Markets Corporate Debt</v>
      </c>
      <c r="H366" t="s">
        <v>702</v>
      </c>
      <c r="I366" t="s">
        <v>156</v>
      </c>
      <c r="J366" t="s">
        <v>703</v>
      </c>
      <c r="K366" t="s">
        <v>50</v>
      </c>
      <c r="L366">
        <v>170.62</v>
      </c>
      <c r="M366" s="5">
        <v>483.44570290000001</v>
      </c>
      <c r="N366">
        <v>143.84412</v>
      </c>
      <c r="O366">
        <v>0.71799999999999997</v>
      </c>
      <c r="P366" s="15"/>
      <c r="R366">
        <v>3.3609</v>
      </c>
      <c r="S366" t="s">
        <v>155</v>
      </c>
      <c r="T366">
        <v>483.59366399999999</v>
      </c>
      <c r="U366" s="5">
        <v>143.81540000000001</v>
      </c>
      <c r="V366" t="s">
        <v>156</v>
      </c>
      <c r="W366">
        <v>0</v>
      </c>
      <c r="X366">
        <v>0</v>
      </c>
      <c r="Y366">
        <v>0</v>
      </c>
      <c r="Z366">
        <v>0.04</v>
      </c>
      <c r="AA366" t="str">
        <f>+MID(Tabla_Consulta_desde_Reporte_de_Valorización_de_Instrumentos[[#This Row],[CODIGO_SBS]],7,1)</f>
        <v>2</v>
      </c>
      <c r="AB366">
        <f>INDEX('Cálculo Caja'!F:F,MATCH(Tabla_Consulta_desde_Reporte_de_Valorización_de_Instrumentos[[#This Row],[PORTAFOLIO]],'Cálculo Caja'!A:A,0),1)</f>
        <v>7679510866.0565634</v>
      </c>
      <c r="AC366" s="17">
        <f>Tabla_Consulta_desde_Reporte_de_Valorización_de_Instrumentos[[#This Row],[VALOR_VECTOR_LOCAL]]/Tabla_Consulta_desde_Reporte_de_Valorización_de_Instrumentos[[#This Row],[Patrimonio]]</f>
        <v>6.2952668644148937E-8</v>
      </c>
      <c r="AD366" s="4">
        <f>(Tabla_Consulta_desde_Reporte_de_Valorización_de_Instrumentos[[#This Row],[VALOR_VECTOR_LOCAL]]/INDEX('Tipo de Cambio'!$D:$D,MATCH("2",'Tipo de Cambio'!$E:$E,0),1))/1000000</f>
        <v>1.4384411999761968E-4</v>
      </c>
      <c r="AE366">
        <f>IF(Tabla_Consulta_desde_Reporte_de_Valorización_de_Instrumentos[[#This Row],[PORTAFOLIO]]="IN-FONDO0",Tabla_Consulta_desde_Reporte_de_Valorización_de_Instrumentos[[#This Row],[Inv MM$]],0)</f>
        <v>0</v>
      </c>
      <c r="AF366" s="26">
        <f>IF(Tabla_Consulta_desde_Reporte_de_Valorización_de_Instrumentos[[#This Row],[PORTAFOLIO]]="IN-FONDO1",Tabla_Consulta_desde_Reporte_de_Valorización_de_Instrumentos[[#This Row],[Inv MM$]],0)</f>
        <v>1.4384411999761968E-4</v>
      </c>
      <c r="AG366" s="26">
        <f>IF(Tabla_Consulta_desde_Reporte_de_Valorización_de_Instrumentos[[#This Row],[PORTAFOLIO]]="IN-FONDO2",Tabla_Consulta_desde_Reporte_de_Valorización_de_Instrumentos[[#This Row],[Inv MM$]],0)</f>
        <v>0</v>
      </c>
      <c r="AH366" s="26">
        <f>IF(Tabla_Consulta_desde_Reporte_de_Valorización_de_Instrumentos[[#This Row],[PORTAFOLIO]]="IN-FONDO3",Tabla_Consulta_desde_Reporte_de_Valorización_de_Instrumentos[[#This Row],[Inv MM$]],0)</f>
        <v>0</v>
      </c>
      <c r="AI36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1.4384411999761968E-4</v>
      </c>
      <c r="AJ366" s="26">
        <f>IFERROR(IFERROR(INDEX('BD(MSCI)'!$T:$T,MATCH(Tabla_Consulta_desde_Reporte_de_Valorización_de_Instrumentos[[#This Row],[CODIGO_ISIN]],'BD(MSCI)'!$C:$C,0),1),INDEX('BD(MSCI)'!$T:$T,MATCH(Tabla_Consulta_desde_Reporte_de_Valorización_de_Instrumentos[[#This Row],[CODIGO_SBS]],'BD(MSCI)'!$C:$C,0),1)),0)</f>
        <v>354.16831866000001</v>
      </c>
      <c r="AK366" s="26">
        <f>Tabla_Consulta_desde_Reporte_de_Valorización_de_Instrumentos[[#This Row],[C02-H]]*Tabla_Consulta_desde_Reporte_de_Valorización_de_Instrumentos[[#This Row],[Inv MM$]]</f>
        <v>5.0945030128684246E-2</v>
      </c>
      <c r="AL366" s="26">
        <f>Tabla_Consulta_desde_Reporte_de_Valorización_de_Instrumentos[[#This Row],[C02-H]]*Tabla_Consulta_desde_Reporte_de_Valorización_de_Instrumentos[[#This Row],[Weight]]</f>
        <v>2.2295840808858331E-5</v>
      </c>
      <c r="AM366" s="26" t="str">
        <f>INDEX(Parametria!G:G,MATCH(Tabla_Consulta_desde_Reporte_de_Valorización_de_Instrumentos[[#This Row],[CODIGO_SBS]],Parametria!C:C,0))</f>
        <v>52RFIG</v>
      </c>
      <c r="AN366" s="26" t="str">
        <f>INDEX(Parametria!F:F,MATCH(Tabla_Consulta_desde_Reporte_de_Valorización_de_Instrumentos[[#This Row],[CODIGO_SBS]],Parametria!C:C,0))</f>
        <v>TD</v>
      </c>
      <c r="AO366" s="26" t="str">
        <f>+INDEX(Parametria!J:J,MATCH(Tabla_Consulta_desde_Reporte_de_Valorización_de_Instrumentos[[#This Row],[CODIGO_SBS]],Parametria!C:C,0))</f>
        <v>RFITD</v>
      </c>
      <c r="AP366" s="26">
        <f>Tabla_Consulta_desde_Reporte_de_Valorización_de_Instrumentos[[#This Row],[Huella]]/$AU$4</f>
        <v>4.7228475468315511E-6</v>
      </c>
      <c r="AQ366" s="26" t="str">
        <f>IFERROR(INDEX('BD(MSCI)'!W:W,MATCH(Tabla_Consulta_desde_Reporte_de_Valorización_de_Instrumentos[[#This Row],[CODIGO_ISIN]],'BD(MSCI)'!C:C,0)),IF(Tabla_Consulta_desde_Reporte_de_Valorización_de_Instrumentos[[#This Row],[Rank_rt]]="Cash","Cash","Cuestionario Integra"))</f>
        <v>ETF</v>
      </c>
      <c r="AR366" s="26" t="str">
        <f>IFERROR(INDEX('BD(MSCI)'!X:X,MATCH(Tabla_Consulta_desde_Reporte_de_Valorización_de_Instrumentos[[#This Row],[CODIGO_ISIN]],'BD(MSCI)'!C:C,0)),"Cuestionario Integra")</f>
        <v>Otros ETFs</v>
      </c>
      <c r="AU366" s="26"/>
    </row>
    <row r="367" spans="2:47" hidden="1" x14ac:dyDescent="0.25">
      <c r="B367" s="14" t="s">
        <v>6390</v>
      </c>
      <c r="C367" t="s">
        <v>586</v>
      </c>
      <c r="D367" t="s">
        <v>11</v>
      </c>
      <c r="E367" t="s">
        <v>587</v>
      </c>
      <c r="F367" t="s">
        <v>5685</v>
      </c>
      <c r="G367" t="str">
        <f>INDEX(Parametria!H:H,MATCH(Tabla_Consulta_desde_Reporte_de_Valorización_de_Instrumentos[[#This Row],[CODIGO_SBS]],Parametria!C:C,0),1)</f>
        <v>Goldman Sachs - India Equity Portfolio</v>
      </c>
      <c r="H367" t="s">
        <v>5686</v>
      </c>
      <c r="I367" t="s">
        <v>156</v>
      </c>
      <c r="J367" t="s">
        <v>703</v>
      </c>
      <c r="K367" t="s">
        <v>50</v>
      </c>
      <c r="L367">
        <v>0</v>
      </c>
      <c r="M367" s="5">
        <v>7376142.7001352003</v>
      </c>
      <c r="N367">
        <v>2194692.7014000001</v>
      </c>
      <c r="O367">
        <v>46537.165000000001</v>
      </c>
      <c r="P367" s="15"/>
      <c r="R367">
        <v>3.3609</v>
      </c>
      <c r="S367" t="s">
        <v>428</v>
      </c>
      <c r="T367">
        <v>7373614.2428863999</v>
      </c>
      <c r="U367" s="5">
        <v>2192831.2148000002</v>
      </c>
      <c r="V367" t="s">
        <v>156</v>
      </c>
      <c r="W367">
        <v>0</v>
      </c>
      <c r="X367">
        <v>0</v>
      </c>
      <c r="Y367">
        <v>0</v>
      </c>
      <c r="Z367">
        <v>0.04</v>
      </c>
      <c r="AA367" t="str">
        <f>+MID(Tabla_Consulta_desde_Reporte_de_Valorización_de_Instrumentos[[#This Row],[CODIGO_SBS]],7,1)</f>
        <v>2</v>
      </c>
      <c r="AB367">
        <f>INDEX('Cálculo Caja'!F:F,MATCH(Tabla_Consulta_desde_Reporte_de_Valorización_de_Instrumentos[[#This Row],[PORTAFOLIO]],'Cálculo Caja'!A:A,0),1)</f>
        <v>3164069580.822104</v>
      </c>
      <c r="AC367" s="17">
        <f>Tabla_Consulta_desde_Reporte_de_Valorización_de_Instrumentos[[#This Row],[VALOR_VECTOR_LOCAL]]/Tabla_Consulta_desde_Reporte_de_Valorización_de_Instrumentos[[#This Row],[Patrimonio]]</f>
        <v>2.3312201301902771E-3</v>
      </c>
      <c r="AD367" s="4">
        <f>(Tabla_Consulta_desde_Reporte_de_Valorización_de_Instrumentos[[#This Row],[VALOR_VECTOR_LOCAL]]/INDEX('Tipo de Cambio'!$D:$D,MATCH("2",'Tipo de Cambio'!$E:$E,0),1))/1000000</f>
        <v>2.1946927013999824</v>
      </c>
      <c r="AE367">
        <f>IF(Tabla_Consulta_desde_Reporte_de_Valorización_de_Instrumentos[[#This Row],[PORTAFOLIO]]="IN-FONDO0",Tabla_Consulta_desde_Reporte_de_Valorización_de_Instrumentos[[#This Row],[Inv MM$]],0)</f>
        <v>0</v>
      </c>
      <c r="AF367" s="26">
        <f>IF(Tabla_Consulta_desde_Reporte_de_Valorización_de_Instrumentos[[#This Row],[PORTAFOLIO]]="IN-FONDO1",Tabla_Consulta_desde_Reporte_de_Valorización_de_Instrumentos[[#This Row],[Inv MM$]],0)</f>
        <v>0</v>
      </c>
      <c r="AG367" s="26">
        <f>IF(Tabla_Consulta_desde_Reporte_de_Valorización_de_Instrumentos[[#This Row],[PORTAFOLIO]]="IN-FONDO2",Tabla_Consulta_desde_Reporte_de_Valorización_de_Instrumentos[[#This Row],[Inv MM$]],0)</f>
        <v>0</v>
      </c>
      <c r="AH367" s="26">
        <f>IF(Tabla_Consulta_desde_Reporte_de_Valorización_de_Instrumentos[[#This Row],[PORTAFOLIO]]="IN-FONDO3",Tabla_Consulta_desde_Reporte_de_Valorización_de_Instrumentos[[#This Row],[Inv MM$]],0)</f>
        <v>2.1946927013999824</v>
      </c>
      <c r="AI36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15.15473970551998</v>
      </c>
      <c r="AJ367" s="26">
        <f>IFERROR(IFERROR(INDEX('BD(MSCI)'!$T:$T,MATCH(Tabla_Consulta_desde_Reporte_de_Valorización_de_Instrumentos[[#This Row],[CODIGO_ISIN]],'BD(MSCI)'!$C:$C,0),1),INDEX('BD(MSCI)'!$T:$T,MATCH(Tabla_Consulta_desde_Reporte_de_Valorización_de_Instrumentos[[#This Row],[CODIGO_SBS]],'BD(MSCI)'!$C:$C,0),1)),0)</f>
        <v>128.29965439</v>
      </c>
      <c r="AK367" s="26">
        <f>Tabla_Consulta_desde_Reporte_de_Valorización_de_Instrumentos[[#This Row],[C02-H]]*Tabla_Consulta_desde_Reporte_de_Valorización_de_Instrumentos[[#This Row],[Inv MM$]]</f>
        <v>281.5783150818732</v>
      </c>
      <c r="AL367" s="26">
        <f>Tabla_Consulta_desde_Reporte_de_Valorización_de_Instrumentos[[#This Row],[C02-H]]*Tabla_Consulta_desde_Reporte_de_Valorización_de_Instrumentos[[#This Row],[Weight]]</f>
        <v>0.29909473701042338</v>
      </c>
      <c r="AM367" s="26" t="str">
        <f>INDEX(Parametria!G:G,MATCH(Tabla_Consulta_desde_Reporte_de_Valorización_de_Instrumentos[[#This Row],[CODIGO_SBS]],Parametria!C:C,0))</f>
        <v>52RVI</v>
      </c>
      <c r="AN367" s="26" t="str">
        <f>INDEX(Parametria!F:F,MATCH(Tabla_Consulta_desde_Reporte_de_Valorización_de_Instrumentos[[#This Row],[CODIGO_SBS]],Parametria!C:C,0))</f>
        <v>TD</v>
      </c>
      <c r="AO367" s="26" t="str">
        <f>+INDEX(Parametria!J:J,MATCH(Tabla_Consulta_desde_Reporte_de_Valorización_de_Instrumentos[[#This Row],[CODIGO_SBS]],Parametria!C:C,0))</f>
        <v>RVITD</v>
      </c>
      <c r="AP367" s="26">
        <f>Tabla_Consulta_desde_Reporte_de_Valorización_de_Instrumentos[[#This Row],[Huella]]/$AU$4</f>
        <v>2.6103654296920766E-2</v>
      </c>
      <c r="AQ367" s="26" t="str">
        <f>IFERROR(INDEX('BD(MSCI)'!W:W,MATCH(Tabla_Consulta_desde_Reporte_de_Valorización_de_Instrumentos[[#This Row],[CODIGO_ISIN]],'BD(MSCI)'!C:C,0)),IF(Tabla_Consulta_desde_Reporte_de_Valorización_de_Instrumentos[[#This Row],[Rank_rt]]="Cash","Cash","Cuestionario Integra"))</f>
        <v>ETF</v>
      </c>
      <c r="AR367" s="26" t="str">
        <f>IFERROR(INDEX('BD(MSCI)'!X:X,MATCH(Tabla_Consulta_desde_Reporte_de_Valorización_de_Instrumentos[[#This Row],[CODIGO_ISIN]],'BD(MSCI)'!C:C,0)),"Cuestionario Integra")</f>
        <v>Otros ETFs</v>
      </c>
      <c r="AU367" s="26"/>
    </row>
    <row r="368" spans="2:47" hidden="1" x14ac:dyDescent="0.25">
      <c r="B368" s="14" t="s">
        <v>6390</v>
      </c>
      <c r="C368" t="s">
        <v>586</v>
      </c>
      <c r="D368" t="s">
        <v>10</v>
      </c>
      <c r="E368" t="s">
        <v>587</v>
      </c>
      <c r="F368" t="s">
        <v>5685</v>
      </c>
      <c r="G368" t="str">
        <f>INDEX(Parametria!H:H,MATCH(Tabla_Consulta_desde_Reporte_de_Valorización_de_Instrumentos[[#This Row],[CODIGO_SBS]],Parametria!C:C,0),1)</f>
        <v>Goldman Sachs - India Equity Portfolio</v>
      </c>
      <c r="H368" t="s">
        <v>5686</v>
      </c>
      <c r="I368" t="s">
        <v>156</v>
      </c>
      <c r="J368" t="s">
        <v>703</v>
      </c>
      <c r="K368" t="s">
        <v>50</v>
      </c>
      <c r="L368">
        <v>0</v>
      </c>
      <c r="M368" s="5">
        <v>43557421.976146899</v>
      </c>
      <c r="N368">
        <v>12960047.00412</v>
      </c>
      <c r="O368">
        <v>274810.15700000001</v>
      </c>
      <c r="P368" s="15"/>
      <c r="R368">
        <v>3.3609</v>
      </c>
      <c r="S368" t="s">
        <v>428</v>
      </c>
      <c r="T368">
        <v>43542490.990696698</v>
      </c>
      <c r="U368" s="5">
        <v>12949054.59784</v>
      </c>
      <c r="V368" t="s">
        <v>156</v>
      </c>
      <c r="W368">
        <v>0</v>
      </c>
      <c r="X368">
        <v>0</v>
      </c>
      <c r="Y368">
        <v>0</v>
      </c>
      <c r="Z368">
        <v>0.04</v>
      </c>
      <c r="AA368" t="str">
        <f>+MID(Tabla_Consulta_desde_Reporte_de_Valorización_de_Instrumentos[[#This Row],[CODIGO_SBS]],7,1)</f>
        <v>2</v>
      </c>
      <c r="AB368">
        <f>INDEX('Cálculo Caja'!F:F,MATCH(Tabla_Consulta_desde_Reporte_de_Valorización_de_Instrumentos[[#This Row],[PORTAFOLIO]],'Cálculo Caja'!A:A,0),1)</f>
        <v>26256910350.436607</v>
      </c>
      <c r="AC368" s="17">
        <f>Tabla_Consulta_desde_Reporte_de_Valorización_de_Instrumentos[[#This Row],[VALOR_VECTOR_LOCAL]]/Tabla_Consulta_desde_Reporte_de_Valorización_de_Instrumentos[[#This Row],[Patrimonio]]</f>
        <v>1.6588936548439948E-3</v>
      </c>
      <c r="AD368" s="4">
        <f>(Tabla_Consulta_desde_Reporte_de_Valorización_de_Instrumentos[[#This Row],[VALOR_VECTOR_LOCAL]]/INDEX('Tipo de Cambio'!$D:$D,MATCH("2",'Tipo de Cambio'!$E:$E,0),1))/1000000</f>
        <v>12.960047004119998</v>
      </c>
      <c r="AE368">
        <f>IF(Tabla_Consulta_desde_Reporte_de_Valorización_de_Instrumentos[[#This Row],[PORTAFOLIO]]="IN-FONDO0",Tabla_Consulta_desde_Reporte_de_Valorización_de_Instrumentos[[#This Row],[Inv MM$]],0)</f>
        <v>0</v>
      </c>
      <c r="AF368" s="26">
        <f>IF(Tabla_Consulta_desde_Reporte_de_Valorización_de_Instrumentos[[#This Row],[PORTAFOLIO]]="IN-FONDO1",Tabla_Consulta_desde_Reporte_de_Valorización_de_Instrumentos[[#This Row],[Inv MM$]],0)</f>
        <v>0</v>
      </c>
      <c r="AG368" s="26">
        <f>IF(Tabla_Consulta_desde_Reporte_de_Valorización_de_Instrumentos[[#This Row],[PORTAFOLIO]]="IN-FONDO2",Tabla_Consulta_desde_Reporte_de_Valorización_de_Instrumentos[[#This Row],[Inv MM$]],0)</f>
        <v>12.960047004119998</v>
      </c>
      <c r="AH368" s="26">
        <f>IF(Tabla_Consulta_desde_Reporte_de_Valorización_de_Instrumentos[[#This Row],[PORTAFOLIO]]="IN-FONDO3",Tabla_Consulta_desde_Reporte_de_Valorización_de_Instrumentos[[#This Row],[Inv MM$]],0)</f>
        <v>0</v>
      </c>
      <c r="AI36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15.15473970551998</v>
      </c>
      <c r="AJ368" s="26">
        <f>IFERROR(IFERROR(INDEX('BD(MSCI)'!$T:$T,MATCH(Tabla_Consulta_desde_Reporte_de_Valorización_de_Instrumentos[[#This Row],[CODIGO_ISIN]],'BD(MSCI)'!$C:$C,0),1),INDEX('BD(MSCI)'!$T:$T,MATCH(Tabla_Consulta_desde_Reporte_de_Valorización_de_Instrumentos[[#This Row],[CODIGO_SBS]],'BD(MSCI)'!$C:$C,0),1)),0)</f>
        <v>128.29965439</v>
      </c>
      <c r="AK368" s="26">
        <f>Tabla_Consulta_desde_Reporte_de_Valorización_de_Instrumentos[[#This Row],[C02-H]]*Tabla_Consulta_desde_Reporte_de_Valorización_de_Instrumentos[[#This Row],[Inv MM$]]</f>
        <v>1662.7695515067508</v>
      </c>
      <c r="AL368" s="26">
        <f>Tabla_Consulta_desde_Reporte_de_Valorización_de_Instrumentos[[#This Row],[C02-H]]*Tabla_Consulta_desde_Reporte_de_Valorización_de_Instrumentos[[#This Row],[Weight]]</f>
        <v>0.21283548258624849</v>
      </c>
      <c r="AM368" s="26" t="str">
        <f>INDEX(Parametria!G:G,MATCH(Tabla_Consulta_desde_Reporte_de_Valorización_de_Instrumentos[[#This Row],[CODIGO_SBS]],Parametria!C:C,0))</f>
        <v>52RVI</v>
      </c>
      <c r="AN368" s="26" t="str">
        <f>INDEX(Parametria!F:F,MATCH(Tabla_Consulta_desde_Reporte_de_Valorización_de_Instrumentos[[#This Row],[CODIGO_SBS]],Parametria!C:C,0))</f>
        <v>TD</v>
      </c>
      <c r="AO368" s="26" t="str">
        <f>+INDEX(Parametria!J:J,MATCH(Tabla_Consulta_desde_Reporte_de_Valorización_de_Instrumentos[[#This Row],[CODIGO_SBS]],Parametria!C:C,0))</f>
        <v>RVITD</v>
      </c>
      <c r="AP368" s="26">
        <f>Tabla_Consulta_desde_Reporte_de_Valorización_de_Instrumentos[[#This Row],[Huella]]/$AU$4</f>
        <v>0.15414667686805969</v>
      </c>
      <c r="AQ368" s="26" t="str">
        <f>IFERROR(INDEX('BD(MSCI)'!W:W,MATCH(Tabla_Consulta_desde_Reporte_de_Valorización_de_Instrumentos[[#This Row],[CODIGO_ISIN]],'BD(MSCI)'!C:C,0)),IF(Tabla_Consulta_desde_Reporte_de_Valorización_de_Instrumentos[[#This Row],[Rank_rt]]="Cash","Cash","Cuestionario Integra"))</f>
        <v>ETF</v>
      </c>
      <c r="AR368" s="26" t="str">
        <f>IFERROR(INDEX('BD(MSCI)'!X:X,MATCH(Tabla_Consulta_desde_Reporte_de_Valorización_de_Instrumentos[[#This Row],[CODIGO_ISIN]],'BD(MSCI)'!C:C,0)),"Cuestionario Integra")</f>
        <v>Otros ETFs</v>
      </c>
      <c r="AU368" s="26"/>
    </row>
    <row r="369" spans="2:47" hidden="1" x14ac:dyDescent="0.25">
      <c r="B369" s="14" t="s">
        <v>6390</v>
      </c>
      <c r="C369" t="s">
        <v>586</v>
      </c>
      <c r="D369" t="s">
        <v>10</v>
      </c>
      <c r="E369" t="s">
        <v>587</v>
      </c>
      <c r="F369" t="s">
        <v>704</v>
      </c>
      <c r="G369" t="str">
        <f>INDEX(Parametria!H:H,MATCH(Tabla_Consulta_desde_Reporte_de_Valorización_de_Instrumentos[[#This Row],[CODIGO_SBS]],Parametria!C:C,0),1)</f>
        <v>JP Morgan - Japan Equity Fund - C</v>
      </c>
      <c r="H369" t="s">
        <v>705</v>
      </c>
      <c r="I369" t="s">
        <v>156</v>
      </c>
      <c r="J369" t="s">
        <v>706</v>
      </c>
      <c r="K369" t="s">
        <v>50</v>
      </c>
      <c r="L369">
        <v>1</v>
      </c>
      <c r="M369" s="5">
        <v>137176896.2281929</v>
      </c>
      <c r="N369">
        <v>40815524.480999999</v>
      </c>
      <c r="O369">
        <v>1294087.6499999999</v>
      </c>
      <c r="P369" s="15"/>
      <c r="R369">
        <v>3.3609</v>
      </c>
      <c r="S369" t="s">
        <v>428</v>
      </c>
      <c r="T369">
        <v>137855492.49827519</v>
      </c>
      <c r="U369" s="5">
        <v>40996696.751999997</v>
      </c>
      <c r="V369" t="s">
        <v>687</v>
      </c>
      <c r="W369">
        <v>0</v>
      </c>
      <c r="X369">
        <v>0</v>
      </c>
      <c r="Y369">
        <v>0</v>
      </c>
      <c r="Z369">
        <v>-0.14000000000000001</v>
      </c>
      <c r="AA369" t="str">
        <f>+MID(Tabla_Consulta_desde_Reporte_de_Valorización_de_Instrumentos[[#This Row],[CODIGO_SBS]],7,1)</f>
        <v>2</v>
      </c>
      <c r="AB369">
        <f>INDEX('Cálculo Caja'!F:F,MATCH(Tabla_Consulta_desde_Reporte_de_Valorización_de_Instrumentos[[#This Row],[PORTAFOLIO]],'Cálculo Caja'!A:A,0),1)</f>
        <v>26256910350.436607</v>
      </c>
      <c r="AC369" s="17">
        <f>Tabla_Consulta_desde_Reporte_de_Valorización_de_Instrumentos[[#This Row],[VALOR_VECTOR_LOCAL]]/Tabla_Consulta_desde_Reporte_de_Valorización_de_Instrumentos[[#This Row],[Patrimonio]]</f>
        <v>5.2244111891828838E-3</v>
      </c>
      <c r="AD369" s="4">
        <f>(Tabla_Consulta_desde_Reporte_de_Valorización_de_Instrumentos[[#This Row],[VALOR_VECTOR_LOCAL]]/INDEX('Tipo de Cambio'!$D:$D,MATCH("2",'Tipo de Cambio'!$E:$E,0),1))/1000000</f>
        <v>40.815524480999997</v>
      </c>
      <c r="AE369">
        <f>IF(Tabla_Consulta_desde_Reporte_de_Valorización_de_Instrumentos[[#This Row],[PORTAFOLIO]]="IN-FONDO0",Tabla_Consulta_desde_Reporte_de_Valorización_de_Instrumentos[[#This Row],[Inv MM$]],0)</f>
        <v>0</v>
      </c>
      <c r="AF369" s="26">
        <f>IF(Tabla_Consulta_desde_Reporte_de_Valorización_de_Instrumentos[[#This Row],[PORTAFOLIO]]="IN-FONDO1",Tabla_Consulta_desde_Reporte_de_Valorización_de_Instrumentos[[#This Row],[Inv MM$]],0)</f>
        <v>0</v>
      </c>
      <c r="AG369" s="26">
        <f>IF(Tabla_Consulta_desde_Reporte_de_Valorización_de_Instrumentos[[#This Row],[PORTAFOLIO]]="IN-FONDO2",Tabla_Consulta_desde_Reporte_de_Valorización_de_Instrumentos[[#This Row],[Inv MM$]],0)</f>
        <v>40.815524480999997</v>
      </c>
      <c r="AH369" s="26">
        <f>IF(Tabla_Consulta_desde_Reporte_de_Valorización_de_Instrumentos[[#This Row],[PORTAFOLIO]]="IN-FONDO3",Tabla_Consulta_desde_Reporte_de_Valorización_de_Instrumentos[[#This Row],[Inv MM$]],0)</f>
        <v>0</v>
      </c>
      <c r="AI36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53.041409311919992</v>
      </c>
      <c r="AJ369" s="26">
        <f>IFERROR(IFERROR(INDEX('BD(MSCI)'!$T:$T,MATCH(Tabla_Consulta_desde_Reporte_de_Valorización_de_Instrumentos[[#This Row],[CODIGO_ISIN]],'BD(MSCI)'!$C:$C,0),1),INDEX('BD(MSCI)'!$T:$T,MATCH(Tabla_Consulta_desde_Reporte_de_Valorización_de_Instrumentos[[#This Row],[CODIGO_SBS]],'BD(MSCI)'!$C:$C,0),1)),0)</f>
        <v>22.738107729999999</v>
      </c>
      <c r="AK369" s="26">
        <f>Tabla_Consulta_desde_Reporte_de_Valorización_de_Instrumentos[[#This Row],[C02-H]]*Tabla_Consulta_desde_Reporte_de_Valorización_de_Instrumentos[[#This Row],[Inv MM$]]</f>
        <v>928.06779270543029</v>
      </c>
      <c r="AL369" s="26">
        <f>Tabla_Consulta_desde_Reporte_de_Valorización_de_Instrumentos[[#This Row],[C02-H]]*Tabla_Consulta_desde_Reporte_de_Valorización_de_Instrumentos[[#This Row],[Weight]]</f>
        <v>0.11879322444545781</v>
      </c>
      <c r="AM369" s="26" t="str">
        <f>INDEX(Parametria!G:G,MATCH(Tabla_Consulta_desde_Reporte_de_Valorización_de_Instrumentos[[#This Row],[CODIGO_SBS]],Parametria!C:C,0))</f>
        <v>52RVI</v>
      </c>
      <c r="AN369" s="26" t="str">
        <f>INDEX(Parametria!F:F,MATCH(Tabla_Consulta_desde_Reporte_de_Valorización_de_Instrumentos[[#This Row],[CODIGO_SBS]],Parametria!C:C,0))</f>
        <v>TD</v>
      </c>
      <c r="AO369" s="26" t="str">
        <f>+INDEX(Parametria!J:J,MATCH(Tabla_Consulta_desde_Reporte_de_Valorización_de_Instrumentos[[#This Row],[CODIGO_SBS]],Parametria!C:C,0))</f>
        <v>RVITD</v>
      </c>
      <c r="AP369" s="26">
        <f>Tabla_Consulta_desde_Reporte_de_Valorización_de_Instrumentos[[#This Row],[Huella]]/$AU$4</f>
        <v>8.6036315750539258E-2</v>
      </c>
      <c r="AQ369" s="26" t="str">
        <f>IFERROR(INDEX('BD(MSCI)'!W:W,MATCH(Tabla_Consulta_desde_Reporte_de_Valorización_de_Instrumentos[[#This Row],[CODIGO_ISIN]],'BD(MSCI)'!C:C,0)),IF(Tabla_Consulta_desde_Reporte_de_Valorización_de_Instrumentos[[#This Row],[Rank_rt]]="Cash","Cash","Cuestionario Integra"))</f>
        <v>ETF</v>
      </c>
      <c r="AR369" s="26" t="str">
        <f>IFERROR(INDEX('BD(MSCI)'!X:X,MATCH(Tabla_Consulta_desde_Reporte_de_Valorización_de_Instrumentos[[#This Row],[CODIGO_ISIN]],'BD(MSCI)'!C:C,0)),"Cuestionario Integra")</f>
        <v>Otros ETFs</v>
      </c>
      <c r="AU369" s="26"/>
    </row>
    <row r="370" spans="2:47" hidden="1" x14ac:dyDescent="0.25">
      <c r="B370" s="14" t="s">
        <v>6390</v>
      </c>
      <c r="C370" t="s">
        <v>586</v>
      </c>
      <c r="D370" t="s">
        <v>11</v>
      </c>
      <c r="E370" t="s">
        <v>587</v>
      </c>
      <c r="F370" t="s">
        <v>704</v>
      </c>
      <c r="G370" t="str">
        <f>INDEX(Parametria!H:H,MATCH(Tabla_Consulta_desde_Reporte_de_Valorización_de_Instrumentos[[#This Row],[CODIGO_SBS]],Parametria!C:C,0),1)</f>
        <v>JP Morgan - Japan Equity Fund - C</v>
      </c>
      <c r="H370" t="s">
        <v>705</v>
      </c>
      <c r="I370" t="s">
        <v>156</v>
      </c>
      <c r="J370" t="s">
        <v>706</v>
      </c>
      <c r="K370" t="s">
        <v>50</v>
      </c>
      <c r="L370">
        <v>1</v>
      </c>
      <c r="M370" s="5">
        <v>33711284.4730388</v>
      </c>
      <c r="N370">
        <v>10030433.655579999</v>
      </c>
      <c r="O370">
        <v>318022.62699999998</v>
      </c>
      <c r="P370" s="15"/>
      <c r="R370">
        <v>3.3609</v>
      </c>
      <c r="S370" t="s">
        <v>428</v>
      </c>
      <c r="T370">
        <v>33878049.8142303</v>
      </c>
      <c r="U370" s="5">
        <v>10074956.82336</v>
      </c>
      <c r="V370" t="s">
        <v>687</v>
      </c>
      <c r="W370">
        <v>0</v>
      </c>
      <c r="X370">
        <v>0</v>
      </c>
      <c r="Y370">
        <v>0</v>
      </c>
      <c r="Z370">
        <v>-0.14000000000000001</v>
      </c>
      <c r="AA370" t="str">
        <f>+MID(Tabla_Consulta_desde_Reporte_de_Valorización_de_Instrumentos[[#This Row],[CODIGO_SBS]],7,1)</f>
        <v>2</v>
      </c>
      <c r="AB370">
        <f>INDEX('Cálculo Caja'!F:F,MATCH(Tabla_Consulta_desde_Reporte_de_Valorización_de_Instrumentos[[#This Row],[PORTAFOLIO]],'Cálculo Caja'!A:A,0),1)</f>
        <v>3164069580.822104</v>
      </c>
      <c r="AC370" s="17">
        <f>Tabla_Consulta_desde_Reporte_de_Valorización_de_Instrumentos[[#This Row],[VALOR_VECTOR_LOCAL]]/Tabla_Consulta_desde_Reporte_de_Valorización_de_Instrumentos[[#This Row],[Patrimonio]]</f>
        <v>1.0654406804884414E-2</v>
      </c>
      <c r="AD370" s="4">
        <f>(Tabla_Consulta_desde_Reporte_de_Valorización_de_Instrumentos[[#This Row],[VALOR_VECTOR_LOCAL]]/INDEX('Tipo de Cambio'!$D:$D,MATCH("2",'Tipo de Cambio'!$E:$E,0),1))/1000000</f>
        <v>10.030433655579994</v>
      </c>
      <c r="AE370">
        <f>IF(Tabla_Consulta_desde_Reporte_de_Valorización_de_Instrumentos[[#This Row],[PORTAFOLIO]]="IN-FONDO0",Tabla_Consulta_desde_Reporte_de_Valorización_de_Instrumentos[[#This Row],[Inv MM$]],0)</f>
        <v>0</v>
      </c>
      <c r="AF370" s="26">
        <f>IF(Tabla_Consulta_desde_Reporte_de_Valorización_de_Instrumentos[[#This Row],[PORTAFOLIO]]="IN-FONDO1",Tabla_Consulta_desde_Reporte_de_Valorización_de_Instrumentos[[#This Row],[Inv MM$]],0)</f>
        <v>0</v>
      </c>
      <c r="AG370" s="26">
        <f>IF(Tabla_Consulta_desde_Reporte_de_Valorización_de_Instrumentos[[#This Row],[PORTAFOLIO]]="IN-FONDO2",Tabla_Consulta_desde_Reporte_de_Valorización_de_Instrumentos[[#This Row],[Inv MM$]],0)</f>
        <v>0</v>
      </c>
      <c r="AH370" s="26">
        <f>IF(Tabla_Consulta_desde_Reporte_de_Valorización_de_Instrumentos[[#This Row],[PORTAFOLIO]]="IN-FONDO3",Tabla_Consulta_desde_Reporte_de_Valorización_de_Instrumentos[[#This Row],[Inv MM$]],0)</f>
        <v>10.030433655579994</v>
      </c>
      <c r="AI37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53.041409311919992</v>
      </c>
      <c r="AJ370" s="26">
        <f>IFERROR(IFERROR(INDEX('BD(MSCI)'!$T:$T,MATCH(Tabla_Consulta_desde_Reporte_de_Valorización_de_Instrumentos[[#This Row],[CODIGO_ISIN]],'BD(MSCI)'!$C:$C,0),1),INDEX('BD(MSCI)'!$T:$T,MATCH(Tabla_Consulta_desde_Reporte_de_Valorización_de_Instrumentos[[#This Row],[CODIGO_SBS]],'BD(MSCI)'!$C:$C,0),1)),0)</f>
        <v>22.738107729999999</v>
      </c>
      <c r="AK370" s="26">
        <f>Tabla_Consulta_desde_Reporte_de_Valorización_de_Instrumentos[[#This Row],[C02-H]]*Tabla_Consulta_desde_Reporte_de_Valorización_de_Instrumentos[[#This Row],[Inv MM$]]</f>
        <v>228.07308103919561</v>
      </c>
      <c r="AL370" s="26">
        <f>Tabla_Consulta_desde_Reporte_de_Valorización_de_Instrumentos[[#This Row],[C02-H]]*Tabla_Consulta_desde_Reporte_de_Valorización_de_Instrumentos[[#This Row],[Weight]]</f>
        <v>0.24226104972870691</v>
      </c>
      <c r="AM370" s="26" t="str">
        <f>INDEX(Parametria!G:G,MATCH(Tabla_Consulta_desde_Reporte_de_Valorización_de_Instrumentos[[#This Row],[CODIGO_SBS]],Parametria!C:C,0))</f>
        <v>52RVI</v>
      </c>
      <c r="AN370" s="26" t="str">
        <f>INDEX(Parametria!F:F,MATCH(Tabla_Consulta_desde_Reporte_de_Valorización_de_Instrumentos[[#This Row],[CODIGO_SBS]],Parametria!C:C,0))</f>
        <v>TD</v>
      </c>
      <c r="AO370" s="26" t="str">
        <f>+INDEX(Parametria!J:J,MATCH(Tabla_Consulta_desde_Reporte_de_Valorización_de_Instrumentos[[#This Row],[CODIGO_SBS]],Parametria!C:C,0))</f>
        <v>RVITD</v>
      </c>
      <c r="AP370" s="26">
        <f>Tabla_Consulta_desde_Reporte_de_Valorización_de_Instrumentos[[#This Row],[Huella]]/$AU$4</f>
        <v>2.1143463622721348E-2</v>
      </c>
      <c r="AQ370" s="26" t="str">
        <f>IFERROR(INDEX('BD(MSCI)'!W:W,MATCH(Tabla_Consulta_desde_Reporte_de_Valorización_de_Instrumentos[[#This Row],[CODIGO_ISIN]],'BD(MSCI)'!C:C,0)),IF(Tabla_Consulta_desde_Reporte_de_Valorización_de_Instrumentos[[#This Row],[Rank_rt]]="Cash","Cash","Cuestionario Integra"))</f>
        <v>ETF</v>
      </c>
      <c r="AR370" s="26" t="str">
        <f>IFERROR(INDEX('BD(MSCI)'!X:X,MATCH(Tabla_Consulta_desde_Reporte_de_Valorización_de_Instrumentos[[#This Row],[CODIGO_ISIN]],'BD(MSCI)'!C:C,0)),"Cuestionario Integra")</f>
        <v>Otros ETFs</v>
      </c>
      <c r="AU370" s="26"/>
    </row>
    <row r="371" spans="2:47" hidden="1" x14ac:dyDescent="0.25">
      <c r="B371" s="14" t="s">
        <v>6390</v>
      </c>
      <c r="C371" t="s">
        <v>586</v>
      </c>
      <c r="D371" t="s">
        <v>12</v>
      </c>
      <c r="E371" t="s">
        <v>587</v>
      </c>
      <c r="F371" t="s">
        <v>704</v>
      </c>
      <c r="G371" t="str">
        <f>INDEX(Parametria!H:H,MATCH(Tabla_Consulta_desde_Reporte_de_Valorización_de_Instrumentos[[#This Row],[CODIGO_SBS]],Parametria!C:C,0),1)</f>
        <v>JP Morgan - Japan Equity Fund - C</v>
      </c>
      <c r="H371" t="s">
        <v>705</v>
      </c>
      <c r="I371" t="s">
        <v>156</v>
      </c>
      <c r="J371" t="s">
        <v>706</v>
      </c>
      <c r="K371" t="s">
        <v>50</v>
      </c>
      <c r="L371">
        <v>1</v>
      </c>
      <c r="M371" s="5">
        <v>7378691.8552002003</v>
      </c>
      <c r="N371">
        <v>2195451.1753400001</v>
      </c>
      <c r="O371">
        <v>69608.471000000005</v>
      </c>
      <c r="P371" s="15"/>
      <c r="R371">
        <v>3.3609</v>
      </c>
      <c r="S371" t="s">
        <v>428</v>
      </c>
      <c r="T371">
        <v>7415193.2844401002</v>
      </c>
      <c r="U371" s="5">
        <v>2205196.3612799998</v>
      </c>
      <c r="V371" t="s">
        <v>687</v>
      </c>
      <c r="W371">
        <v>0</v>
      </c>
      <c r="X371">
        <v>0</v>
      </c>
      <c r="Y371">
        <v>0</v>
      </c>
      <c r="Z371">
        <v>-0.14000000000000001</v>
      </c>
      <c r="AA371" t="str">
        <f>+MID(Tabla_Consulta_desde_Reporte_de_Valorización_de_Instrumentos[[#This Row],[CODIGO_SBS]],7,1)</f>
        <v>2</v>
      </c>
      <c r="AB371">
        <f>INDEX('Cálculo Caja'!F:F,MATCH(Tabla_Consulta_desde_Reporte_de_Valorización_de_Instrumentos[[#This Row],[PORTAFOLIO]],'Cálculo Caja'!A:A,0),1)</f>
        <v>7679510866.0565634</v>
      </c>
      <c r="AC371" s="17">
        <f>Tabla_Consulta_desde_Reporte_de_Valorización_de_Instrumentos[[#This Row],[VALOR_VECTOR_LOCAL]]/Tabla_Consulta_desde_Reporte_de_Valorización_de_Instrumentos[[#This Row],[Patrimonio]]</f>
        <v>9.6082836314667088E-4</v>
      </c>
      <c r="AD371" s="4">
        <f>(Tabla_Consulta_desde_Reporte_de_Valorización_de_Instrumentos[[#This Row],[VALOR_VECTOR_LOCAL]]/INDEX('Tipo de Cambio'!$D:$D,MATCH("2",'Tipo de Cambio'!$E:$E,0),1))/1000000</f>
        <v>2.1954511753399983</v>
      </c>
      <c r="AE371">
        <f>IF(Tabla_Consulta_desde_Reporte_de_Valorización_de_Instrumentos[[#This Row],[PORTAFOLIO]]="IN-FONDO0",Tabla_Consulta_desde_Reporte_de_Valorización_de_Instrumentos[[#This Row],[Inv MM$]],0)</f>
        <v>0</v>
      </c>
      <c r="AF371" s="26">
        <f>IF(Tabla_Consulta_desde_Reporte_de_Valorización_de_Instrumentos[[#This Row],[PORTAFOLIO]]="IN-FONDO1",Tabla_Consulta_desde_Reporte_de_Valorización_de_Instrumentos[[#This Row],[Inv MM$]],0)</f>
        <v>2.1954511753399983</v>
      </c>
      <c r="AG371" s="26">
        <f>IF(Tabla_Consulta_desde_Reporte_de_Valorización_de_Instrumentos[[#This Row],[PORTAFOLIO]]="IN-FONDO2",Tabla_Consulta_desde_Reporte_de_Valorización_de_Instrumentos[[#This Row],[Inv MM$]],0)</f>
        <v>0</v>
      </c>
      <c r="AH371" s="26">
        <f>IF(Tabla_Consulta_desde_Reporte_de_Valorización_de_Instrumentos[[#This Row],[PORTAFOLIO]]="IN-FONDO3",Tabla_Consulta_desde_Reporte_de_Valorización_de_Instrumentos[[#This Row],[Inv MM$]],0)</f>
        <v>0</v>
      </c>
      <c r="AI37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53.041409311919992</v>
      </c>
      <c r="AJ371" s="26">
        <f>IFERROR(IFERROR(INDEX('BD(MSCI)'!$T:$T,MATCH(Tabla_Consulta_desde_Reporte_de_Valorización_de_Instrumentos[[#This Row],[CODIGO_ISIN]],'BD(MSCI)'!$C:$C,0),1),INDEX('BD(MSCI)'!$T:$T,MATCH(Tabla_Consulta_desde_Reporte_de_Valorización_de_Instrumentos[[#This Row],[CODIGO_SBS]],'BD(MSCI)'!$C:$C,0),1)),0)</f>
        <v>22.738107729999999</v>
      </c>
      <c r="AK371" s="26">
        <f>Tabla_Consulta_desde_Reporte_de_Valorización_de_Instrumentos[[#This Row],[C02-H]]*Tabla_Consulta_desde_Reporte_de_Valorización_de_Instrumentos[[#This Row],[Inv MM$]]</f>
        <v>49.920405340835998</v>
      </c>
      <c r="AL371" s="26">
        <f>Tabla_Consulta_desde_Reporte_de_Valorización_de_Instrumentos[[#This Row],[C02-H]]*Tabla_Consulta_desde_Reporte_de_Valorización_de_Instrumentos[[#This Row],[Weight]]</f>
        <v>2.1847418831268565E-2</v>
      </c>
      <c r="AM371" s="26" t="str">
        <f>INDEX(Parametria!G:G,MATCH(Tabla_Consulta_desde_Reporte_de_Valorización_de_Instrumentos[[#This Row],[CODIGO_SBS]],Parametria!C:C,0))</f>
        <v>52RVI</v>
      </c>
      <c r="AN371" s="26" t="str">
        <f>INDEX(Parametria!F:F,MATCH(Tabla_Consulta_desde_Reporte_de_Valorización_de_Instrumentos[[#This Row],[CODIGO_SBS]],Parametria!C:C,0))</f>
        <v>TD</v>
      </c>
      <c r="AO371" s="26" t="str">
        <f>+INDEX(Parametria!J:J,MATCH(Tabla_Consulta_desde_Reporte_de_Valorización_de_Instrumentos[[#This Row],[CODIGO_SBS]],Parametria!C:C,0))</f>
        <v>RVITD</v>
      </c>
      <c r="AP371" s="26">
        <f>Tabla_Consulta_desde_Reporte_de_Valorización_de_Instrumentos[[#This Row],[Huella]]/$AU$4</f>
        <v>4.6278599365879511E-3</v>
      </c>
      <c r="AQ371" s="26" t="str">
        <f>IFERROR(INDEX('BD(MSCI)'!W:W,MATCH(Tabla_Consulta_desde_Reporte_de_Valorización_de_Instrumentos[[#This Row],[CODIGO_ISIN]],'BD(MSCI)'!C:C,0)),IF(Tabla_Consulta_desde_Reporte_de_Valorización_de_Instrumentos[[#This Row],[Rank_rt]]="Cash","Cash","Cuestionario Integra"))</f>
        <v>ETF</v>
      </c>
      <c r="AR371" s="26" t="str">
        <f>IFERROR(INDEX('BD(MSCI)'!X:X,MATCH(Tabla_Consulta_desde_Reporte_de_Valorización_de_Instrumentos[[#This Row],[CODIGO_ISIN]],'BD(MSCI)'!C:C,0)),"Cuestionario Integra")</f>
        <v>Otros ETFs</v>
      </c>
      <c r="AU371" s="26"/>
    </row>
    <row r="372" spans="2:47" hidden="1" x14ac:dyDescent="0.25">
      <c r="B372" s="14" t="s">
        <v>6390</v>
      </c>
      <c r="C372" t="s">
        <v>586</v>
      </c>
      <c r="D372" t="s">
        <v>10</v>
      </c>
      <c r="E372" t="s">
        <v>587</v>
      </c>
      <c r="F372" t="s">
        <v>6311</v>
      </c>
      <c r="G372" t="str">
        <f>INDEX(Parametria!H:H,MATCH(Tabla_Consulta_desde_Reporte_de_Valorización_de_Instrumentos[[#This Row],[CODIGO_SBS]],Parametria!C:C,0),1)</f>
        <v>Lazard - Japanese Strategic Equity</v>
      </c>
      <c r="H372" t="s">
        <v>5438</v>
      </c>
      <c r="I372" t="s">
        <v>156</v>
      </c>
      <c r="J372" t="s">
        <v>6439</v>
      </c>
      <c r="K372" t="s">
        <v>78</v>
      </c>
      <c r="L372">
        <v>0</v>
      </c>
      <c r="M372" s="5">
        <v>42978625.029104501</v>
      </c>
      <c r="N372">
        <v>2004366329.9104381</v>
      </c>
      <c r="O372">
        <v>5122530.6449999996</v>
      </c>
      <c r="P372" s="15"/>
      <c r="R372">
        <v>2.14425E-2</v>
      </c>
      <c r="S372" t="s">
        <v>428</v>
      </c>
      <c r="T372">
        <v>43100587.631393597</v>
      </c>
      <c r="U372" s="5">
        <v>2004426775.7720487</v>
      </c>
      <c r="V372" t="s">
        <v>156</v>
      </c>
      <c r="W372">
        <v>0</v>
      </c>
      <c r="X372">
        <v>0</v>
      </c>
      <c r="Y372">
        <v>0</v>
      </c>
      <c r="Z372">
        <v>-1.18E-2</v>
      </c>
      <c r="AA372" t="str">
        <f>+MID(Tabla_Consulta_desde_Reporte_de_Valorización_de_Instrumentos[[#This Row],[CODIGO_SBS]],7,1)</f>
        <v>5</v>
      </c>
      <c r="AB372">
        <f>INDEX('Cálculo Caja'!F:F,MATCH(Tabla_Consulta_desde_Reporte_de_Valorización_de_Instrumentos[[#This Row],[PORTAFOLIO]],'Cálculo Caja'!A:A,0),1)</f>
        <v>26256910350.436607</v>
      </c>
      <c r="AC372" s="17">
        <f>Tabla_Consulta_desde_Reporte_de_Valorización_de_Instrumentos[[#This Row],[VALOR_VECTOR_LOCAL]]/Tabla_Consulta_desde_Reporte_de_Valorización_de_Instrumentos[[#This Row],[Patrimonio]]</f>
        <v>1.6368500503483588E-3</v>
      </c>
      <c r="AD372" s="4">
        <f>(Tabla_Consulta_desde_Reporte_de_Valorización_de_Instrumentos[[#This Row],[VALOR_VECTOR_LOCAL]]/INDEX('Tipo de Cambio'!$D:$D,MATCH("2",'Tipo de Cambio'!$E:$E,0),1))/1000000</f>
        <v>12.787832136958702</v>
      </c>
      <c r="AE372">
        <f>IF(Tabla_Consulta_desde_Reporte_de_Valorización_de_Instrumentos[[#This Row],[PORTAFOLIO]]="IN-FONDO0",Tabla_Consulta_desde_Reporte_de_Valorización_de_Instrumentos[[#This Row],[Inv MM$]],0)</f>
        <v>0</v>
      </c>
      <c r="AF372" s="26">
        <f>IF(Tabla_Consulta_desde_Reporte_de_Valorización_de_Instrumentos[[#This Row],[PORTAFOLIO]]="IN-FONDO1",Tabla_Consulta_desde_Reporte_de_Valorización_de_Instrumentos[[#This Row],[Inv MM$]],0)</f>
        <v>0</v>
      </c>
      <c r="AG372" s="26">
        <f>IF(Tabla_Consulta_desde_Reporte_de_Valorización_de_Instrumentos[[#This Row],[PORTAFOLIO]]="IN-FONDO2",Tabla_Consulta_desde_Reporte_de_Valorización_de_Instrumentos[[#This Row],[Inv MM$]],0)</f>
        <v>12.787832136958702</v>
      </c>
      <c r="AH372" s="26">
        <f>IF(Tabla_Consulta_desde_Reporte_de_Valorización_de_Instrumentos[[#This Row],[PORTAFOLIO]]="IN-FONDO3",Tabla_Consulta_desde_Reporte_de_Valorización_de_Instrumentos[[#This Row],[Inv MM$]],0)</f>
        <v>0</v>
      </c>
      <c r="AI37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12.787836685380494</v>
      </c>
      <c r="AJ372" s="26">
        <f>IFERROR(IFERROR(INDEX('BD(MSCI)'!$T:$T,MATCH(Tabla_Consulta_desde_Reporte_de_Valorización_de_Instrumentos[[#This Row],[CODIGO_ISIN]],'BD(MSCI)'!$C:$C,0),1),INDEX('BD(MSCI)'!$T:$T,MATCH(Tabla_Consulta_desde_Reporte_de_Valorización_de_Instrumentos[[#This Row],[CODIGO_SBS]],'BD(MSCI)'!$C:$C,0),1)),0)</f>
        <v>57.243154320000002</v>
      </c>
      <c r="AK372" s="26">
        <f>Tabla_Consulta_desde_Reporte_de_Valorización_de_Instrumentos[[#This Row],[C02-H]]*Tabla_Consulta_desde_Reporte_de_Valorización_de_Instrumentos[[#This Row],[Inv MM$]]</f>
        <v>732.01584843418243</v>
      </c>
      <c r="AL372" s="26">
        <f>Tabla_Consulta_desde_Reporte_de_Valorización_de_Instrumentos[[#This Row],[C02-H]]*Tabla_Consulta_desde_Reporte_de_Valorización_de_Instrumentos[[#This Row],[Weight]]</f>
        <v>9.3698460030790867E-2</v>
      </c>
      <c r="AM372" s="26" t="str">
        <f>INDEX(Parametria!G:G,MATCH(Tabla_Consulta_desde_Reporte_de_Valorización_de_Instrumentos[[#This Row],[CODIGO_SBS]],Parametria!C:C,0))</f>
        <v>52RVI</v>
      </c>
      <c r="AN372" s="26" t="str">
        <f>INDEX(Parametria!F:F,MATCH(Tabla_Consulta_desde_Reporte_de_Valorización_de_Instrumentos[[#This Row],[CODIGO_SBS]],Parametria!C:C,0))</f>
        <v>TD</v>
      </c>
      <c r="AO372" s="26" t="str">
        <f>+INDEX(Parametria!J:J,MATCH(Tabla_Consulta_desde_Reporte_de_Valorización_de_Instrumentos[[#This Row],[CODIGO_SBS]],Parametria!C:C,0))</f>
        <v>RVITD</v>
      </c>
      <c r="AP372" s="26">
        <f>Tabla_Consulta_desde_Reporte_de_Valorización_de_Instrumentos[[#This Row],[Huella]]/$AU$4</f>
        <v>6.7861364401718999E-2</v>
      </c>
      <c r="AQ372" s="26" t="str">
        <f>IFERROR(INDEX('BD(MSCI)'!W:W,MATCH(Tabla_Consulta_desde_Reporte_de_Valorización_de_Instrumentos[[#This Row],[CODIGO_ISIN]],'BD(MSCI)'!C:C,0)),IF(Tabla_Consulta_desde_Reporte_de_Valorización_de_Instrumentos[[#This Row],[Rank_rt]]="Cash","Cash","Cuestionario Integra"))</f>
        <v>ETF</v>
      </c>
      <c r="AR372" s="26" t="str">
        <f>IFERROR(INDEX('BD(MSCI)'!X:X,MATCH(Tabla_Consulta_desde_Reporte_de_Valorización_de_Instrumentos[[#This Row],[CODIGO_ISIN]],'BD(MSCI)'!C:C,0)),"Cuestionario Integra")</f>
        <v>Otros ETFs</v>
      </c>
      <c r="AU372" s="26"/>
    </row>
    <row r="373" spans="2:47" hidden="1" x14ac:dyDescent="0.25">
      <c r="B373" s="14" t="s">
        <v>6390</v>
      </c>
      <c r="C373" t="s">
        <v>586</v>
      </c>
      <c r="D373" t="s">
        <v>11</v>
      </c>
      <c r="E373" t="s">
        <v>587</v>
      </c>
      <c r="F373" t="s">
        <v>6311</v>
      </c>
      <c r="G373" t="str">
        <f>INDEX(Parametria!H:H,MATCH(Tabla_Consulta_desde_Reporte_de_Valorización_de_Instrumentos[[#This Row],[CODIGO_SBS]],Parametria!C:C,0),1)</f>
        <v>Lazard - Japanese Strategic Equity</v>
      </c>
      <c r="H373" t="s">
        <v>5438</v>
      </c>
      <c r="I373" t="s">
        <v>156</v>
      </c>
      <c r="J373" t="s">
        <v>6439</v>
      </c>
      <c r="K373" t="s">
        <v>78</v>
      </c>
      <c r="L373">
        <v>0</v>
      </c>
      <c r="M373" s="5">
        <v>15.2867908</v>
      </c>
      <c r="N373">
        <v>712.92017680000004</v>
      </c>
      <c r="O373">
        <v>1.8220000000000001</v>
      </c>
      <c r="P373" s="15"/>
      <c r="R373">
        <v>2.14425E-2</v>
      </c>
      <c r="S373" t="s">
        <v>428</v>
      </c>
      <c r="T373">
        <v>15.330170900000001</v>
      </c>
      <c r="U373" s="5">
        <v>712.94167640000001</v>
      </c>
      <c r="V373" t="s">
        <v>156</v>
      </c>
      <c r="W373">
        <v>0</v>
      </c>
      <c r="X373">
        <v>0</v>
      </c>
      <c r="Y373">
        <v>0</v>
      </c>
      <c r="Z373">
        <v>-1.18E-2</v>
      </c>
      <c r="AA373" t="str">
        <f>+MID(Tabla_Consulta_desde_Reporte_de_Valorización_de_Instrumentos[[#This Row],[CODIGO_SBS]],7,1)</f>
        <v>5</v>
      </c>
      <c r="AB373">
        <f>INDEX('Cálculo Caja'!F:F,MATCH(Tabla_Consulta_desde_Reporte_de_Valorización_de_Instrumentos[[#This Row],[PORTAFOLIO]],'Cálculo Caja'!A:A,0),1)</f>
        <v>3164069580.822104</v>
      </c>
      <c r="AC373" s="17">
        <f>Tabla_Consulta_desde_Reporte_de_Valorización_de_Instrumentos[[#This Row],[VALOR_VECTOR_LOCAL]]/Tabla_Consulta_desde_Reporte_de_Valorización_de_Instrumentos[[#This Row],[Patrimonio]]</f>
        <v>4.8313699839774421E-9</v>
      </c>
      <c r="AD373" s="4">
        <f>(Tabla_Consulta_desde_Reporte_de_Valorización_de_Instrumentos[[#This Row],[VALOR_VECTOR_LOCAL]]/INDEX('Tipo de Cambio'!$D:$D,MATCH("2",'Tipo de Cambio'!$E:$E,0),1))/1000000</f>
        <v>4.5484217917819633E-6</v>
      </c>
      <c r="AE373">
        <f>IF(Tabla_Consulta_desde_Reporte_de_Valorización_de_Instrumentos[[#This Row],[PORTAFOLIO]]="IN-FONDO0",Tabla_Consulta_desde_Reporte_de_Valorización_de_Instrumentos[[#This Row],[Inv MM$]],0)</f>
        <v>0</v>
      </c>
      <c r="AF373" s="26">
        <f>IF(Tabla_Consulta_desde_Reporte_de_Valorización_de_Instrumentos[[#This Row],[PORTAFOLIO]]="IN-FONDO1",Tabla_Consulta_desde_Reporte_de_Valorización_de_Instrumentos[[#This Row],[Inv MM$]],0)</f>
        <v>0</v>
      </c>
      <c r="AG373" s="26">
        <f>IF(Tabla_Consulta_desde_Reporte_de_Valorización_de_Instrumentos[[#This Row],[PORTAFOLIO]]="IN-FONDO2",Tabla_Consulta_desde_Reporte_de_Valorización_de_Instrumentos[[#This Row],[Inv MM$]],0)</f>
        <v>0</v>
      </c>
      <c r="AH373" s="26">
        <f>IF(Tabla_Consulta_desde_Reporte_de_Valorización_de_Instrumentos[[#This Row],[PORTAFOLIO]]="IN-FONDO3",Tabla_Consulta_desde_Reporte_de_Valorización_de_Instrumentos[[#This Row],[Inv MM$]],0)</f>
        <v>4.5484217917819633E-6</v>
      </c>
      <c r="AI37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12.787836685380494</v>
      </c>
      <c r="AJ373" s="26">
        <f>IFERROR(IFERROR(INDEX('BD(MSCI)'!$T:$T,MATCH(Tabla_Consulta_desde_Reporte_de_Valorización_de_Instrumentos[[#This Row],[CODIGO_ISIN]],'BD(MSCI)'!$C:$C,0),1),INDEX('BD(MSCI)'!$T:$T,MATCH(Tabla_Consulta_desde_Reporte_de_Valorización_de_Instrumentos[[#This Row],[CODIGO_SBS]],'BD(MSCI)'!$C:$C,0),1)),0)</f>
        <v>57.243154320000002</v>
      </c>
      <c r="AK373" s="26">
        <f>Tabla_Consulta_desde_Reporte_de_Valorización_de_Instrumentos[[#This Row],[C02-H]]*Tabla_Consulta_desde_Reporte_de_Valorización_de_Instrumentos[[#This Row],[Inv MM$]]</f>
        <v>2.6036601053942583E-4</v>
      </c>
      <c r="AL373" s="26">
        <f>Tabla_Consulta_desde_Reporte_de_Valorización_de_Instrumentos[[#This Row],[C02-H]]*Tabla_Consulta_desde_Reporte_de_Valorización_de_Instrumentos[[#This Row],[Weight]]</f>
        <v>2.7656285756983667E-7</v>
      </c>
      <c r="AM373" s="26" t="str">
        <f>INDEX(Parametria!G:G,MATCH(Tabla_Consulta_desde_Reporte_de_Valorización_de_Instrumentos[[#This Row],[CODIGO_SBS]],Parametria!C:C,0))</f>
        <v>52RVI</v>
      </c>
      <c r="AN373" s="26" t="str">
        <f>INDEX(Parametria!F:F,MATCH(Tabla_Consulta_desde_Reporte_de_Valorización_de_Instrumentos[[#This Row],[CODIGO_SBS]],Parametria!C:C,0))</f>
        <v>TD</v>
      </c>
      <c r="AO373" s="26" t="str">
        <f>+INDEX(Parametria!J:J,MATCH(Tabla_Consulta_desde_Reporte_de_Valorización_de_Instrumentos[[#This Row],[CODIGO_SBS]],Parametria!C:C,0))</f>
        <v>RVITD</v>
      </c>
      <c r="AP373" s="26">
        <f>Tabla_Consulta_desde_Reporte_de_Valorización_de_Instrumentos[[#This Row],[Huella]]/$AU$4</f>
        <v>2.4137172380669343E-8</v>
      </c>
      <c r="AQ373" s="26" t="str">
        <f>IFERROR(INDEX('BD(MSCI)'!W:W,MATCH(Tabla_Consulta_desde_Reporte_de_Valorización_de_Instrumentos[[#This Row],[CODIGO_ISIN]],'BD(MSCI)'!C:C,0)),IF(Tabla_Consulta_desde_Reporte_de_Valorización_de_Instrumentos[[#This Row],[Rank_rt]]="Cash","Cash","Cuestionario Integra"))</f>
        <v>ETF</v>
      </c>
      <c r="AR373" s="26" t="str">
        <f>IFERROR(INDEX('BD(MSCI)'!X:X,MATCH(Tabla_Consulta_desde_Reporte_de_Valorización_de_Instrumentos[[#This Row],[CODIGO_ISIN]],'BD(MSCI)'!C:C,0)),"Cuestionario Integra")</f>
        <v>Otros ETFs</v>
      </c>
      <c r="AU373" s="26"/>
    </row>
    <row r="374" spans="2:47" hidden="1" x14ac:dyDescent="0.25">
      <c r="B374" s="14" t="s">
        <v>6390</v>
      </c>
      <c r="C374" t="s">
        <v>586</v>
      </c>
      <c r="D374" t="s">
        <v>10</v>
      </c>
      <c r="E374" t="s">
        <v>587</v>
      </c>
      <c r="F374" t="s">
        <v>707</v>
      </c>
      <c r="G374" t="str">
        <f>INDEX(Parametria!H:H,MATCH(Tabla_Consulta_desde_Reporte_de_Valorización_de_Instrumentos[[#This Row],[CODIGO_SBS]],Parametria!C:C,0),1)</f>
        <v>Pictet Chinese LC Debt</v>
      </c>
      <c r="H374" t="s">
        <v>708</v>
      </c>
      <c r="I374" t="s">
        <v>156</v>
      </c>
      <c r="J374" t="s">
        <v>709</v>
      </c>
      <c r="K374" t="s">
        <v>50</v>
      </c>
      <c r="L374">
        <v>120.45</v>
      </c>
      <c r="M374" s="5">
        <v>443.033838</v>
      </c>
      <c r="N374">
        <v>131.82</v>
      </c>
      <c r="O374">
        <v>1</v>
      </c>
      <c r="P374" s="15"/>
      <c r="R374">
        <v>3.3609</v>
      </c>
      <c r="S374" t="s">
        <v>155</v>
      </c>
      <c r="T374">
        <v>443.19067999999999</v>
      </c>
      <c r="U374" s="5">
        <v>131.80000000000001</v>
      </c>
      <c r="V374" t="s">
        <v>156</v>
      </c>
      <c r="W374">
        <v>0</v>
      </c>
      <c r="X374">
        <v>0</v>
      </c>
      <c r="Y374">
        <v>0</v>
      </c>
      <c r="Z374">
        <v>0.02</v>
      </c>
      <c r="AA374" t="str">
        <f>+MID(Tabla_Consulta_desde_Reporte_de_Valorización_de_Instrumentos[[#This Row],[CODIGO_SBS]],7,1)</f>
        <v>2</v>
      </c>
      <c r="AB374">
        <f>INDEX('Cálculo Caja'!F:F,MATCH(Tabla_Consulta_desde_Reporte_de_Valorización_de_Instrumentos[[#This Row],[PORTAFOLIO]],'Cálculo Caja'!A:A,0),1)</f>
        <v>26256910350.436607</v>
      </c>
      <c r="AC374" s="17">
        <f>Tabla_Consulta_desde_Reporte_de_Valorización_de_Instrumentos[[#This Row],[VALOR_VECTOR_LOCAL]]/Tabla_Consulta_desde_Reporte_de_Valorización_de_Instrumentos[[#This Row],[Patrimonio]]</f>
        <v>1.6873037691299925E-8</v>
      </c>
      <c r="AD374" s="4">
        <f>(Tabla_Consulta_desde_Reporte_de_Valorización_de_Instrumentos[[#This Row],[VALOR_VECTOR_LOCAL]]/INDEX('Tipo de Cambio'!$D:$D,MATCH("2",'Tipo de Cambio'!$E:$E,0),1))/1000000</f>
        <v>1.3181999999999999E-4</v>
      </c>
      <c r="AE374">
        <f>IF(Tabla_Consulta_desde_Reporte_de_Valorización_de_Instrumentos[[#This Row],[PORTAFOLIO]]="IN-FONDO0",Tabla_Consulta_desde_Reporte_de_Valorización_de_Instrumentos[[#This Row],[Inv MM$]],0)</f>
        <v>0</v>
      </c>
      <c r="AF374" s="26">
        <f>IF(Tabla_Consulta_desde_Reporte_de_Valorización_de_Instrumentos[[#This Row],[PORTAFOLIO]]="IN-FONDO1",Tabla_Consulta_desde_Reporte_de_Valorización_de_Instrumentos[[#This Row],[Inv MM$]],0)</f>
        <v>0</v>
      </c>
      <c r="AG374" s="26">
        <f>IF(Tabla_Consulta_desde_Reporte_de_Valorización_de_Instrumentos[[#This Row],[PORTAFOLIO]]="IN-FONDO2",Tabla_Consulta_desde_Reporte_de_Valorización_de_Instrumentos[[#This Row],[Inv MM$]],0)</f>
        <v>1.3181999999999999E-4</v>
      </c>
      <c r="AH374" s="26">
        <f>IF(Tabla_Consulta_desde_Reporte_de_Valorización_de_Instrumentos[[#This Row],[PORTAFOLIO]]="IN-FONDO3",Tabla_Consulta_desde_Reporte_de_Valorización_de_Instrumentos[[#This Row],[Inv MM$]],0)</f>
        <v>0</v>
      </c>
      <c r="AI37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3.3442733999821474E-4</v>
      </c>
      <c r="AJ374" s="26">
        <f>IFERROR(IFERROR(INDEX('BD(MSCI)'!$T:$T,MATCH(Tabla_Consulta_desde_Reporte_de_Valorización_de_Instrumentos[[#This Row],[CODIGO_ISIN]],'BD(MSCI)'!$C:$C,0),1),INDEX('BD(MSCI)'!$T:$T,MATCH(Tabla_Consulta_desde_Reporte_de_Valorización_de_Instrumentos[[#This Row],[CODIGO_SBS]],'BD(MSCI)'!$C:$C,0),1)),0)</f>
        <v>20.810884089999998</v>
      </c>
      <c r="AK374" s="26">
        <f>Tabla_Consulta_desde_Reporte_de_Valorización_de_Instrumentos[[#This Row],[C02-H]]*Tabla_Consulta_desde_Reporte_de_Valorización_de_Instrumentos[[#This Row],[Inv MM$]]</f>
        <v>2.7432907407437999E-3</v>
      </c>
      <c r="AL374" s="26">
        <f>Tabla_Consulta_desde_Reporte_de_Valorización_de_Instrumentos[[#This Row],[C02-H]]*Tabla_Consulta_desde_Reporte_de_Valorización_de_Instrumentos[[#This Row],[Weight]]</f>
        <v>3.5114283163984393E-7</v>
      </c>
      <c r="AM374" s="26" t="str">
        <f>INDEX(Parametria!G:G,MATCH(Tabla_Consulta_desde_Reporte_de_Valorización_de_Instrumentos[[#This Row],[CODIGO_SBS]],Parametria!C:C,0))</f>
        <v>52RFIG</v>
      </c>
      <c r="AN374" s="26" t="str">
        <f>INDEX(Parametria!F:F,MATCH(Tabla_Consulta_desde_Reporte_de_Valorización_de_Instrumentos[[#This Row],[CODIGO_SBS]],Parametria!C:C,0))</f>
        <v>TD</v>
      </c>
      <c r="AO374" s="26" t="str">
        <f>+INDEX(Parametria!J:J,MATCH(Tabla_Consulta_desde_Reporte_de_Valorización_de_Instrumentos[[#This Row],[CODIGO_SBS]],Parametria!C:C,0))</f>
        <v>RFITD</v>
      </c>
      <c r="AP374" s="26">
        <f>Tabla_Consulta_desde_Reporte_de_Valorización_de_Instrumentos[[#This Row],[Huella]]/$AU$4</f>
        <v>2.5431615041626399E-7</v>
      </c>
      <c r="AQ374" s="26" t="str">
        <f>IFERROR(INDEX('BD(MSCI)'!W:W,MATCH(Tabla_Consulta_desde_Reporte_de_Valorización_de_Instrumentos[[#This Row],[CODIGO_ISIN]],'BD(MSCI)'!C:C,0)),IF(Tabla_Consulta_desde_Reporte_de_Valorización_de_Instrumentos[[#This Row],[Rank_rt]]="Cash","Cash","Cuestionario Integra"))</f>
        <v>ETF</v>
      </c>
      <c r="AR374" s="26" t="str">
        <f>IFERROR(INDEX('BD(MSCI)'!X:X,MATCH(Tabla_Consulta_desde_Reporte_de_Valorización_de_Instrumentos[[#This Row],[CODIGO_ISIN]],'BD(MSCI)'!C:C,0)),"Cuestionario Integra")</f>
        <v>Otros ETFs</v>
      </c>
      <c r="AU374" s="26"/>
    </row>
    <row r="375" spans="2:47" hidden="1" x14ac:dyDescent="0.25">
      <c r="B375" s="14" t="s">
        <v>6390</v>
      </c>
      <c r="C375" t="s">
        <v>586</v>
      </c>
      <c r="D375" t="s">
        <v>12</v>
      </c>
      <c r="E375" t="s">
        <v>587</v>
      </c>
      <c r="F375" t="s">
        <v>707</v>
      </c>
      <c r="G375" t="str">
        <f>INDEX(Parametria!H:H,MATCH(Tabla_Consulta_desde_Reporte_de_Valorización_de_Instrumentos[[#This Row],[CODIGO_SBS]],Parametria!C:C,0),1)</f>
        <v>Pictet Chinese LC Debt</v>
      </c>
      <c r="H375" t="s">
        <v>708</v>
      </c>
      <c r="I375" t="s">
        <v>156</v>
      </c>
      <c r="J375" t="s">
        <v>709</v>
      </c>
      <c r="K375" t="s">
        <v>50</v>
      </c>
      <c r="L375">
        <v>120.45</v>
      </c>
      <c r="M375" s="5">
        <v>680.94300899999996</v>
      </c>
      <c r="N375">
        <v>202.60733999999999</v>
      </c>
      <c r="O375">
        <v>1.5369999999999999</v>
      </c>
      <c r="P375" s="15"/>
      <c r="R375">
        <v>3.3609</v>
      </c>
      <c r="S375" t="s">
        <v>155</v>
      </c>
      <c r="T375">
        <v>681.18407509999997</v>
      </c>
      <c r="U375" s="5">
        <v>202.57660000000001</v>
      </c>
      <c r="V375" t="s">
        <v>156</v>
      </c>
      <c r="W375">
        <v>0</v>
      </c>
      <c r="X375">
        <v>0</v>
      </c>
      <c r="Y375">
        <v>0</v>
      </c>
      <c r="Z375">
        <v>0.02</v>
      </c>
      <c r="AA375" t="str">
        <f>+MID(Tabla_Consulta_desde_Reporte_de_Valorización_de_Instrumentos[[#This Row],[CODIGO_SBS]],7,1)</f>
        <v>2</v>
      </c>
      <c r="AB375">
        <f>INDEX('Cálculo Caja'!F:F,MATCH(Tabla_Consulta_desde_Reporte_de_Valorización_de_Instrumentos[[#This Row],[PORTAFOLIO]],'Cálculo Caja'!A:A,0),1)</f>
        <v>7679510866.0565634</v>
      </c>
      <c r="AC375" s="17">
        <f>Tabla_Consulta_desde_Reporte_de_Valorización_de_Instrumentos[[#This Row],[VALOR_VECTOR_LOCAL]]/Tabla_Consulta_desde_Reporte_de_Valorización_de_Instrumentos[[#This Row],[Patrimonio]]</f>
        <v>8.8670101634958021E-8</v>
      </c>
      <c r="AD375" s="4">
        <f>(Tabla_Consulta_desde_Reporte_de_Valorización_de_Instrumentos[[#This Row],[VALOR_VECTOR_LOCAL]]/INDEX('Tipo de Cambio'!$D:$D,MATCH("2",'Tipo de Cambio'!$E:$E,0),1))/1000000</f>
        <v>2.0260733999821474E-4</v>
      </c>
      <c r="AE375">
        <f>IF(Tabla_Consulta_desde_Reporte_de_Valorización_de_Instrumentos[[#This Row],[PORTAFOLIO]]="IN-FONDO0",Tabla_Consulta_desde_Reporte_de_Valorización_de_Instrumentos[[#This Row],[Inv MM$]],0)</f>
        <v>0</v>
      </c>
      <c r="AF375" s="26">
        <f>IF(Tabla_Consulta_desde_Reporte_de_Valorización_de_Instrumentos[[#This Row],[PORTAFOLIO]]="IN-FONDO1",Tabla_Consulta_desde_Reporte_de_Valorización_de_Instrumentos[[#This Row],[Inv MM$]],0)</f>
        <v>2.0260733999821474E-4</v>
      </c>
      <c r="AG375" s="26">
        <f>IF(Tabla_Consulta_desde_Reporte_de_Valorización_de_Instrumentos[[#This Row],[PORTAFOLIO]]="IN-FONDO2",Tabla_Consulta_desde_Reporte_de_Valorización_de_Instrumentos[[#This Row],[Inv MM$]],0)</f>
        <v>0</v>
      </c>
      <c r="AH375" s="26">
        <f>IF(Tabla_Consulta_desde_Reporte_de_Valorización_de_Instrumentos[[#This Row],[PORTAFOLIO]]="IN-FONDO3",Tabla_Consulta_desde_Reporte_de_Valorización_de_Instrumentos[[#This Row],[Inv MM$]],0)</f>
        <v>0</v>
      </c>
      <c r="AI37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3.3442733999821474E-4</v>
      </c>
      <c r="AJ375" s="26">
        <f>IFERROR(IFERROR(INDEX('BD(MSCI)'!$T:$T,MATCH(Tabla_Consulta_desde_Reporte_de_Valorización_de_Instrumentos[[#This Row],[CODIGO_ISIN]],'BD(MSCI)'!$C:$C,0),1),INDEX('BD(MSCI)'!$T:$T,MATCH(Tabla_Consulta_desde_Reporte_de_Valorización_de_Instrumentos[[#This Row],[CODIGO_SBS]],'BD(MSCI)'!$C:$C,0),1)),0)</f>
        <v>20.810884089999998</v>
      </c>
      <c r="AK375" s="26">
        <f>Tabla_Consulta_desde_Reporte_de_Valorización_de_Instrumentos[[#This Row],[C02-H]]*Tabla_Consulta_desde_Reporte_de_Valorización_de_Instrumentos[[#This Row],[Inv MM$]]</f>
        <v>4.2164378684860677E-3</v>
      </c>
      <c r="AL375" s="26">
        <f>Tabla_Consulta_desde_Reporte_de_Valorización_de_Instrumentos[[#This Row],[C02-H]]*Tabla_Consulta_desde_Reporte_de_Valorización_de_Instrumentos[[#This Row],[Weight]]</f>
        <v>1.8453032073736307E-6</v>
      </c>
      <c r="AM375" s="26" t="str">
        <f>INDEX(Parametria!G:G,MATCH(Tabla_Consulta_desde_Reporte_de_Valorización_de_Instrumentos[[#This Row],[CODIGO_SBS]],Parametria!C:C,0))</f>
        <v>52RFIG</v>
      </c>
      <c r="AN375" s="26" t="str">
        <f>INDEX(Parametria!F:F,MATCH(Tabla_Consulta_desde_Reporte_de_Valorización_de_Instrumentos[[#This Row],[CODIGO_SBS]],Parametria!C:C,0))</f>
        <v>TD</v>
      </c>
      <c r="AO375" s="26" t="str">
        <f>+INDEX(Parametria!J:J,MATCH(Tabla_Consulta_desde_Reporte_de_Valorización_de_Instrumentos[[#This Row],[CODIGO_SBS]],Parametria!C:C,0))</f>
        <v>RFITD</v>
      </c>
      <c r="AP375" s="26">
        <f>Tabla_Consulta_desde_Reporte_de_Valorización_de_Instrumentos[[#This Row],[Huella]]/$AU$4</f>
        <v>3.908839231863535E-7</v>
      </c>
      <c r="AQ375" s="26" t="str">
        <f>IFERROR(INDEX('BD(MSCI)'!W:W,MATCH(Tabla_Consulta_desde_Reporte_de_Valorización_de_Instrumentos[[#This Row],[CODIGO_ISIN]],'BD(MSCI)'!C:C,0)),IF(Tabla_Consulta_desde_Reporte_de_Valorización_de_Instrumentos[[#This Row],[Rank_rt]]="Cash","Cash","Cuestionario Integra"))</f>
        <v>ETF</v>
      </c>
      <c r="AR375" s="26" t="str">
        <f>IFERROR(INDEX('BD(MSCI)'!X:X,MATCH(Tabla_Consulta_desde_Reporte_de_Valorización_de_Instrumentos[[#This Row],[CODIGO_ISIN]],'BD(MSCI)'!C:C,0)),"Cuestionario Integra")</f>
        <v>Otros ETFs</v>
      </c>
      <c r="AU375" s="26"/>
    </row>
    <row r="376" spans="2:47" hidden="1" x14ac:dyDescent="0.25">
      <c r="B376" s="14" t="s">
        <v>6390</v>
      </c>
      <c r="C376" t="s">
        <v>586</v>
      </c>
      <c r="D376" t="s">
        <v>10</v>
      </c>
      <c r="E376" t="s">
        <v>587</v>
      </c>
      <c r="F376" t="s">
        <v>710</v>
      </c>
      <c r="G376" t="str">
        <f>INDEX(Parametria!H:H,MATCH(Tabla_Consulta_desde_Reporte_de_Valorización_de_Instrumentos[[#This Row],[CODIGO_SBS]],Parametria!C:C,0),1)</f>
        <v>Schroders - Asian Opportunities</v>
      </c>
      <c r="H376" t="s">
        <v>711</v>
      </c>
      <c r="I376" t="s">
        <v>156</v>
      </c>
      <c r="J376" t="s">
        <v>712</v>
      </c>
      <c r="K376" t="s">
        <v>50</v>
      </c>
      <c r="L376">
        <v>1</v>
      </c>
      <c r="M376" s="5">
        <v>234.57600170000001</v>
      </c>
      <c r="N376">
        <v>69.795591000000002</v>
      </c>
      <c r="O376">
        <v>1.81</v>
      </c>
      <c r="P376" s="15"/>
      <c r="R376">
        <v>3.3609</v>
      </c>
      <c r="S376" t="s">
        <v>428</v>
      </c>
      <c r="T376">
        <v>234.7336066</v>
      </c>
      <c r="U376" s="5">
        <v>69.807175000000001</v>
      </c>
      <c r="V376" t="s">
        <v>156</v>
      </c>
      <c r="W376">
        <v>0</v>
      </c>
      <c r="X376">
        <v>0</v>
      </c>
      <c r="Y376">
        <v>0</v>
      </c>
      <c r="Z376">
        <v>-6.4000000000000003E-3</v>
      </c>
      <c r="AA376" t="str">
        <f>+MID(Tabla_Consulta_desde_Reporte_de_Valorización_de_Instrumentos[[#This Row],[CODIGO_SBS]],7,1)</f>
        <v>2</v>
      </c>
      <c r="AB376">
        <f>INDEX('Cálculo Caja'!F:F,MATCH(Tabla_Consulta_desde_Reporte_de_Valorización_de_Instrumentos[[#This Row],[PORTAFOLIO]],'Cálculo Caja'!A:A,0),1)</f>
        <v>26256910350.436607</v>
      </c>
      <c r="AC376" s="17">
        <f>Tabla_Consulta_desde_Reporte_de_Valorización_de_Instrumentos[[#This Row],[VALOR_VECTOR_LOCAL]]/Tabla_Consulta_desde_Reporte_de_Valorización_de_Instrumentos[[#This Row],[Patrimonio]]</f>
        <v>8.9338767802168089E-9</v>
      </c>
      <c r="AD376" s="4">
        <f>(Tabla_Consulta_desde_Reporte_de_Valorización_de_Instrumentos[[#This Row],[VALOR_VECTOR_LOCAL]]/INDEX('Tipo de Cambio'!$D:$D,MATCH("2",'Tipo de Cambio'!$E:$E,0),1))/1000000</f>
        <v>6.9795590972656125E-5</v>
      </c>
      <c r="AE376">
        <f>IF(Tabla_Consulta_desde_Reporte_de_Valorización_de_Instrumentos[[#This Row],[PORTAFOLIO]]="IN-FONDO0",Tabla_Consulta_desde_Reporte_de_Valorización_de_Instrumentos[[#This Row],[Inv MM$]],0)</f>
        <v>0</v>
      </c>
      <c r="AF376" s="26">
        <f>IF(Tabla_Consulta_desde_Reporte_de_Valorización_de_Instrumentos[[#This Row],[PORTAFOLIO]]="IN-FONDO1",Tabla_Consulta_desde_Reporte_de_Valorización_de_Instrumentos[[#This Row],[Inv MM$]],0)</f>
        <v>0</v>
      </c>
      <c r="AG376" s="26">
        <f>IF(Tabla_Consulta_desde_Reporte_de_Valorización_de_Instrumentos[[#This Row],[PORTAFOLIO]]="IN-FONDO2",Tabla_Consulta_desde_Reporte_de_Valorización_de_Instrumentos[[#This Row],[Inv MM$]],0)</f>
        <v>6.9795590972656125E-5</v>
      </c>
      <c r="AH376" s="26">
        <f>IF(Tabla_Consulta_desde_Reporte_de_Valorización_de_Instrumentos[[#This Row],[PORTAFOLIO]]="IN-FONDO3",Tabla_Consulta_desde_Reporte_de_Valorización_de_Instrumentos[[#This Row],[Inv MM$]],0)</f>
        <v>0</v>
      </c>
      <c r="AI37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1.1336963396709214E-4</v>
      </c>
      <c r="AJ376" s="26">
        <f>IFERROR(IFERROR(INDEX('BD(MSCI)'!$T:$T,MATCH(Tabla_Consulta_desde_Reporte_de_Valorización_de_Instrumentos[[#This Row],[CODIGO_ISIN]],'BD(MSCI)'!$C:$C,0),1),INDEX('BD(MSCI)'!$T:$T,MATCH(Tabla_Consulta_desde_Reporte_de_Valorización_de_Instrumentos[[#This Row],[CODIGO_SBS]],'BD(MSCI)'!$C:$C,0),1)),0)</f>
        <v>25.11745269</v>
      </c>
      <c r="AK376" s="26">
        <f>Tabla_Consulta_desde_Reporte_de_Valorización_de_Instrumentos[[#This Row],[C02-H]]*Tabla_Consulta_desde_Reporte_de_Valorización_de_Instrumentos[[#This Row],[Inv MM$]]</f>
        <v>1.7530874542262813E-3</v>
      </c>
      <c r="AL376" s="26">
        <f>Tabla_Consulta_desde_Reporte_de_Valorización_de_Instrumentos[[#This Row],[C02-H]]*Tabla_Consulta_desde_Reporte_de_Valorización_de_Instrumentos[[#This Row],[Weight]]</f>
        <v>2.2439622736538523E-7</v>
      </c>
      <c r="AM376" s="26" t="str">
        <f>INDEX(Parametria!G:G,MATCH(Tabla_Consulta_desde_Reporte_de_Valorización_de_Instrumentos[[#This Row],[CODIGO_SBS]],Parametria!C:C,0))</f>
        <v>52RVI</v>
      </c>
      <c r="AN376" s="26" t="str">
        <f>INDEX(Parametria!F:F,MATCH(Tabla_Consulta_desde_Reporte_de_Valorización_de_Instrumentos[[#This Row],[CODIGO_SBS]],Parametria!C:C,0))</f>
        <v>TD</v>
      </c>
      <c r="AO376" s="26" t="str">
        <f>+INDEX(Parametria!J:J,MATCH(Tabla_Consulta_desde_Reporte_de_Valorización_de_Instrumentos[[#This Row],[CODIGO_SBS]],Parametria!C:C,0))</f>
        <v>RVITD</v>
      </c>
      <c r="AP376" s="26">
        <f>Tabla_Consulta_desde_Reporte_de_Valorización_de_Instrumentos[[#This Row],[Huella]]/$AU$4</f>
        <v>1.6251957770287017E-7</v>
      </c>
      <c r="AQ376" s="26" t="str">
        <f>IFERROR(INDEX('BD(MSCI)'!W:W,MATCH(Tabla_Consulta_desde_Reporte_de_Valorización_de_Instrumentos[[#This Row],[CODIGO_ISIN]],'BD(MSCI)'!C:C,0)),IF(Tabla_Consulta_desde_Reporte_de_Valorización_de_Instrumentos[[#This Row],[Rank_rt]]="Cash","Cash","Cuestionario Integra"))</f>
        <v>ETF</v>
      </c>
      <c r="AR376" s="26" t="str">
        <f>IFERROR(INDEX('BD(MSCI)'!X:X,MATCH(Tabla_Consulta_desde_Reporte_de_Valorización_de_Instrumentos[[#This Row],[CODIGO_ISIN]],'BD(MSCI)'!C:C,0)),"Cuestionario Integra")</f>
        <v>Otros ETFs</v>
      </c>
      <c r="AU376" s="26"/>
    </row>
    <row r="377" spans="2:47" hidden="1" x14ac:dyDescent="0.25">
      <c r="B377" s="14" t="s">
        <v>6390</v>
      </c>
      <c r="C377" t="s">
        <v>586</v>
      </c>
      <c r="D377" t="s">
        <v>11</v>
      </c>
      <c r="E377" t="s">
        <v>587</v>
      </c>
      <c r="F377" t="s">
        <v>710</v>
      </c>
      <c r="G377" t="str">
        <f>INDEX(Parametria!H:H,MATCH(Tabla_Consulta_desde_Reporte_de_Valorización_de_Instrumentos[[#This Row],[CODIGO_SBS]],Parametria!C:C,0),1)</f>
        <v>Schroders - Asian Opportunities</v>
      </c>
      <c r="H377" t="s">
        <v>711</v>
      </c>
      <c r="I377" t="s">
        <v>156</v>
      </c>
      <c r="J377" t="s">
        <v>712</v>
      </c>
      <c r="K377" t="s">
        <v>50</v>
      </c>
      <c r="L377">
        <v>1</v>
      </c>
      <c r="M377" s="5">
        <v>146.4480011</v>
      </c>
      <c r="N377">
        <v>43.574043000000003</v>
      </c>
      <c r="O377">
        <v>1.1299999999999999</v>
      </c>
      <c r="P377" s="15"/>
      <c r="R377">
        <v>3.3609</v>
      </c>
      <c r="S377" t="s">
        <v>428</v>
      </c>
      <c r="T377">
        <v>146.5463953</v>
      </c>
      <c r="U377" s="5">
        <v>43.581274999999998</v>
      </c>
      <c r="V377" t="s">
        <v>156</v>
      </c>
      <c r="W377">
        <v>0</v>
      </c>
      <c r="X377">
        <v>0</v>
      </c>
      <c r="Y377">
        <v>0</v>
      </c>
      <c r="Z377">
        <v>-6.4000000000000003E-3</v>
      </c>
      <c r="AA377" t="str">
        <f>+MID(Tabla_Consulta_desde_Reporte_de_Valorización_de_Instrumentos[[#This Row],[CODIGO_SBS]],7,1)</f>
        <v>2</v>
      </c>
      <c r="AB377">
        <f>INDEX('Cálculo Caja'!F:F,MATCH(Tabla_Consulta_desde_Reporte_de_Valorización_de_Instrumentos[[#This Row],[PORTAFOLIO]],'Cálculo Caja'!A:A,0),1)</f>
        <v>3164069580.822104</v>
      </c>
      <c r="AC377" s="17">
        <f>Tabla_Consulta_desde_Reporte_de_Valorización_de_Instrumentos[[#This Row],[VALOR_VECTOR_LOCAL]]/Tabla_Consulta_desde_Reporte_de_Valorización_de_Instrumentos[[#This Row],[Patrimonio]]</f>
        <v>4.6284696767619495E-8</v>
      </c>
      <c r="AD377" s="4">
        <f>(Tabla_Consulta_desde_Reporte_de_Valorización_de_Instrumentos[[#This Row],[VALOR_VECTOR_LOCAL]]/INDEX('Tipo de Cambio'!$D:$D,MATCH("2",'Tipo de Cambio'!$E:$E,0),1))/1000000</f>
        <v>4.3574042994436014E-5</v>
      </c>
      <c r="AE377">
        <f>IF(Tabla_Consulta_desde_Reporte_de_Valorización_de_Instrumentos[[#This Row],[PORTAFOLIO]]="IN-FONDO0",Tabla_Consulta_desde_Reporte_de_Valorización_de_Instrumentos[[#This Row],[Inv MM$]],0)</f>
        <v>0</v>
      </c>
      <c r="AF377" s="26">
        <f>IF(Tabla_Consulta_desde_Reporte_de_Valorización_de_Instrumentos[[#This Row],[PORTAFOLIO]]="IN-FONDO1",Tabla_Consulta_desde_Reporte_de_Valorización_de_Instrumentos[[#This Row],[Inv MM$]],0)</f>
        <v>0</v>
      </c>
      <c r="AG377" s="26">
        <f>IF(Tabla_Consulta_desde_Reporte_de_Valorización_de_Instrumentos[[#This Row],[PORTAFOLIO]]="IN-FONDO2",Tabla_Consulta_desde_Reporte_de_Valorización_de_Instrumentos[[#This Row],[Inv MM$]],0)</f>
        <v>0</v>
      </c>
      <c r="AH377" s="26">
        <f>IF(Tabla_Consulta_desde_Reporte_de_Valorización_de_Instrumentos[[#This Row],[PORTAFOLIO]]="IN-FONDO3",Tabla_Consulta_desde_Reporte_de_Valorización_de_Instrumentos[[#This Row],[Inv MM$]],0)</f>
        <v>4.3574042994436014E-5</v>
      </c>
      <c r="AI37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1.1336963396709214E-4</v>
      </c>
      <c r="AJ377" s="26">
        <f>IFERROR(IFERROR(INDEX('BD(MSCI)'!$T:$T,MATCH(Tabla_Consulta_desde_Reporte_de_Valorización_de_Instrumentos[[#This Row],[CODIGO_ISIN]],'BD(MSCI)'!$C:$C,0),1),INDEX('BD(MSCI)'!$T:$T,MATCH(Tabla_Consulta_desde_Reporte_de_Valorización_de_Instrumentos[[#This Row],[CODIGO_SBS]],'BD(MSCI)'!$C:$C,0),1)),0)</f>
        <v>25.11745269</v>
      </c>
      <c r="AK377" s="26">
        <f>Tabla_Consulta_desde_Reporte_de_Valorización_de_Instrumentos[[#This Row],[C02-H]]*Tabla_Consulta_desde_Reporte_de_Valorización_de_Instrumentos[[#This Row],[Inv MM$]]</f>
        <v>1.0944689634247726E-3</v>
      </c>
      <c r="AL377" s="26">
        <f>Tabla_Consulta_desde_Reporte_de_Valorización_de_Instrumentos[[#This Row],[C02-H]]*Tabla_Consulta_desde_Reporte_de_Valorización_de_Instrumentos[[#This Row],[Weight]]</f>
        <v>1.1625536813316785E-6</v>
      </c>
      <c r="AM377" s="26" t="str">
        <f>INDEX(Parametria!G:G,MATCH(Tabla_Consulta_desde_Reporte_de_Valorización_de_Instrumentos[[#This Row],[CODIGO_SBS]],Parametria!C:C,0))</f>
        <v>52RVI</v>
      </c>
      <c r="AN377" s="26" t="str">
        <f>INDEX(Parametria!F:F,MATCH(Tabla_Consulta_desde_Reporte_de_Valorización_de_Instrumentos[[#This Row],[CODIGO_SBS]],Parametria!C:C,0))</f>
        <v>TD</v>
      </c>
      <c r="AO377" s="26" t="str">
        <f>+INDEX(Parametria!J:J,MATCH(Tabla_Consulta_desde_Reporte_de_Valorización_de_Instrumentos[[#This Row],[CODIGO_SBS]],Parametria!C:C,0))</f>
        <v>RVITD</v>
      </c>
      <c r="AP377" s="26">
        <f>Tabla_Consulta_desde_Reporte_de_Valorización_de_Instrumentos[[#This Row],[Huella]]/$AU$4</f>
        <v>1.0146249881366901E-7</v>
      </c>
      <c r="AQ377" s="26" t="str">
        <f>IFERROR(INDEX('BD(MSCI)'!W:W,MATCH(Tabla_Consulta_desde_Reporte_de_Valorización_de_Instrumentos[[#This Row],[CODIGO_ISIN]],'BD(MSCI)'!C:C,0)),IF(Tabla_Consulta_desde_Reporte_de_Valorización_de_Instrumentos[[#This Row],[Rank_rt]]="Cash","Cash","Cuestionario Integra"))</f>
        <v>ETF</v>
      </c>
      <c r="AR377" s="26" t="str">
        <f>IFERROR(INDEX('BD(MSCI)'!X:X,MATCH(Tabla_Consulta_desde_Reporte_de_Valorización_de_Instrumentos[[#This Row],[CODIGO_ISIN]],'BD(MSCI)'!C:C,0)),"Cuestionario Integra")</f>
        <v>Otros ETFs</v>
      </c>
      <c r="AU377" s="26"/>
    </row>
    <row r="378" spans="2:47" hidden="1" x14ac:dyDescent="0.25">
      <c r="B378" s="14" t="s">
        <v>6390</v>
      </c>
      <c r="C378" t="s">
        <v>586</v>
      </c>
      <c r="D378" t="s">
        <v>11</v>
      </c>
      <c r="E378" t="s">
        <v>587</v>
      </c>
      <c r="F378" t="s">
        <v>716</v>
      </c>
      <c r="G378" t="str">
        <f>INDEX(Parametria!H:H,MATCH(Tabla_Consulta_desde_Reporte_de_Valorización_de_Instrumentos[[#This Row],[CODIGO_SBS]],Parametria!C:C,0),1)</f>
        <v>State Street - S&amp;P 500 ETF</v>
      </c>
      <c r="H378" t="s">
        <v>717</v>
      </c>
      <c r="I378" t="s">
        <v>156</v>
      </c>
      <c r="J378" t="s">
        <v>715</v>
      </c>
      <c r="K378" t="s">
        <v>50</v>
      </c>
      <c r="L378">
        <v>1</v>
      </c>
      <c r="M378" s="5">
        <v>8021527.2479999997</v>
      </c>
      <c r="N378">
        <v>2386720</v>
      </c>
      <c r="O378">
        <v>3500</v>
      </c>
      <c r="P378" s="15"/>
      <c r="R378">
        <v>3.3609</v>
      </c>
      <c r="S378" t="s">
        <v>428</v>
      </c>
      <c r="T378">
        <v>8085489.3909999998</v>
      </c>
      <c r="U378" s="5">
        <v>2404535</v>
      </c>
      <c r="V378" t="s">
        <v>156</v>
      </c>
      <c r="W378">
        <v>0</v>
      </c>
      <c r="X378">
        <v>0</v>
      </c>
      <c r="Y378">
        <v>0</v>
      </c>
      <c r="Z378">
        <v>-5.09</v>
      </c>
      <c r="AA378" t="str">
        <f>+MID(Tabla_Consulta_desde_Reporte_de_Valorización_de_Instrumentos[[#This Row],[CODIGO_SBS]],7,1)</f>
        <v>2</v>
      </c>
      <c r="AB378">
        <f>INDEX('Cálculo Caja'!F:F,MATCH(Tabla_Consulta_desde_Reporte_de_Valorización_de_Instrumentos[[#This Row],[PORTAFOLIO]],'Cálculo Caja'!A:A,0),1)</f>
        <v>3164069580.822104</v>
      </c>
      <c r="AC378" s="17">
        <f>Tabla_Consulta_desde_Reporte_de_Valorización_de_Instrumentos[[#This Row],[VALOR_VECTOR_LOCAL]]/Tabla_Consulta_desde_Reporte_de_Valorización_de_Instrumentos[[#This Row],[Patrimonio]]</f>
        <v>2.5351930616885508E-3</v>
      </c>
      <c r="AD378" s="4">
        <f>(Tabla_Consulta_desde_Reporte_de_Valorización_de_Instrumentos[[#This Row],[VALOR_VECTOR_LOCAL]]/INDEX('Tipo de Cambio'!$D:$D,MATCH("2",'Tipo de Cambio'!$E:$E,0),1))/1000000</f>
        <v>2.38672</v>
      </c>
      <c r="AE378">
        <f>IF(Tabla_Consulta_desde_Reporte_de_Valorización_de_Instrumentos[[#This Row],[PORTAFOLIO]]="IN-FONDO0",Tabla_Consulta_desde_Reporte_de_Valorización_de_Instrumentos[[#This Row],[Inv MM$]],0)</f>
        <v>0</v>
      </c>
      <c r="AF378" s="26">
        <f>IF(Tabla_Consulta_desde_Reporte_de_Valorización_de_Instrumentos[[#This Row],[PORTAFOLIO]]="IN-FONDO1",Tabla_Consulta_desde_Reporte_de_Valorización_de_Instrumentos[[#This Row],[Inv MM$]],0)</f>
        <v>0</v>
      </c>
      <c r="AG378" s="26">
        <f>IF(Tabla_Consulta_desde_Reporte_de_Valorización_de_Instrumentos[[#This Row],[PORTAFOLIO]]="IN-FONDO2",Tabla_Consulta_desde_Reporte_de_Valorización_de_Instrumentos[[#This Row],[Inv MM$]],0)</f>
        <v>0</v>
      </c>
      <c r="AH378" s="26">
        <f>IF(Tabla_Consulta_desde_Reporte_de_Valorización_de_Instrumentos[[#This Row],[PORTAFOLIO]]="IN-FONDO3",Tabla_Consulta_desde_Reporte_de_Valorización_de_Instrumentos[[#This Row],[Inv MM$]],0)</f>
        <v>2.38672</v>
      </c>
      <c r="AI37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2.38672</v>
      </c>
      <c r="AJ378" s="26">
        <f>IFERROR(IFERROR(INDEX('BD(MSCI)'!$T:$T,MATCH(Tabla_Consulta_desde_Reporte_de_Valorización_de_Instrumentos[[#This Row],[CODIGO_ISIN]],'BD(MSCI)'!$C:$C,0),1),INDEX('BD(MSCI)'!$T:$T,MATCH(Tabla_Consulta_desde_Reporte_de_Valorización_de_Instrumentos[[#This Row],[CODIGO_SBS]],'BD(MSCI)'!$C:$C,0),1)),0)</f>
        <v>22.730523699999999</v>
      </c>
      <c r="AK378" s="26">
        <f>Tabla_Consulta_desde_Reporte_de_Valorización_de_Instrumentos[[#This Row],[C02-H]]*Tabla_Consulta_desde_Reporte_de_Valorización_de_Instrumentos[[#This Row],[Inv MM$]]</f>
        <v>54.251395525263995</v>
      </c>
      <c r="AL378" s="26">
        <f>Tabla_Consulta_desde_Reporte_de_Valorización_de_Instrumentos[[#This Row],[C02-H]]*Tabla_Consulta_desde_Reporte_de_Valorización_de_Instrumentos[[#This Row],[Weight]]</f>
        <v>5.7626265972787166E-2</v>
      </c>
      <c r="AM378" s="26" t="str">
        <f>INDEX(Parametria!G:G,MATCH(Tabla_Consulta_desde_Reporte_de_Valorización_de_Instrumentos[[#This Row],[CODIGO_SBS]],Parametria!C:C,0))</f>
        <v>52RVI</v>
      </c>
      <c r="AN378" s="26" t="str">
        <f>INDEX(Parametria!F:F,MATCH(Tabla_Consulta_desde_Reporte_de_Valorización_de_Instrumentos[[#This Row],[CODIGO_SBS]],Parametria!C:C,0))</f>
        <v>TD</v>
      </c>
      <c r="AO378" s="26" t="str">
        <f>+INDEX(Parametria!J:J,MATCH(Tabla_Consulta_desde_Reporte_de_Valorización_de_Instrumentos[[#This Row],[CODIGO_SBS]],Parametria!C:C,0))</f>
        <v>RVITD</v>
      </c>
      <c r="AP378" s="26">
        <f>Tabla_Consulta_desde_Reporte_de_Valorización_de_Instrumentos[[#This Row],[Huella]]/$AU$4</f>
        <v>5.0293634064300556E-3</v>
      </c>
      <c r="AQ378" s="26" t="str">
        <f>IFERROR(INDEX('BD(MSCI)'!W:W,MATCH(Tabla_Consulta_desde_Reporte_de_Valorización_de_Instrumentos[[#This Row],[CODIGO_ISIN]],'BD(MSCI)'!C:C,0)),IF(Tabla_Consulta_desde_Reporte_de_Valorización_de_Instrumentos[[#This Row],[Rank_rt]]="Cash","Cash","Cuestionario Integra"))</f>
        <v>ETF</v>
      </c>
      <c r="AR378" s="26" t="str">
        <f>IFERROR(INDEX('BD(MSCI)'!X:X,MATCH(Tabla_Consulta_desde_Reporte_de_Valorización_de_Instrumentos[[#This Row],[CODIGO_ISIN]],'BD(MSCI)'!C:C,0)),"Cuestionario Integra")</f>
        <v>Otros ETFs</v>
      </c>
      <c r="AU378" s="26"/>
    </row>
    <row r="379" spans="2:47" hidden="1" x14ac:dyDescent="0.25">
      <c r="B379" s="14" t="s">
        <v>6390</v>
      </c>
      <c r="C379" t="s">
        <v>586</v>
      </c>
      <c r="D379" t="s">
        <v>11</v>
      </c>
      <c r="E379" t="s">
        <v>587</v>
      </c>
      <c r="F379" t="s">
        <v>1387</v>
      </c>
      <c r="G379" t="str">
        <f>INDEX(Parametria!H:H,MATCH(Tabla_Consulta_desde_Reporte_de_Valorización_de_Instrumentos[[#This Row],[CODIGO_SBS]],Parametria!C:C,0),1)</f>
        <v>State Street - S&amp;P Metals &amp; Mining ETF</v>
      </c>
      <c r="H379" t="s">
        <v>1386</v>
      </c>
      <c r="I379" t="s">
        <v>156</v>
      </c>
      <c r="J379" t="s">
        <v>715</v>
      </c>
      <c r="K379" t="s">
        <v>50</v>
      </c>
      <c r="L379">
        <v>24.54</v>
      </c>
      <c r="M379" s="5">
        <v>42134964.729000002</v>
      </c>
      <c r="N379">
        <v>12536810</v>
      </c>
      <c r="O379">
        <v>121000</v>
      </c>
      <c r="P379" s="15"/>
      <c r="R379">
        <v>3.3609</v>
      </c>
      <c r="S379" t="s">
        <v>428</v>
      </c>
      <c r="T379">
        <v>42611976.858000003</v>
      </c>
      <c r="U379" s="5">
        <v>12672330</v>
      </c>
      <c r="V379" t="s">
        <v>156</v>
      </c>
      <c r="W379">
        <v>0</v>
      </c>
      <c r="X379">
        <v>0</v>
      </c>
      <c r="Y379">
        <v>0</v>
      </c>
      <c r="Z379">
        <v>-1.1200000000000001</v>
      </c>
      <c r="AA379" t="str">
        <f>+MID(Tabla_Consulta_desde_Reporte_de_Valorización_de_Instrumentos[[#This Row],[CODIGO_SBS]],7,1)</f>
        <v>2</v>
      </c>
      <c r="AB379">
        <f>INDEX('Cálculo Caja'!F:F,MATCH(Tabla_Consulta_desde_Reporte_de_Valorización_de_Instrumentos[[#This Row],[PORTAFOLIO]],'Cálculo Caja'!A:A,0),1)</f>
        <v>3164069580.822104</v>
      </c>
      <c r="AC379" s="17">
        <f>Tabla_Consulta_desde_Reporte_de_Valorización_de_Instrumentos[[#This Row],[VALOR_VECTOR_LOCAL]]/Tabla_Consulta_desde_Reporte_de_Valorización_de_Instrumentos[[#This Row],[Patrimonio]]</f>
        <v>1.3316699792060922E-2</v>
      </c>
      <c r="AD379" s="4">
        <f>(Tabla_Consulta_desde_Reporte_de_Valorización_de_Instrumentos[[#This Row],[VALOR_VECTOR_LOCAL]]/INDEX('Tipo de Cambio'!$D:$D,MATCH("2",'Tipo de Cambio'!$E:$E,0),1))/1000000</f>
        <v>12.536809999999999</v>
      </c>
      <c r="AE379">
        <f>IF(Tabla_Consulta_desde_Reporte_de_Valorización_de_Instrumentos[[#This Row],[PORTAFOLIO]]="IN-FONDO0",Tabla_Consulta_desde_Reporte_de_Valorización_de_Instrumentos[[#This Row],[Inv MM$]],0)</f>
        <v>0</v>
      </c>
      <c r="AF379" s="26">
        <f>IF(Tabla_Consulta_desde_Reporte_de_Valorización_de_Instrumentos[[#This Row],[PORTAFOLIO]]="IN-FONDO1",Tabla_Consulta_desde_Reporte_de_Valorización_de_Instrumentos[[#This Row],[Inv MM$]],0)</f>
        <v>0</v>
      </c>
      <c r="AG379" s="26">
        <f>IF(Tabla_Consulta_desde_Reporte_de_Valorización_de_Instrumentos[[#This Row],[PORTAFOLIO]]="IN-FONDO2",Tabla_Consulta_desde_Reporte_de_Valorización_de_Instrumentos[[#This Row],[Inv MM$]],0)</f>
        <v>0</v>
      </c>
      <c r="AH379" s="26">
        <f>IF(Tabla_Consulta_desde_Reporte_de_Valorización_de_Instrumentos[[#This Row],[PORTAFOLIO]]="IN-FONDO3",Tabla_Consulta_desde_Reporte_de_Valorización_de_Instrumentos[[#This Row],[Inv MM$]],0)</f>
        <v>12.536809999999999</v>
      </c>
      <c r="AI37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53.856477999999996</v>
      </c>
      <c r="AJ379" s="26">
        <f>IFERROR(IFERROR(INDEX('BD(MSCI)'!$T:$T,MATCH(Tabla_Consulta_desde_Reporte_de_Valorización_de_Instrumentos[[#This Row],[CODIGO_ISIN]],'BD(MSCI)'!$C:$C,0),1),INDEX('BD(MSCI)'!$T:$T,MATCH(Tabla_Consulta_desde_Reporte_de_Valorización_de_Instrumentos[[#This Row],[CODIGO_SBS]],'BD(MSCI)'!$C:$C,0),1)),0)</f>
        <v>649.79570505000004</v>
      </c>
      <c r="AK379" s="26">
        <f>Tabla_Consulta_desde_Reporte_de_Valorización_de_Instrumentos[[#This Row],[C02-H]]*Tabla_Consulta_desde_Reporte_de_Valorización_de_Instrumentos[[#This Row],[Inv MM$]]</f>
        <v>8146.3652930278904</v>
      </c>
      <c r="AL379" s="26">
        <f>Tabla_Consulta_desde_Reporte_de_Valorización_de_Instrumentos[[#This Row],[C02-H]]*Tabla_Consulta_desde_Reporte_de_Valorización_de_Instrumentos[[#This Row],[Weight]]</f>
        <v>8.6531343303214161</v>
      </c>
      <c r="AM379" s="26" t="str">
        <f>INDEX(Parametria!G:G,MATCH(Tabla_Consulta_desde_Reporte_de_Valorización_de_Instrumentos[[#This Row],[CODIGO_SBS]],Parametria!C:C,0))</f>
        <v>52RVI</v>
      </c>
      <c r="AN379" s="26" t="str">
        <f>INDEX(Parametria!F:F,MATCH(Tabla_Consulta_desde_Reporte_de_Valorización_de_Instrumentos[[#This Row],[CODIGO_SBS]],Parametria!C:C,0))</f>
        <v>TD</v>
      </c>
      <c r="AO379" s="26" t="str">
        <f>+INDEX(Parametria!J:J,MATCH(Tabla_Consulta_desde_Reporte_de_Valorización_de_Instrumentos[[#This Row],[CODIGO_SBS]],Parametria!C:C,0))</f>
        <v>RVITD</v>
      </c>
      <c r="AP379" s="26">
        <f>Tabla_Consulta_desde_Reporte_de_Valorización_de_Instrumentos[[#This Row],[Huella]]/$AU$4</f>
        <v>0.7552069601801632</v>
      </c>
      <c r="AQ379" s="26" t="str">
        <f>IFERROR(INDEX('BD(MSCI)'!W:W,MATCH(Tabla_Consulta_desde_Reporte_de_Valorización_de_Instrumentos[[#This Row],[CODIGO_ISIN]],'BD(MSCI)'!C:C,0)),IF(Tabla_Consulta_desde_Reporte_de_Valorización_de_Instrumentos[[#This Row],[Rank_rt]]="Cash","Cash","Cuestionario Integra"))</f>
        <v>ETF</v>
      </c>
      <c r="AR379" s="26" t="str">
        <f>IFERROR(INDEX('BD(MSCI)'!X:X,MATCH(Tabla_Consulta_desde_Reporte_de_Valorización_de_Instrumentos[[#This Row],[CODIGO_ISIN]],'BD(MSCI)'!C:C,0)),"Cuestionario Integra")</f>
        <v>Otros ETFs</v>
      </c>
      <c r="AU379" s="26"/>
    </row>
    <row r="380" spans="2:47" hidden="1" x14ac:dyDescent="0.25">
      <c r="B380" s="14" t="s">
        <v>6390</v>
      </c>
      <c r="C380" t="s">
        <v>586</v>
      </c>
      <c r="D380" t="s">
        <v>11</v>
      </c>
      <c r="E380" t="s">
        <v>587</v>
      </c>
      <c r="F380" t="s">
        <v>1215</v>
      </c>
      <c r="G380" t="str">
        <f>INDEX(Parametria!H:H,MATCH(Tabla_Consulta_desde_Reporte_de_Valorización_de_Instrumentos[[#This Row],[CODIGO_SBS]],Parametria!C:C,0),1)</f>
        <v>State Street - Technology Select Sector</v>
      </c>
      <c r="H380" t="s">
        <v>1214</v>
      </c>
      <c r="I380" t="s">
        <v>156</v>
      </c>
      <c r="J380" t="s">
        <v>715</v>
      </c>
      <c r="K380" t="s">
        <v>50</v>
      </c>
      <c r="L380">
        <v>39.840000000000003</v>
      </c>
      <c r="M380" s="5">
        <v>87580247.913000003</v>
      </c>
      <c r="N380">
        <v>26058570</v>
      </c>
      <c r="O380">
        <v>181000</v>
      </c>
      <c r="P380" s="15"/>
      <c r="R380">
        <v>3.3609</v>
      </c>
      <c r="S380" t="s">
        <v>428</v>
      </c>
      <c r="T380">
        <v>88500975.546000004</v>
      </c>
      <c r="U380" s="5">
        <v>26319210</v>
      </c>
      <c r="V380" t="s">
        <v>156</v>
      </c>
      <c r="W380">
        <v>0</v>
      </c>
      <c r="X380">
        <v>0</v>
      </c>
      <c r="Y380">
        <v>0</v>
      </c>
      <c r="Z380">
        <v>-1.44</v>
      </c>
      <c r="AA380" t="str">
        <f>+MID(Tabla_Consulta_desde_Reporte_de_Valorización_de_Instrumentos[[#This Row],[CODIGO_SBS]],7,1)</f>
        <v>2</v>
      </c>
      <c r="AB380">
        <f>INDEX('Cálculo Caja'!F:F,MATCH(Tabla_Consulta_desde_Reporte_de_Valorización_de_Instrumentos[[#This Row],[PORTAFOLIO]],'Cálculo Caja'!A:A,0),1)</f>
        <v>3164069580.822104</v>
      </c>
      <c r="AC380" s="17">
        <f>Tabla_Consulta_desde_Reporte_de_Valorización_de_Instrumentos[[#This Row],[VALOR_VECTOR_LOCAL]]/Tabla_Consulta_desde_Reporte_de_Valorización_de_Instrumentos[[#This Row],[Patrimonio]]</f>
        <v>2.7679621347089491E-2</v>
      </c>
      <c r="AD380" s="4">
        <f>(Tabla_Consulta_desde_Reporte_de_Valorización_de_Instrumentos[[#This Row],[VALOR_VECTOR_LOCAL]]/INDEX('Tipo de Cambio'!$D:$D,MATCH("2",'Tipo de Cambio'!$E:$E,0),1))/1000000</f>
        <v>26.05857</v>
      </c>
      <c r="AE380">
        <f>IF(Tabla_Consulta_desde_Reporte_de_Valorización_de_Instrumentos[[#This Row],[PORTAFOLIO]]="IN-FONDO0",Tabla_Consulta_desde_Reporte_de_Valorización_de_Instrumentos[[#This Row],[Inv MM$]],0)</f>
        <v>0</v>
      </c>
      <c r="AF380" s="26">
        <f>IF(Tabla_Consulta_desde_Reporte_de_Valorización_de_Instrumentos[[#This Row],[PORTAFOLIO]]="IN-FONDO1",Tabla_Consulta_desde_Reporte_de_Valorización_de_Instrumentos[[#This Row],[Inv MM$]],0)</f>
        <v>0</v>
      </c>
      <c r="AG380" s="26">
        <f>IF(Tabla_Consulta_desde_Reporte_de_Valorización_de_Instrumentos[[#This Row],[PORTAFOLIO]]="IN-FONDO2",Tabla_Consulta_desde_Reporte_de_Valorización_de_Instrumentos[[#This Row],[Inv MM$]],0)</f>
        <v>0</v>
      </c>
      <c r="AH380" s="26">
        <f>IF(Tabla_Consulta_desde_Reporte_de_Valorización_de_Instrumentos[[#This Row],[PORTAFOLIO]]="IN-FONDO3",Tabla_Consulta_desde_Reporte_de_Valorización_de_Instrumentos[[#This Row],[Inv MM$]],0)</f>
        <v>26.05857</v>
      </c>
      <c r="AI38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277.8621</v>
      </c>
      <c r="AJ380" s="26">
        <f>IFERROR(IFERROR(INDEX('BD(MSCI)'!$T:$T,MATCH(Tabla_Consulta_desde_Reporte_de_Valorización_de_Instrumentos[[#This Row],[CODIGO_ISIN]],'BD(MSCI)'!$C:$C,0),1),INDEX('BD(MSCI)'!$T:$T,MATCH(Tabla_Consulta_desde_Reporte_de_Valorización_de_Instrumentos[[#This Row],[CODIGO_SBS]],'BD(MSCI)'!$C:$C,0),1)),0)</f>
        <v>3.3217791600000002</v>
      </c>
      <c r="AK380" s="26">
        <f>Tabla_Consulta_desde_Reporte_de_Valorización_de_Instrumentos[[#This Row],[C02-H]]*Tabla_Consulta_desde_Reporte_de_Valorización_de_Instrumentos[[#This Row],[Inv MM$]]</f>
        <v>86.560814765401204</v>
      </c>
      <c r="AL380" s="26">
        <f>Tabla_Consulta_desde_Reporte_de_Valorización_de_Instrumentos[[#This Row],[C02-H]]*Tabla_Consulta_desde_Reporte_de_Valorización_de_Instrumentos[[#This Row],[Weight]]</f>
        <v>9.1945589347453005E-2</v>
      </c>
      <c r="AM380" s="26" t="str">
        <f>INDEX(Parametria!G:G,MATCH(Tabla_Consulta_desde_Reporte_de_Valorización_de_Instrumentos[[#This Row],[CODIGO_SBS]],Parametria!C:C,0))</f>
        <v>52RVI</v>
      </c>
      <c r="AN380" s="26" t="str">
        <f>INDEX(Parametria!F:F,MATCH(Tabla_Consulta_desde_Reporte_de_Valorización_de_Instrumentos[[#This Row],[CODIGO_SBS]],Parametria!C:C,0))</f>
        <v>TD</v>
      </c>
      <c r="AO380" s="26" t="str">
        <f>+INDEX(Parametria!J:J,MATCH(Tabla_Consulta_desde_Reporte_de_Valorización_de_Instrumentos[[#This Row],[CODIGO_SBS]],Parametria!C:C,0))</f>
        <v>RVITD</v>
      </c>
      <c r="AP380" s="26">
        <f>Tabla_Consulta_desde_Reporte_de_Valorización_de_Instrumentos[[#This Row],[Huella]]/$AU$4</f>
        <v>8.0246008420031493E-3</v>
      </c>
      <c r="AQ380" s="26" t="str">
        <f>IFERROR(INDEX('BD(MSCI)'!W:W,MATCH(Tabla_Consulta_desde_Reporte_de_Valorización_de_Instrumentos[[#This Row],[CODIGO_ISIN]],'BD(MSCI)'!C:C,0)),IF(Tabla_Consulta_desde_Reporte_de_Valorización_de_Instrumentos[[#This Row],[Rank_rt]]="Cash","Cash","Cuestionario Integra"))</f>
        <v>ETF</v>
      </c>
      <c r="AR380" s="26" t="str">
        <f>IFERROR(INDEX('BD(MSCI)'!X:X,MATCH(Tabla_Consulta_desde_Reporte_de_Valorización_de_Instrumentos[[#This Row],[CODIGO_ISIN]],'BD(MSCI)'!C:C,0)),"Cuestionario Integra")</f>
        <v>Otros ETFs</v>
      </c>
      <c r="AU380" s="26"/>
    </row>
    <row r="381" spans="2:47" hidden="1" x14ac:dyDescent="0.25">
      <c r="B381" s="14" t="s">
        <v>6390</v>
      </c>
      <c r="C381" t="s">
        <v>586</v>
      </c>
      <c r="D381" t="s">
        <v>10</v>
      </c>
      <c r="E381" t="s">
        <v>587</v>
      </c>
      <c r="F381" t="s">
        <v>1215</v>
      </c>
      <c r="G381" t="str">
        <f>INDEX(Parametria!H:H,MATCH(Tabla_Consulta_desde_Reporte_de_Valorización_de_Instrumentos[[#This Row],[CODIGO_SBS]],Parametria!C:C,0),1)</f>
        <v>State Street - Technology Select Sector</v>
      </c>
      <c r="H381" t="s">
        <v>1214</v>
      </c>
      <c r="I381" t="s">
        <v>156</v>
      </c>
      <c r="J381" t="s">
        <v>715</v>
      </c>
      <c r="K381" t="s">
        <v>50</v>
      </c>
      <c r="L381">
        <v>39.840000000000003</v>
      </c>
      <c r="M381" s="5">
        <v>846286483.977</v>
      </c>
      <c r="N381">
        <v>251803530</v>
      </c>
      <c r="O381">
        <v>1749000</v>
      </c>
      <c r="P381" s="15"/>
      <c r="R381">
        <v>3.3609</v>
      </c>
      <c r="S381" t="s">
        <v>428</v>
      </c>
      <c r="T381">
        <v>855183459.83399999</v>
      </c>
      <c r="U381" s="5">
        <v>254322090</v>
      </c>
      <c r="V381" t="s">
        <v>156</v>
      </c>
      <c r="W381">
        <v>0</v>
      </c>
      <c r="X381">
        <v>0</v>
      </c>
      <c r="Y381">
        <v>0</v>
      </c>
      <c r="Z381">
        <v>-1.44</v>
      </c>
      <c r="AA381" t="str">
        <f>+MID(Tabla_Consulta_desde_Reporte_de_Valorización_de_Instrumentos[[#This Row],[CODIGO_SBS]],7,1)</f>
        <v>2</v>
      </c>
      <c r="AB381">
        <f>INDEX('Cálculo Caja'!F:F,MATCH(Tabla_Consulta_desde_Reporte_de_Valorización_de_Instrumentos[[#This Row],[PORTAFOLIO]],'Cálculo Caja'!A:A,0),1)</f>
        <v>26256910350.436607</v>
      </c>
      <c r="AC381" s="17">
        <f>Tabla_Consulta_desde_Reporte_de_Valorización_de_Instrumentos[[#This Row],[VALOR_VECTOR_LOCAL]]/Tabla_Consulta_desde_Reporte_de_Valorización_de_Instrumentos[[#This Row],[Patrimonio]]</f>
        <v>3.2231000246490449E-2</v>
      </c>
      <c r="AD381" s="4">
        <f>(Tabla_Consulta_desde_Reporte_de_Valorización_de_Instrumentos[[#This Row],[VALOR_VECTOR_LOCAL]]/INDEX('Tipo de Cambio'!$D:$D,MATCH("2",'Tipo de Cambio'!$E:$E,0),1))/1000000</f>
        <v>251.80352999999999</v>
      </c>
      <c r="AE381">
        <f>IF(Tabla_Consulta_desde_Reporte_de_Valorización_de_Instrumentos[[#This Row],[PORTAFOLIO]]="IN-FONDO0",Tabla_Consulta_desde_Reporte_de_Valorización_de_Instrumentos[[#This Row],[Inv MM$]],0)</f>
        <v>0</v>
      </c>
      <c r="AF381" s="26">
        <f>IF(Tabla_Consulta_desde_Reporte_de_Valorización_de_Instrumentos[[#This Row],[PORTAFOLIO]]="IN-FONDO1",Tabla_Consulta_desde_Reporte_de_Valorización_de_Instrumentos[[#This Row],[Inv MM$]],0)</f>
        <v>0</v>
      </c>
      <c r="AG381" s="26">
        <f>IF(Tabla_Consulta_desde_Reporte_de_Valorización_de_Instrumentos[[#This Row],[PORTAFOLIO]]="IN-FONDO2",Tabla_Consulta_desde_Reporte_de_Valorización_de_Instrumentos[[#This Row],[Inv MM$]],0)</f>
        <v>251.80352999999999</v>
      </c>
      <c r="AH381" s="26">
        <f>IF(Tabla_Consulta_desde_Reporte_de_Valorización_de_Instrumentos[[#This Row],[PORTAFOLIO]]="IN-FONDO3",Tabla_Consulta_desde_Reporte_de_Valorización_de_Instrumentos[[#This Row],[Inv MM$]],0)</f>
        <v>0</v>
      </c>
      <c r="AI38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277.8621</v>
      </c>
      <c r="AJ381" s="26">
        <f>IFERROR(IFERROR(INDEX('BD(MSCI)'!$T:$T,MATCH(Tabla_Consulta_desde_Reporte_de_Valorización_de_Instrumentos[[#This Row],[CODIGO_ISIN]],'BD(MSCI)'!$C:$C,0),1),INDEX('BD(MSCI)'!$T:$T,MATCH(Tabla_Consulta_desde_Reporte_de_Valorización_de_Instrumentos[[#This Row],[CODIGO_SBS]],'BD(MSCI)'!$C:$C,0),1)),0)</f>
        <v>3.3217791600000002</v>
      </c>
      <c r="AK381" s="26">
        <f>Tabla_Consulta_desde_Reporte_de_Valorización_de_Instrumentos[[#This Row],[C02-H]]*Tabla_Consulta_desde_Reporte_de_Valorización_de_Instrumentos[[#This Row],[Inv MM$]]</f>
        <v>836.43571836843478</v>
      </c>
      <c r="AL381" s="26">
        <f>Tabla_Consulta_desde_Reporte_de_Valorización_de_Instrumentos[[#This Row],[C02-H]]*Tabla_Consulta_desde_Reporte_de_Valorización_de_Instrumentos[[#This Row],[Weight]]</f>
        <v>0.10706426492474684</v>
      </c>
      <c r="AM381" s="26" t="str">
        <f>INDEX(Parametria!G:G,MATCH(Tabla_Consulta_desde_Reporte_de_Valorización_de_Instrumentos[[#This Row],[CODIGO_SBS]],Parametria!C:C,0))</f>
        <v>52RVI</v>
      </c>
      <c r="AN381" s="26" t="str">
        <f>INDEX(Parametria!F:F,MATCH(Tabla_Consulta_desde_Reporte_de_Valorización_de_Instrumentos[[#This Row],[CODIGO_SBS]],Parametria!C:C,0))</f>
        <v>TD</v>
      </c>
      <c r="AO381" s="26" t="str">
        <f>+INDEX(Parametria!J:J,MATCH(Tabla_Consulta_desde_Reporte_de_Valorización_de_Instrumentos[[#This Row],[CODIGO_SBS]],Parametria!C:C,0))</f>
        <v>RVITD</v>
      </c>
      <c r="AP381" s="26">
        <f>Tabla_Consulta_desde_Reporte_de_Valorización_de_Instrumentos[[#This Row],[Huella]]/$AU$4</f>
        <v>7.7541584931842572E-2</v>
      </c>
      <c r="AQ381" s="26" t="str">
        <f>IFERROR(INDEX('BD(MSCI)'!W:W,MATCH(Tabla_Consulta_desde_Reporte_de_Valorización_de_Instrumentos[[#This Row],[CODIGO_ISIN]],'BD(MSCI)'!C:C,0)),IF(Tabla_Consulta_desde_Reporte_de_Valorización_de_Instrumentos[[#This Row],[Rank_rt]]="Cash","Cash","Cuestionario Integra"))</f>
        <v>ETF</v>
      </c>
      <c r="AR381" s="26" t="str">
        <f>IFERROR(INDEX('BD(MSCI)'!X:X,MATCH(Tabla_Consulta_desde_Reporte_de_Valorización_de_Instrumentos[[#This Row],[CODIGO_ISIN]],'BD(MSCI)'!C:C,0)),"Cuestionario Integra")</f>
        <v>Otros ETFs</v>
      </c>
      <c r="AU381" s="26"/>
    </row>
    <row r="382" spans="2:47" hidden="1" x14ac:dyDescent="0.25">
      <c r="B382" s="14" t="s">
        <v>6390</v>
      </c>
      <c r="C382" t="s">
        <v>586</v>
      </c>
      <c r="D382" t="s">
        <v>10</v>
      </c>
      <c r="E382" t="s">
        <v>587</v>
      </c>
      <c r="F382" t="s">
        <v>1387</v>
      </c>
      <c r="G382" t="str">
        <f>INDEX(Parametria!H:H,MATCH(Tabla_Consulta_desde_Reporte_de_Valorización_de_Instrumentos[[#This Row],[CODIGO_SBS]],Parametria!C:C,0),1)</f>
        <v>State Street - S&amp;P Metals &amp; Mining ETF</v>
      </c>
      <c r="H382" t="s">
        <v>1386</v>
      </c>
      <c r="I382" t="s">
        <v>156</v>
      </c>
      <c r="J382" t="s">
        <v>715</v>
      </c>
      <c r="K382" t="s">
        <v>50</v>
      </c>
      <c r="L382">
        <v>24.54</v>
      </c>
      <c r="M382" s="5">
        <v>127414740.4491</v>
      </c>
      <c r="N382">
        <v>37910899</v>
      </c>
      <c r="O382">
        <v>365900</v>
      </c>
      <c r="P382" s="15"/>
      <c r="R382">
        <v>3.3609</v>
      </c>
      <c r="S382" t="s">
        <v>428</v>
      </c>
      <c r="T382">
        <v>128857209.3582</v>
      </c>
      <c r="U382" s="5">
        <v>38320707</v>
      </c>
      <c r="V382" t="s">
        <v>156</v>
      </c>
      <c r="W382">
        <v>0</v>
      </c>
      <c r="X382">
        <v>0</v>
      </c>
      <c r="Y382">
        <v>0</v>
      </c>
      <c r="Z382">
        <v>-1.1200000000000001</v>
      </c>
      <c r="AA382" t="str">
        <f>+MID(Tabla_Consulta_desde_Reporte_de_Valorización_de_Instrumentos[[#This Row],[CODIGO_SBS]],7,1)</f>
        <v>2</v>
      </c>
      <c r="AB382">
        <f>INDEX('Cálculo Caja'!F:F,MATCH(Tabla_Consulta_desde_Reporte_de_Valorización_de_Instrumentos[[#This Row],[PORTAFOLIO]],'Cálculo Caja'!A:A,0),1)</f>
        <v>26256910350.436607</v>
      </c>
      <c r="AC382" s="17">
        <f>Tabla_Consulta_desde_Reporte_de_Valorización_de_Instrumentos[[#This Row],[VALOR_VECTOR_LOCAL]]/Tabla_Consulta_desde_Reporte_de_Valorización_de_Instrumentos[[#This Row],[Patrimonio]]</f>
        <v>4.8526174157037224E-3</v>
      </c>
      <c r="AD382" s="4">
        <f>(Tabla_Consulta_desde_Reporte_de_Valorización_de_Instrumentos[[#This Row],[VALOR_VECTOR_LOCAL]]/INDEX('Tipo de Cambio'!$D:$D,MATCH("2",'Tipo de Cambio'!$E:$E,0),1))/1000000</f>
        <v>37.910899000000001</v>
      </c>
      <c r="AE382">
        <f>IF(Tabla_Consulta_desde_Reporte_de_Valorización_de_Instrumentos[[#This Row],[PORTAFOLIO]]="IN-FONDO0",Tabla_Consulta_desde_Reporte_de_Valorización_de_Instrumentos[[#This Row],[Inv MM$]],0)</f>
        <v>0</v>
      </c>
      <c r="AF382" s="26">
        <f>IF(Tabla_Consulta_desde_Reporte_de_Valorización_de_Instrumentos[[#This Row],[PORTAFOLIO]]="IN-FONDO1",Tabla_Consulta_desde_Reporte_de_Valorización_de_Instrumentos[[#This Row],[Inv MM$]],0)</f>
        <v>0</v>
      </c>
      <c r="AG382" s="26">
        <f>IF(Tabla_Consulta_desde_Reporte_de_Valorización_de_Instrumentos[[#This Row],[PORTAFOLIO]]="IN-FONDO2",Tabla_Consulta_desde_Reporte_de_Valorización_de_Instrumentos[[#This Row],[Inv MM$]],0)</f>
        <v>37.910899000000001</v>
      </c>
      <c r="AH382" s="26">
        <f>IF(Tabla_Consulta_desde_Reporte_de_Valorización_de_Instrumentos[[#This Row],[PORTAFOLIO]]="IN-FONDO3",Tabla_Consulta_desde_Reporte_de_Valorización_de_Instrumentos[[#This Row],[Inv MM$]],0)</f>
        <v>0</v>
      </c>
      <c r="AI38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53.856477999999996</v>
      </c>
      <c r="AJ382" s="26">
        <f>IFERROR(IFERROR(INDEX('BD(MSCI)'!$T:$T,MATCH(Tabla_Consulta_desde_Reporte_de_Valorización_de_Instrumentos[[#This Row],[CODIGO_ISIN]],'BD(MSCI)'!$C:$C,0),1),INDEX('BD(MSCI)'!$T:$T,MATCH(Tabla_Consulta_desde_Reporte_de_Valorización_de_Instrumentos[[#This Row],[CODIGO_SBS]],'BD(MSCI)'!$C:$C,0),1)),0)</f>
        <v>649.79570505000004</v>
      </c>
      <c r="AK382" s="26">
        <f>Tabla_Consulta_desde_Reporte_de_Valorización_de_Instrumentos[[#This Row],[C02-H]]*Tabla_Consulta_desde_Reporte_de_Valorización_de_Instrumentos[[#This Row],[Inv MM$]]</f>
        <v>24634.339344784341</v>
      </c>
      <c r="AL382" s="26">
        <f>Tabla_Consulta_desde_Reporte_de_Valorización_de_Instrumentos[[#This Row],[C02-H]]*Tabla_Consulta_desde_Reporte_de_Valorización_de_Instrumentos[[#This Row],[Weight]]</f>
        <v>3.1532099549751096</v>
      </c>
      <c r="AM382" s="26" t="str">
        <f>INDEX(Parametria!G:G,MATCH(Tabla_Consulta_desde_Reporte_de_Valorización_de_Instrumentos[[#This Row],[CODIGO_SBS]],Parametria!C:C,0))</f>
        <v>52RVI</v>
      </c>
      <c r="AN382" s="26" t="str">
        <f>INDEX(Parametria!F:F,MATCH(Tabla_Consulta_desde_Reporte_de_Valorización_de_Instrumentos[[#This Row],[CODIGO_SBS]],Parametria!C:C,0))</f>
        <v>TD</v>
      </c>
      <c r="AO382" s="26" t="str">
        <f>+INDEX(Parametria!J:J,MATCH(Tabla_Consulta_desde_Reporte_de_Valorización_de_Instrumentos[[#This Row],[CODIGO_SBS]],Parametria!C:C,0))</f>
        <v>RVITD</v>
      </c>
      <c r="AP382" s="26">
        <f>Tabla_Consulta_desde_Reporte_de_Valorización_de_Instrumentos[[#This Row],[Huella]]/$AU$4</f>
        <v>2.2837208820654689</v>
      </c>
      <c r="AQ382" s="26" t="str">
        <f>IFERROR(INDEX('BD(MSCI)'!W:W,MATCH(Tabla_Consulta_desde_Reporte_de_Valorización_de_Instrumentos[[#This Row],[CODIGO_ISIN]],'BD(MSCI)'!C:C,0)),IF(Tabla_Consulta_desde_Reporte_de_Valorización_de_Instrumentos[[#This Row],[Rank_rt]]="Cash","Cash","Cuestionario Integra"))</f>
        <v>ETF</v>
      </c>
      <c r="AR382" s="26" t="str">
        <f>IFERROR(INDEX('BD(MSCI)'!X:X,MATCH(Tabla_Consulta_desde_Reporte_de_Valorización_de_Instrumentos[[#This Row],[CODIGO_ISIN]],'BD(MSCI)'!C:C,0)),"Cuestionario Integra")</f>
        <v>Otros ETFs</v>
      </c>
      <c r="AU382" s="26"/>
    </row>
    <row r="383" spans="2:47" hidden="1" x14ac:dyDescent="0.25">
      <c r="B383" s="14" t="s">
        <v>6390</v>
      </c>
      <c r="C383" t="s">
        <v>586</v>
      </c>
      <c r="D383" t="s">
        <v>12</v>
      </c>
      <c r="E383" t="s">
        <v>587</v>
      </c>
      <c r="F383" t="s">
        <v>1387</v>
      </c>
      <c r="G383" t="str">
        <f>INDEX(Parametria!H:H,MATCH(Tabla_Consulta_desde_Reporte_de_Valorización_de_Instrumentos[[#This Row],[CODIGO_SBS]],Parametria!C:C,0),1)</f>
        <v>State Street - S&amp;P Metals &amp; Mining ETF</v>
      </c>
      <c r="H383" t="s">
        <v>1386</v>
      </c>
      <c r="I383" t="s">
        <v>156</v>
      </c>
      <c r="J383" t="s">
        <v>715</v>
      </c>
      <c r="K383" t="s">
        <v>50</v>
      </c>
      <c r="L383">
        <v>24.54</v>
      </c>
      <c r="M383" s="5">
        <v>11456531.732100001</v>
      </c>
      <c r="N383">
        <v>3408769</v>
      </c>
      <c r="O383">
        <v>32900</v>
      </c>
      <c r="P383" s="15"/>
      <c r="R383">
        <v>3.3609</v>
      </c>
      <c r="S383" t="s">
        <v>428</v>
      </c>
      <c r="T383">
        <v>11586231.724199999</v>
      </c>
      <c r="U383" s="5">
        <v>3445617</v>
      </c>
      <c r="V383" t="s">
        <v>156</v>
      </c>
      <c r="W383">
        <v>0</v>
      </c>
      <c r="X383">
        <v>0</v>
      </c>
      <c r="Y383">
        <v>0</v>
      </c>
      <c r="Z383">
        <v>-1.1200000000000001</v>
      </c>
      <c r="AA383" t="str">
        <f>+MID(Tabla_Consulta_desde_Reporte_de_Valorización_de_Instrumentos[[#This Row],[CODIGO_SBS]],7,1)</f>
        <v>2</v>
      </c>
      <c r="AB383">
        <f>INDEX('Cálculo Caja'!F:F,MATCH(Tabla_Consulta_desde_Reporte_de_Valorización_de_Instrumentos[[#This Row],[PORTAFOLIO]],'Cálculo Caja'!A:A,0),1)</f>
        <v>7679510866.0565634</v>
      </c>
      <c r="AC383" s="17">
        <f>Tabla_Consulta_desde_Reporte_de_Valorización_de_Instrumentos[[#This Row],[VALOR_VECTOR_LOCAL]]/Tabla_Consulta_desde_Reporte_de_Valorización_de_Instrumentos[[#This Row],[Patrimonio]]</f>
        <v>1.491830916307166E-3</v>
      </c>
      <c r="AD383" s="4">
        <f>(Tabla_Consulta_desde_Reporte_de_Valorización_de_Instrumentos[[#This Row],[VALOR_VECTOR_LOCAL]]/INDEX('Tipo de Cambio'!$D:$D,MATCH("2",'Tipo de Cambio'!$E:$E,0),1))/1000000</f>
        <v>3.4087689999999999</v>
      </c>
      <c r="AE383">
        <f>IF(Tabla_Consulta_desde_Reporte_de_Valorización_de_Instrumentos[[#This Row],[PORTAFOLIO]]="IN-FONDO0",Tabla_Consulta_desde_Reporte_de_Valorización_de_Instrumentos[[#This Row],[Inv MM$]],0)</f>
        <v>0</v>
      </c>
      <c r="AF383" s="26">
        <f>IF(Tabla_Consulta_desde_Reporte_de_Valorización_de_Instrumentos[[#This Row],[PORTAFOLIO]]="IN-FONDO1",Tabla_Consulta_desde_Reporte_de_Valorización_de_Instrumentos[[#This Row],[Inv MM$]],0)</f>
        <v>3.4087689999999999</v>
      </c>
      <c r="AG383" s="26">
        <f>IF(Tabla_Consulta_desde_Reporte_de_Valorización_de_Instrumentos[[#This Row],[PORTAFOLIO]]="IN-FONDO2",Tabla_Consulta_desde_Reporte_de_Valorización_de_Instrumentos[[#This Row],[Inv MM$]],0)</f>
        <v>0</v>
      </c>
      <c r="AH383" s="26">
        <f>IF(Tabla_Consulta_desde_Reporte_de_Valorización_de_Instrumentos[[#This Row],[PORTAFOLIO]]="IN-FONDO3",Tabla_Consulta_desde_Reporte_de_Valorización_de_Instrumentos[[#This Row],[Inv MM$]],0)</f>
        <v>0</v>
      </c>
      <c r="AI38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53.856477999999996</v>
      </c>
      <c r="AJ383" s="26">
        <f>IFERROR(IFERROR(INDEX('BD(MSCI)'!$T:$T,MATCH(Tabla_Consulta_desde_Reporte_de_Valorización_de_Instrumentos[[#This Row],[CODIGO_ISIN]],'BD(MSCI)'!$C:$C,0),1),INDEX('BD(MSCI)'!$T:$T,MATCH(Tabla_Consulta_desde_Reporte_de_Valorización_de_Instrumentos[[#This Row],[CODIGO_SBS]],'BD(MSCI)'!$C:$C,0),1)),0)</f>
        <v>649.79570505000004</v>
      </c>
      <c r="AK383" s="26">
        <f>Tabla_Consulta_desde_Reporte_de_Valorización_de_Instrumentos[[#This Row],[C02-H]]*Tabla_Consulta_desde_Reporte_de_Valorización_de_Instrumentos[[#This Row],[Inv MM$]]</f>
        <v>2215.0034557075837</v>
      </c>
      <c r="AL383" s="26">
        <f>Tabla_Consulta_desde_Reporte_de_Valorización_de_Instrumentos[[#This Row],[C02-H]]*Tabla_Consulta_desde_Reporte_de_Valorización_de_Instrumentos[[#This Row],[Weight]]</f>
        <v>0.96938532207720252</v>
      </c>
      <c r="AM383" s="26" t="str">
        <f>INDEX(Parametria!G:G,MATCH(Tabla_Consulta_desde_Reporte_de_Valorización_de_Instrumentos[[#This Row],[CODIGO_SBS]],Parametria!C:C,0))</f>
        <v>52RVI</v>
      </c>
      <c r="AN383" s="26" t="str">
        <f>INDEX(Parametria!F:F,MATCH(Tabla_Consulta_desde_Reporte_de_Valorización_de_Instrumentos[[#This Row],[CODIGO_SBS]],Parametria!C:C,0))</f>
        <v>TD</v>
      </c>
      <c r="AO383" s="26" t="str">
        <f>+INDEX(Parametria!J:J,MATCH(Tabla_Consulta_desde_Reporte_de_Valorización_de_Instrumentos[[#This Row],[CODIGO_SBS]],Parametria!C:C,0))</f>
        <v>RVITD</v>
      </c>
      <c r="AP383" s="26">
        <f>Tabla_Consulta_desde_Reporte_de_Valorización_de_Instrumentos[[#This Row],[Huella]]/$AU$4</f>
        <v>0.20534139661097003</v>
      </c>
      <c r="AQ383" s="26" t="str">
        <f>IFERROR(INDEX('BD(MSCI)'!W:W,MATCH(Tabla_Consulta_desde_Reporte_de_Valorización_de_Instrumentos[[#This Row],[CODIGO_ISIN]],'BD(MSCI)'!C:C,0)),IF(Tabla_Consulta_desde_Reporte_de_Valorización_de_Instrumentos[[#This Row],[Rank_rt]]="Cash","Cash","Cuestionario Integra"))</f>
        <v>ETF</v>
      </c>
      <c r="AR383" s="26" t="str">
        <f>IFERROR(INDEX('BD(MSCI)'!X:X,MATCH(Tabla_Consulta_desde_Reporte_de_Valorización_de_Instrumentos[[#This Row],[CODIGO_ISIN]],'BD(MSCI)'!C:C,0)),"Cuestionario Integra")</f>
        <v>Otros ETFs</v>
      </c>
      <c r="AU383" s="26"/>
    </row>
    <row r="384" spans="2:47" hidden="1" x14ac:dyDescent="0.25">
      <c r="B384" s="14" t="s">
        <v>6390</v>
      </c>
      <c r="C384" t="s">
        <v>586</v>
      </c>
      <c r="D384" t="s">
        <v>11</v>
      </c>
      <c r="E384" t="s">
        <v>587</v>
      </c>
      <c r="F384" t="s">
        <v>720</v>
      </c>
      <c r="G384" t="str">
        <f>INDEX(Parametria!H:H,MATCH(Tabla_Consulta_desde_Reporte_de_Valorización_de_Instrumentos[[#This Row],[CODIGO_SBS]],Parametria!C:C,0),1)</f>
        <v>UBS - China Opportunity - A3</v>
      </c>
      <c r="H384" t="s">
        <v>721</v>
      </c>
      <c r="I384" t="s">
        <v>156</v>
      </c>
      <c r="J384" t="s">
        <v>722</v>
      </c>
      <c r="K384" t="s">
        <v>50</v>
      </c>
      <c r="L384">
        <v>92.31</v>
      </c>
      <c r="M384" s="5">
        <v>325.738428</v>
      </c>
      <c r="N384">
        <v>96.92</v>
      </c>
      <c r="O384">
        <v>1</v>
      </c>
      <c r="P384" s="15"/>
      <c r="R384">
        <v>3.3609</v>
      </c>
      <c r="S384" t="s">
        <v>428</v>
      </c>
      <c r="T384">
        <v>326.81109400000003</v>
      </c>
      <c r="U384" s="5">
        <v>97.19</v>
      </c>
      <c r="V384" t="s">
        <v>156</v>
      </c>
      <c r="W384">
        <v>0</v>
      </c>
      <c r="X384">
        <v>0</v>
      </c>
      <c r="Y384">
        <v>0</v>
      </c>
      <c r="Z384">
        <v>-0.27</v>
      </c>
      <c r="AA384" t="str">
        <f>+MID(Tabla_Consulta_desde_Reporte_de_Valorización_de_Instrumentos[[#This Row],[CODIGO_SBS]],7,1)</f>
        <v>2</v>
      </c>
      <c r="AB384">
        <f>INDEX('Cálculo Caja'!F:F,MATCH(Tabla_Consulta_desde_Reporte_de_Valorización_de_Instrumentos[[#This Row],[PORTAFOLIO]],'Cálculo Caja'!A:A,0),1)</f>
        <v>3164069580.822104</v>
      </c>
      <c r="AC384" s="17">
        <f>Tabla_Consulta_desde_Reporte_de_Valorización_de_Instrumentos[[#This Row],[VALOR_VECTOR_LOCAL]]/Tabla_Consulta_desde_Reporte_de_Valorización_de_Instrumentos[[#This Row],[Patrimonio]]</f>
        <v>1.029491987073701E-7</v>
      </c>
      <c r="AD384" s="4">
        <f>(Tabla_Consulta_desde_Reporte_de_Valorización_de_Instrumentos[[#This Row],[VALOR_VECTOR_LOCAL]]/INDEX('Tipo de Cambio'!$D:$D,MATCH("2",'Tipo de Cambio'!$E:$E,0),1))/1000000</f>
        <v>9.692E-5</v>
      </c>
      <c r="AE384">
        <f>IF(Tabla_Consulta_desde_Reporte_de_Valorización_de_Instrumentos[[#This Row],[PORTAFOLIO]]="IN-FONDO0",Tabla_Consulta_desde_Reporte_de_Valorización_de_Instrumentos[[#This Row],[Inv MM$]],0)</f>
        <v>0</v>
      </c>
      <c r="AF384" s="26">
        <f>IF(Tabla_Consulta_desde_Reporte_de_Valorización_de_Instrumentos[[#This Row],[PORTAFOLIO]]="IN-FONDO1",Tabla_Consulta_desde_Reporte_de_Valorización_de_Instrumentos[[#This Row],[Inv MM$]],0)</f>
        <v>0</v>
      </c>
      <c r="AG384" s="26">
        <f>IF(Tabla_Consulta_desde_Reporte_de_Valorización_de_Instrumentos[[#This Row],[PORTAFOLIO]]="IN-FONDO2",Tabla_Consulta_desde_Reporte_de_Valorización_de_Instrumentos[[#This Row],[Inv MM$]],0)</f>
        <v>0</v>
      </c>
      <c r="AH384" s="26">
        <f>IF(Tabla_Consulta_desde_Reporte_de_Valorización_de_Instrumentos[[#This Row],[PORTAFOLIO]]="IN-FONDO3",Tabla_Consulta_desde_Reporte_de_Valorización_de_Instrumentos[[#This Row],[Inv MM$]],0)</f>
        <v>9.692E-5</v>
      </c>
      <c r="AI38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1.9384E-4</v>
      </c>
      <c r="AJ384" s="26">
        <f>IFERROR(IFERROR(INDEX('BD(MSCI)'!$T:$T,MATCH(Tabla_Consulta_desde_Reporte_de_Valorización_de_Instrumentos[[#This Row],[CODIGO_ISIN]],'BD(MSCI)'!$C:$C,0),1),INDEX('BD(MSCI)'!$T:$T,MATCH(Tabla_Consulta_desde_Reporte_de_Valorización_de_Instrumentos[[#This Row],[CODIGO_SBS]],'BD(MSCI)'!$C:$C,0),1)),0)</f>
        <v>100.84136264</v>
      </c>
      <c r="AK384" s="26">
        <f>Tabla_Consulta_desde_Reporte_de_Valorización_de_Instrumentos[[#This Row],[C02-H]]*Tabla_Consulta_desde_Reporte_de_Valorización_de_Instrumentos[[#This Row],[Inv MM$]]</f>
        <v>9.7735448670688008E-3</v>
      </c>
      <c r="AL384" s="26">
        <f>Tabla_Consulta_desde_Reporte_de_Valorización_de_Instrumentos[[#This Row],[C02-H]]*Tabla_Consulta_desde_Reporte_de_Valorización_de_Instrumentos[[#This Row],[Weight]]</f>
        <v>1.0381537480347328E-5</v>
      </c>
      <c r="AM384" s="26" t="str">
        <f>INDEX(Parametria!G:G,MATCH(Tabla_Consulta_desde_Reporte_de_Valorización_de_Instrumentos[[#This Row],[CODIGO_SBS]],Parametria!C:C,0))</f>
        <v>52RVI</v>
      </c>
      <c r="AN384" s="26" t="str">
        <f>INDEX(Parametria!F:F,MATCH(Tabla_Consulta_desde_Reporte_de_Valorización_de_Instrumentos[[#This Row],[CODIGO_SBS]],Parametria!C:C,0))</f>
        <v>TD</v>
      </c>
      <c r="AO384" s="26" t="str">
        <f>+INDEX(Parametria!J:J,MATCH(Tabla_Consulta_desde_Reporte_de_Valorización_de_Instrumentos[[#This Row],[CODIGO_SBS]],Parametria!C:C,0))</f>
        <v>RVITD</v>
      </c>
      <c r="AP384" s="26">
        <f>Tabla_Consulta_desde_Reporte_de_Valorización_de_Instrumentos[[#This Row],[Huella]]/$AU$4</f>
        <v>9.0605427620101653E-7</v>
      </c>
      <c r="AQ384" s="26" t="str">
        <f>IFERROR(INDEX('BD(MSCI)'!W:W,MATCH(Tabla_Consulta_desde_Reporte_de_Valorización_de_Instrumentos[[#This Row],[CODIGO_ISIN]],'BD(MSCI)'!C:C,0)),IF(Tabla_Consulta_desde_Reporte_de_Valorización_de_Instrumentos[[#This Row],[Rank_rt]]="Cash","Cash","Cuestionario Integra"))</f>
        <v>ETF</v>
      </c>
      <c r="AR384" s="26" t="str">
        <f>IFERROR(INDEX('BD(MSCI)'!X:X,MATCH(Tabla_Consulta_desde_Reporte_de_Valorización_de_Instrumentos[[#This Row],[CODIGO_ISIN]],'BD(MSCI)'!C:C,0)),"Cuestionario Integra")</f>
        <v>Otros ETFs</v>
      </c>
      <c r="AU384" s="26"/>
    </row>
    <row r="385" spans="2:47" hidden="1" x14ac:dyDescent="0.25">
      <c r="B385" s="14" t="s">
        <v>6390</v>
      </c>
      <c r="C385" t="s">
        <v>586</v>
      </c>
      <c r="D385" t="s">
        <v>10</v>
      </c>
      <c r="E385" t="s">
        <v>587</v>
      </c>
      <c r="F385" t="s">
        <v>720</v>
      </c>
      <c r="G385" t="str">
        <f>INDEX(Parametria!H:H,MATCH(Tabla_Consulta_desde_Reporte_de_Valorización_de_Instrumentos[[#This Row],[CODIGO_SBS]],Parametria!C:C,0),1)</f>
        <v>UBS - China Opportunity - A3</v>
      </c>
      <c r="H385" t="s">
        <v>721</v>
      </c>
      <c r="I385" t="s">
        <v>156</v>
      </c>
      <c r="J385" t="s">
        <v>722</v>
      </c>
      <c r="K385" t="s">
        <v>50</v>
      </c>
      <c r="L385">
        <v>92.31</v>
      </c>
      <c r="M385" s="5">
        <v>325.738428</v>
      </c>
      <c r="N385">
        <v>96.92</v>
      </c>
      <c r="O385">
        <v>1</v>
      </c>
      <c r="P385" s="15"/>
      <c r="R385">
        <v>3.3609</v>
      </c>
      <c r="S385" t="s">
        <v>428</v>
      </c>
      <c r="T385">
        <v>326.81109400000003</v>
      </c>
      <c r="U385" s="5">
        <v>97.19</v>
      </c>
      <c r="V385" t="s">
        <v>156</v>
      </c>
      <c r="W385">
        <v>0</v>
      </c>
      <c r="X385">
        <v>0</v>
      </c>
      <c r="Y385">
        <v>0</v>
      </c>
      <c r="Z385">
        <v>-0.27</v>
      </c>
      <c r="AA385" t="str">
        <f>+MID(Tabla_Consulta_desde_Reporte_de_Valorización_de_Instrumentos[[#This Row],[CODIGO_SBS]],7,1)</f>
        <v>2</v>
      </c>
      <c r="AB385">
        <f>INDEX('Cálculo Caja'!F:F,MATCH(Tabla_Consulta_desde_Reporte_de_Valorización_de_Instrumentos[[#This Row],[PORTAFOLIO]],'Cálculo Caja'!A:A,0),1)</f>
        <v>26256910350.436607</v>
      </c>
      <c r="AC385" s="17">
        <f>Tabla_Consulta_desde_Reporte_de_Valorización_de_Instrumentos[[#This Row],[VALOR_VECTOR_LOCAL]]/Tabla_Consulta_desde_Reporte_de_Valorización_de_Instrumentos[[#This Row],[Patrimonio]]</f>
        <v>1.240581712214223E-8</v>
      </c>
      <c r="AD385" s="4">
        <f>(Tabla_Consulta_desde_Reporte_de_Valorización_de_Instrumentos[[#This Row],[VALOR_VECTOR_LOCAL]]/INDEX('Tipo de Cambio'!$D:$D,MATCH("2",'Tipo de Cambio'!$E:$E,0),1))/1000000</f>
        <v>9.692E-5</v>
      </c>
      <c r="AE385">
        <f>IF(Tabla_Consulta_desde_Reporte_de_Valorización_de_Instrumentos[[#This Row],[PORTAFOLIO]]="IN-FONDO0",Tabla_Consulta_desde_Reporte_de_Valorización_de_Instrumentos[[#This Row],[Inv MM$]],0)</f>
        <v>0</v>
      </c>
      <c r="AF385" s="26">
        <f>IF(Tabla_Consulta_desde_Reporte_de_Valorización_de_Instrumentos[[#This Row],[PORTAFOLIO]]="IN-FONDO1",Tabla_Consulta_desde_Reporte_de_Valorización_de_Instrumentos[[#This Row],[Inv MM$]],0)</f>
        <v>0</v>
      </c>
      <c r="AG385" s="26">
        <f>IF(Tabla_Consulta_desde_Reporte_de_Valorización_de_Instrumentos[[#This Row],[PORTAFOLIO]]="IN-FONDO2",Tabla_Consulta_desde_Reporte_de_Valorización_de_Instrumentos[[#This Row],[Inv MM$]],0)</f>
        <v>9.692E-5</v>
      </c>
      <c r="AH385" s="26">
        <f>IF(Tabla_Consulta_desde_Reporte_de_Valorización_de_Instrumentos[[#This Row],[PORTAFOLIO]]="IN-FONDO3",Tabla_Consulta_desde_Reporte_de_Valorización_de_Instrumentos[[#This Row],[Inv MM$]],0)</f>
        <v>0</v>
      </c>
      <c r="AI38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1.9384E-4</v>
      </c>
      <c r="AJ385" s="26">
        <f>IFERROR(IFERROR(INDEX('BD(MSCI)'!$T:$T,MATCH(Tabla_Consulta_desde_Reporte_de_Valorización_de_Instrumentos[[#This Row],[CODIGO_ISIN]],'BD(MSCI)'!$C:$C,0),1),INDEX('BD(MSCI)'!$T:$T,MATCH(Tabla_Consulta_desde_Reporte_de_Valorización_de_Instrumentos[[#This Row],[CODIGO_SBS]],'BD(MSCI)'!$C:$C,0),1)),0)</f>
        <v>100.84136264</v>
      </c>
      <c r="AK385" s="26">
        <f>Tabla_Consulta_desde_Reporte_de_Valorización_de_Instrumentos[[#This Row],[C02-H]]*Tabla_Consulta_desde_Reporte_de_Valorización_de_Instrumentos[[#This Row],[Inv MM$]]</f>
        <v>9.7735448670688008E-3</v>
      </c>
      <c r="AL385" s="26">
        <f>Tabla_Consulta_desde_Reporte_de_Valorización_de_Instrumentos[[#This Row],[C02-H]]*Tabla_Consulta_desde_Reporte_de_Valorización_de_Instrumentos[[#This Row],[Weight]]</f>
        <v>1.2510195032594658E-6</v>
      </c>
      <c r="AM385" s="26" t="str">
        <f>INDEX(Parametria!G:G,MATCH(Tabla_Consulta_desde_Reporte_de_Valorización_de_Instrumentos[[#This Row],[CODIGO_SBS]],Parametria!C:C,0))</f>
        <v>52RVI</v>
      </c>
      <c r="AN385" s="26" t="str">
        <f>INDEX(Parametria!F:F,MATCH(Tabla_Consulta_desde_Reporte_de_Valorización_de_Instrumentos[[#This Row],[CODIGO_SBS]],Parametria!C:C,0))</f>
        <v>TD</v>
      </c>
      <c r="AO385" s="26" t="str">
        <f>+INDEX(Parametria!J:J,MATCH(Tabla_Consulta_desde_Reporte_de_Valorización_de_Instrumentos[[#This Row],[CODIGO_SBS]],Parametria!C:C,0))</f>
        <v>RVITD</v>
      </c>
      <c r="AP385" s="26">
        <f>Tabla_Consulta_desde_Reporte_de_Valorización_de_Instrumentos[[#This Row],[Huella]]/$AU$4</f>
        <v>9.0605427620101653E-7</v>
      </c>
      <c r="AQ385" s="26" t="str">
        <f>IFERROR(INDEX('BD(MSCI)'!W:W,MATCH(Tabla_Consulta_desde_Reporte_de_Valorización_de_Instrumentos[[#This Row],[CODIGO_ISIN]],'BD(MSCI)'!C:C,0)),IF(Tabla_Consulta_desde_Reporte_de_Valorización_de_Instrumentos[[#This Row],[Rank_rt]]="Cash","Cash","Cuestionario Integra"))</f>
        <v>ETF</v>
      </c>
      <c r="AR385" s="26" t="str">
        <f>IFERROR(INDEX('BD(MSCI)'!X:X,MATCH(Tabla_Consulta_desde_Reporte_de_Valorización_de_Instrumentos[[#This Row],[CODIGO_ISIN]],'BD(MSCI)'!C:C,0)),"Cuestionario Integra")</f>
        <v>Otros ETFs</v>
      </c>
      <c r="AU385" s="26"/>
    </row>
    <row r="386" spans="2:47" hidden="1" x14ac:dyDescent="0.25">
      <c r="B386" s="14" t="s">
        <v>6390</v>
      </c>
      <c r="C386" t="s">
        <v>586</v>
      </c>
      <c r="D386" t="s">
        <v>10</v>
      </c>
      <c r="E386" t="s">
        <v>587</v>
      </c>
      <c r="F386" t="s">
        <v>1548</v>
      </c>
      <c r="G386" t="str">
        <f>INDEX(Parametria!H:H,MATCH(Tabla_Consulta_desde_Reporte_de_Valorización_de_Instrumentos[[#This Row],[CODIGO_SBS]],Parametria!C:C,0),1)</f>
        <v>VanEck Semiconductor ETF</v>
      </c>
      <c r="H386" t="s">
        <v>1547</v>
      </c>
      <c r="I386" t="s">
        <v>156</v>
      </c>
      <c r="J386" t="s">
        <v>4856</v>
      </c>
      <c r="K386" t="s">
        <v>50</v>
      </c>
      <c r="L386">
        <v>238.17</v>
      </c>
      <c r="M386" s="5">
        <v>1105906769.8629</v>
      </c>
      <c r="N386">
        <v>329050781</v>
      </c>
      <c r="O386">
        <v>913700</v>
      </c>
      <c r="P386" s="15"/>
      <c r="R386">
        <v>3.3609</v>
      </c>
      <c r="S386" t="s">
        <v>428</v>
      </c>
      <c r="T386">
        <v>1116236412.4222</v>
      </c>
      <c r="U386" s="5">
        <v>331956347</v>
      </c>
      <c r="V386" t="s">
        <v>156</v>
      </c>
      <c r="W386">
        <v>0</v>
      </c>
      <c r="X386">
        <v>0</v>
      </c>
      <c r="Y386">
        <v>0</v>
      </c>
      <c r="Z386">
        <v>-3.18</v>
      </c>
      <c r="AA386" t="str">
        <f>+MID(Tabla_Consulta_desde_Reporte_de_Valorización_de_Instrumentos[[#This Row],[CODIGO_SBS]],7,1)</f>
        <v>2</v>
      </c>
      <c r="AB386">
        <f>INDEX('Cálculo Caja'!F:F,MATCH(Tabla_Consulta_desde_Reporte_de_Valorización_de_Instrumentos[[#This Row],[PORTAFOLIO]],'Cálculo Caja'!A:A,0),1)</f>
        <v>26256910350.436607</v>
      </c>
      <c r="AC386" s="17">
        <f>Tabla_Consulta_desde_Reporte_de_Valorización_de_Instrumentos[[#This Row],[VALOR_VECTOR_LOCAL]]/Tabla_Consulta_desde_Reporte_de_Valorización_de_Instrumentos[[#This Row],[Patrimonio]]</f>
        <v>4.2118693902023038E-2</v>
      </c>
      <c r="AD386" s="4">
        <f>(Tabla_Consulta_desde_Reporte_de_Valorización_de_Instrumentos[[#This Row],[VALOR_VECTOR_LOCAL]]/INDEX('Tipo de Cambio'!$D:$D,MATCH("2",'Tipo de Cambio'!$E:$E,0),1))/1000000</f>
        <v>329.05078099999997</v>
      </c>
      <c r="AE386">
        <f>IF(Tabla_Consulta_desde_Reporte_de_Valorización_de_Instrumentos[[#This Row],[PORTAFOLIO]]="IN-FONDO0",Tabla_Consulta_desde_Reporte_de_Valorización_de_Instrumentos[[#This Row],[Inv MM$]],0)</f>
        <v>0</v>
      </c>
      <c r="AF386" s="26">
        <f>IF(Tabla_Consulta_desde_Reporte_de_Valorización_de_Instrumentos[[#This Row],[PORTAFOLIO]]="IN-FONDO1",Tabla_Consulta_desde_Reporte_de_Valorización_de_Instrumentos[[#This Row],[Inv MM$]],0)</f>
        <v>0</v>
      </c>
      <c r="AG386" s="26">
        <f>IF(Tabla_Consulta_desde_Reporte_de_Valorización_de_Instrumentos[[#This Row],[PORTAFOLIO]]="IN-FONDO2",Tabla_Consulta_desde_Reporte_de_Valorización_de_Instrumentos[[#This Row],[Inv MM$]],0)</f>
        <v>329.05078099999997</v>
      </c>
      <c r="AH386" s="26">
        <f>IF(Tabla_Consulta_desde_Reporte_de_Valorización_de_Instrumentos[[#This Row],[PORTAFOLIO]]="IN-FONDO3",Tabla_Consulta_desde_Reporte_de_Valorización_de_Instrumentos[[#This Row],[Inv MM$]],0)</f>
        <v>0</v>
      </c>
      <c r="AI38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432.3900845</v>
      </c>
      <c r="AJ386" s="26">
        <f>IFERROR(IFERROR(INDEX('BD(MSCI)'!$T:$T,MATCH(Tabla_Consulta_desde_Reporte_de_Valorización_de_Instrumentos[[#This Row],[CODIGO_ISIN]],'BD(MSCI)'!$C:$C,0),1),INDEX('BD(MSCI)'!$T:$T,MATCH(Tabla_Consulta_desde_Reporte_de_Valorización_de_Instrumentos[[#This Row],[CODIGO_SBS]],'BD(MSCI)'!$C:$C,0),1)),0)</f>
        <v>6.2709699299999997</v>
      </c>
      <c r="AK386" s="26">
        <f>Tabla_Consulta_desde_Reporte_de_Valorización_de_Instrumentos[[#This Row],[C02-H]]*Tabla_Consulta_desde_Reporte_de_Valorización_de_Instrumentos[[#This Row],[Inv MM$]]</f>
        <v>2063.4675530940149</v>
      </c>
      <c r="AL386" s="26">
        <f>Tabla_Consulta_desde_Reporte_de_Valorización_de_Instrumentos[[#This Row],[C02-H]]*Tabla_Consulta_desde_Reporte_de_Valorización_de_Instrumentos[[#This Row],[Weight]]</f>
        <v>0.26412506295046084</v>
      </c>
      <c r="AM386" s="26" t="str">
        <f>INDEX(Parametria!G:G,MATCH(Tabla_Consulta_desde_Reporte_de_Valorización_de_Instrumentos[[#This Row],[CODIGO_SBS]],Parametria!C:C,0))</f>
        <v>52RVI</v>
      </c>
      <c r="AN386" s="26" t="str">
        <f>INDEX(Parametria!F:F,MATCH(Tabla_Consulta_desde_Reporte_de_Valorización_de_Instrumentos[[#This Row],[CODIGO_SBS]],Parametria!C:C,0))</f>
        <v>TD</v>
      </c>
      <c r="AO386" s="26" t="str">
        <f>+INDEX(Parametria!J:J,MATCH(Tabla_Consulta_desde_Reporte_de_Valorización_de_Instrumentos[[#This Row],[CODIGO_SBS]],Parametria!C:C,0))</f>
        <v>RVITD</v>
      </c>
      <c r="AP386" s="26">
        <f>Tabla_Consulta_desde_Reporte_de_Valorización_de_Instrumentos[[#This Row],[Huella]]/$AU$4</f>
        <v>0.19129329488038652</v>
      </c>
      <c r="AQ386" s="26" t="str">
        <f>IFERROR(INDEX('BD(MSCI)'!W:W,MATCH(Tabla_Consulta_desde_Reporte_de_Valorización_de_Instrumentos[[#This Row],[CODIGO_ISIN]],'BD(MSCI)'!C:C,0)),IF(Tabla_Consulta_desde_Reporte_de_Valorización_de_Instrumentos[[#This Row],[Rank_rt]]="Cash","Cash","Cuestionario Integra"))</f>
        <v>ETF</v>
      </c>
      <c r="AR386" s="26" t="str">
        <f>IFERROR(INDEX('BD(MSCI)'!X:X,MATCH(Tabla_Consulta_desde_Reporte_de_Valorización_de_Instrumentos[[#This Row],[CODIGO_ISIN]],'BD(MSCI)'!C:C,0)),"Cuestionario Integra")</f>
        <v>Otros ETFs</v>
      </c>
      <c r="AU386" s="26"/>
    </row>
    <row r="387" spans="2:47" hidden="1" x14ac:dyDescent="0.25">
      <c r="B387" s="14" t="s">
        <v>6390</v>
      </c>
      <c r="C387" t="s">
        <v>586</v>
      </c>
      <c r="D387" t="s">
        <v>10</v>
      </c>
      <c r="E387" t="s">
        <v>587</v>
      </c>
      <c r="F387" t="s">
        <v>862</v>
      </c>
      <c r="G387" t="str">
        <f>INDEX(Parametria!H:H,MATCH(Tabla_Consulta_desde_Reporte_de_Valorización_de_Instrumentos[[#This Row],[CODIGO_SBS]],Parametria!C:C,0),1)</f>
        <v>VanEck - Gold Miners ETF</v>
      </c>
      <c r="H387" t="s">
        <v>863</v>
      </c>
      <c r="I387" t="s">
        <v>156</v>
      </c>
      <c r="J387" t="s">
        <v>4856</v>
      </c>
      <c r="K387" t="s">
        <v>50</v>
      </c>
      <c r="L387">
        <v>1</v>
      </c>
      <c r="M387" s="5">
        <v>380999048.2281</v>
      </c>
      <c r="N387">
        <v>113362209</v>
      </c>
      <c r="O387">
        <v>1321700</v>
      </c>
      <c r="P387" s="15"/>
      <c r="R387">
        <v>3.3609</v>
      </c>
      <c r="S387" t="s">
        <v>428</v>
      </c>
      <c r="T387">
        <v>385947216.79280001</v>
      </c>
      <c r="U387" s="5">
        <v>114776428</v>
      </c>
      <c r="V387" t="s">
        <v>156</v>
      </c>
      <c r="W387">
        <v>0</v>
      </c>
      <c r="X387">
        <v>0</v>
      </c>
      <c r="Y387">
        <v>0</v>
      </c>
      <c r="Z387">
        <v>-1.07</v>
      </c>
      <c r="AA387" t="str">
        <f>+MID(Tabla_Consulta_desde_Reporte_de_Valorización_de_Instrumentos[[#This Row],[CODIGO_SBS]],7,1)</f>
        <v>2</v>
      </c>
      <c r="AB387">
        <f>INDEX('Cálculo Caja'!F:F,MATCH(Tabla_Consulta_desde_Reporte_de_Valorización_de_Instrumentos[[#This Row],[PORTAFOLIO]],'Cálculo Caja'!A:A,0),1)</f>
        <v>26256910350.436607</v>
      </c>
      <c r="AC387" s="17">
        <f>Tabla_Consulta_desde_Reporte_de_Valorización_de_Instrumentos[[#This Row],[VALOR_VECTOR_LOCAL]]/Tabla_Consulta_desde_Reporte_de_Valorización_de_Instrumentos[[#This Row],[Patrimonio]]</f>
        <v>1.4510429564755118E-2</v>
      </c>
      <c r="AD387" s="4">
        <f>(Tabla_Consulta_desde_Reporte_de_Valorización_de_Instrumentos[[#This Row],[VALOR_VECTOR_LOCAL]]/INDEX('Tipo de Cambio'!$D:$D,MATCH("2",'Tipo de Cambio'!$E:$E,0),1))/1000000</f>
        <v>113.36220900000001</v>
      </c>
      <c r="AE387">
        <f>IF(Tabla_Consulta_desde_Reporte_de_Valorización_de_Instrumentos[[#This Row],[PORTAFOLIO]]="IN-FONDO0",Tabla_Consulta_desde_Reporte_de_Valorización_de_Instrumentos[[#This Row],[Inv MM$]],0)</f>
        <v>0</v>
      </c>
      <c r="AF387" s="26">
        <f>IF(Tabla_Consulta_desde_Reporte_de_Valorización_de_Instrumentos[[#This Row],[PORTAFOLIO]]="IN-FONDO1",Tabla_Consulta_desde_Reporte_de_Valorización_de_Instrumentos[[#This Row],[Inv MM$]],0)</f>
        <v>0</v>
      </c>
      <c r="AG387" s="26">
        <f>IF(Tabla_Consulta_desde_Reporte_de_Valorización_de_Instrumentos[[#This Row],[PORTAFOLIO]]="IN-FONDO2",Tabla_Consulta_desde_Reporte_de_Valorización_de_Instrumentos[[#This Row],[Inv MM$]],0)</f>
        <v>113.36220900000001</v>
      </c>
      <c r="AH387" s="26">
        <f>IF(Tabla_Consulta_desde_Reporte_de_Valorización_de_Instrumentos[[#This Row],[PORTAFOLIO]]="IN-FONDO3",Tabla_Consulta_desde_Reporte_de_Valorización_de_Instrumentos[[#This Row],[Inv MM$]],0)</f>
        <v>0</v>
      </c>
      <c r="AI38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145.94623200000001</v>
      </c>
      <c r="AJ387" s="26">
        <f>IFERROR(IFERROR(INDEX('BD(MSCI)'!$T:$T,MATCH(Tabla_Consulta_desde_Reporte_de_Valorización_de_Instrumentos[[#This Row],[CODIGO_ISIN]],'BD(MSCI)'!$C:$C,0),1),INDEX('BD(MSCI)'!$T:$T,MATCH(Tabla_Consulta_desde_Reporte_de_Valorización_de_Instrumentos[[#This Row],[CODIGO_SBS]],'BD(MSCI)'!$C:$C,0),1)),0)</f>
        <v>81.866171690000002</v>
      </c>
      <c r="AK387" s="26">
        <f>Tabla_Consulta_desde_Reporte_de_Valorización_de_Instrumentos[[#This Row],[C02-H]]*Tabla_Consulta_desde_Reporte_de_Valorización_de_Instrumentos[[#This Row],[Inv MM$]]</f>
        <v>9280.5300651516645</v>
      </c>
      <c r="AL387" s="26">
        <f>Tabla_Consulta_desde_Reporte_de_Valorización_de_Instrumentos[[#This Row],[C02-H]]*Tabla_Consulta_desde_Reporte_de_Valorización_de_Instrumentos[[#This Row],[Weight]]</f>
        <v>1.1879133180438946</v>
      </c>
      <c r="AM387" s="26" t="str">
        <f>INDEX(Parametria!G:G,MATCH(Tabla_Consulta_desde_Reporte_de_Valorización_de_Instrumentos[[#This Row],[CODIGO_SBS]],Parametria!C:C,0))</f>
        <v>52RVI</v>
      </c>
      <c r="AN387" s="26" t="str">
        <f>INDEX(Parametria!F:F,MATCH(Tabla_Consulta_desde_Reporte_de_Valorización_de_Instrumentos[[#This Row],[CODIGO_SBS]],Parametria!C:C,0))</f>
        <v>TD</v>
      </c>
      <c r="AO387" s="26" t="str">
        <f>+INDEX(Parametria!J:J,MATCH(Tabla_Consulta_desde_Reporte_de_Valorización_de_Instrumentos[[#This Row],[CODIGO_SBS]],Parametria!C:C,0))</f>
        <v>RVITD</v>
      </c>
      <c r="AP387" s="26">
        <f>Tabla_Consulta_desde_Reporte_de_Valorización_de_Instrumentos[[#This Row],[Huella]]/$AU$4</f>
        <v>0.86034945000100249</v>
      </c>
      <c r="AQ387" s="26" t="str">
        <f>IFERROR(INDEX('BD(MSCI)'!W:W,MATCH(Tabla_Consulta_desde_Reporte_de_Valorización_de_Instrumentos[[#This Row],[CODIGO_ISIN]],'BD(MSCI)'!C:C,0)),IF(Tabla_Consulta_desde_Reporte_de_Valorización_de_Instrumentos[[#This Row],[Rank_rt]]="Cash","Cash","Cuestionario Integra"))</f>
        <v>ETF</v>
      </c>
      <c r="AR387" s="26" t="str">
        <f>IFERROR(INDEX('BD(MSCI)'!X:X,MATCH(Tabla_Consulta_desde_Reporte_de_Valorización_de_Instrumentos[[#This Row],[CODIGO_ISIN]],'BD(MSCI)'!C:C,0)),"Cuestionario Integra")</f>
        <v>Otros ETFs</v>
      </c>
      <c r="AU387" s="26"/>
    </row>
    <row r="388" spans="2:47" hidden="1" x14ac:dyDescent="0.25">
      <c r="B388" s="14" t="s">
        <v>6390</v>
      </c>
      <c r="C388" t="s">
        <v>586</v>
      </c>
      <c r="D388" t="s">
        <v>10</v>
      </c>
      <c r="E388" t="s">
        <v>587</v>
      </c>
      <c r="F388" t="s">
        <v>723</v>
      </c>
      <c r="G388" t="str">
        <f>INDEX(Parametria!H:H,MATCH(Tabla_Consulta_desde_Reporte_de_Valorización_de_Instrumentos[[#This Row],[CODIGO_SBS]],Parametria!C:C,0),1)</f>
        <v>VanEck - JPM EM LC Bond ETF</v>
      </c>
      <c r="H388" t="s">
        <v>724</v>
      </c>
      <c r="I388" t="s">
        <v>156</v>
      </c>
      <c r="J388" t="s">
        <v>4856</v>
      </c>
      <c r="K388" t="s">
        <v>50</v>
      </c>
      <c r="L388">
        <v>1</v>
      </c>
      <c r="M388" s="5">
        <v>135166095.02880001</v>
      </c>
      <c r="N388">
        <v>40217232</v>
      </c>
      <c r="O388">
        <v>1557600</v>
      </c>
      <c r="P388" s="15"/>
      <c r="R388">
        <v>3.3609</v>
      </c>
      <c r="S388" t="s">
        <v>155</v>
      </c>
      <c r="T388">
        <v>135234464.32319999</v>
      </c>
      <c r="U388" s="5">
        <v>40217232</v>
      </c>
      <c r="V388" t="s">
        <v>156</v>
      </c>
      <c r="W388">
        <v>0</v>
      </c>
      <c r="X388">
        <v>0</v>
      </c>
      <c r="Y388">
        <v>0</v>
      </c>
      <c r="Z388">
        <v>0</v>
      </c>
      <c r="AA388" t="str">
        <f>+MID(Tabla_Consulta_desde_Reporte_de_Valorización_de_Instrumentos[[#This Row],[CODIGO_SBS]],7,1)</f>
        <v>2</v>
      </c>
      <c r="AB388">
        <f>INDEX('Cálculo Caja'!F:F,MATCH(Tabla_Consulta_desde_Reporte_de_Valorización_de_Instrumentos[[#This Row],[PORTAFOLIO]],'Cálculo Caja'!A:A,0),1)</f>
        <v>26256910350.436607</v>
      </c>
      <c r="AC388" s="17">
        <f>Tabla_Consulta_desde_Reporte_de_Valorización_de_Instrumentos[[#This Row],[VALOR_VECTOR_LOCAL]]/Tabla_Consulta_desde_Reporte_de_Valorización_de_Instrumentos[[#This Row],[Patrimonio]]</f>
        <v>5.1478293989967649E-3</v>
      </c>
      <c r="AD388" s="4">
        <f>(Tabla_Consulta_desde_Reporte_de_Valorización_de_Instrumentos[[#This Row],[VALOR_VECTOR_LOCAL]]/INDEX('Tipo de Cambio'!$D:$D,MATCH("2",'Tipo de Cambio'!$E:$E,0),1))/1000000</f>
        <v>40.217232000000003</v>
      </c>
      <c r="AE388">
        <f>IF(Tabla_Consulta_desde_Reporte_de_Valorización_de_Instrumentos[[#This Row],[PORTAFOLIO]]="IN-FONDO0",Tabla_Consulta_desde_Reporte_de_Valorización_de_Instrumentos[[#This Row],[Inv MM$]],0)</f>
        <v>0</v>
      </c>
      <c r="AF388" s="26">
        <f>IF(Tabla_Consulta_desde_Reporte_de_Valorización_de_Instrumentos[[#This Row],[PORTAFOLIO]]="IN-FONDO1",Tabla_Consulta_desde_Reporte_de_Valorización_de_Instrumentos[[#This Row],[Inv MM$]],0)</f>
        <v>0</v>
      </c>
      <c r="AG388" s="26">
        <f>IF(Tabla_Consulta_desde_Reporte_de_Valorización_de_Instrumentos[[#This Row],[PORTAFOLIO]]="IN-FONDO2",Tabla_Consulta_desde_Reporte_de_Valorización_de_Instrumentos[[#This Row],[Inv MM$]],0)</f>
        <v>40.217232000000003</v>
      </c>
      <c r="AH388" s="26">
        <f>IF(Tabla_Consulta_desde_Reporte_de_Valorización_de_Instrumentos[[#This Row],[PORTAFOLIO]]="IN-FONDO3",Tabla_Consulta_desde_Reporte_de_Valorización_de_Instrumentos[[#This Row],[Inv MM$]],0)</f>
        <v>0</v>
      </c>
      <c r="AI38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57.294580000000003</v>
      </c>
      <c r="AJ388" s="26">
        <f>IFERROR(IFERROR(INDEX('BD(MSCI)'!$T:$T,MATCH(Tabla_Consulta_desde_Reporte_de_Valorización_de_Instrumentos[[#This Row],[CODIGO_ISIN]],'BD(MSCI)'!$C:$C,0),1),INDEX('BD(MSCI)'!$T:$T,MATCH(Tabla_Consulta_desde_Reporte_de_Valorización_de_Instrumentos[[#This Row],[CODIGO_SBS]],'BD(MSCI)'!$C:$C,0),1)),0)</f>
        <v>10.65572682</v>
      </c>
      <c r="AK388" s="26">
        <f>Tabla_Consulta_desde_Reporte_de_Valorización_de_Instrumentos[[#This Row],[C02-H]]*Tabla_Consulta_desde_Reporte_de_Valorización_de_Instrumentos[[#This Row],[Inv MM$]]</f>
        <v>428.54383764856226</v>
      </c>
      <c r="AL388" s="26">
        <f>Tabla_Consulta_desde_Reporte_de_Valorización_de_Instrumentos[[#This Row],[C02-H]]*Tabla_Consulta_desde_Reporte_de_Valorización_de_Instrumentos[[#This Row],[Weight]]</f>
        <v>5.4853863791674305E-2</v>
      </c>
      <c r="AM388" s="26" t="str">
        <f>INDEX(Parametria!G:G,MATCH(Tabla_Consulta_desde_Reporte_de_Valorización_de_Instrumentos[[#This Row],[CODIGO_SBS]],Parametria!C:C,0))</f>
        <v>52RFIG</v>
      </c>
      <c r="AN388" s="26" t="str">
        <f>INDEX(Parametria!F:F,MATCH(Tabla_Consulta_desde_Reporte_de_Valorización_de_Instrumentos[[#This Row],[CODIGO_SBS]],Parametria!C:C,0))</f>
        <v>TD</v>
      </c>
      <c r="AO388" s="26" t="str">
        <f>+INDEX(Parametria!J:J,MATCH(Tabla_Consulta_desde_Reporte_de_Valorización_de_Instrumentos[[#This Row],[CODIGO_SBS]],Parametria!C:C,0))</f>
        <v>RFITD</v>
      </c>
      <c r="AP388" s="26">
        <f>Tabla_Consulta_desde_Reporte_de_Valorización_de_Instrumentos[[#This Row],[Huella]]/$AU$4</f>
        <v>3.9728059974366785E-2</v>
      </c>
      <c r="AQ388" s="26" t="str">
        <f>IFERROR(INDEX('BD(MSCI)'!W:W,MATCH(Tabla_Consulta_desde_Reporte_de_Valorización_de_Instrumentos[[#This Row],[CODIGO_ISIN]],'BD(MSCI)'!C:C,0)),IF(Tabla_Consulta_desde_Reporte_de_Valorización_de_Instrumentos[[#This Row],[Rank_rt]]="Cash","Cash","Cuestionario Integra"))</f>
        <v>ETF</v>
      </c>
      <c r="AR388" s="26" t="str">
        <f>IFERROR(INDEX('BD(MSCI)'!X:X,MATCH(Tabla_Consulta_desde_Reporte_de_Valorización_de_Instrumentos[[#This Row],[CODIGO_ISIN]],'BD(MSCI)'!C:C,0)),"Cuestionario Integra")</f>
        <v>Otros ETFs</v>
      </c>
      <c r="AU388" s="26"/>
    </row>
    <row r="389" spans="2:47" hidden="1" x14ac:dyDescent="0.25">
      <c r="B389" s="14" t="s">
        <v>6390</v>
      </c>
      <c r="C389" t="s">
        <v>586</v>
      </c>
      <c r="D389" t="s">
        <v>11</v>
      </c>
      <c r="E389" t="s">
        <v>587</v>
      </c>
      <c r="F389" t="s">
        <v>862</v>
      </c>
      <c r="G389" t="str">
        <f>INDEX(Parametria!H:H,MATCH(Tabla_Consulta_desde_Reporte_de_Valorización_de_Instrumentos[[#This Row],[CODIGO_SBS]],Parametria!C:C,0),1)</f>
        <v>VanEck - Gold Miners ETF</v>
      </c>
      <c r="H389" t="s">
        <v>863</v>
      </c>
      <c r="I389" t="s">
        <v>156</v>
      </c>
      <c r="J389" t="s">
        <v>4856</v>
      </c>
      <c r="K389" t="s">
        <v>50</v>
      </c>
      <c r="L389">
        <v>1</v>
      </c>
      <c r="M389" s="5">
        <v>78119650.503000006</v>
      </c>
      <c r="N389">
        <v>23243670</v>
      </c>
      <c r="O389">
        <v>271000</v>
      </c>
      <c r="P389" s="15"/>
      <c r="R389">
        <v>3.3609</v>
      </c>
      <c r="S389" t="s">
        <v>428</v>
      </c>
      <c r="T389">
        <v>79134217.863999993</v>
      </c>
      <c r="U389" s="5">
        <v>23533640</v>
      </c>
      <c r="V389" t="s">
        <v>156</v>
      </c>
      <c r="W389">
        <v>0</v>
      </c>
      <c r="X389">
        <v>0</v>
      </c>
      <c r="Y389">
        <v>0</v>
      </c>
      <c r="Z389">
        <v>-1.07</v>
      </c>
      <c r="AA389" t="str">
        <f>+MID(Tabla_Consulta_desde_Reporte_de_Valorización_de_Instrumentos[[#This Row],[CODIGO_SBS]],7,1)</f>
        <v>2</v>
      </c>
      <c r="AB389">
        <f>INDEX('Cálculo Caja'!F:F,MATCH(Tabla_Consulta_desde_Reporte_de_Valorización_de_Instrumentos[[#This Row],[PORTAFOLIO]],'Cálculo Caja'!A:A,0),1)</f>
        <v>3164069580.822104</v>
      </c>
      <c r="AC389" s="17">
        <f>Tabla_Consulta_desde_Reporte_de_Valorización_de_Instrumentos[[#This Row],[VALOR_VECTOR_LOCAL]]/Tabla_Consulta_desde_Reporte_de_Valorización_de_Instrumentos[[#This Row],[Patrimonio]]</f>
        <v>2.4689612066844176E-2</v>
      </c>
      <c r="AD389" s="4">
        <f>(Tabla_Consulta_desde_Reporte_de_Valorización_de_Instrumentos[[#This Row],[VALOR_VECTOR_LOCAL]]/INDEX('Tipo de Cambio'!$D:$D,MATCH("2",'Tipo de Cambio'!$E:$E,0),1))/1000000</f>
        <v>23.243670000000002</v>
      </c>
      <c r="AE389">
        <f>IF(Tabla_Consulta_desde_Reporte_de_Valorización_de_Instrumentos[[#This Row],[PORTAFOLIO]]="IN-FONDO0",Tabla_Consulta_desde_Reporte_de_Valorización_de_Instrumentos[[#This Row],[Inv MM$]],0)</f>
        <v>0</v>
      </c>
      <c r="AF389" s="26">
        <f>IF(Tabla_Consulta_desde_Reporte_de_Valorización_de_Instrumentos[[#This Row],[PORTAFOLIO]]="IN-FONDO1",Tabla_Consulta_desde_Reporte_de_Valorización_de_Instrumentos[[#This Row],[Inv MM$]],0)</f>
        <v>0</v>
      </c>
      <c r="AG389" s="26">
        <f>IF(Tabla_Consulta_desde_Reporte_de_Valorización_de_Instrumentos[[#This Row],[PORTAFOLIO]]="IN-FONDO2",Tabla_Consulta_desde_Reporte_de_Valorización_de_Instrumentos[[#This Row],[Inv MM$]],0)</f>
        <v>0</v>
      </c>
      <c r="AH389" s="26">
        <f>IF(Tabla_Consulta_desde_Reporte_de_Valorización_de_Instrumentos[[#This Row],[PORTAFOLIO]]="IN-FONDO3",Tabla_Consulta_desde_Reporte_de_Valorización_de_Instrumentos[[#This Row],[Inv MM$]],0)</f>
        <v>23.243670000000002</v>
      </c>
      <c r="AI38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145.94623200000001</v>
      </c>
      <c r="AJ389" s="26">
        <f>IFERROR(IFERROR(INDEX('BD(MSCI)'!$T:$T,MATCH(Tabla_Consulta_desde_Reporte_de_Valorización_de_Instrumentos[[#This Row],[CODIGO_ISIN]],'BD(MSCI)'!$C:$C,0),1),INDEX('BD(MSCI)'!$T:$T,MATCH(Tabla_Consulta_desde_Reporte_de_Valorización_de_Instrumentos[[#This Row],[CODIGO_SBS]],'BD(MSCI)'!$C:$C,0),1)),0)</f>
        <v>81.866171690000002</v>
      </c>
      <c r="AK389" s="26">
        <f>Tabla_Consulta_desde_Reporte_de_Valorización_de_Instrumentos[[#This Row],[C02-H]]*Tabla_Consulta_desde_Reporte_de_Valorización_de_Instrumentos[[#This Row],[Inv MM$]]</f>
        <v>1902.8702789257025</v>
      </c>
      <c r="AL389" s="26">
        <f>Tabla_Consulta_desde_Reporte_de_Valorización_de_Instrumentos[[#This Row],[C02-H]]*Tabla_Consulta_desde_Reporte_de_Valorización_de_Instrumentos[[#This Row],[Weight]]</f>
        <v>2.0212440204237612</v>
      </c>
      <c r="AM389" s="26" t="str">
        <f>INDEX(Parametria!G:G,MATCH(Tabla_Consulta_desde_Reporte_de_Valorización_de_Instrumentos[[#This Row],[CODIGO_SBS]],Parametria!C:C,0))</f>
        <v>52RVI</v>
      </c>
      <c r="AN389" s="26" t="str">
        <f>INDEX(Parametria!F:F,MATCH(Tabla_Consulta_desde_Reporte_de_Valorización_de_Instrumentos[[#This Row],[CODIGO_SBS]],Parametria!C:C,0))</f>
        <v>TD</v>
      </c>
      <c r="AO389" s="26" t="str">
        <f>+INDEX(Parametria!J:J,MATCH(Tabla_Consulta_desde_Reporte_de_Valorización_de_Instrumentos[[#This Row],[CODIGO_SBS]],Parametria!C:C,0))</f>
        <v>RVITD</v>
      </c>
      <c r="AP389" s="26">
        <f>Tabla_Consulta_desde_Reporte_de_Valorización_de_Instrumentos[[#This Row],[Huella]]/$AU$4</f>
        <v>0.17640516074016166</v>
      </c>
      <c r="AQ389" s="26" t="str">
        <f>IFERROR(INDEX('BD(MSCI)'!W:W,MATCH(Tabla_Consulta_desde_Reporte_de_Valorización_de_Instrumentos[[#This Row],[CODIGO_ISIN]],'BD(MSCI)'!C:C,0)),IF(Tabla_Consulta_desde_Reporte_de_Valorización_de_Instrumentos[[#This Row],[Rank_rt]]="Cash","Cash","Cuestionario Integra"))</f>
        <v>ETF</v>
      </c>
      <c r="AR389" s="26" t="str">
        <f>IFERROR(INDEX('BD(MSCI)'!X:X,MATCH(Tabla_Consulta_desde_Reporte_de_Valorización_de_Instrumentos[[#This Row],[CODIGO_ISIN]],'BD(MSCI)'!C:C,0)),"Cuestionario Integra")</f>
        <v>Otros ETFs</v>
      </c>
      <c r="AU389" s="26"/>
    </row>
    <row r="390" spans="2:47" hidden="1" x14ac:dyDescent="0.25">
      <c r="B390" s="14" t="s">
        <v>6390</v>
      </c>
      <c r="C390" t="s">
        <v>586</v>
      </c>
      <c r="D390" t="s">
        <v>11</v>
      </c>
      <c r="E390" t="s">
        <v>587</v>
      </c>
      <c r="F390" t="s">
        <v>1548</v>
      </c>
      <c r="G390" t="str">
        <f>INDEX(Parametria!H:H,MATCH(Tabla_Consulta_desde_Reporte_de_Valorización_de_Instrumentos[[#This Row],[CODIGO_SBS]],Parametria!C:C,0),1)</f>
        <v>VanEck Semiconductor ETF</v>
      </c>
      <c r="H390" t="s">
        <v>1547</v>
      </c>
      <c r="I390" t="s">
        <v>156</v>
      </c>
      <c r="J390" t="s">
        <v>4856</v>
      </c>
      <c r="K390" t="s">
        <v>50</v>
      </c>
      <c r="L390">
        <v>238.17</v>
      </c>
      <c r="M390" s="5">
        <v>258896200.14629999</v>
      </c>
      <c r="N390">
        <v>77031807</v>
      </c>
      <c r="O390">
        <v>213900</v>
      </c>
      <c r="P390" s="15"/>
      <c r="R390">
        <v>3.3609</v>
      </c>
      <c r="S390" t="s">
        <v>428</v>
      </c>
      <c r="T390">
        <v>261314401.46340001</v>
      </c>
      <c r="U390" s="5">
        <v>77712009</v>
      </c>
      <c r="V390" t="s">
        <v>156</v>
      </c>
      <c r="W390">
        <v>0</v>
      </c>
      <c r="X390">
        <v>0</v>
      </c>
      <c r="Y390">
        <v>0</v>
      </c>
      <c r="Z390">
        <v>-3.18</v>
      </c>
      <c r="AA390" t="str">
        <f>+MID(Tabla_Consulta_desde_Reporte_de_Valorización_de_Instrumentos[[#This Row],[CODIGO_SBS]],7,1)</f>
        <v>2</v>
      </c>
      <c r="AB390">
        <f>INDEX('Cálculo Caja'!F:F,MATCH(Tabla_Consulta_desde_Reporte_de_Valorización_de_Instrumentos[[#This Row],[PORTAFOLIO]],'Cálculo Caja'!A:A,0),1)</f>
        <v>3164069580.822104</v>
      </c>
      <c r="AC390" s="17">
        <f>Tabla_Consulta_desde_Reporte_de_Valorización_de_Instrumentos[[#This Row],[VALOR_VECTOR_LOCAL]]/Tabla_Consulta_desde_Reporte_de_Valorización_de_Instrumentos[[#This Row],[Patrimonio]]</f>
        <v>8.1823801131147164E-2</v>
      </c>
      <c r="AD390" s="4">
        <f>(Tabla_Consulta_desde_Reporte_de_Valorización_de_Instrumentos[[#This Row],[VALOR_VECTOR_LOCAL]]/INDEX('Tipo de Cambio'!$D:$D,MATCH("2",'Tipo de Cambio'!$E:$E,0),1))/1000000</f>
        <v>77.031807000000001</v>
      </c>
      <c r="AE390">
        <f>IF(Tabla_Consulta_desde_Reporte_de_Valorización_de_Instrumentos[[#This Row],[PORTAFOLIO]]="IN-FONDO0",Tabla_Consulta_desde_Reporte_de_Valorización_de_Instrumentos[[#This Row],[Inv MM$]],0)</f>
        <v>0</v>
      </c>
      <c r="AF390" s="26">
        <f>IF(Tabla_Consulta_desde_Reporte_de_Valorización_de_Instrumentos[[#This Row],[PORTAFOLIO]]="IN-FONDO1",Tabla_Consulta_desde_Reporte_de_Valorización_de_Instrumentos[[#This Row],[Inv MM$]],0)</f>
        <v>0</v>
      </c>
      <c r="AG390" s="26">
        <f>IF(Tabla_Consulta_desde_Reporte_de_Valorización_de_Instrumentos[[#This Row],[PORTAFOLIO]]="IN-FONDO2",Tabla_Consulta_desde_Reporte_de_Valorización_de_Instrumentos[[#This Row],[Inv MM$]],0)</f>
        <v>0</v>
      </c>
      <c r="AH390" s="26">
        <f>IF(Tabla_Consulta_desde_Reporte_de_Valorización_de_Instrumentos[[#This Row],[PORTAFOLIO]]="IN-FONDO3",Tabla_Consulta_desde_Reporte_de_Valorización_de_Instrumentos[[#This Row],[Inv MM$]],0)</f>
        <v>77.031807000000001</v>
      </c>
      <c r="AI39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432.3900845</v>
      </c>
      <c r="AJ390" s="26">
        <f>IFERROR(IFERROR(INDEX('BD(MSCI)'!$T:$T,MATCH(Tabla_Consulta_desde_Reporte_de_Valorización_de_Instrumentos[[#This Row],[CODIGO_ISIN]],'BD(MSCI)'!$C:$C,0),1),INDEX('BD(MSCI)'!$T:$T,MATCH(Tabla_Consulta_desde_Reporte_de_Valorización_de_Instrumentos[[#This Row],[CODIGO_SBS]],'BD(MSCI)'!$C:$C,0),1)),0)</f>
        <v>6.2709699299999997</v>
      </c>
      <c r="AK390" s="26">
        <f>Tabla_Consulta_desde_Reporte_de_Valorización_de_Instrumentos[[#This Row],[C02-H]]*Tabla_Consulta_desde_Reporte_de_Valorización_de_Instrumentos[[#This Row],[Inv MM$]]</f>
        <v>483.06414535056348</v>
      </c>
      <c r="AL390" s="26">
        <f>Tabla_Consulta_desde_Reporte_de_Valorización_de_Instrumentos[[#This Row],[C02-H]]*Tabla_Consulta_desde_Reporte_de_Valorización_de_Instrumentos[[#This Row],[Weight]]</f>
        <v>0.51311459645172386</v>
      </c>
      <c r="AM390" s="26" t="str">
        <f>INDEX(Parametria!G:G,MATCH(Tabla_Consulta_desde_Reporte_de_Valorización_de_Instrumentos[[#This Row],[CODIGO_SBS]],Parametria!C:C,0))</f>
        <v>52RVI</v>
      </c>
      <c r="AN390" s="26" t="str">
        <f>INDEX(Parametria!F:F,MATCH(Tabla_Consulta_desde_Reporte_de_Valorización_de_Instrumentos[[#This Row],[CODIGO_SBS]],Parametria!C:C,0))</f>
        <v>TD</v>
      </c>
      <c r="AO390" s="26" t="str">
        <f>+INDEX(Parametria!J:J,MATCH(Tabla_Consulta_desde_Reporte_de_Valorización_de_Instrumentos[[#This Row],[CODIGO_SBS]],Parametria!C:C,0))</f>
        <v>RVITD</v>
      </c>
      <c r="AP390" s="26">
        <f>Tabla_Consulta_desde_Reporte_de_Valorización_de_Instrumentos[[#This Row],[Huella]]/$AU$4</f>
        <v>4.4782352823590547E-2</v>
      </c>
      <c r="AQ390" s="26" t="str">
        <f>IFERROR(INDEX('BD(MSCI)'!W:W,MATCH(Tabla_Consulta_desde_Reporte_de_Valorización_de_Instrumentos[[#This Row],[CODIGO_ISIN]],'BD(MSCI)'!C:C,0)),IF(Tabla_Consulta_desde_Reporte_de_Valorización_de_Instrumentos[[#This Row],[Rank_rt]]="Cash","Cash","Cuestionario Integra"))</f>
        <v>ETF</v>
      </c>
      <c r="AR390" s="26" t="str">
        <f>IFERROR(INDEX('BD(MSCI)'!X:X,MATCH(Tabla_Consulta_desde_Reporte_de_Valorización_de_Instrumentos[[#This Row],[CODIGO_ISIN]],'BD(MSCI)'!C:C,0)),"Cuestionario Integra")</f>
        <v>Otros ETFs</v>
      </c>
      <c r="AU390" s="26"/>
    </row>
    <row r="391" spans="2:47" hidden="1" x14ac:dyDescent="0.25">
      <c r="B391" s="14" t="s">
        <v>6390</v>
      </c>
      <c r="C391" t="s">
        <v>586</v>
      </c>
      <c r="D391" t="s">
        <v>12</v>
      </c>
      <c r="E391" t="s">
        <v>587</v>
      </c>
      <c r="F391" t="s">
        <v>1548</v>
      </c>
      <c r="G391" t="str">
        <f>INDEX(Parametria!H:H,MATCH(Tabla_Consulta_desde_Reporte_de_Valorización_de_Instrumentos[[#This Row],[CODIGO_SBS]],Parametria!C:C,0),1)</f>
        <v>VanEck Semiconductor ETF</v>
      </c>
      <c r="H391" t="s">
        <v>1547</v>
      </c>
      <c r="I391" t="s">
        <v>156</v>
      </c>
      <c r="J391" t="s">
        <v>4856</v>
      </c>
      <c r="K391" t="s">
        <v>50</v>
      </c>
      <c r="L391">
        <v>238.17</v>
      </c>
      <c r="M391" s="5">
        <v>88416864.986849993</v>
      </c>
      <c r="N391">
        <v>26307496.5</v>
      </c>
      <c r="O391">
        <v>73050</v>
      </c>
      <c r="P391" s="15"/>
      <c r="R391">
        <v>3.3609</v>
      </c>
      <c r="S391" t="s">
        <v>428</v>
      </c>
      <c r="T391">
        <v>73971888.773300007</v>
      </c>
      <c r="U391" s="5">
        <v>21998420.5</v>
      </c>
      <c r="V391" t="s">
        <v>156</v>
      </c>
      <c r="W391">
        <v>0</v>
      </c>
      <c r="X391">
        <v>0</v>
      </c>
      <c r="Y391">
        <v>0</v>
      </c>
      <c r="Z391">
        <v>-3.18</v>
      </c>
      <c r="AA391" t="str">
        <f>+MID(Tabla_Consulta_desde_Reporte_de_Valorización_de_Instrumentos[[#This Row],[CODIGO_SBS]],7,1)</f>
        <v>2</v>
      </c>
      <c r="AB391">
        <f>INDEX('Cálculo Caja'!F:F,MATCH(Tabla_Consulta_desde_Reporte_de_Valorización_de_Instrumentos[[#This Row],[PORTAFOLIO]],'Cálculo Caja'!A:A,0),1)</f>
        <v>7679510866.0565634</v>
      </c>
      <c r="AC391" s="17">
        <f>Tabla_Consulta_desde_Reporte_de_Valorización_de_Instrumentos[[#This Row],[VALOR_VECTOR_LOCAL]]/Tabla_Consulta_desde_Reporte_de_Valorización_de_Instrumentos[[#This Row],[Patrimonio]]</f>
        <v>1.1513345905616531E-2</v>
      </c>
      <c r="AD391" s="4">
        <f>(Tabla_Consulta_desde_Reporte_de_Valorización_de_Instrumentos[[#This Row],[VALOR_VECTOR_LOCAL]]/INDEX('Tipo de Cambio'!$D:$D,MATCH("2",'Tipo de Cambio'!$E:$E,0),1))/1000000</f>
        <v>26.307496499999996</v>
      </c>
      <c r="AE391">
        <f>IF(Tabla_Consulta_desde_Reporte_de_Valorización_de_Instrumentos[[#This Row],[PORTAFOLIO]]="IN-FONDO0",Tabla_Consulta_desde_Reporte_de_Valorización_de_Instrumentos[[#This Row],[Inv MM$]],0)</f>
        <v>0</v>
      </c>
      <c r="AF391" s="26">
        <f>IF(Tabla_Consulta_desde_Reporte_de_Valorización_de_Instrumentos[[#This Row],[PORTAFOLIO]]="IN-FONDO1",Tabla_Consulta_desde_Reporte_de_Valorización_de_Instrumentos[[#This Row],[Inv MM$]],0)</f>
        <v>26.307496499999996</v>
      </c>
      <c r="AG391" s="26">
        <f>IF(Tabla_Consulta_desde_Reporte_de_Valorización_de_Instrumentos[[#This Row],[PORTAFOLIO]]="IN-FONDO2",Tabla_Consulta_desde_Reporte_de_Valorización_de_Instrumentos[[#This Row],[Inv MM$]],0)</f>
        <v>0</v>
      </c>
      <c r="AH391" s="26">
        <f>IF(Tabla_Consulta_desde_Reporte_de_Valorización_de_Instrumentos[[#This Row],[PORTAFOLIO]]="IN-FONDO3",Tabla_Consulta_desde_Reporte_de_Valorización_de_Instrumentos[[#This Row],[Inv MM$]],0)</f>
        <v>0</v>
      </c>
      <c r="AI39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432.3900845</v>
      </c>
      <c r="AJ391" s="26">
        <f>IFERROR(IFERROR(INDEX('BD(MSCI)'!$T:$T,MATCH(Tabla_Consulta_desde_Reporte_de_Valorización_de_Instrumentos[[#This Row],[CODIGO_ISIN]],'BD(MSCI)'!$C:$C,0),1),INDEX('BD(MSCI)'!$T:$T,MATCH(Tabla_Consulta_desde_Reporte_de_Valorización_de_Instrumentos[[#This Row],[CODIGO_SBS]],'BD(MSCI)'!$C:$C,0),1)),0)</f>
        <v>6.2709699299999997</v>
      </c>
      <c r="AK391" s="26">
        <f>Tabla_Consulta_desde_Reporte_de_Valorización_de_Instrumentos[[#This Row],[C02-H]]*Tabla_Consulta_desde_Reporte_de_Valorización_de_Instrumentos[[#This Row],[Inv MM$]]</f>
        <v>164.9735194850802</v>
      </c>
      <c r="AL391" s="26">
        <f>Tabla_Consulta_desde_Reporte_de_Valorización_de_Instrumentos[[#This Row],[C02-H]]*Tabla_Consulta_desde_Reporte_de_Valorización_de_Instrumentos[[#This Row],[Weight]]</f>
        <v>7.2199845967809886E-2</v>
      </c>
      <c r="AM391" s="26" t="str">
        <f>INDEX(Parametria!G:G,MATCH(Tabla_Consulta_desde_Reporte_de_Valorización_de_Instrumentos[[#This Row],[CODIGO_SBS]],Parametria!C:C,0))</f>
        <v>52RVI</v>
      </c>
      <c r="AN391" s="26" t="str">
        <f>INDEX(Parametria!F:F,MATCH(Tabla_Consulta_desde_Reporte_de_Valorización_de_Instrumentos[[#This Row],[CODIGO_SBS]],Parametria!C:C,0))</f>
        <v>TD</v>
      </c>
      <c r="AO391" s="26" t="str">
        <f>+INDEX(Parametria!J:J,MATCH(Tabla_Consulta_desde_Reporte_de_Valorización_de_Instrumentos[[#This Row],[CODIGO_SBS]],Parametria!C:C,0))</f>
        <v>RVITD</v>
      </c>
      <c r="AP391" s="26">
        <f>Tabla_Consulta_desde_Reporte_de_Valorización_de_Instrumentos[[#This Row],[Huella]]/$AU$4</f>
        <v>1.5293832976920472E-2</v>
      </c>
      <c r="AQ391" s="26" t="str">
        <f>IFERROR(INDEX('BD(MSCI)'!W:W,MATCH(Tabla_Consulta_desde_Reporte_de_Valorización_de_Instrumentos[[#This Row],[CODIGO_ISIN]],'BD(MSCI)'!C:C,0)),IF(Tabla_Consulta_desde_Reporte_de_Valorización_de_Instrumentos[[#This Row],[Rank_rt]]="Cash","Cash","Cuestionario Integra"))</f>
        <v>ETF</v>
      </c>
      <c r="AR391" s="26" t="str">
        <f>IFERROR(INDEX('BD(MSCI)'!X:X,MATCH(Tabla_Consulta_desde_Reporte_de_Valorización_de_Instrumentos[[#This Row],[CODIGO_ISIN]],'BD(MSCI)'!C:C,0)),"Cuestionario Integra")</f>
        <v>Otros ETFs</v>
      </c>
      <c r="AU391" s="26"/>
    </row>
    <row r="392" spans="2:47" hidden="1" x14ac:dyDescent="0.25">
      <c r="B392" s="14" t="s">
        <v>6390</v>
      </c>
      <c r="C392" t="s">
        <v>586</v>
      </c>
      <c r="D392" t="s">
        <v>12</v>
      </c>
      <c r="E392" t="s">
        <v>587</v>
      </c>
      <c r="F392" t="s">
        <v>862</v>
      </c>
      <c r="G392" t="str">
        <f>INDEX(Parametria!H:H,MATCH(Tabla_Consulta_desde_Reporte_de_Valorización_de_Instrumentos[[#This Row],[CODIGO_SBS]],Parametria!C:C,0),1)</f>
        <v>VanEck - Gold Miners ETF</v>
      </c>
      <c r="H392" t="s">
        <v>863</v>
      </c>
      <c r="I392" t="s">
        <v>156</v>
      </c>
      <c r="J392" t="s">
        <v>4856</v>
      </c>
      <c r="K392" t="s">
        <v>50</v>
      </c>
      <c r="L392">
        <v>1</v>
      </c>
      <c r="M392" s="5">
        <v>31391992.397700001</v>
      </c>
      <c r="N392">
        <v>9340353</v>
      </c>
      <c r="O392">
        <v>108900</v>
      </c>
      <c r="P392" s="15"/>
      <c r="R392">
        <v>3.3609</v>
      </c>
      <c r="S392" t="s">
        <v>428</v>
      </c>
      <c r="T392">
        <v>31799691.237599999</v>
      </c>
      <c r="U392" s="5">
        <v>9456876</v>
      </c>
      <c r="V392" t="s">
        <v>156</v>
      </c>
      <c r="W392">
        <v>0</v>
      </c>
      <c r="X392">
        <v>0</v>
      </c>
      <c r="Y392">
        <v>0</v>
      </c>
      <c r="Z392">
        <v>-1.07</v>
      </c>
      <c r="AA392" t="str">
        <f>+MID(Tabla_Consulta_desde_Reporte_de_Valorización_de_Instrumentos[[#This Row],[CODIGO_SBS]],7,1)</f>
        <v>2</v>
      </c>
      <c r="AB392">
        <f>INDEX('Cálculo Caja'!F:F,MATCH(Tabla_Consulta_desde_Reporte_de_Valorización_de_Instrumentos[[#This Row],[PORTAFOLIO]],'Cálculo Caja'!A:A,0),1)</f>
        <v>7679510866.0565634</v>
      </c>
      <c r="AC392" s="17">
        <f>Tabla_Consulta_desde_Reporte_de_Valorización_de_Instrumentos[[#This Row],[VALOR_VECTOR_LOCAL]]/Tabla_Consulta_desde_Reporte_de_Valorización_de_Instrumentos[[#This Row],[Patrimonio]]</f>
        <v>4.0877593567127564E-3</v>
      </c>
      <c r="AD392" s="4">
        <f>(Tabla_Consulta_desde_Reporte_de_Valorización_de_Instrumentos[[#This Row],[VALOR_VECTOR_LOCAL]]/INDEX('Tipo de Cambio'!$D:$D,MATCH("2",'Tipo de Cambio'!$E:$E,0),1))/1000000</f>
        <v>9.3403530000000003</v>
      </c>
      <c r="AE392">
        <f>IF(Tabla_Consulta_desde_Reporte_de_Valorización_de_Instrumentos[[#This Row],[PORTAFOLIO]]="IN-FONDO0",Tabla_Consulta_desde_Reporte_de_Valorización_de_Instrumentos[[#This Row],[Inv MM$]],0)</f>
        <v>0</v>
      </c>
      <c r="AF392" s="26">
        <f>IF(Tabla_Consulta_desde_Reporte_de_Valorización_de_Instrumentos[[#This Row],[PORTAFOLIO]]="IN-FONDO1",Tabla_Consulta_desde_Reporte_de_Valorización_de_Instrumentos[[#This Row],[Inv MM$]],0)</f>
        <v>9.3403530000000003</v>
      </c>
      <c r="AG392" s="26">
        <f>IF(Tabla_Consulta_desde_Reporte_de_Valorización_de_Instrumentos[[#This Row],[PORTAFOLIO]]="IN-FONDO2",Tabla_Consulta_desde_Reporte_de_Valorización_de_Instrumentos[[#This Row],[Inv MM$]],0)</f>
        <v>0</v>
      </c>
      <c r="AH392" s="26">
        <f>IF(Tabla_Consulta_desde_Reporte_de_Valorización_de_Instrumentos[[#This Row],[PORTAFOLIO]]="IN-FONDO3",Tabla_Consulta_desde_Reporte_de_Valorización_de_Instrumentos[[#This Row],[Inv MM$]],0)</f>
        <v>0</v>
      </c>
      <c r="AI39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145.94623200000001</v>
      </c>
      <c r="AJ392" s="26">
        <f>IFERROR(IFERROR(INDEX('BD(MSCI)'!$T:$T,MATCH(Tabla_Consulta_desde_Reporte_de_Valorización_de_Instrumentos[[#This Row],[CODIGO_ISIN]],'BD(MSCI)'!$C:$C,0),1),INDEX('BD(MSCI)'!$T:$T,MATCH(Tabla_Consulta_desde_Reporte_de_Valorización_de_Instrumentos[[#This Row],[CODIGO_SBS]],'BD(MSCI)'!$C:$C,0),1)),0)</f>
        <v>81.866171690000002</v>
      </c>
      <c r="AK392" s="26">
        <f>Tabla_Consulta_desde_Reporte_de_Valorización_de_Instrumentos[[#This Row],[C02-H]]*Tabla_Consulta_desde_Reporte_de_Valorización_de_Instrumentos[[#This Row],[Inv MM$]]</f>
        <v>764.6589423432066</v>
      </c>
      <c r="AL392" s="26">
        <f>Tabla_Consulta_desde_Reporte_de_Valorización_de_Instrumentos[[#This Row],[C02-H]]*Tabla_Consulta_desde_Reporte_de_Valorización_de_Instrumentos[[#This Row],[Weight]]</f>
        <v>0.33464920932405046</v>
      </c>
      <c r="AM392" s="26" t="str">
        <f>INDEX(Parametria!G:G,MATCH(Tabla_Consulta_desde_Reporte_de_Valorización_de_Instrumentos[[#This Row],[CODIGO_SBS]],Parametria!C:C,0))</f>
        <v>52RVI</v>
      </c>
      <c r="AN392" s="26" t="str">
        <f>INDEX(Parametria!F:F,MATCH(Tabla_Consulta_desde_Reporte_de_Valorización_de_Instrumentos[[#This Row],[CODIGO_SBS]],Parametria!C:C,0))</f>
        <v>TD</v>
      </c>
      <c r="AO392" s="26" t="str">
        <f>+INDEX(Parametria!J:J,MATCH(Tabla_Consulta_desde_Reporte_de_Valorización_de_Instrumentos[[#This Row],[CODIGO_SBS]],Parametria!C:C,0))</f>
        <v>RVITD</v>
      </c>
      <c r="AP392" s="26">
        <f>Tabla_Consulta_desde_Reporte_de_Valorización_de_Instrumentos[[#This Row],[Huella]]/$AU$4</f>
        <v>7.0887535072338026E-2</v>
      </c>
      <c r="AQ392" s="26" t="str">
        <f>IFERROR(INDEX('BD(MSCI)'!W:W,MATCH(Tabla_Consulta_desde_Reporte_de_Valorización_de_Instrumentos[[#This Row],[CODIGO_ISIN]],'BD(MSCI)'!C:C,0)),IF(Tabla_Consulta_desde_Reporte_de_Valorización_de_Instrumentos[[#This Row],[Rank_rt]]="Cash","Cash","Cuestionario Integra"))</f>
        <v>ETF</v>
      </c>
      <c r="AR392" s="26" t="str">
        <f>IFERROR(INDEX('BD(MSCI)'!X:X,MATCH(Tabla_Consulta_desde_Reporte_de_Valorización_de_Instrumentos[[#This Row],[CODIGO_ISIN]],'BD(MSCI)'!C:C,0)),"Cuestionario Integra")</f>
        <v>Otros ETFs</v>
      </c>
      <c r="AU392" s="26"/>
    </row>
    <row r="393" spans="2:47" hidden="1" x14ac:dyDescent="0.25">
      <c r="B393" s="14" t="s">
        <v>6390</v>
      </c>
      <c r="C393" t="s">
        <v>586</v>
      </c>
      <c r="D393" t="s">
        <v>12</v>
      </c>
      <c r="E393" t="s">
        <v>587</v>
      </c>
      <c r="F393" t="s">
        <v>723</v>
      </c>
      <c r="G393" t="str">
        <f>INDEX(Parametria!H:H,MATCH(Tabla_Consulta_desde_Reporte_de_Valorización_de_Instrumentos[[#This Row],[CODIGO_SBS]],Parametria!C:C,0),1)</f>
        <v>VanEck - JPM EM LC Bond ETF</v>
      </c>
      <c r="H393" t="s">
        <v>724</v>
      </c>
      <c r="I393" t="s">
        <v>156</v>
      </c>
      <c r="J393" t="s">
        <v>4856</v>
      </c>
      <c r="K393" t="s">
        <v>50</v>
      </c>
      <c r="L393">
        <v>1</v>
      </c>
      <c r="M393" s="5">
        <v>57395258.893200003</v>
      </c>
      <c r="N393">
        <v>17077348</v>
      </c>
      <c r="O393">
        <v>661400</v>
      </c>
      <c r="P393" s="15"/>
      <c r="R393">
        <v>3.3609</v>
      </c>
      <c r="S393" t="s">
        <v>155</v>
      </c>
      <c r="U393" s="5"/>
      <c r="V393" t="s">
        <v>156</v>
      </c>
      <c r="W393">
        <v>0</v>
      </c>
      <c r="X393">
        <v>0</v>
      </c>
      <c r="Y393">
        <v>0</v>
      </c>
      <c r="Z393">
        <v>0</v>
      </c>
      <c r="AA393" t="str">
        <f>+MID(Tabla_Consulta_desde_Reporte_de_Valorización_de_Instrumentos[[#This Row],[CODIGO_SBS]],7,1)</f>
        <v>2</v>
      </c>
      <c r="AB393">
        <f>INDEX('Cálculo Caja'!F:F,MATCH(Tabla_Consulta_desde_Reporte_de_Valorización_de_Instrumentos[[#This Row],[PORTAFOLIO]],'Cálculo Caja'!A:A,0),1)</f>
        <v>7679510866.0565634</v>
      </c>
      <c r="AC393" s="17">
        <f>Tabla_Consulta_desde_Reporte_de_Valorización_de_Instrumentos[[#This Row],[VALOR_VECTOR_LOCAL]]/Tabla_Consulta_desde_Reporte_de_Valorización_de_Instrumentos[[#This Row],[Patrimonio]]</f>
        <v>7.4738170040082935E-3</v>
      </c>
      <c r="AD393" s="4">
        <f>(Tabla_Consulta_desde_Reporte_de_Valorización_de_Instrumentos[[#This Row],[VALOR_VECTOR_LOCAL]]/INDEX('Tipo de Cambio'!$D:$D,MATCH("2",'Tipo de Cambio'!$E:$E,0),1))/1000000</f>
        <v>17.077348000000001</v>
      </c>
      <c r="AE393">
        <f>IF(Tabla_Consulta_desde_Reporte_de_Valorización_de_Instrumentos[[#This Row],[PORTAFOLIO]]="IN-FONDO0",Tabla_Consulta_desde_Reporte_de_Valorización_de_Instrumentos[[#This Row],[Inv MM$]],0)</f>
        <v>0</v>
      </c>
      <c r="AF393" s="26">
        <f>IF(Tabla_Consulta_desde_Reporte_de_Valorización_de_Instrumentos[[#This Row],[PORTAFOLIO]]="IN-FONDO1",Tabla_Consulta_desde_Reporte_de_Valorización_de_Instrumentos[[#This Row],[Inv MM$]],0)</f>
        <v>17.077348000000001</v>
      </c>
      <c r="AG393" s="26">
        <f>IF(Tabla_Consulta_desde_Reporte_de_Valorización_de_Instrumentos[[#This Row],[PORTAFOLIO]]="IN-FONDO2",Tabla_Consulta_desde_Reporte_de_Valorización_de_Instrumentos[[#This Row],[Inv MM$]],0)</f>
        <v>0</v>
      </c>
      <c r="AH393" s="26">
        <f>IF(Tabla_Consulta_desde_Reporte_de_Valorización_de_Instrumentos[[#This Row],[PORTAFOLIO]]="IN-FONDO3",Tabla_Consulta_desde_Reporte_de_Valorización_de_Instrumentos[[#This Row],[Inv MM$]],0)</f>
        <v>0</v>
      </c>
      <c r="AI39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57.294580000000003</v>
      </c>
      <c r="AJ393" s="26">
        <f>IFERROR(IFERROR(INDEX('BD(MSCI)'!$T:$T,MATCH(Tabla_Consulta_desde_Reporte_de_Valorización_de_Instrumentos[[#This Row],[CODIGO_ISIN]],'BD(MSCI)'!$C:$C,0),1),INDEX('BD(MSCI)'!$T:$T,MATCH(Tabla_Consulta_desde_Reporte_de_Valorización_de_Instrumentos[[#This Row],[CODIGO_SBS]],'BD(MSCI)'!$C:$C,0),1)),0)</f>
        <v>10.65572682</v>
      </c>
      <c r="AK393" s="26">
        <f>Tabla_Consulta_desde_Reporte_de_Valorización_de_Instrumentos[[#This Row],[C02-H]]*Tabla_Consulta_desde_Reporte_de_Valorización_de_Instrumentos[[#This Row],[Inv MM$]]</f>
        <v>181.97155509807337</v>
      </c>
      <c r="AL393" s="26">
        <f>Tabla_Consulta_desde_Reporte_de_Valorización_de_Instrumentos[[#This Row],[C02-H]]*Tabla_Consulta_desde_Reporte_de_Valorización_de_Instrumentos[[#This Row],[Weight]]</f>
        <v>7.9638952297383214E-2</v>
      </c>
      <c r="AM393" s="26" t="str">
        <f>INDEX(Parametria!G:G,MATCH(Tabla_Consulta_desde_Reporte_de_Valorización_de_Instrumentos[[#This Row],[CODIGO_SBS]],Parametria!C:C,0))</f>
        <v>52RFIG</v>
      </c>
      <c r="AN393" s="26" t="str">
        <f>INDEX(Parametria!F:F,MATCH(Tabla_Consulta_desde_Reporte_de_Valorización_de_Instrumentos[[#This Row],[CODIGO_SBS]],Parametria!C:C,0))</f>
        <v>TD</v>
      </c>
      <c r="AO393" s="26" t="str">
        <f>+INDEX(Parametria!J:J,MATCH(Tabla_Consulta_desde_Reporte_de_Valorización_de_Instrumentos[[#This Row],[CODIGO_SBS]],Parametria!C:C,0))</f>
        <v>RFITD</v>
      </c>
      <c r="AP393" s="26">
        <f>Tabla_Consulta_desde_Reporte_de_Valorización_de_Instrumentos[[#This Row],[Huella]]/$AU$4</f>
        <v>1.686963204099011E-2</v>
      </c>
      <c r="AQ393" s="26" t="str">
        <f>IFERROR(INDEX('BD(MSCI)'!W:W,MATCH(Tabla_Consulta_desde_Reporte_de_Valorización_de_Instrumentos[[#This Row],[CODIGO_ISIN]],'BD(MSCI)'!C:C,0)),IF(Tabla_Consulta_desde_Reporte_de_Valorización_de_Instrumentos[[#This Row],[Rank_rt]]="Cash","Cash","Cuestionario Integra"))</f>
        <v>ETF</v>
      </c>
      <c r="AR393" s="26" t="str">
        <f>IFERROR(INDEX('BD(MSCI)'!X:X,MATCH(Tabla_Consulta_desde_Reporte_de_Valorización_de_Instrumentos[[#This Row],[CODIGO_ISIN]],'BD(MSCI)'!C:C,0)),"Cuestionario Integra")</f>
        <v>Otros ETFs</v>
      </c>
      <c r="AU393" s="26"/>
    </row>
    <row r="394" spans="2:47" hidden="1" x14ac:dyDescent="0.25">
      <c r="B394" s="14" t="s">
        <v>6390</v>
      </c>
      <c r="C394" t="s">
        <v>586</v>
      </c>
      <c r="D394" t="s">
        <v>12</v>
      </c>
      <c r="E394" t="s">
        <v>587</v>
      </c>
      <c r="F394" t="s">
        <v>955</v>
      </c>
      <c r="G394" t="str">
        <f>INDEX(Parametria!H:H,MATCH(Tabla_Consulta_desde_Reporte_de_Valorización_de_Instrumentos[[#This Row],[CODIGO_SBS]],Parametria!C:C,0),1)</f>
        <v>Vanguard - Emerging Markets Bond Fund - I Retail</v>
      </c>
      <c r="H394" t="s">
        <v>956</v>
      </c>
      <c r="I394" t="s">
        <v>156</v>
      </c>
      <c r="J394" t="s">
        <v>4857</v>
      </c>
      <c r="K394" t="s">
        <v>50</v>
      </c>
      <c r="L394">
        <v>1</v>
      </c>
      <c r="M394" s="5">
        <v>488.00581570000003</v>
      </c>
      <c r="N394">
        <v>145.20093299999999</v>
      </c>
      <c r="O394">
        <v>1.01</v>
      </c>
      <c r="P394" s="15"/>
      <c r="R394">
        <v>3.3609</v>
      </c>
      <c r="S394" t="s">
        <v>155</v>
      </c>
      <c r="T394">
        <v>488.38544969999998</v>
      </c>
      <c r="U394" s="5">
        <v>145.24042399999999</v>
      </c>
      <c r="V394" t="s">
        <v>156</v>
      </c>
      <c r="W394">
        <v>0</v>
      </c>
      <c r="X394">
        <v>0</v>
      </c>
      <c r="Y394">
        <v>0</v>
      </c>
      <c r="Z394">
        <v>-3.9100000000000003E-2</v>
      </c>
      <c r="AA394" t="str">
        <f>+MID(Tabla_Consulta_desde_Reporte_de_Valorización_de_Instrumentos[[#This Row],[CODIGO_SBS]],7,1)</f>
        <v>2</v>
      </c>
      <c r="AB394">
        <f>INDEX('Cálculo Caja'!F:F,MATCH(Tabla_Consulta_desde_Reporte_de_Valorización_de_Instrumentos[[#This Row],[PORTAFOLIO]],'Cálculo Caja'!A:A,0),1)</f>
        <v>7679510866.0565634</v>
      </c>
      <c r="AC394" s="17">
        <f>Tabla_Consulta_desde_Reporte_de_Valorización_de_Instrumentos[[#This Row],[VALOR_VECTOR_LOCAL]]/Tabla_Consulta_desde_Reporte_de_Valorización_de_Instrumentos[[#This Row],[Patrimonio]]</f>
        <v>6.3546471150524141E-8</v>
      </c>
      <c r="AD394" s="4">
        <f>(Tabla_Consulta_desde_Reporte_de_Valorización_de_Instrumentos[[#This Row],[VALOR_VECTOR_LOCAL]]/INDEX('Tipo de Cambio'!$D:$D,MATCH("2",'Tipo de Cambio'!$E:$E,0),1))/1000000</f>
        <v>1.4520093299413847E-4</v>
      </c>
      <c r="AE394">
        <f>IF(Tabla_Consulta_desde_Reporte_de_Valorización_de_Instrumentos[[#This Row],[PORTAFOLIO]]="IN-FONDO0",Tabla_Consulta_desde_Reporte_de_Valorización_de_Instrumentos[[#This Row],[Inv MM$]],0)</f>
        <v>0</v>
      </c>
      <c r="AF394" s="26">
        <f>IF(Tabla_Consulta_desde_Reporte_de_Valorización_de_Instrumentos[[#This Row],[PORTAFOLIO]]="IN-FONDO1",Tabla_Consulta_desde_Reporte_de_Valorización_de_Instrumentos[[#This Row],[Inv MM$]],0)</f>
        <v>1.4520093299413847E-4</v>
      </c>
      <c r="AG394" s="26">
        <f>IF(Tabla_Consulta_desde_Reporte_de_Valorización_de_Instrumentos[[#This Row],[PORTAFOLIO]]="IN-FONDO2",Tabla_Consulta_desde_Reporte_de_Valorización_de_Instrumentos[[#This Row],[Inv MM$]],0)</f>
        <v>0</v>
      </c>
      <c r="AH394" s="26">
        <f>IF(Tabla_Consulta_desde_Reporte_de_Valorización_de_Instrumentos[[#This Row],[PORTAFOLIO]]="IN-FONDO3",Tabla_Consulta_desde_Reporte_de_Valorización_de_Instrumentos[[#This Row],[Inv MM$]],0)</f>
        <v>0</v>
      </c>
      <c r="AI39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4.3416516596744918E-4</v>
      </c>
      <c r="AJ394" s="26">
        <f>IFERROR(IFERROR(INDEX('BD(MSCI)'!$T:$T,MATCH(Tabla_Consulta_desde_Reporte_de_Valorización_de_Instrumentos[[#This Row],[CODIGO_ISIN]],'BD(MSCI)'!$C:$C,0),1),INDEX('BD(MSCI)'!$T:$T,MATCH(Tabla_Consulta_desde_Reporte_de_Valorización_de_Instrumentos[[#This Row],[CODIGO_SBS]],'BD(MSCI)'!$C:$C,0),1)),0)</f>
        <v>434.14055299</v>
      </c>
      <c r="AK394" s="26">
        <f>Tabla_Consulta_desde_Reporte_de_Valorización_de_Instrumentos[[#This Row],[C02-H]]*Tabla_Consulta_desde_Reporte_de_Valorización_de_Instrumentos[[#This Row],[Inv MM$]]</f>
        <v>6.3037613344739216E-2</v>
      </c>
      <c r="AL394" s="26">
        <f>Tabla_Consulta_desde_Reporte_de_Valorización_de_Instrumentos[[#This Row],[C02-H]]*Tabla_Consulta_desde_Reporte_de_Valorización_de_Instrumentos[[#This Row],[Weight]]</f>
        <v>2.7588100125851631E-5</v>
      </c>
      <c r="AM394" s="26" t="str">
        <f>INDEX(Parametria!G:G,MATCH(Tabla_Consulta_desde_Reporte_de_Valorización_de_Instrumentos[[#This Row],[CODIGO_SBS]],Parametria!C:C,0))</f>
        <v>52RFIG</v>
      </c>
      <c r="AN394" s="26" t="str">
        <f>INDEX(Parametria!F:F,MATCH(Tabla_Consulta_desde_Reporte_de_Valorización_de_Instrumentos[[#This Row],[CODIGO_SBS]],Parametria!C:C,0))</f>
        <v>TD</v>
      </c>
      <c r="AO394" s="26" t="str">
        <f>+INDEX(Parametria!J:J,MATCH(Tabla_Consulta_desde_Reporte_de_Valorización_de_Instrumentos[[#This Row],[CODIGO_SBS]],Parametria!C:C,0))</f>
        <v>RFITD</v>
      </c>
      <c r="AP394" s="26">
        <f>Tabla_Consulta_desde_Reporte_de_Valorización_de_Instrumentos[[#This Row],[Huella]]/$AU$4</f>
        <v>5.8438877509994818E-6</v>
      </c>
      <c r="AQ394" s="26" t="str">
        <f>IFERROR(INDEX('BD(MSCI)'!W:W,MATCH(Tabla_Consulta_desde_Reporte_de_Valorización_de_Instrumentos[[#This Row],[CODIGO_ISIN]],'BD(MSCI)'!C:C,0)),IF(Tabla_Consulta_desde_Reporte_de_Valorización_de_Instrumentos[[#This Row],[Rank_rt]]="Cash","Cash","Cuestionario Integra"))</f>
        <v>ETF</v>
      </c>
      <c r="AR394" s="26" t="str">
        <f>IFERROR(INDEX('BD(MSCI)'!X:X,MATCH(Tabla_Consulta_desde_Reporte_de_Valorización_de_Instrumentos[[#This Row],[CODIGO_ISIN]],'BD(MSCI)'!C:C,0)),"Cuestionario Integra")</f>
        <v>Otros ETFs</v>
      </c>
      <c r="AU394" s="26"/>
    </row>
    <row r="395" spans="2:47" hidden="1" x14ac:dyDescent="0.25">
      <c r="B395" s="14" t="s">
        <v>6390</v>
      </c>
      <c r="C395" t="s">
        <v>586</v>
      </c>
      <c r="D395" t="s">
        <v>12</v>
      </c>
      <c r="E395" t="s">
        <v>587</v>
      </c>
      <c r="F395" t="s">
        <v>953</v>
      </c>
      <c r="G395" t="str">
        <f>INDEX(Parametria!H:H,MATCH(Tabla_Consulta_desde_Reporte_de_Valorización_de_Instrumentos[[#This Row],[CODIGO_SBS]],Parametria!C:C,0),1)</f>
        <v>Vanguard - Emerging Markets Bond Fund - II Institutional</v>
      </c>
      <c r="H395" t="s">
        <v>954</v>
      </c>
      <c r="I395" t="s">
        <v>156</v>
      </c>
      <c r="J395" t="s">
        <v>4857</v>
      </c>
      <c r="K395" t="s">
        <v>50</v>
      </c>
      <c r="L395">
        <v>1</v>
      </c>
      <c r="M395" s="5">
        <v>970.31673090000004</v>
      </c>
      <c r="N395">
        <v>288.70740899999998</v>
      </c>
      <c r="O395">
        <v>1.99</v>
      </c>
      <c r="P395" s="15"/>
      <c r="R395">
        <v>3.3609</v>
      </c>
      <c r="S395" t="s">
        <v>155</v>
      </c>
      <c r="T395">
        <v>971.06783570000005</v>
      </c>
      <c r="U395" s="5">
        <v>288.78482000000002</v>
      </c>
      <c r="V395" t="s">
        <v>156</v>
      </c>
      <c r="W395">
        <v>0</v>
      </c>
      <c r="X395">
        <v>0</v>
      </c>
      <c r="Y395">
        <v>0</v>
      </c>
      <c r="Z395">
        <v>-3.8899999999999997E-2</v>
      </c>
      <c r="AA395" t="str">
        <f>+MID(Tabla_Consulta_desde_Reporte_de_Valorización_de_Instrumentos[[#This Row],[CODIGO_SBS]],7,1)</f>
        <v>2</v>
      </c>
      <c r="AB395">
        <f>INDEX('Cálculo Caja'!F:F,MATCH(Tabla_Consulta_desde_Reporte_de_Valorización_de_Instrumentos[[#This Row],[PORTAFOLIO]],'Cálculo Caja'!A:A,0),1)</f>
        <v>7679510866.0565634</v>
      </c>
      <c r="AC395" s="17">
        <f>Tabla_Consulta_desde_Reporte_de_Valorización_de_Instrumentos[[#This Row],[VALOR_VECTOR_LOCAL]]/Tabla_Consulta_desde_Reporte_de_Valorización_de_Instrumentos[[#This Row],[Patrimonio]]</f>
        <v>1.2635137156831171E-7</v>
      </c>
      <c r="AD395" s="4">
        <f>(Tabla_Consulta_desde_Reporte_de_Valorización_de_Instrumentos[[#This Row],[VALOR_VECTOR_LOCAL]]/INDEX('Tipo de Cambio'!$D:$D,MATCH("2",'Tipo de Cambio'!$E:$E,0),1))/1000000</f>
        <v>2.8870740899758995E-4</v>
      </c>
      <c r="AE395">
        <f>IF(Tabla_Consulta_desde_Reporte_de_Valorización_de_Instrumentos[[#This Row],[PORTAFOLIO]]="IN-FONDO0",Tabla_Consulta_desde_Reporte_de_Valorización_de_Instrumentos[[#This Row],[Inv MM$]],0)</f>
        <v>0</v>
      </c>
      <c r="AF395" s="26">
        <f>IF(Tabla_Consulta_desde_Reporte_de_Valorización_de_Instrumentos[[#This Row],[PORTAFOLIO]]="IN-FONDO1",Tabla_Consulta_desde_Reporte_de_Valorización_de_Instrumentos[[#This Row],[Inv MM$]],0)</f>
        <v>2.8870740899758995E-4</v>
      </c>
      <c r="AG395" s="26">
        <f>IF(Tabla_Consulta_desde_Reporte_de_Valorización_de_Instrumentos[[#This Row],[PORTAFOLIO]]="IN-FONDO2",Tabla_Consulta_desde_Reporte_de_Valorización_de_Instrumentos[[#This Row],[Inv MM$]],0)</f>
        <v>0</v>
      </c>
      <c r="AH395" s="26">
        <f>IF(Tabla_Consulta_desde_Reporte_de_Valorización_de_Instrumentos[[#This Row],[PORTAFOLIO]]="IN-FONDO3",Tabla_Consulta_desde_Reporte_de_Valorización_de_Instrumentos[[#This Row],[Inv MM$]],0)</f>
        <v>0</v>
      </c>
      <c r="AI39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7.3410024597578033E-4</v>
      </c>
      <c r="AJ395" s="26">
        <f>IFERROR(IFERROR(INDEX('BD(MSCI)'!$T:$T,MATCH(Tabla_Consulta_desde_Reporte_de_Valorización_de_Instrumentos[[#This Row],[CODIGO_ISIN]],'BD(MSCI)'!$C:$C,0),1),INDEX('BD(MSCI)'!$T:$T,MATCH(Tabla_Consulta_desde_Reporte_de_Valorización_de_Instrumentos[[#This Row],[CODIGO_SBS]],'BD(MSCI)'!$C:$C,0),1)),0)</f>
        <v>434.14055299</v>
      </c>
      <c r="AK395" s="26">
        <f>Tabla_Consulta_desde_Reporte_de_Valorización_de_Instrumentos[[#This Row],[C02-H]]*Tabla_Consulta_desde_Reporte_de_Valorización_de_Instrumentos[[#This Row],[Inv MM$]]</f>
        <v>0.12533959419452381</v>
      </c>
      <c r="AL395" s="26">
        <f>Tabla_Consulta_desde_Reporte_de_Valorización_de_Instrumentos[[#This Row],[C02-H]]*Tabla_Consulta_desde_Reporte_de_Valorización_de_Instrumentos[[#This Row],[Weight]]</f>
        <v>5.485425432371181E-5</v>
      </c>
      <c r="AM395" s="26" t="str">
        <f>INDEX(Parametria!G:G,MATCH(Tabla_Consulta_desde_Reporte_de_Valorización_de_Instrumentos[[#This Row],[CODIGO_SBS]],Parametria!C:C,0))</f>
        <v>52RFIG</v>
      </c>
      <c r="AN395" s="26" t="str">
        <f>INDEX(Parametria!F:F,MATCH(Tabla_Consulta_desde_Reporte_de_Valorización_de_Instrumentos[[#This Row],[CODIGO_SBS]],Parametria!C:C,0))</f>
        <v>TD</v>
      </c>
      <c r="AO395" s="26" t="str">
        <f>+INDEX(Parametria!J:J,MATCH(Tabla_Consulta_desde_Reporte_de_Valorización_de_Instrumentos[[#This Row],[CODIGO_SBS]],Parametria!C:C,0))</f>
        <v>RFITD</v>
      </c>
      <c r="AP395" s="26">
        <f>Tabla_Consulta_desde_Reporte_de_Valorización_de_Instrumentos[[#This Row],[Huella]]/$AU$4</f>
        <v>1.1619578857195926E-5</v>
      </c>
      <c r="AQ395" s="26" t="str">
        <f>IFERROR(INDEX('BD(MSCI)'!W:W,MATCH(Tabla_Consulta_desde_Reporte_de_Valorización_de_Instrumentos[[#This Row],[CODIGO_ISIN]],'BD(MSCI)'!C:C,0)),IF(Tabla_Consulta_desde_Reporte_de_Valorización_de_Instrumentos[[#This Row],[Rank_rt]]="Cash","Cash","Cuestionario Integra"))</f>
        <v>ETF</v>
      </c>
      <c r="AR395" s="26" t="str">
        <f>IFERROR(INDEX('BD(MSCI)'!X:X,MATCH(Tabla_Consulta_desde_Reporte_de_Valorización_de_Instrumentos[[#This Row],[CODIGO_ISIN]],'BD(MSCI)'!C:C,0)),"Cuestionario Integra")</f>
        <v>Otros ETFs</v>
      </c>
      <c r="AU395" s="26"/>
    </row>
    <row r="396" spans="2:47" hidden="1" x14ac:dyDescent="0.25">
      <c r="B396" s="14" t="s">
        <v>6390</v>
      </c>
      <c r="C396" t="s">
        <v>586</v>
      </c>
      <c r="D396" t="s">
        <v>11</v>
      </c>
      <c r="E396" t="s">
        <v>587</v>
      </c>
      <c r="F396" t="s">
        <v>725</v>
      </c>
      <c r="G396" t="str">
        <f>INDEX(Parametria!H:H,MATCH(Tabla_Consulta_desde_Reporte_de_Valorización_de_Instrumentos[[#This Row],[CODIGO_SBS]],Parametria!C:C,0),1)</f>
        <v>Vanguard - S&amp;P 500 ETF</v>
      </c>
      <c r="H396" t="s">
        <v>726</v>
      </c>
      <c r="I396" t="s">
        <v>156</v>
      </c>
      <c r="J396" t="s">
        <v>4857</v>
      </c>
      <c r="K396" t="s">
        <v>50</v>
      </c>
      <c r="L396">
        <v>1</v>
      </c>
      <c r="M396" s="5">
        <v>44262145.556999996</v>
      </c>
      <c r="N396">
        <v>13169730</v>
      </c>
      <c r="O396">
        <v>21000</v>
      </c>
      <c r="P396" s="15"/>
      <c r="R396">
        <v>3.3609</v>
      </c>
      <c r="S396" t="s">
        <v>428</v>
      </c>
      <c r="T396">
        <v>44608655.112000003</v>
      </c>
      <c r="U396" s="5">
        <v>13266120</v>
      </c>
      <c r="V396" t="s">
        <v>156</v>
      </c>
      <c r="W396">
        <v>0</v>
      </c>
      <c r="X396">
        <v>0</v>
      </c>
      <c r="Y396">
        <v>0</v>
      </c>
      <c r="Z396">
        <v>-4.59</v>
      </c>
      <c r="AA396" t="str">
        <f>+MID(Tabla_Consulta_desde_Reporte_de_Valorización_de_Instrumentos[[#This Row],[CODIGO_SBS]],7,1)</f>
        <v>2</v>
      </c>
      <c r="AB396">
        <f>INDEX('Cálculo Caja'!F:F,MATCH(Tabla_Consulta_desde_Reporte_de_Valorización_de_Instrumentos[[#This Row],[PORTAFOLIO]],'Cálculo Caja'!A:A,0),1)</f>
        <v>3164069580.822104</v>
      </c>
      <c r="AC396" s="17">
        <f>Tabla_Consulta_desde_Reporte_de_Valorización_de_Instrumentos[[#This Row],[VALOR_VECTOR_LOCAL]]/Tabla_Consulta_desde_Reporte_de_Valorización_de_Instrumentos[[#This Row],[Patrimonio]]</f>
        <v>1.3988992475159029E-2</v>
      </c>
      <c r="AD396" s="4">
        <f>(Tabla_Consulta_desde_Reporte_de_Valorización_de_Instrumentos[[#This Row],[VALOR_VECTOR_LOCAL]]/INDEX('Tipo de Cambio'!$D:$D,MATCH("2",'Tipo de Cambio'!$E:$E,0),1))/1000000</f>
        <v>13.169729999999998</v>
      </c>
      <c r="AE396">
        <f>IF(Tabla_Consulta_desde_Reporte_de_Valorización_de_Instrumentos[[#This Row],[PORTAFOLIO]]="IN-FONDO0",Tabla_Consulta_desde_Reporte_de_Valorización_de_Instrumentos[[#This Row],[Inv MM$]],0)</f>
        <v>0</v>
      </c>
      <c r="AF396" s="26">
        <f>IF(Tabla_Consulta_desde_Reporte_de_Valorización_de_Instrumentos[[#This Row],[PORTAFOLIO]]="IN-FONDO1",Tabla_Consulta_desde_Reporte_de_Valorización_de_Instrumentos[[#This Row],[Inv MM$]],0)</f>
        <v>0</v>
      </c>
      <c r="AG396" s="26">
        <f>IF(Tabla_Consulta_desde_Reporte_de_Valorización_de_Instrumentos[[#This Row],[PORTAFOLIO]]="IN-FONDO2",Tabla_Consulta_desde_Reporte_de_Valorización_de_Instrumentos[[#This Row],[Inv MM$]],0)</f>
        <v>0</v>
      </c>
      <c r="AH396" s="26">
        <f>IF(Tabla_Consulta_desde_Reporte_de_Valorización_de_Instrumentos[[#This Row],[PORTAFOLIO]]="IN-FONDO3",Tabla_Consulta_desde_Reporte_de_Valorización_de_Instrumentos[[#This Row],[Inv MM$]],0)</f>
        <v>13.169729999999998</v>
      </c>
      <c r="AI39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58.197664000000003</v>
      </c>
      <c r="AJ396" s="26">
        <f>IFERROR(IFERROR(INDEX('BD(MSCI)'!$T:$T,MATCH(Tabla_Consulta_desde_Reporte_de_Valorización_de_Instrumentos[[#This Row],[CODIGO_ISIN]],'BD(MSCI)'!$C:$C,0),1),INDEX('BD(MSCI)'!$T:$T,MATCH(Tabla_Consulta_desde_Reporte_de_Valorización_de_Instrumentos[[#This Row],[CODIGO_SBS]],'BD(MSCI)'!$C:$C,0),1)),0)</f>
        <v>22.768172870000001</v>
      </c>
      <c r="AK396" s="26">
        <f>Tabla_Consulta_desde_Reporte_de_Valorización_de_Instrumentos[[#This Row],[C02-H]]*Tabla_Consulta_desde_Reporte_de_Valorización_de_Instrumentos[[#This Row],[Inv MM$]]</f>
        <v>299.85068929122508</v>
      </c>
      <c r="AL396" s="26">
        <f>Tabla_Consulta_desde_Reporte_de_Valorización_de_Instrumentos[[#This Row],[C02-H]]*Tabla_Consulta_desde_Reporte_de_Valorización_de_Instrumentos[[#This Row],[Weight]]</f>
        <v>0.31850379895154995</v>
      </c>
      <c r="AM396" s="26" t="str">
        <f>INDEX(Parametria!G:G,MATCH(Tabla_Consulta_desde_Reporte_de_Valorización_de_Instrumentos[[#This Row],[CODIGO_SBS]],Parametria!C:C,0))</f>
        <v>52RVI</v>
      </c>
      <c r="AN396" s="26" t="str">
        <f>INDEX(Parametria!F:F,MATCH(Tabla_Consulta_desde_Reporte_de_Valorización_de_Instrumentos[[#This Row],[CODIGO_SBS]],Parametria!C:C,0))</f>
        <v>TD</v>
      </c>
      <c r="AO396" s="26" t="str">
        <f>+INDEX(Parametria!J:J,MATCH(Tabla_Consulta_desde_Reporte_de_Valorización_de_Instrumentos[[#This Row],[CODIGO_SBS]],Parametria!C:C,0))</f>
        <v>RVITD</v>
      </c>
      <c r="AP396" s="26">
        <f>Tabla_Consulta_desde_Reporte_de_Valorización_de_Instrumentos[[#This Row],[Huella]]/$AU$4</f>
        <v>2.7797590633624122E-2</v>
      </c>
      <c r="AQ396" s="26" t="str">
        <f>IFERROR(INDEX('BD(MSCI)'!W:W,MATCH(Tabla_Consulta_desde_Reporte_de_Valorización_de_Instrumentos[[#This Row],[CODIGO_ISIN]],'BD(MSCI)'!C:C,0)),IF(Tabla_Consulta_desde_Reporte_de_Valorización_de_Instrumentos[[#This Row],[Rank_rt]]="Cash","Cash","Cuestionario Integra"))</f>
        <v>ETF</v>
      </c>
      <c r="AR396" s="26" t="str">
        <f>IFERROR(INDEX('BD(MSCI)'!X:X,MATCH(Tabla_Consulta_desde_Reporte_de_Valorización_de_Instrumentos[[#This Row],[CODIGO_ISIN]],'BD(MSCI)'!C:C,0)),"Cuestionario Integra")</f>
        <v>Otros ETFs</v>
      </c>
      <c r="AU396" s="26"/>
    </row>
    <row r="397" spans="2:47" hidden="1" x14ac:dyDescent="0.25">
      <c r="B397" s="14" t="s">
        <v>6390</v>
      </c>
      <c r="C397" t="s">
        <v>586</v>
      </c>
      <c r="D397" t="s">
        <v>11</v>
      </c>
      <c r="E397" t="s">
        <v>587</v>
      </c>
      <c r="F397" t="s">
        <v>953</v>
      </c>
      <c r="G397" t="str">
        <f>INDEX(Parametria!H:H,MATCH(Tabla_Consulta_desde_Reporte_de_Valorización_de_Instrumentos[[#This Row],[CODIGO_SBS]],Parametria!C:C,0),1)</f>
        <v>Vanguard - Emerging Markets Bond Fund - II Institutional</v>
      </c>
      <c r="H397" t="s">
        <v>954</v>
      </c>
      <c r="I397" t="s">
        <v>156</v>
      </c>
      <c r="J397" t="s">
        <v>4857</v>
      </c>
      <c r="K397" t="s">
        <v>50</v>
      </c>
      <c r="L397">
        <v>1</v>
      </c>
      <c r="M397" s="5">
        <v>892.30131530000006</v>
      </c>
      <c r="N397">
        <v>265.494753</v>
      </c>
      <c r="O397">
        <v>1.83</v>
      </c>
      <c r="P397" s="15"/>
      <c r="R397">
        <v>3.3609</v>
      </c>
      <c r="S397" t="s">
        <v>155</v>
      </c>
      <c r="T397">
        <v>892.99202979999995</v>
      </c>
      <c r="U397" s="5">
        <v>265.56594000000001</v>
      </c>
      <c r="V397" t="s">
        <v>156</v>
      </c>
      <c r="W397">
        <v>0</v>
      </c>
      <c r="X397">
        <v>0</v>
      </c>
      <c r="Y397">
        <v>0</v>
      </c>
      <c r="Z397">
        <v>-3.8899999999999997E-2</v>
      </c>
      <c r="AA397" t="str">
        <f>+MID(Tabla_Consulta_desde_Reporte_de_Valorización_de_Instrumentos[[#This Row],[CODIGO_SBS]],7,1)</f>
        <v>2</v>
      </c>
      <c r="AB397">
        <f>INDEX('Cálculo Caja'!F:F,MATCH(Tabla_Consulta_desde_Reporte_de_Valorización_de_Instrumentos[[#This Row],[PORTAFOLIO]],'Cálculo Caja'!A:A,0),1)</f>
        <v>3164069580.822104</v>
      </c>
      <c r="AC397" s="17">
        <f>Tabla_Consulta_desde_Reporte_de_Valorización_de_Instrumentos[[#This Row],[VALOR_VECTOR_LOCAL]]/Tabla_Consulta_desde_Reporte_de_Valorización_de_Instrumentos[[#This Row],[Patrimonio]]</f>
        <v>2.8201064878862684E-7</v>
      </c>
      <c r="AD397" s="4">
        <f>(Tabla_Consulta_desde_Reporte_de_Valorización_de_Instrumentos[[#This Row],[VALOR_VECTOR_LOCAL]]/INDEX('Tipo de Cambio'!$D:$D,MATCH("2",'Tipo de Cambio'!$E:$E,0),1))/1000000</f>
        <v>2.6549475298283197E-4</v>
      </c>
      <c r="AE397">
        <f>IF(Tabla_Consulta_desde_Reporte_de_Valorización_de_Instrumentos[[#This Row],[PORTAFOLIO]]="IN-FONDO0",Tabla_Consulta_desde_Reporte_de_Valorización_de_Instrumentos[[#This Row],[Inv MM$]],0)</f>
        <v>0</v>
      </c>
      <c r="AF397" s="26">
        <f>IF(Tabla_Consulta_desde_Reporte_de_Valorización_de_Instrumentos[[#This Row],[PORTAFOLIO]]="IN-FONDO1",Tabla_Consulta_desde_Reporte_de_Valorización_de_Instrumentos[[#This Row],[Inv MM$]],0)</f>
        <v>0</v>
      </c>
      <c r="AG397" s="26">
        <f>IF(Tabla_Consulta_desde_Reporte_de_Valorización_de_Instrumentos[[#This Row],[PORTAFOLIO]]="IN-FONDO2",Tabla_Consulta_desde_Reporte_de_Valorización_de_Instrumentos[[#This Row],[Inv MM$]],0)</f>
        <v>0</v>
      </c>
      <c r="AH397" s="26">
        <f>IF(Tabla_Consulta_desde_Reporte_de_Valorización_de_Instrumentos[[#This Row],[PORTAFOLIO]]="IN-FONDO3",Tabla_Consulta_desde_Reporte_de_Valorización_de_Instrumentos[[#This Row],[Inv MM$]],0)</f>
        <v>2.6549475298283197E-4</v>
      </c>
      <c r="AI39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7.3410024597578033E-4</v>
      </c>
      <c r="AJ397" s="26">
        <f>IFERROR(IFERROR(INDEX('BD(MSCI)'!$T:$T,MATCH(Tabla_Consulta_desde_Reporte_de_Valorización_de_Instrumentos[[#This Row],[CODIGO_ISIN]],'BD(MSCI)'!$C:$C,0),1),INDEX('BD(MSCI)'!$T:$T,MATCH(Tabla_Consulta_desde_Reporte_de_Valorización_de_Instrumentos[[#This Row],[CODIGO_SBS]],'BD(MSCI)'!$C:$C,0),1)),0)</f>
        <v>434.14055299</v>
      </c>
      <c r="AK397" s="26">
        <f>Tabla_Consulta_desde_Reporte_de_Valorización_de_Instrumentos[[#This Row],[C02-H]]*Tabla_Consulta_desde_Reporte_de_Valorización_de_Instrumentos[[#This Row],[Inv MM$]]</f>
        <v>0.11526203887591012</v>
      </c>
      <c r="AL397" s="26">
        <f>Tabla_Consulta_desde_Reporte_de_Valorización_de_Instrumentos[[#This Row],[C02-H]]*Tabla_Consulta_desde_Reporte_de_Valorización_de_Instrumentos[[#This Row],[Weight]]</f>
        <v>1.2243225901416313E-4</v>
      </c>
      <c r="AM397" s="26" t="str">
        <f>INDEX(Parametria!G:G,MATCH(Tabla_Consulta_desde_Reporte_de_Valorización_de_Instrumentos[[#This Row],[CODIGO_SBS]],Parametria!C:C,0))</f>
        <v>52RFIG</v>
      </c>
      <c r="AN397" s="26" t="str">
        <f>INDEX(Parametria!F:F,MATCH(Tabla_Consulta_desde_Reporte_de_Valorización_de_Instrumentos[[#This Row],[CODIGO_SBS]],Parametria!C:C,0))</f>
        <v>TD</v>
      </c>
      <c r="AO397" s="26" t="str">
        <f>+INDEX(Parametria!J:J,MATCH(Tabla_Consulta_desde_Reporte_de_Valorización_de_Instrumentos[[#This Row],[CODIGO_SBS]],Parametria!C:C,0))</f>
        <v>RFITD</v>
      </c>
      <c r="AP397" s="26">
        <f>Tabla_Consulta_desde_Reporte_de_Valorización_de_Instrumentos[[#This Row],[Huella]]/$AU$4</f>
        <v>1.0685341360538208E-5</v>
      </c>
      <c r="AQ397" s="26" t="str">
        <f>IFERROR(INDEX('BD(MSCI)'!W:W,MATCH(Tabla_Consulta_desde_Reporte_de_Valorización_de_Instrumentos[[#This Row],[CODIGO_ISIN]],'BD(MSCI)'!C:C,0)),IF(Tabla_Consulta_desde_Reporte_de_Valorización_de_Instrumentos[[#This Row],[Rank_rt]]="Cash","Cash","Cuestionario Integra"))</f>
        <v>ETF</v>
      </c>
      <c r="AR397" s="26" t="str">
        <f>IFERROR(INDEX('BD(MSCI)'!X:X,MATCH(Tabla_Consulta_desde_Reporte_de_Valorización_de_Instrumentos[[#This Row],[CODIGO_ISIN]],'BD(MSCI)'!C:C,0)),"Cuestionario Integra")</f>
        <v>Otros ETFs</v>
      </c>
      <c r="AU397" s="26"/>
    </row>
    <row r="398" spans="2:47" hidden="1" x14ac:dyDescent="0.25">
      <c r="B398" s="14" t="s">
        <v>6390</v>
      </c>
      <c r="C398" t="s">
        <v>586</v>
      </c>
      <c r="D398" t="s">
        <v>11</v>
      </c>
      <c r="E398" t="s">
        <v>587</v>
      </c>
      <c r="F398" t="s">
        <v>955</v>
      </c>
      <c r="G398" t="str">
        <f>INDEX(Parametria!H:H,MATCH(Tabla_Consulta_desde_Reporte_de_Valorización_de_Instrumentos[[#This Row],[CODIGO_SBS]],Parametria!C:C,0),1)</f>
        <v>Vanguard - Emerging Markets Bond Fund - I Retail</v>
      </c>
      <c r="H398" t="s">
        <v>956</v>
      </c>
      <c r="I398" t="s">
        <v>156</v>
      </c>
      <c r="J398" t="s">
        <v>4857</v>
      </c>
      <c r="K398" t="s">
        <v>50</v>
      </c>
      <c r="L398">
        <v>1</v>
      </c>
      <c r="M398" s="5">
        <v>483.17407489999999</v>
      </c>
      <c r="N398">
        <v>143.76329999999999</v>
      </c>
      <c r="O398">
        <v>1</v>
      </c>
      <c r="P398" s="15"/>
      <c r="R398">
        <v>3.3609</v>
      </c>
      <c r="S398" t="s">
        <v>155</v>
      </c>
      <c r="T398">
        <v>483.54995020000001</v>
      </c>
      <c r="U398" s="5">
        <v>143.80240000000001</v>
      </c>
      <c r="V398" t="s">
        <v>156</v>
      </c>
      <c r="W398">
        <v>0</v>
      </c>
      <c r="X398">
        <v>0</v>
      </c>
      <c r="Y398">
        <v>0</v>
      </c>
      <c r="Z398">
        <v>-3.9100000000000003E-2</v>
      </c>
      <c r="AA398" t="str">
        <f>+MID(Tabla_Consulta_desde_Reporte_de_Valorización_de_Instrumentos[[#This Row],[CODIGO_SBS]],7,1)</f>
        <v>2</v>
      </c>
      <c r="AB398">
        <f>INDEX('Cálculo Caja'!F:F,MATCH(Tabla_Consulta_desde_Reporte_de_Valorización_de_Instrumentos[[#This Row],[PORTAFOLIO]],'Cálculo Caja'!A:A,0),1)</f>
        <v>3164069580.822104</v>
      </c>
      <c r="AC398" s="17">
        <f>Tabla_Consulta_desde_Reporte_de_Valorización_de_Instrumentos[[#This Row],[VALOR_VECTOR_LOCAL]]/Tabla_Consulta_desde_Reporte_de_Valorización_de_Instrumentos[[#This Row],[Patrimonio]]</f>
        <v>1.5270652637621812E-7</v>
      </c>
      <c r="AD398" s="4">
        <f>(Tabla_Consulta_desde_Reporte_de_Valorización_de_Instrumentos[[#This Row],[VALOR_VECTOR_LOCAL]]/INDEX('Tipo de Cambio'!$D:$D,MATCH("2",'Tipo de Cambio'!$E:$E,0),1))/1000000</f>
        <v>1.4376329997917224E-4</v>
      </c>
      <c r="AE398">
        <f>IF(Tabla_Consulta_desde_Reporte_de_Valorización_de_Instrumentos[[#This Row],[PORTAFOLIO]]="IN-FONDO0",Tabla_Consulta_desde_Reporte_de_Valorización_de_Instrumentos[[#This Row],[Inv MM$]],0)</f>
        <v>0</v>
      </c>
      <c r="AF398" s="26">
        <f>IF(Tabla_Consulta_desde_Reporte_de_Valorización_de_Instrumentos[[#This Row],[PORTAFOLIO]]="IN-FONDO1",Tabla_Consulta_desde_Reporte_de_Valorización_de_Instrumentos[[#This Row],[Inv MM$]],0)</f>
        <v>0</v>
      </c>
      <c r="AG398" s="26">
        <f>IF(Tabla_Consulta_desde_Reporte_de_Valorización_de_Instrumentos[[#This Row],[PORTAFOLIO]]="IN-FONDO2",Tabla_Consulta_desde_Reporte_de_Valorización_de_Instrumentos[[#This Row],[Inv MM$]],0)</f>
        <v>0</v>
      </c>
      <c r="AH398" s="26">
        <f>IF(Tabla_Consulta_desde_Reporte_de_Valorización_de_Instrumentos[[#This Row],[PORTAFOLIO]]="IN-FONDO3",Tabla_Consulta_desde_Reporte_de_Valorización_de_Instrumentos[[#This Row],[Inv MM$]],0)</f>
        <v>1.4376329997917224E-4</v>
      </c>
      <c r="AI39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4.3416516596744918E-4</v>
      </c>
      <c r="AJ398" s="26">
        <f>IFERROR(IFERROR(INDEX('BD(MSCI)'!$T:$T,MATCH(Tabla_Consulta_desde_Reporte_de_Valorización_de_Instrumentos[[#This Row],[CODIGO_ISIN]],'BD(MSCI)'!$C:$C,0),1),INDEX('BD(MSCI)'!$T:$T,MATCH(Tabla_Consulta_desde_Reporte_de_Valorización_de_Instrumentos[[#This Row],[CODIGO_SBS]],'BD(MSCI)'!$C:$C,0),1)),0)</f>
        <v>434.14055299</v>
      </c>
      <c r="AK398" s="26">
        <f>Tabla_Consulta_desde_Reporte_de_Valorización_de_Instrumentos[[#This Row],[C02-H]]*Tabla_Consulta_desde_Reporte_de_Valorización_de_Instrumentos[[#This Row],[Inv MM$]]</f>
        <v>6.2413478552625093E-2</v>
      </c>
      <c r="AL398" s="26">
        <f>Tabla_Consulta_desde_Reporte_de_Valorización_de_Instrumentos[[#This Row],[C02-H]]*Tabla_Consulta_desde_Reporte_de_Valorización_de_Instrumentos[[#This Row],[Weight]]</f>
        <v>6.6296095806153352E-5</v>
      </c>
      <c r="AM398" s="26" t="str">
        <f>INDEX(Parametria!G:G,MATCH(Tabla_Consulta_desde_Reporte_de_Valorización_de_Instrumentos[[#This Row],[CODIGO_SBS]],Parametria!C:C,0))</f>
        <v>52RFIG</v>
      </c>
      <c r="AN398" s="26" t="str">
        <f>INDEX(Parametria!F:F,MATCH(Tabla_Consulta_desde_Reporte_de_Valorización_de_Instrumentos[[#This Row],[CODIGO_SBS]],Parametria!C:C,0))</f>
        <v>TD</v>
      </c>
      <c r="AO398" s="26" t="str">
        <f>+INDEX(Parametria!J:J,MATCH(Tabla_Consulta_desde_Reporte_de_Valorización_de_Instrumentos[[#This Row],[CODIGO_SBS]],Parametria!C:C,0))</f>
        <v>RFITD</v>
      </c>
      <c r="AP398" s="26">
        <f>Tabla_Consulta_desde_Reporte_de_Valorización_de_Instrumentos[[#This Row],[Huella]]/$AU$4</f>
        <v>5.7860274756324304E-6</v>
      </c>
      <c r="AQ398" s="26" t="str">
        <f>IFERROR(INDEX('BD(MSCI)'!W:W,MATCH(Tabla_Consulta_desde_Reporte_de_Valorización_de_Instrumentos[[#This Row],[CODIGO_ISIN]],'BD(MSCI)'!C:C,0)),IF(Tabla_Consulta_desde_Reporte_de_Valorización_de_Instrumentos[[#This Row],[Rank_rt]]="Cash","Cash","Cuestionario Integra"))</f>
        <v>ETF</v>
      </c>
      <c r="AR398" s="26" t="str">
        <f>IFERROR(INDEX('BD(MSCI)'!X:X,MATCH(Tabla_Consulta_desde_Reporte_de_Valorización_de_Instrumentos[[#This Row],[CODIGO_ISIN]],'BD(MSCI)'!C:C,0)),"Cuestionario Integra")</f>
        <v>Otros ETFs</v>
      </c>
      <c r="AU398" s="26"/>
    </row>
    <row r="399" spans="2:47" hidden="1" x14ac:dyDescent="0.25">
      <c r="B399" s="14" t="s">
        <v>6390</v>
      </c>
      <c r="C399" t="s">
        <v>586</v>
      </c>
      <c r="D399" t="s">
        <v>10</v>
      </c>
      <c r="E399" t="s">
        <v>587</v>
      </c>
      <c r="F399" t="s">
        <v>955</v>
      </c>
      <c r="G399" t="str">
        <f>INDEX(Parametria!H:H,MATCH(Tabla_Consulta_desde_Reporte_de_Valorización_de_Instrumentos[[#This Row],[CODIGO_SBS]],Parametria!C:C,0),1)</f>
        <v>Vanguard - Emerging Markets Bond Fund - I Retail</v>
      </c>
      <c r="H399" t="s">
        <v>956</v>
      </c>
      <c r="I399" t="s">
        <v>156</v>
      </c>
      <c r="J399" t="s">
        <v>4857</v>
      </c>
      <c r="K399" t="s">
        <v>50</v>
      </c>
      <c r="L399">
        <v>1</v>
      </c>
      <c r="M399" s="5">
        <v>488.00581570000003</v>
      </c>
      <c r="N399">
        <v>145.20093299999999</v>
      </c>
      <c r="O399">
        <v>1.01</v>
      </c>
      <c r="P399" s="15"/>
      <c r="R399">
        <v>3.3609</v>
      </c>
      <c r="S399" t="s">
        <v>155</v>
      </c>
      <c r="T399">
        <v>488.38544969999998</v>
      </c>
      <c r="U399" s="5">
        <v>145.24042399999999</v>
      </c>
      <c r="V399" t="s">
        <v>156</v>
      </c>
      <c r="W399">
        <v>0</v>
      </c>
      <c r="X399">
        <v>0</v>
      </c>
      <c r="Y399">
        <v>0</v>
      </c>
      <c r="Z399">
        <v>-3.9100000000000003E-2</v>
      </c>
      <c r="AA399" t="str">
        <f>+MID(Tabla_Consulta_desde_Reporte_de_Valorización_de_Instrumentos[[#This Row],[CODIGO_SBS]],7,1)</f>
        <v>2</v>
      </c>
      <c r="AB399">
        <f>INDEX('Cálculo Caja'!F:F,MATCH(Tabla_Consulta_desde_Reporte_de_Valorización_de_Instrumentos[[#This Row],[PORTAFOLIO]],'Cálculo Caja'!A:A,0),1)</f>
        <v>26256910350.436607</v>
      </c>
      <c r="AC399" s="17">
        <f>Tabla_Consulta_desde_Reporte_de_Valorización_de_Instrumentos[[#This Row],[VALOR_VECTOR_LOCAL]]/Tabla_Consulta_desde_Reporte_de_Valorización_de_Instrumentos[[#This Row],[Patrimonio]]</f>
        <v>1.8585805000925608E-8</v>
      </c>
      <c r="AD399" s="4">
        <f>(Tabla_Consulta_desde_Reporte_de_Valorización_de_Instrumentos[[#This Row],[VALOR_VECTOR_LOCAL]]/INDEX('Tipo de Cambio'!$D:$D,MATCH("2",'Tipo de Cambio'!$E:$E,0),1))/1000000</f>
        <v>1.4520093299413847E-4</v>
      </c>
      <c r="AE399">
        <f>IF(Tabla_Consulta_desde_Reporte_de_Valorización_de_Instrumentos[[#This Row],[PORTAFOLIO]]="IN-FONDO0",Tabla_Consulta_desde_Reporte_de_Valorización_de_Instrumentos[[#This Row],[Inv MM$]],0)</f>
        <v>0</v>
      </c>
      <c r="AF399" s="26">
        <f>IF(Tabla_Consulta_desde_Reporte_de_Valorización_de_Instrumentos[[#This Row],[PORTAFOLIO]]="IN-FONDO1",Tabla_Consulta_desde_Reporte_de_Valorización_de_Instrumentos[[#This Row],[Inv MM$]],0)</f>
        <v>0</v>
      </c>
      <c r="AG399" s="26">
        <f>IF(Tabla_Consulta_desde_Reporte_de_Valorización_de_Instrumentos[[#This Row],[PORTAFOLIO]]="IN-FONDO2",Tabla_Consulta_desde_Reporte_de_Valorización_de_Instrumentos[[#This Row],[Inv MM$]],0)</f>
        <v>1.4520093299413847E-4</v>
      </c>
      <c r="AH399" s="26">
        <f>IF(Tabla_Consulta_desde_Reporte_de_Valorización_de_Instrumentos[[#This Row],[PORTAFOLIO]]="IN-FONDO3",Tabla_Consulta_desde_Reporte_de_Valorización_de_Instrumentos[[#This Row],[Inv MM$]],0)</f>
        <v>0</v>
      </c>
      <c r="AI39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4.3416516596744918E-4</v>
      </c>
      <c r="AJ399" s="26">
        <f>IFERROR(IFERROR(INDEX('BD(MSCI)'!$T:$T,MATCH(Tabla_Consulta_desde_Reporte_de_Valorización_de_Instrumentos[[#This Row],[CODIGO_ISIN]],'BD(MSCI)'!$C:$C,0),1),INDEX('BD(MSCI)'!$T:$T,MATCH(Tabla_Consulta_desde_Reporte_de_Valorización_de_Instrumentos[[#This Row],[CODIGO_SBS]],'BD(MSCI)'!$C:$C,0),1)),0)</f>
        <v>434.14055299</v>
      </c>
      <c r="AK399" s="26">
        <f>Tabla_Consulta_desde_Reporte_de_Valorización_de_Instrumentos[[#This Row],[C02-H]]*Tabla_Consulta_desde_Reporte_de_Valorización_de_Instrumentos[[#This Row],[Inv MM$]]</f>
        <v>6.3037613344739216E-2</v>
      </c>
      <c r="AL399" s="26">
        <f>Tabla_Consulta_desde_Reporte_de_Valorización_de_Instrumentos[[#This Row],[C02-H]]*Tabla_Consulta_desde_Reporte_de_Valorización_de_Instrumentos[[#This Row],[Weight]]</f>
        <v>8.0688516608661517E-6</v>
      </c>
      <c r="AM399" s="26" t="str">
        <f>INDEX(Parametria!G:G,MATCH(Tabla_Consulta_desde_Reporte_de_Valorización_de_Instrumentos[[#This Row],[CODIGO_SBS]],Parametria!C:C,0))</f>
        <v>52RFIG</v>
      </c>
      <c r="AN399" s="26" t="str">
        <f>INDEX(Parametria!F:F,MATCH(Tabla_Consulta_desde_Reporte_de_Valorización_de_Instrumentos[[#This Row],[CODIGO_SBS]],Parametria!C:C,0))</f>
        <v>TD</v>
      </c>
      <c r="AO399" s="26" t="str">
        <f>+INDEX(Parametria!J:J,MATCH(Tabla_Consulta_desde_Reporte_de_Valorización_de_Instrumentos[[#This Row],[CODIGO_SBS]],Parametria!C:C,0))</f>
        <v>RFITD</v>
      </c>
      <c r="AP399" s="26">
        <f>Tabla_Consulta_desde_Reporte_de_Valorización_de_Instrumentos[[#This Row],[Huella]]/$AU$4</f>
        <v>5.8438877509994818E-6</v>
      </c>
      <c r="AQ399" s="26" t="str">
        <f>IFERROR(INDEX('BD(MSCI)'!W:W,MATCH(Tabla_Consulta_desde_Reporte_de_Valorización_de_Instrumentos[[#This Row],[CODIGO_ISIN]],'BD(MSCI)'!C:C,0)),IF(Tabla_Consulta_desde_Reporte_de_Valorización_de_Instrumentos[[#This Row],[Rank_rt]]="Cash","Cash","Cuestionario Integra"))</f>
        <v>ETF</v>
      </c>
      <c r="AR399" s="26" t="str">
        <f>IFERROR(INDEX('BD(MSCI)'!X:X,MATCH(Tabla_Consulta_desde_Reporte_de_Valorización_de_Instrumentos[[#This Row],[CODIGO_ISIN]],'BD(MSCI)'!C:C,0)),"Cuestionario Integra")</f>
        <v>Otros ETFs</v>
      </c>
      <c r="AU399" s="26"/>
    </row>
    <row r="400" spans="2:47" hidden="1" x14ac:dyDescent="0.25">
      <c r="B400" s="14" t="s">
        <v>6390</v>
      </c>
      <c r="C400" t="s">
        <v>586</v>
      </c>
      <c r="D400" t="s">
        <v>10</v>
      </c>
      <c r="E400" t="s">
        <v>587</v>
      </c>
      <c r="F400" t="s">
        <v>953</v>
      </c>
      <c r="G400" t="str">
        <f>INDEX(Parametria!H:H,MATCH(Tabla_Consulta_desde_Reporte_de_Valorización_de_Instrumentos[[#This Row],[CODIGO_SBS]],Parametria!C:C,0),1)</f>
        <v>Vanguard - Emerging Markets Bond Fund - II Institutional</v>
      </c>
      <c r="H400" t="s">
        <v>954</v>
      </c>
      <c r="I400" t="s">
        <v>156</v>
      </c>
      <c r="J400" t="s">
        <v>4857</v>
      </c>
      <c r="K400" t="s">
        <v>50</v>
      </c>
      <c r="L400">
        <v>1</v>
      </c>
      <c r="M400" s="5">
        <v>604.61947050000003</v>
      </c>
      <c r="N400">
        <v>179.89808400000001</v>
      </c>
      <c r="O400">
        <v>1.24</v>
      </c>
      <c r="P400" s="15"/>
      <c r="R400">
        <v>3.3609</v>
      </c>
      <c r="S400" t="s">
        <v>155</v>
      </c>
      <c r="T400">
        <v>605.08749560000001</v>
      </c>
      <c r="U400" s="5">
        <v>179.94631999999999</v>
      </c>
      <c r="V400" t="s">
        <v>156</v>
      </c>
      <c r="W400">
        <v>0</v>
      </c>
      <c r="X400">
        <v>0</v>
      </c>
      <c r="Y400">
        <v>0</v>
      </c>
      <c r="Z400">
        <v>-3.8899999999999997E-2</v>
      </c>
      <c r="AA400" t="str">
        <f>+MID(Tabla_Consulta_desde_Reporte_de_Valorización_de_Instrumentos[[#This Row],[CODIGO_SBS]],7,1)</f>
        <v>2</v>
      </c>
      <c r="AB400">
        <f>INDEX('Cálculo Caja'!F:F,MATCH(Tabla_Consulta_desde_Reporte_de_Valorización_de_Instrumentos[[#This Row],[PORTAFOLIO]],'Cálculo Caja'!A:A,0),1)</f>
        <v>26256910350.436607</v>
      </c>
      <c r="AC400" s="17">
        <f>Tabla_Consulta_desde_Reporte_de_Valorización_de_Instrumentos[[#This Row],[VALOR_VECTOR_LOCAL]]/Tabla_Consulta_desde_Reporte_de_Valorización_de_Instrumentos[[#This Row],[Patrimonio]]</f>
        <v>2.3027060778685496E-8</v>
      </c>
      <c r="AD400" s="4">
        <f>(Tabla_Consulta_desde_Reporte_de_Valorización_de_Instrumentos[[#This Row],[VALOR_VECTOR_LOCAL]]/INDEX('Tipo de Cambio'!$D:$D,MATCH("2",'Tipo de Cambio'!$E:$E,0),1))/1000000</f>
        <v>1.7989808399535842E-4</v>
      </c>
      <c r="AE400">
        <f>IF(Tabla_Consulta_desde_Reporte_de_Valorización_de_Instrumentos[[#This Row],[PORTAFOLIO]]="IN-FONDO0",Tabla_Consulta_desde_Reporte_de_Valorización_de_Instrumentos[[#This Row],[Inv MM$]],0)</f>
        <v>0</v>
      </c>
      <c r="AF400" s="26">
        <f>IF(Tabla_Consulta_desde_Reporte_de_Valorización_de_Instrumentos[[#This Row],[PORTAFOLIO]]="IN-FONDO1",Tabla_Consulta_desde_Reporte_de_Valorización_de_Instrumentos[[#This Row],[Inv MM$]],0)</f>
        <v>0</v>
      </c>
      <c r="AG400" s="26">
        <f>IF(Tabla_Consulta_desde_Reporte_de_Valorización_de_Instrumentos[[#This Row],[PORTAFOLIO]]="IN-FONDO2",Tabla_Consulta_desde_Reporte_de_Valorización_de_Instrumentos[[#This Row],[Inv MM$]],0)</f>
        <v>1.7989808399535842E-4</v>
      </c>
      <c r="AH400" s="26">
        <f>IF(Tabla_Consulta_desde_Reporte_de_Valorización_de_Instrumentos[[#This Row],[PORTAFOLIO]]="IN-FONDO3",Tabla_Consulta_desde_Reporte_de_Valorización_de_Instrumentos[[#This Row],[Inv MM$]],0)</f>
        <v>0</v>
      </c>
      <c r="AI40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7.3410024597578033E-4</v>
      </c>
      <c r="AJ400" s="26">
        <f>IFERROR(IFERROR(INDEX('BD(MSCI)'!$T:$T,MATCH(Tabla_Consulta_desde_Reporte_de_Valorización_de_Instrumentos[[#This Row],[CODIGO_ISIN]],'BD(MSCI)'!$C:$C,0),1),INDEX('BD(MSCI)'!$T:$T,MATCH(Tabla_Consulta_desde_Reporte_de_Valorización_de_Instrumentos[[#This Row],[CODIGO_SBS]],'BD(MSCI)'!$C:$C,0),1)),0)</f>
        <v>434.14055299</v>
      </c>
      <c r="AK400" s="26">
        <f>Tabla_Consulta_desde_Reporte_de_Valorización_de_Instrumentos[[#This Row],[C02-H]]*Tabla_Consulta_desde_Reporte_de_Valorización_de_Instrumentos[[#This Row],[Inv MM$]]</f>
        <v>7.8101053667586379E-2</v>
      </c>
      <c r="AL400" s="26">
        <f>Tabla_Consulta_desde_Reporte_de_Valorización_de_Instrumentos[[#This Row],[C02-H]]*Tabla_Consulta_desde_Reporte_de_Valorización_de_Instrumentos[[#This Row],[Weight]]</f>
        <v>9.9969809001928617E-6</v>
      </c>
      <c r="AM400" s="26" t="str">
        <f>INDEX(Parametria!G:G,MATCH(Tabla_Consulta_desde_Reporte_de_Valorización_de_Instrumentos[[#This Row],[CODIGO_SBS]],Parametria!C:C,0))</f>
        <v>52RFIG</v>
      </c>
      <c r="AN400" s="26" t="str">
        <f>INDEX(Parametria!F:F,MATCH(Tabla_Consulta_desde_Reporte_de_Valorización_de_Instrumentos[[#This Row],[CODIGO_SBS]],Parametria!C:C,0))</f>
        <v>TD</v>
      </c>
      <c r="AO400" s="26" t="str">
        <f>+INDEX(Parametria!J:J,MATCH(Tabla_Consulta_desde_Reporte_de_Valorización_de_Instrumentos[[#This Row],[CODIGO_SBS]],Parametria!C:C,0))</f>
        <v>RFITD</v>
      </c>
      <c r="AP400" s="26">
        <f>Tabla_Consulta_desde_Reporte_de_Valorización_de_Instrumentos[[#This Row],[Huella]]/$AU$4</f>
        <v>7.2403405943072735E-6</v>
      </c>
      <c r="AQ400" s="26" t="str">
        <f>IFERROR(INDEX('BD(MSCI)'!W:W,MATCH(Tabla_Consulta_desde_Reporte_de_Valorización_de_Instrumentos[[#This Row],[CODIGO_ISIN]],'BD(MSCI)'!C:C,0)),IF(Tabla_Consulta_desde_Reporte_de_Valorización_de_Instrumentos[[#This Row],[Rank_rt]]="Cash","Cash","Cuestionario Integra"))</f>
        <v>ETF</v>
      </c>
      <c r="AR400" s="26" t="str">
        <f>IFERROR(INDEX('BD(MSCI)'!X:X,MATCH(Tabla_Consulta_desde_Reporte_de_Valorización_de_Instrumentos[[#This Row],[CODIGO_ISIN]],'BD(MSCI)'!C:C,0)),"Cuestionario Integra")</f>
        <v>Otros ETFs</v>
      </c>
      <c r="AU400" s="26"/>
    </row>
    <row r="401" spans="2:47" hidden="1" x14ac:dyDescent="0.25">
      <c r="B401" s="14" t="s">
        <v>6390</v>
      </c>
      <c r="C401" t="s">
        <v>586</v>
      </c>
      <c r="D401" t="s">
        <v>10</v>
      </c>
      <c r="E401" t="s">
        <v>587</v>
      </c>
      <c r="F401" t="s">
        <v>725</v>
      </c>
      <c r="G401" t="str">
        <f>INDEX(Parametria!H:H,MATCH(Tabla_Consulta_desde_Reporte_de_Valorización_de_Instrumentos[[#This Row],[CODIGO_SBS]],Parametria!C:C,0),1)</f>
        <v>Vanguard - S&amp;P 500 ETF</v>
      </c>
      <c r="H401" t="s">
        <v>726</v>
      </c>
      <c r="I401" t="s">
        <v>156</v>
      </c>
      <c r="J401" t="s">
        <v>4857</v>
      </c>
      <c r="K401" t="s">
        <v>50</v>
      </c>
      <c r="L401">
        <v>1</v>
      </c>
      <c r="M401" s="5">
        <v>151334383.38060001</v>
      </c>
      <c r="N401">
        <v>45027934</v>
      </c>
      <c r="O401">
        <v>71800</v>
      </c>
      <c r="P401" s="15"/>
      <c r="R401">
        <v>3.3609</v>
      </c>
      <c r="S401" t="s">
        <v>428</v>
      </c>
      <c r="T401">
        <v>323306538.47839999</v>
      </c>
      <c r="U401" s="5">
        <v>96147784</v>
      </c>
      <c r="V401" t="s">
        <v>156</v>
      </c>
      <c r="W401">
        <v>0</v>
      </c>
      <c r="X401">
        <v>0</v>
      </c>
      <c r="Y401">
        <v>0</v>
      </c>
      <c r="Z401">
        <v>-4.59</v>
      </c>
      <c r="AA401" t="str">
        <f>+MID(Tabla_Consulta_desde_Reporte_de_Valorización_de_Instrumentos[[#This Row],[CODIGO_SBS]],7,1)</f>
        <v>2</v>
      </c>
      <c r="AB401">
        <f>INDEX('Cálculo Caja'!F:F,MATCH(Tabla_Consulta_desde_Reporte_de_Valorización_de_Instrumentos[[#This Row],[PORTAFOLIO]],'Cálculo Caja'!A:A,0),1)</f>
        <v>26256910350.436607</v>
      </c>
      <c r="AC401" s="17">
        <f>Tabla_Consulta_desde_Reporte_de_Valorización_de_Instrumentos[[#This Row],[VALOR_VECTOR_LOCAL]]/Tabla_Consulta_desde_Reporte_de_Valorización_de_Instrumentos[[#This Row],[Patrimonio]]</f>
        <v>5.7636020903001472E-3</v>
      </c>
      <c r="AD401" s="4">
        <f>(Tabla_Consulta_desde_Reporte_de_Valorización_de_Instrumentos[[#This Row],[VALOR_VECTOR_LOCAL]]/INDEX('Tipo de Cambio'!$D:$D,MATCH("2",'Tipo de Cambio'!$E:$E,0),1))/1000000</f>
        <v>45.027934000000002</v>
      </c>
      <c r="AE401">
        <f>IF(Tabla_Consulta_desde_Reporte_de_Valorización_de_Instrumentos[[#This Row],[PORTAFOLIO]]="IN-FONDO0",Tabla_Consulta_desde_Reporte_de_Valorización_de_Instrumentos[[#This Row],[Inv MM$]],0)</f>
        <v>0</v>
      </c>
      <c r="AF401" s="26">
        <f>IF(Tabla_Consulta_desde_Reporte_de_Valorización_de_Instrumentos[[#This Row],[PORTAFOLIO]]="IN-FONDO1",Tabla_Consulta_desde_Reporte_de_Valorización_de_Instrumentos[[#This Row],[Inv MM$]],0)</f>
        <v>0</v>
      </c>
      <c r="AG401" s="26">
        <f>IF(Tabla_Consulta_desde_Reporte_de_Valorización_de_Instrumentos[[#This Row],[PORTAFOLIO]]="IN-FONDO2",Tabla_Consulta_desde_Reporte_de_Valorización_de_Instrumentos[[#This Row],[Inv MM$]],0)</f>
        <v>45.027934000000002</v>
      </c>
      <c r="AH401" s="26">
        <f>IF(Tabla_Consulta_desde_Reporte_de_Valorización_de_Instrumentos[[#This Row],[PORTAFOLIO]]="IN-FONDO3",Tabla_Consulta_desde_Reporte_de_Valorización_de_Instrumentos[[#This Row],[Inv MM$]],0)</f>
        <v>0</v>
      </c>
      <c r="AI40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58.197664000000003</v>
      </c>
      <c r="AJ401" s="26">
        <f>IFERROR(IFERROR(INDEX('BD(MSCI)'!$T:$T,MATCH(Tabla_Consulta_desde_Reporte_de_Valorización_de_Instrumentos[[#This Row],[CODIGO_ISIN]],'BD(MSCI)'!$C:$C,0),1),INDEX('BD(MSCI)'!$T:$T,MATCH(Tabla_Consulta_desde_Reporte_de_Valorización_de_Instrumentos[[#This Row],[CODIGO_SBS]],'BD(MSCI)'!$C:$C,0),1)),0)</f>
        <v>22.768172870000001</v>
      </c>
      <c r="AK401" s="26">
        <f>Tabla_Consulta_desde_Reporte_de_Valorización_de_Instrumentos[[#This Row],[C02-H]]*Tabla_Consulta_desde_Reporte_de_Valorización_de_Instrumentos[[#This Row],[Inv MM$]]</f>
        <v>1025.2037852909507</v>
      </c>
      <c r="AL401" s="26">
        <f>Tabla_Consulta_desde_Reporte_de_Valorización_de_Instrumentos[[#This Row],[C02-H]]*Tabla_Consulta_desde_Reporte_de_Valorización_de_Instrumentos[[#This Row],[Weight]]</f>
        <v>0.13122668874584711</v>
      </c>
      <c r="AM401" s="26" t="str">
        <f>INDEX(Parametria!G:G,MATCH(Tabla_Consulta_desde_Reporte_de_Valorización_de_Instrumentos[[#This Row],[CODIGO_SBS]],Parametria!C:C,0))</f>
        <v>52RVI</v>
      </c>
      <c r="AN401" s="26" t="str">
        <f>INDEX(Parametria!F:F,MATCH(Tabla_Consulta_desde_Reporte_de_Valorización_de_Instrumentos[[#This Row],[CODIGO_SBS]],Parametria!C:C,0))</f>
        <v>TD</v>
      </c>
      <c r="AO401" s="26" t="str">
        <f>+INDEX(Parametria!J:J,MATCH(Tabla_Consulta_desde_Reporte_de_Valorización_de_Instrumentos[[#This Row],[CODIGO_SBS]],Parametria!C:C,0))</f>
        <v>RVITD</v>
      </c>
      <c r="AP401" s="26">
        <f>Tabla_Consulta_desde_Reporte_de_Valorización_de_Instrumentos[[#This Row],[Huella]]/$AU$4</f>
        <v>9.5041286071152975E-2</v>
      </c>
      <c r="AQ401" s="26" t="str">
        <f>IFERROR(INDEX('BD(MSCI)'!W:W,MATCH(Tabla_Consulta_desde_Reporte_de_Valorización_de_Instrumentos[[#This Row],[CODIGO_ISIN]],'BD(MSCI)'!C:C,0)),IF(Tabla_Consulta_desde_Reporte_de_Valorización_de_Instrumentos[[#This Row],[Rank_rt]]="Cash","Cash","Cuestionario Integra"))</f>
        <v>ETF</v>
      </c>
      <c r="AR401" s="26" t="str">
        <f>IFERROR(INDEX('BD(MSCI)'!X:X,MATCH(Tabla_Consulta_desde_Reporte_de_Valorización_de_Instrumentos[[#This Row],[CODIGO_ISIN]],'BD(MSCI)'!C:C,0)),"Cuestionario Integra")</f>
        <v>Otros ETFs</v>
      </c>
      <c r="AU401" s="26"/>
    </row>
    <row r="402" spans="2:47" hidden="1" x14ac:dyDescent="0.25">
      <c r="B402" s="14" t="s">
        <v>6390</v>
      </c>
      <c r="C402" t="s">
        <v>727</v>
      </c>
      <c r="D402" t="s">
        <v>10</v>
      </c>
      <c r="E402" t="s">
        <v>728</v>
      </c>
      <c r="F402" t="s">
        <v>729</v>
      </c>
      <c r="G402" t="str">
        <f>INDEX(Parametria!H:H,MATCH(Tabla_Consulta_desde_Reporte_de_Valorización_de_Instrumentos[[#This Row],[CODIGO_SBS]],Parametria!C:C,0),1)</f>
        <v>ASF VIII GP Limited</v>
      </c>
      <c r="H402" t="s">
        <v>729</v>
      </c>
      <c r="I402" t="s">
        <v>156</v>
      </c>
      <c r="J402" t="s">
        <v>730</v>
      </c>
      <c r="K402" t="s">
        <v>50</v>
      </c>
      <c r="L402">
        <v>1</v>
      </c>
      <c r="M402" s="5">
        <v>326558685.88154072</v>
      </c>
      <c r="N402">
        <v>97164058.996560693</v>
      </c>
      <c r="O402">
        <v>12.346203300000001</v>
      </c>
      <c r="P402" s="15">
        <v>47037</v>
      </c>
      <c r="Q402">
        <v>1015</v>
      </c>
      <c r="R402">
        <v>3.3609</v>
      </c>
      <c r="S402" t="s">
        <v>428</v>
      </c>
      <c r="T402">
        <v>326723864.78183478</v>
      </c>
      <c r="U402" s="5">
        <v>97164058.996560693</v>
      </c>
      <c r="V402" t="s">
        <v>156</v>
      </c>
      <c r="W402">
        <v>0</v>
      </c>
      <c r="X402">
        <v>0</v>
      </c>
      <c r="Y402">
        <v>0</v>
      </c>
      <c r="Z402">
        <v>0</v>
      </c>
      <c r="AA402" t="str">
        <f>+MID(Tabla_Consulta_desde_Reporte_de_Valorización_de_Instrumentos[[#This Row],[CODIGO_SBS]],7,1)</f>
        <v>2</v>
      </c>
      <c r="AB402">
        <f>INDEX('Cálculo Caja'!F:F,MATCH(Tabla_Consulta_desde_Reporte_de_Valorización_de_Instrumentos[[#This Row],[PORTAFOLIO]],'Cálculo Caja'!A:A,0),1)</f>
        <v>26256910350.436607</v>
      </c>
      <c r="AC402" s="17">
        <f>Tabla_Consulta_desde_Reporte_de_Valorización_de_Instrumentos[[#This Row],[VALOR_VECTOR_LOCAL]]/Tabla_Consulta_desde_Reporte_de_Valorización_de_Instrumentos[[#This Row],[Patrimonio]]</f>
        <v>1.2437056817544057E-2</v>
      </c>
      <c r="AD402" s="4">
        <f>(Tabla_Consulta_desde_Reporte_de_Valorización_de_Instrumentos[[#This Row],[VALOR_VECTOR_LOCAL]]/INDEX('Tipo de Cambio'!$D:$D,MATCH("2",'Tipo de Cambio'!$E:$E,0),1))/1000000</f>
        <v>97.164058996560669</v>
      </c>
      <c r="AE402">
        <f>IF(Tabla_Consulta_desde_Reporte_de_Valorización_de_Instrumentos[[#This Row],[PORTAFOLIO]]="IN-FONDO0",Tabla_Consulta_desde_Reporte_de_Valorización_de_Instrumentos[[#This Row],[Inv MM$]],0)</f>
        <v>0</v>
      </c>
      <c r="AF402" s="26">
        <f>IF(Tabla_Consulta_desde_Reporte_de_Valorización_de_Instrumentos[[#This Row],[PORTAFOLIO]]="IN-FONDO1",Tabla_Consulta_desde_Reporte_de_Valorización_de_Instrumentos[[#This Row],[Inv MM$]],0)</f>
        <v>0</v>
      </c>
      <c r="AG402" s="26">
        <f>IF(Tabla_Consulta_desde_Reporte_de_Valorización_de_Instrumentos[[#This Row],[PORTAFOLIO]]="IN-FONDO2",Tabla_Consulta_desde_Reporte_de_Valorización_de_Instrumentos[[#This Row],[Inv MM$]],0)</f>
        <v>97.164058996560669</v>
      </c>
      <c r="AH402" s="26">
        <f>IF(Tabla_Consulta_desde_Reporte_de_Valorización_de_Instrumentos[[#This Row],[PORTAFOLIO]]="IN-FONDO3",Tabla_Consulta_desde_Reporte_de_Valorización_de_Instrumentos[[#This Row],[Inv MM$]],0)</f>
        <v>0</v>
      </c>
      <c r="AI40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97.164058996560669</v>
      </c>
      <c r="AJ402" s="26">
        <f>IFERROR(IFERROR(INDEX('BD(MSCI)'!$T:$T,MATCH(Tabla_Consulta_desde_Reporte_de_Valorización_de_Instrumentos[[#This Row],[CODIGO_ISIN]],'BD(MSCI)'!$C:$C,0),1),INDEX('BD(MSCI)'!$T:$T,MATCH(Tabla_Consulta_desde_Reporte_de_Valorización_de_Instrumentos[[#This Row],[CODIGO_SBS]],'BD(MSCI)'!$C:$C,0),1)),0)</f>
        <v>39.508152340000002</v>
      </c>
      <c r="AK402" s="26">
        <f>Tabla_Consulta_desde_Reporte_de_Valorización_de_Instrumentos[[#This Row],[C02-H]]*Tabla_Consulta_desde_Reporte_de_Valorización_de_Instrumentos[[#This Row],[Inv MM$]]</f>
        <v>3838.7724448088666</v>
      </c>
      <c r="AL402" s="26">
        <f>Tabla_Consulta_desde_Reporte_de_Valorización_de_Instrumentos[[#This Row],[C02-H]]*Tabla_Consulta_desde_Reporte_de_Valorización_de_Instrumentos[[#This Row],[Weight]]</f>
        <v>0.4913651354087662</v>
      </c>
      <c r="AM402" s="26" t="str">
        <f>INDEX(Parametria!G:G,MATCH(Tabla_Consulta_desde_Reporte_de_Valorización_de_Instrumentos[[#This Row],[CODIGO_SBS]],Parametria!C:C,0))</f>
        <v>53ALT</v>
      </c>
      <c r="AN402" s="26" t="str">
        <f>INDEX(Parametria!F:F,MATCH(Tabla_Consulta_desde_Reporte_de_Valorización_de_Instrumentos[[#This Row],[CODIGO_SBS]],Parametria!C:C,0))</f>
        <v>ALT</v>
      </c>
      <c r="AO402" s="26" t="str">
        <f>+INDEX(Parametria!J:J,MATCH(Tabla_Consulta_desde_Reporte_de_Valorización_de_Instrumentos[[#This Row],[CODIGO_SBS]],Parametria!C:C,0))</f>
        <v>ALT</v>
      </c>
      <c r="AP402" s="26">
        <f>Tabla_Consulta_desde_Reporte_de_Valorización_de_Instrumentos[[#This Row],[Huella]]/$AU$4</f>
        <v>0.35587253512295353</v>
      </c>
      <c r="AQ402" s="26" t="str">
        <f>IFERROR(INDEX('BD(MSCI)'!W:W,MATCH(Tabla_Consulta_desde_Reporte_de_Valorización_de_Instrumentos[[#This Row],[CODIGO_ISIN]],'BD(MSCI)'!C:C,0)),IF(Tabla_Consulta_desde_Reporte_de_Valorización_de_Instrumentos[[#This Row],[Rank_rt]]="Cash","Cash","Cuestionario Integra"))</f>
        <v>Proxies</v>
      </c>
      <c r="AR402" s="26" t="str">
        <f>IFERROR(INDEX('BD(MSCI)'!X:X,MATCH(Tabla_Consulta_desde_Reporte_de_Valorización_de_Instrumentos[[#This Row],[CODIGO_ISIN]],'BD(MSCI)'!C:C,0)),"Cuestionario Integra")</f>
        <v>Alts</v>
      </c>
      <c r="AU402" s="26"/>
    </row>
    <row r="403" spans="2:47" hidden="1" x14ac:dyDescent="0.25">
      <c r="B403" s="14" t="s">
        <v>6390</v>
      </c>
      <c r="C403" t="s">
        <v>727</v>
      </c>
      <c r="D403" t="s">
        <v>10</v>
      </c>
      <c r="E403" t="s">
        <v>728</v>
      </c>
      <c r="F403" t="s">
        <v>731</v>
      </c>
      <c r="G403" t="str">
        <f>INDEX(Parametria!H:H,MATCH(Tabla_Consulta_desde_Reporte_de_Valorización_de_Instrumentos[[#This Row],[CODIGO_SBS]],Parametria!C:C,0),1)</f>
        <v>TRG Rohatyn - LAPEF I</v>
      </c>
      <c r="H403" t="s">
        <v>732</v>
      </c>
      <c r="I403" t="s">
        <v>733</v>
      </c>
      <c r="J403" t="s">
        <v>734</v>
      </c>
      <c r="K403" t="s">
        <v>50</v>
      </c>
      <c r="L403">
        <v>1</v>
      </c>
      <c r="M403" s="5">
        <v>50245199.573045298</v>
      </c>
      <c r="N403">
        <v>14949924.000429999</v>
      </c>
      <c r="O403">
        <v>187.8788543</v>
      </c>
      <c r="P403" s="15">
        <v>46387</v>
      </c>
      <c r="Q403">
        <v>365</v>
      </c>
      <c r="R403">
        <v>3.3609</v>
      </c>
      <c r="S403" t="s">
        <v>428</v>
      </c>
      <c r="T403">
        <v>50270614.443846002</v>
      </c>
      <c r="U403" s="5">
        <v>14949924.000429999</v>
      </c>
      <c r="V403" t="s">
        <v>156</v>
      </c>
      <c r="W403">
        <v>0</v>
      </c>
      <c r="X403">
        <v>0</v>
      </c>
      <c r="Y403">
        <v>0</v>
      </c>
      <c r="Z403">
        <v>0</v>
      </c>
      <c r="AA403" t="str">
        <f>+MID(Tabla_Consulta_desde_Reporte_de_Valorización_de_Instrumentos[[#This Row],[CODIGO_SBS]],7,1)</f>
        <v>2</v>
      </c>
      <c r="AB403">
        <f>INDEX('Cálculo Caja'!F:F,MATCH(Tabla_Consulta_desde_Reporte_de_Valorización_de_Instrumentos[[#This Row],[PORTAFOLIO]],'Cálculo Caja'!A:A,0),1)</f>
        <v>26256910350.436607</v>
      </c>
      <c r="AC403" s="17">
        <f>Tabla_Consulta_desde_Reporte_de_Valorización_de_Instrumentos[[#This Row],[VALOR_VECTOR_LOCAL]]/Tabla_Consulta_desde_Reporte_de_Valorización_de_Instrumentos[[#This Row],[Patrimonio]]</f>
        <v>1.9135990831537348E-3</v>
      </c>
      <c r="AD403" s="4">
        <f>(Tabla_Consulta_desde_Reporte_de_Valorización_de_Instrumentos[[#This Row],[VALOR_VECTOR_LOCAL]]/INDEX('Tipo de Cambio'!$D:$D,MATCH("2",'Tipo de Cambio'!$E:$E,0),1))/1000000</f>
        <v>14.949924000430032</v>
      </c>
      <c r="AE403">
        <f>IF(Tabla_Consulta_desde_Reporte_de_Valorización_de_Instrumentos[[#This Row],[PORTAFOLIO]]="IN-FONDO0",Tabla_Consulta_desde_Reporte_de_Valorización_de_Instrumentos[[#This Row],[Inv MM$]],0)</f>
        <v>0</v>
      </c>
      <c r="AF403" s="26">
        <f>IF(Tabla_Consulta_desde_Reporte_de_Valorización_de_Instrumentos[[#This Row],[PORTAFOLIO]]="IN-FONDO1",Tabla_Consulta_desde_Reporte_de_Valorización_de_Instrumentos[[#This Row],[Inv MM$]],0)</f>
        <v>0</v>
      </c>
      <c r="AG403" s="26">
        <f>IF(Tabla_Consulta_desde_Reporte_de_Valorización_de_Instrumentos[[#This Row],[PORTAFOLIO]]="IN-FONDO2",Tabla_Consulta_desde_Reporte_de_Valorización_de_Instrumentos[[#This Row],[Inv MM$]],0)</f>
        <v>14.949924000430032</v>
      </c>
      <c r="AH403" s="26">
        <f>IF(Tabla_Consulta_desde_Reporte_de_Valorización_de_Instrumentos[[#This Row],[PORTAFOLIO]]="IN-FONDO3",Tabla_Consulta_desde_Reporte_de_Valorización_de_Instrumentos[[#This Row],[Inv MM$]],0)</f>
        <v>0</v>
      </c>
      <c r="AI40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19.272793001986045</v>
      </c>
      <c r="AJ403" s="26">
        <f>IFERROR(IFERROR(INDEX('BD(MSCI)'!$T:$T,MATCH(Tabla_Consulta_desde_Reporte_de_Valorización_de_Instrumentos[[#This Row],[CODIGO_ISIN]],'BD(MSCI)'!$C:$C,0),1),INDEX('BD(MSCI)'!$T:$T,MATCH(Tabla_Consulta_desde_Reporte_de_Valorización_de_Instrumentos[[#This Row],[CODIGO_SBS]],'BD(MSCI)'!$C:$C,0),1)),0)</f>
        <v>39.508152340000002</v>
      </c>
      <c r="AK403" s="26">
        <f>Tabla_Consulta_desde_Reporte_de_Valorización_de_Instrumentos[[#This Row],[C02-H]]*Tabla_Consulta_desde_Reporte_de_Valorización_de_Instrumentos[[#This Row],[Inv MM$]]</f>
        <v>590.643874880412</v>
      </c>
      <c r="AL403" s="26">
        <f>Tabla_Consulta_desde_Reporte_de_Valorización_de_Instrumentos[[#This Row],[C02-H]]*Tabla_Consulta_desde_Reporte_de_Valorización_de_Instrumentos[[#This Row],[Weight]]</f>
        <v>7.5602764094922087E-2</v>
      </c>
      <c r="AM403" s="26" t="str">
        <f>INDEX(Parametria!G:G,MATCH(Tabla_Consulta_desde_Reporte_de_Valorización_de_Instrumentos[[#This Row],[CODIGO_SBS]],Parametria!C:C,0))</f>
        <v>53ALT</v>
      </c>
      <c r="AN403" s="26" t="str">
        <f>INDEX(Parametria!F:F,MATCH(Tabla_Consulta_desde_Reporte_de_Valorización_de_Instrumentos[[#This Row],[CODIGO_SBS]],Parametria!C:C,0))</f>
        <v>ALT</v>
      </c>
      <c r="AO403" s="26" t="str">
        <f>+INDEX(Parametria!J:J,MATCH(Tabla_Consulta_desde_Reporte_de_Valorización_de_Instrumentos[[#This Row],[CODIGO_SBS]],Parametria!C:C,0))</f>
        <v>ALT</v>
      </c>
      <c r="AP403" s="26">
        <f>Tabla_Consulta_desde_Reporte_de_Valorización_de_Instrumentos[[#This Row],[Huella]]/$AU$4</f>
        <v>5.4755507426021026E-2</v>
      </c>
      <c r="AQ403" s="26" t="str">
        <f>IFERROR(INDEX('BD(MSCI)'!W:W,MATCH(Tabla_Consulta_desde_Reporte_de_Valorización_de_Instrumentos[[#This Row],[CODIGO_ISIN]],'BD(MSCI)'!C:C,0)),IF(Tabla_Consulta_desde_Reporte_de_Valorización_de_Instrumentos[[#This Row],[Rank_rt]]="Cash","Cash","Cuestionario Integra"))</f>
        <v>Proxies</v>
      </c>
      <c r="AR403" s="26" t="str">
        <f>IFERROR(INDEX('BD(MSCI)'!X:X,MATCH(Tabla_Consulta_desde_Reporte_de_Valorización_de_Instrumentos[[#This Row],[CODIGO_ISIN]],'BD(MSCI)'!C:C,0)),"Cuestionario Integra")</f>
        <v>Alts</v>
      </c>
      <c r="AU403" s="26"/>
    </row>
    <row r="404" spans="2:47" hidden="1" x14ac:dyDescent="0.25">
      <c r="B404" s="14" t="s">
        <v>6390</v>
      </c>
      <c r="C404" t="s">
        <v>727</v>
      </c>
      <c r="D404" t="s">
        <v>11</v>
      </c>
      <c r="E404" t="s">
        <v>728</v>
      </c>
      <c r="F404" t="s">
        <v>731</v>
      </c>
      <c r="G404" t="str">
        <f>INDEX(Parametria!H:H,MATCH(Tabla_Consulta_desde_Reporte_de_Valorización_de_Instrumentos[[#This Row],[CODIGO_SBS]],Parametria!C:C,0),1)</f>
        <v>TRG Rohatyn - LAPEF I</v>
      </c>
      <c r="H404" t="s">
        <v>732</v>
      </c>
      <c r="I404" t="s">
        <v>733</v>
      </c>
      <c r="J404" t="s">
        <v>734</v>
      </c>
      <c r="K404" t="s">
        <v>50</v>
      </c>
      <c r="L404">
        <v>1</v>
      </c>
      <c r="M404" s="5">
        <v>14528730.4273296</v>
      </c>
      <c r="N404">
        <v>4322869.0015559997</v>
      </c>
      <c r="O404">
        <v>54.326408299999997</v>
      </c>
      <c r="P404" s="15">
        <v>46387</v>
      </c>
      <c r="Q404">
        <v>365</v>
      </c>
      <c r="R404">
        <v>3.3609</v>
      </c>
      <c r="S404" t="s">
        <v>428</v>
      </c>
      <c r="T404">
        <v>14536079.304632301</v>
      </c>
      <c r="U404" s="5">
        <v>4322869.0015559997</v>
      </c>
      <c r="V404" t="s">
        <v>156</v>
      </c>
      <c r="W404">
        <v>0</v>
      </c>
      <c r="X404">
        <v>0</v>
      </c>
      <c r="Y404">
        <v>0</v>
      </c>
      <c r="Z404">
        <v>0</v>
      </c>
      <c r="AA404" t="str">
        <f>+MID(Tabla_Consulta_desde_Reporte_de_Valorización_de_Instrumentos[[#This Row],[CODIGO_SBS]],7,1)</f>
        <v>2</v>
      </c>
      <c r="AB404">
        <f>INDEX('Cálculo Caja'!F:F,MATCH(Tabla_Consulta_desde_Reporte_de_Valorización_de_Instrumentos[[#This Row],[PORTAFOLIO]],'Cálculo Caja'!A:A,0),1)</f>
        <v>3164069580.822104</v>
      </c>
      <c r="AC404" s="17">
        <f>Tabla_Consulta_desde_Reporte_de_Valorización_de_Instrumentos[[#This Row],[VALOR_VECTOR_LOCAL]]/Tabla_Consulta_desde_Reporte_de_Valorización_de_Instrumentos[[#This Row],[Patrimonio]]</f>
        <v>4.5917860072959187E-3</v>
      </c>
      <c r="AD404" s="4">
        <f>(Tabla_Consulta_desde_Reporte_de_Valorización_de_Instrumentos[[#This Row],[VALOR_VECTOR_LOCAL]]/INDEX('Tipo de Cambio'!$D:$D,MATCH("2",'Tipo de Cambio'!$E:$E,0),1))/1000000</f>
        <v>4.3228690015560121</v>
      </c>
      <c r="AE404">
        <f>IF(Tabla_Consulta_desde_Reporte_de_Valorización_de_Instrumentos[[#This Row],[PORTAFOLIO]]="IN-FONDO0",Tabla_Consulta_desde_Reporte_de_Valorización_de_Instrumentos[[#This Row],[Inv MM$]],0)</f>
        <v>0</v>
      </c>
      <c r="AF404" s="26">
        <f>IF(Tabla_Consulta_desde_Reporte_de_Valorización_de_Instrumentos[[#This Row],[PORTAFOLIO]]="IN-FONDO1",Tabla_Consulta_desde_Reporte_de_Valorización_de_Instrumentos[[#This Row],[Inv MM$]],0)</f>
        <v>0</v>
      </c>
      <c r="AG404" s="26">
        <f>IF(Tabla_Consulta_desde_Reporte_de_Valorización_de_Instrumentos[[#This Row],[PORTAFOLIO]]="IN-FONDO2",Tabla_Consulta_desde_Reporte_de_Valorización_de_Instrumentos[[#This Row],[Inv MM$]],0)</f>
        <v>0</v>
      </c>
      <c r="AH404" s="26">
        <f>IF(Tabla_Consulta_desde_Reporte_de_Valorización_de_Instrumentos[[#This Row],[PORTAFOLIO]]="IN-FONDO3",Tabla_Consulta_desde_Reporte_de_Valorización_de_Instrumentos[[#This Row],[Inv MM$]],0)</f>
        <v>4.3228690015560121</v>
      </c>
      <c r="AI40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19.272793001986045</v>
      </c>
      <c r="AJ404" s="26">
        <f>IFERROR(IFERROR(INDEX('BD(MSCI)'!$T:$T,MATCH(Tabla_Consulta_desde_Reporte_de_Valorización_de_Instrumentos[[#This Row],[CODIGO_ISIN]],'BD(MSCI)'!$C:$C,0),1),INDEX('BD(MSCI)'!$T:$T,MATCH(Tabla_Consulta_desde_Reporte_de_Valorización_de_Instrumentos[[#This Row],[CODIGO_SBS]],'BD(MSCI)'!$C:$C,0),1)),0)</f>
        <v>39.508152340000002</v>
      </c>
      <c r="AK404" s="26">
        <f>Tabla_Consulta_desde_Reporte_de_Valorización_de_Instrumentos[[#This Row],[C02-H]]*Tabla_Consulta_desde_Reporte_de_Valorización_de_Instrumentos[[#This Row],[Inv MM$]]</f>
        <v>170.78856705933862</v>
      </c>
      <c r="AL404" s="26">
        <f>Tabla_Consulta_desde_Reporte_de_Valorización_de_Instrumentos[[#This Row],[C02-H]]*Tabla_Consulta_desde_Reporte_de_Valorización_de_Instrumentos[[#This Row],[Weight]]</f>
        <v>0.18141298108892751</v>
      </c>
      <c r="AM404" s="26" t="str">
        <f>INDEX(Parametria!G:G,MATCH(Tabla_Consulta_desde_Reporte_de_Valorización_de_Instrumentos[[#This Row],[CODIGO_SBS]],Parametria!C:C,0))</f>
        <v>53ALT</v>
      </c>
      <c r="AN404" s="26" t="str">
        <f>INDEX(Parametria!F:F,MATCH(Tabla_Consulta_desde_Reporte_de_Valorización_de_Instrumentos[[#This Row],[CODIGO_SBS]],Parametria!C:C,0))</f>
        <v>ALT</v>
      </c>
      <c r="AO404" s="26" t="str">
        <f>+INDEX(Parametria!J:J,MATCH(Tabla_Consulta_desde_Reporte_de_Valorización_de_Instrumentos[[#This Row],[CODIGO_SBS]],Parametria!C:C,0))</f>
        <v>ALT</v>
      </c>
      <c r="AP404" s="26">
        <f>Tabla_Consulta_desde_Reporte_de_Valorización_de_Instrumentos[[#This Row],[Huella]]/$AU$4</f>
        <v>1.5832915652922892E-2</v>
      </c>
      <c r="AQ404" s="26" t="str">
        <f>IFERROR(INDEX('BD(MSCI)'!W:W,MATCH(Tabla_Consulta_desde_Reporte_de_Valorización_de_Instrumentos[[#This Row],[CODIGO_ISIN]],'BD(MSCI)'!C:C,0)),IF(Tabla_Consulta_desde_Reporte_de_Valorización_de_Instrumentos[[#This Row],[Rank_rt]]="Cash","Cash","Cuestionario Integra"))</f>
        <v>Proxies</v>
      </c>
      <c r="AR404" s="26" t="str">
        <f>IFERROR(INDEX('BD(MSCI)'!X:X,MATCH(Tabla_Consulta_desde_Reporte_de_Valorización_de_Instrumentos[[#This Row],[CODIGO_ISIN]],'BD(MSCI)'!C:C,0)),"Cuestionario Integra")</f>
        <v>Alts</v>
      </c>
      <c r="AU404" s="26"/>
    </row>
    <row r="405" spans="2:47" hidden="1" x14ac:dyDescent="0.25">
      <c r="B405" s="14" t="s">
        <v>6390</v>
      </c>
      <c r="C405" t="s">
        <v>727</v>
      </c>
      <c r="D405" t="s">
        <v>10</v>
      </c>
      <c r="E405" t="s">
        <v>728</v>
      </c>
      <c r="F405" t="s">
        <v>735</v>
      </c>
      <c r="G405" t="str">
        <f>INDEX(Parametria!H:H,MATCH(Tabla_Consulta_desde_Reporte_de_Valorización_de_Instrumentos[[#This Row],[CODIGO_SBS]],Parametria!C:C,0),1)</f>
        <v>Partners - PGD 2009</v>
      </c>
      <c r="H405" t="s">
        <v>736</v>
      </c>
      <c r="I405" t="s">
        <v>737</v>
      </c>
      <c r="J405" t="s">
        <v>738</v>
      </c>
      <c r="K405" t="s">
        <v>57</v>
      </c>
      <c r="L405">
        <v>1</v>
      </c>
      <c r="M405" s="5">
        <v>824570.88388009998</v>
      </c>
      <c r="N405">
        <v>208961.9997017</v>
      </c>
      <c r="O405">
        <v>11.8688628</v>
      </c>
      <c r="P405" s="15">
        <v>46295</v>
      </c>
      <c r="Q405">
        <v>273</v>
      </c>
      <c r="R405">
        <v>3.9460326999999999</v>
      </c>
      <c r="S405" t="s">
        <v>428</v>
      </c>
      <c r="T405">
        <v>825901.40762079996</v>
      </c>
      <c r="U405" s="5">
        <v>208961.9997017</v>
      </c>
      <c r="V405" t="s">
        <v>156</v>
      </c>
      <c r="W405">
        <v>0</v>
      </c>
      <c r="X405">
        <v>0</v>
      </c>
      <c r="Y405">
        <v>0</v>
      </c>
      <c r="Z405">
        <v>0</v>
      </c>
      <c r="AA405" t="str">
        <f>+MID(Tabla_Consulta_desde_Reporte_de_Valorización_de_Instrumentos[[#This Row],[CODIGO_SBS]],7,1)</f>
        <v>4</v>
      </c>
      <c r="AB405">
        <f>INDEX('Cálculo Caja'!F:F,MATCH(Tabla_Consulta_desde_Reporte_de_Valorización_de_Instrumentos[[#This Row],[PORTAFOLIO]],'Cálculo Caja'!A:A,0),1)</f>
        <v>26256910350.436607</v>
      </c>
      <c r="AC405" s="17">
        <f>Tabla_Consulta_desde_Reporte_de_Valorización_de_Instrumentos[[#This Row],[VALOR_VECTOR_LOCAL]]/Tabla_Consulta_desde_Reporte_de_Valorización_de_Instrumentos[[#This Row],[Patrimonio]]</f>
        <v>3.140395701074513E-5</v>
      </c>
      <c r="AD405" s="4">
        <f>(Tabla_Consulta_desde_Reporte_de_Valorización_de_Instrumentos[[#This Row],[VALOR_VECTOR_LOCAL]]/INDEX('Tipo de Cambio'!$D:$D,MATCH("2",'Tipo de Cambio'!$E:$E,0),1))/1000000</f>
        <v>0.24534228447145109</v>
      </c>
      <c r="AE405">
        <f>IF(Tabla_Consulta_desde_Reporte_de_Valorización_de_Instrumentos[[#This Row],[PORTAFOLIO]]="IN-FONDO0",Tabla_Consulta_desde_Reporte_de_Valorización_de_Instrumentos[[#This Row],[Inv MM$]],0)</f>
        <v>0</v>
      </c>
      <c r="AF405" s="26">
        <f>IF(Tabla_Consulta_desde_Reporte_de_Valorización_de_Instrumentos[[#This Row],[PORTAFOLIO]]="IN-FONDO1",Tabla_Consulta_desde_Reporte_de_Valorización_de_Instrumentos[[#This Row],[Inv MM$]],0)</f>
        <v>0</v>
      </c>
      <c r="AG405" s="26">
        <f>IF(Tabla_Consulta_desde_Reporte_de_Valorización_de_Instrumentos[[#This Row],[PORTAFOLIO]]="IN-FONDO2",Tabla_Consulta_desde_Reporte_de_Valorización_de_Instrumentos[[#This Row],[Inv MM$]],0)</f>
        <v>0.24534228447145109</v>
      </c>
      <c r="AH405" s="26">
        <f>IF(Tabla_Consulta_desde_Reporte_de_Valorización_de_Instrumentos[[#This Row],[PORTAFOLIO]]="IN-FONDO3",Tabla_Consulta_desde_Reporte_de_Valorización_de_Instrumentos[[#This Row],[Inv MM$]],0)</f>
        <v>0</v>
      </c>
      <c r="AI40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0.24534228447145109</v>
      </c>
      <c r="AJ405" s="26">
        <f>IFERROR(IFERROR(INDEX('BD(MSCI)'!$T:$T,MATCH(Tabla_Consulta_desde_Reporte_de_Valorización_de_Instrumentos[[#This Row],[CODIGO_ISIN]],'BD(MSCI)'!$C:$C,0),1),INDEX('BD(MSCI)'!$T:$T,MATCH(Tabla_Consulta_desde_Reporte_de_Valorización_de_Instrumentos[[#This Row],[CODIGO_SBS]],'BD(MSCI)'!$C:$C,0),1)),0)</f>
        <v>22.706096800000001</v>
      </c>
      <c r="AK405" s="26">
        <f>Tabla_Consulta_desde_Reporte_de_Valorización_de_Instrumentos[[#This Row],[C02-H]]*Tabla_Consulta_desde_Reporte_de_Valorización_de_Instrumentos[[#This Row],[Inv MM$]]</f>
        <v>5.5707656603419053</v>
      </c>
      <c r="AL405" s="26">
        <f>Tabla_Consulta_desde_Reporte_de_Valorización_de_Instrumentos[[#This Row],[C02-H]]*Tabla_Consulta_desde_Reporte_de_Valorización_de_Instrumentos[[#This Row],[Weight]]</f>
        <v>7.1306128778901763E-4</v>
      </c>
      <c r="AM405" s="26" t="str">
        <f>INDEX(Parametria!G:G,MATCH(Tabla_Consulta_desde_Reporte_de_Valorización_de_Instrumentos[[#This Row],[CODIGO_SBS]],Parametria!C:C,0))</f>
        <v>53ALT</v>
      </c>
      <c r="AN405" s="26" t="str">
        <f>INDEX(Parametria!F:F,MATCH(Tabla_Consulta_desde_Reporte_de_Valorización_de_Instrumentos[[#This Row],[CODIGO_SBS]],Parametria!C:C,0))</f>
        <v>ALT</v>
      </c>
      <c r="AO405" s="26" t="str">
        <f>+INDEX(Parametria!J:J,MATCH(Tabla_Consulta_desde_Reporte_de_Valorización_de_Instrumentos[[#This Row],[CODIGO_SBS]],Parametria!C:C,0))</f>
        <v>ALT</v>
      </c>
      <c r="AP405" s="26">
        <f>Tabla_Consulta_desde_Reporte_de_Valorización_de_Instrumentos[[#This Row],[Huella]]/$AU$4</f>
        <v>5.1643657617753808E-4</v>
      </c>
      <c r="AQ405" s="26" t="str">
        <f>IFERROR(INDEX('BD(MSCI)'!W:W,MATCH(Tabla_Consulta_desde_Reporte_de_Valorización_de_Instrumentos[[#This Row],[CODIGO_ISIN]],'BD(MSCI)'!C:C,0)),IF(Tabla_Consulta_desde_Reporte_de_Valorización_de_Instrumentos[[#This Row],[Rank_rt]]="Cash","Cash","Cuestionario Integra"))</f>
        <v>Proxies</v>
      </c>
      <c r="AR405" s="26" t="str">
        <f>IFERROR(INDEX('BD(MSCI)'!X:X,MATCH(Tabla_Consulta_desde_Reporte_de_Valorización_de_Instrumentos[[#This Row],[CODIGO_ISIN]],'BD(MSCI)'!C:C,0)),"Cuestionario Integra")</f>
        <v>Alts</v>
      </c>
      <c r="AU405" s="26"/>
    </row>
    <row r="406" spans="2:47" hidden="1" x14ac:dyDescent="0.25">
      <c r="B406" s="14" t="s">
        <v>6390</v>
      </c>
      <c r="C406" t="s">
        <v>727</v>
      </c>
      <c r="D406" t="s">
        <v>10</v>
      </c>
      <c r="E406" t="s">
        <v>728</v>
      </c>
      <c r="F406" t="s">
        <v>741</v>
      </c>
      <c r="G406" t="str">
        <f>INDEX(Parametria!H:H,MATCH(Tabla_Consulta_desde_Reporte_de_Valorización_de_Instrumentos[[#This Row],[CODIGO_SBS]],Parametria!C:C,0),1)</f>
        <v>Pantheon - PASIA VI</v>
      </c>
      <c r="H406" t="s">
        <v>742</v>
      </c>
      <c r="I406" t="s">
        <v>156</v>
      </c>
      <c r="J406" t="s">
        <v>743</v>
      </c>
      <c r="K406" t="s">
        <v>50</v>
      </c>
      <c r="L406">
        <v>1</v>
      </c>
      <c r="M406" s="5">
        <v>5516870.2886095</v>
      </c>
      <c r="N406">
        <v>1641485.9973845</v>
      </c>
      <c r="O406">
        <v>6.1838566000000004</v>
      </c>
      <c r="P406" s="15">
        <v>46387</v>
      </c>
      <c r="Q406">
        <v>365</v>
      </c>
      <c r="R406">
        <v>3.3609</v>
      </c>
      <c r="S406" t="s">
        <v>428</v>
      </c>
      <c r="T406">
        <v>5519660.8148050997</v>
      </c>
      <c r="U406" s="5">
        <v>1641485.9973845</v>
      </c>
      <c r="V406" t="s">
        <v>156</v>
      </c>
      <c r="W406">
        <v>0</v>
      </c>
      <c r="X406">
        <v>0</v>
      </c>
      <c r="Y406">
        <v>0</v>
      </c>
      <c r="Z406">
        <v>0</v>
      </c>
      <c r="AA406" t="str">
        <f>+MID(Tabla_Consulta_desde_Reporte_de_Valorización_de_Instrumentos[[#This Row],[CODIGO_SBS]],7,1)</f>
        <v>2</v>
      </c>
      <c r="AB406">
        <f>INDEX('Cálculo Caja'!F:F,MATCH(Tabla_Consulta_desde_Reporte_de_Valorización_de_Instrumentos[[#This Row],[PORTAFOLIO]],'Cálculo Caja'!A:A,0),1)</f>
        <v>26256910350.436607</v>
      </c>
      <c r="AC406" s="17">
        <f>Tabla_Consulta_desde_Reporte_de_Valorización_de_Instrumentos[[#This Row],[VALOR_VECTOR_LOCAL]]/Tabla_Consulta_desde_Reporte_de_Valorización_de_Instrumentos[[#This Row],[Patrimonio]]</f>
        <v>2.1011117511462137E-4</v>
      </c>
      <c r="AD406" s="4">
        <f>(Tabla_Consulta_desde_Reporte_de_Valorización_de_Instrumentos[[#This Row],[VALOR_VECTOR_LOCAL]]/INDEX('Tipo de Cambio'!$D:$D,MATCH("2",'Tipo de Cambio'!$E:$E,0),1))/1000000</f>
        <v>1.6414859973844804</v>
      </c>
      <c r="AE406">
        <f>IF(Tabla_Consulta_desde_Reporte_de_Valorización_de_Instrumentos[[#This Row],[PORTAFOLIO]]="IN-FONDO0",Tabla_Consulta_desde_Reporte_de_Valorización_de_Instrumentos[[#This Row],[Inv MM$]],0)</f>
        <v>0</v>
      </c>
      <c r="AF406" s="26">
        <f>IF(Tabla_Consulta_desde_Reporte_de_Valorización_de_Instrumentos[[#This Row],[PORTAFOLIO]]="IN-FONDO1",Tabla_Consulta_desde_Reporte_de_Valorización_de_Instrumentos[[#This Row],[Inv MM$]],0)</f>
        <v>0</v>
      </c>
      <c r="AG406" s="26">
        <f>IF(Tabla_Consulta_desde_Reporte_de_Valorización_de_Instrumentos[[#This Row],[PORTAFOLIO]]="IN-FONDO2",Tabla_Consulta_desde_Reporte_de_Valorización_de_Instrumentos[[#This Row],[Inv MM$]],0)</f>
        <v>1.6414859973844804</v>
      </c>
      <c r="AH406" s="26">
        <f>IF(Tabla_Consulta_desde_Reporte_de_Valorización_de_Instrumentos[[#This Row],[PORTAFOLIO]]="IN-FONDO3",Tabla_Consulta_desde_Reporte_de_Valorización_de_Instrumentos[[#This Row],[Inv MM$]],0)</f>
        <v>0</v>
      </c>
      <c r="AI40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2.0519319944227141</v>
      </c>
      <c r="AJ406" s="26">
        <f>IFERROR(IFERROR(INDEX('BD(MSCI)'!$T:$T,MATCH(Tabla_Consulta_desde_Reporte_de_Valorización_de_Instrumentos[[#This Row],[CODIGO_ISIN]],'BD(MSCI)'!$C:$C,0),1),INDEX('BD(MSCI)'!$T:$T,MATCH(Tabla_Consulta_desde_Reporte_de_Valorización_de_Instrumentos[[#This Row],[CODIGO_SBS]],'BD(MSCI)'!$C:$C,0),1)),0)</f>
        <v>39.508152340000002</v>
      </c>
      <c r="AK406" s="26">
        <f>Tabla_Consulta_desde_Reporte_de_Valorización_de_Instrumentos[[#This Row],[C02-H]]*Tabla_Consulta_desde_Reporte_de_Valorización_de_Instrumentos[[#This Row],[Inv MM$]]</f>
        <v>64.852078848642904</v>
      </c>
      <c r="AL406" s="26">
        <f>Tabla_Consulta_desde_Reporte_de_Valorización_de_Instrumentos[[#This Row],[C02-H]]*Tabla_Consulta_desde_Reporte_de_Valorización_de_Instrumentos[[#This Row],[Weight]]</f>
        <v>8.3011043147648792E-3</v>
      </c>
      <c r="AM406" s="26" t="str">
        <f>INDEX(Parametria!G:G,MATCH(Tabla_Consulta_desde_Reporte_de_Valorización_de_Instrumentos[[#This Row],[CODIGO_SBS]],Parametria!C:C,0))</f>
        <v>53ALT</v>
      </c>
      <c r="AN406" s="26" t="str">
        <f>INDEX(Parametria!F:F,MATCH(Tabla_Consulta_desde_Reporte_de_Valorización_de_Instrumentos[[#This Row],[CODIGO_SBS]],Parametria!C:C,0))</f>
        <v>ALT</v>
      </c>
      <c r="AO406" s="26" t="str">
        <f>+INDEX(Parametria!J:J,MATCH(Tabla_Consulta_desde_Reporte_de_Valorización_de_Instrumentos[[#This Row],[CODIGO_SBS]],Parametria!C:C,0))</f>
        <v>ALT</v>
      </c>
      <c r="AP406" s="26">
        <f>Tabla_Consulta_desde_Reporte_de_Valorización_de_Instrumentos[[#This Row],[Huella]]/$AU$4</f>
        <v>6.0120973669772542E-3</v>
      </c>
      <c r="AQ406" s="26" t="str">
        <f>IFERROR(INDEX('BD(MSCI)'!W:W,MATCH(Tabla_Consulta_desde_Reporte_de_Valorización_de_Instrumentos[[#This Row],[CODIGO_ISIN]],'BD(MSCI)'!C:C,0)),IF(Tabla_Consulta_desde_Reporte_de_Valorización_de_Instrumentos[[#This Row],[Rank_rt]]="Cash","Cash","Cuestionario Integra"))</f>
        <v>Proxies</v>
      </c>
      <c r="AR406" s="26" t="str">
        <f>IFERROR(INDEX('BD(MSCI)'!X:X,MATCH(Tabla_Consulta_desde_Reporte_de_Valorización_de_Instrumentos[[#This Row],[CODIGO_ISIN]],'BD(MSCI)'!C:C,0)),"Cuestionario Integra")</f>
        <v>Alts</v>
      </c>
      <c r="AU406" s="26"/>
    </row>
    <row r="407" spans="2:47" hidden="1" x14ac:dyDescent="0.25">
      <c r="B407" s="14" t="s">
        <v>6390</v>
      </c>
      <c r="C407" t="s">
        <v>727</v>
      </c>
      <c r="D407" t="s">
        <v>11</v>
      </c>
      <c r="E407" t="s">
        <v>728</v>
      </c>
      <c r="F407" t="s">
        <v>741</v>
      </c>
      <c r="G407" t="str">
        <f>INDEX(Parametria!H:H,MATCH(Tabla_Consulta_desde_Reporte_de_Valorización_de_Instrumentos[[#This Row],[CODIGO_SBS]],Parametria!C:C,0),1)</f>
        <v>Pantheon - PASIA VI</v>
      </c>
      <c r="H407" t="s">
        <v>742</v>
      </c>
      <c r="I407" t="s">
        <v>156</v>
      </c>
      <c r="J407" t="s">
        <v>743</v>
      </c>
      <c r="K407" t="s">
        <v>50</v>
      </c>
      <c r="L407">
        <v>1</v>
      </c>
      <c r="M407" s="5">
        <v>1379467.9514458</v>
      </c>
      <c r="N407">
        <v>410445.99703829997</v>
      </c>
      <c r="O407">
        <v>1.5462448</v>
      </c>
      <c r="P407" s="15">
        <v>46387</v>
      </c>
      <c r="Q407">
        <v>365</v>
      </c>
      <c r="R407">
        <v>3.3609</v>
      </c>
      <c r="S407" t="s">
        <v>428</v>
      </c>
      <c r="T407">
        <v>1380165.7096408</v>
      </c>
      <c r="U407" s="5">
        <v>410445.99703829997</v>
      </c>
      <c r="V407" t="s">
        <v>156</v>
      </c>
      <c r="W407">
        <v>0</v>
      </c>
      <c r="X407">
        <v>0</v>
      </c>
      <c r="Y407">
        <v>0</v>
      </c>
      <c r="Z407">
        <v>0</v>
      </c>
      <c r="AA407" t="str">
        <f>+MID(Tabla_Consulta_desde_Reporte_de_Valorización_de_Instrumentos[[#This Row],[CODIGO_SBS]],7,1)</f>
        <v>2</v>
      </c>
      <c r="AB407">
        <f>INDEX('Cálculo Caja'!F:F,MATCH(Tabla_Consulta_desde_Reporte_de_Valorización_de_Instrumentos[[#This Row],[PORTAFOLIO]],'Cálculo Caja'!A:A,0),1)</f>
        <v>3164069580.822104</v>
      </c>
      <c r="AC407" s="17">
        <f>Tabla_Consulta_desde_Reporte_de_Valorización_de_Instrumentos[[#This Row],[VALOR_VECTOR_LOCAL]]/Tabla_Consulta_desde_Reporte_de_Valorización_de_Instrumentos[[#This Row],[Patrimonio]]</f>
        <v>4.3597901885816933E-4</v>
      </c>
      <c r="AD407" s="4">
        <f>(Tabla_Consulta_desde_Reporte_de_Valorización_de_Instrumentos[[#This Row],[VALOR_VECTOR_LOCAL]]/INDEX('Tipo de Cambio'!$D:$D,MATCH("2",'Tipo de Cambio'!$E:$E,0),1))/1000000</f>
        <v>0.41044599703823381</v>
      </c>
      <c r="AE407">
        <f>IF(Tabla_Consulta_desde_Reporte_de_Valorización_de_Instrumentos[[#This Row],[PORTAFOLIO]]="IN-FONDO0",Tabla_Consulta_desde_Reporte_de_Valorización_de_Instrumentos[[#This Row],[Inv MM$]],0)</f>
        <v>0</v>
      </c>
      <c r="AF407" s="26">
        <f>IF(Tabla_Consulta_desde_Reporte_de_Valorización_de_Instrumentos[[#This Row],[PORTAFOLIO]]="IN-FONDO1",Tabla_Consulta_desde_Reporte_de_Valorización_de_Instrumentos[[#This Row],[Inv MM$]],0)</f>
        <v>0</v>
      </c>
      <c r="AG407" s="26">
        <f>IF(Tabla_Consulta_desde_Reporte_de_Valorización_de_Instrumentos[[#This Row],[PORTAFOLIO]]="IN-FONDO2",Tabla_Consulta_desde_Reporte_de_Valorización_de_Instrumentos[[#This Row],[Inv MM$]],0)</f>
        <v>0</v>
      </c>
      <c r="AH407" s="26">
        <f>IF(Tabla_Consulta_desde_Reporte_de_Valorización_de_Instrumentos[[#This Row],[PORTAFOLIO]]="IN-FONDO3",Tabla_Consulta_desde_Reporte_de_Valorización_de_Instrumentos[[#This Row],[Inv MM$]],0)</f>
        <v>0.41044599703823381</v>
      </c>
      <c r="AI40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2.0519319944227141</v>
      </c>
      <c r="AJ407" s="26">
        <f>IFERROR(IFERROR(INDEX('BD(MSCI)'!$T:$T,MATCH(Tabla_Consulta_desde_Reporte_de_Valorización_de_Instrumentos[[#This Row],[CODIGO_ISIN]],'BD(MSCI)'!$C:$C,0),1),INDEX('BD(MSCI)'!$T:$T,MATCH(Tabla_Consulta_desde_Reporte_de_Valorización_de_Instrumentos[[#This Row],[CODIGO_SBS]],'BD(MSCI)'!$C:$C,0),1)),0)</f>
        <v>39.508152340000002</v>
      </c>
      <c r="AK407" s="26">
        <f>Tabla_Consulta_desde_Reporte_de_Valorización_de_Instrumentos[[#This Row],[C02-H]]*Tabla_Consulta_desde_Reporte_de_Valorización_de_Instrumentos[[#This Row],[Inv MM$]]</f>
        <v>16.215962978329731</v>
      </c>
      <c r="AL407" s="26">
        <f>Tabla_Consulta_desde_Reporte_de_Valorización_de_Instrumentos[[#This Row],[C02-H]]*Tabla_Consulta_desde_Reporte_de_Valorización_de_Instrumentos[[#This Row],[Weight]]</f>
        <v>1.7224725494092288E-2</v>
      </c>
      <c r="AM407" s="26" t="str">
        <f>INDEX(Parametria!G:G,MATCH(Tabla_Consulta_desde_Reporte_de_Valorización_de_Instrumentos[[#This Row],[CODIGO_SBS]],Parametria!C:C,0))</f>
        <v>53ALT</v>
      </c>
      <c r="AN407" s="26" t="str">
        <f>INDEX(Parametria!F:F,MATCH(Tabla_Consulta_desde_Reporte_de_Valorización_de_Instrumentos[[#This Row],[CODIGO_SBS]],Parametria!C:C,0))</f>
        <v>ALT</v>
      </c>
      <c r="AO407" s="26" t="str">
        <f>+INDEX(Parametria!J:J,MATCH(Tabla_Consulta_desde_Reporte_de_Valorización_de_Instrumentos[[#This Row],[CODIGO_SBS]],Parametria!C:C,0))</f>
        <v>ALT</v>
      </c>
      <c r="AP407" s="26">
        <f>Tabla_Consulta_desde_Reporte_de_Valorización_de_Instrumentos[[#This Row],[Huella]]/$AU$4</f>
        <v>1.5032971965717786E-3</v>
      </c>
      <c r="AQ407" s="26" t="str">
        <f>IFERROR(INDEX('BD(MSCI)'!W:W,MATCH(Tabla_Consulta_desde_Reporte_de_Valorización_de_Instrumentos[[#This Row],[CODIGO_ISIN]],'BD(MSCI)'!C:C,0)),IF(Tabla_Consulta_desde_Reporte_de_Valorización_de_Instrumentos[[#This Row],[Rank_rt]]="Cash","Cash","Cuestionario Integra"))</f>
        <v>Proxies</v>
      </c>
      <c r="AR407" s="26" t="str">
        <f>IFERROR(INDEX('BD(MSCI)'!X:X,MATCH(Tabla_Consulta_desde_Reporte_de_Valorización_de_Instrumentos[[#This Row],[CODIGO_ISIN]],'BD(MSCI)'!C:C,0)),"Cuestionario Integra")</f>
        <v>Alts</v>
      </c>
      <c r="AU407" s="26"/>
    </row>
    <row r="408" spans="2:47" hidden="1" x14ac:dyDescent="0.25">
      <c r="B408" s="14" t="s">
        <v>6390</v>
      </c>
      <c r="C408" t="s">
        <v>727</v>
      </c>
      <c r="D408" t="s">
        <v>11</v>
      </c>
      <c r="E408" t="s">
        <v>728</v>
      </c>
      <c r="F408" t="s">
        <v>744</v>
      </c>
      <c r="G408" t="str">
        <f>INDEX(Parametria!H:H,MATCH(Tabla_Consulta_desde_Reporte_de_Valorización_de_Instrumentos[[#This Row],[CODIGO_SBS]],Parametria!C:C,0),1)</f>
        <v>ARCM - ARC Fund II</v>
      </c>
      <c r="H408" t="s">
        <v>745</v>
      </c>
      <c r="I408" t="s">
        <v>746</v>
      </c>
      <c r="J408" t="s">
        <v>747</v>
      </c>
      <c r="K408" t="s">
        <v>50</v>
      </c>
      <c r="L408">
        <v>1</v>
      </c>
      <c r="M408" s="5">
        <v>16801602.887256399</v>
      </c>
      <c r="N408">
        <v>4999137.9949586</v>
      </c>
      <c r="O408">
        <v>42.861291399999999</v>
      </c>
      <c r="P408" s="15">
        <v>46387</v>
      </c>
      <c r="Q408">
        <v>365</v>
      </c>
      <c r="R408">
        <v>3.3609</v>
      </c>
      <c r="S408" t="s">
        <v>428</v>
      </c>
      <c r="T408">
        <v>16810101.421847899</v>
      </c>
      <c r="U408" s="5">
        <v>4999137.9949586</v>
      </c>
      <c r="V408" t="s">
        <v>156</v>
      </c>
      <c r="W408">
        <v>0</v>
      </c>
      <c r="X408">
        <v>0</v>
      </c>
      <c r="Y408">
        <v>0</v>
      </c>
      <c r="Z408">
        <v>0</v>
      </c>
      <c r="AA408" t="str">
        <f>+MID(Tabla_Consulta_desde_Reporte_de_Valorización_de_Instrumentos[[#This Row],[CODIGO_SBS]],7,1)</f>
        <v>2</v>
      </c>
      <c r="AB408">
        <f>INDEX('Cálculo Caja'!F:F,MATCH(Tabla_Consulta_desde_Reporte_de_Valorización_de_Instrumentos[[#This Row],[PORTAFOLIO]],'Cálculo Caja'!A:A,0),1)</f>
        <v>3164069580.822104</v>
      </c>
      <c r="AC408" s="17">
        <f>Tabla_Consulta_desde_Reporte_de_Valorización_de_Instrumentos[[#This Row],[VALOR_VECTOR_LOCAL]]/Tabla_Consulta_desde_Reporte_de_Valorización_de_Instrumentos[[#This Row],[Patrimonio]]</f>
        <v>5.3101243376863175E-3</v>
      </c>
      <c r="AD408" s="4">
        <f>(Tabla_Consulta_desde_Reporte_de_Valorización_de_Instrumentos[[#This Row],[VALOR_VECTOR_LOCAL]]/INDEX('Tipo de Cambio'!$D:$D,MATCH("2",'Tipo de Cambio'!$E:$E,0),1))/1000000</f>
        <v>4.9991379949586126</v>
      </c>
      <c r="AE408">
        <f>IF(Tabla_Consulta_desde_Reporte_de_Valorización_de_Instrumentos[[#This Row],[PORTAFOLIO]]="IN-FONDO0",Tabla_Consulta_desde_Reporte_de_Valorización_de_Instrumentos[[#This Row],[Inv MM$]],0)</f>
        <v>0</v>
      </c>
      <c r="AF408" s="26">
        <f>IF(Tabla_Consulta_desde_Reporte_de_Valorización_de_Instrumentos[[#This Row],[PORTAFOLIO]]="IN-FONDO1",Tabla_Consulta_desde_Reporte_de_Valorización_de_Instrumentos[[#This Row],[Inv MM$]],0)</f>
        <v>0</v>
      </c>
      <c r="AG408" s="26">
        <f>IF(Tabla_Consulta_desde_Reporte_de_Valorización_de_Instrumentos[[#This Row],[PORTAFOLIO]]="IN-FONDO2",Tabla_Consulta_desde_Reporte_de_Valorización_de_Instrumentos[[#This Row],[Inv MM$]],0)</f>
        <v>0</v>
      </c>
      <c r="AH408" s="26">
        <f>IF(Tabla_Consulta_desde_Reporte_de_Valorización_de_Instrumentos[[#This Row],[PORTAFOLIO]]="IN-FONDO3",Tabla_Consulta_desde_Reporte_de_Valorización_de_Instrumentos[[#This Row],[Inv MM$]],0)</f>
        <v>4.9991379949586126</v>
      </c>
      <c r="AI40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15.850878992187866</v>
      </c>
      <c r="AJ408" s="26">
        <f>IFERROR(IFERROR(INDEX('BD(MSCI)'!$T:$T,MATCH(Tabla_Consulta_desde_Reporte_de_Valorización_de_Instrumentos[[#This Row],[CODIGO_ISIN]],'BD(MSCI)'!$C:$C,0),1),INDEX('BD(MSCI)'!$T:$T,MATCH(Tabla_Consulta_desde_Reporte_de_Valorización_de_Instrumentos[[#This Row],[CODIGO_SBS]],'BD(MSCI)'!$C:$C,0),1)),0)</f>
        <v>39.508152340000002</v>
      </c>
      <c r="AK408" s="26">
        <f>Tabla_Consulta_desde_Reporte_de_Valorización_de_Instrumentos[[#This Row],[C02-H]]*Tabla_Consulta_desde_Reporte_de_Valorización_de_Instrumentos[[#This Row],[Inv MM$]]</f>
        <v>197.50670547350703</v>
      </c>
      <c r="AL408" s="26">
        <f>Tabla_Consulta_desde_Reporte_de_Valorización_de_Instrumentos[[#This Row],[C02-H]]*Tabla_Consulta_desde_Reporte_de_Valorización_de_Instrumentos[[#This Row],[Weight]]</f>
        <v>0.20979320127765264</v>
      </c>
      <c r="AM408" s="26" t="str">
        <f>INDEX(Parametria!G:G,MATCH(Tabla_Consulta_desde_Reporte_de_Valorización_de_Instrumentos[[#This Row],[CODIGO_SBS]],Parametria!C:C,0))</f>
        <v>53ALT</v>
      </c>
      <c r="AN408" s="26" t="str">
        <f>INDEX(Parametria!F:F,MATCH(Tabla_Consulta_desde_Reporte_de_Valorización_de_Instrumentos[[#This Row],[CODIGO_SBS]],Parametria!C:C,0))</f>
        <v>ALT</v>
      </c>
      <c r="AO408" s="26" t="str">
        <f>+INDEX(Parametria!J:J,MATCH(Tabla_Consulta_desde_Reporte_de_Valorización_de_Instrumentos[[#This Row],[CODIGO_SBS]],Parametria!C:C,0))</f>
        <v>ALT</v>
      </c>
      <c r="AP408" s="26">
        <f>Tabla_Consulta_desde_Reporte_de_Valorización_de_Instrumentos[[#This Row],[Huella]]/$AU$4</f>
        <v>1.8309814658508387E-2</v>
      </c>
      <c r="AQ408" s="26" t="str">
        <f>IFERROR(INDEX('BD(MSCI)'!W:W,MATCH(Tabla_Consulta_desde_Reporte_de_Valorización_de_Instrumentos[[#This Row],[CODIGO_ISIN]],'BD(MSCI)'!C:C,0)),IF(Tabla_Consulta_desde_Reporte_de_Valorización_de_Instrumentos[[#This Row],[Rank_rt]]="Cash","Cash","Cuestionario Integra"))</f>
        <v>Proxies</v>
      </c>
      <c r="AR408" s="26" t="str">
        <f>IFERROR(INDEX('BD(MSCI)'!X:X,MATCH(Tabla_Consulta_desde_Reporte_de_Valorización_de_Instrumentos[[#This Row],[CODIGO_ISIN]],'BD(MSCI)'!C:C,0)),"Cuestionario Integra")</f>
        <v>Alts</v>
      </c>
      <c r="AU408" s="26"/>
    </row>
    <row r="409" spans="2:47" hidden="1" x14ac:dyDescent="0.25">
      <c r="B409" s="14" t="s">
        <v>6390</v>
      </c>
      <c r="C409" t="s">
        <v>727</v>
      </c>
      <c r="D409" t="s">
        <v>10</v>
      </c>
      <c r="E409" t="s">
        <v>728</v>
      </c>
      <c r="F409" t="s">
        <v>744</v>
      </c>
      <c r="G409" t="str">
        <f>INDEX(Parametria!H:H,MATCH(Tabla_Consulta_desde_Reporte_de_Valorización_de_Instrumentos[[#This Row],[CODIGO_SBS]],Parametria!C:C,0),1)</f>
        <v>ARCM - ARC Fund II</v>
      </c>
      <c r="H409" t="s">
        <v>745</v>
      </c>
      <c r="I409" t="s">
        <v>746</v>
      </c>
      <c r="J409" t="s">
        <v>747</v>
      </c>
      <c r="K409" t="s">
        <v>50</v>
      </c>
      <c r="L409">
        <v>1</v>
      </c>
      <c r="M409" s="5">
        <v>36471616.3175878</v>
      </c>
      <c r="N409">
        <v>10851740.9972293</v>
      </c>
      <c r="O409">
        <v>93.039966800000002</v>
      </c>
      <c r="P409" s="15">
        <v>46387</v>
      </c>
      <c r="Q409">
        <v>365</v>
      </c>
      <c r="R409">
        <v>3.3609</v>
      </c>
      <c r="S409" t="s">
        <v>428</v>
      </c>
      <c r="T409">
        <v>36490064.277283102</v>
      </c>
      <c r="U409" s="5">
        <v>10851740.9972293</v>
      </c>
      <c r="V409" t="s">
        <v>156</v>
      </c>
      <c r="W409">
        <v>0</v>
      </c>
      <c r="X409">
        <v>0</v>
      </c>
      <c r="Y409">
        <v>0</v>
      </c>
      <c r="Z409">
        <v>0</v>
      </c>
      <c r="AA409" t="str">
        <f>+MID(Tabla_Consulta_desde_Reporte_de_Valorización_de_Instrumentos[[#This Row],[CODIGO_SBS]],7,1)</f>
        <v>2</v>
      </c>
      <c r="AB409">
        <f>INDEX('Cálculo Caja'!F:F,MATCH(Tabla_Consulta_desde_Reporte_de_Valorización_de_Instrumentos[[#This Row],[PORTAFOLIO]],'Cálculo Caja'!A:A,0),1)</f>
        <v>26256910350.436607</v>
      </c>
      <c r="AC409" s="17">
        <f>Tabla_Consulta_desde_Reporte_de_Valorización_de_Instrumentos[[#This Row],[VALOR_VECTOR_LOCAL]]/Tabla_Consulta_desde_Reporte_de_Valorización_de_Instrumentos[[#This Row],[Patrimonio]]</f>
        <v>1.3890292433809273E-3</v>
      </c>
      <c r="AD409" s="4">
        <f>(Tabla_Consulta_desde_Reporte_de_Valorización_de_Instrumentos[[#This Row],[VALOR_VECTOR_LOCAL]]/INDEX('Tipo de Cambio'!$D:$D,MATCH("2",'Tipo de Cambio'!$E:$E,0),1))/1000000</f>
        <v>10.851740997229253</v>
      </c>
      <c r="AE409">
        <f>IF(Tabla_Consulta_desde_Reporte_de_Valorización_de_Instrumentos[[#This Row],[PORTAFOLIO]]="IN-FONDO0",Tabla_Consulta_desde_Reporte_de_Valorización_de_Instrumentos[[#This Row],[Inv MM$]],0)</f>
        <v>0</v>
      </c>
      <c r="AF409" s="26">
        <f>IF(Tabla_Consulta_desde_Reporte_de_Valorización_de_Instrumentos[[#This Row],[PORTAFOLIO]]="IN-FONDO1",Tabla_Consulta_desde_Reporte_de_Valorización_de_Instrumentos[[#This Row],[Inv MM$]],0)</f>
        <v>0</v>
      </c>
      <c r="AG409" s="26">
        <f>IF(Tabla_Consulta_desde_Reporte_de_Valorización_de_Instrumentos[[#This Row],[PORTAFOLIO]]="IN-FONDO2",Tabla_Consulta_desde_Reporte_de_Valorización_de_Instrumentos[[#This Row],[Inv MM$]],0)</f>
        <v>10.851740997229253</v>
      </c>
      <c r="AH409" s="26">
        <f>IF(Tabla_Consulta_desde_Reporte_de_Valorización_de_Instrumentos[[#This Row],[PORTAFOLIO]]="IN-FONDO3",Tabla_Consulta_desde_Reporte_de_Valorización_de_Instrumentos[[#This Row],[Inv MM$]],0)</f>
        <v>0</v>
      </c>
      <c r="AI40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15.850878992187866</v>
      </c>
      <c r="AJ409" s="26">
        <f>IFERROR(IFERROR(INDEX('BD(MSCI)'!$T:$T,MATCH(Tabla_Consulta_desde_Reporte_de_Valorización_de_Instrumentos[[#This Row],[CODIGO_ISIN]],'BD(MSCI)'!$C:$C,0),1),INDEX('BD(MSCI)'!$T:$T,MATCH(Tabla_Consulta_desde_Reporte_de_Valorización_de_Instrumentos[[#This Row],[CODIGO_SBS]],'BD(MSCI)'!$C:$C,0),1)),0)</f>
        <v>39.508152340000002</v>
      </c>
      <c r="AK409" s="26">
        <f>Tabla_Consulta_desde_Reporte_de_Valorización_de_Instrumentos[[#This Row],[C02-H]]*Tabla_Consulta_desde_Reporte_de_Valorización_de_Instrumentos[[#This Row],[Inv MM$]]</f>
        <v>428.73223647275688</v>
      </c>
      <c r="AL409" s="26">
        <f>Tabla_Consulta_desde_Reporte_de_Valorización_de_Instrumentos[[#This Row],[C02-H]]*Tabla_Consulta_desde_Reporte_de_Valorización_de_Instrumentos[[#This Row],[Weight]]</f>
        <v>5.4877978952208618E-2</v>
      </c>
      <c r="AM409" s="26" t="str">
        <f>INDEX(Parametria!G:G,MATCH(Tabla_Consulta_desde_Reporte_de_Valorización_de_Instrumentos[[#This Row],[CODIGO_SBS]],Parametria!C:C,0))</f>
        <v>53ALT</v>
      </c>
      <c r="AN409" s="26" t="str">
        <f>INDEX(Parametria!F:F,MATCH(Tabla_Consulta_desde_Reporte_de_Valorización_de_Instrumentos[[#This Row],[CODIGO_SBS]],Parametria!C:C,0))</f>
        <v>ALT</v>
      </c>
      <c r="AO409" s="26" t="str">
        <f>+INDEX(Parametria!J:J,MATCH(Tabla_Consulta_desde_Reporte_de_Valorización_de_Instrumentos[[#This Row],[CODIGO_SBS]],Parametria!C:C,0))</f>
        <v>ALT</v>
      </c>
      <c r="AP409" s="26">
        <f>Tabla_Consulta_desde_Reporte_de_Valorización_de_Instrumentos[[#This Row],[Huella]]/$AU$4</f>
        <v>3.9745525444942149E-2</v>
      </c>
      <c r="AQ409" s="26" t="str">
        <f>IFERROR(INDEX('BD(MSCI)'!W:W,MATCH(Tabla_Consulta_desde_Reporte_de_Valorización_de_Instrumentos[[#This Row],[CODIGO_ISIN]],'BD(MSCI)'!C:C,0)),IF(Tabla_Consulta_desde_Reporte_de_Valorización_de_Instrumentos[[#This Row],[Rank_rt]]="Cash","Cash","Cuestionario Integra"))</f>
        <v>Proxies</v>
      </c>
      <c r="AR409" s="26" t="str">
        <f>IFERROR(INDEX('BD(MSCI)'!X:X,MATCH(Tabla_Consulta_desde_Reporte_de_Valorización_de_Instrumentos[[#This Row],[CODIGO_ISIN]],'BD(MSCI)'!C:C,0)),"Cuestionario Integra")</f>
        <v>Alts</v>
      </c>
      <c r="AU409" s="26"/>
    </row>
    <row r="410" spans="2:47" hidden="1" x14ac:dyDescent="0.25">
      <c r="B410" s="14" t="s">
        <v>6390</v>
      </c>
      <c r="C410" t="s">
        <v>727</v>
      </c>
      <c r="D410" t="s">
        <v>10</v>
      </c>
      <c r="E410" t="s">
        <v>728</v>
      </c>
      <c r="F410" t="s">
        <v>748</v>
      </c>
      <c r="G410" t="str">
        <f>INDEX(Parametria!H:H,MATCH(Tabla_Consulta_desde_Reporte_de_Valorización_de_Instrumentos[[#This Row],[CODIGO_SBS]],Parametria!C:C,0),1)</f>
        <v>Coller - Coller VI</v>
      </c>
      <c r="H410" t="s">
        <v>749</v>
      </c>
      <c r="I410" t="s">
        <v>750</v>
      </c>
      <c r="J410" t="s">
        <v>751</v>
      </c>
      <c r="K410" t="s">
        <v>50</v>
      </c>
      <c r="L410">
        <v>1</v>
      </c>
      <c r="M410" s="5">
        <v>1827260.8337458</v>
      </c>
      <c r="N410">
        <v>543681.99998389999</v>
      </c>
      <c r="O410">
        <v>400.993334</v>
      </c>
      <c r="P410" s="15">
        <v>46215</v>
      </c>
      <c r="Q410">
        <v>193</v>
      </c>
      <c r="R410">
        <v>3.3609</v>
      </c>
      <c r="S410" t="s">
        <v>428</v>
      </c>
      <c r="T410">
        <v>1828185.0931458001</v>
      </c>
      <c r="U410" s="5">
        <v>543681.99998389999</v>
      </c>
      <c r="V410" t="s">
        <v>156</v>
      </c>
      <c r="W410">
        <v>0</v>
      </c>
      <c r="X410">
        <v>0</v>
      </c>
      <c r="Y410">
        <v>0</v>
      </c>
      <c r="Z410">
        <v>0</v>
      </c>
      <c r="AA410" t="str">
        <f>+MID(Tabla_Consulta_desde_Reporte_de_Valorización_de_Instrumentos[[#This Row],[CODIGO_SBS]],7,1)</f>
        <v>2</v>
      </c>
      <c r="AB410">
        <f>INDEX('Cálculo Caja'!F:F,MATCH(Tabla_Consulta_desde_Reporte_de_Valorización_de_Instrumentos[[#This Row],[PORTAFOLIO]],'Cálculo Caja'!A:A,0),1)</f>
        <v>26256910350.436607</v>
      </c>
      <c r="AC410" s="17">
        <f>Tabla_Consulta_desde_Reporte_de_Valorización_de_Instrumentos[[#This Row],[VALOR_VECTOR_LOCAL]]/Tabla_Consulta_desde_Reporte_de_Valorización_de_Instrumentos[[#This Row],[Patrimonio]]</f>
        <v>6.9591616430050225E-5</v>
      </c>
      <c r="AD410" s="4">
        <f>(Tabla_Consulta_desde_Reporte_de_Valorización_de_Instrumentos[[#This Row],[VALOR_VECTOR_LOCAL]]/INDEX('Tipo de Cambio'!$D:$D,MATCH("2",'Tipo de Cambio'!$E:$E,0),1))/1000000</f>
        <v>0.54368199998387334</v>
      </c>
      <c r="AE410">
        <f>IF(Tabla_Consulta_desde_Reporte_de_Valorización_de_Instrumentos[[#This Row],[PORTAFOLIO]]="IN-FONDO0",Tabla_Consulta_desde_Reporte_de_Valorización_de_Instrumentos[[#This Row],[Inv MM$]],0)</f>
        <v>0</v>
      </c>
      <c r="AF410" s="26">
        <f>IF(Tabla_Consulta_desde_Reporte_de_Valorización_de_Instrumentos[[#This Row],[PORTAFOLIO]]="IN-FONDO1",Tabla_Consulta_desde_Reporte_de_Valorización_de_Instrumentos[[#This Row],[Inv MM$]],0)</f>
        <v>0</v>
      </c>
      <c r="AG410" s="26">
        <f>IF(Tabla_Consulta_desde_Reporte_de_Valorización_de_Instrumentos[[#This Row],[PORTAFOLIO]]="IN-FONDO2",Tabla_Consulta_desde_Reporte_de_Valorización_de_Instrumentos[[#This Row],[Inv MM$]],0)</f>
        <v>0.54368199998387334</v>
      </c>
      <c r="AH410" s="26">
        <f>IF(Tabla_Consulta_desde_Reporte_de_Valorización_de_Instrumentos[[#This Row],[PORTAFOLIO]]="IN-FONDO3",Tabla_Consulta_desde_Reporte_de_Valorización_de_Instrumentos[[#This Row],[Inv MM$]],0)</f>
        <v>0</v>
      </c>
      <c r="AI41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0.6041019999788152</v>
      </c>
      <c r="AJ410" s="26">
        <f>IFERROR(IFERROR(INDEX('BD(MSCI)'!$T:$T,MATCH(Tabla_Consulta_desde_Reporte_de_Valorización_de_Instrumentos[[#This Row],[CODIGO_ISIN]],'BD(MSCI)'!$C:$C,0),1),INDEX('BD(MSCI)'!$T:$T,MATCH(Tabla_Consulta_desde_Reporte_de_Valorización_de_Instrumentos[[#This Row],[CODIGO_SBS]],'BD(MSCI)'!$C:$C,0),1)),0)</f>
        <v>39.508152340000002</v>
      </c>
      <c r="AK410" s="26">
        <f>Tabla_Consulta_desde_Reporte_de_Valorización_de_Instrumentos[[#This Row],[C02-H]]*Tabla_Consulta_desde_Reporte_de_Valorización_de_Instrumentos[[#This Row],[Inv MM$]]</f>
        <v>21.479871279878747</v>
      </c>
      <c r="AL410" s="26">
        <f>Tabla_Consulta_desde_Reporte_de_Valorización_de_Instrumentos[[#This Row],[C02-H]]*Tabla_Consulta_desde_Reporte_de_Valorización_de_Instrumentos[[#This Row],[Weight]]</f>
        <v>2.7494361835052714E-3</v>
      </c>
      <c r="AM410" s="26" t="str">
        <f>INDEX(Parametria!G:G,MATCH(Tabla_Consulta_desde_Reporte_de_Valorización_de_Instrumentos[[#This Row],[CODIGO_SBS]],Parametria!C:C,0))</f>
        <v>53ALT</v>
      </c>
      <c r="AN410" s="26" t="str">
        <f>INDEX(Parametria!F:F,MATCH(Tabla_Consulta_desde_Reporte_de_Valorización_de_Instrumentos[[#This Row],[CODIGO_SBS]],Parametria!C:C,0))</f>
        <v>ALT</v>
      </c>
      <c r="AO410" s="26" t="str">
        <f>+INDEX(Parametria!J:J,MATCH(Tabla_Consulta_desde_Reporte_de_Valorización_de_Instrumentos[[#This Row],[CODIGO_SBS]],Parametria!C:C,0))</f>
        <v>ALT</v>
      </c>
      <c r="AP410" s="26">
        <f>Tabla_Consulta_desde_Reporte_de_Valorización_de_Instrumentos[[#This Row],[Huella]]/$AU$4</f>
        <v>1.9912866303972263E-3</v>
      </c>
      <c r="AQ410" s="26" t="str">
        <f>IFERROR(INDEX('BD(MSCI)'!W:W,MATCH(Tabla_Consulta_desde_Reporte_de_Valorización_de_Instrumentos[[#This Row],[CODIGO_ISIN]],'BD(MSCI)'!C:C,0)),IF(Tabla_Consulta_desde_Reporte_de_Valorización_de_Instrumentos[[#This Row],[Rank_rt]]="Cash","Cash","Cuestionario Integra"))</f>
        <v>Proxies</v>
      </c>
      <c r="AR410" s="26" t="str">
        <f>IFERROR(INDEX('BD(MSCI)'!X:X,MATCH(Tabla_Consulta_desde_Reporte_de_Valorización_de_Instrumentos[[#This Row],[CODIGO_ISIN]],'BD(MSCI)'!C:C,0)),"Cuestionario Integra")</f>
        <v>Alts</v>
      </c>
      <c r="AU410" s="26"/>
    </row>
    <row r="411" spans="2:47" hidden="1" x14ac:dyDescent="0.25">
      <c r="B411" s="14" t="s">
        <v>6390</v>
      </c>
      <c r="C411" t="s">
        <v>727</v>
      </c>
      <c r="D411" t="s">
        <v>11</v>
      </c>
      <c r="E411" t="s">
        <v>728</v>
      </c>
      <c r="F411" t="s">
        <v>748</v>
      </c>
      <c r="G411" t="str">
        <f>INDEX(Parametria!H:H,MATCH(Tabla_Consulta_desde_Reporte_de_Valorización_de_Instrumentos[[#This Row],[CODIGO_SBS]],Parametria!C:C,0),1)</f>
        <v>Coller - Coller VI</v>
      </c>
      <c r="H411" t="s">
        <v>749</v>
      </c>
      <c r="I411" t="s">
        <v>750</v>
      </c>
      <c r="J411" t="s">
        <v>751</v>
      </c>
      <c r="K411" t="s">
        <v>50</v>
      </c>
      <c r="L411">
        <v>1</v>
      </c>
      <c r="M411" s="5">
        <v>203065.577983</v>
      </c>
      <c r="N411">
        <v>60419.999994899998</v>
      </c>
      <c r="O411">
        <v>44.562846</v>
      </c>
      <c r="P411" s="15">
        <v>46215</v>
      </c>
      <c r="Q411">
        <v>193</v>
      </c>
      <c r="R411">
        <v>3.3609</v>
      </c>
      <c r="S411" t="s">
        <v>428</v>
      </c>
      <c r="T411">
        <v>203168.291983</v>
      </c>
      <c r="U411" s="5">
        <v>60419.999994899998</v>
      </c>
      <c r="V411" t="s">
        <v>156</v>
      </c>
      <c r="W411">
        <v>0</v>
      </c>
      <c r="X411">
        <v>0</v>
      </c>
      <c r="Y411">
        <v>0</v>
      </c>
      <c r="Z411">
        <v>0</v>
      </c>
      <c r="AA411" t="str">
        <f>+MID(Tabla_Consulta_desde_Reporte_de_Valorización_de_Instrumentos[[#This Row],[CODIGO_SBS]],7,1)</f>
        <v>2</v>
      </c>
      <c r="AB411">
        <f>INDEX('Cálculo Caja'!F:F,MATCH(Tabla_Consulta_desde_Reporte_de_Valorización_de_Instrumentos[[#This Row],[PORTAFOLIO]],'Cálculo Caja'!A:A,0),1)</f>
        <v>3164069580.822104</v>
      </c>
      <c r="AC411" s="17">
        <f>Tabla_Consulta_desde_Reporte_de_Valorización_de_Instrumentos[[#This Row],[VALOR_VECTOR_LOCAL]]/Tabla_Consulta_desde_Reporte_de_Valorización_de_Instrumentos[[#This Row],[Patrimonio]]</f>
        <v>6.4178606947777202E-5</v>
      </c>
      <c r="AD411" s="4">
        <f>(Tabla_Consulta_desde_Reporte_de_Valorización_de_Instrumentos[[#This Row],[VALOR_VECTOR_LOCAL]]/INDEX('Tipo de Cambio'!$D:$D,MATCH("2",'Tipo de Cambio'!$E:$E,0),1))/1000000</f>
        <v>6.0419999994941825E-2</v>
      </c>
      <c r="AE411">
        <f>IF(Tabla_Consulta_desde_Reporte_de_Valorización_de_Instrumentos[[#This Row],[PORTAFOLIO]]="IN-FONDO0",Tabla_Consulta_desde_Reporte_de_Valorización_de_Instrumentos[[#This Row],[Inv MM$]],0)</f>
        <v>0</v>
      </c>
      <c r="AF411" s="26">
        <f>IF(Tabla_Consulta_desde_Reporte_de_Valorización_de_Instrumentos[[#This Row],[PORTAFOLIO]]="IN-FONDO1",Tabla_Consulta_desde_Reporte_de_Valorización_de_Instrumentos[[#This Row],[Inv MM$]],0)</f>
        <v>0</v>
      </c>
      <c r="AG411" s="26">
        <f>IF(Tabla_Consulta_desde_Reporte_de_Valorización_de_Instrumentos[[#This Row],[PORTAFOLIO]]="IN-FONDO2",Tabla_Consulta_desde_Reporte_de_Valorización_de_Instrumentos[[#This Row],[Inv MM$]],0)</f>
        <v>0</v>
      </c>
      <c r="AH411" s="26">
        <f>IF(Tabla_Consulta_desde_Reporte_de_Valorización_de_Instrumentos[[#This Row],[PORTAFOLIO]]="IN-FONDO3",Tabla_Consulta_desde_Reporte_de_Valorización_de_Instrumentos[[#This Row],[Inv MM$]],0)</f>
        <v>6.0419999994941825E-2</v>
      </c>
      <c r="AI41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0.6041019999788152</v>
      </c>
      <c r="AJ411" s="26">
        <f>IFERROR(IFERROR(INDEX('BD(MSCI)'!$T:$T,MATCH(Tabla_Consulta_desde_Reporte_de_Valorización_de_Instrumentos[[#This Row],[CODIGO_ISIN]],'BD(MSCI)'!$C:$C,0),1),INDEX('BD(MSCI)'!$T:$T,MATCH(Tabla_Consulta_desde_Reporte_de_Valorización_de_Instrumentos[[#This Row],[CODIGO_SBS]],'BD(MSCI)'!$C:$C,0),1)),0)</f>
        <v>39.508152340000002</v>
      </c>
      <c r="AK411" s="26">
        <f>Tabla_Consulta_desde_Reporte_de_Valorización_de_Instrumentos[[#This Row],[C02-H]]*Tabla_Consulta_desde_Reporte_de_Valorización_de_Instrumentos[[#This Row],[Inv MM$]]</f>
        <v>2.3870825641829612</v>
      </c>
      <c r="AL411" s="26">
        <f>Tabla_Consulta_desde_Reporte_de_Valorización_de_Instrumentos[[#This Row],[C02-H]]*Tabla_Consulta_desde_Reporte_de_Valorización_de_Instrumentos[[#This Row],[Weight]]</f>
        <v>2.5355781802617644E-3</v>
      </c>
      <c r="AM411" s="26" t="str">
        <f>INDEX(Parametria!G:G,MATCH(Tabla_Consulta_desde_Reporte_de_Valorización_de_Instrumentos[[#This Row],[CODIGO_SBS]],Parametria!C:C,0))</f>
        <v>53ALT</v>
      </c>
      <c r="AN411" s="26" t="str">
        <f>INDEX(Parametria!F:F,MATCH(Tabla_Consulta_desde_Reporte_de_Valorización_de_Instrumentos[[#This Row],[CODIGO_SBS]],Parametria!C:C,0))</f>
        <v>ALT</v>
      </c>
      <c r="AO411" s="26" t="str">
        <f>+INDEX(Parametria!J:J,MATCH(Tabla_Consulta_desde_Reporte_de_Valorización_de_Instrumentos[[#This Row],[CODIGO_SBS]],Parametria!C:C,0))</f>
        <v>ALT</v>
      </c>
      <c r="AP411" s="26">
        <f>Tabla_Consulta_desde_Reporte_de_Valorización_de_Instrumentos[[#This Row],[Huella]]/$AU$4</f>
        <v>2.2129395161527672E-4</v>
      </c>
      <c r="AQ411" s="26" t="str">
        <f>IFERROR(INDEX('BD(MSCI)'!W:W,MATCH(Tabla_Consulta_desde_Reporte_de_Valorización_de_Instrumentos[[#This Row],[CODIGO_ISIN]],'BD(MSCI)'!C:C,0)),IF(Tabla_Consulta_desde_Reporte_de_Valorización_de_Instrumentos[[#This Row],[Rank_rt]]="Cash","Cash","Cuestionario Integra"))</f>
        <v>Proxies</v>
      </c>
      <c r="AR411" s="26" t="str">
        <f>IFERROR(INDEX('BD(MSCI)'!X:X,MATCH(Tabla_Consulta_desde_Reporte_de_Valorización_de_Instrumentos[[#This Row],[CODIGO_ISIN]],'BD(MSCI)'!C:C,0)),"Cuestionario Integra")</f>
        <v>Alts</v>
      </c>
      <c r="AU411" s="26"/>
    </row>
    <row r="412" spans="2:47" hidden="1" x14ac:dyDescent="0.25">
      <c r="B412" s="14" t="s">
        <v>6390</v>
      </c>
      <c r="C412" t="s">
        <v>727</v>
      </c>
      <c r="D412" t="s">
        <v>11</v>
      </c>
      <c r="E412" t="s">
        <v>728</v>
      </c>
      <c r="F412" t="s">
        <v>752</v>
      </c>
      <c r="G412" t="str">
        <f>INDEX(Parametria!H:H,MATCH(Tabla_Consulta_desde_Reporte_de_Valorización_de_Instrumentos[[#This Row],[CODIGO_SBS]],Parametria!C:C,0),1)</f>
        <v>Partners - PG Secondary 2011</v>
      </c>
      <c r="H412" t="s">
        <v>752</v>
      </c>
      <c r="I412" t="s">
        <v>156</v>
      </c>
      <c r="J412" t="s">
        <v>753</v>
      </c>
      <c r="K412" t="s">
        <v>50</v>
      </c>
      <c r="L412">
        <v>1</v>
      </c>
      <c r="M412" s="5">
        <v>1392017.5527929999</v>
      </c>
      <c r="N412">
        <v>414179.99726059998</v>
      </c>
      <c r="O412">
        <v>5.0355125000000003</v>
      </c>
      <c r="P412" s="15">
        <v>46203</v>
      </c>
      <c r="Q412">
        <v>181</v>
      </c>
      <c r="R412">
        <v>3.3609</v>
      </c>
      <c r="S412" t="s">
        <v>428</v>
      </c>
      <c r="T412">
        <v>1392721.6587884</v>
      </c>
      <c r="U412" s="5">
        <v>414179.99726059998</v>
      </c>
      <c r="V412" t="s">
        <v>156</v>
      </c>
      <c r="W412">
        <v>0</v>
      </c>
      <c r="X412">
        <v>0</v>
      </c>
      <c r="Y412">
        <v>0</v>
      </c>
      <c r="Z412">
        <v>0</v>
      </c>
      <c r="AA412" t="str">
        <f>+MID(Tabla_Consulta_desde_Reporte_de_Valorización_de_Instrumentos[[#This Row],[CODIGO_SBS]],7,1)</f>
        <v>2</v>
      </c>
      <c r="AB412">
        <f>INDEX('Cálculo Caja'!F:F,MATCH(Tabla_Consulta_desde_Reporte_de_Valorización_de_Instrumentos[[#This Row],[PORTAFOLIO]],'Cálculo Caja'!A:A,0),1)</f>
        <v>3164069580.822104</v>
      </c>
      <c r="AC412" s="17">
        <f>Tabla_Consulta_desde_Reporte_de_Valorización_de_Instrumentos[[#This Row],[VALOR_VECTOR_LOCAL]]/Tabla_Consulta_desde_Reporte_de_Valorización_de_Instrumentos[[#This Row],[Patrimonio]]</f>
        <v>4.3994530374117725E-4</v>
      </c>
      <c r="AD412" s="4">
        <f>(Tabla_Consulta_desde_Reporte_de_Valorización_de_Instrumentos[[#This Row],[VALOR_VECTOR_LOCAL]]/INDEX('Tipo de Cambio'!$D:$D,MATCH("2",'Tipo de Cambio'!$E:$E,0),1))/1000000</f>
        <v>0.41417999726055515</v>
      </c>
      <c r="AE412">
        <f>IF(Tabla_Consulta_desde_Reporte_de_Valorización_de_Instrumentos[[#This Row],[PORTAFOLIO]]="IN-FONDO0",Tabla_Consulta_desde_Reporte_de_Valorización_de_Instrumentos[[#This Row],[Inv MM$]],0)</f>
        <v>0</v>
      </c>
      <c r="AF412" s="26">
        <f>IF(Tabla_Consulta_desde_Reporte_de_Valorización_de_Instrumentos[[#This Row],[PORTAFOLIO]]="IN-FONDO1",Tabla_Consulta_desde_Reporte_de_Valorización_de_Instrumentos[[#This Row],[Inv MM$]],0)</f>
        <v>0</v>
      </c>
      <c r="AG412" s="26">
        <f>IF(Tabla_Consulta_desde_Reporte_de_Valorización_de_Instrumentos[[#This Row],[PORTAFOLIO]]="IN-FONDO2",Tabla_Consulta_desde_Reporte_de_Valorización_de_Instrumentos[[#This Row],[Inv MM$]],0)</f>
        <v>0</v>
      </c>
      <c r="AH412" s="26">
        <f>IF(Tabla_Consulta_desde_Reporte_de_Valorización_de_Instrumentos[[#This Row],[PORTAFOLIO]]="IN-FONDO3",Tabla_Consulta_desde_Reporte_de_Valorización_de_Instrumentos[[#This Row],[Inv MM$]],0)</f>
        <v>0.41417999726055515</v>
      </c>
      <c r="AI41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1.4716129987796125</v>
      </c>
      <c r="AJ412" s="26">
        <f>IFERROR(IFERROR(INDEX('BD(MSCI)'!$T:$T,MATCH(Tabla_Consulta_desde_Reporte_de_Valorización_de_Instrumentos[[#This Row],[CODIGO_ISIN]],'BD(MSCI)'!$C:$C,0),1),INDEX('BD(MSCI)'!$T:$T,MATCH(Tabla_Consulta_desde_Reporte_de_Valorización_de_Instrumentos[[#This Row],[CODIGO_SBS]],'BD(MSCI)'!$C:$C,0),1)),0)</f>
        <v>39.508152340000002</v>
      </c>
      <c r="AK412" s="26">
        <f>Tabla_Consulta_desde_Reporte_de_Valorización_de_Instrumentos[[#This Row],[C02-H]]*Tabla_Consulta_desde_Reporte_de_Valorización_de_Instrumentos[[#This Row],[Inv MM$]]</f>
        <v>16.363486427950797</v>
      </c>
      <c r="AL412" s="26">
        <f>Tabla_Consulta_desde_Reporte_de_Valorización_de_Instrumentos[[#This Row],[C02-H]]*Tabla_Consulta_desde_Reporte_de_Valorización_de_Instrumentos[[#This Row],[Weight]]</f>
        <v>1.7381426081474003E-2</v>
      </c>
      <c r="AM412" s="26" t="str">
        <f>INDEX(Parametria!G:G,MATCH(Tabla_Consulta_desde_Reporte_de_Valorización_de_Instrumentos[[#This Row],[CODIGO_SBS]],Parametria!C:C,0))</f>
        <v>53ALT</v>
      </c>
      <c r="AN412" s="26" t="str">
        <f>INDEX(Parametria!F:F,MATCH(Tabla_Consulta_desde_Reporte_de_Valorización_de_Instrumentos[[#This Row],[CODIGO_SBS]],Parametria!C:C,0))</f>
        <v>ALT</v>
      </c>
      <c r="AO412" s="26" t="str">
        <f>+INDEX(Parametria!J:J,MATCH(Tabla_Consulta_desde_Reporte_de_Valorización_de_Instrumentos[[#This Row],[CODIGO_SBS]],Parametria!C:C,0))</f>
        <v>ALT</v>
      </c>
      <c r="AP412" s="26">
        <f>Tabla_Consulta_desde_Reporte_de_Valorización_de_Instrumentos[[#This Row],[Huella]]/$AU$4</f>
        <v>1.5169733247511726E-3</v>
      </c>
      <c r="AQ412" s="26" t="str">
        <f>IFERROR(INDEX('BD(MSCI)'!W:W,MATCH(Tabla_Consulta_desde_Reporte_de_Valorización_de_Instrumentos[[#This Row],[CODIGO_ISIN]],'BD(MSCI)'!C:C,0)),IF(Tabla_Consulta_desde_Reporte_de_Valorización_de_Instrumentos[[#This Row],[Rank_rt]]="Cash","Cash","Cuestionario Integra"))</f>
        <v>Proxies</v>
      </c>
      <c r="AR412" s="26" t="str">
        <f>IFERROR(INDEX('BD(MSCI)'!X:X,MATCH(Tabla_Consulta_desde_Reporte_de_Valorización_de_Instrumentos[[#This Row],[CODIGO_ISIN]],'BD(MSCI)'!C:C,0)),"Cuestionario Integra")</f>
        <v>Alts</v>
      </c>
      <c r="AU412" s="26"/>
    </row>
    <row r="413" spans="2:47" hidden="1" x14ac:dyDescent="0.25">
      <c r="B413" s="14" t="s">
        <v>6390</v>
      </c>
      <c r="C413" t="s">
        <v>727</v>
      </c>
      <c r="D413" t="s">
        <v>10</v>
      </c>
      <c r="E413" t="s">
        <v>728</v>
      </c>
      <c r="F413" t="s">
        <v>752</v>
      </c>
      <c r="G413" t="str">
        <f>INDEX(Parametria!H:H,MATCH(Tabla_Consulta_desde_Reporte_de_Valorización_de_Instrumentos[[#This Row],[CODIGO_SBS]],Parametria!C:C,0),1)</f>
        <v>Partners - PG Secondary 2011</v>
      </c>
      <c r="H413" t="s">
        <v>752</v>
      </c>
      <c r="I413" t="s">
        <v>156</v>
      </c>
      <c r="J413" t="s">
        <v>753</v>
      </c>
      <c r="K413" t="s">
        <v>50</v>
      </c>
      <c r="L413">
        <v>1</v>
      </c>
      <c r="M413" s="5">
        <v>3553926.5748053999</v>
      </c>
      <c r="N413">
        <v>1057433.0015191</v>
      </c>
      <c r="O413">
        <v>12.856045999999999</v>
      </c>
      <c r="P413" s="15">
        <v>46203</v>
      </c>
      <c r="Q413">
        <v>181</v>
      </c>
      <c r="R413">
        <v>3.3609</v>
      </c>
      <c r="S413" t="s">
        <v>428</v>
      </c>
      <c r="T413">
        <v>3555724.2109079999</v>
      </c>
      <c r="U413" s="5">
        <v>1057433.0015191</v>
      </c>
      <c r="V413" t="s">
        <v>156</v>
      </c>
      <c r="W413">
        <v>0</v>
      </c>
      <c r="X413">
        <v>0</v>
      </c>
      <c r="Y413">
        <v>0</v>
      </c>
      <c r="Z413">
        <v>0</v>
      </c>
      <c r="AA413" t="str">
        <f>+MID(Tabla_Consulta_desde_Reporte_de_Valorización_de_Instrumentos[[#This Row],[CODIGO_SBS]],7,1)</f>
        <v>2</v>
      </c>
      <c r="AB413">
        <f>INDEX('Cálculo Caja'!F:F,MATCH(Tabla_Consulta_desde_Reporte_de_Valorización_de_Instrumentos[[#This Row],[PORTAFOLIO]],'Cálculo Caja'!A:A,0),1)</f>
        <v>26256910350.436607</v>
      </c>
      <c r="AC413" s="17">
        <f>Tabla_Consulta_desde_Reporte_de_Valorización_de_Instrumentos[[#This Row],[VALOR_VECTOR_LOCAL]]/Tabla_Consulta_desde_Reporte_de_Valorización_de_Instrumentos[[#This Row],[Patrimonio]]</f>
        <v>1.3535204741811155E-4</v>
      </c>
      <c r="AD413" s="4">
        <f>(Tabla_Consulta_desde_Reporte_de_Valorización_de_Instrumentos[[#This Row],[VALOR_VECTOR_LOCAL]]/INDEX('Tipo de Cambio'!$D:$D,MATCH("2",'Tipo de Cambio'!$E:$E,0),1))/1000000</f>
        <v>1.0574330015190574</v>
      </c>
      <c r="AE413">
        <f>IF(Tabla_Consulta_desde_Reporte_de_Valorización_de_Instrumentos[[#This Row],[PORTAFOLIO]]="IN-FONDO0",Tabla_Consulta_desde_Reporte_de_Valorización_de_Instrumentos[[#This Row],[Inv MM$]],0)</f>
        <v>0</v>
      </c>
      <c r="AF413" s="26">
        <f>IF(Tabla_Consulta_desde_Reporte_de_Valorización_de_Instrumentos[[#This Row],[PORTAFOLIO]]="IN-FONDO1",Tabla_Consulta_desde_Reporte_de_Valorización_de_Instrumentos[[#This Row],[Inv MM$]],0)</f>
        <v>0</v>
      </c>
      <c r="AG413" s="26">
        <f>IF(Tabla_Consulta_desde_Reporte_de_Valorización_de_Instrumentos[[#This Row],[PORTAFOLIO]]="IN-FONDO2",Tabla_Consulta_desde_Reporte_de_Valorización_de_Instrumentos[[#This Row],[Inv MM$]],0)</f>
        <v>1.0574330015190574</v>
      </c>
      <c r="AH413" s="26">
        <f>IF(Tabla_Consulta_desde_Reporte_de_Valorización_de_Instrumentos[[#This Row],[PORTAFOLIO]]="IN-FONDO3",Tabla_Consulta_desde_Reporte_de_Valorización_de_Instrumentos[[#This Row],[Inv MM$]],0)</f>
        <v>0</v>
      </c>
      <c r="AI41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1.4716129987796125</v>
      </c>
      <c r="AJ413" s="26">
        <f>IFERROR(IFERROR(INDEX('BD(MSCI)'!$T:$T,MATCH(Tabla_Consulta_desde_Reporte_de_Valorización_de_Instrumentos[[#This Row],[CODIGO_ISIN]],'BD(MSCI)'!$C:$C,0),1),INDEX('BD(MSCI)'!$T:$T,MATCH(Tabla_Consulta_desde_Reporte_de_Valorización_de_Instrumentos[[#This Row],[CODIGO_SBS]],'BD(MSCI)'!$C:$C,0),1)),0)</f>
        <v>39.508152340000002</v>
      </c>
      <c r="AK413" s="26">
        <f>Tabla_Consulta_desde_Reporte_de_Valorización_de_Instrumentos[[#This Row],[C02-H]]*Tabla_Consulta_desde_Reporte_de_Valorización_de_Instrumentos[[#This Row],[Inv MM$]]</f>
        <v>41.777224113358372</v>
      </c>
      <c r="AL413" s="26">
        <f>Tabla_Consulta_desde_Reporte_de_Valorización_de_Instrumentos[[#This Row],[C02-H]]*Tabla_Consulta_desde_Reporte_de_Valorización_de_Instrumentos[[#This Row],[Weight]]</f>
        <v>5.3475093089256553E-3</v>
      </c>
      <c r="AM413" s="26" t="str">
        <f>INDEX(Parametria!G:G,MATCH(Tabla_Consulta_desde_Reporte_de_Valorización_de_Instrumentos[[#This Row],[CODIGO_SBS]],Parametria!C:C,0))</f>
        <v>53ALT</v>
      </c>
      <c r="AN413" s="26" t="str">
        <f>INDEX(Parametria!F:F,MATCH(Tabla_Consulta_desde_Reporte_de_Valorización_de_Instrumentos[[#This Row],[CODIGO_SBS]],Parametria!C:C,0))</f>
        <v>ALT</v>
      </c>
      <c r="AO413" s="26" t="str">
        <f>+INDEX(Parametria!J:J,MATCH(Tabla_Consulta_desde_Reporte_de_Valorización_de_Instrumentos[[#This Row],[CODIGO_SBS]],Parametria!C:C,0))</f>
        <v>ALT</v>
      </c>
      <c r="AP413" s="26">
        <f>Tabla_Consulta_desde_Reporte_de_Valorización_de_Instrumentos[[#This Row],[Huella]]/$AU$4</f>
        <v>3.872948154487672E-3</v>
      </c>
      <c r="AQ413" s="26" t="str">
        <f>IFERROR(INDEX('BD(MSCI)'!W:W,MATCH(Tabla_Consulta_desde_Reporte_de_Valorización_de_Instrumentos[[#This Row],[CODIGO_ISIN]],'BD(MSCI)'!C:C,0)),IF(Tabla_Consulta_desde_Reporte_de_Valorización_de_Instrumentos[[#This Row],[Rank_rt]]="Cash","Cash","Cuestionario Integra"))</f>
        <v>Proxies</v>
      </c>
      <c r="AR413" s="26" t="str">
        <f>IFERROR(INDEX('BD(MSCI)'!X:X,MATCH(Tabla_Consulta_desde_Reporte_de_Valorización_de_Instrumentos[[#This Row],[CODIGO_ISIN]],'BD(MSCI)'!C:C,0)),"Cuestionario Integra")</f>
        <v>Alts</v>
      </c>
      <c r="AU413" s="26"/>
    </row>
    <row r="414" spans="2:47" hidden="1" x14ac:dyDescent="0.25">
      <c r="B414" s="14" t="s">
        <v>6390</v>
      </c>
      <c r="C414" t="s">
        <v>727</v>
      </c>
      <c r="D414" t="s">
        <v>10</v>
      </c>
      <c r="E414" t="s">
        <v>728</v>
      </c>
      <c r="F414" t="s">
        <v>754</v>
      </c>
      <c r="G414" t="str">
        <f>INDEX(Parametria!H:H,MATCH(Tabla_Consulta_desde_Reporte_de_Valorización_de_Instrumentos[[#This Row],[CODIGO_SBS]],Parametria!C:C,0),1)</f>
        <v>Apax VIII</v>
      </c>
      <c r="H414" t="s">
        <v>755</v>
      </c>
      <c r="I414" t="s">
        <v>756</v>
      </c>
      <c r="J414" t="s">
        <v>757</v>
      </c>
      <c r="K414" t="s">
        <v>57</v>
      </c>
      <c r="L414">
        <v>1</v>
      </c>
      <c r="M414" s="5">
        <v>3059674.8329032999</v>
      </c>
      <c r="N414">
        <v>775379.99948740005</v>
      </c>
      <c r="O414">
        <v>17.2440791</v>
      </c>
      <c r="P414" s="15">
        <v>46559</v>
      </c>
      <c r="Q414">
        <v>537</v>
      </c>
      <c r="R414">
        <v>3.9460326999999999</v>
      </c>
      <c r="S414" t="s">
        <v>428</v>
      </c>
      <c r="T414">
        <v>3064611.909974</v>
      </c>
      <c r="U414" s="5">
        <v>775379.99948740005</v>
      </c>
      <c r="V414" t="s">
        <v>156</v>
      </c>
      <c r="W414">
        <v>0</v>
      </c>
      <c r="X414">
        <v>0</v>
      </c>
      <c r="Y414">
        <v>0</v>
      </c>
      <c r="Z414">
        <v>0</v>
      </c>
      <c r="AA414" t="str">
        <f>+MID(Tabla_Consulta_desde_Reporte_de_Valorización_de_Instrumentos[[#This Row],[CODIGO_SBS]],7,1)</f>
        <v>4</v>
      </c>
      <c r="AB414">
        <f>INDEX('Cálculo Caja'!F:F,MATCH(Tabla_Consulta_desde_Reporte_de_Valorización_de_Instrumentos[[#This Row],[PORTAFOLIO]],'Cálculo Caja'!A:A,0),1)</f>
        <v>26256910350.436607</v>
      </c>
      <c r="AC414" s="17">
        <f>Tabla_Consulta_desde_Reporte_de_Valorización_de_Instrumentos[[#This Row],[VALOR_VECTOR_LOCAL]]/Tabla_Consulta_desde_Reporte_de_Valorización_de_Instrumentos[[#This Row],[Patrimonio]]</f>
        <v>1.1652836499296737E-4</v>
      </c>
      <c r="AD414" s="4">
        <f>(Tabla_Consulta_desde_Reporte_de_Valorización_de_Instrumentos[[#This Row],[VALOR_VECTOR_LOCAL]]/INDEX('Tipo de Cambio'!$D:$D,MATCH("2",'Tipo de Cambio'!$E:$E,0),1))/1000000</f>
        <v>0.91037365970522766</v>
      </c>
      <c r="AE414">
        <f>IF(Tabla_Consulta_desde_Reporte_de_Valorización_de_Instrumentos[[#This Row],[PORTAFOLIO]]="IN-FONDO0",Tabla_Consulta_desde_Reporte_de_Valorización_de_Instrumentos[[#This Row],[Inv MM$]],0)</f>
        <v>0</v>
      </c>
      <c r="AF414" s="26">
        <f>IF(Tabla_Consulta_desde_Reporte_de_Valorización_de_Instrumentos[[#This Row],[PORTAFOLIO]]="IN-FONDO1",Tabla_Consulta_desde_Reporte_de_Valorización_de_Instrumentos[[#This Row],[Inv MM$]],0)</f>
        <v>0</v>
      </c>
      <c r="AG414" s="26">
        <f>IF(Tabla_Consulta_desde_Reporte_de_Valorización_de_Instrumentos[[#This Row],[PORTAFOLIO]]="IN-FONDO2",Tabla_Consulta_desde_Reporte_de_Valorización_de_Instrumentos[[#This Row],[Inv MM$]],0)</f>
        <v>0.91037365970522766</v>
      </c>
      <c r="AH414" s="26">
        <f>IF(Tabla_Consulta_desde_Reporte_de_Valorización_de_Instrumentos[[#This Row],[PORTAFOLIO]]="IN-FONDO3",Tabla_Consulta_desde_Reporte_de_Valorización_de_Instrumentos[[#This Row],[Inv MM$]],0)</f>
        <v>0</v>
      </c>
      <c r="AI41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1.1379670759513523</v>
      </c>
      <c r="AJ414" s="26">
        <f>IFERROR(IFERROR(INDEX('BD(MSCI)'!$T:$T,MATCH(Tabla_Consulta_desde_Reporte_de_Valorización_de_Instrumentos[[#This Row],[CODIGO_ISIN]],'BD(MSCI)'!$C:$C,0),1),INDEX('BD(MSCI)'!$T:$T,MATCH(Tabla_Consulta_desde_Reporte_de_Valorización_de_Instrumentos[[#This Row],[CODIGO_SBS]],'BD(MSCI)'!$C:$C,0),1)),0)</f>
        <v>39.508152340000002</v>
      </c>
      <c r="AK414" s="26">
        <f>Tabla_Consulta_desde_Reporte_de_Valorización_de_Instrumentos[[#This Row],[C02-H]]*Tabla_Consulta_desde_Reporte_de_Valorización_de_Instrumentos[[#This Row],[Inv MM$]]</f>
        <v>35.967181233957454</v>
      </c>
      <c r="AL414" s="26">
        <f>Tabla_Consulta_desde_Reporte_de_Valorización_de_Instrumentos[[#This Row],[C02-H]]*Tabla_Consulta_desde_Reporte_de_Valorización_de_Instrumentos[[#This Row],[Weight]]</f>
        <v>4.6038203960732781E-3</v>
      </c>
      <c r="AM414" s="26" t="str">
        <f>INDEX(Parametria!G:G,MATCH(Tabla_Consulta_desde_Reporte_de_Valorización_de_Instrumentos[[#This Row],[CODIGO_SBS]],Parametria!C:C,0))</f>
        <v>53ALT</v>
      </c>
      <c r="AN414" s="26" t="str">
        <f>INDEX(Parametria!F:F,MATCH(Tabla_Consulta_desde_Reporte_de_Valorización_de_Instrumentos[[#This Row],[CODIGO_SBS]],Parametria!C:C,0))</f>
        <v>ALT</v>
      </c>
      <c r="AO414" s="26" t="str">
        <f>+INDEX(Parametria!J:J,MATCH(Tabla_Consulta_desde_Reporte_de_Valorización_de_Instrumentos[[#This Row],[CODIGO_SBS]],Parametria!C:C,0))</f>
        <v>ALT</v>
      </c>
      <c r="AP414" s="26">
        <f>Tabla_Consulta_desde_Reporte_de_Valorización_de_Instrumentos[[#This Row],[Huella]]/$AU$4</f>
        <v>3.3343294375951116E-3</v>
      </c>
      <c r="AQ414" s="26" t="str">
        <f>IFERROR(INDEX('BD(MSCI)'!W:W,MATCH(Tabla_Consulta_desde_Reporte_de_Valorización_de_Instrumentos[[#This Row],[CODIGO_ISIN]],'BD(MSCI)'!C:C,0)),IF(Tabla_Consulta_desde_Reporte_de_Valorización_de_Instrumentos[[#This Row],[Rank_rt]]="Cash","Cash","Cuestionario Integra"))</f>
        <v>Proxies</v>
      </c>
      <c r="AR414" s="26" t="str">
        <f>IFERROR(INDEX('BD(MSCI)'!X:X,MATCH(Tabla_Consulta_desde_Reporte_de_Valorización_de_Instrumentos[[#This Row],[CODIGO_ISIN]],'BD(MSCI)'!C:C,0)),"Cuestionario Integra")</f>
        <v>Alts</v>
      </c>
      <c r="AU414" s="26"/>
    </row>
    <row r="415" spans="2:47" hidden="1" x14ac:dyDescent="0.25">
      <c r="B415" s="14" t="s">
        <v>6390</v>
      </c>
      <c r="C415" t="s">
        <v>727</v>
      </c>
      <c r="D415" t="s">
        <v>11</v>
      </c>
      <c r="E415" t="s">
        <v>728</v>
      </c>
      <c r="F415" t="s">
        <v>754</v>
      </c>
      <c r="G415" t="str">
        <f>INDEX(Parametria!H:H,MATCH(Tabla_Consulta_desde_Reporte_de_Valorización_de_Instrumentos[[#This Row],[CODIGO_SBS]],Parametria!C:C,0),1)</f>
        <v>Apax VIII</v>
      </c>
      <c r="H415" t="s">
        <v>755</v>
      </c>
      <c r="I415" t="s">
        <v>756</v>
      </c>
      <c r="J415" t="s">
        <v>757</v>
      </c>
      <c r="K415" t="s">
        <v>57</v>
      </c>
      <c r="L415">
        <v>1</v>
      </c>
      <c r="M415" s="5">
        <v>764918.71266159997</v>
      </c>
      <c r="N415">
        <v>193845.00099599999</v>
      </c>
      <c r="O415">
        <v>4.3110198000000004</v>
      </c>
      <c r="P415" s="15">
        <v>46559</v>
      </c>
      <c r="Q415">
        <v>537</v>
      </c>
      <c r="R415">
        <v>3.9460326999999999</v>
      </c>
      <c r="S415" t="s">
        <v>428</v>
      </c>
      <c r="T415">
        <v>766152.98193649994</v>
      </c>
      <c r="U415" s="5">
        <v>193845.00099599999</v>
      </c>
      <c r="V415" t="s">
        <v>156</v>
      </c>
      <c r="W415">
        <v>0</v>
      </c>
      <c r="X415">
        <v>0</v>
      </c>
      <c r="Y415">
        <v>0</v>
      </c>
      <c r="Z415">
        <v>0</v>
      </c>
      <c r="AA415" t="str">
        <f>+MID(Tabla_Consulta_desde_Reporte_de_Valorización_de_Instrumentos[[#This Row],[CODIGO_SBS]],7,1)</f>
        <v>4</v>
      </c>
      <c r="AB415">
        <f>INDEX('Cálculo Caja'!F:F,MATCH(Tabla_Consulta_desde_Reporte_de_Valorización_de_Instrumentos[[#This Row],[PORTAFOLIO]],'Cálculo Caja'!A:A,0),1)</f>
        <v>3164069580.822104</v>
      </c>
      <c r="AC415" s="17">
        <f>Tabla_Consulta_desde_Reporte_de_Valorización_de_Instrumentos[[#This Row],[VALOR_VECTOR_LOCAL]]/Tabla_Consulta_desde_Reporte_de_Valorización_de_Instrumentos[[#This Row],[Patrimonio]]</f>
        <v>2.4175154595141839E-4</v>
      </c>
      <c r="AD415" s="4">
        <f>(Tabla_Consulta_desde_Reporte_de_Valorización_de_Instrumentos[[#This Row],[VALOR_VECTOR_LOCAL]]/INDEX('Tipo de Cambio'!$D:$D,MATCH("2",'Tipo de Cambio'!$E:$E,0),1))/1000000</f>
        <v>0.22759341624612453</v>
      </c>
      <c r="AE415">
        <f>IF(Tabla_Consulta_desde_Reporte_de_Valorización_de_Instrumentos[[#This Row],[PORTAFOLIO]]="IN-FONDO0",Tabla_Consulta_desde_Reporte_de_Valorización_de_Instrumentos[[#This Row],[Inv MM$]],0)</f>
        <v>0</v>
      </c>
      <c r="AF415" s="26">
        <f>IF(Tabla_Consulta_desde_Reporte_de_Valorización_de_Instrumentos[[#This Row],[PORTAFOLIO]]="IN-FONDO1",Tabla_Consulta_desde_Reporte_de_Valorización_de_Instrumentos[[#This Row],[Inv MM$]],0)</f>
        <v>0</v>
      </c>
      <c r="AG415" s="26">
        <f>IF(Tabla_Consulta_desde_Reporte_de_Valorización_de_Instrumentos[[#This Row],[PORTAFOLIO]]="IN-FONDO2",Tabla_Consulta_desde_Reporte_de_Valorización_de_Instrumentos[[#This Row],[Inv MM$]],0)</f>
        <v>0</v>
      </c>
      <c r="AH415" s="26">
        <f>IF(Tabla_Consulta_desde_Reporte_de_Valorización_de_Instrumentos[[#This Row],[PORTAFOLIO]]="IN-FONDO3",Tabla_Consulta_desde_Reporte_de_Valorización_de_Instrumentos[[#This Row],[Inv MM$]],0)</f>
        <v>0.22759341624612453</v>
      </c>
      <c r="AI41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1.1379670759513523</v>
      </c>
      <c r="AJ415" s="26">
        <f>IFERROR(IFERROR(INDEX('BD(MSCI)'!$T:$T,MATCH(Tabla_Consulta_desde_Reporte_de_Valorización_de_Instrumentos[[#This Row],[CODIGO_ISIN]],'BD(MSCI)'!$C:$C,0),1),INDEX('BD(MSCI)'!$T:$T,MATCH(Tabla_Consulta_desde_Reporte_de_Valorización_de_Instrumentos[[#This Row],[CODIGO_SBS]],'BD(MSCI)'!$C:$C,0),1)),0)</f>
        <v>39.508152340000002</v>
      </c>
      <c r="AK415" s="26">
        <f>Tabla_Consulta_desde_Reporte_de_Valorización_de_Instrumentos[[#This Row],[C02-H]]*Tabla_Consulta_desde_Reporte_de_Valorización_de_Instrumentos[[#This Row],[Inv MM$]]</f>
        <v>8.9917953606329188</v>
      </c>
      <c r="AL415" s="26">
        <f>Tabla_Consulta_desde_Reporte_de_Valorización_de_Instrumentos[[#This Row],[C02-H]]*Tabla_Consulta_desde_Reporte_de_Valorización_de_Instrumentos[[#This Row],[Weight]]</f>
        <v>9.5511569058791476E-3</v>
      </c>
      <c r="AM415" s="26" t="str">
        <f>INDEX(Parametria!G:G,MATCH(Tabla_Consulta_desde_Reporte_de_Valorización_de_Instrumentos[[#This Row],[CODIGO_SBS]],Parametria!C:C,0))</f>
        <v>53ALT</v>
      </c>
      <c r="AN415" s="26" t="str">
        <f>INDEX(Parametria!F:F,MATCH(Tabla_Consulta_desde_Reporte_de_Valorización_de_Instrumentos[[#This Row],[CODIGO_SBS]],Parametria!C:C,0))</f>
        <v>ALT</v>
      </c>
      <c r="AO415" s="26" t="str">
        <f>+INDEX(Parametria!J:J,MATCH(Tabla_Consulta_desde_Reporte_de_Valorización_de_Instrumentos[[#This Row],[CODIGO_SBS]],Parametria!C:C,0))</f>
        <v>ALT</v>
      </c>
      <c r="AP415" s="26">
        <f>Tabla_Consulta_desde_Reporte_de_Valorización_de_Instrumentos[[#This Row],[Huella]]/$AU$4</f>
        <v>8.3358236423273439E-4</v>
      </c>
      <c r="AQ415" s="26" t="str">
        <f>IFERROR(INDEX('BD(MSCI)'!W:W,MATCH(Tabla_Consulta_desde_Reporte_de_Valorización_de_Instrumentos[[#This Row],[CODIGO_ISIN]],'BD(MSCI)'!C:C,0)),IF(Tabla_Consulta_desde_Reporte_de_Valorización_de_Instrumentos[[#This Row],[Rank_rt]]="Cash","Cash","Cuestionario Integra"))</f>
        <v>Proxies</v>
      </c>
      <c r="AR415" s="26" t="str">
        <f>IFERROR(INDEX('BD(MSCI)'!X:X,MATCH(Tabla_Consulta_desde_Reporte_de_Valorización_de_Instrumentos[[#This Row],[CODIGO_ISIN]],'BD(MSCI)'!C:C,0)),"Cuestionario Integra")</f>
        <v>Alts</v>
      </c>
      <c r="AU415" s="26"/>
    </row>
    <row r="416" spans="2:47" hidden="1" x14ac:dyDescent="0.25">
      <c r="B416" s="14" t="s">
        <v>6390</v>
      </c>
      <c r="C416" t="s">
        <v>727</v>
      </c>
      <c r="D416" t="s">
        <v>11</v>
      </c>
      <c r="E416" t="s">
        <v>728</v>
      </c>
      <c r="F416" t="s">
        <v>758</v>
      </c>
      <c r="G416" t="str">
        <f>INDEX(Parametria!H:H,MATCH(Tabla_Consulta_desde_Reporte_de_Valorización_de_Instrumentos[[#This Row],[CODIGO_SBS]],Parametria!C:C,0),1)</f>
        <v>Lexington Partners GP Holdings VIII LLC</v>
      </c>
      <c r="H416" t="s">
        <v>758</v>
      </c>
      <c r="I416" t="s">
        <v>759</v>
      </c>
      <c r="J416" t="s">
        <v>760</v>
      </c>
      <c r="K416" t="s">
        <v>50</v>
      </c>
      <c r="L416">
        <v>1</v>
      </c>
      <c r="M416" s="5">
        <v>69186996.707439393</v>
      </c>
      <c r="N416">
        <v>20585853.999654699</v>
      </c>
      <c r="O416">
        <v>123.7155578</v>
      </c>
      <c r="P416" s="15">
        <v>46039</v>
      </c>
      <c r="Q416">
        <v>17</v>
      </c>
      <c r="R416">
        <v>3.3609</v>
      </c>
      <c r="S416" t="s">
        <v>428</v>
      </c>
      <c r="T416">
        <v>69221992.6592388</v>
      </c>
      <c r="U416" s="5">
        <v>20585853.999654699</v>
      </c>
      <c r="V416" t="s">
        <v>156</v>
      </c>
      <c r="W416">
        <v>0</v>
      </c>
      <c r="X416">
        <v>0</v>
      </c>
      <c r="Y416">
        <v>0</v>
      </c>
      <c r="Z416">
        <v>0</v>
      </c>
      <c r="AA416" t="str">
        <f>+MID(Tabla_Consulta_desde_Reporte_de_Valorización_de_Instrumentos[[#This Row],[CODIGO_SBS]],7,1)</f>
        <v>2</v>
      </c>
      <c r="AB416">
        <f>INDEX('Cálculo Caja'!F:F,MATCH(Tabla_Consulta_desde_Reporte_de_Valorización_de_Instrumentos[[#This Row],[PORTAFOLIO]],'Cálculo Caja'!A:A,0),1)</f>
        <v>3164069580.822104</v>
      </c>
      <c r="AC416" s="17">
        <f>Tabla_Consulta_desde_Reporte_de_Valorización_de_Instrumentos[[#This Row],[VALOR_VECTOR_LOCAL]]/Tabla_Consulta_desde_Reporte_de_Valorización_de_Instrumentos[[#This Row],[Patrimonio]]</f>
        <v>2.1866458666646292E-2</v>
      </c>
      <c r="AD416" s="4">
        <f>(Tabla_Consulta_desde_Reporte_de_Valorización_de_Instrumentos[[#This Row],[VALOR_VECTOR_LOCAL]]/INDEX('Tipo de Cambio'!$D:$D,MATCH("2",'Tipo de Cambio'!$E:$E,0),1))/1000000</f>
        <v>20.585853999654674</v>
      </c>
      <c r="AE416">
        <f>IF(Tabla_Consulta_desde_Reporte_de_Valorización_de_Instrumentos[[#This Row],[PORTAFOLIO]]="IN-FONDO0",Tabla_Consulta_desde_Reporte_de_Valorización_de_Instrumentos[[#This Row],[Inv MM$]],0)</f>
        <v>0</v>
      </c>
      <c r="AF416" s="26">
        <f>IF(Tabla_Consulta_desde_Reporte_de_Valorización_de_Instrumentos[[#This Row],[PORTAFOLIO]]="IN-FONDO1",Tabla_Consulta_desde_Reporte_de_Valorización_de_Instrumentos[[#This Row],[Inv MM$]],0)</f>
        <v>0</v>
      </c>
      <c r="AG416" s="26">
        <f>IF(Tabla_Consulta_desde_Reporte_de_Valorización_de_Instrumentos[[#This Row],[PORTAFOLIO]]="IN-FONDO2",Tabla_Consulta_desde_Reporte_de_Valorización_de_Instrumentos[[#This Row],[Inv MM$]],0)</f>
        <v>0</v>
      </c>
      <c r="AH416" s="26">
        <f>IF(Tabla_Consulta_desde_Reporte_de_Valorización_de_Instrumentos[[#This Row],[PORTAFOLIO]]="IN-FONDO3",Tabla_Consulta_desde_Reporte_de_Valorización_de_Instrumentos[[#This Row],[Inv MM$]],0)</f>
        <v>20.585853999654674</v>
      </c>
      <c r="AI41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57.640418997256958</v>
      </c>
      <c r="AJ416" s="26">
        <f>IFERROR(IFERROR(INDEX('BD(MSCI)'!$T:$T,MATCH(Tabla_Consulta_desde_Reporte_de_Valorización_de_Instrumentos[[#This Row],[CODIGO_ISIN]],'BD(MSCI)'!$C:$C,0),1),INDEX('BD(MSCI)'!$T:$T,MATCH(Tabla_Consulta_desde_Reporte_de_Valorización_de_Instrumentos[[#This Row],[CODIGO_SBS]],'BD(MSCI)'!$C:$C,0),1)),0)</f>
        <v>39.508152340000002</v>
      </c>
      <c r="AK416" s="26">
        <f>Tabla_Consulta_desde_Reporte_de_Valorización_de_Instrumentos[[#This Row],[C02-H]]*Tabla_Consulta_desde_Reporte_de_Valorización_de_Instrumentos[[#This Row],[Inv MM$]]</f>
        <v>813.30905586735526</v>
      </c>
      <c r="AL416" s="26">
        <f>Tabla_Consulta_desde_Reporte_de_Valorización_de_Instrumentos[[#This Row],[C02-H]]*Tabla_Consulta_desde_Reporte_de_Valorización_de_Instrumentos[[#This Row],[Weight]]</f>
        <v>0.86390338013817503</v>
      </c>
      <c r="AM416" s="26" t="str">
        <f>INDEX(Parametria!G:G,MATCH(Tabla_Consulta_desde_Reporte_de_Valorización_de_Instrumentos[[#This Row],[CODIGO_SBS]],Parametria!C:C,0))</f>
        <v>53ALT</v>
      </c>
      <c r="AN416" s="26" t="str">
        <f>INDEX(Parametria!F:F,MATCH(Tabla_Consulta_desde_Reporte_de_Valorización_de_Instrumentos[[#This Row],[CODIGO_SBS]],Parametria!C:C,0))</f>
        <v>ALT</v>
      </c>
      <c r="AO416" s="26" t="str">
        <f>+INDEX(Parametria!J:J,MATCH(Tabla_Consulta_desde_Reporte_de_Valorización_de_Instrumentos[[#This Row],[CODIGO_SBS]],Parametria!C:C,0))</f>
        <v>ALT</v>
      </c>
      <c r="AP416" s="26">
        <f>Tabla_Consulta_desde_Reporte_de_Valorización_de_Instrumentos[[#This Row],[Huella]]/$AU$4</f>
        <v>7.5397632892090477E-2</v>
      </c>
      <c r="AQ416" s="26" t="str">
        <f>IFERROR(INDEX('BD(MSCI)'!W:W,MATCH(Tabla_Consulta_desde_Reporte_de_Valorización_de_Instrumentos[[#This Row],[CODIGO_ISIN]],'BD(MSCI)'!C:C,0)),IF(Tabla_Consulta_desde_Reporte_de_Valorización_de_Instrumentos[[#This Row],[Rank_rt]]="Cash","Cash","Cuestionario Integra"))</f>
        <v>Proxies</v>
      </c>
      <c r="AR416" s="26" t="str">
        <f>IFERROR(INDEX('BD(MSCI)'!X:X,MATCH(Tabla_Consulta_desde_Reporte_de_Valorización_de_Instrumentos[[#This Row],[CODIGO_ISIN]],'BD(MSCI)'!C:C,0)),"Cuestionario Integra")</f>
        <v>Alts</v>
      </c>
      <c r="AU416" s="26"/>
    </row>
    <row r="417" spans="2:47" hidden="1" x14ac:dyDescent="0.25">
      <c r="B417" s="14" t="s">
        <v>6390</v>
      </c>
      <c r="C417" t="s">
        <v>727</v>
      </c>
      <c r="D417" t="s">
        <v>10</v>
      </c>
      <c r="E417" t="s">
        <v>728</v>
      </c>
      <c r="F417" t="s">
        <v>758</v>
      </c>
      <c r="G417" t="str">
        <f>INDEX(Parametria!H:H,MATCH(Tabla_Consulta_desde_Reporte_de_Valorización_de_Instrumentos[[#This Row],[CODIGO_SBS]],Parametria!C:C,0),1)</f>
        <v>Lexington Partners GP Holdings VIII LLC</v>
      </c>
      <c r="H417" t="s">
        <v>758</v>
      </c>
      <c r="I417" t="s">
        <v>759</v>
      </c>
      <c r="J417" t="s">
        <v>760</v>
      </c>
      <c r="K417" t="s">
        <v>50</v>
      </c>
      <c r="L417">
        <v>1</v>
      </c>
      <c r="M417" s="5">
        <v>124536687.50044151</v>
      </c>
      <c r="N417">
        <v>37054564.997602299</v>
      </c>
      <c r="O417">
        <v>222.68817110000001</v>
      </c>
      <c r="P417" s="15">
        <v>46039</v>
      </c>
      <c r="Q417">
        <v>17</v>
      </c>
      <c r="R417">
        <v>3.3609</v>
      </c>
      <c r="S417" t="s">
        <v>428</v>
      </c>
      <c r="T417">
        <v>124599680.26093739</v>
      </c>
      <c r="U417" s="5">
        <v>37054564.997602299</v>
      </c>
      <c r="V417" t="s">
        <v>156</v>
      </c>
      <c r="W417">
        <v>0</v>
      </c>
      <c r="X417">
        <v>0</v>
      </c>
      <c r="Y417">
        <v>0</v>
      </c>
      <c r="Z417">
        <v>0</v>
      </c>
      <c r="AA417" t="str">
        <f>+MID(Tabla_Consulta_desde_Reporte_de_Valorización_de_Instrumentos[[#This Row],[CODIGO_SBS]],7,1)</f>
        <v>2</v>
      </c>
      <c r="AB417">
        <f>INDEX('Cálculo Caja'!F:F,MATCH(Tabla_Consulta_desde_Reporte_de_Valorización_de_Instrumentos[[#This Row],[PORTAFOLIO]],'Cálculo Caja'!A:A,0),1)</f>
        <v>26256910350.436607</v>
      </c>
      <c r="AC417" s="17">
        <f>Tabla_Consulta_desde_Reporte_de_Valorización_de_Instrumentos[[#This Row],[VALOR_VECTOR_LOCAL]]/Tabla_Consulta_desde_Reporte_de_Valorización_de_Instrumentos[[#This Row],[Patrimonio]]</f>
        <v>4.743006158695693E-3</v>
      </c>
      <c r="AD417" s="4">
        <f>(Tabla_Consulta_desde_Reporte_de_Valorización_de_Instrumentos[[#This Row],[VALOR_VECTOR_LOCAL]]/INDEX('Tipo de Cambio'!$D:$D,MATCH("2",'Tipo de Cambio'!$E:$E,0),1))/1000000</f>
        <v>37.054564997602284</v>
      </c>
      <c r="AE417">
        <f>IF(Tabla_Consulta_desde_Reporte_de_Valorización_de_Instrumentos[[#This Row],[PORTAFOLIO]]="IN-FONDO0",Tabla_Consulta_desde_Reporte_de_Valorización_de_Instrumentos[[#This Row],[Inv MM$]],0)</f>
        <v>0</v>
      </c>
      <c r="AF417" s="26">
        <f>IF(Tabla_Consulta_desde_Reporte_de_Valorización_de_Instrumentos[[#This Row],[PORTAFOLIO]]="IN-FONDO1",Tabla_Consulta_desde_Reporte_de_Valorización_de_Instrumentos[[#This Row],[Inv MM$]],0)</f>
        <v>0</v>
      </c>
      <c r="AG417" s="26">
        <f>IF(Tabla_Consulta_desde_Reporte_de_Valorización_de_Instrumentos[[#This Row],[PORTAFOLIO]]="IN-FONDO2",Tabla_Consulta_desde_Reporte_de_Valorización_de_Instrumentos[[#This Row],[Inv MM$]],0)</f>
        <v>37.054564997602284</v>
      </c>
      <c r="AH417" s="26">
        <f>IF(Tabla_Consulta_desde_Reporte_de_Valorización_de_Instrumentos[[#This Row],[PORTAFOLIO]]="IN-FONDO3",Tabla_Consulta_desde_Reporte_de_Valorización_de_Instrumentos[[#This Row],[Inv MM$]],0)</f>
        <v>0</v>
      </c>
      <c r="AI41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57.640418997256958</v>
      </c>
      <c r="AJ417" s="26">
        <f>IFERROR(IFERROR(INDEX('BD(MSCI)'!$T:$T,MATCH(Tabla_Consulta_desde_Reporte_de_Valorización_de_Instrumentos[[#This Row],[CODIGO_ISIN]],'BD(MSCI)'!$C:$C,0),1),INDEX('BD(MSCI)'!$T:$T,MATCH(Tabla_Consulta_desde_Reporte_de_Valorización_de_Instrumentos[[#This Row],[CODIGO_SBS]],'BD(MSCI)'!$C:$C,0),1)),0)</f>
        <v>39.508152340000002</v>
      </c>
      <c r="AK417" s="26">
        <f>Tabla_Consulta_desde_Reporte_de_Valorización_de_Instrumentos[[#This Row],[C02-H]]*Tabla_Consulta_desde_Reporte_de_Valorización_de_Instrumentos[[#This Row],[Inv MM$]]</f>
        <v>1463.9573988177028</v>
      </c>
      <c r="AL417" s="26">
        <f>Tabla_Consulta_desde_Reporte_de_Valorización_de_Instrumentos[[#This Row],[C02-H]]*Tabla_Consulta_desde_Reporte_de_Valorización_de_Instrumentos[[#This Row],[Weight]]</f>
        <v>0.18738740986730767</v>
      </c>
      <c r="AM417" s="26" t="str">
        <f>INDEX(Parametria!G:G,MATCH(Tabla_Consulta_desde_Reporte_de_Valorización_de_Instrumentos[[#This Row],[CODIGO_SBS]],Parametria!C:C,0))</f>
        <v>53ALT</v>
      </c>
      <c r="AN417" s="26" t="str">
        <f>INDEX(Parametria!F:F,MATCH(Tabla_Consulta_desde_Reporte_de_Valorización_de_Instrumentos[[#This Row],[CODIGO_SBS]],Parametria!C:C,0))</f>
        <v>ALT</v>
      </c>
      <c r="AO417" s="26" t="str">
        <f>+INDEX(Parametria!J:J,MATCH(Tabla_Consulta_desde_Reporte_de_Valorización_de_Instrumentos[[#This Row],[CODIGO_SBS]],Parametria!C:C,0))</f>
        <v>ALT</v>
      </c>
      <c r="AP417" s="26">
        <f>Tabla_Consulta_desde_Reporte_de_Valorización_de_Instrumentos[[#This Row],[Huella]]/$AU$4</f>
        <v>0.135715841019381</v>
      </c>
      <c r="AQ417" s="26" t="str">
        <f>IFERROR(INDEX('BD(MSCI)'!W:W,MATCH(Tabla_Consulta_desde_Reporte_de_Valorización_de_Instrumentos[[#This Row],[CODIGO_ISIN]],'BD(MSCI)'!C:C,0)),IF(Tabla_Consulta_desde_Reporte_de_Valorización_de_Instrumentos[[#This Row],[Rank_rt]]="Cash","Cash","Cuestionario Integra"))</f>
        <v>Proxies</v>
      </c>
      <c r="AR417" s="26" t="str">
        <f>IFERROR(INDEX('BD(MSCI)'!X:X,MATCH(Tabla_Consulta_desde_Reporte_de_Valorización_de_Instrumentos[[#This Row],[CODIGO_ISIN]],'BD(MSCI)'!C:C,0)),"Cuestionario Integra")</f>
        <v>Alts</v>
      </c>
      <c r="AU417" s="26"/>
    </row>
    <row r="418" spans="2:47" hidden="1" x14ac:dyDescent="0.25">
      <c r="B418" s="14" t="s">
        <v>6390</v>
      </c>
      <c r="C418" t="s">
        <v>727</v>
      </c>
      <c r="D418" t="s">
        <v>10</v>
      </c>
      <c r="E418" t="s">
        <v>728</v>
      </c>
      <c r="F418" t="s">
        <v>761</v>
      </c>
      <c r="G418" t="str">
        <f>INDEX(Parametria!H:H,MATCH(Tabla_Consulta_desde_Reporte_de_Valorización_de_Instrumentos[[#This Row],[CODIGO_SBS]],Parametria!C:C,0),1)</f>
        <v>Apollo Credit Opportunity III</v>
      </c>
      <c r="H418" t="s">
        <v>762</v>
      </c>
      <c r="I418" t="s">
        <v>763</v>
      </c>
      <c r="J418" t="s">
        <v>764</v>
      </c>
      <c r="K418" t="s">
        <v>50</v>
      </c>
      <c r="L418">
        <v>1</v>
      </c>
      <c r="M418" s="5">
        <v>196488.2967759</v>
      </c>
      <c r="N418">
        <v>58463.000022599997</v>
      </c>
      <c r="O418">
        <v>36.0843068</v>
      </c>
      <c r="P418" s="15">
        <v>46276</v>
      </c>
      <c r="Q418">
        <v>254</v>
      </c>
      <c r="R418">
        <v>3.3609</v>
      </c>
      <c r="S418" t="s">
        <v>428</v>
      </c>
      <c r="T418">
        <v>196587.683876</v>
      </c>
      <c r="U418" s="5">
        <v>58463.000022599997</v>
      </c>
      <c r="V418" t="s">
        <v>156</v>
      </c>
      <c r="W418">
        <v>0</v>
      </c>
      <c r="X418">
        <v>0</v>
      </c>
      <c r="Y418">
        <v>0</v>
      </c>
      <c r="Z418">
        <v>0</v>
      </c>
      <c r="AA418" t="str">
        <f>+MID(Tabla_Consulta_desde_Reporte_de_Valorización_de_Instrumentos[[#This Row],[CODIGO_SBS]],7,1)</f>
        <v>2</v>
      </c>
      <c r="AB418">
        <f>INDEX('Cálculo Caja'!F:F,MATCH(Tabla_Consulta_desde_Reporte_de_Valorización_de_Instrumentos[[#This Row],[PORTAFOLIO]],'Cálculo Caja'!A:A,0),1)</f>
        <v>26256910350.436607</v>
      </c>
      <c r="AC418" s="17">
        <f>Tabla_Consulta_desde_Reporte_de_Valorización_de_Instrumentos[[#This Row],[VALOR_VECTOR_LOCAL]]/Tabla_Consulta_desde_Reporte_de_Valorización_de_Instrumentos[[#This Row],[Patrimonio]]</f>
        <v>7.483298459471365E-6</v>
      </c>
      <c r="AD418" s="4">
        <f>(Tabla_Consulta_desde_Reporte_de_Valorización_de_Instrumentos[[#This Row],[VALOR_VECTOR_LOCAL]]/INDEX('Tipo de Cambio'!$D:$D,MATCH("2",'Tipo de Cambio'!$E:$E,0),1))/1000000</f>
        <v>5.8463000022583235E-2</v>
      </c>
      <c r="AE418">
        <f>IF(Tabla_Consulta_desde_Reporte_de_Valorización_de_Instrumentos[[#This Row],[PORTAFOLIO]]="IN-FONDO0",Tabla_Consulta_desde_Reporte_de_Valorización_de_Instrumentos[[#This Row],[Inv MM$]],0)</f>
        <v>0</v>
      </c>
      <c r="AF418" s="26">
        <f>IF(Tabla_Consulta_desde_Reporte_de_Valorización_de_Instrumentos[[#This Row],[PORTAFOLIO]]="IN-FONDO1",Tabla_Consulta_desde_Reporte_de_Valorización_de_Instrumentos[[#This Row],[Inv MM$]],0)</f>
        <v>0</v>
      </c>
      <c r="AG418" s="26">
        <f>IF(Tabla_Consulta_desde_Reporte_de_Valorización_de_Instrumentos[[#This Row],[PORTAFOLIO]]="IN-FONDO2",Tabla_Consulta_desde_Reporte_de_Valorización_de_Instrumentos[[#This Row],[Inv MM$]],0)</f>
        <v>5.8463000022583235E-2</v>
      </c>
      <c r="AH418" s="26">
        <f>IF(Tabla_Consulta_desde_Reporte_de_Valorización_de_Instrumentos[[#This Row],[PORTAFOLIO]]="IN-FONDO3",Tabla_Consulta_desde_Reporte_de_Valorización_de_Instrumentos[[#This Row],[Inv MM$]],0)</f>
        <v>0</v>
      </c>
      <c r="AI41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8.0085999950043146E-2</v>
      </c>
      <c r="AJ418" s="26">
        <f>IFERROR(IFERROR(INDEX('BD(MSCI)'!$T:$T,MATCH(Tabla_Consulta_desde_Reporte_de_Valorización_de_Instrumentos[[#This Row],[CODIGO_ISIN]],'BD(MSCI)'!$C:$C,0),1),INDEX('BD(MSCI)'!$T:$T,MATCH(Tabla_Consulta_desde_Reporte_de_Valorización_de_Instrumentos[[#This Row],[CODIGO_SBS]],'BD(MSCI)'!$C:$C,0),1)),0)</f>
        <v>122.2271635</v>
      </c>
      <c r="AK418" s="26">
        <f>Tabla_Consulta_desde_Reporte_de_Valorización_de_Instrumentos[[#This Row],[C02-H]]*Tabla_Consulta_desde_Reporte_de_Valorización_de_Instrumentos[[#This Row],[Inv MM$]]</f>
        <v>7.145766662460785</v>
      </c>
      <c r="AL418" s="26">
        <f>Tabla_Consulta_desde_Reporte_de_Valorización_de_Instrumentos[[#This Row],[C02-H]]*Tabla_Consulta_desde_Reporte_de_Valorización_de_Instrumentos[[#This Row],[Weight]]</f>
        <v>9.1466234432510468E-4</v>
      </c>
      <c r="AM418" s="26" t="str">
        <f>INDEX(Parametria!G:G,MATCH(Tabla_Consulta_desde_Reporte_de_Valorización_de_Instrumentos[[#This Row],[CODIGO_SBS]],Parametria!C:C,0))</f>
        <v>53ALT</v>
      </c>
      <c r="AN418" s="26" t="str">
        <f>INDEX(Parametria!F:F,MATCH(Tabla_Consulta_desde_Reporte_de_Valorización_de_Instrumentos[[#This Row],[CODIGO_SBS]],Parametria!C:C,0))</f>
        <v>ALT</v>
      </c>
      <c r="AO418" s="26" t="str">
        <f>+INDEX(Parametria!J:J,MATCH(Tabla_Consulta_desde_Reporte_de_Valorización_de_Instrumentos[[#This Row],[CODIGO_SBS]],Parametria!C:C,0))</f>
        <v>ALT</v>
      </c>
      <c r="AP418" s="26">
        <f>Tabla_Consulta_desde_Reporte_de_Valorización_de_Instrumentos[[#This Row],[Huella]]/$AU$4</f>
        <v>6.6244668943736301E-4</v>
      </c>
      <c r="AQ418" s="26" t="str">
        <f>IFERROR(INDEX('BD(MSCI)'!W:W,MATCH(Tabla_Consulta_desde_Reporte_de_Valorización_de_Instrumentos[[#This Row],[CODIGO_ISIN]],'BD(MSCI)'!C:C,0)),IF(Tabla_Consulta_desde_Reporte_de_Valorización_de_Instrumentos[[#This Row],[Rank_rt]]="Cash","Cash","Cuestionario Integra"))</f>
        <v>Proxies</v>
      </c>
      <c r="AR418" s="26" t="str">
        <f>IFERROR(INDEX('BD(MSCI)'!X:X,MATCH(Tabla_Consulta_desde_Reporte_de_Valorización_de_Instrumentos[[#This Row],[CODIGO_ISIN]],'BD(MSCI)'!C:C,0)),"Cuestionario Integra")</f>
        <v>Alts</v>
      </c>
      <c r="AU418" s="26"/>
    </row>
    <row r="419" spans="2:47" hidden="1" x14ac:dyDescent="0.25">
      <c r="B419" s="14" t="s">
        <v>6390</v>
      </c>
      <c r="C419" t="s">
        <v>727</v>
      </c>
      <c r="D419" t="s">
        <v>11</v>
      </c>
      <c r="E419" t="s">
        <v>728</v>
      </c>
      <c r="F419" t="s">
        <v>761</v>
      </c>
      <c r="G419" t="str">
        <f>INDEX(Parametria!H:H,MATCH(Tabla_Consulta_desde_Reporte_de_Valorización_de_Instrumentos[[#This Row],[CODIGO_SBS]],Parametria!C:C,0),1)</f>
        <v>Apollo Credit Opportunity III</v>
      </c>
      <c r="H419" t="s">
        <v>762</v>
      </c>
      <c r="I419" t="s">
        <v>763</v>
      </c>
      <c r="J419" t="s">
        <v>764</v>
      </c>
      <c r="K419" t="s">
        <v>50</v>
      </c>
      <c r="L419">
        <v>1</v>
      </c>
      <c r="M419" s="5">
        <v>72672.740456200001</v>
      </c>
      <c r="N419">
        <v>21622.999927500001</v>
      </c>
      <c r="O419">
        <v>13.346064399999999</v>
      </c>
      <c r="P419" s="15">
        <v>46276</v>
      </c>
      <c r="Q419">
        <v>254</v>
      </c>
      <c r="R419">
        <v>3.3609</v>
      </c>
      <c r="S419" t="s">
        <v>428</v>
      </c>
      <c r="T419">
        <v>72709.499555999995</v>
      </c>
      <c r="U419" s="5">
        <v>21622.999927500001</v>
      </c>
      <c r="V419" t="s">
        <v>156</v>
      </c>
      <c r="W419">
        <v>0</v>
      </c>
      <c r="X419">
        <v>0</v>
      </c>
      <c r="Y419">
        <v>0</v>
      </c>
      <c r="Z419">
        <v>0</v>
      </c>
      <c r="AA419" t="str">
        <f>+MID(Tabla_Consulta_desde_Reporte_de_Valorización_de_Instrumentos[[#This Row],[CODIGO_SBS]],7,1)</f>
        <v>2</v>
      </c>
      <c r="AB419">
        <f>INDEX('Cálculo Caja'!F:F,MATCH(Tabla_Consulta_desde_Reporte_de_Valorización_de_Instrumentos[[#This Row],[PORTAFOLIO]],'Cálculo Caja'!A:A,0),1)</f>
        <v>3164069580.822104</v>
      </c>
      <c r="AC419" s="17">
        <f>Tabla_Consulta_desde_Reporte_de_Valorización_de_Instrumentos[[#This Row],[VALOR_VECTOR_LOCAL]]/Tabla_Consulta_desde_Reporte_de_Valorización_de_Instrumentos[[#This Row],[Patrimonio]]</f>
        <v>2.2968123361344605E-5</v>
      </c>
      <c r="AD419" s="4">
        <f>(Tabla_Consulta_desde_Reporte_de_Valorización_de_Instrumentos[[#This Row],[VALOR_VECTOR_LOCAL]]/INDEX('Tipo de Cambio'!$D:$D,MATCH("2",'Tipo de Cambio'!$E:$E,0),1))/1000000</f>
        <v>2.1622999927459908E-2</v>
      </c>
      <c r="AE419">
        <f>IF(Tabla_Consulta_desde_Reporte_de_Valorización_de_Instrumentos[[#This Row],[PORTAFOLIO]]="IN-FONDO0",Tabla_Consulta_desde_Reporte_de_Valorización_de_Instrumentos[[#This Row],[Inv MM$]],0)</f>
        <v>0</v>
      </c>
      <c r="AF419" s="26">
        <f>IF(Tabla_Consulta_desde_Reporte_de_Valorización_de_Instrumentos[[#This Row],[PORTAFOLIO]]="IN-FONDO1",Tabla_Consulta_desde_Reporte_de_Valorización_de_Instrumentos[[#This Row],[Inv MM$]],0)</f>
        <v>0</v>
      </c>
      <c r="AG419" s="26">
        <f>IF(Tabla_Consulta_desde_Reporte_de_Valorización_de_Instrumentos[[#This Row],[PORTAFOLIO]]="IN-FONDO2",Tabla_Consulta_desde_Reporte_de_Valorización_de_Instrumentos[[#This Row],[Inv MM$]],0)</f>
        <v>0</v>
      </c>
      <c r="AH419" s="26">
        <f>IF(Tabla_Consulta_desde_Reporte_de_Valorización_de_Instrumentos[[#This Row],[PORTAFOLIO]]="IN-FONDO3",Tabla_Consulta_desde_Reporte_de_Valorización_de_Instrumentos[[#This Row],[Inv MM$]],0)</f>
        <v>2.1622999927459908E-2</v>
      </c>
      <c r="AI41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8.0085999950043146E-2</v>
      </c>
      <c r="AJ419" s="26">
        <f>IFERROR(IFERROR(INDEX('BD(MSCI)'!$T:$T,MATCH(Tabla_Consulta_desde_Reporte_de_Valorización_de_Instrumentos[[#This Row],[CODIGO_ISIN]],'BD(MSCI)'!$C:$C,0),1),INDEX('BD(MSCI)'!$T:$T,MATCH(Tabla_Consulta_desde_Reporte_de_Valorización_de_Instrumentos[[#This Row],[CODIGO_SBS]],'BD(MSCI)'!$C:$C,0),1)),0)</f>
        <v>122.2271635</v>
      </c>
      <c r="AK419" s="26">
        <f>Tabla_Consulta_desde_Reporte_de_Valorización_de_Instrumentos[[#This Row],[C02-H]]*Tabla_Consulta_desde_Reporte_de_Valorización_de_Instrumentos[[#This Row],[Inv MM$]]</f>
        <v>2.6429179474941304</v>
      </c>
      <c r="AL419" s="26">
        <f>Tabla_Consulta_desde_Reporte_de_Valorización_de_Instrumentos[[#This Row],[C02-H]]*Tabla_Consulta_desde_Reporte_de_Valorización_de_Instrumentos[[#This Row],[Weight]]</f>
        <v>2.8073285693752366E-3</v>
      </c>
      <c r="AM419" s="26" t="str">
        <f>INDEX(Parametria!G:G,MATCH(Tabla_Consulta_desde_Reporte_de_Valorización_de_Instrumentos[[#This Row],[CODIGO_SBS]],Parametria!C:C,0))</f>
        <v>53ALT</v>
      </c>
      <c r="AN419" s="26" t="str">
        <f>INDEX(Parametria!F:F,MATCH(Tabla_Consulta_desde_Reporte_de_Valorización_de_Instrumentos[[#This Row],[CODIGO_SBS]],Parametria!C:C,0))</f>
        <v>ALT</v>
      </c>
      <c r="AO419" s="26" t="str">
        <f>+INDEX(Parametria!J:J,MATCH(Tabla_Consulta_desde_Reporte_de_Valorización_de_Instrumentos[[#This Row],[CODIGO_SBS]],Parametria!C:C,0))</f>
        <v>ALT</v>
      </c>
      <c r="AP419" s="26">
        <f>Tabla_Consulta_desde_Reporte_de_Valorización_de_Instrumentos[[#This Row],[Huella]]/$AU$4</f>
        <v>2.4501111321890794E-4</v>
      </c>
      <c r="AQ419" s="26" t="str">
        <f>IFERROR(INDEX('BD(MSCI)'!W:W,MATCH(Tabla_Consulta_desde_Reporte_de_Valorización_de_Instrumentos[[#This Row],[CODIGO_ISIN]],'BD(MSCI)'!C:C,0)),IF(Tabla_Consulta_desde_Reporte_de_Valorización_de_Instrumentos[[#This Row],[Rank_rt]]="Cash","Cash","Cuestionario Integra"))</f>
        <v>Proxies</v>
      </c>
      <c r="AR419" s="26" t="str">
        <f>IFERROR(INDEX('BD(MSCI)'!X:X,MATCH(Tabla_Consulta_desde_Reporte_de_Valorización_de_Instrumentos[[#This Row],[CODIGO_ISIN]],'BD(MSCI)'!C:C,0)),"Cuestionario Integra")</f>
        <v>Alts</v>
      </c>
      <c r="AU419" s="26"/>
    </row>
    <row r="420" spans="2:47" hidden="1" x14ac:dyDescent="0.25">
      <c r="B420" s="14" t="s">
        <v>6390</v>
      </c>
      <c r="C420" t="s">
        <v>727</v>
      </c>
      <c r="D420" t="s">
        <v>11</v>
      </c>
      <c r="E420" t="s">
        <v>728</v>
      </c>
      <c r="F420" t="s">
        <v>765</v>
      </c>
      <c r="G420" t="str">
        <f>INDEX(Parametria!H:H,MATCH(Tabla_Consulta_desde_Reporte_de_Valorización_de_Instrumentos[[#This Row],[CODIGO_SBS]],Parametria!C:C,0),1)</f>
        <v>Partners - PG Secondary 2015</v>
      </c>
      <c r="H420" t="s">
        <v>766</v>
      </c>
      <c r="I420" t="s">
        <v>156</v>
      </c>
      <c r="J420" t="s">
        <v>767</v>
      </c>
      <c r="K420" t="s">
        <v>50</v>
      </c>
      <c r="L420">
        <v>1</v>
      </c>
      <c r="M420" s="5">
        <v>18934994.778941199</v>
      </c>
      <c r="N420">
        <v>5633906.0308076004</v>
      </c>
      <c r="O420">
        <v>8.1753733000000004</v>
      </c>
      <c r="P420" s="15">
        <v>46843</v>
      </c>
      <c r="Q420">
        <v>821</v>
      </c>
      <c r="R420">
        <v>3.3609</v>
      </c>
      <c r="S420" t="s">
        <v>428</v>
      </c>
      <c r="T420">
        <v>18944572.419193499</v>
      </c>
      <c r="U420" s="5">
        <v>5633906.0308076004</v>
      </c>
      <c r="V420" t="s">
        <v>156</v>
      </c>
      <c r="W420">
        <v>0</v>
      </c>
      <c r="X420">
        <v>0</v>
      </c>
      <c r="Y420">
        <v>0</v>
      </c>
      <c r="Z420">
        <v>0</v>
      </c>
      <c r="AA420" t="str">
        <f>+MID(Tabla_Consulta_desde_Reporte_de_Valorización_de_Instrumentos[[#This Row],[CODIGO_SBS]],7,1)</f>
        <v>2</v>
      </c>
      <c r="AB420">
        <f>INDEX('Cálculo Caja'!F:F,MATCH(Tabla_Consulta_desde_Reporte_de_Valorización_de_Instrumentos[[#This Row],[PORTAFOLIO]],'Cálculo Caja'!A:A,0),1)</f>
        <v>3164069580.822104</v>
      </c>
      <c r="AC420" s="17">
        <f>Tabla_Consulta_desde_Reporte_de_Valorización_de_Instrumentos[[#This Row],[VALOR_VECTOR_LOCAL]]/Tabla_Consulta_desde_Reporte_de_Valorización_de_Instrumentos[[#This Row],[Patrimonio]]</f>
        <v>5.9843800192350433E-3</v>
      </c>
      <c r="AD420" s="4">
        <f>(Tabla_Consulta_desde_Reporte_de_Valorización_de_Instrumentos[[#This Row],[VALOR_VECTOR_LOCAL]]/INDEX('Tipo de Cambio'!$D:$D,MATCH("2",'Tipo de Cambio'!$E:$E,0),1))/1000000</f>
        <v>5.633906030807581</v>
      </c>
      <c r="AE420">
        <f>IF(Tabla_Consulta_desde_Reporte_de_Valorización_de_Instrumentos[[#This Row],[PORTAFOLIO]]="IN-FONDO0",Tabla_Consulta_desde_Reporte_de_Valorización_de_Instrumentos[[#This Row],[Inv MM$]],0)</f>
        <v>0</v>
      </c>
      <c r="AF420" s="26">
        <f>IF(Tabla_Consulta_desde_Reporte_de_Valorización_de_Instrumentos[[#This Row],[PORTAFOLIO]]="IN-FONDO1",Tabla_Consulta_desde_Reporte_de_Valorización_de_Instrumentos[[#This Row],[Inv MM$]],0)</f>
        <v>0</v>
      </c>
      <c r="AG420" s="26">
        <f>IF(Tabla_Consulta_desde_Reporte_de_Valorización_de_Instrumentos[[#This Row],[PORTAFOLIO]]="IN-FONDO2",Tabla_Consulta_desde_Reporte_de_Valorización_de_Instrumentos[[#This Row],[Inv MM$]],0)</f>
        <v>0</v>
      </c>
      <c r="AH420" s="26">
        <f>IF(Tabla_Consulta_desde_Reporte_de_Valorización_de_Instrumentos[[#This Row],[PORTAFOLIO]]="IN-FONDO3",Tabla_Consulta_desde_Reporte_de_Valorización_de_Instrumentos[[#This Row],[Inv MM$]],0)</f>
        <v>5.633906030807581</v>
      </c>
      <c r="AI42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39.437345041091582</v>
      </c>
      <c r="AJ420" s="26">
        <f>IFERROR(IFERROR(INDEX('BD(MSCI)'!$T:$T,MATCH(Tabla_Consulta_desde_Reporte_de_Valorización_de_Instrumentos[[#This Row],[CODIGO_ISIN]],'BD(MSCI)'!$C:$C,0),1),INDEX('BD(MSCI)'!$T:$T,MATCH(Tabla_Consulta_desde_Reporte_de_Valorización_de_Instrumentos[[#This Row],[CODIGO_SBS]],'BD(MSCI)'!$C:$C,0),1)),0)</f>
        <v>39.508152340000002</v>
      </c>
      <c r="AK420" s="26">
        <f>Tabla_Consulta_desde_Reporte_de_Valorización_de_Instrumentos[[#This Row],[C02-H]]*Tabla_Consulta_desde_Reporte_de_Valorización_de_Instrumentos[[#This Row],[Inv MM$]]</f>
        <v>222.58521773439065</v>
      </c>
      <c r="AL420" s="26">
        <f>Tabla_Consulta_desde_Reporte_de_Valorización_de_Instrumentos[[#This Row],[C02-H]]*Tabla_Consulta_desde_Reporte_de_Valorización_de_Instrumentos[[#This Row],[Weight]]</f>
        <v>0.23643179746039023</v>
      </c>
      <c r="AM420" s="26" t="str">
        <f>INDEX(Parametria!G:G,MATCH(Tabla_Consulta_desde_Reporte_de_Valorización_de_Instrumentos[[#This Row],[CODIGO_SBS]],Parametria!C:C,0))</f>
        <v>53ALT</v>
      </c>
      <c r="AN420" s="26" t="str">
        <f>INDEX(Parametria!F:F,MATCH(Tabla_Consulta_desde_Reporte_de_Valorización_de_Instrumentos[[#This Row],[CODIGO_SBS]],Parametria!C:C,0))</f>
        <v>ALT</v>
      </c>
      <c r="AO420" s="26" t="str">
        <f>+INDEX(Parametria!J:J,MATCH(Tabla_Consulta_desde_Reporte_de_Valorización_de_Instrumentos[[#This Row],[CODIGO_SBS]],Parametria!C:C,0))</f>
        <v>ALT</v>
      </c>
      <c r="AP420" s="26">
        <f>Tabla_Consulta_desde_Reporte_de_Valorización_de_Instrumentos[[#This Row],[Huella]]/$AU$4</f>
        <v>2.0634712490746814E-2</v>
      </c>
      <c r="AQ420" s="26" t="str">
        <f>IFERROR(INDEX('BD(MSCI)'!W:W,MATCH(Tabla_Consulta_desde_Reporte_de_Valorización_de_Instrumentos[[#This Row],[CODIGO_ISIN]],'BD(MSCI)'!C:C,0)),IF(Tabla_Consulta_desde_Reporte_de_Valorización_de_Instrumentos[[#This Row],[Rank_rt]]="Cash","Cash","Cuestionario Integra"))</f>
        <v>Proxies</v>
      </c>
      <c r="AR420" s="26" t="str">
        <f>IFERROR(INDEX('BD(MSCI)'!X:X,MATCH(Tabla_Consulta_desde_Reporte_de_Valorización_de_Instrumentos[[#This Row],[CODIGO_ISIN]],'BD(MSCI)'!C:C,0)),"Cuestionario Integra")</f>
        <v>Alts</v>
      </c>
      <c r="AU420" s="26"/>
    </row>
    <row r="421" spans="2:47" hidden="1" x14ac:dyDescent="0.25">
      <c r="B421" s="14" t="s">
        <v>6390</v>
      </c>
      <c r="C421" t="s">
        <v>727</v>
      </c>
      <c r="D421" t="s">
        <v>10</v>
      </c>
      <c r="E421" t="s">
        <v>728</v>
      </c>
      <c r="F421" t="s">
        <v>765</v>
      </c>
      <c r="G421" t="str">
        <f>INDEX(Parametria!H:H,MATCH(Tabla_Consulta_desde_Reporte_de_Valorización_de_Instrumentos[[#This Row],[CODIGO_SBS]],Parametria!C:C,0),1)</f>
        <v>Partners - PG Secondary 2015</v>
      </c>
      <c r="H421" t="s">
        <v>766</v>
      </c>
      <c r="I421" t="s">
        <v>156</v>
      </c>
      <c r="J421" t="s">
        <v>767</v>
      </c>
      <c r="K421" t="s">
        <v>50</v>
      </c>
      <c r="L421">
        <v>1</v>
      </c>
      <c r="M421" s="5">
        <v>113609978.1696635</v>
      </c>
      <c r="N421">
        <v>33803439.010283999</v>
      </c>
      <c r="O421">
        <v>49.052243900000001</v>
      </c>
      <c r="P421" s="15">
        <v>46843</v>
      </c>
      <c r="Q421">
        <v>821</v>
      </c>
      <c r="R421">
        <v>3.3609</v>
      </c>
      <c r="S421" t="s">
        <v>428</v>
      </c>
      <c r="T421">
        <v>113667444.015981</v>
      </c>
      <c r="U421" s="5">
        <v>33803439.010283999</v>
      </c>
      <c r="V421" t="s">
        <v>156</v>
      </c>
      <c r="W421">
        <v>0</v>
      </c>
      <c r="X421">
        <v>0</v>
      </c>
      <c r="Y421">
        <v>0</v>
      </c>
      <c r="Z421">
        <v>0</v>
      </c>
      <c r="AA421" t="str">
        <f>+MID(Tabla_Consulta_desde_Reporte_de_Valorización_de_Instrumentos[[#This Row],[CODIGO_SBS]],7,1)</f>
        <v>2</v>
      </c>
      <c r="AB421">
        <f>INDEX('Cálculo Caja'!F:F,MATCH(Tabla_Consulta_desde_Reporte_de_Valorización_de_Instrumentos[[#This Row],[PORTAFOLIO]],'Cálculo Caja'!A:A,0),1)</f>
        <v>26256910350.436607</v>
      </c>
      <c r="AC421" s="17">
        <f>Tabla_Consulta_desde_Reporte_de_Valorización_de_Instrumentos[[#This Row],[VALOR_VECTOR_LOCAL]]/Tabla_Consulta_desde_Reporte_de_Valorización_de_Instrumentos[[#This Row],[Patrimonio]]</f>
        <v>4.3268601161893508E-3</v>
      </c>
      <c r="AD421" s="4">
        <f>(Tabla_Consulta_desde_Reporte_de_Valorización_de_Instrumentos[[#This Row],[VALOR_VECTOR_LOCAL]]/INDEX('Tipo de Cambio'!$D:$D,MATCH("2",'Tipo de Cambio'!$E:$E,0),1))/1000000</f>
        <v>33.803439010284002</v>
      </c>
      <c r="AE421">
        <f>IF(Tabla_Consulta_desde_Reporte_de_Valorización_de_Instrumentos[[#This Row],[PORTAFOLIO]]="IN-FONDO0",Tabla_Consulta_desde_Reporte_de_Valorización_de_Instrumentos[[#This Row],[Inv MM$]],0)</f>
        <v>0</v>
      </c>
      <c r="AF421" s="26">
        <f>IF(Tabla_Consulta_desde_Reporte_de_Valorización_de_Instrumentos[[#This Row],[PORTAFOLIO]]="IN-FONDO1",Tabla_Consulta_desde_Reporte_de_Valorización_de_Instrumentos[[#This Row],[Inv MM$]],0)</f>
        <v>0</v>
      </c>
      <c r="AG421" s="26">
        <f>IF(Tabla_Consulta_desde_Reporte_de_Valorización_de_Instrumentos[[#This Row],[PORTAFOLIO]]="IN-FONDO2",Tabla_Consulta_desde_Reporte_de_Valorización_de_Instrumentos[[#This Row],[Inv MM$]],0)</f>
        <v>33.803439010284002</v>
      </c>
      <c r="AH421" s="26">
        <f>IF(Tabla_Consulta_desde_Reporte_de_Valorización_de_Instrumentos[[#This Row],[PORTAFOLIO]]="IN-FONDO3",Tabla_Consulta_desde_Reporte_de_Valorización_de_Instrumentos[[#This Row],[Inv MM$]],0)</f>
        <v>0</v>
      </c>
      <c r="AI42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39.437345041091582</v>
      </c>
      <c r="AJ421" s="26">
        <f>IFERROR(IFERROR(INDEX('BD(MSCI)'!$T:$T,MATCH(Tabla_Consulta_desde_Reporte_de_Valorización_de_Instrumentos[[#This Row],[CODIGO_ISIN]],'BD(MSCI)'!$C:$C,0),1),INDEX('BD(MSCI)'!$T:$T,MATCH(Tabla_Consulta_desde_Reporte_de_Valorización_de_Instrumentos[[#This Row],[CODIGO_SBS]],'BD(MSCI)'!$C:$C,0),1)),0)</f>
        <v>39.508152340000002</v>
      </c>
      <c r="AK421" s="26">
        <f>Tabla_Consulta_desde_Reporte_de_Valorización_de_Instrumentos[[#This Row],[C02-H]]*Tabla_Consulta_desde_Reporte_de_Valorización_de_Instrumentos[[#This Row],[Inv MM$]]</f>
        <v>1335.5114180341993</v>
      </c>
      <c r="AL421" s="26">
        <f>Tabla_Consulta_desde_Reporte_de_Valorización_de_Instrumentos[[#This Row],[C02-H]]*Tabla_Consulta_desde_Reporte_de_Valorización_de_Instrumentos[[#This Row],[Weight]]</f>
        <v>0.17094624862427898</v>
      </c>
      <c r="AM421" s="26" t="str">
        <f>INDEX(Parametria!G:G,MATCH(Tabla_Consulta_desde_Reporte_de_Valorización_de_Instrumentos[[#This Row],[CODIGO_SBS]],Parametria!C:C,0))</f>
        <v>53ALT</v>
      </c>
      <c r="AN421" s="26" t="str">
        <f>INDEX(Parametria!F:F,MATCH(Tabla_Consulta_desde_Reporte_de_Valorización_de_Instrumentos[[#This Row],[CODIGO_SBS]],Parametria!C:C,0))</f>
        <v>ALT</v>
      </c>
      <c r="AO421" s="26" t="str">
        <f>+INDEX(Parametria!J:J,MATCH(Tabla_Consulta_desde_Reporte_de_Valorización_de_Instrumentos[[#This Row],[CODIGO_SBS]],Parametria!C:C,0))</f>
        <v>ALT</v>
      </c>
      <c r="AP421" s="26">
        <f>Tabla_Consulta_desde_Reporte_de_Valorización_de_Instrumentos[[#This Row],[Huella]]/$AU$4</f>
        <v>0.12380828529291607</v>
      </c>
      <c r="AQ421" s="26" t="str">
        <f>IFERROR(INDEX('BD(MSCI)'!W:W,MATCH(Tabla_Consulta_desde_Reporte_de_Valorización_de_Instrumentos[[#This Row],[CODIGO_ISIN]],'BD(MSCI)'!C:C,0)),IF(Tabla_Consulta_desde_Reporte_de_Valorización_de_Instrumentos[[#This Row],[Rank_rt]]="Cash","Cash","Cuestionario Integra"))</f>
        <v>Proxies</v>
      </c>
      <c r="AR421" s="26" t="str">
        <f>IFERROR(INDEX('BD(MSCI)'!X:X,MATCH(Tabla_Consulta_desde_Reporte_de_Valorización_de_Instrumentos[[#This Row],[CODIGO_ISIN]],'BD(MSCI)'!C:C,0)),"Cuestionario Integra")</f>
        <v>Alts</v>
      </c>
      <c r="AU421" s="26"/>
    </row>
    <row r="422" spans="2:47" hidden="1" x14ac:dyDescent="0.25">
      <c r="B422" s="14" t="s">
        <v>6390</v>
      </c>
      <c r="C422" t="s">
        <v>727</v>
      </c>
      <c r="D422" t="s">
        <v>10</v>
      </c>
      <c r="E422" t="s">
        <v>728</v>
      </c>
      <c r="F422" t="s">
        <v>768</v>
      </c>
      <c r="G422" t="str">
        <f>INDEX(Parametria!H:H,MATCH(Tabla_Consulta_desde_Reporte_de_Valorización_de_Instrumentos[[#This Row],[CODIGO_SBS]],Parametria!C:C,0),1)</f>
        <v>Oaktree Principal Fund VI GP, L.P.</v>
      </c>
      <c r="H422" t="s">
        <v>769</v>
      </c>
      <c r="I422" t="s">
        <v>770</v>
      </c>
      <c r="J422" t="s">
        <v>771</v>
      </c>
      <c r="K422" t="s">
        <v>50</v>
      </c>
      <c r="L422">
        <v>1</v>
      </c>
      <c r="M422" s="5">
        <v>182909413.74430031</v>
      </c>
      <c r="N422">
        <v>54422747.997351997</v>
      </c>
      <c r="O422">
        <v>251.52282400000001</v>
      </c>
      <c r="P422" s="15">
        <v>47438</v>
      </c>
      <c r="Q422">
        <v>1416</v>
      </c>
      <c r="R422">
        <v>3.3609</v>
      </c>
      <c r="S422" t="s">
        <v>428</v>
      </c>
      <c r="T422">
        <v>183001932.41589579</v>
      </c>
      <c r="U422" s="5">
        <v>54422747.997351997</v>
      </c>
      <c r="V422" t="s">
        <v>156</v>
      </c>
      <c r="W422">
        <v>0</v>
      </c>
      <c r="X422">
        <v>0</v>
      </c>
      <c r="Y422">
        <v>0</v>
      </c>
      <c r="Z422">
        <v>0</v>
      </c>
      <c r="AA422" t="str">
        <f>+MID(Tabla_Consulta_desde_Reporte_de_Valorización_de_Instrumentos[[#This Row],[CODIGO_SBS]],7,1)</f>
        <v>2</v>
      </c>
      <c r="AB422">
        <f>INDEX('Cálculo Caja'!F:F,MATCH(Tabla_Consulta_desde_Reporte_de_Valorización_de_Instrumentos[[#This Row],[PORTAFOLIO]],'Cálculo Caja'!A:A,0),1)</f>
        <v>26256910350.436607</v>
      </c>
      <c r="AC422" s="17">
        <f>Tabla_Consulta_desde_Reporte_de_Valorización_de_Instrumentos[[#This Row],[VALOR_VECTOR_LOCAL]]/Tabla_Consulta_desde_Reporte_de_Valorización_de_Instrumentos[[#This Row],[Patrimonio]]</f>
        <v>6.9661438190216788E-3</v>
      </c>
      <c r="AD422" s="4">
        <f>(Tabla_Consulta_desde_Reporte_de_Valorización_de_Instrumentos[[#This Row],[VALOR_VECTOR_LOCAL]]/INDEX('Tipo de Cambio'!$D:$D,MATCH("2",'Tipo de Cambio'!$E:$E,0),1))/1000000</f>
        <v>54.422747997351991</v>
      </c>
      <c r="AE422">
        <f>IF(Tabla_Consulta_desde_Reporte_de_Valorización_de_Instrumentos[[#This Row],[PORTAFOLIO]]="IN-FONDO0",Tabla_Consulta_desde_Reporte_de_Valorización_de_Instrumentos[[#This Row],[Inv MM$]],0)</f>
        <v>0</v>
      </c>
      <c r="AF422" s="26">
        <f>IF(Tabla_Consulta_desde_Reporte_de_Valorización_de_Instrumentos[[#This Row],[PORTAFOLIO]]="IN-FONDO1",Tabla_Consulta_desde_Reporte_de_Valorización_de_Instrumentos[[#This Row],[Inv MM$]],0)</f>
        <v>0</v>
      </c>
      <c r="AG422" s="26">
        <f>IF(Tabla_Consulta_desde_Reporte_de_Valorización_de_Instrumentos[[#This Row],[PORTAFOLIO]]="IN-FONDO2",Tabla_Consulta_desde_Reporte_de_Valorización_de_Instrumentos[[#This Row],[Inv MM$]],0)</f>
        <v>54.422747997351991</v>
      </c>
      <c r="AH422" s="26">
        <f>IF(Tabla_Consulta_desde_Reporte_de_Valorización_de_Instrumentos[[#This Row],[PORTAFOLIO]]="IN-FONDO3",Tabla_Consulta_desde_Reporte_de_Valorización_de_Instrumentos[[#This Row],[Inv MM$]],0)</f>
        <v>0</v>
      </c>
      <c r="AI42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65.307296990977989</v>
      </c>
      <c r="AJ422" s="26">
        <f>IFERROR(IFERROR(INDEX('BD(MSCI)'!$T:$T,MATCH(Tabla_Consulta_desde_Reporte_de_Valorización_de_Instrumentos[[#This Row],[CODIGO_ISIN]],'BD(MSCI)'!$C:$C,0),1),INDEX('BD(MSCI)'!$T:$T,MATCH(Tabla_Consulta_desde_Reporte_de_Valorización_de_Instrumentos[[#This Row],[CODIGO_SBS]],'BD(MSCI)'!$C:$C,0),1)),0)</f>
        <v>122.2271635</v>
      </c>
      <c r="AK422" s="26">
        <f>Tabla_Consulta_desde_Reporte_de_Valorización_de_Instrumentos[[#This Row],[C02-H]]*Tabla_Consulta_desde_Reporte_de_Valorización_de_Instrumentos[[#This Row],[Inv MM$]]</f>
        <v>6651.9381175916396</v>
      </c>
      <c r="AL422" s="26">
        <f>Tabla_Consulta_desde_Reporte_de_Valorización_de_Instrumentos[[#This Row],[C02-H]]*Tabla_Consulta_desde_Reporte_de_Valorización_de_Instrumentos[[#This Row],[Weight]]</f>
        <v>0.85145199953207718</v>
      </c>
      <c r="AM422" s="26" t="str">
        <f>INDEX(Parametria!G:G,MATCH(Tabla_Consulta_desde_Reporte_de_Valorización_de_Instrumentos[[#This Row],[CODIGO_SBS]],Parametria!C:C,0))</f>
        <v>53ALT</v>
      </c>
      <c r="AN422" s="26" t="str">
        <f>INDEX(Parametria!F:F,MATCH(Tabla_Consulta_desde_Reporte_de_Valorización_de_Instrumentos[[#This Row],[CODIGO_SBS]],Parametria!C:C,0))</f>
        <v>ALT</v>
      </c>
      <c r="AO422" s="26" t="str">
        <f>+INDEX(Parametria!J:J,MATCH(Tabla_Consulta_desde_Reporte_de_Valorización_de_Instrumentos[[#This Row],[CODIGO_SBS]],Parametria!C:C,0))</f>
        <v>ALT</v>
      </c>
      <c r="AP422" s="26">
        <f>Tabla_Consulta_desde_Reporte_de_Valorización_de_Instrumentos[[#This Row],[Huella]]/$AU$4</f>
        <v>0.61666642538021288</v>
      </c>
      <c r="AQ422" s="26" t="str">
        <f>IFERROR(INDEX('BD(MSCI)'!W:W,MATCH(Tabla_Consulta_desde_Reporte_de_Valorización_de_Instrumentos[[#This Row],[CODIGO_ISIN]],'BD(MSCI)'!C:C,0)),IF(Tabla_Consulta_desde_Reporte_de_Valorización_de_Instrumentos[[#This Row],[Rank_rt]]="Cash","Cash","Cuestionario Integra"))</f>
        <v>Proxies</v>
      </c>
      <c r="AR422" s="26" t="str">
        <f>IFERROR(INDEX('BD(MSCI)'!X:X,MATCH(Tabla_Consulta_desde_Reporte_de_Valorización_de_Instrumentos[[#This Row],[CODIGO_ISIN]],'BD(MSCI)'!C:C,0)),"Cuestionario Integra")</f>
        <v>Alts</v>
      </c>
      <c r="AU422" s="26"/>
    </row>
    <row r="423" spans="2:47" hidden="1" x14ac:dyDescent="0.25">
      <c r="B423" s="14" t="s">
        <v>6390</v>
      </c>
      <c r="C423" t="s">
        <v>727</v>
      </c>
      <c r="D423" t="s">
        <v>11</v>
      </c>
      <c r="E423" t="s">
        <v>728</v>
      </c>
      <c r="F423" t="s">
        <v>768</v>
      </c>
      <c r="G423" t="str">
        <f>INDEX(Parametria!H:H,MATCH(Tabla_Consulta_desde_Reporte_de_Valorización_de_Instrumentos[[#This Row],[CODIGO_SBS]],Parametria!C:C,0),1)</f>
        <v>Oaktree Principal Fund VI GP, L.P.</v>
      </c>
      <c r="H423" t="s">
        <v>769</v>
      </c>
      <c r="I423" t="s">
        <v>770</v>
      </c>
      <c r="J423" t="s">
        <v>771</v>
      </c>
      <c r="K423" t="s">
        <v>50</v>
      </c>
      <c r="L423">
        <v>1</v>
      </c>
      <c r="M423" s="5">
        <v>36581880.712677598</v>
      </c>
      <c r="N423">
        <v>10884548.993626</v>
      </c>
      <c r="O423">
        <v>50.304561999999997</v>
      </c>
      <c r="P423" s="15">
        <v>47438</v>
      </c>
      <c r="Q423">
        <v>1416</v>
      </c>
      <c r="R423">
        <v>3.3609</v>
      </c>
      <c r="S423" t="s">
        <v>428</v>
      </c>
      <c r="T423">
        <v>36600384.445966698</v>
      </c>
      <c r="U423" s="5">
        <v>10884548.993626</v>
      </c>
      <c r="V423" t="s">
        <v>156</v>
      </c>
      <c r="W423">
        <v>0</v>
      </c>
      <c r="X423">
        <v>0</v>
      </c>
      <c r="Y423">
        <v>0</v>
      </c>
      <c r="Z423">
        <v>0</v>
      </c>
      <c r="AA423" t="str">
        <f>+MID(Tabla_Consulta_desde_Reporte_de_Valorización_de_Instrumentos[[#This Row],[CODIGO_SBS]],7,1)</f>
        <v>2</v>
      </c>
      <c r="AB423">
        <f>INDEX('Cálculo Caja'!F:F,MATCH(Tabla_Consulta_desde_Reporte_de_Valorización_de_Instrumentos[[#This Row],[PORTAFOLIO]],'Cálculo Caja'!A:A,0),1)</f>
        <v>3164069580.822104</v>
      </c>
      <c r="AC423" s="17">
        <f>Tabla_Consulta_desde_Reporte_de_Valorización_de_Instrumentos[[#This Row],[VALOR_VECTOR_LOCAL]]/Tabla_Consulta_desde_Reporte_de_Valorización_de_Instrumentos[[#This Row],[Patrimonio]]</f>
        <v>1.1561654944128225E-2</v>
      </c>
      <c r="AD423" s="4">
        <f>(Tabla_Consulta_desde_Reporte_de_Valorización_de_Instrumentos[[#This Row],[VALOR_VECTOR_LOCAL]]/INDEX('Tipo de Cambio'!$D:$D,MATCH("2",'Tipo de Cambio'!$E:$E,0),1))/1000000</f>
        <v>10.884548993625993</v>
      </c>
      <c r="AE423">
        <f>IF(Tabla_Consulta_desde_Reporte_de_Valorización_de_Instrumentos[[#This Row],[PORTAFOLIO]]="IN-FONDO0",Tabla_Consulta_desde_Reporte_de_Valorización_de_Instrumentos[[#This Row],[Inv MM$]],0)</f>
        <v>0</v>
      </c>
      <c r="AF423" s="26">
        <f>IF(Tabla_Consulta_desde_Reporte_de_Valorización_de_Instrumentos[[#This Row],[PORTAFOLIO]]="IN-FONDO1",Tabla_Consulta_desde_Reporte_de_Valorización_de_Instrumentos[[#This Row],[Inv MM$]],0)</f>
        <v>0</v>
      </c>
      <c r="AG423" s="26">
        <f>IF(Tabla_Consulta_desde_Reporte_de_Valorización_de_Instrumentos[[#This Row],[PORTAFOLIO]]="IN-FONDO2",Tabla_Consulta_desde_Reporte_de_Valorización_de_Instrumentos[[#This Row],[Inv MM$]],0)</f>
        <v>0</v>
      </c>
      <c r="AH423" s="26">
        <f>IF(Tabla_Consulta_desde_Reporte_de_Valorización_de_Instrumentos[[#This Row],[PORTAFOLIO]]="IN-FONDO3",Tabla_Consulta_desde_Reporte_de_Valorización_de_Instrumentos[[#This Row],[Inv MM$]],0)</f>
        <v>10.884548993625993</v>
      </c>
      <c r="AI42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65.307296990977989</v>
      </c>
      <c r="AJ423" s="26">
        <f>IFERROR(IFERROR(INDEX('BD(MSCI)'!$T:$T,MATCH(Tabla_Consulta_desde_Reporte_de_Valorización_de_Instrumentos[[#This Row],[CODIGO_ISIN]],'BD(MSCI)'!$C:$C,0),1),INDEX('BD(MSCI)'!$T:$T,MATCH(Tabla_Consulta_desde_Reporte_de_Valorización_de_Instrumentos[[#This Row],[CODIGO_SBS]],'BD(MSCI)'!$C:$C,0),1)),0)</f>
        <v>122.2271635</v>
      </c>
      <c r="AK423" s="26">
        <f>Tabla_Consulta_desde_Reporte_de_Valorización_de_Instrumentos[[#This Row],[C02-H]]*Tabla_Consulta_desde_Reporte_de_Valorización_de_Instrumentos[[#This Row],[Inv MM$]]</f>
        <v>1330.3875494676847</v>
      </c>
      <c r="AL423" s="26">
        <f>Tabla_Consulta_desde_Reporte_de_Valorización_de_Instrumentos[[#This Row],[C02-H]]*Tabla_Consulta_desde_Reporte_de_Valorización_de_Instrumentos[[#This Row],[Weight]]</f>
        <v>1.4131482891865439</v>
      </c>
      <c r="AM423" s="26" t="str">
        <f>INDEX(Parametria!G:G,MATCH(Tabla_Consulta_desde_Reporte_de_Valorización_de_Instrumentos[[#This Row],[CODIGO_SBS]],Parametria!C:C,0))</f>
        <v>53ALT</v>
      </c>
      <c r="AN423" s="26" t="str">
        <f>INDEX(Parametria!F:F,MATCH(Tabla_Consulta_desde_Reporte_de_Valorización_de_Instrumentos[[#This Row],[CODIGO_SBS]],Parametria!C:C,0))</f>
        <v>ALT</v>
      </c>
      <c r="AO423" s="26" t="str">
        <f>+INDEX(Parametria!J:J,MATCH(Tabla_Consulta_desde_Reporte_de_Valorización_de_Instrumentos[[#This Row],[CODIGO_SBS]],Parametria!C:C,0))</f>
        <v>ALT</v>
      </c>
      <c r="AP423" s="26">
        <f>Tabla_Consulta_desde_Reporte_de_Valorización_de_Instrumentos[[#This Row],[Huella]]/$AU$4</f>
        <v>0.12333327821119437</v>
      </c>
      <c r="AQ423" s="26" t="str">
        <f>IFERROR(INDEX('BD(MSCI)'!W:W,MATCH(Tabla_Consulta_desde_Reporte_de_Valorización_de_Instrumentos[[#This Row],[CODIGO_ISIN]],'BD(MSCI)'!C:C,0)),IF(Tabla_Consulta_desde_Reporte_de_Valorización_de_Instrumentos[[#This Row],[Rank_rt]]="Cash","Cash","Cuestionario Integra"))</f>
        <v>Proxies</v>
      </c>
      <c r="AR423" s="26" t="str">
        <f>IFERROR(INDEX('BD(MSCI)'!X:X,MATCH(Tabla_Consulta_desde_Reporte_de_Valorización_de_Instrumentos[[#This Row],[CODIGO_ISIN]],'BD(MSCI)'!C:C,0)),"Cuestionario Integra")</f>
        <v>Alts</v>
      </c>
      <c r="AU423" s="26"/>
    </row>
    <row r="424" spans="2:47" hidden="1" x14ac:dyDescent="0.25">
      <c r="B424" s="14" t="s">
        <v>6390</v>
      </c>
      <c r="C424" t="s">
        <v>727</v>
      </c>
      <c r="D424" t="s">
        <v>11</v>
      </c>
      <c r="E424" t="s">
        <v>728</v>
      </c>
      <c r="F424" t="s">
        <v>772</v>
      </c>
      <c r="G424" t="str">
        <f>INDEX(Parametria!H:H,MATCH(Tabla_Consulta_desde_Reporte_de_Valorización_de_Instrumentos[[#This Row],[CODIGO_SBS]],Parametria!C:C,0),1)</f>
        <v>ASSF - Operating Manager IV, LP</v>
      </c>
      <c r="H424" t="s">
        <v>772</v>
      </c>
      <c r="I424" t="s">
        <v>156</v>
      </c>
      <c r="J424" t="s">
        <v>773</v>
      </c>
      <c r="K424" t="s">
        <v>50</v>
      </c>
      <c r="L424">
        <v>1</v>
      </c>
      <c r="M424" s="5">
        <v>10669906.5327824</v>
      </c>
      <c r="N424">
        <v>3174717.0498326002</v>
      </c>
      <c r="O424">
        <v>3.0737866999999999</v>
      </c>
      <c r="P424" s="15">
        <v>46241</v>
      </c>
      <c r="Q424">
        <v>219</v>
      </c>
      <c r="R424">
        <v>3.3609</v>
      </c>
      <c r="S424" t="s">
        <v>428</v>
      </c>
      <c r="T424">
        <v>10675303.5517671</v>
      </c>
      <c r="U424" s="5">
        <v>3174717.0498326002</v>
      </c>
      <c r="V424" t="s">
        <v>156</v>
      </c>
      <c r="W424">
        <v>0</v>
      </c>
      <c r="X424">
        <v>0</v>
      </c>
      <c r="Y424">
        <v>0</v>
      </c>
      <c r="Z424">
        <v>0</v>
      </c>
      <c r="AA424" t="str">
        <f>+MID(Tabla_Consulta_desde_Reporte_de_Valorización_de_Instrumentos[[#This Row],[CODIGO_SBS]],7,1)</f>
        <v>2</v>
      </c>
      <c r="AB424">
        <f>INDEX('Cálculo Caja'!F:F,MATCH(Tabla_Consulta_desde_Reporte_de_Valorización_de_Instrumentos[[#This Row],[PORTAFOLIO]],'Cálculo Caja'!A:A,0),1)</f>
        <v>3164069580.822104</v>
      </c>
      <c r="AC424" s="17">
        <f>Tabla_Consulta_desde_Reporte_de_Valorización_de_Instrumentos[[#This Row],[VALOR_VECTOR_LOCAL]]/Tabla_Consulta_desde_Reporte_de_Valorización_de_Instrumentos[[#This Row],[Patrimonio]]</f>
        <v>3.3722098266910088E-3</v>
      </c>
      <c r="AD424" s="4">
        <f>(Tabla_Consulta_desde_Reporte_de_Valorización_de_Instrumentos[[#This Row],[VALOR_VECTOR_LOCAL]]/INDEX('Tipo de Cambio'!$D:$D,MATCH("2",'Tipo de Cambio'!$E:$E,0),1))/1000000</f>
        <v>3.1747170498326045</v>
      </c>
      <c r="AE424">
        <f>IF(Tabla_Consulta_desde_Reporte_de_Valorización_de_Instrumentos[[#This Row],[PORTAFOLIO]]="IN-FONDO0",Tabla_Consulta_desde_Reporte_de_Valorización_de_Instrumentos[[#This Row],[Inv MM$]],0)</f>
        <v>0</v>
      </c>
      <c r="AF424" s="26">
        <f>IF(Tabla_Consulta_desde_Reporte_de_Valorización_de_Instrumentos[[#This Row],[PORTAFOLIO]]="IN-FONDO1",Tabla_Consulta_desde_Reporte_de_Valorización_de_Instrumentos[[#This Row],[Inv MM$]],0)</f>
        <v>0</v>
      </c>
      <c r="AG424" s="26">
        <f>IF(Tabla_Consulta_desde_Reporte_de_Valorización_de_Instrumentos[[#This Row],[PORTAFOLIO]]="IN-FONDO2",Tabla_Consulta_desde_Reporte_de_Valorización_de_Instrumentos[[#This Row],[Inv MM$]],0)</f>
        <v>0</v>
      </c>
      <c r="AH424" s="26">
        <f>IF(Tabla_Consulta_desde_Reporte_de_Valorización_de_Instrumentos[[#This Row],[PORTAFOLIO]]="IN-FONDO3",Tabla_Consulta_desde_Reporte_de_Valorización_de_Instrumentos[[#This Row],[Inv MM$]],0)</f>
        <v>3.1747170498326045</v>
      </c>
      <c r="AI42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47.620762047787679</v>
      </c>
      <c r="AJ424" s="26">
        <f>IFERROR(IFERROR(INDEX('BD(MSCI)'!$T:$T,MATCH(Tabla_Consulta_desde_Reporte_de_Valorización_de_Instrumentos[[#This Row],[CODIGO_ISIN]],'BD(MSCI)'!$C:$C,0),1),INDEX('BD(MSCI)'!$T:$T,MATCH(Tabla_Consulta_desde_Reporte_de_Valorización_de_Instrumentos[[#This Row],[CODIGO_SBS]],'BD(MSCI)'!$C:$C,0),1)),0)</f>
        <v>122.2271635</v>
      </c>
      <c r="AK424" s="26">
        <f>Tabla_Consulta_desde_Reporte_de_Valorización_de_Instrumentos[[#This Row],[C02-H]]*Tabla_Consulta_desde_Reporte_de_Valorización_de_Instrumentos[[#This Row],[Inv MM$]]</f>
        <v>388.03665991612741</v>
      </c>
      <c r="AL424" s="26">
        <f>Tabla_Consulta_desde_Reporte_de_Valorización_de_Instrumentos[[#This Row],[C02-H]]*Tabla_Consulta_desde_Reporte_de_Valorización_de_Instrumentos[[#This Row],[Weight]]</f>
        <v>0.4121756418432686</v>
      </c>
      <c r="AM424" s="26" t="str">
        <f>INDEX(Parametria!G:G,MATCH(Tabla_Consulta_desde_Reporte_de_Valorización_de_Instrumentos[[#This Row],[CODIGO_SBS]],Parametria!C:C,0))</f>
        <v>53ALT</v>
      </c>
      <c r="AN424" s="26" t="str">
        <f>INDEX(Parametria!F:F,MATCH(Tabla_Consulta_desde_Reporte_de_Valorización_de_Instrumentos[[#This Row],[CODIGO_SBS]],Parametria!C:C,0))</f>
        <v>ALT</v>
      </c>
      <c r="AO424" s="26" t="str">
        <f>+INDEX(Parametria!J:J,MATCH(Tabla_Consulta_desde_Reporte_de_Valorización_de_Instrumentos[[#This Row],[CODIGO_SBS]],Parametria!C:C,0))</f>
        <v>ALT</v>
      </c>
      <c r="AP424" s="26">
        <f>Tabla_Consulta_desde_Reporte_de_Valorización_de_Instrumentos[[#This Row],[Huella]]/$AU$4</f>
        <v>3.5972851183647389E-2</v>
      </c>
      <c r="AQ424" s="26" t="str">
        <f>IFERROR(INDEX('BD(MSCI)'!W:W,MATCH(Tabla_Consulta_desde_Reporte_de_Valorización_de_Instrumentos[[#This Row],[CODIGO_ISIN]],'BD(MSCI)'!C:C,0)),IF(Tabla_Consulta_desde_Reporte_de_Valorización_de_Instrumentos[[#This Row],[Rank_rt]]="Cash","Cash","Cuestionario Integra"))</f>
        <v>Proxies</v>
      </c>
      <c r="AR424" s="26" t="str">
        <f>IFERROR(INDEX('BD(MSCI)'!X:X,MATCH(Tabla_Consulta_desde_Reporte_de_Valorización_de_Instrumentos[[#This Row],[CODIGO_ISIN]],'BD(MSCI)'!C:C,0)),"Cuestionario Integra")</f>
        <v>Alts</v>
      </c>
      <c r="AU424" s="26"/>
    </row>
    <row r="425" spans="2:47" hidden="1" x14ac:dyDescent="0.25">
      <c r="B425" s="14" t="s">
        <v>6390</v>
      </c>
      <c r="C425" t="s">
        <v>727</v>
      </c>
      <c r="D425" t="s">
        <v>10</v>
      </c>
      <c r="E425" t="s">
        <v>728</v>
      </c>
      <c r="F425" t="s">
        <v>772</v>
      </c>
      <c r="G425" t="str">
        <f>INDEX(Parametria!H:H,MATCH(Tabla_Consulta_desde_Reporte_de_Valorización_de_Instrumentos[[#This Row],[CODIGO_SBS]],Parametria!C:C,0),1)</f>
        <v>ASSF - Operating Manager IV, LP</v>
      </c>
      <c r="H425" t="s">
        <v>772</v>
      </c>
      <c r="I425" t="s">
        <v>156</v>
      </c>
      <c r="J425" t="s">
        <v>773</v>
      </c>
      <c r="K425" t="s">
        <v>50</v>
      </c>
      <c r="L425">
        <v>1</v>
      </c>
      <c r="M425" s="5">
        <v>149378712.63362721</v>
      </c>
      <c r="N425">
        <v>44446044.997955099</v>
      </c>
      <c r="O425">
        <v>43.033019899999999</v>
      </c>
      <c r="P425" s="15">
        <v>46241</v>
      </c>
      <c r="Q425">
        <v>219</v>
      </c>
      <c r="R425">
        <v>3.3609</v>
      </c>
      <c r="S425" t="s">
        <v>428</v>
      </c>
      <c r="T425">
        <v>149454270.9101238</v>
      </c>
      <c r="U425" s="5">
        <v>44446044.997955099</v>
      </c>
      <c r="V425" t="s">
        <v>156</v>
      </c>
      <c r="W425">
        <v>0</v>
      </c>
      <c r="X425">
        <v>0</v>
      </c>
      <c r="Y425">
        <v>0</v>
      </c>
      <c r="Z425">
        <v>0</v>
      </c>
      <c r="AA425" t="str">
        <f>+MID(Tabla_Consulta_desde_Reporte_de_Valorización_de_Instrumentos[[#This Row],[CODIGO_SBS]],7,1)</f>
        <v>2</v>
      </c>
      <c r="AB425">
        <f>INDEX('Cálculo Caja'!F:F,MATCH(Tabla_Consulta_desde_Reporte_de_Valorización_de_Instrumentos[[#This Row],[PORTAFOLIO]],'Cálculo Caja'!A:A,0),1)</f>
        <v>26256910350.436607</v>
      </c>
      <c r="AC425" s="17">
        <f>Tabla_Consulta_desde_Reporte_de_Valorización_de_Instrumentos[[#This Row],[VALOR_VECTOR_LOCAL]]/Tabla_Consulta_desde_Reporte_de_Valorización_de_Instrumentos[[#This Row],[Patrimonio]]</f>
        <v>5.6891199550880628E-3</v>
      </c>
      <c r="AD425" s="4">
        <f>(Tabla_Consulta_desde_Reporte_de_Valorización_de_Instrumentos[[#This Row],[VALOR_VECTOR_LOCAL]]/INDEX('Tipo de Cambio'!$D:$D,MATCH("2",'Tipo de Cambio'!$E:$E,0),1))/1000000</f>
        <v>44.446044997955077</v>
      </c>
      <c r="AE425">
        <f>IF(Tabla_Consulta_desde_Reporte_de_Valorización_de_Instrumentos[[#This Row],[PORTAFOLIO]]="IN-FONDO0",Tabla_Consulta_desde_Reporte_de_Valorización_de_Instrumentos[[#This Row],[Inv MM$]],0)</f>
        <v>0</v>
      </c>
      <c r="AF425" s="26">
        <f>IF(Tabla_Consulta_desde_Reporte_de_Valorización_de_Instrumentos[[#This Row],[PORTAFOLIO]]="IN-FONDO1",Tabla_Consulta_desde_Reporte_de_Valorización_de_Instrumentos[[#This Row],[Inv MM$]],0)</f>
        <v>0</v>
      </c>
      <c r="AG425" s="26">
        <f>IF(Tabla_Consulta_desde_Reporte_de_Valorización_de_Instrumentos[[#This Row],[PORTAFOLIO]]="IN-FONDO2",Tabla_Consulta_desde_Reporte_de_Valorización_de_Instrumentos[[#This Row],[Inv MM$]],0)</f>
        <v>44.446044997955077</v>
      </c>
      <c r="AH425" s="26">
        <f>IF(Tabla_Consulta_desde_Reporte_de_Valorización_de_Instrumentos[[#This Row],[PORTAFOLIO]]="IN-FONDO3",Tabla_Consulta_desde_Reporte_de_Valorización_de_Instrumentos[[#This Row],[Inv MM$]],0)</f>
        <v>0</v>
      </c>
      <c r="AI42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47.620762047787679</v>
      </c>
      <c r="AJ425" s="26">
        <f>IFERROR(IFERROR(INDEX('BD(MSCI)'!$T:$T,MATCH(Tabla_Consulta_desde_Reporte_de_Valorización_de_Instrumentos[[#This Row],[CODIGO_ISIN]],'BD(MSCI)'!$C:$C,0),1),INDEX('BD(MSCI)'!$T:$T,MATCH(Tabla_Consulta_desde_Reporte_de_Valorización_de_Instrumentos[[#This Row],[CODIGO_SBS]],'BD(MSCI)'!$C:$C,0),1)),0)</f>
        <v>122.2271635</v>
      </c>
      <c r="AK425" s="26">
        <f>Tabla_Consulta_desde_Reporte_de_Valorización_de_Instrumentos[[#This Row],[C02-H]]*Tabla_Consulta_desde_Reporte_de_Valorización_de_Instrumentos[[#This Row],[Inv MM$]]</f>
        <v>5432.5140088934122</v>
      </c>
      <c r="AL425" s="26">
        <f>Tabla_Consulta_desde_Reporte_de_Valorización_de_Instrumentos[[#This Row],[C02-H]]*Tabla_Consulta_desde_Reporte_de_Valorización_de_Instrumentos[[#This Row],[Weight]]</f>
        <v>0.69536499492166137</v>
      </c>
      <c r="AM425" s="26" t="str">
        <f>INDEX(Parametria!G:G,MATCH(Tabla_Consulta_desde_Reporte_de_Valorización_de_Instrumentos[[#This Row],[CODIGO_SBS]],Parametria!C:C,0))</f>
        <v>53ALT</v>
      </c>
      <c r="AN425" s="26" t="str">
        <f>INDEX(Parametria!F:F,MATCH(Tabla_Consulta_desde_Reporte_de_Valorización_de_Instrumentos[[#This Row],[CODIGO_SBS]],Parametria!C:C,0))</f>
        <v>ALT</v>
      </c>
      <c r="AO425" s="26" t="str">
        <f>+INDEX(Parametria!J:J,MATCH(Tabla_Consulta_desde_Reporte_de_Valorización_de_Instrumentos[[#This Row],[CODIGO_SBS]],Parametria!C:C,0))</f>
        <v>ALT</v>
      </c>
      <c r="AP425" s="26">
        <f>Tabla_Consulta_desde_Reporte_de_Valorización_de_Instrumentos[[#This Row],[Huella]]/$AU$4</f>
        <v>0.50361998796000962</v>
      </c>
      <c r="AQ425" s="26" t="str">
        <f>IFERROR(INDEX('BD(MSCI)'!W:W,MATCH(Tabla_Consulta_desde_Reporte_de_Valorización_de_Instrumentos[[#This Row],[CODIGO_ISIN]],'BD(MSCI)'!C:C,0)),IF(Tabla_Consulta_desde_Reporte_de_Valorización_de_Instrumentos[[#This Row],[Rank_rt]]="Cash","Cash","Cuestionario Integra"))</f>
        <v>Proxies</v>
      </c>
      <c r="AR425" s="26" t="str">
        <f>IFERROR(INDEX('BD(MSCI)'!X:X,MATCH(Tabla_Consulta_desde_Reporte_de_Valorización_de_Instrumentos[[#This Row],[CODIGO_ISIN]],'BD(MSCI)'!C:C,0)),"Cuestionario Integra")</f>
        <v>Alts</v>
      </c>
      <c r="AU425" s="26"/>
    </row>
    <row r="426" spans="2:47" hidden="1" x14ac:dyDescent="0.25">
      <c r="B426" s="14" t="s">
        <v>6390</v>
      </c>
      <c r="C426" t="s">
        <v>727</v>
      </c>
      <c r="D426" t="s">
        <v>10</v>
      </c>
      <c r="E426" t="s">
        <v>728</v>
      </c>
      <c r="F426" t="s">
        <v>774</v>
      </c>
      <c r="G426" t="str">
        <f>INDEX(Parametria!H:H,MATCH(Tabla_Consulta_desde_Reporte_de_Valorización_de_Instrumentos[[#This Row],[CODIGO_SBS]],Parametria!C:C,0),1)</f>
        <v>Avenue - Europe Capital Partners III, LLC</v>
      </c>
      <c r="H426" t="s">
        <v>775</v>
      </c>
      <c r="I426" t="s">
        <v>776</v>
      </c>
      <c r="J426" t="s">
        <v>777</v>
      </c>
      <c r="K426" t="s">
        <v>50</v>
      </c>
      <c r="L426">
        <v>1</v>
      </c>
      <c r="M426" s="5">
        <v>71090160.114357203</v>
      </c>
      <c r="N426">
        <v>21152120.001891501</v>
      </c>
      <c r="O426">
        <v>84.804227499999996</v>
      </c>
      <c r="P426" s="15">
        <v>46178</v>
      </c>
      <c r="Q426">
        <v>156</v>
      </c>
      <c r="R426">
        <v>3.3609</v>
      </c>
      <c r="S426" t="s">
        <v>428</v>
      </c>
      <c r="T426">
        <v>71126118.718360394</v>
      </c>
      <c r="U426" s="5">
        <v>21152120.001891501</v>
      </c>
      <c r="V426" t="s">
        <v>156</v>
      </c>
      <c r="W426">
        <v>0</v>
      </c>
      <c r="X426">
        <v>0</v>
      </c>
      <c r="Y426">
        <v>0</v>
      </c>
      <c r="Z426">
        <v>0</v>
      </c>
      <c r="AA426" t="str">
        <f>+MID(Tabla_Consulta_desde_Reporte_de_Valorización_de_Instrumentos[[#This Row],[CODIGO_SBS]],7,1)</f>
        <v>2</v>
      </c>
      <c r="AB426">
        <f>INDEX('Cálculo Caja'!F:F,MATCH(Tabla_Consulta_desde_Reporte_de_Valorización_de_Instrumentos[[#This Row],[PORTAFOLIO]],'Cálculo Caja'!A:A,0),1)</f>
        <v>26256910350.436607</v>
      </c>
      <c r="AC426" s="17">
        <f>Tabla_Consulta_desde_Reporte_de_Valorización_de_Instrumentos[[#This Row],[VALOR_VECTOR_LOCAL]]/Tabla_Consulta_desde_Reporte_de_Valorización_de_Instrumentos[[#This Row],[Patrimonio]]</f>
        <v>2.7074838267547763E-3</v>
      </c>
      <c r="AD426" s="4">
        <f>(Tabla_Consulta_desde_Reporte_de_Valorización_de_Instrumentos[[#This Row],[VALOR_VECTOR_LOCAL]]/INDEX('Tipo de Cambio'!$D:$D,MATCH("2",'Tipo de Cambio'!$E:$E,0),1))/1000000</f>
        <v>21.152120001891522</v>
      </c>
      <c r="AE426">
        <f>IF(Tabla_Consulta_desde_Reporte_de_Valorización_de_Instrumentos[[#This Row],[PORTAFOLIO]]="IN-FONDO0",Tabla_Consulta_desde_Reporte_de_Valorización_de_Instrumentos[[#This Row],[Inv MM$]],0)</f>
        <v>0</v>
      </c>
      <c r="AF426" s="26">
        <f>IF(Tabla_Consulta_desde_Reporte_de_Valorización_de_Instrumentos[[#This Row],[PORTAFOLIO]]="IN-FONDO1",Tabla_Consulta_desde_Reporte_de_Valorización_de_Instrumentos[[#This Row],[Inv MM$]],0)</f>
        <v>0</v>
      </c>
      <c r="AG426" s="26">
        <f>IF(Tabla_Consulta_desde_Reporte_de_Valorización_de_Instrumentos[[#This Row],[PORTAFOLIO]]="IN-FONDO2",Tabla_Consulta_desde_Reporte_de_Valorización_de_Instrumentos[[#This Row],[Inv MM$]],0)</f>
        <v>21.152120001891522</v>
      </c>
      <c r="AH426" s="26">
        <f>IF(Tabla_Consulta_desde_Reporte_de_Valorización_de_Instrumentos[[#This Row],[PORTAFOLIO]]="IN-FONDO3",Tabla_Consulta_desde_Reporte_de_Valorización_de_Instrumentos[[#This Row],[Inv MM$]],0)</f>
        <v>0</v>
      </c>
      <c r="AI42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23.502370013102478</v>
      </c>
      <c r="AJ426" s="26">
        <f>IFERROR(IFERROR(INDEX('BD(MSCI)'!$T:$T,MATCH(Tabla_Consulta_desde_Reporte_de_Valorización_de_Instrumentos[[#This Row],[CODIGO_ISIN]],'BD(MSCI)'!$C:$C,0),1),INDEX('BD(MSCI)'!$T:$T,MATCH(Tabla_Consulta_desde_Reporte_de_Valorización_de_Instrumentos[[#This Row],[CODIGO_SBS]],'BD(MSCI)'!$C:$C,0),1)),0)</f>
        <v>122.2271635</v>
      </c>
      <c r="AK426" s="26">
        <f>Tabla_Consulta_desde_Reporte_de_Valorización_de_Instrumentos[[#This Row],[C02-H]]*Tabla_Consulta_desde_Reporte_de_Valorización_de_Instrumentos[[#This Row],[Inv MM$]]</f>
        <v>2585.3636298428155</v>
      </c>
      <c r="AL426" s="26">
        <f>Tabla_Consulta_desde_Reporte_de_Valorización_de_Instrumentos[[#This Row],[C02-H]]*Tabla_Consulta_desde_Reporte_de_Valorización_de_Instrumentos[[#This Row],[Weight]]</f>
        <v>0.33092806836636174</v>
      </c>
      <c r="AM426" s="26" t="str">
        <f>INDEX(Parametria!G:G,MATCH(Tabla_Consulta_desde_Reporte_de_Valorización_de_Instrumentos[[#This Row],[CODIGO_SBS]],Parametria!C:C,0))</f>
        <v>53ALT</v>
      </c>
      <c r="AN426" s="26" t="str">
        <f>INDEX(Parametria!F:F,MATCH(Tabla_Consulta_desde_Reporte_de_Valorización_de_Instrumentos[[#This Row],[CODIGO_SBS]],Parametria!C:C,0))</f>
        <v>ALT</v>
      </c>
      <c r="AO426" s="26" t="str">
        <f>+INDEX(Parametria!J:J,MATCH(Tabla_Consulta_desde_Reporte_de_Valorización_de_Instrumentos[[#This Row],[CODIGO_SBS]],Parametria!C:C,0))</f>
        <v>ALT</v>
      </c>
      <c r="AP426" s="26">
        <f>Tabla_Consulta_desde_Reporte_de_Valorización_de_Instrumentos[[#This Row],[Huella]]/$AU$4</f>
        <v>0.23967555316049843</v>
      </c>
      <c r="AQ426" s="26" t="str">
        <f>IFERROR(INDEX('BD(MSCI)'!W:W,MATCH(Tabla_Consulta_desde_Reporte_de_Valorización_de_Instrumentos[[#This Row],[CODIGO_ISIN]],'BD(MSCI)'!C:C,0)),IF(Tabla_Consulta_desde_Reporte_de_Valorización_de_Instrumentos[[#This Row],[Rank_rt]]="Cash","Cash","Cuestionario Integra"))</f>
        <v>Proxies</v>
      </c>
      <c r="AR426" s="26" t="str">
        <f>IFERROR(INDEX('BD(MSCI)'!X:X,MATCH(Tabla_Consulta_desde_Reporte_de_Valorización_de_Instrumentos[[#This Row],[CODIGO_ISIN]],'BD(MSCI)'!C:C,0)),"Cuestionario Integra")</f>
        <v>Alts</v>
      </c>
      <c r="AU426" s="26"/>
    </row>
    <row r="427" spans="2:47" hidden="1" x14ac:dyDescent="0.25">
      <c r="B427" s="14" t="s">
        <v>6390</v>
      </c>
      <c r="C427" t="s">
        <v>727</v>
      </c>
      <c r="D427" t="s">
        <v>11</v>
      </c>
      <c r="E427" t="s">
        <v>728</v>
      </c>
      <c r="F427" t="s">
        <v>774</v>
      </c>
      <c r="G427" t="str">
        <f>INDEX(Parametria!H:H,MATCH(Tabla_Consulta_desde_Reporte_de_Valorización_de_Instrumentos[[#This Row],[CODIGO_SBS]],Parametria!C:C,0),1)</f>
        <v>Avenue - Europe Capital Partners III, LLC</v>
      </c>
      <c r="H427" t="s">
        <v>775</v>
      </c>
      <c r="I427" t="s">
        <v>776</v>
      </c>
      <c r="J427" t="s">
        <v>777</v>
      </c>
      <c r="K427" t="s">
        <v>50</v>
      </c>
      <c r="L427">
        <v>1</v>
      </c>
      <c r="M427" s="5">
        <v>7898955.2626788998</v>
      </c>
      <c r="N427">
        <v>2350250.0112109999</v>
      </c>
      <c r="O427">
        <v>9.4227498999999995</v>
      </c>
      <c r="P427" s="15">
        <v>46178</v>
      </c>
      <c r="Q427">
        <v>156</v>
      </c>
      <c r="R427">
        <v>3.3609</v>
      </c>
      <c r="S427" t="s">
        <v>428</v>
      </c>
      <c r="T427">
        <v>7902950.6876979005</v>
      </c>
      <c r="U427" s="5">
        <v>2350250.0112109999</v>
      </c>
      <c r="V427" t="s">
        <v>156</v>
      </c>
      <c r="W427">
        <v>0</v>
      </c>
      <c r="X427">
        <v>0</v>
      </c>
      <c r="Y427">
        <v>0</v>
      </c>
      <c r="Z427">
        <v>0</v>
      </c>
      <c r="AA427" t="str">
        <f>+MID(Tabla_Consulta_desde_Reporte_de_Valorización_de_Instrumentos[[#This Row],[CODIGO_SBS]],7,1)</f>
        <v>2</v>
      </c>
      <c r="AB427">
        <f>INDEX('Cálculo Caja'!F:F,MATCH(Tabla_Consulta_desde_Reporte_de_Valorización_de_Instrumentos[[#This Row],[PORTAFOLIO]],'Cálculo Caja'!A:A,0),1)</f>
        <v>3164069580.822104</v>
      </c>
      <c r="AC427" s="17">
        <f>Tabla_Consulta_desde_Reporte_de_Valorización_de_Instrumentos[[#This Row],[VALOR_VECTOR_LOCAL]]/Tabla_Consulta_desde_Reporte_de_Valorización_de_Instrumentos[[#This Row],[Patrimonio]]</f>
        <v>2.4964543480824955E-3</v>
      </c>
      <c r="AD427" s="4">
        <f>(Tabla_Consulta_desde_Reporte_de_Valorización_de_Instrumentos[[#This Row],[VALOR_VECTOR_LOCAL]]/INDEX('Tipo de Cambio'!$D:$D,MATCH("2",'Tipo de Cambio'!$E:$E,0),1))/1000000</f>
        <v>2.3502500112109552</v>
      </c>
      <c r="AE427">
        <f>IF(Tabla_Consulta_desde_Reporte_de_Valorización_de_Instrumentos[[#This Row],[PORTAFOLIO]]="IN-FONDO0",Tabla_Consulta_desde_Reporte_de_Valorización_de_Instrumentos[[#This Row],[Inv MM$]],0)</f>
        <v>0</v>
      </c>
      <c r="AF427" s="26">
        <f>IF(Tabla_Consulta_desde_Reporte_de_Valorización_de_Instrumentos[[#This Row],[PORTAFOLIO]]="IN-FONDO1",Tabla_Consulta_desde_Reporte_de_Valorización_de_Instrumentos[[#This Row],[Inv MM$]],0)</f>
        <v>0</v>
      </c>
      <c r="AG427" s="26">
        <f>IF(Tabla_Consulta_desde_Reporte_de_Valorización_de_Instrumentos[[#This Row],[PORTAFOLIO]]="IN-FONDO2",Tabla_Consulta_desde_Reporte_de_Valorización_de_Instrumentos[[#This Row],[Inv MM$]],0)</f>
        <v>0</v>
      </c>
      <c r="AH427" s="26">
        <f>IF(Tabla_Consulta_desde_Reporte_de_Valorización_de_Instrumentos[[#This Row],[PORTAFOLIO]]="IN-FONDO3",Tabla_Consulta_desde_Reporte_de_Valorización_de_Instrumentos[[#This Row],[Inv MM$]],0)</f>
        <v>2.3502500112109552</v>
      </c>
      <c r="AI42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23.502370013102478</v>
      </c>
      <c r="AJ427" s="26">
        <f>IFERROR(IFERROR(INDEX('BD(MSCI)'!$T:$T,MATCH(Tabla_Consulta_desde_Reporte_de_Valorización_de_Instrumentos[[#This Row],[CODIGO_ISIN]],'BD(MSCI)'!$C:$C,0),1),INDEX('BD(MSCI)'!$T:$T,MATCH(Tabla_Consulta_desde_Reporte_de_Valorización_de_Instrumentos[[#This Row],[CODIGO_SBS]],'BD(MSCI)'!$C:$C,0),1)),0)</f>
        <v>122.2271635</v>
      </c>
      <c r="AK427" s="26">
        <f>Tabla_Consulta_desde_Reporte_de_Valorización_de_Instrumentos[[#This Row],[C02-H]]*Tabla_Consulta_desde_Reporte_de_Valorización_de_Instrumentos[[#This Row],[Inv MM$]]</f>
        <v>287.26439238615825</v>
      </c>
      <c r="AL427" s="26">
        <f>Tabla_Consulta_desde_Reporte_de_Valorización_de_Instrumentos[[#This Row],[C02-H]]*Tabla_Consulta_desde_Reporte_de_Valorización_de_Instrumentos[[#This Row],[Weight]]</f>
        <v>0.30513453377336508</v>
      </c>
      <c r="AM427" s="26" t="str">
        <f>INDEX(Parametria!G:G,MATCH(Tabla_Consulta_desde_Reporte_de_Valorización_de_Instrumentos[[#This Row],[CODIGO_SBS]],Parametria!C:C,0))</f>
        <v>53ALT</v>
      </c>
      <c r="AN427" s="26" t="str">
        <f>INDEX(Parametria!F:F,MATCH(Tabla_Consulta_desde_Reporte_de_Valorización_de_Instrumentos[[#This Row],[CODIGO_SBS]],Parametria!C:C,0))</f>
        <v>ALT</v>
      </c>
      <c r="AO427" s="26" t="str">
        <f>+INDEX(Parametria!J:J,MATCH(Tabla_Consulta_desde_Reporte_de_Valorización_de_Instrumentos[[#This Row],[CODIGO_SBS]],Parametria!C:C,0))</f>
        <v>ALT</v>
      </c>
      <c r="AP427" s="26">
        <f>Tabla_Consulta_desde_Reporte_de_Valorización_de_Instrumentos[[#This Row],[Huella]]/$AU$4</f>
        <v>2.6630780813085429E-2</v>
      </c>
      <c r="AQ427" s="26" t="str">
        <f>IFERROR(INDEX('BD(MSCI)'!W:W,MATCH(Tabla_Consulta_desde_Reporte_de_Valorización_de_Instrumentos[[#This Row],[CODIGO_ISIN]],'BD(MSCI)'!C:C,0)),IF(Tabla_Consulta_desde_Reporte_de_Valorización_de_Instrumentos[[#This Row],[Rank_rt]]="Cash","Cash","Cuestionario Integra"))</f>
        <v>Proxies</v>
      </c>
      <c r="AR427" s="26" t="str">
        <f>IFERROR(INDEX('BD(MSCI)'!X:X,MATCH(Tabla_Consulta_desde_Reporte_de_Valorización_de_Instrumentos[[#This Row],[CODIGO_ISIN]],'BD(MSCI)'!C:C,0)),"Cuestionario Integra")</f>
        <v>Alts</v>
      </c>
      <c r="AU427" s="26"/>
    </row>
    <row r="428" spans="2:47" hidden="1" x14ac:dyDescent="0.25">
      <c r="B428" s="14" t="s">
        <v>6390</v>
      </c>
      <c r="C428" t="s">
        <v>727</v>
      </c>
      <c r="D428" t="s">
        <v>11</v>
      </c>
      <c r="E428" t="s">
        <v>728</v>
      </c>
      <c r="F428" t="s">
        <v>778</v>
      </c>
      <c r="G428" t="str">
        <f>INDEX(Parametria!H:H,MATCH(Tabla_Consulta_desde_Reporte_de_Valorización_de_Instrumentos[[#This Row],[CODIGO_SBS]],Parametria!C:C,0),1)</f>
        <v>Coller</v>
      </c>
      <c r="H428" t="s">
        <v>779</v>
      </c>
      <c r="I428" t="s">
        <v>156</v>
      </c>
      <c r="J428" t="s">
        <v>780</v>
      </c>
      <c r="K428" t="s">
        <v>50</v>
      </c>
      <c r="L428">
        <v>1</v>
      </c>
      <c r="M428" s="5">
        <v>55584419.563385203</v>
      </c>
      <c r="N428">
        <v>16538552.0436149</v>
      </c>
      <c r="O428">
        <v>15.5384829</v>
      </c>
      <c r="P428" s="15">
        <v>46752</v>
      </c>
      <c r="Q428">
        <v>730</v>
      </c>
      <c r="R428">
        <v>3.3609</v>
      </c>
      <c r="S428" t="s">
        <v>428</v>
      </c>
      <c r="T428">
        <v>55612535.101859301</v>
      </c>
      <c r="U428" s="5">
        <v>16538552.0436149</v>
      </c>
      <c r="V428" t="s">
        <v>156</v>
      </c>
      <c r="W428">
        <v>0</v>
      </c>
      <c r="X428">
        <v>0</v>
      </c>
      <c r="Y428">
        <v>0</v>
      </c>
      <c r="Z428">
        <v>0</v>
      </c>
      <c r="AA428" t="str">
        <f>+MID(Tabla_Consulta_desde_Reporte_de_Valorización_de_Instrumentos[[#This Row],[CODIGO_SBS]],7,1)</f>
        <v>2</v>
      </c>
      <c r="AB428">
        <f>INDEX('Cálculo Caja'!F:F,MATCH(Tabla_Consulta_desde_Reporte_de_Valorización_de_Instrumentos[[#This Row],[PORTAFOLIO]],'Cálculo Caja'!A:A,0),1)</f>
        <v>3164069580.822104</v>
      </c>
      <c r="AC428" s="17">
        <f>Tabla_Consulta_desde_Reporte_de_Valorización_de_Instrumentos[[#This Row],[VALOR_VECTOR_LOCAL]]/Tabla_Consulta_desde_Reporte_de_Valorización_de_Instrumentos[[#This Row],[Patrimonio]]</f>
        <v>1.7567382177778465E-2</v>
      </c>
      <c r="AD428" s="4">
        <f>(Tabla_Consulta_desde_Reporte_de_Valorización_de_Instrumentos[[#This Row],[VALOR_VECTOR_LOCAL]]/INDEX('Tipo de Cambio'!$D:$D,MATCH("2",'Tipo de Cambio'!$E:$E,0),1))/1000000</f>
        <v>16.538552043614867</v>
      </c>
      <c r="AE428">
        <f>IF(Tabla_Consulta_desde_Reporte_de_Valorización_de_Instrumentos[[#This Row],[PORTAFOLIO]]="IN-FONDO0",Tabla_Consulta_desde_Reporte_de_Valorización_de_Instrumentos[[#This Row],[Inv MM$]],0)</f>
        <v>0</v>
      </c>
      <c r="AF428" s="26">
        <f>IF(Tabla_Consulta_desde_Reporte_de_Valorización_de_Instrumentos[[#This Row],[PORTAFOLIO]]="IN-FONDO1",Tabla_Consulta_desde_Reporte_de_Valorización_de_Instrumentos[[#This Row],[Inv MM$]],0)</f>
        <v>0</v>
      </c>
      <c r="AG428" s="26">
        <f>IF(Tabla_Consulta_desde_Reporte_de_Valorización_de_Instrumentos[[#This Row],[PORTAFOLIO]]="IN-FONDO2",Tabla_Consulta_desde_Reporte_de_Valorización_de_Instrumentos[[#This Row],[Inv MM$]],0)</f>
        <v>0</v>
      </c>
      <c r="AH428" s="26">
        <f>IF(Tabla_Consulta_desde_Reporte_de_Valorización_de_Instrumentos[[#This Row],[PORTAFOLIO]]="IN-FONDO3",Tabla_Consulta_desde_Reporte_de_Valorización_de_Instrumentos[[#This Row],[Inv MM$]],0)</f>
        <v>16.538552043614867</v>
      </c>
      <c r="AI42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41.346381013743851</v>
      </c>
      <c r="AJ428" s="26">
        <f>IFERROR(IFERROR(INDEX('BD(MSCI)'!$T:$T,MATCH(Tabla_Consulta_desde_Reporte_de_Valorización_de_Instrumentos[[#This Row],[CODIGO_ISIN]],'BD(MSCI)'!$C:$C,0),1),INDEX('BD(MSCI)'!$T:$T,MATCH(Tabla_Consulta_desde_Reporte_de_Valorización_de_Instrumentos[[#This Row],[CODIGO_SBS]],'BD(MSCI)'!$C:$C,0),1)),0)</f>
        <v>39.508152340000002</v>
      </c>
      <c r="AK428" s="26">
        <f>Tabla_Consulta_desde_Reporte_de_Valorización_de_Instrumentos[[#This Row],[C02-H]]*Tabla_Consulta_desde_Reporte_de_Valorización_de_Instrumentos[[#This Row],[Inv MM$]]</f>
        <v>653.40763362215455</v>
      </c>
      <c r="AL428" s="26">
        <f>Tabla_Consulta_desde_Reporte_de_Valorización_de_Instrumentos[[#This Row],[C02-H]]*Tabla_Consulta_desde_Reporte_de_Valorización_de_Instrumentos[[#This Row],[Weight]]</f>
        <v>0.69405481129467261</v>
      </c>
      <c r="AM428" s="26" t="str">
        <f>INDEX(Parametria!G:G,MATCH(Tabla_Consulta_desde_Reporte_de_Valorización_de_Instrumentos[[#This Row],[CODIGO_SBS]],Parametria!C:C,0))</f>
        <v>53ALT</v>
      </c>
      <c r="AN428" s="26" t="str">
        <f>INDEX(Parametria!F:F,MATCH(Tabla_Consulta_desde_Reporte_de_Valorización_de_Instrumentos[[#This Row],[CODIGO_SBS]],Parametria!C:C,0))</f>
        <v>ALT</v>
      </c>
      <c r="AO428" s="26" t="str">
        <f>+INDEX(Parametria!J:J,MATCH(Tabla_Consulta_desde_Reporte_de_Valorización_de_Instrumentos[[#This Row],[CODIGO_SBS]],Parametria!C:C,0))</f>
        <v>ALT</v>
      </c>
      <c r="AP428" s="26">
        <f>Tabla_Consulta_desde_Reporte_de_Valorización_de_Instrumentos[[#This Row],[Huella]]/$AU$4</f>
        <v>6.0574007547713311E-2</v>
      </c>
      <c r="AQ428" s="26" t="str">
        <f>IFERROR(INDEX('BD(MSCI)'!W:W,MATCH(Tabla_Consulta_desde_Reporte_de_Valorización_de_Instrumentos[[#This Row],[CODIGO_ISIN]],'BD(MSCI)'!C:C,0)),IF(Tabla_Consulta_desde_Reporte_de_Valorización_de_Instrumentos[[#This Row],[Rank_rt]]="Cash","Cash","Cuestionario Integra"))</f>
        <v>Proxies</v>
      </c>
      <c r="AR428" s="26" t="str">
        <f>IFERROR(INDEX('BD(MSCI)'!X:X,MATCH(Tabla_Consulta_desde_Reporte_de_Valorización_de_Instrumentos[[#This Row],[CODIGO_ISIN]],'BD(MSCI)'!C:C,0)),"Cuestionario Integra")</f>
        <v>Alts</v>
      </c>
      <c r="AU428" s="26"/>
    </row>
    <row r="429" spans="2:47" hidden="1" x14ac:dyDescent="0.25">
      <c r="B429" s="14" t="s">
        <v>6390</v>
      </c>
      <c r="C429" t="s">
        <v>727</v>
      </c>
      <c r="D429" t="s">
        <v>10</v>
      </c>
      <c r="E429" t="s">
        <v>728</v>
      </c>
      <c r="F429" t="s">
        <v>778</v>
      </c>
      <c r="G429" t="str">
        <f>INDEX(Parametria!H:H,MATCH(Tabla_Consulta_desde_Reporte_de_Valorización_de_Instrumentos[[#This Row],[CODIGO_SBS]],Parametria!C:C,0),1)</f>
        <v>Coller</v>
      </c>
      <c r="H429" t="s">
        <v>779</v>
      </c>
      <c r="I429" t="s">
        <v>156</v>
      </c>
      <c r="J429" t="s">
        <v>780</v>
      </c>
      <c r="K429" t="s">
        <v>50</v>
      </c>
      <c r="L429">
        <v>1</v>
      </c>
      <c r="M429" s="5">
        <v>83376632.385706499</v>
      </c>
      <c r="N429">
        <v>24807828.970128998</v>
      </c>
      <c r="O429">
        <v>23.3077252</v>
      </c>
      <c r="P429" s="15">
        <v>46752</v>
      </c>
      <c r="Q429">
        <v>730</v>
      </c>
      <c r="R429">
        <v>3.3609</v>
      </c>
      <c r="S429" t="s">
        <v>428</v>
      </c>
      <c r="T429">
        <v>83418805.694955707</v>
      </c>
      <c r="U429" s="5">
        <v>24807828.970128998</v>
      </c>
      <c r="V429" t="s">
        <v>156</v>
      </c>
      <c r="W429">
        <v>0</v>
      </c>
      <c r="X429">
        <v>0</v>
      </c>
      <c r="Y429">
        <v>0</v>
      </c>
      <c r="Z429">
        <v>0</v>
      </c>
      <c r="AA429" t="str">
        <f>+MID(Tabla_Consulta_desde_Reporte_de_Valorización_de_Instrumentos[[#This Row],[CODIGO_SBS]],7,1)</f>
        <v>2</v>
      </c>
      <c r="AB429">
        <f>INDEX('Cálculo Caja'!F:F,MATCH(Tabla_Consulta_desde_Reporte_de_Valorización_de_Instrumentos[[#This Row],[PORTAFOLIO]],'Cálculo Caja'!A:A,0),1)</f>
        <v>26256910350.436607</v>
      </c>
      <c r="AC429" s="17">
        <f>Tabla_Consulta_desde_Reporte_de_Valorización_de_Instrumentos[[#This Row],[VALOR_VECTOR_LOCAL]]/Tabla_Consulta_desde_Reporte_de_Valorización_de_Instrumentos[[#This Row],[Patrimonio]]</f>
        <v>3.1754167292695232E-3</v>
      </c>
      <c r="AD429" s="4">
        <f>(Tabla_Consulta_desde_Reporte_de_Valorización_de_Instrumentos[[#This Row],[VALOR_VECTOR_LOCAL]]/INDEX('Tipo de Cambio'!$D:$D,MATCH("2",'Tipo de Cambio'!$E:$E,0),1))/1000000</f>
        <v>24.807828970128984</v>
      </c>
      <c r="AE429">
        <f>IF(Tabla_Consulta_desde_Reporte_de_Valorización_de_Instrumentos[[#This Row],[PORTAFOLIO]]="IN-FONDO0",Tabla_Consulta_desde_Reporte_de_Valorización_de_Instrumentos[[#This Row],[Inv MM$]],0)</f>
        <v>0</v>
      </c>
      <c r="AF429" s="26">
        <f>IF(Tabla_Consulta_desde_Reporte_de_Valorización_de_Instrumentos[[#This Row],[PORTAFOLIO]]="IN-FONDO1",Tabla_Consulta_desde_Reporte_de_Valorización_de_Instrumentos[[#This Row],[Inv MM$]],0)</f>
        <v>0</v>
      </c>
      <c r="AG429" s="26">
        <f>IF(Tabla_Consulta_desde_Reporte_de_Valorización_de_Instrumentos[[#This Row],[PORTAFOLIO]]="IN-FONDO2",Tabla_Consulta_desde_Reporte_de_Valorización_de_Instrumentos[[#This Row],[Inv MM$]],0)</f>
        <v>24.807828970128984</v>
      </c>
      <c r="AH429" s="26">
        <f>IF(Tabla_Consulta_desde_Reporte_de_Valorización_de_Instrumentos[[#This Row],[PORTAFOLIO]]="IN-FONDO3",Tabla_Consulta_desde_Reporte_de_Valorización_de_Instrumentos[[#This Row],[Inv MM$]],0)</f>
        <v>0</v>
      </c>
      <c r="AI42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41.346381013743851</v>
      </c>
      <c r="AJ429" s="26">
        <f>IFERROR(IFERROR(INDEX('BD(MSCI)'!$T:$T,MATCH(Tabla_Consulta_desde_Reporte_de_Valorización_de_Instrumentos[[#This Row],[CODIGO_ISIN]],'BD(MSCI)'!$C:$C,0),1),INDEX('BD(MSCI)'!$T:$T,MATCH(Tabla_Consulta_desde_Reporte_de_Valorización_de_Instrumentos[[#This Row],[CODIGO_SBS]],'BD(MSCI)'!$C:$C,0),1)),0)</f>
        <v>39.508152340000002</v>
      </c>
      <c r="AK429" s="26">
        <f>Tabla_Consulta_desde_Reporte_de_Valorización_de_Instrumentos[[#This Row],[C02-H]]*Tabla_Consulta_desde_Reporte_de_Valorización_de_Instrumentos[[#This Row],[Inv MM$]]</f>
        <v>980.11148617652123</v>
      </c>
      <c r="AL429" s="26">
        <f>Tabla_Consulta_desde_Reporte_de_Valorización_de_Instrumentos[[#This Row],[C02-H]]*Tabla_Consulta_desde_Reporte_de_Valorización_de_Instrumentos[[#This Row],[Weight]]</f>
        <v>0.12545484788296488</v>
      </c>
      <c r="AM429" s="26" t="str">
        <f>INDEX(Parametria!G:G,MATCH(Tabla_Consulta_desde_Reporte_de_Valorización_de_Instrumentos[[#This Row],[CODIGO_SBS]],Parametria!C:C,0))</f>
        <v>53ALT</v>
      </c>
      <c r="AN429" s="26" t="str">
        <f>INDEX(Parametria!F:F,MATCH(Tabla_Consulta_desde_Reporte_de_Valorización_de_Instrumentos[[#This Row],[CODIGO_SBS]],Parametria!C:C,0))</f>
        <v>ALT</v>
      </c>
      <c r="AO429" s="26" t="str">
        <f>+INDEX(Parametria!J:J,MATCH(Tabla_Consulta_desde_Reporte_de_Valorización_de_Instrumentos[[#This Row],[CODIGO_SBS]],Parametria!C:C,0))</f>
        <v>ALT</v>
      </c>
      <c r="AP429" s="26">
        <f>Tabla_Consulta_desde_Reporte_de_Valorización_de_Instrumentos[[#This Row],[Huella]]/$AU$4</f>
        <v>9.0861014635143553E-2</v>
      </c>
      <c r="AQ429" s="26" t="str">
        <f>IFERROR(INDEX('BD(MSCI)'!W:W,MATCH(Tabla_Consulta_desde_Reporte_de_Valorización_de_Instrumentos[[#This Row],[CODIGO_ISIN]],'BD(MSCI)'!C:C,0)),IF(Tabla_Consulta_desde_Reporte_de_Valorización_de_Instrumentos[[#This Row],[Rank_rt]]="Cash","Cash","Cuestionario Integra"))</f>
        <v>Proxies</v>
      </c>
      <c r="AR429" s="26" t="str">
        <f>IFERROR(INDEX('BD(MSCI)'!X:X,MATCH(Tabla_Consulta_desde_Reporte_de_Valorización_de_Instrumentos[[#This Row],[CODIGO_ISIN]],'BD(MSCI)'!C:C,0)),"Cuestionario Integra")</f>
        <v>Alts</v>
      </c>
      <c r="AU429" s="26"/>
    </row>
    <row r="430" spans="2:47" hidden="1" x14ac:dyDescent="0.25">
      <c r="B430" s="14" t="s">
        <v>6390</v>
      </c>
      <c r="C430" t="s">
        <v>727</v>
      </c>
      <c r="D430" t="s">
        <v>10</v>
      </c>
      <c r="E430" t="s">
        <v>728</v>
      </c>
      <c r="F430" t="s">
        <v>781</v>
      </c>
      <c r="G430" t="str">
        <f>INDEX(Parametria!H:H,MATCH(Tabla_Consulta_desde_Reporte_de_Valorización_de_Instrumentos[[#This Row],[CODIGO_SBS]],Parametria!C:C,0),1)</f>
        <v xml:space="preserve">Apax IX </v>
      </c>
      <c r="H430" t="s">
        <v>781</v>
      </c>
      <c r="I430" t="s">
        <v>156</v>
      </c>
      <c r="J430" t="s">
        <v>782</v>
      </c>
      <c r="K430" t="s">
        <v>50</v>
      </c>
      <c r="L430">
        <v>1</v>
      </c>
      <c r="M430" s="5">
        <v>133268181.6336017</v>
      </c>
      <c r="N430">
        <v>39652528.082835503</v>
      </c>
      <c r="O430">
        <v>23.197207899999999</v>
      </c>
      <c r="P430" s="15">
        <v>46375</v>
      </c>
      <c r="Q430">
        <v>353</v>
      </c>
      <c r="R430">
        <v>3.3609</v>
      </c>
      <c r="S430" t="s">
        <v>428</v>
      </c>
      <c r="T430">
        <v>133335590.9313425</v>
      </c>
      <c r="U430" s="5">
        <v>39652528.082835503</v>
      </c>
      <c r="V430" t="s">
        <v>156</v>
      </c>
      <c r="W430">
        <v>0</v>
      </c>
      <c r="X430">
        <v>0</v>
      </c>
      <c r="Y430">
        <v>0</v>
      </c>
      <c r="Z430">
        <v>0</v>
      </c>
      <c r="AA430" t="str">
        <f>+MID(Tabla_Consulta_desde_Reporte_de_Valorización_de_Instrumentos[[#This Row],[CODIGO_SBS]],7,1)</f>
        <v>2</v>
      </c>
      <c r="AB430">
        <f>INDEX('Cálculo Caja'!F:F,MATCH(Tabla_Consulta_desde_Reporte_de_Valorización_de_Instrumentos[[#This Row],[PORTAFOLIO]],'Cálculo Caja'!A:A,0),1)</f>
        <v>26256910350.436607</v>
      </c>
      <c r="AC430" s="17">
        <f>Tabla_Consulta_desde_Reporte_de_Valorización_de_Instrumentos[[#This Row],[VALOR_VECTOR_LOCAL]]/Tabla_Consulta_desde_Reporte_de_Valorización_de_Instrumentos[[#This Row],[Patrimonio]]</f>
        <v>5.0755469647778143E-3</v>
      </c>
      <c r="AD430" s="4">
        <f>(Tabla_Consulta_desde_Reporte_de_Valorización_de_Instrumentos[[#This Row],[VALOR_VECTOR_LOCAL]]/INDEX('Tipo de Cambio'!$D:$D,MATCH("2",'Tipo de Cambio'!$E:$E,0),1))/1000000</f>
        <v>39.65252808283546</v>
      </c>
      <c r="AE430">
        <f>IF(Tabla_Consulta_desde_Reporte_de_Valorización_de_Instrumentos[[#This Row],[PORTAFOLIO]]="IN-FONDO0",Tabla_Consulta_desde_Reporte_de_Valorización_de_Instrumentos[[#This Row],[Inv MM$]],0)</f>
        <v>0</v>
      </c>
      <c r="AF430" s="26">
        <f>IF(Tabla_Consulta_desde_Reporte_de_Valorización_de_Instrumentos[[#This Row],[PORTAFOLIO]]="IN-FONDO1",Tabla_Consulta_desde_Reporte_de_Valorización_de_Instrumentos[[#This Row],[Inv MM$]],0)</f>
        <v>0</v>
      </c>
      <c r="AG430" s="26">
        <f>IF(Tabla_Consulta_desde_Reporte_de_Valorización_de_Instrumentos[[#This Row],[PORTAFOLIO]]="IN-FONDO2",Tabla_Consulta_desde_Reporte_de_Valorización_de_Instrumentos[[#This Row],[Inv MM$]],0)</f>
        <v>39.65252808283546</v>
      </c>
      <c r="AH430" s="26">
        <f>IF(Tabla_Consulta_desde_Reporte_de_Valorización_de_Instrumentos[[#This Row],[PORTAFOLIO]]="IN-FONDO3",Tabla_Consulta_desde_Reporte_de_Valorización_de_Instrumentos[[#This Row],[Inv MM$]],0)</f>
        <v>0</v>
      </c>
      <c r="AI43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39.65252808283546</v>
      </c>
      <c r="AJ430" s="26">
        <f>IFERROR(IFERROR(INDEX('BD(MSCI)'!$T:$T,MATCH(Tabla_Consulta_desde_Reporte_de_Valorización_de_Instrumentos[[#This Row],[CODIGO_ISIN]],'BD(MSCI)'!$C:$C,0),1),INDEX('BD(MSCI)'!$T:$T,MATCH(Tabla_Consulta_desde_Reporte_de_Valorización_de_Instrumentos[[#This Row],[CODIGO_SBS]],'BD(MSCI)'!$C:$C,0),1)),0)</f>
        <v>39.508152340000002</v>
      </c>
      <c r="AK430" s="26">
        <f>Tabla_Consulta_desde_Reporte_de_Valorización_de_Instrumentos[[#This Row],[C02-H]]*Tabla_Consulta_desde_Reporte_de_Valorización_de_Instrumentos[[#This Row],[Inv MM$]]</f>
        <v>1566.5981201627915</v>
      </c>
      <c r="AL430" s="26">
        <f>Tabla_Consulta_desde_Reporte_de_Valorización_de_Instrumentos[[#This Row],[C02-H]]*Tabla_Consulta_desde_Reporte_de_Valorización_de_Instrumentos[[#This Row],[Weight]]</f>
        <v>0.2005254826932665</v>
      </c>
      <c r="AM430" s="26" t="str">
        <f>INDEX(Parametria!G:G,MATCH(Tabla_Consulta_desde_Reporte_de_Valorización_de_Instrumentos[[#This Row],[CODIGO_SBS]],Parametria!C:C,0))</f>
        <v>53ALT</v>
      </c>
      <c r="AN430" s="26" t="str">
        <f>INDEX(Parametria!F:F,MATCH(Tabla_Consulta_desde_Reporte_de_Valorización_de_Instrumentos[[#This Row],[CODIGO_SBS]],Parametria!C:C,0))</f>
        <v>ALT</v>
      </c>
      <c r="AO430" s="26" t="str">
        <f>+INDEX(Parametria!J:J,MATCH(Tabla_Consulta_desde_Reporte_de_Valorización_de_Instrumentos[[#This Row],[CODIGO_SBS]],Parametria!C:C,0))</f>
        <v>ALT</v>
      </c>
      <c r="AP430" s="26">
        <f>Tabla_Consulta_desde_Reporte_de_Valorización_de_Instrumentos[[#This Row],[Huella]]/$AU$4</f>
        <v>0.1452311259801555</v>
      </c>
      <c r="AQ430" s="26" t="str">
        <f>IFERROR(INDEX('BD(MSCI)'!W:W,MATCH(Tabla_Consulta_desde_Reporte_de_Valorización_de_Instrumentos[[#This Row],[CODIGO_ISIN]],'BD(MSCI)'!C:C,0)),IF(Tabla_Consulta_desde_Reporte_de_Valorización_de_Instrumentos[[#This Row],[Rank_rt]]="Cash","Cash","Cuestionario Integra"))</f>
        <v>Proxies</v>
      </c>
      <c r="AR430" s="26" t="str">
        <f>IFERROR(INDEX('BD(MSCI)'!X:X,MATCH(Tabla_Consulta_desde_Reporte_de_Valorización_de_Instrumentos[[#This Row],[CODIGO_ISIN]],'BD(MSCI)'!C:C,0)),"Cuestionario Integra")</f>
        <v>Alts</v>
      </c>
      <c r="AU430" s="26"/>
    </row>
    <row r="431" spans="2:47" hidden="1" x14ac:dyDescent="0.25">
      <c r="B431" s="14" t="s">
        <v>6390</v>
      </c>
      <c r="C431" t="s">
        <v>727</v>
      </c>
      <c r="D431" t="s">
        <v>10</v>
      </c>
      <c r="E431" t="s">
        <v>728</v>
      </c>
      <c r="F431" t="s">
        <v>783</v>
      </c>
      <c r="G431" t="str">
        <f>INDEX(Parametria!H:H,MATCH(Tabla_Consulta_desde_Reporte_de_Valorización_de_Instrumentos[[#This Row],[CODIGO_SBS]],Parametria!C:C,0),1)</f>
        <v>KKR</v>
      </c>
      <c r="H431" t="s">
        <v>783</v>
      </c>
      <c r="I431" t="s">
        <v>156</v>
      </c>
      <c r="J431" t="s">
        <v>784</v>
      </c>
      <c r="K431" t="s">
        <v>50</v>
      </c>
      <c r="L431">
        <v>1</v>
      </c>
      <c r="M431" s="5">
        <v>319805478.5766291</v>
      </c>
      <c r="N431">
        <v>95154714.087485194</v>
      </c>
      <c r="O431">
        <v>5.4156978999999996</v>
      </c>
      <c r="P431" s="15">
        <v>47057</v>
      </c>
      <c r="Q431">
        <v>1035</v>
      </c>
      <c r="R431">
        <v>3.3609</v>
      </c>
      <c r="S431" t="s">
        <v>428</v>
      </c>
      <c r="T431">
        <v>319967241.59057778</v>
      </c>
      <c r="U431" s="5">
        <v>95154714.087485194</v>
      </c>
      <c r="V431" t="s">
        <v>156</v>
      </c>
      <c r="W431">
        <v>0</v>
      </c>
      <c r="X431">
        <v>0</v>
      </c>
      <c r="Y431">
        <v>0</v>
      </c>
      <c r="Z431">
        <v>0</v>
      </c>
      <c r="AA431" t="str">
        <f>+MID(Tabla_Consulta_desde_Reporte_de_Valorización_de_Instrumentos[[#This Row],[CODIGO_SBS]],7,1)</f>
        <v>2</v>
      </c>
      <c r="AB431">
        <f>INDEX('Cálculo Caja'!F:F,MATCH(Tabla_Consulta_desde_Reporte_de_Valorización_de_Instrumentos[[#This Row],[PORTAFOLIO]],'Cálculo Caja'!A:A,0),1)</f>
        <v>26256910350.436607</v>
      </c>
      <c r="AC431" s="17">
        <f>Tabla_Consulta_desde_Reporte_de_Valorización_de_Instrumentos[[#This Row],[VALOR_VECTOR_LOCAL]]/Tabla_Consulta_desde_Reporte_de_Valorización_de_Instrumentos[[#This Row],[Patrimonio]]</f>
        <v>1.2179859484926461E-2</v>
      </c>
      <c r="AD431" s="4">
        <f>(Tabla_Consulta_desde_Reporte_de_Valorización_de_Instrumentos[[#This Row],[VALOR_VECTOR_LOCAL]]/INDEX('Tipo de Cambio'!$D:$D,MATCH("2",'Tipo de Cambio'!$E:$E,0),1))/1000000</f>
        <v>95.154714087485218</v>
      </c>
      <c r="AE431">
        <f>IF(Tabla_Consulta_desde_Reporte_de_Valorización_de_Instrumentos[[#This Row],[PORTAFOLIO]]="IN-FONDO0",Tabla_Consulta_desde_Reporte_de_Valorización_de_Instrumentos[[#This Row],[Inv MM$]],0)</f>
        <v>0</v>
      </c>
      <c r="AF431" s="26">
        <f>IF(Tabla_Consulta_desde_Reporte_de_Valorización_de_Instrumentos[[#This Row],[PORTAFOLIO]]="IN-FONDO1",Tabla_Consulta_desde_Reporte_de_Valorización_de_Instrumentos[[#This Row],[Inv MM$]],0)</f>
        <v>0</v>
      </c>
      <c r="AG431" s="26">
        <f>IF(Tabla_Consulta_desde_Reporte_de_Valorización_de_Instrumentos[[#This Row],[PORTAFOLIO]]="IN-FONDO2",Tabla_Consulta_desde_Reporte_de_Valorización_de_Instrumentos[[#This Row],[Inv MM$]],0)</f>
        <v>95.154714087485218</v>
      </c>
      <c r="AH431" s="26">
        <f>IF(Tabla_Consulta_desde_Reporte_de_Valorización_de_Instrumentos[[#This Row],[PORTAFOLIO]]="IN-FONDO3",Tabla_Consulta_desde_Reporte_de_Valorización_de_Instrumentos[[#This Row],[Inv MM$]],0)</f>
        <v>0</v>
      </c>
      <c r="AI43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95.154714087485218</v>
      </c>
      <c r="AJ431" s="26">
        <f>IFERROR(IFERROR(INDEX('BD(MSCI)'!$T:$T,MATCH(Tabla_Consulta_desde_Reporte_de_Valorización_de_Instrumentos[[#This Row],[CODIGO_ISIN]],'BD(MSCI)'!$C:$C,0),1),INDEX('BD(MSCI)'!$T:$T,MATCH(Tabla_Consulta_desde_Reporte_de_Valorización_de_Instrumentos[[#This Row],[CODIGO_SBS]],'BD(MSCI)'!$C:$C,0),1)),0)</f>
        <v>22.706096800000001</v>
      </c>
      <c r="AK431" s="26">
        <f>Tabla_Consulta_desde_Reporte_de_Valorización_de_Instrumentos[[#This Row],[C02-H]]*Tabla_Consulta_desde_Reporte_de_Valorización_de_Instrumentos[[#This Row],[Inv MM$]]</f>
        <v>2160.5921490467631</v>
      </c>
      <c r="AL431" s="26">
        <f>Tabla_Consulta_desde_Reporte_de_Valorización_de_Instrumentos[[#This Row],[C02-H]]*Tabla_Consulta_desde_Reporte_de_Valorización_de_Instrumentos[[#This Row],[Weight]]</f>
        <v>0.27655706847513839</v>
      </c>
      <c r="AM431" s="26" t="str">
        <f>INDEX(Parametria!G:G,MATCH(Tabla_Consulta_desde_Reporte_de_Valorización_de_Instrumentos[[#This Row],[CODIGO_SBS]],Parametria!C:C,0))</f>
        <v>53ALT</v>
      </c>
      <c r="AN431" s="26" t="str">
        <f>INDEX(Parametria!F:F,MATCH(Tabla_Consulta_desde_Reporte_de_Valorización_de_Instrumentos[[#This Row],[CODIGO_SBS]],Parametria!C:C,0))</f>
        <v>ALT</v>
      </c>
      <c r="AO431" s="26" t="str">
        <f>+INDEX(Parametria!J:J,MATCH(Tabla_Consulta_desde_Reporte_de_Valorización_de_Instrumentos[[#This Row],[CODIGO_SBS]],Parametria!C:C,0))</f>
        <v>ALT</v>
      </c>
      <c r="AP431" s="26">
        <f>Tabla_Consulta_desde_Reporte_de_Valorización_de_Instrumentos[[#This Row],[Huella]]/$AU$4</f>
        <v>0.20029720867872525</v>
      </c>
      <c r="AQ431" s="26" t="str">
        <f>IFERROR(INDEX('BD(MSCI)'!W:W,MATCH(Tabla_Consulta_desde_Reporte_de_Valorización_de_Instrumentos[[#This Row],[CODIGO_ISIN]],'BD(MSCI)'!C:C,0)),IF(Tabla_Consulta_desde_Reporte_de_Valorización_de_Instrumentos[[#This Row],[Rank_rt]]="Cash","Cash","Cuestionario Integra"))</f>
        <v>Proxies</v>
      </c>
      <c r="AR431" s="26" t="str">
        <f>IFERROR(INDEX('BD(MSCI)'!X:X,MATCH(Tabla_Consulta_desde_Reporte_de_Valorización_de_Instrumentos[[#This Row],[CODIGO_ISIN]],'BD(MSCI)'!C:C,0)),"Cuestionario Integra")</f>
        <v>Alts</v>
      </c>
      <c r="AU431" s="26"/>
    </row>
    <row r="432" spans="2:47" hidden="1" x14ac:dyDescent="0.25">
      <c r="B432" s="14" t="s">
        <v>6390</v>
      </c>
      <c r="C432" t="s">
        <v>727</v>
      </c>
      <c r="D432" t="s">
        <v>10</v>
      </c>
      <c r="E432" t="s">
        <v>728</v>
      </c>
      <c r="F432" t="s">
        <v>785</v>
      </c>
      <c r="G432" t="str">
        <f>INDEX(Parametria!H:H,MATCH(Tabla_Consulta_desde_Reporte_de_Valorización_de_Instrumentos[[#This Row],[CODIGO_SBS]],Parametria!C:C,0),1)</f>
        <v>HarbourVest Co-Investment Fund IV</v>
      </c>
      <c r="H432" t="s">
        <v>785</v>
      </c>
      <c r="I432" t="s">
        <v>156</v>
      </c>
      <c r="J432" t="s">
        <v>786</v>
      </c>
      <c r="K432" t="s">
        <v>50</v>
      </c>
      <c r="L432">
        <v>1</v>
      </c>
      <c r="M432" s="5">
        <v>58502709.050992899</v>
      </c>
      <c r="N432">
        <v>17406857.9996408</v>
      </c>
      <c r="O432">
        <v>19.903154099999998</v>
      </c>
      <c r="P432" s="15">
        <v>46966</v>
      </c>
      <c r="Q432">
        <v>944</v>
      </c>
      <c r="R432">
        <v>3.3609</v>
      </c>
      <c r="S432" t="s">
        <v>428</v>
      </c>
      <c r="T432">
        <v>58532300.709592201</v>
      </c>
      <c r="U432" s="5">
        <v>17406857.9996408</v>
      </c>
      <c r="V432" t="s">
        <v>156</v>
      </c>
      <c r="W432">
        <v>0</v>
      </c>
      <c r="X432">
        <v>0</v>
      </c>
      <c r="Y432">
        <v>0</v>
      </c>
      <c r="Z432">
        <v>0</v>
      </c>
      <c r="AA432" t="str">
        <f>+MID(Tabla_Consulta_desde_Reporte_de_Valorización_de_Instrumentos[[#This Row],[CODIGO_SBS]],7,1)</f>
        <v>2</v>
      </c>
      <c r="AB432">
        <f>INDEX('Cálculo Caja'!F:F,MATCH(Tabla_Consulta_desde_Reporte_de_Valorización_de_Instrumentos[[#This Row],[PORTAFOLIO]],'Cálculo Caja'!A:A,0),1)</f>
        <v>26256910350.436607</v>
      </c>
      <c r="AC432" s="17">
        <f>Tabla_Consulta_desde_Reporte_de_Valorización_de_Instrumentos[[#This Row],[VALOR_VECTOR_LOCAL]]/Tabla_Consulta_desde_Reporte_de_Valorización_de_Instrumentos[[#This Row],[Patrimonio]]</f>
        <v>2.2280880831060954E-3</v>
      </c>
      <c r="AD432" s="4">
        <f>(Tabla_Consulta_desde_Reporte_de_Valorización_de_Instrumentos[[#This Row],[VALOR_VECTOR_LOCAL]]/INDEX('Tipo de Cambio'!$D:$D,MATCH("2",'Tipo de Cambio'!$E:$E,0),1))/1000000</f>
        <v>17.406857999640842</v>
      </c>
      <c r="AE432">
        <f>IF(Tabla_Consulta_desde_Reporte_de_Valorización_de_Instrumentos[[#This Row],[PORTAFOLIO]]="IN-FONDO0",Tabla_Consulta_desde_Reporte_de_Valorización_de_Instrumentos[[#This Row],[Inv MM$]],0)</f>
        <v>0</v>
      </c>
      <c r="AF432" s="26">
        <f>IF(Tabla_Consulta_desde_Reporte_de_Valorización_de_Instrumentos[[#This Row],[PORTAFOLIO]]="IN-FONDO1",Tabla_Consulta_desde_Reporte_de_Valorización_de_Instrumentos[[#This Row],[Inv MM$]],0)</f>
        <v>0</v>
      </c>
      <c r="AG432" s="26">
        <f>IF(Tabla_Consulta_desde_Reporte_de_Valorización_de_Instrumentos[[#This Row],[PORTAFOLIO]]="IN-FONDO2",Tabla_Consulta_desde_Reporte_de_Valorización_de_Instrumentos[[#This Row],[Inv MM$]],0)</f>
        <v>17.406857999640842</v>
      </c>
      <c r="AH432" s="26">
        <f>IF(Tabla_Consulta_desde_Reporte_de_Valorización_de_Instrumentos[[#This Row],[PORTAFOLIO]]="IN-FONDO3",Tabla_Consulta_desde_Reporte_de_Valorización_de_Instrumentos[[#This Row],[Inv MM$]],0)</f>
        <v>0</v>
      </c>
      <c r="AI43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29.011427025836653</v>
      </c>
      <c r="AJ432" s="26">
        <f>IFERROR(IFERROR(INDEX('BD(MSCI)'!$T:$T,MATCH(Tabla_Consulta_desde_Reporte_de_Valorización_de_Instrumentos[[#This Row],[CODIGO_ISIN]],'BD(MSCI)'!$C:$C,0),1),INDEX('BD(MSCI)'!$T:$T,MATCH(Tabla_Consulta_desde_Reporte_de_Valorización_de_Instrumentos[[#This Row],[CODIGO_SBS]],'BD(MSCI)'!$C:$C,0),1)),0)</f>
        <v>22.706096800000001</v>
      </c>
      <c r="AK432" s="26">
        <f>Tabla_Consulta_desde_Reporte_de_Valorización_de_Instrumentos[[#This Row],[C02-H]]*Tabla_Consulta_desde_Reporte_de_Valorización_de_Instrumentos[[#This Row],[Inv MM$]]</f>
        <v>395.24180272369932</v>
      </c>
      <c r="AL432" s="26">
        <f>Tabla_Consulta_desde_Reporte_de_Valorización_de_Instrumentos[[#This Row],[C02-H]]*Tabla_Consulta_desde_Reporte_de_Valorización_de_Instrumentos[[#This Row],[Weight]]</f>
        <v>5.059118369393345E-2</v>
      </c>
      <c r="AM432" s="26" t="str">
        <f>INDEX(Parametria!G:G,MATCH(Tabla_Consulta_desde_Reporte_de_Valorización_de_Instrumentos[[#This Row],[CODIGO_SBS]],Parametria!C:C,0))</f>
        <v>53ALT</v>
      </c>
      <c r="AN432" s="26" t="str">
        <f>INDEX(Parametria!F:F,MATCH(Tabla_Consulta_desde_Reporte_de_Valorización_de_Instrumentos[[#This Row],[CODIGO_SBS]],Parametria!C:C,0))</f>
        <v>ALT</v>
      </c>
      <c r="AO432" s="26" t="str">
        <f>+INDEX(Parametria!J:J,MATCH(Tabla_Consulta_desde_Reporte_de_Valorización_de_Instrumentos[[#This Row],[CODIGO_SBS]],Parametria!C:C,0))</f>
        <v>ALT</v>
      </c>
      <c r="AP432" s="26">
        <f>Tabla_Consulta_desde_Reporte_de_Valorización_de_Instrumentos[[#This Row],[Huella]]/$AU$4</f>
        <v>3.6640802325247607E-2</v>
      </c>
      <c r="AQ432" s="26" t="str">
        <f>IFERROR(INDEX('BD(MSCI)'!W:W,MATCH(Tabla_Consulta_desde_Reporte_de_Valorización_de_Instrumentos[[#This Row],[CODIGO_ISIN]],'BD(MSCI)'!C:C,0)),IF(Tabla_Consulta_desde_Reporte_de_Valorización_de_Instrumentos[[#This Row],[Rank_rt]]="Cash","Cash","Cuestionario Integra"))</f>
        <v>Proxies</v>
      </c>
      <c r="AR432" s="26" t="str">
        <f>IFERROR(INDEX('BD(MSCI)'!X:X,MATCH(Tabla_Consulta_desde_Reporte_de_Valorización_de_Instrumentos[[#This Row],[CODIGO_ISIN]],'BD(MSCI)'!C:C,0)),"Cuestionario Integra")</f>
        <v>Alts</v>
      </c>
      <c r="AU432" s="26"/>
    </row>
    <row r="433" spans="2:47" hidden="1" x14ac:dyDescent="0.25">
      <c r="B433" s="14" t="s">
        <v>6390</v>
      </c>
      <c r="C433" t="s">
        <v>727</v>
      </c>
      <c r="D433" t="s">
        <v>11</v>
      </c>
      <c r="E433" t="s">
        <v>728</v>
      </c>
      <c r="F433" t="s">
        <v>785</v>
      </c>
      <c r="G433" t="str">
        <f>INDEX(Parametria!H:H,MATCH(Tabla_Consulta_desde_Reporte_de_Valorización_de_Instrumentos[[#This Row],[CODIGO_SBS]],Parametria!C:C,0),1)</f>
        <v>HarbourVest Co-Investment Fund IV</v>
      </c>
      <c r="H433" t="s">
        <v>785</v>
      </c>
      <c r="I433" t="s">
        <v>156</v>
      </c>
      <c r="J433" t="s">
        <v>786</v>
      </c>
      <c r="K433" t="s">
        <v>50</v>
      </c>
      <c r="L433">
        <v>1</v>
      </c>
      <c r="M433" s="5">
        <v>39001796.040141501</v>
      </c>
      <c r="N433">
        <v>11604569.0261958</v>
      </c>
      <c r="O433">
        <v>13.268765999999999</v>
      </c>
      <c r="P433" s="15">
        <v>46966</v>
      </c>
      <c r="Q433">
        <v>944</v>
      </c>
      <c r="R433">
        <v>3.3609</v>
      </c>
      <c r="S433" t="s">
        <v>428</v>
      </c>
      <c r="T433">
        <v>39021523.807485998</v>
      </c>
      <c r="U433" s="5">
        <v>11604569.0261958</v>
      </c>
      <c r="V433" t="s">
        <v>156</v>
      </c>
      <c r="W433">
        <v>0</v>
      </c>
      <c r="X433">
        <v>0</v>
      </c>
      <c r="Y433">
        <v>0</v>
      </c>
      <c r="Z433">
        <v>0</v>
      </c>
      <c r="AA433" t="str">
        <f>+MID(Tabla_Consulta_desde_Reporte_de_Valorización_de_Instrumentos[[#This Row],[CODIGO_SBS]],7,1)</f>
        <v>2</v>
      </c>
      <c r="AB433">
        <f>INDEX('Cálculo Caja'!F:F,MATCH(Tabla_Consulta_desde_Reporte_de_Valorización_de_Instrumentos[[#This Row],[PORTAFOLIO]],'Cálculo Caja'!A:A,0),1)</f>
        <v>3164069580.822104</v>
      </c>
      <c r="AC433" s="17">
        <f>Tabla_Consulta_desde_Reporte_de_Valorización_de_Instrumentos[[#This Row],[VALOR_VECTOR_LOCAL]]/Tabla_Consulta_desde_Reporte_de_Valorización_de_Instrumentos[[#This Row],[Patrimonio]]</f>
        <v>1.232646597803575E-2</v>
      </c>
      <c r="AD433" s="4">
        <f>(Tabla_Consulta_desde_Reporte_de_Valorización_de_Instrumentos[[#This Row],[VALOR_VECTOR_LOCAL]]/INDEX('Tipo de Cambio'!$D:$D,MATCH("2",'Tipo de Cambio'!$E:$E,0),1))/1000000</f>
        <v>11.604569026195811</v>
      </c>
      <c r="AE433">
        <f>IF(Tabla_Consulta_desde_Reporte_de_Valorización_de_Instrumentos[[#This Row],[PORTAFOLIO]]="IN-FONDO0",Tabla_Consulta_desde_Reporte_de_Valorización_de_Instrumentos[[#This Row],[Inv MM$]],0)</f>
        <v>0</v>
      </c>
      <c r="AF433" s="26">
        <f>IF(Tabla_Consulta_desde_Reporte_de_Valorización_de_Instrumentos[[#This Row],[PORTAFOLIO]]="IN-FONDO1",Tabla_Consulta_desde_Reporte_de_Valorización_de_Instrumentos[[#This Row],[Inv MM$]],0)</f>
        <v>0</v>
      </c>
      <c r="AG433" s="26">
        <f>IF(Tabla_Consulta_desde_Reporte_de_Valorización_de_Instrumentos[[#This Row],[PORTAFOLIO]]="IN-FONDO2",Tabla_Consulta_desde_Reporte_de_Valorización_de_Instrumentos[[#This Row],[Inv MM$]],0)</f>
        <v>0</v>
      </c>
      <c r="AH433" s="26">
        <f>IF(Tabla_Consulta_desde_Reporte_de_Valorización_de_Instrumentos[[#This Row],[PORTAFOLIO]]="IN-FONDO3",Tabla_Consulta_desde_Reporte_de_Valorización_de_Instrumentos[[#This Row],[Inv MM$]],0)</f>
        <v>11.604569026195811</v>
      </c>
      <c r="AI43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29.011427025836653</v>
      </c>
      <c r="AJ433" s="26">
        <f>IFERROR(IFERROR(INDEX('BD(MSCI)'!$T:$T,MATCH(Tabla_Consulta_desde_Reporte_de_Valorización_de_Instrumentos[[#This Row],[CODIGO_ISIN]],'BD(MSCI)'!$C:$C,0),1),INDEX('BD(MSCI)'!$T:$T,MATCH(Tabla_Consulta_desde_Reporte_de_Valorización_de_Instrumentos[[#This Row],[CODIGO_SBS]],'BD(MSCI)'!$C:$C,0),1)),0)</f>
        <v>22.706096800000001</v>
      </c>
      <c r="AK433" s="26">
        <f>Tabla_Consulta_desde_Reporte_de_Valorización_de_Instrumentos[[#This Row],[C02-H]]*Tabla_Consulta_desde_Reporte_de_Valorización_de_Instrumentos[[#This Row],[Inv MM$]]</f>
        <v>263.49446763108386</v>
      </c>
      <c r="AL433" s="26">
        <f>Tabla_Consulta_desde_Reporte_de_Valorización_de_Instrumentos[[#This Row],[C02-H]]*Tabla_Consulta_desde_Reporte_de_Valorización_de_Instrumentos[[#This Row],[Weight]]</f>
        <v>0.27988592969918641</v>
      </c>
      <c r="AM433" s="26" t="str">
        <f>INDEX(Parametria!G:G,MATCH(Tabla_Consulta_desde_Reporte_de_Valorización_de_Instrumentos[[#This Row],[CODIGO_SBS]],Parametria!C:C,0))</f>
        <v>53ALT</v>
      </c>
      <c r="AN433" s="26" t="str">
        <f>INDEX(Parametria!F:F,MATCH(Tabla_Consulta_desde_Reporte_de_Valorización_de_Instrumentos[[#This Row],[CODIGO_SBS]],Parametria!C:C,0))</f>
        <v>ALT</v>
      </c>
      <c r="AO433" s="26" t="str">
        <f>+INDEX(Parametria!J:J,MATCH(Tabla_Consulta_desde_Reporte_de_Valorización_de_Instrumentos[[#This Row],[CODIGO_SBS]],Parametria!C:C,0))</f>
        <v>ALT</v>
      </c>
      <c r="AP433" s="26">
        <f>Tabla_Consulta_desde_Reporte_de_Valorización_de_Instrumentos[[#This Row],[Huella]]/$AU$4</f>
        <v>2.4427195290919541E-2</v>
      </c>
      <c r="AQ433" s="26" t="str">
        <f>IFERROR(INDEX('BD(MSCI)'!W:W,MATCH(Tabla_Consulta_desde_Reporte_de_Valorización_de_Instrumentos[[#This Row],[CODIGO_ISIN]],'BD(MSCI)'!C:C,0)),IF(Tabla_Consulta_desde_Reporte_de_Valorización_de_Instrumentos[[#This Row],[Rank_rt]]="Cash","Cash","Cuestionario Integra"))</f>
        <v>Proxies</v>
      </c>
      <c r="AR433" s="26" t="str">
        <f>IFERROR(INDEX('BD(MSCI)'!X:X,MATCH(Tabla_Consulta_desde_Reporte_de_Valorización_de_Instrumentos[[#This Row],[CODIGO_ISIN]],'BD(MSCI)'!C:C,0)),"Cuestionario Integra")</f>
        <v>Alts</v>
      </c>
      <c r="AU433" s="26"/>
    </row>
    <row r="434" spans="2:47" hidden="1" x14ac:dyDescent="0.25">
      <c r="B434" s="14" t="s">
        <v>6390</v>
      </c>
      <c r="C434" t="s">
        <v>727</v>
      </c>
      <c r="D434" t="s">
        <v>10</v>
      </c>
      <c r="E434" t="s">
        <v>728</v>
      </c>
      <c r="F434" t="s">
        <v>787</v>
      </c>
      <c r="G434" t="str">
        <f>INDEX(Parametria!H:H,MATCH(Tabla_Consulta_desde_Reporte_de_Valorización_de_Instrumentos[[#This Row],[CODIGO_SBS]],Parametria!C:C,0),1)</f>
        <v>CVC Capital Partners - VII Limited</v>
      </c>
      <c r="H434" t="s">
        <v>787</v>
      </c>
      <c r="I434" t="s">
        <v>156</v>
      </c>
      <c r="J434" t="s">
        <v>788</v>
      </c>
      <c r="K434" t="s">
        <v>57</v>
      </c>
      <c r="L434">
        <v>1</v>
      </c>
      <c r="M434" s="5">
        <v>389165262.97355479</v>
      </c>
      <c r="N434">
        <v>98621905.229917303</v>
      </c>
      <c r="O434">
        <v>4.5089594999999996</v>
      </c>
      <c r="P434" s="15">
        <v>46664</v>
      </c>
      <c r="Q434">
        <v>642</v>
      </c>
      <c r="R434">
        <v>3.9460326999999999</v>
      </c>
      <c r="S434" t="s">
        <v>428</v>
      </c>
      <c r="T434">
        <v>389793218.23072523</v>
      </c>
      <c r="U434" s="5">
        <v>98621905.229917303</v>
      </c>
      <c r="V434" t="s">
        <v>156</v>
      </c>
      <c r="W434">
        <v>0</v>
      </c>
      <c r="X434">
        <v>0</v>
      </c>
      <c r="Y434">
        <v>0</v>
      </c>
      <c r="Z434">
        <v>0</v>
      </c>
      <c r="AA434" t="str">
        <f>+MID(Tabla_Consulta_desde_Reporte_de_Valorización_de_Instrumentos[[#This Row],[CODIGO_SBS]],7,1)</f>
        <v>4</v>
      </c>
      <c r="AB434">
        <f>INDEX('Cálculo Caja'!F:F,MATCH(Tabla_Consulta_desde_Reporte_de_Valorización_de_Instrumentos[[#This Row],[PORTAFOLIO]],'Cálculo Caja'!A:A,0),1)</f>
        <v>26256910350.436607</v>
      </c>
      <c r="AC434" s="17">
        <f>Tabla_Consulta_desde_Reporte_de_Valorización_de_Instrumentos[[#This Row],[VALOR_VECTOR_LOCAL]]/Tabla_Consulta_desde_Reporte_de_Valorización_de_Instrumentos[[#This Row],[Patrimonio]]</f>
        <v>1.4821441585456136E-2</v>
      </c>
      <c r="AD434" s="4">
        <f>(Tabla_Consulta_desde_Reporte_de_Valorización_de_Instrumentos[[#This Row],[VALOR_VECTOR_LOCAL]]/INDEX('Tipo de Cambio'!$D:$D,MATCH("2",'Tipo de Cambio'!$E:$E,0),1))/1000000</f>
        <v>115.79197922388491</v>
      </c>
      <c r="AE434">
        <f>IF(Tabla_Consulta_desde_Reporte_de_Valorización_de_Instrumentos[[#This Row],[PORTAFOLIO]]="IN-FONDO0",Tabla_Consulta_desde_Reporte_de_Valorización_de_Instrumentos[[#This Row],[Inv MM$]],0)</f>
        <v>0</v>
      </c>
      <c r="AF434" s="26">
        <f>IF(Tabla_Consulta_desde_Reporte_de_Valorización_de_Instrumentos[[#This Row],[PORTAFOLIO]]="IN-FONDO1",Tabla_Consulta_desde_Reporte_de_Valorización_de_Instrumentos[[#This Row],[Inv MM$]],0)</f>
        <v>0</v>
      </c>
      <c r="AG434" s="26">
        <f>IF(Tabla_Consulta_desde_Reporte_de_Valorización_de_Instrumentos[[#This Row],[PORTAFOLIO]]="IN-FONDO2",Tabla_Consulta_desde_Reporte_de_Valorización_de_Instrumentos[[#This Row],[Inv MM$]],0)</f>
        <v>115.79197922388491</v>
      </c>
      <c r="AH434" s="26">
        <f>IF(Tabla_Consulta_desde_Reporte_de_Valorización_de_Instrumentos[[#This Row],[PORTAFOLIO]]="IN-FONDO3",Tabla_Consulta_desde_Reporte_de_Valorización_de_Instrumentos[[#This Row],[Inv MM$]],0)</f>
        <v>0</v>
      </c>
      <c r="AI43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115.79197922388491</v>
      </c>
      <c r="AJ434" s="26">
        <f>IFERROR(IFERROR(INDEX('BD(MSCI)'!$T:$T,MATCH(Tabla_Consulta_desde_Reporte_de_Valorización_de_Instrumentos[[#This Row],[CODIGO_ISIN]],'BD(MSCI)'!$C:$C,0),1),INDEX('BD(MSCI)'!$T:$T,MATCH(Tabla_Consulta_desde_Reporte_de_Valorización_de_Instrumentos[[#This Row],[CODIGO_SBS]],'BD(MSCI)'!$C:$C,0),1)),0)</f>
        <v>39.508152340000002</v>
      </c>
      <c r="AK434" s="26">
        <f>Tabla_Consulta_desde_Reporte_de_Valorización_de_Instrumentos[[#This Row],[C02-H]]*Tabla_Consulta_desde_Reporte_de_Valorización_de_Instrumentos[[#This Row],[Inv MM$]]</f>
        <v>4574.7271549273601</v>
      </c>
      <c r="AL434" s="26">
        <f>Tabla_Consulta_desde_Reporte_de_Valorización_de_Instrumentos[[#This Row],[C02-H]]*Tabla_Consulta_desde_Reporte_de_Valorización_de_Instrumentos[[#This Row],[Weight]]</f>
        <v>0.58556777205661215</v>
      </c>
      <c r="AM434" s="26" t="str">
        <f>INDEX(Parametria!G:G,MATCH(Tabla_Consulta_desde_Reporte_de_Valorización_de_Instrumentos[[#This Row],[CODIGO_SBS]],Parametria!C:C,0))</f>
        <v>53ALT</v>
      </c>
      <c r="AN434" s="26" t="str">
        <f>INDEX(Parametria!F:F,MATCH(Tabla_Consulta_desde_Reporte_de_Valorización_de_Instrumentos[[#This Row],[CODIGO_SBS]],Parametria!C:C,0))</f>
        <v>ALT</v>
      </c>
      <c r="AO434" s="26" t="str">
        <f>+INDEX(Parametria!J:J,MATCH(Tabla_Consulta_desde_Reporte_de_Valorización_de_Instrumentos[[#This Row],[CODIGO_SBS]],Parametria!C:C,0))</f>
        <v>ALT</v>
      </c>
      <c r="AP434" s="26">
        <f>Tabla_Consulta_desde_Reporte_de_Valorización_de_Instrumentos[[#This Row],[Huella]]/$AU$4</f>
        <v>0.42409905081020655</v>
      </c>
      <c r="AQ434" s="26" t="str">
        <f>IFERROR(INDEX('BD(MSCI)'!W:W,MATCH(Tabla_Consulta_desde_Reporte_de_Valorización_de_Instrumentos[[#This Row],[CODIGO_ISIN]],'BD(MSCI)'!C:C,0)),IF(Tabla_Consulta_desde_Reporte_de_Valorización_de_Instrumentos[[#This Row],[Rank_rt]]="Cash","Cash","Cuestionario Integra"))</f>
        <v>Proxies</v>
      </c>
      <c r="AR434" s="26" t="str">
        <f>IFERROR(INDEX('BD(MSCI)'!X:X,MATCH(Tabla_Consulta_desde_Reporte_de_Valorización_de_Instrumentos[[#This Row],[CODIGO_ISIN]],'BD(MSCI)'!C:C,0)),"Cuestionario Integra")</f>
        <v>Alts</v>
      </c>
      <c r="AU434" s="26"/>
    </row>
    <row r="435" spans="2:47" hidden="1" x14ac:dyDescent="0.25">
      <c r="B435" s="14" t="s">
        <v>6390</v>
      </c>
      <c r="C435" t="s">
        <v>727</v>
      </c>
      <c r="D435" t="s">
        <v>10</v>
      </c>
      <c r="E435" t="s">
        <v>728</v>
      </c>
      <c r="F435" t="s">
        <v>789</v>
      </c>
      <c r="G435" t="str">
        <f>INDEX(Parametria!H:H,MATCH(Tabla_Consulta_desde_Reporte_de_Valorización_de_Instrumentos[[#This Row],[CODIGO_SBS]],Parametria!C:C,0),1)</f>
        <v>Carlyle Realty Partners - VIII</v>
      </c>
      <c r="H435" t="s">
        <v>789</v>
      </c>
      <c r="I435" t="s">
        <v>156</v>
      </c>
      <c r="J435" t="s">
        <v>790</v>
      </c>
      <c r="K435" t="s">
        <v>50</v>
      </c>
      <c r="L435">
        <v>1</v>
      </c>
      <c r="M435" s="5">
        <v>89813939.247549698</v>
      </c>
      <c r="N435">
        <v>26723181.066842102</v>
      </c>
      <c r="O435">
        <v>12.8554569</v>
      </c>
      <c r="P435" s="15">
        <v>46510</v>
      </c>
      <c r="Q435">
        <v>488</v>
      </c>
      <c r="R435">
        <v>3.3609</v>
      </c>
      <c r="S435" t="s">
        <v>428</v>
      </c>
      <c r="T435">
        <v>89859368.655363306</v>
      </c>
      <c r="U435" s="5">
        <v>26723181.066842102</v>
      </c>
      <c r="V435" t="s">
        <v>156</v>
      </c>
      <c r="W435">
        <v>0</v>
      </c>
      <c r="X435">
        <v>0</v>
      </c>
      <c r="Y435">
        <v>0</v>
      </c>
      <c r="Z435">
        <v>0</v>
      </c>
      <c r="AA435" t="str">
        <f>+MID(Tabla_Consulta_desde_Reporte_de_Valorización_de_Instrumentos[[#This Row],[CODIGO_SBS]],7,1)</f>
        <v>2</v>
      </c>
      <c r="AB435">
        <f>INDEX('Cálculo Caja'!F:F,MATCH(Tabla_Consulta_desde_Reporte_de_Valorización_de_Instrumentos[[#This Row],[PORTAFOLIO]],'Cálculo Caja'!A:A,0),1)</f>
        <v>26256910350.436607</v>
      </c>
      <c r="AC435" s="17">
        <f>Tabla_Consulta_desde_Reporte_de_Valorización_de_Instrumentos[[#This Row],[VALOR_VECTOR_LOCAL]]/Tabla_Consulta_desde_Reporte_de_Valorización_de_Instrumentos[[#This Row],[Patrimonio]]</f>
        <v>3.4205829265078116E-3</v>
      </c>
      <c r="AD435" s="4">
        <f>(Tabla_Consulta_desde_Reporte_de_Valorización_de_Instrumentos[[#This Row],[VALOR_VECTOR_LOCAL]]/INDEX('Tipo de Cambio'!$D:$D,MATCH("2",'Tipo de Cambio'!$E:$E,0),1))/1000000</f>
        <v>26.723181066842123</v>
      </c>
      <c r="AE435">
        <f>IF(Tabla_Consulta_desde_Reporte_de_Valorización_de_Instrumentos[[#This Row],[PORTAFOLIO]]="IN-FONDO0",Tabla_Consulta_desde_Reporte_de_Valorización_de_Instrumentos[[#This Row],[Inv MM$]],0)</f>
        <v>0</v>
      </c>
      <c r="AF435" s="26">
        <f>IF(Tabla_Consulta_desde_Reporte_de_Valorización_de_Instrumentos[[#This Row],[PORTAFOLIO]]="IN-FONDO1",Tabla_Consulta_desde_Reporte_de_Valorización_de_Instrumentos[[#This Row],[Inv MM$]],0)</f>
        <v>0</v>
      </c>
      <c r="AG435" s="26">
        <f>IF(Tabla_Consulta_desde_Reporte_de_Valorización_de_Instrumentos[[#This Row],[PORTAFOLIO]]="IN-FONDO2",Tabla_Consulta_desde_Reporte_de_Valorización_de_Instrumentos[[#This Row],[Inv MM$]],0)</f>
        <v>26.723181066842123</v>
      </c>
      <c r="AH435" s="26">
        <f>IF(Tabla_Consulta_desde_Reporte_de_Valorización_de_Instrumentos[[#This Row],[PORTAFOLIO]]="IN-FONDO3",Tabla_Consulta_desde_Reporte_de_Valorización_de_Instrumentos[[#This Row],[Inv MM$]],0)</f>
        <v>0</v>
      </c>
      <c r="AI43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33.403973163470766</v>
      </c>
      <c r="AJ435" s="26">
        <f>IFERROR(IFERROR(INDEX('BD(MSCI)'!$T:$T,MATCH(Tabla_Consulta_desde_Reporte_de_Valorización_de_Instrumentos[[#This Row],[CODIGO_ISIN]],'BD(MSCI)'!$C:$C,0),1),INDEX('BD(MSCI)'!$T:$T,MATCH(Tabla_Consulta_desde_Reporte_de_Valorización_de_Instrumentos[[#This Row],[CODIGO_SBS]],'BD(MSCI)'!$C:$C,0),1)),0)</f>
        <v>6.0955239199999998</v>
      </c>
      <c r="AK435" s="26">
        <f>Tabla_Consulta_desde_Reporte_de_Valorización_de_Instrumentos[[#This Row],[C02-H]]*Tabla_Consulta_desde_Reporte_de_Valorización_de_Instrumentos[[#This Row],[Inv MM$]]</f>
        <v>162.89178941142728</v>
      </c>
      <c r="AL435" s="26">
        <f>Tabla_Consulta_desde_Reporte_de_Valorización_de_Instrumentos[[#This Row],[C02-H]]*Tabla_Consulta_desde_Reporte_de_Valorización_de_Instrumentos[[#This Row],[Weight]]</f>
        <v>2.0850245048871965E-2</v>
      </c>
      <c r="AM435" s="26" t="str">
        <f>INDEX(Parametria!G:G,MATCH(Tabla_Consulta_desde_Reporte_de_Valorización_de_Instrumentos[[#This Row],[CODIGO_SBS]],Parametria!C:C,0))</f>
        <v>53ALT</v>
      </c>
      <c r="AN435" s="26" t="str">
        <f>INDEX(Parametria!F:F,MATCH(Tabla_Consulta_desde_Reporte_de_Valorización_de_Instrumentos[[#This Row],[CODIGO_SBS]],Parametria!C:C,0))</f>
        <v>ALT</v>
      </c>
      <c r="AO435" s="26" t="str">
        <f>+INDEX(Parametria!J:J,MATCH(Tabla_Consulta_desde_Reporte_de_Valorización_de_Instrumentos[[#This Row],[CODIGO_SBS]],Parametria!C:C,0))</f>
        <v>ALT</v>
      </c>
      <c r="AP435" s="26">
        <f>Tabla_Consulta_desde_Reporte_de_Valorización_de_Instrumentos[[#This Row],[Huella]]/$AU$4</f>
        <v>1.5100846659183828E-2</v>
      </c>
      <c r="AQ435" s="26" t="str">
        <f>IFERROR(INDEX('BD(MSCI)'!W:W,MATCH(Tabla_Consulta_desde_Reporte_de_Valorización_de_Instrumentos[[#This Row],[CODIGO_ISIN]],'BD(MSCI)'!C:C,0)),IF(Tabla_Consulta_desde_Reporte_de_Valorización_de_Instrumentos[[#This Row],[Rank_rt]]="Cash","Cash","Cuestionario Integra"))</f>
        <v>Proxies</v>
      </c>
      <c r="AR435" s="26" t="str">
        <f>IFERROR(INDEX('BD(MSCI)'!X:X,MATCH(Tabla_Consulta_desde_Reporte_de_Valorización_de_Instrumentos[[#This Row],[CODIGO_ISIN]],'BD(MSCI)'!C:C,0)),"Cuestionario Integra")</f>
        <v>Alts</v>
      </c>
      <c r="AU435" s="26"/>
    </row>
    <row r="436" spans="2:47" hidden="1" x14ac:dyDescent="0.25">
      <c r="B436" s="14" t="s">
        <v>6390</v>
      </c>
      <c r="C436" t="s">
        <v>727</v>
      </c>
      <c r="D436" t="s">
        <v>11</v>
      </c>
      <c r="E436" t="s">
        <v>728</v>
      </c>
      <c r="F436" t="s">
        <v>789</v>
      </c>
      <c r="G436" t="str">
        <f>INDEX(Parametria!H:H,MATCH(Tabla_Consulta_desde_Reporte_de_Valorización_de_Instrumentos[[#This Row],[CODIGO_SBS]],Parametria!C:C,0),1)</f>
        <v>Carlyle Realty Partners - VIII</v>
      </c>
      <c r="H436" t="s">
        <v>789</v>
      </c>
      <c r="I436" t="s">
        <v>156</v>
      </c>
      <c r="J436" t="s">
        <v>790</v>
      </c>
      <c r="K436" t="s">
        <v>50</v>
      </c>
      <c r="L436">
        <v>1</v>
      </c>
      <c r="M436" s="5">
        <v>22453474.157559201</v>
      </c>
      <c r="N436">
        <v>6680792.0966285998</v>
      </c>
      <c r="O436">
        <v>3.2138627</v>
      </c>
      <c r="P436" s="15">
        <v>46510</v>
      </c>
      <c r="Q436">
        <v>488</v>
      </c>
      <c r="R436">
        <v>3.3609</v>
      </c>
      <c r="S436" t="s">
        <v>428</v>
      </c>
      <c r="T436">
        <v>22464831.504123401</v>
      </c>
      <c r="U436" s="5">
        <v>6680792.0966285998</v>
      </c>
      <c r="V436" t="s">
        <v>156</v>
      </c>
      <c r="W436">
        <v>0</v>
      </c>
      <c r="X436">
        <v>0</v>
      </c>
      <c r="Y436">
        <v>0</v>
      </c>
      <c r="Z436">
        <v>0</v>
      </c>
      <c r="AA436" t="str">
        <f>+MID(Tabla_Consulta_desde_Reporte_de_Valorización_de_Instrumentos[[#This Row],[CODIGO_SBS]],7,1)</f>
        <v>2</v>
      </c>
      <c r="AB436">
        <f>INDEX('Cálculo Caja'!F:F,MATCH(Tabla_Consulta_desde_Reporte_de_Valorización_de_Instrumentos[[#This Row],[PORTAFOLIO]],'Cálculo Caja'!A:A,0),1)</f>
        <v>3164069580.822104</v>
      </c>
      <c r="AC436" s="17">
        <f>Tabla_Consulta_desde_Reporte_de_Valorización_de_Instrumentos[[#This Row],[VALOR_VECTOR_LOCAL]]/Tabla_Consulta_desde_Reporte_de_Valorización_de_Instrumentos[[#This Row],[Patrimonio]]</f>
        <v>7.0963907663892873E-3</v>
      </c>
      <c r="AD436" s="4">
        <f>(Tabla_Consulta_desde_Reporte_de_Valorización_de_Instrumentos[[#This Row],[VALOR_VECTOR_LOCAL]]/INDEX('Tipo de Cambio'!$D:$D,MATCH("2",'Tipo de Cambio'!$E:$E,0),1))/1000000</f>
        <v>6.6807920966286414</v>
      </c>
      <c r="AE436">
        <f>IF(Tabla_Consulta_desde_Reporte_de_Valorización_de_Instrumentos[[#This Row],[PORTAFOLIO]]="IN-FONDO0",Tabla_Consulta_desde_Reporte_de_Valorización_de_Instrumentos[[#This Row],[Inv MM$]],0)</f>
        <v>0</v>
      </c>
      <c r="AF436" s="26">
        <f>IF(Tabla_Consulta_desde_Reporte_de_Valorización_de_Instrumentos[[#This Row],[PORTAFOLIO]]="IN-FONDO1",Tabla_Consulta_desde_Reporte_de_Valorización_de_Instrumentos[[#This Row],[Inv MM$]],0)</f>
        <v>0</v>
      </c>
      <c r="AG436" s="26">
        <f>IF(Tabla_Consulta_desde_Reporte_de_Valorización_de_Instrumentos[[#This Row],[PORTAFOLIO]]="IN-FONDO2",Tabla_Consulta_desde_Reporte_de_Valorización_de_Instrumentos[[#This Row],[Inv MM$]],0)</f>
        <v>0</v>
      </c>
      <c r="AH436" s="26">
        <f>IF(Tabla_Consulta_desde_Reporte_de_Valorización_de_Instrumentos[[#This Row],[PORTAFOLIO]]="IN-FONDO3",Tabla_Consulta_desde_Reporte_de_Valorización_de_Instrumentos[[#This Row],[Inv MM$]],0)</f>
        <v>6.6807920966286414</v>
      </c>
      <c r="AI43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33.403973163470766</v>
      </c>
      <c r="AJ436" s="26">
        <f>IFERROR(IFERROR(INDEX('BD(MSCI)'!$T:$T,MATCH(Tabla_Consulta_desde_Reporte_de_Valorización_de_Instrumentos[[#This Row],[CODIGO_ISIN]],'BD(MSCI)'!$C:$C,0),1),INDEX('BD(MSCI)'!$T:$T,MATCH(Tabla_Consulta_desde_Reporte_de_Valorización_de_Instrumentos[[#This Row],[CODIGO_SBS]],'BD(MSCI)'!$C:$C,0),1)),0)</f>
        <v>6.0955239199999998</v>
      </c>
      <c r="AK436" s="26">
        <f>Tabla_Consulta_desde_Reporte_de_Valorización_de_Instrumentos[[#This Row],[C02-H]]*Tabla_Consulta_desde_Reporte_de_Valorización_de_Instrumentos[[#This Row],[Inv MM$]]</f>
        <v>40.722928029546836</v>
      </c>
      <c r="AL436" s="26">
        <f>Tabla_Consulta_desde_Reporte_de_Valorización_de_Instrumentos[[#This Row],[C02-H]]*Tabla_Consulta_desde_Reporte_de_Valorización_de_Instrumentos[[#This Row],[Weight]]</f>
        <v>4.3256219662193028E-2</v>
      </c>
      <c r="AM436" s="26" t="str">
        <f>INDEX(Parametria!G:G,MATCH(Tabla_Consulta_desde_Reporte_de_Valorización_de_Instrumentos[[#This Row],[CODIGO_SBS]],Parametria!C:C,0))</f>
        <v>53ALT</v>
      </c>
      <c r="AN436" s="26" t="str">
        <f>INDEX(Parametria!F:F,MATCH(Tabla_Consulta_desde_Reporte_de_Valorización_de_Instrumentos[[#This Row],[CODIGO_SBS]],Parametria!C:C,0))</f>
        <v>ALT</v>
      </c>
      <c r="AO436" s="26" t="str">
        <f>+INDEX(Parametria!J:J,MATCH(Tabla_Consulta_desde_Reporte_de_Valorización_de_Instrumentos[[#This Row],[CODIGO_SBS]],Parametria!C:C,0))</f>
        <v>ALT</v>
      </c>
      <c r="AP436" s="26">
        <f>Tabla_Consulta_desde_Reporte_de_Valorización_de_Instrumentos[[#This Row],[Huella]]/$AU$4</f>
        <v>3.7752098734328558E-3</v>
      </c>
      <c r="AQ436" s="26" t="str">
        <f>IFERROR(INDEX('BD(MSCI)'!W:W,MATCH(Tabla_Consulta_desde_Reporte_de_Valorización_de_Instrumentos[[#This Row],[CODIGO_ISIN]],'BD(MSCI)'!C:C,0)),IF(Tabla_Consulta_desde_Reporte_de_Valorización_de_Instrumentos[[#This Row],[Rank_rt]]="Cash","Cash","Cuestionario Integra"))</f>
        <v>Proxies</v>
      </c>
      <c r="AR436" s="26" t="str">
        <f>IFERROR(INDEX('BD(MSCI)'!X:X,MATCH(Tabla_Consulta_desde_Reporte_de_Valorización_de_Instrumentos[[#This Row],[CODIGO_ISIN]],'BD(MSCI)'!C:C,0)),"Cuestionario Integra")</f>
        <v>Alts</v>
      </c>
      <c r="AU436" s="26"/>
    </row>
    <row r="437" spans="2:47" hidden="1" x14ac:dyDescent="0.25">
      <c r="B437" s="14" t="s">
        <v>6390</v>
      </c>
      <c r="C437" t="s">
        <v>727</v>
      </c>
      <c r="D437" t="s">
        <v>10</v>
      </c>
      <c r="E437" t="s">
        <v>728</v>
      </c>
      <c r="F437" t="s">
        <v>791</v>
      </c>
      <c r="G437" t="str">
        <f>INDEX(Parametria!H:H,MATCH(Tabla_Consulta_desde_Reporte_de_Valorización_de_Instrumentos[[#This Row],[CODIGO_SBS]],Parametria!C:C,0),1)</f>
        <v>Carlyle Partners VII</v>
      </c>
      <c r="H437" t="s">
        <v>791</v>
      </c>
      <c r="I437" t="s">
        <v>156</v>
      </c>
      <c r="J437" t="s">
        <v>792</v>
      </c>
      <c r="K437" t="s">
        <v>50</v>
      </c>
      <c r="L437">
        <v>1</v>
      </c>
      <c r="M437" s="5">
        <v>259359113.5143142</v>
      </c>
      <c r="N437">
        <v>77169541.942430407</v>
      </c>
      <c r="O437">
        <v>3.6194209000000002</v>
      </c>
      <c r="P437" s="15">
        <v>47086</v>
      </c>
      <c r="Q437">
        <v>1064</v>
      </c>
      <c r="R437">
        <v>3.3609</v>
      </c>
      <c r="S437" t="s">
        <v>428</v>
      </c>
      <c r="T437">
        <v>259490301.7356163</v>
      </c>
      <c r="U437" s="5">
        <v>77169541.942430407</v>
      </c>
      <c r="V437" t="s">
        <v>156</v>
      </c>
      <c r="W437">
        <v>0</v>
      </c>
      <c r="X437">
        <v>0</v>
      </c>
      <c r="Y437">
        <v>0</v>
      </c>
      <c r="Z437">
        <v>0</v>
      </c>
      <c r="AA437" t="str">
        <f>+MID(Tabla_Consulta_desde_Reporte_de_Valorización_de_Instrumentos[[#This Row],[CODIGO_SBS]],7,1)</f>
        <v>2</v>
      </c>
      <c r="AB437">
        <f>INDEX('Cálculo Caja'!F:F,MATCH(Tabla_Consulta_desde_Reporte_de_Valorización_de_Instrumentos[[#This Row],[PORTAFOLIO]],'Cálculo Caja'!A:A,0),1)</f>
        <v>26256910350.436607</v>
      </c>
      <c r="AC437" s="17">
        <f>Tabla_Consulta_desde_Reporte_de_Valorización_de_Instrumentos[[#This Row],[VALOR_VECTOR_LOCAL]]/Tabla_Consulta_desde_Reporte_de_Valorización_de_Instrumentos[[#This Row],[Patrimonio]]</f>
        <v>9.8777468503639648E-3</v>
      </c>
      <c r="AD437" s="4">
        <f>(Tabla_Consulta_desde_Reporte_de_Valorización_de_Instrumentos[[#This Row],[VALOR_VECTOR_LOCAL]]/INDEX('Tipo de Cambio'!$D:$D,MATCH("2",'Tipo de Cambio'!$E:$E,0),1))/1000000</f>
        <v>77.169541942430357</v>
      </c>
      <c r="AE437">
        <f>IF(Tabla_Consulta_desde_Reporte_de_Valorización_de_Instrumentos[[#This Row],[PORTAFOLIO]]="IN-FONDO0",Tabla_Consulta_desde_Reporte_de_Valorización_de_Instrumentos[[#This Row],[Inv MM$]],0)</f>
        <v>0</v>
      </c>
      <c r="AF437" s="26">
        <f>IF(Tabla_Consulta_desde_Reporte_de_Valorización_de_Instrumentos[[#This Row],[PORTAFOLIO]]="IN-FONDO1",Tabla_Consulta_desde_Reporte_de_Valorización_de_Instrumentos[[#This Row],[Inv MM$]],0)</f>
        <v>0</v>
      </c>
      <c r="AG437" s="26">
        <f>IF(Tabla_Consulta_desde_Reporte_de_Valorización_de_Instrumentos[[#This Row],[PORTAFOLIO]]="IN-FONDO2",Tabla_Consulta_desde_Reporte_de_Valorización_de_Instrumentos[[#This Row],[Inv MM$]],0)</f>
        <v>77.169541942430357</v>
      </c>
      <c r="AH437" s="26">
        <f>IF(Tabla_Consulta_desde_Reporte_de_Valorización_de_Instrumentos[[#This Row],[PORTAFOLIO]]="IN-FONDO3",Tabla_Consulta_desde_Reporte_de_Valorización_de_Instrumentos[[#This Row],[Inv MM$]],0)</f>
        <v>0</v>
      </c>
      <c r="AI43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77.169541942430357</v>
      </c>
      <c r="AJ437" s="26">
        <f>IFERROR(IFERROR(INDEX('BD(MSCI)'!$T:$T,MATCH(Tabla_Consulta_desde_Reporte_de_Valorización_de_Instrumentos[[#This Row],[CODIGO_ISIN]],'BD(MSCI)'!$C:$C,0),1),INDEX('BD(MSCI)'!$T:$T,MATCH(Tabla_Consulta_desde_Reporte_de_Valorización_de_Instrumentos[[#This Row],[CODIGO_SBS]],'BD(MSCI)'!$C:$C,0),1)),0)</f>
        <v>22.706096800000001</v>
      </c>
      <c r="AK437" s="26">
        <f>Tabla_Consulta_desde_Reporte_de_Valorización_de_Instrumentos[[#This Row],[C02-H]]*Tabla_Consulta_desde_Reporte_de_Valorización_de_Instrumentos[[#This Row],[Inv MM$]]</f>
        <v>1752.2190893564839</v>
      </c>
      <c r="AL437" s="26">
        <f>Tabla_Consulta_desde_Reporte_de_Valorización_de_Instrumentos[[#This Row],[C02-H]]*Tabla_Consulta_desde_Reporte_de_Valorización_de_Instrumentos[[#This Row],[Weight]]</f>
        <v>0.2242850761502593</v>
      </c>
      <c r="AM437" s="26" t="str">
        <f>INDEX(Parametria!G:G,MATCH(Tabla_Consulta_desde_Reporte_de_Valorización_de_Instrumentos[[#This Row],[CODIGO_SBS]],Parametria!C:C,0))</f>
        <v>53ALT</v>
      </c>
      <c r="AN437" s="26" t="str">
        <f>INDEX(Parametria!F:F,MATCH(Tabla_Consulta_desde_Reporte_de_Valorización_de_Instrumentos[[#This Row],[CODIGO_SBS]],Parametria!C:C,0))</f>
        <v>ALT</v>
      </c>
      <c r="AO437" s="26" t="str">
        <f>+INDEX(Parametria!J:J,MATCH(Tabla_Consulta_desde_Reporte_de_Valorización_de_Instrumentos[[#This Row],[CODIGO_SBS]],Parametria!C:C,0))</f>
        <v>ALT</v>
      </c>
      <c r="AP437" s="26">
        <f>Tabla_Consulta_desde_Reporte_de_Valorización_de_Instrumentos[[#This Row],[Huella]]/$AU$4</f>
        <v>0.16243907613314457</v>
      </c>
      <c r="AQ437" s="26" t="str">
        <f>IFERROR(INDEX('BD(MSCI)'!W:W,MATCH(Tabla_Consulta_desde_Reporte_de_Valorización_de_Instrumentos[[#This Row],[CODIGO_ISIN]],'BD(MSCI)'!C:C,0)),IF(Tabla_Consulta_desde_Reporte_de_Valorización_de_Instrumentos[[#This Row],[Rank_rt]]="Cash","Cash","Cuestionario Integra"))</f>
        <v>Proxies</v>
      </c>
      <c r="AR437" s="26" t="str">
        <f>IFERROR(INDEX('BD(MSCI)'!X:X,MATCH(Tabla_Consulta_desde_Reporte_de_Valorización_de_Instrumentos[[#This Row],[CODIGO_ISIN]],'BD(MSCI)'!C:C,0)),"Cuestionario Integra")</f>
        <v>Alts</v>
      </c>
      <c r="AU437" s="26"/>
    </row>
    <row r="438" spans="2:47" hidden="1" x14ac:dyDescent="0.25">
      <c r="B438" s="14" t="s">
        <v>6390</v>
      </c>
      <c r="C438" t="s">
        <v>727</v>
      </c>
      <c r="D438" t="s">
        <v>10</v>
      </c>
      <c r="E438" t="s">
        <v>728</v>
      </c>
      <c r="F438" t="s">
        <v>793</v>
      </c>
      <c r="G438" t="str">
        <f>INDEX(Parametria!H:H,MATCH(Tabla_Consulta_desde_Reporte_de_Valorización_de_Instrumentos[[#This Row],[CODIGO_SBS]],Parametria!C:C,0),1)</f>
        <v>PAI Europe VII</v>
      </c>
      <c r="H438" t="s">
        <v>793</v>
      </c>
      <c r="I438" t="s">
        <v>156</v>
      </c>
      <c r="J438" t="s">
        <v>794</v>
      </c>
      <c r="K438" t="s">
        <v>57</v>
      </c>
      <c r="L438">
        <v>1</v>
      </c>
      <c r="M438" s="5">
        <v>43528887.941578902</v>
      </c>
      <c r="N438">
        <v>11031050.9949851</v>
      </c>
      <c r="O438">
        <v>2.9298397999999999</v>
      </c>
      <c r="P438" s="15">
        <v>46840</v>
      </c>
      <c r="Q438">
        <v>818</v>
      </c>
      <c r="R438">
        <v>3.9460326999999999</v>
      </c>
      <c r="S438" t="s">
        <v>428</v>
      </c>
      <c r="T438">
        <v>43599125.9525792</v>
      </c>
      <c r="U438" s="5">
        <v>11031050.9949851</v>
      </c>
      <c r="V438" t="s">
        <v>156</v>
      </c>
      <c r="W438">
        <v>0</v>
      </c>
      <c r="X438">
        <v>0</v>
      </c>
      <c r="Y438">
        <v>0</v>
      </c>
      <c r="Z438">
        <v>0</v>
      </c>
      <c r="AA438" t="str">
        <f>+MID(Tabla_Consulta_desde_Reporte_de_Valorización_de_Instrumentos[[#This Row],[CODIGO_SBS]],7,1)</f>
        <v>4</v>
      </c>
      <c r="AB438">
        <f>INDEX('Cálculo Caja'!F:F,MATCH(Tabla_Consulta_desde_Reporte_de_Valorización_de_Instrumentos[[#This Row],[PORTAFOLIO]],'Cálculo Caja'!A:A,0),1)</f>
        <v>26256910350.436607</v>
      </c>
      <c r="AC438" s="17">
        <f>Tabla_Consulta_desde_Reporte_de_Valorización_de_Instrumentos[[#This Row],[VALOR_VECTOR_LOCAL]]/Tabla_Consulta_desde_Reporte_de_Valorización_de_Instrumentos[[#This Row],[Patrimonio]]</f>
        <v>1.6578069300851725E-3</v>
      </c>
      <c r="AD438" s="4">
        <f>(Tabla_Consulta_desde_Reporte_de_Valorización_de_Instrumentos[[#This Row],[VALOR_VECTOR_LOCAL]]/INDEX('Tipo de Cambio'!$D:$D,MATCH("2",'Tipo de Cambio'!$E:$E,0),1))/1000000</f>
        <v>12.95155700603377</v>
      </c>
      <c r="AE438">
        <f>IF(Tabla_Consulta_desde_Reporte_de_Valorización_de_Instrumentos[[#This Row],[PORTAFOLIO]]="IN-FONDO0",Tabla_Consulta_desde_Reporte_de_Valorización_de_Instrumentos[[#This Row],[Inv MM$]],0)</f>
        <v>0</v>
      </c>
      <c r="AF438" s="26">
        <f>IF(Tabla_Consulta_desde_Reporte_de_Valorización_de_Instrumentos[[#This Row],[PORTAFOLIO]]="IN-FONDO1",Tabla_Consulta_desde_Reporte_de_Valorización_de_Instrumentos[[#This Row],[Inv MM$]],0)</f>
        <v>0</v>
      </c>
      <c r="AG438" s="26">
        <f>IF(Tabla_Consulta_desde_Reporte_de_Valorización_de_Instrumentos[[#This Row],[PORTAFOLIO]]="IN-FONDO2",Tabla_Consulta_desde_Reporte_de_Valorización_de_Instrumentos[[#This Row],[Inv MM$]],0)</f>
        <v>12.95155700603377</v>
      </c>
      <c r="AH438" s="26">
        <f>IF(Tabla_Consulta_desde_Reporte_de_Valorización_de_Instrumentos[[#This Row],[PORTAFOLIO]]="IN-FONDO3",Tabla_Consulta_desde_Reporte_de_Valorización_de_Instrumentos[[#This Row],[Inv MM$]],0)</f>
        <v>0</v>
      </c>
      <c r="AI43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12.95155700603377</v>
      </c>
      <c r="AJ438" s="26">
        <f>IFERROR(IFERROR(INDEX('BD(MSCI)'!$T:$T,MATCH(Tabla_Consulta_desde_Reporte_de_Valorización_de_Instrumentos[[#This Row],[CODIGO_ISIN]],'BD(MSCI)'!$C:$C,0),1),INDEX('BD(MSCI)'!$T:$T,MATCH(Tabla_Consulta_desde_Reporte_de_Valorización_de_Instrumentos[[#This Row],[CODIGO_SBS]],'BD(MSCI)'!$C:$C,0),1)),0)</f>
        <v>39.508152340000002</v>
      </c>
      <c r="AK438" s="26">
        <f>Tabla_Consulta_desde_Reporte_de_Valorización_de_Instrumentos[[#This Row],[C02-H]]*Tabla_Consulta_desde_Reporte_de_Valorización_de_Instrumentos[[#This Row],[Inv MM$]]</f>
        <v>511.69208723457655</v>
      </c>
      <c r="AL438" s="26">
        <f>Tabla_Consulta_desde_Reporte_de_Valorización_de_Instrumentos[[#This Row],[C02-H]]*Tabla_Consulta_desde_Reporte_de_Valorización_de_Instrumentos[[#This Row],[Weight]]</f>
        <v>6.5496888744112733E-2</v>
      </c>
      <c r="AM438" s="26" t="str">
        <f>INDEX(Parametria!G:G,MATCH(Tabla_Consulta_desde_Reporte_de_Valorización_de_Instrumentos[[#This Row],[CODIGO_SBS]],Parametria!C:C,0))</f>
        <v>53ALT</v>
      </c>
      <c r="AN438" s="26" t="str">
        <f>INDEX(Parametria!F:F,MATCH(Tabla_Consulta_desde_Reporte_de_Valorización_de_Instrumentos[[#This Row],[CODIGO_SBS]],Parametria!C:C,0))</f>
        <v>ALT</v>
      </c>
      <c r="AO438" s="26" t="str">
        <f>+INDEX(Parametria!J:J,MATCH(Tabla_Consulta_desde_Reporte_de_Valorización_de_Instrumentos[[#This Row],[CODIGO_SBS]],Parametria!C:C,0))</f>
        <v>ALT</v>
      </c>
      <c r="AP438" s="26">
        <f>Tabla_Consulta_desde_Reporte_de_Valorización_de_Instrumentos[[#This Row],[Huella]]/$AU$4</f>
        <v>4.7436299729819206E-2</v>
      </c>
      <c r="AQ438" s="26" t="str">
        <f>IFERROR(INDEX('BD(MSCI)'!W:W,MATCH(Tabla_Consulta_desde_Reporte_de_Valorización_de_Instrumentos[[#This Row],[CODIGO_ISIN]],'BD(MSCI)'!C:C,0)),IF(Tabla_Consulta_desde_Reporte_de_Valorización_de_Instrumentos[[#This Row],[Rank_rt]]="Cash","Cash","Cuestionario Integra"))</f>
        <v>Proxies</v>
      </c>
      <c r="AR438" s="26" t="str">
        <f>IFERROR(INDEX('BD(MSCI)'!X:X,MATCH(Tabla_Consulta_desde_Reporte_de_Valorización_de_Instrumentos[[#This Row],[CODIGO_ISIN]],'BD(MSCI)'!C:C,0)),"Cuestionario Integra")</f>
        <v>Alts</v>
      </c>
      <c r="AU438" s="26"/>
    </row>
    <row r="439" spans="2:47" hidden="1" x14ac:dyDescent="0.25">
      <c r="B439" s="14" t="s">
        <v>6390</v>
      </c>
      <c r="C439" t="s">
        <v>727</v>
      </c>
      <c r="D439" t="s">
        <v>10</v>
      </c>
      <c r="E439" t="s">
        <v>728</v>
      </c>
      <c r="F439" t="s">
        <v>795</v>
      </c>
      <c r="G439" t="str">
        <f>INDEX(Parametria!H:H,MATCH(Tabla_Consulta_desde_Reporte_de_Valorización_de_Instrumentos[[#This Row],[CODIGO_SBS]],Parametria!C:C,0),1)</f>
        <v>PAI Europe VII</v>
      </c>
      <c r="H439" t="s">
        <v>795</v>
      </c>
      <c r="I439" t="s">
        <v>156</v>
      </c>
      <c r="J439" t="s">
        <v>796</v>
      </c>
      <c r="K439" t="s">
        <v>57</v>
      </c>
      <c r="L439">
        <v>1</v>
      </c>
      <c r="M439" s="5">
        <v>22515007.909478799</v>
      </c>
      <c r="N439">
        <v>5705732.7247893</v>
      </c>
      <c r="O439">
        <v>2.5896108999999998</v>
      </c>
      <c r="P439" s="15">
        <v>46840</v>
      </c>
      <c r="Q439">
        <v>818</v>
      </c>
      <c r="R439">
        <v>3.9460326999999999</v>
      </c>
      <c r="S439" t="s">
        <v>428</v>
      </c>
      <c r="T439">
        <v>22551338.0214573</v>
      </c>
      <c r="U439" s="5">
        <v>5705732.7247893</v>
      </c>
      <c r="V439" t="s">
        <v>156</v>
      </c>
      <c r="W439">
        <v>0</v>
      </c>
      <c r="X439">
        <v>0</v>
      </c>
      <c r="Y439">
        <v>0</v>
      </c>
      <c r="Z439">
        <v>0</v>
      </c>
      <c r="AA439" t="str">
        <f>+MID(Tabla_Consulta_desde_Reporte_de_Valorización_de_Instrumentos[[#This Row],[CODIGO_SBS]],7,1)</f>
        <v>4</v>
      </c>
      <c r="AB439">
        <f>INDEX('Cálculo Caja'!F:F,MATCH(Tabla_Consulta_desde_Reporte_de_Valorización_de_Instrumentos[[#This Row],[PORTAFOLIO]],'Cálculo Caja'!A:A,0),1)</f>
        <v>26256910350.436607</v>
      </c>
      <c r="AC439" s="17">
        <f>Tabla_Consulta_desde_Reporte_de_Valorización_de_Instrumentos[[#This Row],[VALOR_VECTOR_LOCAL]]/Tabla_Consulta_desde_Reporte_de_Valorización_de_Instrumentos[[#This Row],[Patrimonio]]</f>
        <v>8.5748885184826825E-4</v>
      </c>
      <c r="AD439" s="4">
        <f>(Tabla_Consulta_desde_Reporte_de_Valorización_de_Instrumentos[[#This Row],[VALOR_VECTOR_LOCAL]]/INDEX('Tipo de Cambio'!$D:$D,MATCH("2",'Tipo de Cambio'!$E:$E,0),1))/1000000</f>
        <v>6.6991008091519531</v>
      </c>
      <c r="AE439">
        <f>IF(Tabla_Consulta_desde_Reporte_de_Valorización_de_Instrumentos[[#This Row],[PORTAFOLIO]]="IN-FONDO0",Tabla_Consulta_desde_Reporte_de_Valorización_de_Instrumentos[[#This Row],[Inv MM$]],0)</f>
        <v>0</v>
      </c>
      <c r="AF439" s="26">
        <f>IF(Tabla_Consulta_desde_Reporte_de_Valorización_de_Instrumentos[[#This Row],[PORTAFOLIO]]="IN-FONDO1",Tabla_Consulta_desde_Reporte_de_Valorización_de_Instrumentos[[#This Row],[Inv MM$]],0)</f>
        <v>0</v>
      </c>
      <c r="AG439" s="26">
        <f>IF(Tabla_Consulta_desde_Reporte_de_Valorización_de_Instrumentos[[#This Row],[PORTAFOLIO]]="IN-FONDO2",Tabla_Consulta_desde_Reporte_de_Valorización_de_Instrumentos[[#This Row],[Inv MM$]],0)</f>
        <v>6.6991008091519531</v>
      </c>
      <c r="AH439" s="26">
        <f>IF(Tabla_Consulta_desde_Reporte_de_Valorización_de_Instrumentos[[#This Row],[PORTAFOLIO]]="IN-FONDO3",Tabla_Consulta_desde_Reporte_de_Valorización_de_Instrumentos[[#This Row],[Inv MM$]],0)</f>
        <v>0</v>
      </c>
      <c r="AI43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6.6991008091519531</v>
      </c>
      <c r="AJ439" s="26">
        <f>IFERROR(IFERROR(INDEX('BD(MSCI)'!$T:$T,MATCH(Tabla_Consulta_desde_Reporte_de_Valorización_de_Instrumentos[[#This Row],[CODIGO_ISIN]],'BD(MSCI)'!$C:$C,0),1),INDEX('BD(MSCI)'!$T:$T,MATCH(Tabla_Consulta_desde_Reporte_de_Valorización_de_Instrumentos[[#This Row],[CODIGO_SBS]],'BD(MSCI)'!$C:$C,0),1)),0)</f>
        <v>39.508152340000002</v>
      </c>
      <c r="AK439" s="26">
        <f>Tabla_Consulta_desde_Reporte_de_Valorización_de_Instrumentos[[#This Row],[C02-H]]*Tabla_Consulta_desde_Reporte_de_Valorización_de_Instrumentos[[#This Row],[Inv MM$]]</f>
        <v>264.66909530899267</v>
      </c>
      <c r="AL439" s="26">
        <f>Tabla_Consulta_desde_Reporte_de_Valorización_de_Instrumentos[[#This Row],[C02-H]]*Tabla_Consulta_desde_Reporte_de_Valorización_de_Instrumentos[[#This Row],[Weight]]</f>
        <v>3.3877800188673077E-2</v>
      </c>
      <c r="AM439" s="26" t="str">
        <f>INDEX(Parametria!G:G,MATCH(Tabla_Consulta_desde_Reporte_de_Valorización_de_Instrumentos[[#This Row],[CODIGO_SBS]],Parametria!C:C,0))</f>
        <v>53ALT</v>
      </c>
      <c r="AN439" s="26" t="str">
        <f>INDEX(Parametria!F:F,MATCH(Tabla_Consulta_desde_Reporte_de_Valorización_de_Instrumentos[[#This Row],[CODIGO_SBS]],Parametria!C:C,0))</f>
        <v>ALT</v>
      </c>
      <c r="AO439" s="26" t="str">
        <f>+INDEX(Parametria!J:J,MATCH(Tabla_Consulta_desde_Reporte_de_Valorización_de_Instrumentos[[#This Row],[CODIGO_SBS]],Parametria!C:C,0))</f>
        <v>ALT</v>
      </c>
      <c r="AP439" s="26">
        <f>Tabla_Consulta_desde_Reporte_de_Valorización_de_Instrumentos[[#This Row],[Huella]]/$AU$4</f>
        <v>2.4536088885310184E-2</v>
      </c>
      <c r="AQ439" s="26" t="str">
        <f>IFERROR(INDEX('BD(MSCI)'!W:W,MATCH(Tabla_Consulta_desde_Reporte_de_Valorización_de_Instrumentos[[#This Row],[CODIGO_ISIN]],'BD(MSCI)'!C:C,0)),IF(Tabla_Consulta_desde_Reporte_de_Valorización_de_Instrumentos[[#This Row],[Rank_rt]]="Cash","Cash","Cuestionario Integra"))</f>
        <v>Proxies</v>
      </c>
      <c r="AR439" s="26" t="str">
        <f>IFERROR(INDEX('BD(MSCI)'!X:X,MATCH(Tabla_Consulta_desde_Reporte_de_Valorización_de_Instrumentos[[#This Row],[CODIGO_ISIN]],'BD(MSCI)'!C:C,0)),"Cuestionario Integra")</f>
        <v>Alts</v>
      </c>
      <c r="AU439" s="26"/>
    </row>
    <row r="440" spans="2:47" hidden="1" x14ac:dyDescent="0.25">
      <c r="B440" s="14" t="s">
        <v>6390</v>
      </c>
      <c r="C440" t="s">
        <v>727</v>
      </c>
      <c r="D440" t="s">
        <v>10</v>
      </c>
      <c r="E440" t="s">
        <v>728</v>
      </c>
      <c r="F440" t="s">
        <v>797</v>
      </c>
      <c r="G440" t="str">
        <f>INDEX(Parametria!H:H,MATCH(Tabla_Consulta_desde_Reporte_de_Valorización_de_Instrumentos[[#This Row],[CODIGO_SBS]],Parametria!C:C,0),1)</f>
        <v>CEP V LUX</v>
      </c>
      <c r="H440" t="s">
        <v>797</v>
      </c>
      <c r="I440" t="s">
        <v>156</v>
      </c>
      <c r="J440" t="s">
        <v>798</v>
      </c>
      <c r="K440" t="s">
        <v>57</v>
      </c>
      <c r="L440">
        <v>1</v>
      </c>
      <c r="M440" s="5">
        <v>121717974.6721701</v>
      </c>
      <c r="N440">
        <v>30845657.8862537</v>
      </c>
      <c r="O440">
        <v>7.3759750999999998</v>
      </c>
      <c r="P440" s="15">
        <v>47231</v>
      </c>
      <c r="Q440">
        <v>1209</v>
      </c>
      <c r="R440">
        <v>3.9460326999999999</v>
      </c>
      <c r="S440" t="s">
        <v>428</v>
      </c>
      <c r="T440">
        <v>121914378.2296292</v>
      </c>
      <c r="U440" s="5">
        <v>30845657.8862537</v>
      </c>
      <c r="V440" t="s">
        <v>156</v>
      </c>
      <c r="W440">
        <v>0</v>
      </c>
      <c r="X440">
        <v>0</v>
      </c>
      <c r="Y440">
        <v>0</v>
      </c>
      <c r="Z440">
        <v>0</v>
      </c>
      <c r="AA440" t="str">
        <f>+MID(Tabla_Consulta_desde_Reporte_de_Valorización_de_Instrumentos[[#This Row],[CODIGO_SBS]],7,1)</f>
        <v>4</v>
      </c>
      <c r="AB440">
        <f>INDEX('Cálculo Caja'!F:F,MATCH(Tabla_Consulta_desde_Reporte_de_Valorización_de_Instrumentos[[#This Row],[PORTAFOLIO]],'Cálculo Caja'!A:A,0),1)</f>
        <v>26256910350.436607</v>
      </c>
      <c r="AC440" s="17">
        <f>Tabla_Consulta_desde_Reporte_de_Valorización_de_Instrumentos[[#This Row],[VALOR_VECTOR_LOCAL]]/Tabla_Consulta_desde_Reporte_de_Valorización_de_Instrumentos[[#This Row],[Patrimonio]]</f>
        <v>4.6356548827591266E-3</v>
      </c>
      <c r="AD440" s="4">
        <f>(Tabla_Consulta_desde_Reporte_de_Valorización_de_Instrumentos[[#This Row],[VALOR_VECTOR_LOCAL]]/INDEX('Tipo de Cambio'!$D:$D,MATCH("2",'Tipo de Cambio'!$E:$E,0),1))/1000000</f>
        <v>36.215887016028482</v>
      </c>
      <c r="AE440">
        <f>IF(Tabla_Consulta_desde_Reporte_de_Valorización_de_Instrumentos[[#This Row],[PORTAFOLIO]]="IN-FONDO0",Tabla_Consulta_desde_Reporte_de_Valorización_de_Instrumentos[[#This Row],[Inv MM$]],0)</f>
        <v>0</v>
      </c>
      <c r="AF440" s="26">
        <f>IF(Tabla_Consulta_desde_Reporte_de_Valorización_de_Instrumentos[[#This Row],[PORTAFOLIO]]="IN-FONDO1",Tabla_Consulta_desde_Reporte_de_Valorización_de_Instrumentos[[#This Row],[Inv MM$]],0)</f>
        <v>0</v>
      </c>
      <c r="AG440" s="26">
        <f>IF(Tabla_Consulta_desde_Reporte_de_Valorización_de_Instrumentos[[#This Row],[PORTAFOLIO]]="IN-FONDO2",Tabla_Consulta_desde_Reporte_de_Valorización_de_Instrumentos[[#This Row],[Inv MM$]],0)</f>
        <v>36.215887016028482</v>
      </c>
      <c r="AH440" s="26">
        <f>IF(Tabla_Consulta_desde_Reporte_de_Valorización_de_Instrumentos[[#This Row],[PORTAFOLIO]]="IN-FONDO3",Tabla_Consulta_desde_Reporte_de_Valorización_de_Instrumentos[[#This Row],[Inv MM$]],0)</f>
        <v>0</v>
      </c>
      <c r="AI44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36.215887016028482</v>
      </c>
      <c r="AJ440" s="26">
        <f>IFERROR(IFERROR(INDEX('BD(MSCI)'!$T:$T,MATCH(Tabla_Consulta_desde_Reporte_de_Valorización_de_Instrumentos[[#This Row],[CODIGO_ISIN]],'BD(MSCI)'!$C:$C,0),1),INDEX('BD(MSCI)'!$T:$T,MATCH(Tabla_Consulta_desde_Reporte_de_Valorización_de_Instrumentos[[#This Row],[CODIGO_SBS]],'BD(MSCI)'!$C:$C,0),1)),0)</f>
        <v>39.508152340000002</v>
      </c>
      <c r="AK440" s="26">
        <f>Tabla_Consulta_desde_Reporte_de_Valorización_de_Instrumentos[[#This Row],[C02-H]]*Tabla_Consulta_desde_Reporte_de_Valorización_de_Instrumentos[[#This Row],[Inv MM$]]</f>
        <v>1430.8227813574813</v>
      </c>
      <c r="AL440" s="26">
        <f>Tabla_Consulta_desde_Reporte_de_Valorización_de_Instrumentos[[#This Row],[C02-H]]*Tabla_Consulta_desde_Reporte_de_Valorización_de_Instrumentos[[#This Row],[Weight]]</f>
        <v>0.18314615930371242</v>
      </c>
      <c r="AM440" s="26" t="str">
        <f>INDEX(Parametria!G:G,MATCH(Tabla_Consulta_desde_Reporte_de_Valorización_de_Instrumentos[[#This Row],[CODIGO_SBS]],Parametria!C:C,0))</f>
        <v>53ALT</v>
      </c>
      <c r="AN440" s="26" t="str">
        <f>INDEX(Parametria!F:F,MATCH(Tabla_Consulta_desde_Reporte_de_Valorización_de_Instrumentos[[#This Row],[CODIGO_SBS]],Parametria!C:C,0))</f>
        <v>ALT</v>
      </c>
      <c r="AO440" s="26" t="str">
        <f>+INDEX(Parametria!J:J,MATCH(Tabla_Consulta_desde_Reporte_de_Valorización_de_Instrumentos[[#This Row],[CODIGO_SBS]],Parametria!C:C,0))</f>
        <v>ALT</v>
      </c>
      <c r="AP440" s="26">
        <f>Tabla_Consulta_desde_Reporte_de_Valorización_de_Instrumentos[[#This Row],[Huella]]/$AU$4</f>
        <v>0.13264410376862415</v>
      </c>
      <c r="AQ440" s="26" t="str">
        <f>IFERROR(INDEX('BD(MSCI)'!W:W,MATCH(Tabla_Consulta_desde_Reporte_de_Valorización_de_Instrumentos[[#This Row],[CODIGO_ISIN]],'BD(MSCI)'!C:C,0)),IF(Tabla_Consulta_desde_Reporte_de_Valorización_de_Instrumentos[[#This Row],[Rank_rt]]="Cash","Cash","Cuestionario Integra"))</f>
        <v>Proxies</v>
      </c>
      <c r="AR440" s="26" t="str">
        <f>IFERROR(INDEX('BD(MSCI)'!X:X,MATCH(Tabla_Consulta_desde_Reporte_de_Valorización_de_Instrumentos[[#This Row],[CODIGO_ISIN]],'BD(MSCI)'!C:C,0)),"Cuestionario Integra")</f>
        <v>Alts</v>
      </c>
      <c r="AU440" s="26"/>
    </row>
    <row r="441" spans="2:47" hidden="1" x14ac:dyDescent="0.25">
      <c r="B441" s="14" t="s">
        <v>6390</v>
      </c>
      <c r="C441" t="s">
        <v>727</v>
      </c>
      <c r="D441" t="s">
        <v>10</v>
      </c>
      <c r="E441" t="s">
        <v>728</v>
      </c>
      <c r="F441" t="s">
        <v>799</v>
      </c>
      <c r="G441" t="str">
        <f>INDEX(Parametria!H:H,MATCH(Tabla_Consulta_desde_Reporte_de_Valorización_de_Instrumentos[[#This Row],[CODIGO_SBS]],Parametria!C:C,0),1)</f>
        <v>PRIVFAELCPIX</v>
      </c>
      <c r="H441" t="s">
        <v>800</v>
      </c>
      <c r="I441" t="s">
        <v>156</v>
      </c>
      <c r="J441" t="s">
        <v>801</v>
      </c>
      <c r="K441" t="s">
        <v>50</v>
      </c>
      <c r="L441">
        <v>1</v>
      </c>
      <c r="M441" s="5">
        <v>369719582.1423595</v>
      </c>
      <c r="N441">
        <v>110006123.9972506</v>
      </c>
      <c r="O441">
        <v>409.43396790000003</v>
      </c>
      <c r="P441" s="15">
        <v>46947</v>
      </c>
      <c r="Q441">
        <v>925</v>
      </c>
      <c r="R441">
        <v>3.3609</v>
      </c>
      <c r="S441" t="s">
        <v>428</v>
      </c>
      <c r="T441">
        <v>369906592.55315483</v>
      </c>
      <c r="U441" s="5">
        <v>110006123.9972506</v>
      </c>
      <c r="V441" t="s">
        <v>156</v>
      </c>
      <c r="W441">
        <v>0</v>
      </c>
      <c r="X441">
        <v>0</v>
      </c>
      <c r="Y441">
        <v>0</v>
      </c>
      <c r="Z441">
        <v>0</v>
      </c>
      <c r="AA441" t="str">
        <f>+MID(Tabla_Consulta_desde_Reporte_de_Valorización_de_Instrumentos[[#This Row],[CODIGO_SBS]],7,1)</f>
        <v>2</v>
      </c>
      <c r="AB441">
        <f>INDEX('Cálculo Caja'!F:F,MATCH(Tabla_Consulta_desde_Reporte_de_Valorización_de_Instrumentos[[#This Row],[PORTAFOLIO]],'Cálculo Caja'!A:A,0),1)</f>
        <v>26256910350.436607</v>
      </c>
      <c r="AC441" s="17">
        <f>Tabla_Consulta_desde_Reporte_de_Valorización_de_Instrumentos[[#This Row],[VALOR_VECTOR_LOCAL]]/Tabla_Consulta_desde_Reporte_de_Valorización_de_Instrumentos[[#This Row],[Patrimonio]]</f>
        <v>1.4080848706413461E-2</v>
      </c>
      <c r="AD441" s="4">
        <f>(Tabla_Consulta_desde_Reporte_de_Valorización_de_Instrumentos[[#This Row],[VALOR_VECTOR_LOCAL]]/INDEX('Tipo de Cambio'!$D:$D,MATCH("2",'Tipo de Cambio'!$E:$E,0),1))/1000000</f>
        <v>110.00612399725058</v>
      </c>
      <c r="AE441">
        <f>IF(Tabla_Consulta_desde_Reporte_de_Valorización_de_Instrumentos[[#This Row],[PORTAFOLIO]]="IN-FONDO0",Tabla_Consulta_desde_Reporte_de_Valorización_de_Instrumentos[[#This Row],[Inv MM$]],0)</f>
        <v>0</v>
      </c>
      <c r="AF441" s="26">
        <f>IF(Tabla_Consulta_desde_Reporte_de_Valorización_de_Instrumentos[[#This Row],[PORTAFOLIO]]="IN-FONDO1",Tabla_Consulta_desde_Reporte_de_Valorización_de_Instrumentos[[#This Row],[Inv MM$]],0)</f>
        <v>0</v>
      </c>
      <c r="AG441" s="26">
        <f>IF(Tabla_Consulta_desde_Reporte_de_Valorización_de_Instrumentos[[#This Row],[PORTAFOLIO]]="IN-FONDO2",Tabla_Consulta_desde_Reporte_de_Valorización_de_Instrumentos[[#This Row],[Inv MM$]],0)</f>
        <v>110.00612399725058</v>
      </c>
      <c r="AH441" s="26">
        <f>IF(Tabla_Consulta_desde_Reporte_de_Valorización_de_Instrumentos[[#This Row],[PORTAFOLIO]]="IN-FONDO3",Tabla_Consulta_desde_Reporte_de_Valorización_de_Instrumentos[[#This Row],[Inv MM$]],0)</f>
        <v>0</v>
      </c>
      <c r="AI44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122.22902400369412</v>
      </c>
      <c r="AJ441" s="26">
        <f>IFERROR(IFERROR(INDEX('BD(MSCI)'!$T:$T,MATCH(Tabla_Consulta_desde_Reporte_de_Valorización_de_Instrumentos[[#This Row],[CODIGO_ISIN]],'BD(MSCI)'!$C:$C,0),1),INDEX('BD(MSCI)'!$T:$T,MATCH(Tabla_Consulta_desde_Reporte_de_Valorización_de_Instrumentos[[#This Row],[CODIGO_SBS]],'BD(MSCI)'!$C:$C,0),1)),0)</f>
        <v>39.508152340000002</v>
      </c>
      <c r="AK441" s="26">
        <f>Tabla_Consulta_desde_Reporte_de_Valorización_de_Instrumentos[[#This Row],[C02-H]]*Tabla_Consulta_desde_Reporte_de_Valorización_de_Instrumentos[[#This Row],[Inv MM$]]</f>
        <v>4346.1387052163063</v>
      </c>
      <c r="AL441" s="26">
        <f>Tabla_Consulta_desde_Reporte_de_Valorización_de_Instrumentos[[#This Row],[C02-H]]*Tabla_Consulta_desde_Reporte_de_Valorización_de_Instrumentos[[#This Row],[Weight]]</f>
        <v>0.55630831576947493</v>
      </c>
      <c r="AM441" s="26" t="str">
        <f>INDEX(Parametria!G:G,MATCH(Tabla_Consulta_desde_Reporte_de_Valorización_de_Instrumentos[[#This Row],[CODIGO_SBS]],Parametria!C:C,0))</f>
        <v>53ALT</v>
      </c>
      <c r="AN441" s="26" t="str">
        <f>INDEX(Parametria!F:F,MATCH(Tabla_Consulta_desde_Reporte_de_Valorización_de_Instrumentos[[#This Row],[CODIGO_SBS]],Parametria!C:C,0))</f>
        <v>ALT</v>
      </c>
      <c r="AO441" s="26" t="str">
        <f>+INDEX(Parametria!J:J,MATCH(Tabla_Consulta_desde_Reporte_de_Valorización_de_Instrumentos[[#This Row],[CODIGO_SBS]],Parametria!C:C,0))</f>
        <v>ALT</v>
      </c>
      <c r="AP441" s="26">
        <f>Tabla_Consulta_desde_Reporte_de_Valorización_de_Instrumentos[[#This Row],[Huella]]/$AU$4</f>
        <v>0.40290781005080567</v>
      </c>
      <c r="AQ441" s="26" t="str">
        <f>IFERROR(INDEX('BD(MSCI)'!W:W,MATCH(Tabla_Consulta_desde_Reporte_de_Valorización_de_Instrumentos[[#This Row],[CODIGO_ISIN]],'BD(MSCI)'!C:C,0)),IF(Tabla_Consulta_desde_Reporte_de_Valorización_de_Instrumentos[[#This Row],[Rank_rt]]="Cash","Cash","Cuestionario Integra"))</f>
        <v>Proxies</v>
      </c>
      <c r="AR441" s="26" t="str">
        <f>IFERROR(INDEX('BD(MSCI)'!X:X,MATCH(Tabla_Consulta_desde_Reporte_de_Valorización_de_Instrumentos[[#This Row],[CODIGO_ISIN]],'BD(MSCI)'!C:C,0)),"Cuestionario Integra")</f>
        <v>Alts</v>
      </c>
      <c r="AU441" s="26"/>
    </row>
    <row r="442" spans="2:47" hidden="1" x14ac:dyDescent="0.25">
      <c r="B442" s="14" t="s">
        <v>6390</v>
      </c>
      <c r="C442" t="s">
        <v>727</v>
      </c>
      <c r="D442" t="s">
        <v>11</v>
      </c>
      <c r="E442" t="s">
        <v>728</v>
      </c>
      <c r="F442" t="s">
        <v>799</v>
      </c>
      <c r="G442" t="str">
        <f>INDEX(Parametria!H:H,MATCH(Tabla_Consulta_desde_Reporte_de_Valorización_de_Instrumentos[[#This Row],[CODIGO_SBS]],Parametria!C:C,0),1)</f>
        <v>PRIVFAELCPIX</v>
      </c>
      <c r="H442" t="s">
        <v>800</v>
      </c>
      <c r="I442" t="s">
        <v>156</v>
      </c>
      <c r="J442" t="s">
        <v>801</v>
      </c>
      <c r="K442" t="s">
        <v>50</v>
      </c>
      <c r="L442">
        <v>1</v>
      </c>
      <c r="M442" s="5">
        <v>41079944.631656103</v>
      </c>
      <c r="N442">
        <v>12222900.006443599</v>
      </c>
      <c r="O442">
        <v>45.492653199999999</v>
      </c>
      <c r="P442" s="15">
        <v>46947</v>
      </c>
      <c r="Q442">
        <v>925</v>
      </c>
      <c r="R442">
        <v>3.3609</v>
      </c>
      <c r="S442" t="s">
        <v>428</v>
      </c>
      <c r="T442">
        <v>41100723.561667003</v>
      </c>
      <c r="U442" s="5">
        <v>12222900.006443599</v>
      </c>
      <c r="V442" t="s">
        <v>156</v>
      </c>
      <c r="W442">
        <v>0</v>
      </c>
      <c r="X442">
        <v>0</v>
      </c>
      <c r="Y442">
        <v>0</v>
      </c>
      <c r="Z442">
        <v>0</v>
      </c>
      <c r="AA442" t="str">
        <f>+MID(Tabla_Consulta_desde_Reporte_de_Valorización_de_Instrumentos[[#This Row],[CODIGO_SBS]],7,1)</f>
        <v>2</v>
      </c>
      <c r="AB442">
        <f>INDEX('Cálculo Caja'!F:F,MATCH(Tabla_Consulta_desde_Reporte_de_Valorización_de_Instrumentos[[#This Row],[PORTAFOLIO]],'Cálculo Caja'!A:A,0),1)</f>
        <v>3164069580.822104</v>
      </c>
      <c r="AC442" s="17">
        <f>Tabla_Consulta_desde_Reporte_de_Valorización_de_Instrumentos[[#This Row],[VALOR_VECTOR_LOCAL]]/Tabla_Consulta_desde_Reporte_de_Valorización_de_Instrumentos[[#This Row],[Patrimonio]]</f>
        <v>1.2983262087739079E-2</v>
      </c>
      <c r="AD442" s="4">
        <f>(Tabla_Consulta_desde_Reporte_de_Valorización_de_Instrumentos[[#This Row],[VALOR_VECTOR_LOCAL]]/INDEX('Tipo de Cambio'!$D:$D,MATCH("2",'Tipo de Cambio'!$E:$E,0),1))/1000000</f>
        <v>12.222900006443544</v>
      </c>
      <c r="AE442">
        <f>IF(Tabla_Consulta_desde_Reporte_de_Valorización_de_Instrumentos[[#This Row],[PORTAFOLIO]]="IN-FONDO0",Tabla_Consulta_desde_Reporte_de_Valorización_de_Instrumentos[[#This Row],[Inv MM$]],0)</f>
        <v>0</v>
      </c>
      <c r="AF442" s="26">
        <f>IF(Tabla_Consulta_desde_Reporte_de_Valorización_de_Instrumentos[[#This Row],[PORTAFOLIO]]="IN-FONDO1",Tabla_Consulta_desde_Reporte_de_Valorización_de_Instrumentos[[#This Row],[Inv MM$]],0)</f>
        <v>0</v>
      </c>
      <c r="AG442" s="26">
        <f>IF(Tabla_Consulta_desde_Reporte_de_Valorización_de_Instrumentos[[#This Row],[PORTAFOLIO]]="IN-FONDO2",Tabla_Consulta_desde_Reporte_de_Valorización_de_Instrumentos[[#This Row],[Inv MM$]],0)</f>
        <v>0</v>
      </c>
      <c r="AH442" s="26">
        <f>IF(Tabla_Consulta_desde_Reporte_de_Valorización_de_Instrumentos[[#This Row],[PORTAFOLIO]]="IN-FONDO3",Tabla_Consulta_desde_Reporte_de_Valorización_de_Instrumentos[[#This Row],[Inv MM$]],0)</f>
        <v>12.222900006443544</v>
      </c>
      <c r="AI44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122.22902400369412</v>
      </c>
      <c r="AJ442" s="26">
        <f>IFERROR(IFERROR(INDEX('BD(MSCI)'!$T:$T,MATCH(Tabla_Consulta_desde_Reporte_de_Valorización_de_Instrumentos[[#This Row],[CODIGO_ISIN]],'BD(MSCI)'!$C:$C,0),1),INDEX('BD(MSCI)'!$T:$T,MATCH(Tabla_Consulta_desde_Reporte_de_Valorización_de_Instrumentos[[#This Row],[CODIGO_SBS]],'BD(MSCI)'!$C:$C,0),1)),0)</f>
        <v>39.508152340000002</v>
      </c>
      <c r="AK442" s="26">
        <f>Tabla_Consulta_desde_Reporte_de_Valorización_de_Instrumentos[[#This Row],[C02-H]]*Tabla_Consulta_desde_Reporte_de_Valorización_de_Instrumentos[[#This Row],[Inv MM$]]</f>
        <v>482.90419549115853</v>
      </c>
      <c r="AL442" s="26">
        <f>Tabla_Consulta_desde_Reporte_de_Valorización_de_Instrumentos[[#This Row],[C02-H]]*Tabla_Consulta_desde_Reporte_de_Valorización_de_Instrumentos[[#This Row],[Weight]]</f>
        <v>0.51294469643254204</v>
      </c>
      <c r="AM442" s="26" t="str">
        <f>INDEX(Parametria!G:G,MATCH(Tabla_Consulta_desde_Reporte_de_Valorización_de_Instrumentos[[#This Row],[CODIGO_SBS]],Parametria!C:C,0))</f>
        <v>53ALT</v>
      </c>
      <c r="AN442" s="26" t="str">
        <f>INDEX(Parametria!F:F,MATCH(Tabla_Consulta_desde_Reporte_de_Valorización_de_Instrumentos[[#This Row],[CODIGO_SBS]],Parametria!C:C,0))</f>
        <v>ALT</v>
      </c>
      <c r="AO442" s="26" t="str">
        <f>+INDEX(Parametria!J:J,MATCH(Tabla_Consulta_desde_Reporte_de_Valorización_de_Instrumentos[[#This Row],[CODIGO_SBS]],Parametria!C:C,0))</f>
        <v>ALT</v>
      </c>
      <c r="AP442" s="26">
        <f>Tabla_Consulta_desde_Reporte_de_Valorización_de_Instrumentos[[#This Row],[Huella]]/$AU$4</f>
        <v>4.476752470789018E-2</v>
      </c>
      <c r="AQ442" s="26" t="str">
        <f>IFERROR(INDEX('BD(MSCI)'!W:W,MATCH(Tabla_Consulta_desde_Reporte_de_Valorización_de_Instrumentos[[#This Row],[CODIGO_ISIN]],'BD(MSCI)'!C:C,0)),IF(Tabla_Consulta_desde_Reporte_de_Valorización_de_Instrumentos[[#This Row],[Rank_rt]]="Cash","Cash","Cuestionario Integra"))</f>
        <v>Proxies</v>
      </c>
      <c r="AR442" s="26" t="str">
        <f>IFERROR(INDEX('BD(MSCI)'!X:X,MATCH(Tabla_Consulta_desde_Reporte_de_Valorización_de_Instrumentos[[#This Row],[CODIGO_ISIN]],'BD(MSCI)'!C:C,0)),"Cuestionario Integra")</f>
        <v>Alts</v>
      </c>
      <c r="AU442" s="26"/>
    </row>
    <row r="443" spans="2:47" hidden="1" x14ac:dyDescent="0.25">
      <c r="B443" s="14" t="s">
        <v>6390</v>
      </c>
      <c r="C443" t="s">
        <v>727</v>
      </c>
      <c r="D443" t="s">
        <v>11</v>
      </c>
      <c r="E443" t="s">
        <v>728</v>
      </c>
      <c r="F443" t="s">
        <v>802</v>
      </c>
      <c r="G443" t="str">
        <f>INDEX(Parametria!H:H,MATCH(Tabla_Consulta_desde_Reporte_de_Valorización_de_Instrumentos[[#This Row],[CODIGO_SBS]],Parametria!C:C,0),1)</f>
        <v>Hellman &amp; Friedman</v>
      </c>
      <c r="H443" t="s">
        <v>802</v>
      </c>
      <c r="I443" t="s">
        <v>156</v>
      </c>
      <c r="J443" t="s">
        <v>803</v>
      </c>
      <c r="K443" t="s">
        <v>50</v>
      </c>
      <c r="L443">
        <v>1</v>
      </c>
      <c r="M443" s="5">
        <v>115352312.1456051</v>
      </c>
      <c r="N443">
        <v>34321851.928235002</v>
      </c>
      <c r="O443">
        <v>2.8535984000000001</v>
      </c>
      <c r="P443" s="15">
        <v>47024</v>
      </c>
      <c r="Q443">
        <v>1002</v>
      </c>
      <c r="R443">
        <v>3.3609</v>
      </c>
      <c r="S443" t="s">
        <v>428</v>
      </c>
      <c r="T443">
        <v>115410659.2938831</v>
      </c>
      <c r="U443" s="5">
        <v>34321851.928235002</v>
      </c>
      <c r="V443" t="s">
        <v>804</v>
      </c>
      <c r="W443">
        <v>0</v>
      </c>
      <c r="X443">
        <v>0</v>
      </c>
      <c r="Y443">
        <v>0</v>
      </c>
      <c r="Z443">
        <v>0</v>
      </c>
      <c r="AA443" t="str">
        <f>+MID(Tabla_Consulta_desde_Reporte_de_Valorización_de_Instrumentos[[#This Row],[CODIGO_SBS]],7,1)</f>
        <v>2</v>
      </c>
      <c r="AB443">
        <f>INDEX('Cálculo Caja'!F:F,MATCH(Tabla_Consulta_desde_Reporte_de_Valorización_de_Instrumentos[[#This Row],[PORTAFOLIO]],'Cálculo Caja'!A:A,0),1)</f>
        <v>3164069580.822104</v>
      </c>
      <c r="AC443" s="17">
        <f>Tabla_Consulta_desde_Reporte_de_Valorización_de_Instrumentos[[#This Row],[VALOR_VECTOR_LOCAL]]/Tabla_Consulta_desde_Reporte_de_Valorización_de_Instrumentos[[#This Row],[Patrimonio]]</f>
        <v>3.6456945461873724E-2</v>
      </c>
      <c r="AD443" s="4">
        <f>(Tabla_Consulta_desde_Reporte_de_Valorización_de_Instrumentos[[#This Row],[VALOR_VECTOR_LOCAL]]/INDEX('Tipo de Cambio'!$D:$D,MATCH("2",'Tipo de Cambio'!$E:$E,0),1))/1000000</f>
        <v>34.321851928235027</v>
      </c>
      <c r="AE443">
        <f>IF(Tabla_Consulta_desde_Reporte_de_Valorización_de_Instrumentos[[#This Row],[PORTAFOLIO]]="IN-FONDO0",Tabla_Consulta_desde_Reporte_de_Valorización_de_Instrumentos[[#This Row],[Inv MM$]],0)</f>
        <v>0</v>
      </c>
      <c r="AF443" s="26">
        <f>IF(Tabla_Consulta_desde_Reporte_de_Valorización_de_Instrumentos[[#This Row],[PORTAFOLIO]]="IN-FONDO1",Tabla_Consulta_desde_Reporte_de_Valorización_de_Instrumentos[[#This Row],[Inv MM$]],0)</f>
        <v>0</v>
      </c>
      <c r="AG443" s="26">
        <f>IF(Tabla_Consulta_desde_Reporte_de_Valorización_de_Instrumentos[[#This Row],[PORTAFOLIO]]="IN-FONDO2",Tabla_Consulta_desde_Reporte_de_Valorización_de_Instrumentos[[#This Row],[Inv MM$]],0)</f>
        <v>0</v>
      </c>
      <c r="AH443" s="26">
        <f>IF(Tabla_Consulta_desde_Reporte_de_Valorización_de_Instrumentos[[#This Row],[PORTAFOLIO]]="IN-FONDO3",Tabla_Consulta_desde_Reporte_de_Valorización_de_Instrumentos[[#This Row],[Inv MM$]],0)</f>
        <v>34.321851928235027</v>
      </c>
      <c r="AI44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85.804641848156677</v>
      </c>
      <c r="AJ443" s="26">
        <f>IFERROR(IFERROR(INDEX('BD(MSCI)'!$T:$T,MATCH(Tabla_Consulta_desde_Reporte_de_Valorización_de_Instrumentos[[#This Row],[CODIGO_ISIN]],'BD(MSCI)'!$C:$C,0),1),INDEX('BD(MSCI)'!$T:$T,MATCH(Tabla_Consulta_desde_Reporte_de_Valorización_de_Instrumentos[[#This Row],[CODIGO_SBS]],'BD(MSCI)'!$C:$C,0),1)),0)</f>
        <v>39.508152340000002</v>
      </c>
      <c r="AK443" s="26">
        <f>Tabla_Consulta_desde_Reporte_de_Valorización_de_Instrumentos[[#This Row],[C02-H]]*Tabla_Consulta_desde_Reporte_de_Valorización_de_Instrumentos[[#This Row],[Inv MM$]]</f>
        <v>1355.9929545716323</v>
      </c>
      <c r="AL443" s="26">
        <f>Tabla_Consulta_desde_Reporte_de_Valorización_de_Instrumentos[[#This Row],[C02-H]]*Tabla_Consulta_desde_Reporte_de_Valorización_de_Instrumentos[[#This Row],[Weight]]</f>
        <v>1.4403465551587789</v>
      </c>
      <c r="AM443" s="26" t="str">
        <f>INDEX(Parametria!G:G,MATCH(Tabla_Consulta_desde_Reporte_de_Valorización_de_Instrumentos[[#This Row],[CODIGO_SBS]],Parametria!C:C,0))</f>
        <v>53ALT</v>
      </c>
      <c r="AN443" s="26" t="str">
        <f>INDEX(Parametria!F:F,MATCH(Tabla_Consulta_desde_Reporte_de_Valorización_de_Instrumentos[[#This Row],[CODIGO_SBS]],Parametria!C:C,0))</f>
        <v>ALT</v>
      </c>
      <c r="AO443" s="26" t="str">
        <f>+INDEX(Parametria!J:J,MATCH(Tabla_Consulta_desde_Reporte_de_Valorización_de_Instrumentos[[#This Row],[CODIGO_SBS]],Parametria!C:C,0))</f>
        <v>ALT</v>
      </c>
      <c r="AP443" s="26">
        <f>Tabla_Consulta_desde_Reporte_de_Valorización_de_Instrumentos[[#This Row],[Huella]]/$AU$4</f>
        <v>0.12570702152580904</v>
      </c>
      <c r="AQ443" s="26" t="str">
        <f>IFERROR(INDEX('BD(MSCI)'!W:W,MATCH(Tabla_Consulta_desde_Reporte_de_Valorización_de_Instrumentos[[#This Row],[CODIGO_ISIN]],'BD(MSCI)'!C:C,0)),IF(Tabla_Consulta_desde_Reporte_de_Valorización_de_Instrumentos[[#This Row],[Rank_rt]]="Cash","Cash","Cuestionario Integra"))</f>
        <v>Proxies</v>
      </c>
      <c r="AR443" s="26" t="str">
        <f>IFERROR(INDEX('BD(MSCI)'!X:X,MATCH(Tabla_Consulta_desde_Reporte_de_Valorización_de_Instrumentos[[#This Row],[CODIGO_ISIN]],'BD(MSCI)'!C:C,0)),"Cuestionario Integra")</f>
        <v>Alts</v>
      </c>
      <c r="AU443" s="26"/>
    </row>
    <row r="444" spans="2:47" hidden="1" x14ac:dyDescent="0.25">
      <c r="B444" s="14" t="s">
        <v>6390</v>
      </c>
      <c r="C444" t="s">
        <v>727</v>
      </c>
      <c r="D444" t="s">
        <v>10</v>
      </c>
      <c r="E444" t="s">
        <v>728</v>
      </c>
      <c r="F444" t="s">
        <v>802</v>
      </c>
      <c r="G444" t="str">
        <f>INDEX(Parametria!H:H,MATCH(Tabla_Consulta_desde_Reporte_de_Valorización_de_Instrumentos[[#This Row],[CODIGO_SBS]],Parametria!C:C,0),1)</f>
        <v>Hellman &amp; Friedman</v>
      </c>
      <c r="H444" t="s">
        <v>802</v>
      </c>
      <c r="I444" t="s">
        <v>156</v>
      </c>
      <c r="J444" t="s">
        <v>803</v>
      </c>
      <c r="K444" t="s">
        <v>50</v>
      </c>
      <c r="L444">
        <v>1</v>
      </c>
      <c r="M444" s="5">
        <v>173028508.64186469</v>
      </c>
      <c r="N444">
        <v>51482789.919921704</v>
      </c>
      <c r="O444">
        <v>4.2803985999999998</v>
      </c>
      <c r="P444" s="15">
        <v>47024</v>
      </c>
      <c r="Q444">
        <v>1002</v>
      </c>
      <c r="R444">
        <v>3.3609</v>
      </c>
      <c r="S444" t="s">
        <v>428</v>
      </c>
      <c r="T444">
        <v>173116029.38472849</v>
      </c>
      <c r="U444" s="5">
        <v>51482789.919921704</v>
      </c>
      <c r="V444" t="s">
        <v>804</v>
      </c>
      <c r="W444">
        <v>0</v>
      </c>
      <c r="X444">
        <v>0</v>
      </c>
      <c r="Y444">
        <v>0</v>
      </c>
      <c r="Z444">
        <v>0</v>
      </c>
      <c r="AA444" t="str">
        <f>+MID(Tabla_Consulta_desde_Reporte_de_Valorización_de_Instrumentos[[#This Row],[CODIGO_SBS]],7,1)</f>
        <v>2</v>
      </c>
      <c r="AB444">
        <f>INDEX('Cálculo Caja'!F:F,MATCH(Tabla_Consulta_desde_Reporte_de_Valorización_de_Instrumentos[[#This Row],[PORTAFOLIO]],'Cálculo Caja'!A:A,0),1)</f>
        <v>26256910350.436607</v>
      </c>
      <c r="AC444" s="17">
        <f>Tabla_Consulta_desde_Reporte_de_Valorización_de_Instrumentos[[#This Row],[VALOR_VECTOR_LOCAL]]/Tabla_Consulta_desde_Reporte_de_Valorización_de_Instrumentos[[#This Row],[Patrimonio]]</f>
        <v>6.5898274523753146E-3</v>
      </c>
      <c r="AD444" s="4">
        <f>(Tabla_Consulta_desde_Reporte_de_Valorización_de_Instrumentos[[#This Row],[VALOR_VECTOR_LOCAL]]/INDEX('Tipo de Cambio'!$D:$D,MATCH("2",'Tipo de Cambio'!$E:$E,0),1))/1000000</f>
        <v>51.48278991992165</v>
      </c>
      <c r="AE444">
        <f>IF(Tabla_Consulta_desde_Reporte_de_Valorización_de_Instrumentos[[#This Row],[PORTAFOLIO]]="IN-FONDO0",Tabla_Consulta_desde_Reporte_de_Valorización_de_Instrumentos[[#This Row],[Inv MM$]],0)</f>
        <v>0</v>
      </c>
      <c r="AF444" s="26">
        <f>IF(Tabla_Consulta_desde_Reporte_de_Valorización_de_Instrumentos[[#This Row],[PORTAFOLIO]]="IN-FONDO1",Tabla_Consulta_desde_Reporte_de_Valorización_de_Instrumentos[[#This Row],[Inv MM$]],0)</f>
        <v>0</v>
      </c>
      <c r="AG444" s="26">
        <f>IF(Tabla_Consulta_desde_Reporte_de_Valorización_de_Instrumentos[[#This Row],[PORTAFOLIO]]="IN-FONDO2",Tabla_Consulta_desde_Reporte_de_Valorización_de_Instrumentos[[#This Row],[Inv MM$]],0)</f>
        <v>51.48278991992165</v>
      </c>
      <c r="AH444" s="26">
        <f>IF(Tabla_Consulta_desde_Reporte_de_Valorización_de_Instrumentos[[#This Row],[PORTAFOLIO]]="IN-FONDO3",Tabla_Consulta_desde_Reporte_de_Valorización_de_Instrumentos[[#This Row],[Inv MM$]],0)</f>
        <v>0</v>
      </c>
      <c r="AI44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85.804641848156677</v>
      </c>
      <c r="AJ444" s="26">
        <f>IFERROR(IFERROR(INDEX('BD(MSCI)'!$T:$T,MATCH(Tabla_Consulta_desde_Reporte_de_Valorización_de_Instrumentos[[#This Row],[CODIGO_ISIN]],'BD(MSCI)'!$C:$C,0),1),INDEX('BD(MSCI)'!$T:$T,MATCH(Tabla_Consulta_desde_Reporte_de_Valorización_de_Instrumentos[[#This Row],[CODIGO_SBS]],'BD(MSCI)'!$C:$C,0),1)),0)</f>
        <v>39.508152340000002</v>
      </c>
      <c r="AK444" s="26">
        <f>Tabla_Consulta_desde_Reporte_de_Valorización_de_Instrumentos[[#This Row],[C02-H]]*Tabla_Consulta_desde_Reporte_de_Valorización_de_Instrumentos[[#This Row],[Inv MM$]]</f>
        <v>2033.989907044481</v>
      </c>
      <c r="AL444" s="26">
        <f>Tabla_Consulta_desde_Reporte_de_Valorización_de_Instrumentos[[#This Row],[C02-H]]*Tabla_Consulta_desde_Reporte_de_Valorización_de_Instrumentos[[#This Row],[Weight]]</f>
        <v>0.26035190688275806</v>
      </c>
      <c r="AM444" s="26" t="str">
        <f>INDEX(Parametria!G:G,MATCH(Tabla_Consulta_desde_Reporte_de_Valorización_de_Instrumentos[[#This Row],[CODIGO_SBS]],Parametria!C:C,0))</f>
        <v>53ALT</v>
      </c>
      <c r="AN444" s="26" t="str">
        <f>INDEX(Parametria!F:F,MATCH(Tabla_Consulta_desde_Reporte_de_Valorización_de_Instrumentos[[#This Row],[CODIGO_SBS]],Parametria!C:C,0))</f>
        <v>ALT</v>
      </c>
      <c r="AO444" s="26" t="str">
        <f>+INDEX(Parametria!J:J,MATCH(Tabla_Consulta_desde_Reporte_de_Valorización_de_Instrumentos[[#This Row],[CODIGO_SBS]],Parametria!C:C,0))</f>
        <v>ALT</v>
      </c>
      <c r="AP444" s="26">
        <f>Tabla_Consulta_desde_Reporte_de_Valorización_de_Instrumentos[[#This Row],[Huella]]/$AU$4</f>
        <v>0.18856057634082041</v>
      </c>
      <c r="AQ444" s="26" t="str">
        <f>IFERROR(INDEX('BD(MSCI)'!W:W,MATCH(Tabla_Consulta_desde_Reporte_de_Valorización_de_Instrumentos[[#This Row],[CODIGO_ISIN]],'BD(MSCI)'!C:C,0)),IF(Tabla_Consulta_desde_Reporte_de_Valorización_de_Instrumentos[[#This Row],[Rank_rt]]="Cash","Cash","Cuestionario Integra"))</f>
        <v>Proxies</v>
      </c>
      <c r="AR444" s="26" t="str">
        <f>IFERROR(INDEX('BD(MSCI)'!X:X,MATCH(Tabla_Consulta_desde_Reporte_de_Valorización_de_Instrumentos[[#This Row],[CODIGO_ISIN]],'BD(MSCI)'!C:C,0)),"Cuestionario Integra")</f>
        <v>Alts</v>
      </c>
      <c r="AU444" s="26"/>
    </row>
    <row r="445" spans="2:47" hidden="1" x14ac:dyDescent="0.25">
      <c r="B445" s="14" t="s">
        <v>6390</v>
      </c>
      <c r="C445" t="s">
        <v>727</v>
      </c>
      <c r="D445" t="s">
        <v>10</v>
      </c>
      <c r="E445" t="s">
        <v>728</v>
      </c>
      <c r="F445" t="s">
        <v>805</v>
      </c>
      <c r="G445" t="str">
        <f>INDEX(Parametria!H:H,MATCH(Tabla_Consulta_desde_Reporte_de_Valorización_de_Instrumentos[[#This Row],[CODIGO_SBS]],Parametria!C:C,0),1)</f>
        <v>Coller - Coller VIII</v>
      </c>
      <c r="H445" t="s">
        <v>805</v>
      </c>
      <c r="I445" t="s">
        <v>156</v>
      </c>
      <c r="J445" t="s">
        <v>806</v>
      </c>
      <c r="K445" t="s">
        <v>50</v>
      </c>
      <c r="L445">
        <v>1</v>
      </c>
      <c r="M445" s="5">
        <v>302413139.92907059</v>
      </c>
      <c r="N445">
        <v>89979808.958633304</v>
      </c>
      <c r="O445">
        <v>33.866483799999997</v>
      </c>
      <c r="P445" s="15">
        <v>47146</v>
      </c>
      <c r="Q445">
        <v>1124</v>
      </c>
      <c r="R445">
        <v>3.3609</v>
      </c>
      <c r="S445" t="s">
        <v>428</v>
      </c>
      <c r="T445">
        <v>302566105.60430032</v>
      </c>
      <c r="U445" s="5">
        <v>89979808.958633304</v>
      </c>
      <c r="V445" t="s">
        <v>156</v>
      </c>
      <c r="W445">
        <v>0</v>
      </c>
      <c r="X445">
        <v>0</v>
      </c>
      <c r="Y445">
        <v>0</v>
      </c>
      <c r="Z445">
        <v>0</v>
      </c>
      <c r="AA445" t="str">
        <f>+MID(Tabla_Consulta_desde_Reporte_de_Valorización_de_Instrumentos[[#This Row],[CODIGO_SBS]],7,1)</f>
        <v>2</v>
      </c>
      <c r="AB445">
        <f>INDEX('Cálculo Caja'!F:F,MATCH(Tabla_Consulta_desde_Reporte_de_Valorización_de_Instrumentos[[#This Row],[PORTAFOLIO]],'Cálculo Caja'!A:A,0),1)</f>
        <v>26256910350.436607</v>
      </c>
      <c r="AC445" s="17">
        <f>Tabla_Consulta_desde_Reporte_de_Valorización_de_Instrumentos[[#This Row],[VALOR_VECTOR_LOCAL]]/Tabla_Consulta_desde_Reporte_de_Valorización_de_Instrumentos[[#This Row],[Patrimonio]]</f>
        <v>1.1517468578478122E-2</v>
      </c>
      <c r="AD445" s="4">
        <f>(Tabla_Consulta_desde_Reporte_de_Valorización_de_Instrumentos[[#This Row],[VALOR_VECTOR_LOCAL]]/INDEX('Tipo de Cambio'!$D:$D,MATCH("2",'Tipo de Cambio'!$E:$E,0),1))/1000000</f>
        <v>89.979808958633271</v>
      </c>
      <c r="AE445">
        <f>IF(Tabla_Consulta_desde_Reporte_de_Valorización_de_Instrumentos[[#This Row],[PORTAFOLIO]]="IN-FONDO0",Tabla_Consulta_desde_Reporte_de_Valorización_de_Instrumentos[[#This Row],[Inv MM$]],0)</f>
        <v>0</v>
      </c>
      <c r="AF445" s="26">
        <f>IF(Tabla_Consulta_desde_Reporte_de_Valorización_de_Instrumentos[[#This Row],[PORTAFOLIO]]="IN-FONDO1",Tabla_Consulta_desde_Reporte_de_Valorización_de_Instrumentos[[#This Row],[Inv MM$]],0)</f>
        <v>0</v>
      </c>
      <c r="AG445" s="26">
        <f>IF(Tabla_Consulta_desde_Reporte_de_Valorización_de_Instrumentos[[#This Row],[PORTAFOLIO]]="IN-FONDO2",Tabla_Consulta_desde_Reporte_de_Valorización_de_Instrumentos[[#This Row],[Inv MM$]],0)</f>
        <v>89.979808958633271</v>
      </c>
      <c r="AH445" s="26">
        <f>IF(Tabla_Consulta_desde_Reporte_de_Valorización_de_Instrumentos[[#This Row],[PORTAFOLIO]]="IN-FONDO3",Tabla_Consulta_desde_Reporte_de_Valorización_de_Instrumentos[[#This Row],[Inv MM$]],0)</f>
        <v>0</v>
      </c>
      <c r="AI44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89.979808958633271</v>
      </c>
      <c r="AJ445" s="26">
        <f>IFERROR(IFERROR(INDEX('BD(MSCI)'!$T:$T,MATCH(Tabla_Consulta_desde_Reporte_de_Valorización_de_Instrumentos[[#This Row],[CODIGO_ISIN]],'BD(MSCI)'!$C:$C,0),1),INDEX('BD(MSCI)'!$T:$T,MATCH(Tabla_Consulta_desde_Reporte_de_Valorización_de_Instrumentos[[#This Row],[CODIGO_SBS]],'BD(MSCI)'!$C:$C,0),1)),0)</f>
        <v>39.508152340000002</v>
      </c>
      <c r="AK445" s="26">
        <f>Tabla_Consulta_desde_Reporte_de_Valorización_de_Instrumentos[[#This Row],[C02-H]]*Tabla_Consulta_desde_Reporte_de_Valorización_de_Instrumentos[[#This Row],[Inv MM$]]</f>
        <v>3554.9359998617801</v>
      </c>
      <c r="AL445" s="26">
        <f>Tabla_Consulta_desde_Reporte_de_Valorización_de_Instrumentos[[#This Row],[C02-H]]*Tabla_Consulta_desde_Reporte_de_Valorización_de_Instrumentos[[#This Row],[Weight]]</f>
        <v>0.45503390316967696</v>
      </c>
      <c r="AM445" s="26" t="str">
        <f>INDEX(Parametria!G:G,MATCH(Tabla_Consulta_desde_Reporte_de_Valorización_de_Instrumentos[[#This Row],[CODIGO_SBS]],Parametria!C:C,0))</f>
        <v>53ALT</v>
      </c>
      <c r="AN445" s="26" t="str">
        <f>INDEX(Parametria!F:F,MATCH(Tabla_Consulta_desde_Reporte_de_Valorización_de_Instrumentos[[#This Row],[CODIGO_SBS]],Parametria!C:C,0))</f>
        <v>ALT</v>
      </c>
      <c r="AO445" s="26" t="str">
        <f>+INDEX(Parametria!J:J,MATCH(Tabla_Consulta_desde_Reporte_de_Valorización_de_Instrumentos[[#This Row],[CODIGO_SBS]],Parametria!C:C,0))</f>
        <v>ALT</v>
      </c>
      <c r="AP445" s="26">
        <f>Tabla_Consulta_desde_Reporte_de_Valorización_de_Instrumentos[[#This Row],[Huella]]/$AU$4</f>
        <v>0.32955954140533933</v>
      </c>
      <c r="AQ445" s="26" t="str">
        <f>IFERROR(INDEX('BD(MSCI)'!W:W,MATCH(Tabla_Consulta_desde_Reporte_de_Valorización_de_Instrumentos[[#This Row],[CODIGO_ISIN]],'BD(MSCI)'!C:C,0)),IF(Tabla_Consulta_desde_Reporte_de_Valorización_de_Instrumentos[[#This Row],[Rank_rt]]="Cash","Cash","Cuestionario Integra"))</f>
        <v>Proxies</v>
      </c>
      <c r="AR445" s="26" t="str">
        <f>IFERROR(INDEX('BD(MSCI)'!X:X,MATCH(Tabla_Consulta_desde_Reporte_de_Valorización_de_Instrumentos[[#This Row],[CODIGO_ISIN]],'BD(MSCI)'!C:C,0)),"Cuestionario Integra")</f>
        <v>Alts</v>
      </c>
      <c r="AU445" s="26"/>
    </row>
    <row r="446" spans="2:47" hidden="1" x14ac:dyDescent="0.25">
      <c r="B446" s="14" t="s">
        <v>6390</v>
      </c>
      <c r="C446" t="s">
        <v>727</v>
      </c>
      <c r="D446" t="s">
        <v>10</v>
      </c>
      <c r="E446" t="s">
        <v>728</v>
      </c>
      <c r="F446" t="s">
        <v>807</v>
      </c>
      <c r="G446" t="str">
        <f>INDEX(Parametria!H:H,MATCH(Tabla_Consulta_desde_Reporte_de_Valorización_de_Instrumentos[[#This Row],[CODIGO_SBS]],Parametria!C:C,0),1)</f>
        <v>Vista Equity Partners Fund VII GP, L.P.</v>
      </c>
      <c r="H446" t="s">
        <v>807</v>
      </c>
      <c r="I446" t="s">
        <v>156</v>
      </c>
      <c r="J446" t="s">
        <v>808</v>
      </c>
      <c r="K446" t="s">
        <v>50</v>
      </c>
      <c r="L446">
        <v>1</v>
      </c>
      <c r="M446" s="5">
        <v>750227874.08281195</v>
      </c>
      <c r="N446">
        <v>223222313.69062221</v>
      </c>
      <c r="O446">
        <v>23.503587599999999</v>
      </c>
      <c r="P446" s="15">
        <v>47360</v>
      </c>
      <c r="Q446">
        <v>1338</v>
      </c>
      <c r="R446">
        <v>3.3609</v>
      </c>
      <c r="S446" t="s">
        <v>428</v>
      </c>
      <c r="T446">
        <v>750607352.0160861</v>
      </c>
      <c r="U446" s="5">
        <v>223222313.69062221</v>
      </c>
      <c r="V446" t="s">
        <v>156</v>
      </c>
      <c r="W446">
        <v>0</v>
      </c>
      <c r="X446">
        <v>0</v>
      </c>
      <c r="Y446">
        <v>0</v>
      </c>
      <c r="Z446">
        <v>0</v>
      </c>
      <c r="AA446" t="str">
        <f>+MID(Tabla_Consulta_desde_Reporte_de_Valorización_de_Instrumentos[[#This Row],[CODIGO_SBS]],7,1)</f>
        <v>2</v>
      </c>
      <c r="AB446">
        <f>INDEX('Cálculo Caja'!F:F,MATCH(Tabla_Consulta_desde_Reporte_de_Valorización_de_Instrumentos[[#This Row],[PORTAFOLIO]],'Cálculo Caja'!A:A,0),1)</f>
        <v>26256910350.436607</v>
      </c>
      <c r="AC446" s="17">
        <f>Tabla_Consulta_desde_Reporte_de_Valorización_de_Instrumentos[[#This Row],[VALOR_VECTOR_LOCAL]]/Tabla_Consulta_desde_Reporte_de_Valorización_de_Instrumentos[[#This Row],[Patrimonio]]</f>
        <v>2.8572587713860131E-2</v>
      </c>
      <c r="AD446" s="4">
        <f>(Tabla_Consulta_desde_Reporte_de_Valorización_de_Instrumentos[[#This Row],[VALOR_VECTOR_LOCAL]]/INDEX('Tipo de Cambio'!$D:$D,MATCH("2",'Tipo de Cambio'!$E:$E,0),1))/1000000</f>
        <v>223.22231369062214</v>
      </c>
      <c r="AE446">
        <f>IF(Tabla_Consulta_desde_Reporte_de_Valorización_de_Instrumentos[[#This Row],[PORTAFOLIO]]="IN-FONDO0",Tabla_Consulta_desde_Reporte_de_Valorización_de_Instrumentos[[#This Row],[Inv MM$]],0)</f>
        <v>0</v>
      </c>
      <c r="AF446" s="26">
        <f>IF(Tabla_Consulta_desde_Reporte_de_Valorización_de_Instrumentos[[#This Row],[PORTAFOLIO]]="IN-FONDO1",Tabla_Consulta_desde_Reporte_de_Valorización_de_Instrumentos[[#This Row],[Inv MM$]],0)</f>
        <v>0</v>
      </c>
      <c r="AG446" s="26">
        <f>IF(Tabla_Consulta_desde_Reporte_de_Valorización_de_Instrumentos[[#This Row],[PORTAFOLIO]]="IN-FONDO2",Tabla_Consulta_desde_Reporte_de_Valorización_de_Instrumentos[[#This Row],[Inv MM$]],0)</f>
        <v>223.22231369062214</v>
      </c>
      <c r="AH446" s="26">
        <f>IF(Tabla_Consulta_desde_Reporte_de_Valorización_de_Instrumentos[[#This Row],[PORTAFOLIO]]="IN-FONDO3",Tabla_Consulta_desde_Reporte_de_Valorización_de_Instrumentos[[#This Row],[Inv MM$]],0)</f>
        <v>0</v>
      </c>
      <c r="AI44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223.22231369062214</v>
      </c>
      <c r="AJ446" s="26">
        <f>IFERROR(IFERROR(INDEX('BD(MSCI)'!$T:$T,MATCH(Tabla_Consulta_desde_Reporte_de_Valorización_de_Instrumentos[[#This Row],[CODIGO_ISIN]],'BD(MSCI)'!$C:$C,0),1),INDEX('BD(MSCI)'!$T:$T,MATCH(Tabla_Consulta_desde_Reporte_de_Valorización_de_Instrumentos[[#This Row],[CODIGO_SBS]],'BD(MSCI)'!$C:$C,0),1)),0)</f>
        <v>39.508152340000002</v>
      </c>
      <c r="AK446" s="26">
        <f>Tabla_Consulta_desde_Reporte_de_Valorización_de_Instrumentos[[#This Row],[C02-H]]*Tabla_Consulta_desde_Reporte_de_Valorización_de_Instrumentos[[#This Row],[Inv MM$]]</f>
        <v>8819.1011749763675</v>
      </c>
      <c r="AL446" s="26">
        <f>Tabla_Consulta_desde_Reporte_de_Valorización_de_Instrumentos[[#This Row],[C02-H]]*Tabla_Consulta_desde_Reporte_de_Valorización_de_Instrumentos[[#This Row],[Weight]]</f>
        <v>1.1288501481471984</v>
      </c>
      <c r="AM446" s="26" t="str">
        <f>INDEX(Parametria!G:G,MATCH(Tabla_Consulta_desde_Reporte_de_Valorización_de_Instrumentos[[#This Row],[CODIGO_SBS]],Parametria!C:C,0))</f>
        <v>53ALT</v>
      </c>
      <c r="AN446" s="26" t="str">
        <f>INDEX(Parametria!F:F,MATCH(Tabla_Consulta_desde_Reporte_de_Valorización_de_Instrumentos[[#This Row],[CODIGO_SBS]],Parametria!C:C,0))</f>
        <v>ALT</v>
      </c>
      <c r="AO446" s="26" t="str">
        <f>+INDEX(Parametria!J:J,MATCH(Tabla_Consulta_desde_Reporte_de_Valorización_de_Instrumentos[[#This Row],[CODIGO_SBS]],Parametria!C:C,0))</f>
        <v>ALT</v>
      </c>
      <c r="AP446" s="26">
        <f>Tabla_Consulta_desde_Reporte_de_Valorización_de_Instrumentos[[#This Row],[Huella]]/$AU$4</f>
        <v>0.81757278863684346</v>
      </c>
      <c r="AQ446" s="26" t="str">
        <f>IFERROR(INDEX('BD(MSCI)'!W:W,MATCH(Tabla_Consulta_desde_Reporte_de_Valorización_de_Instrumentos[[#This Row],[CODIGO_ISIN]],'BD(MSCI)'!C:C,0)),IF(Tabla_Consulta_desde_Reporte_de_Valorización_de_Instrumentos[[#This Row],[Rank_rt]]="Cash","Cash","Cuestionario Integra"))</f>
        <v>Proxies</v>
      </c>
      <c r="AR446" s="26" t="str">
        <f>IFERROR(INDEX('BD(MSCI)'!X:X,MATCH(Tabla_Consulta_desde_Reporte_de_Valorización_de_Instrumentos[[#This Row],[CODIGO_ISIN]],'BD(MSCI)'!C:C,0)),"Cuestionario Integra")</f>
        <v>Alts</v>
      </c>
      <c r="AU446" s="26"/>
    </row>
    <row r="447" spans="2:47" hidden="1" x14ac:dyDescent="0.25">
      <c r="B447" s="14" t="s">
        <v>6390</v>
      </c>
      <c r="C447" t="s">
        <v>727</v>
      </c>
      <c r="D447" t="s">
        <v>10</v>
      </c>
      <c r="E447" t="s">
        <v>728</v>
      </c>
      <c r="F447" t="s">
        <v>809</v>
      </c>
      <c r="G447" t="str">
        <f>INDEX(Parametria!H:H,MATCH(Tabla_Consulta_desde_Reporte_de_Valorización_de_Instrumentos[[#This Row],[CODIGO_SBS]],Parametria!C:C,0),1)</f>
        <v>Apax X</v>
      </c>
      <c r="H447" t="s">
        <v>809</v>
      </c>
      <c r="I447" t="s">
        <v>156</v>
      </c>
      <c r="J447" t="s">
        <v>810</v>
      </c>
      <c r="K447" t="s">
        <v>50</v>
      </c>
      <c r="L447">
        <v>1</v>
      </c>
      <c r="M447" s="5">
        <v>466633305.23318958</v>
      </c>
      <c r="N447">
        <v>138841770.1309737</v>
      </c>
      <c r="O447">
        <v>33.958432999999999</v>
      </c>
      <c r="P447" s="15">
        <v>47408</v>
      </c>
      <c r="Q447">
        <v>1386</v>
      </c>
      <c r="R447">
        <v>3.3609</v>
      </c>
      <c r="S447" t="s">
        <v>428</v>
      </c>
      <c r="T447">
        <v>466869336.24241221</v>
      </c>
      <c r="U447" s="5">
        <v>138841770.1309737</v>
      </c>
      <c r="V447" t="s">
        <v>156</v>
      </c>
      <c r="W447">
        <v>0</v>
      </c>
      <c r="X447">
        <v>0</v>
      </c>
      <c r="Y447">
        <v>0</v>
      </c>
      <c r="Z447">
        <v>0</v>
      </c>
      <c r="AA447" t="str">
        <f>+MID(Tabla_Consulta_desde_Reporte_de_Valorización_de_Instrumentos[[#This Row],[CODIGO_SBS]],7,1)</f>
        <v>2</v>
      </c>
      <c r="AB447">
        <f>INDEX('Cálculo Caja'!F:F,MATCH(Tabla_Consulta_desde_Reporte_de_Valorización_de_Instrumentos[[#This Row],[PORTAFOLIO]],'Cálculo Caja'!A:A,0),1)</f>
        <v>26256910350.436607</v>
      </c>
      <c r="AC447" s="17">
        <f>Tabla_Consulta_desde_Reporte_de_Valorización_de_Instrumentos[[#This Row],[VALOR_VECTOR_LOCAL]]/Tabla_Consulta_desde_Reporte_de_Valorización_de_Instrumentos[[#This Row],[Patrimonio]]</f>
        <v>1.7771828406514336E-2</v>
      </c>
      <c r="AD447" s="4">
        <f>(Tabla_Consulta_desde_Reporte_de_Valorización_de_Instrumentos[[#This Row],[VALOR_VECTOR_LOCAL]]/INDEX('Tipo de Cambio'!$D:$D,MATCH("2",'Tipo de Cambio'!$E:$E,0),1))/1000000</f>
        <v>138.84177013097371</v>
      </c>
      <c r="AE447">
        <f>IF(Tabla_Consulta_desde_Reporte_de_Valorización_de_Instrumentos[[#This Row],[PORTAFOLIO]]="IN-FONDO0",Tabla_Consulta_desde_Reporte_de_Valorización_de_Instrumentos[[#This Row],[Inv MM$]],0)</f>
        <v>0</v>
      </c>
      <c r="AF447" s="26">
        <f>IF(Tabla_Consulta_desde_Reporte_de_Valorización_de_Instrumentos[[#This Row],[PORTAFOLIO]]="IN-FONDO1",Tabla_Consulta_desde_Reporte_de_Valorización_de_Instrumentos[[#This Row],[Inv MM$]],0)</f>
        <v>0</v>
      </c>
      <c r="AG447" s="26">
        <f>IF(Tabla_Consulta_desde_Reporte_de_Valorización_de_Instrumentos[[#This Row],[PORTAFOLIO]]="IN-FONDO2",Tabla_Consulta_desde_Reporte_de_Valorización_de_Instrumentos[[#This Row],[Inv MM$]],0)</f>
        <v>138.84177013097371</v>
      </c>
      <c r="AH447" s="26">
        <f>IF(Tabla_Consulta_desde_Reporte_de_Valorización_de_Instrumentos[[#This Row],[PORTAFOLIO]]="IN-FONDO3",Tabla_Consulta_desde_Reporte_de_Valorización_de_Instrumentos[[#This Row],[Inv MM$]],0)</f>
        <v>0</v>
      </c>
      <c r="AI44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138.84177013097371</v>
      </c>
      <c r="AJ447" s="26">
        <f>IFERROR(IFERROR(INDEX('BD(MSCI)'!$T:$T,MATCH(Tabla_Consulta_desde_Reporte_de_Valorización_de_Instrumentos[[#This Row],[CODIGO_ISIN]],'BD(MSCI)'!$C:$C,0),1),INDEX('BD(MSCI)'!$T:$T,MATCH(Tabla_Consulta_desde_Reporte_de_Valorización_de_Instrumentos[[#This Row],[CODIGO_SBS]],'BD(MSCI)'!$C:$C,0),1)),0)</f>
        <v>39.508152340000002</v>
      </c>
      <c r="AK447" s="26">
        <f>Tabla_Consulta_desde_Reporte_de_Valorización_de_Instrumentos[[#This Row],[C02-H]]*Tabla_Consulta_desde_Reporte_de_Valorización_de_Instrumentos[[#This Row],[Inv MM$]]</f>
        <v>5485.381805489772</v>
      </c>
      <c r="AL447" s="26">
        <f>Tabla_Consulta_desde_Reporte_de_Valorización_de_Instrumentos[[#This Row],[C02-H]]*Tabla_Consulta_desde_Reporte_de_Valorización_de_Instrumentos[[#This Row],[Weight]]</f>
        <v>0.70213210404490789</v>
      </c>
      <c r="AM447" s="26" t="str">
        <f>INDEX(Parametria!G:G,MATCH(Tabla_Consulta_desde_Reporte_de_Valorización_de_Instrumentos[[#This Row],[CODIGO_SBS]],Parametria!C:C,0))</f>
        <v>53ALT</v>
      </c>
      <c r="AN447" s="26" t="str">
        <f>INDEX(Parametria!F:F,MATCH(Tabla_Consulta_desde_Reporte_de_Valorización_de_Instrumentos[[#This Row],[CODIGO_SBS]],Parametria!C:C,0))</f>
        <v>ALT</v>
      </c>
      <c r="AO447" s="26" t="str">
        <f>+INDEX(Parametria!J:J,MATCH(Tabla_Consulta_desde_Reporte_de_Valorización_de_Instrumentos[[#This Row],[CODIGO_SBS]],Parametria!C:C,0))</f>
        <v>ALT</v>
      </c>
      <c r="AP447" s="26">
        <f>Tabla_Consulta_desde_Reporte_de_Valorización_de_Instrumentos[[#This Row],[Huella]]/$AU$4</f>
        <v>0.50852108513927929</v>
      </c>
      <c r="AQ447" s="26" t="str">
        <f>IFERROR(INDEX('BD(MSCI)'!W:W,MATCH(Tabla_Consulta_desde_Reporte_de_Valorización_de_Instrumentos[[#This Row],[CODIGO_ISIN]],'BD(MSCI)'!C:C,0)),IF(Tabla_Consulta_desde_Reporte_de_Valorización_de_Instrumentos[[#This Row],[Rank_rt]]="Cash","Cash","Cuestionario Integra"))</f>
        <v>Proxies</v>
      </c>
      <c r="AR447" s="26" t="str">
        <f>IFERROR(INDEX('BD(MSCI)'!X:X,MATCH(Tabla_Consulta_desde_Reporte_de_Valorización_de_Instrumentos[[#This Row],[CODIGO_ISIN]],'BD(MSCI)'!C:C,0)),"Cuestionario Integra")</f>
        <v>Alts</v>
      </c>
      <c r="AU447" s="26"/>
    </row>
    <row r="448" spans="2:47" hidden="1" x14ac:dyDescent="0.25">
      <c r="B448" s="14" t="s">
        <v>6390</v>
      </c>
      <c r="C448" t="s">
        <v>727</v>
      </c>
      <c r="D448" t="s">
        <v>10</v>
      </c>
      <c r="E448" t="s">
        <v>728</v>
      </c>
      <c r="F448" t="s">
        <v>811</v>
      </c>
      <c r="G448" t="str">
        <f>INDEX(Parametria!H:H,MATCH(Tabla_Consulta_desde_Reporte_de_Valorización_de_Instrumentos[[#This Row],[CODIGO_SBS]],Parametria!C:C,0),1)</f>
        <v>Global Infrastructure GP IV, L.P.</v>
      </c>
      <c r="H448" t="s">
        <v>811</v>
      </c>
      <c r="I448" t="s">
        <v>156</v>
      </c>
      <c r="J448" t="s">
        <v>812</v>
      </c>
      <c r="K448" t="s">
        <v>50</v>
      </c>
      <c r="L448">
        <v>1</v>
      </c>
      <c r="M448" s="5">
        <v>315260163.52331293</v>
      </c>
      <c r="N448">
        <v>93802304.002890006</v>
      </c>
      <c r="O448">
        <v>914.99999319999995</v>
      </c>
      <c r="P448" s="15">
        <v>47317</v>
      </c>
      <c r="Q448">
        <v>1295</v>
      </c>
      <c r="R448">
        <v>3.3609</v>
      </c>
      <c r="S448" t="s">
        <v>428</v>
      </c>
      <c r="T448">
        <v>315419627.44011778</v>
      </c>
      <c r="U448" s="5">
        <v>93802304.002890006</v>
      </c>
      <c r="V448" t="s">
        <v>156</v>
      </c>
      <c r="W448">
        <v>0</v>
      </c>
      <c r="X448">
        <v>0</v>
      </c>
      <c r="Y448">
        <v>0</v>
      </c>
      <c r="Z448">
        <v>0</v>
      </c>
      <c r="AA448" t="str">
        <f>+MID(Tabla_Consulta_desde_Reporte_de_Valorización_de_Instrumentos[[#This Row],[CODIGO_SBS]],7,1)</f>
        <v>2</v>
      </c>
      <c r="AB448">
        <f>INDEX('Cálculo Caja'!F:F,MATCH(Tabla_Consulta_desde_Reporte_de_Valorización_de_Instrumentos[[#This Row],[PORTAFOLIO]],'Cálculo Caja'!A:A,0),1)</f>
        <v>26256910350.436607</v>
      </c>
      <c r="AC448" s="17">
        <f>Tabla_Consulta_desde_Reporte_de_Valorización_de_Instrumentos[[#This Row],[VALOR_VECTOR_LOCAL]]/Tabla_Consulta_desde_Reporte_de_Valorización_de_Instrumentos[[#This Row],[Patrimonio]]</f>
        <v>1.2006750197022732E-2</v>
      </c>
      <c r="AD448" s="4">
        <f>(Tabla_Consulta_desde_Reporte_de_Valorización_de_Instrumentos[[#This Row],[VALOR_VECTOR_LOCAL]]/INDEX('Tipo de Cambio'!$D:$D,MATCH("2",'Tipo de Cambio'!$E:$E,0),1))/1000000</f>
        <v>93.802304002889983</v>
      </c>
      <c r="AE448">
        <f>IF(Tabla_Consulta_desde_Reporte_de_Valorización_de_Instrumentos[[#This Row],[PORTAFOLIO]]="IN-FONDO0",Tabla_Consulta_desde_Reporte_de_Valorización_de_Instrumentos[[#This Row],[Inv MM$]],0)</f>
        <v>0</v>
      </c>
      <c r="AF448" s="26">
        <f>IF(Tabla_Consulta_desde_Reporte_de_Valorización_de_Instrumentos[[#This Row],[PORTAFOLIO]]="IN-FONDO1",Tabla_Consulta_desde_Reporte_de_Valorización_de_Instrumentos[[#This Row],[Inv MM$]],0)</f>
        <v>0</v>
      </c>
      <c r="AG448" s="26">
        <f>IF(Tabla_Consulta_desde_Reporte_de_Valorización_de_Instrumentos[[#This Row],[PORTAFOLIO]]="IN-FONDO2",Tabla_Consulta_desde_Reporte_de_Valorización_de_Instrumentos[[#This Row],[Inv MM$]],0)</f>
        <v>93.802304002889983</v>
      </c>
      <c r="AH448" s="26">
        <f>IF(Tabla_Consulta_desde_Reporte_de_Valorización_de_Instrumentos[[#This Row],[PORTAFOLIO]]="IN-FONDO3",Tabla_Consulta_desde_Reporte_de_Valorización_de_Instrumentos[[#This Row],[Inv MM$]],0)</f>
        <v>0</v>
      </c>
      <c r="AI44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102.51618100465856</v>
      </c>
      <c r="AJ448" s="26">
        <f>IFERROR(IFERROR(INDEX('BD(MSCI)'!$T:$T,MATCH(Tabla_Consulta_desde_Reporte_de_Valorización_de_Instrumentos[[#This Row],[CODIGO_ISIN]],'BD(MSCI)'!$C:$C,0),1),INDEX('BD(MSCI)'!$T:$T,MATCH(Tabla_Consulta_desde_Reporte_de_Valorización_de_Instrumentos[[#This Row],[CODIGO_SBS]],'BD(MSCI)'!$C:$C,0),1)),0)</f>
        <v>149.02999262</v>
      </c>
      <c r="AK448" s="26">
        <f>Tabla_Consulta_desde_Reporte_de_Valorización_de_Instrumentos[[#This Row],[C02-H]]*Tabla_Consulta_desde_Reporte_de_Valorización_de_Instrumentos[[#This Row],[Inv MM$]]</f>
        <v>13979.356673289691</v>
      </c>
      <c r="AL448" s="26">
        <f>Tabla_Consulta_desde_Reporte_de_Valorización_de_Instrumentos[[#This Row],[C02-H]]*Tabla_Consulta_desde_Reporte_de_Valorización_de_Instrumentos[[#This Row],[Weight]]</f>
        <v>1.7893658932524812</v>
      </c>
      <c r="AM448" s="26" t="str">
        <f>INDEX(Parametria!G:G,MATCH(Tabla_Consulta_desde_Reporte_de_Valorización_de_Instrumentos[[#This Row],[CODIGO_SBS]],Parametria!C:C,0))</f>
        <v>53ALT</v>
      </c>
      <c r="AN448" s="26" t="str">
        <f>INDEX(Parametria!F:F,MATCH(Tabla_Consulta_desde_Reporte_de_Valorización_de_Instrumentos[[#This Row],[CODIGO_SBS]],Parametria!C:C,0))</f>
        <v>ALT</v>
      </c>
      <c r="AO448" s="26" t="str">
        <f>+INDEX(Parametria!J:J,MATCH(Tabla_Consulta_desde_Reporte_de_Valorización_de_Instrumentos[[#This Row],[CODIGO_SBS]],Parametria!C:C,0))</f>
        <v>ALT</v>
      </c>
      <c r="AP448" s="26">
        <f>Tabla_Consulta_desde_Reporte_de_Valorización_de_Instrumentos[[#This Row],[Huella]]/$AU$4</f>
        <v>1.2959531126777379</v>
      </c>
      <c r="AQ448" s="26" t="str">
        <f>IFERROR(INDEX('BD(MSCI)'!W:W,MATCH(Tabla_Consulta_desde_Reporte_de_Valorización_de_Instrumentos[[#This Row],[CODIGO_ISIN]],'BD(MSCI)'!C:C,0)),IF(Tabla_Consulta_desde_Reporte_de_Valorización_de_Instrumentos[[#This Row],[Rank_rt]]="Cash","Cash","Cuestionario Integra"))</f>
        <v>Proxies</v>
      </c>
      <c r="AR448" s="26" t="str">
        <f>IFERROR(INDEX('BD(MSCI)'!X:X,MATCH(Tabla_Consulta_desde_Reporte_de_Valorización_de_Instrumentos[[#This Row],[CODIGO_ISIN]],'BD(MSCI)'!C:C,0)),"Cuestionario Integra")</f>
        <v>Alts</v>
      </c>
      <c r="AU448" s="26"/>
    </row>
    <row r="449" spans="2:47" hidden="1" x14ac:dyDescent="0.25">
      <c r="B449" s="14" t="s">
        <v>6390</v>
      </c>
      <c r="C449" t="s">
        <v>727</v>
      </c>
      <c r="D449" t="s">
        <v>11</v>
      </c>
      <c r="E449" t="s">
        <v>728</v>
      </c>
      <c r="F449" t="s">
        <v>811</v>
      </c>
      <c r="G449" t="str">
        <f>INDEX(Parametria!H:H,MATCH(Tabla_Consulta_desde_Reporte_de_Valorización_de_Instrumentos[[#This Row],[CODIGO_SBS]],Parametria!C:C,0),1)</f>
        <v>Global Infrastructure GP IV, L.P.</v>
      </c>
      <c r="H449" t="s">
        <v>811</v>
      </c>
      <c r="I449" t="s">
        <v>156</v>
      </c>
      <c r="J449" t="s">
        <v>812</v>
      </c>
      <c r="K449" t="s">
        <v>50</v>
      </c>
      <c r="L449">
        <v>1</v>
      </c>
      <c r="M449" s="5">
        <v>29286469.215243999</v>
      </c>
      <c r="N449">
        <v>8713877.0017686002</v>
      </c>
      <c r="O449">
        <v>85.000016599999995</v>
      </c>
      <c r="P449" s="15">
        <v>47317</v>
      </c>
      <c r="Q449">
        <v>1295</v>
      </c>
      <c r="R449">
        <v>3.3609</v>
      </c>
      <c r="S449" t="s">
        <v>428</v>
      </c>
      <c r="T449">
        <v>29301282.806147002</v>
      </c>
      <c r="U449" s="5">
        <v>8713877.0017686002</v>
      </c>
      <c r="V449" t="s">
        <v>156</v>
      </c>
      <c r="W449">
        <v>0</v>
      </c>
      <c r="X449">
        <v>0</v>
      </c>
      <c r="Y449">
        <v>0</v>
      </c>
      <c r="Z449">
        <v>0</v>
      </c>
      <c r="AA449" t="str">
        <f>+MID(Tabla_Consulta_desde_Reporte_de_Valorización_de_Instrumentos[[#This Row],[CODIGO_SBS]],7,1)</f>
        <v>2</v>
      </c>
      <c r="AB449">
        <f>INDEX('Cálculo Caja'!F:F,MATCH(Tabla_Consulta_desde_Reporte_de_Valorización_de_Instrumentos[[#This Row],[PORTAFOLIO]],'Cálculo Caja'!A:A,0),1)</f>
        <v>3164069580.822104</v>
      </c>
      <c r="AC449" s="17">
        <f>Tabla_Consulta_desde_Reporte_de_Valorización_de_Instrumentos[[#This Row],[VALOR_VECTOR_LOCAL]]/Tabla_Consulta_desde_Reporte_de_Valorización_de_Instrumentos[[#This Row],[Patrimonio]]</f>
        <v>9.2559498036179876E-3</v>
      </c>
      <c r="AD449" s="4">
        <f>(Tabla_Consulta_desde_Reporte_de_Valorización_de_Instrumentos[[#This Row],[VALOR_VECTOR_LOCAL]]/INDEX('Tipo de Cambio'!$D:$D,MATCH("2",'Tipo de Cambio'!$E:$E,0),1))/1000000</f>
        <v>8.7138770017685747</v>
      </c>
      <c r="AE449">
        <f>IF(Tabla_Consulta_desde_Reporte_de_Valorización_de_Instrumentos[[#This Row],[PORTAFOLIO]]="IN-FONDO0",Tabla_Consulta_desde_Reporte_de_Valorización_de_Instrumentos[[#This Row],[Inv MM$]],0)</f>
        <v>0</v>
      </c>
      <c r="AF449" s="26">
        <f>IF(Tabla_Consulta_desde_Reporte_de_Valorización_de_Instrumentos[[#This Row],[PORTAFOLIO]]="IN-FONDO1",Tabla_Consulta_desde_Reporte_de_Valorización_de_Instrumentos[[#This Row],[Inv MM$]],0)</f>
        <v>0</v>
      </c>
      <c r="AG449" s="26">
        <f>IF(Tabla_Consulta_desde_Reporte_de_Valorización_de_Instrumentos[[#This Row],[PORTAFOLIO]]="IN-FONDO2",Tabla_Consulta_desde_Reporte_de_Valorización_de_Instrumentos[[#This Row],[Inv MM$]],0)</f>
        <v>0</v>
      </c>
      <c r="AH449" s="26">
        <f>IF(Tabla_Consulta_desde_Reporte_de_Valorización_de_Instrumentos[[#This Row],[PORTAFOLIO]]="IN-FONDO3",Tabla_Consulta_desde_Reporte_de_Valorización_de_Instrumentos[[#This Row],[Inv MM$]],0)</f>
        <v>8.7138770017685747</v>
      </c>
      <c r="AI44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102.51618100465856</v>
      </c>
      <c r="AJ449" s="26">
        <f>IFERROR(IFERROR(INDEX('BD(MSCI)'!$T:$T,MATCH(Tabla_Consulta_desde_Reporte_de_Valorización_de_Instrumentos[[#This Row],[CODIGO_ISIN]],'BD(MSCI)'!$C:$C,0),1),INDEX('BD(MSCI)'!$T:$T,MATCH(Tabla_Consulta_desde_Reporte_de_Valorización_de_Instrumentos[[#This Row],[CODIGO_SBS]],'BD(MSCI)'!$C:$C,0),1)),0)</f>
        <v>149.02999262</v>
      </c>
      <c r="AK449" s="26">
        <f>Tabla_Consulta_desde_Reporte_de_Valorización_de_Instrumentos[[#This Row],[C02-H]]*Tabla_Consulta_desde_Reporte_de_Valorización_de_Instrumentos[[#This Row],[Inv MM$]]</f>
        <v>1298.6290252651584</v>
      </c>
      <c r="AL449" s="26">
        <f>Tabla_Consulta_desde_Reporte_de_Valorización_de_Instrumentos[[#This Row],[C02-H]]*Tabla_Consulta_desde_Reporte_de_Valorización_de_Instrumentos[[#This Row],[Weight]]</f>
        <v>1.3794141309242791</v>
      </c>
      <c r="AM449" s="26" t="str">
        <f>INDEX(Parametria!G:G,MATCH(Tabla_Consulta_desde_Reporte_de_Valorización_de_Instrumentos[[#This Row],[CODIGO_SBS]],Parametria!C:C,0))</f>
        <v>53ALT</v>
      </c>
      <c r="AN449" s="26" t="str">
        <f>INDEX(Parametria!F:F,MATCH(Tabla_Consulta_desde_Reporte_de_Valorización_de_Instrumentos[[#This Row],[CODIGO_SBS]],Parametria!C:C,0))</f>
        <v>ALT</v>
      </c>
      <c r="AO449" s="26" t="str">
        <f>+INDEX(Parametria!J:J,MATCH(Tabla_Consulta_desde_Reporte_de_Valorización_de_Instrumentos[[#This Row],[CODIGO_SBS]],Parametria!C:C,0))</f>
        <v>ALT</v>
      </c>
      <c r="AP449" s="26">
        <f>Tabla_Consulta_desde_Reporte_de_Valorización_de_Instrumentos[[#This Row],[Huella]]/$AU$4</f>
        <v>0.12038911137603843</v>
      </c>
      <c r="AQ449" s="26" t="str">
        <f>IFERROR(INDEX('BD(MSCI)'!W:W,MATCH(Tabla_Consulta_desde_Reporte_de_Valorización_de_Instrumentos[[#This Row],[CODIGO_ISIN]],'BD(MSCI)'!C:C,0)),IF(Tabla_Consulta_desde_Reporte_de_Valorización_de_Instrumentos[[#This Row],[Rank_rt]]="Cash","Cash","Cuestionario Integra"))</f>
        <v>Proxies</v>
      </c>
      <c r="AR449" s="26" t="str">
        <f>IFERROR(INDEX('BD(MSCI)'!X:X,MATCH(Tabla_Consulta_desde_Reporte_de_Valorización_de_Instrumentos[[#This Row],[CODIGO_ISIN]],'BD(MSCI)'!C:C,0)),"Cuestionario Integra")</f>
        <v>Alts</v>
      </c>
      <c r="AU449" s="26"/>
    </row>
    <row r="450" spans="2:47" hidden="1" x14ac:dyDescent="0.25">
      <c r="B450" s="14" t="s">
        <v>6390</v>
      </c>
      <c r="C450" t="s">
        <v>727</v>
      </c>
      <c r="D450" t="s">
        <v>10</v>
      </c>
      <c r="E450" t="s">
        <v>728</v>
      </c>
      <c r="F450" t="s">
        <v>813</v>
      </c>
      <c r="G450" t="str">
        <f>INDEX(Parametria!H:H,MATCH(Tabla_Consulta_desde_Reporte_de_Valorización_de_Instrumentos[[#This Row],[CODIGO_SBS]],Parametria!C:C,0),1)</f>
        <v>Blackstone Real Estate Associates Europe VI</v>
      </c>
      <c r="H450" t="s">
        <v>813</v>
      </c>
      <c r="I450" t="s">
        <v>156</v>
      </c>
      <c r="J450" t="s">
        <v>814</v>
      </c>
      <c r="K450" t="s">
        <v>50</v>
      </c>
      <c r="L450">
        <v>1</v>
      </c>
      <c r="M450" s="5">
        <v>250835938.69024989</v>
      </c>
      <c r="N450">
        <v>74633562.048930302</v>
      </c>
      <c r="O450">
        <v>9.0002978000000002</v>
      </c>
      <c r="P450" s="15">
        <v>47422</v>
      </c>
      <c r="Q450">
        <v>1400</v>
      </c>
      <c r="R450">
        <v>3.3609</v>
      </c>
      <c r="S450" t="s">
        <v>428</v>
      </c>
      <c r="T450">
        <v>250962815.74573311</v>
      </c>
      <c r="U450" s="5">
        <v>74633562.048930302</v>
      </c>
      <c r="V450" t="s">
        <v>156</v>
      </c>
      <c r="W450">
        <v>0</v>
      </c>
      <c r="X450">
        <v>0</v>
      </c>
      <c r="Y450">
        <v>0</v>
      </c>
      <c r="Z450">
        <v>0</v>
      </c>
      <c r="AA450" t="str">
        <f>+MID(Tabla_Consulta_desde_Reporte_de_Valorización_de_Instrumentos[[#This Row],[CODIGO_SBS]],7,1)</f>
        <v>2</v>
      </c>
      <c r="AB450">
        <f>INDEX('Cálculo Caja'!F:F,MATCH(Tabla_Consulta_desde_Reporte_de_Valorización_de_Instrumentos[[#This Row],[PORTAFOLIO]],'Cálculo Caja'!A:A,0),1)</f>
        <v>26256910350.436607</v>
      </c>
      <c r="AC450" s="17">
        <f>Tabla_Consulta_desde_Reporte_de_Valorización_de_Instrumentos[[#This Row],[VALOR_VECTOR_LOCAL]]/Tabla_Consulta_desde_Reporte_de_Valorización_de_Instrumentos[[#This Row],[Patrimonio]]</f>
        <v>9.5531399293549753E-3</v>
      </c>
      <c r="AD450" s="4">
        <f>(Tabla_Consulta_desde_Reporte_de_Valorización_de_Instrumentos[[#This Row],[VALOR_VECTOR_LOCAL]]/INDEX('Tipo de Cambio'!$D:$D,MATCH("2",'Tipo de Cambio'!$E:$E,0),1))/1000000</f>
        <v>74.633562048930315</v>
      </c>
      <c r="AE450">
        <f>IF(Tabla_Consulta_desde_Reporte_de_Valorización_de_Instrumentos[[#This Row],[PORTAFOLIO]]="IN-FONDO0",Tabla_Consulta_desde_Reporte_de_Valorización_de_Instrumentos[[#This Row],[Inv MM$]],0)</f>
        <v>0</v>
      </c>
      <c r="AF450" s="26">
        <f>IF(Tabla_Consulta_desde_Reporte_de_Valorización_de_Instrumentos[[#This Row],[PORTAFOLIO]]="IN-FONDO1",Tabla_Consulta_desde_Reporte_de_Valorización_de_Instrumentos[[#This Row],[Inv MM$]],0)</f>
        <v>0</v>
      </c>
      <c r="AG450" s="26">
        <f>IF(Tabla_Consulta_desde_Reporte_de_Valorización_de_Instrumentos[[#This Row],[PORTAFOLIO]]="IN-FONDO2",Tabla_Consulta_desde_Reporte_de_Valorización_de_Instrumentos[[#This Row],[Inv MM$]],0)</f>
        <v>74.633562048930315</v>
      </c>
      <c r="AH450" s="26">
        <f>IF(Tabla_Consulta_desde_Reporte_de_Valorización_de_Instrumentos[[#This Row],[PORTAFOLIO]]="IN-FONDO3",Tabla_Consulta_desde_Reporte_de_Valorización_de_Instrumentos[[#This Row],[Inv MM$]],0)</f>
        <v>0</v>
      </c>
      <c r="AI45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74.633562048930315</v>
      </c>
      <c r="AJ450" s="26">
        <f>IFERROR(IFERROR(INDEX('BD(MSCI)'!$T:$T,MATCH(Tabla_Consulta_desde_Reporte_de_Valorización_de_Instrumentos[[#This Row],[CODIGO_ISIN]],'BD(MSCI)'!$C:$C,0),1),INDEX('BD(MSCI)'!$T:$T,MATCH(Tabla_Consulta_desde_Reporte_de_Valorización_de_Instrumentos[[#This Row],[CODIGO_SBS]],'BD(MSCI)'!$C:$C,0),1)),0)</f>
        <v>6.5545844899999999</v>
      </c>
      <c r="AK450" s="26">
        <f>Tabla_Consulta_desde_Reporte_de_Valorización_de_Instrumentos[[#This Row],[C02-H]]*Tabla_Consulta_desde_Reporte_de_Valorización_de_Instrumentos[[#This Row],[Inv MM$]]</f>
        <v>489.19198823937126</v>
      </c>
      <c r="AL450" s="26">
        <f>Tabla_Consulta_desde_Reporte_de_Valorización_de_Instrumentos[[#This Row],[C02-H]]*Tabla_Consulta_desde_Reporte_de_Valorización_de_Instrumentos[[#This Row],[Weight]]</f>
        <v>6.2616862811749815E-2</v>
      </c>
      <c r="AM450" s="26" t="str">
        <f>INDEX(Parametria!G:G,MATCH(Tabla_Consulta_desde_Reporte_de_Valorización_de_Instrumentos[[#This Row],[CODIGO_SBS]],Parametria!C:C,0))</f>
        <v>53ALT</v>
      </c>
      <c r="AN450" s="26" t="str">
        <f>INDEX(Parametria!F:F,MATCH(Tabla_Consulta_desde_Reporte_de_Valorización_de_Instrumentos[[#This Row],[CODIGO_SBS]],Parametria!C:C,0))</f>
        <v>ALT</v>
      </c>
      <c r="AO450" s="26" t="str">
        <f>+INDEX(Parametria!J:J,MATCH(Tabla_Consulta_desde_Reporte_de_Valorización_de_Instrumentos[[#This Row],[CODIGO_SBS]],Parametria!C:C,0))</f>
        <v>ALT</v>
      </c>
      <c r="AP450" s="26">
        <f>Tabla_Consulta_desde_Reporte_de_Valorización_de_Instrumentos[[#This Row],[Huella]]/$AU$4</f>
        <v>4.535043311879642E-2</v>
      </c>
      <c r="AQ450" s="26" t="str">
        <f>IFERROR(INDEX('BD(MSCI)'!W:W,MATCH(Tabla_Consulta_desde_Reporte_de_Valorización_de_Instrumentos[[#This Row],[CODIGO_ISIN]],'BD(MSCI)'!C:C,0)),IF(Tabla_Consulta_desde_Reporte_de_Valorización_de_Instrumentos[[#This Row],[Rank_rt]]="Cash","Cash","Cuestionario Integra"))</f>
        <v>Proxies</v>
      </c>
      <c r="AR450" s="26" t="str">
        <f>IFERROR(INDEX('BD(MSCI)'!X:X,MATCH(Tabla_Consulta_desde_Reporte_de_Valorización_de_Instrumentos[[#This Row],[CODIGO_ISIN]],'BD(MSCI)'!C:C,0)),"Cuestionario Integra")</f>
        <v>Alts</v>
      </c>
      <c r="AU450" s="26"/>
    </row>
    <row r="451" spans="2:47" hidden="1" x14ac:dyDescent="0.25">
      <c r="B451" s="14" t="s">
        <v>6390</v>
      </c>
      <c r="C451" t="s">
        <v>727</v>
      </c>
      <c r="D451" t="s">
        <v>10</v>
      </c>
      <c r="E451" t="s">
        <v>728</v>
      </c>
      <c r="F451" t="s">
        <v>815</v>
      </c>
      <c r="G451" t="str">
        <f>INDEX(Parametria!H:H,MATCH(Tabla_Consulta_desde_Reporte_de_Valorización_de_Instrumentos[[#This Row],[CODIGO_SBS]],Parametria!C:C,0),1)</f>
        <v>ASF Cosmos Co-Invest L.P.</v>
      </c>
      <c r="H451" t="s">
        <v>815</v>
      </c>
      <c r="I451" t="s">
        <v>156</v>
      </c>
      <c r="J451" t="s">
        <v>816</v>
      </c>
      <c r="K451" t="s">
        <v>50</v>
      </c>
      <c r="L451">
        <v>1</v>
      </c>
      <c r="M451" s="5">
        <v>89731899.502027795</v>
      </c>
      <c r="N451">
        <v>26698771.0143199</v>
      </c>
      <c r="O451">
        <v>28.9735105</v>
      </c>
      <c r="P451" s="15">
        <v>47820</v>
      </c>
      <c r="Q451">
        <v>1798</v>
      </c>
      <c r="R451">
        <v>3.3609</v>
      </c>
      <c r="S451" t="s">
        <v>428</v>
      </c>
      <c r="T451">
        <v>89777287.412752107</v>
      </c>
      <c r="U451" s="5">
        <v>26698771.0143199</v>
      </c>
      <c r="V451" t="s">
        <v>156</v>
      </c>
      <c r="W451">
        <v>0</v>
      </c>
      <c r="X451">
        <v>0</v>
      </c>
      <c r="Y451">
        <v>0</v>
      </c>
      <c r="Z451">
        <v>0</v>
      </c>
      <c r="AA451" t="str">
        <f>+MID(Tabla_Consulta_desde_Reporte_de_Valorización_de_Instrumentos[[#This Row],[CODIGO_SBS]],7,1)</f>
        <v>2</v>
      </c>
      <c r="AB451">
        <f>INDEX('Cálculo Caja'!F:F,MATCH(Tabla_Consulta_desde_Reporte_de_Valorización_de_Instrumentos[[#This Row],[PORTAFOLIO]],'Cálculo Caja'!A:A,0),1)</f>
        <v>26256910350.436607</v>
      </c>
      <c r="AC451" s="17">
        <f>Tabla_Consulta_desde_Reporte_de_Valorización_de_Instrumentos[[#This Row],[VALOR_VECTOR_LOCAL]]/Tabla_Consulta_desde_Reporte_de_Valorización_de_Instrumentos[[#This Row],[Patrimonio]]</f>
        <v>3.4174584253983146E-3</v>
      </c>
      <c r="AD451" s="4">
        <f>(Tabla_Consulta_desde_Reporte_de_Valorización_de_Instrumentos[[#This Row],[VALOR_VECTOR_LOCAL]]/INDEX('Tipo de Cambio'!$D:$D,MATCH("2",'Tipo de Cambio'!$E:$E,0),1))/1000000</f>
        <v>26.698771014319913</v>
      </c>
      <c r="AE451">
        <f>IF(Tabla_Consulta_desde_Reporte_de_Valorización_de_Instrumentos[[#This Row],[PORTAFOLIO]]="IN-FONDO0",Tabla_Consulta_desde_Reporte_de_Valorización_de_Instrumentos[[#This Row],[Inv MM$]],0)</f>
        <v>0</v>
      </c>
      <c r="AF451" s="26">
        <f>IF(Tabla_Consulta_desde_Reporte_de_Valorización_de_Instrumentos[[#This Row],[PORTAFOLIO]]="IN-FONDO1",Tabla_Consulta_desde_Reporte_de_Valorización_de_Instrumentos[[#This Row],[Inv MM$]],0)</f>
        <v>0</v>
      </c>
      <c r="AG451" s="26">
        <f>IF(Tabla_Consulta_desde_Reporte_de_Valorización_de_Instrumentos[[#This Row],[PORTAFOLIO]]="IN-FONDO2",Tabla_Consulta_desde_Reporte_de_Valorización_de_Instrumentos[[#This Row],[Inv MM$]],0)</f>
        <v>26.698771014319913</v>
      </c>
      <c r="AH451" s="26">
        <f>IF(Tabla_Consulta_desde_Reporte_de_Valorización_de_Instrumentos[[#This Row],[PORTAFOLIO]]="IN-FONDO3",Tabla_Consulta_desde_Reporte_de_Valorización_de_Instrumentos[[#This Row],[Inv MM$]],0)</f>
        <v>0</v>
      </c>
      <c r="AI45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26.698771014319913</v>
      </c>
      <c r="AJ451" s="26">
        <f>IFERROR(IFERROR(INDEX('BD(MSCI)'!$T:$T,MATCH(Tabla_Consulta_desde_Reporte_de_Valorización_de_Instrumentos[[#This Row],[CODIGO_ISIN]],'BD(MSCI)'!$C:$C,0),1),INDEX('BD(MSCI)'!$T:$T,MATCH(Tabla_Consulta_desde_Reporte_de_Valorización_de_Instrumentos[[#This Row],[CODIGO_SBS]],'BD(MSCI)'!$C:$C,0),1)),0)</f>
        <v>39.508152340000002</v>
      </c>
      <c r="AK451" s="26">
        <f>Tabla_Consulta_desde_Reporte_de_Valorización_de_Instrumentos[[#This Row],[C02-H]]*Tabla_Consulta_desde_Reporte_de_Valorización_de_Instrumentos[[#This Row],[Inv MM$]]</f>
        <v>1054.8191125245276</v>
      </c>
      <c r="AL451" s="26">
        <f>Tabla_Consulta_desde_Reporte_de_Valorización_de_Instrumentos[[#This Row],[C02-H]]*Tabla_Consulta_desde_Reporte_de_Valorización_de_Instrumentos[[#This Row],[Weight]]</f>
        <v>0.13501746808625315</v>
      </c>
      <c r="AM451" s="26" t="str">
        <f>INDEX(Parametria!G:G,MATCH(Tabla_Consulta_desde_Reporte_de_Valorización_de_Instrumentos[[#This Row],[CODIGO_SBS]],Parametria!C:C,0))</f>
        <v>53ALT</v>
      </c>
      <c r="AN451" s="26" t="str">
        <f>INDEX(Parametria!F:F,MATCH(Tabla_Consulta_desde_Reporte_de_Valorización_de_Instrumentos[[#This Row],[CODIGO_SBS]],Parametria!C:C,0))</f>
        <v>ALT</v>
      </c>
      <c r="AO451" s="26" t="str">
        <f>+INDEX(Parametria!J:J,MATCH(Tabla_Consulta_desde_Reporte_de_Valorización_de_Instrumentos[[#This Row],[CODIGO_SBS]],Parametria!C:C,0))</f>
        <v>ALT</v>
      </c>
      <c r="AP451" s="26">
        <f>Tabla_Consulta_desde_Reporte_de_Valorización_de_Instrumentos[[#This Row],[Huella]]/$AU$4</f>
        <v>9.7786768313884234E-2</v>
      </c>
      <c r="AQ451" s="26" t="str">
        <f>IFERROR(INDEX('BD(MSCI)'!W:W,MATCH(Tabla_Consulta_desde_Reporte_de_Valorización_de_Instrumentos[[#This Row],[CODIGO_ISIN]],'BD(MSCI)'!C:C,0)),IF(Tabla_Consulta_desde_Reporte_de_Valorización_de_Instrumentos[[#This Row],[Rank_rt]]="Cash","Cash","Cuestionario Integra"))</f>
        <v>Proxies</v>
      </c>
      <c r="AR451" s="26" t="str">
        <f>IFERROR(INDEX('BD(MSCI)'!X:X,MATCH(Tabla_Consulta_desde_Reporte_de_Valorización_de_Instrumentos[[#This Row],[CODIGO_ISIN]],'BD(MSCI)'!C:C,0)),"Cuestionario Integra")</f>
        <v>Alts</v>
      </c>
      <c r="AU451" s="26"/>
    </row>
    <row r="452" spans="2:47" hidden="1" x14ac:dyDescent="0.25">
      <c r="B452" s="14" t="s">
        <v>6390</v>
      </c>
      <c r="C452" t="s">
        <v>727</v>
      </c>
      <c r="D452" t="s">
        <v>10</v>
      </c>
      <c r="E452" t="s">
        <v>728</v>
      </c>
      <c r="F452" t="s">
        <v>817</v>
      </c>
      <c r="G452" t="str">
        <f>INDEX(Parametria!H:H,MATCH(Tabla_Consulta_desde_Reporte_de_Valorización_de_Instrumentos[[#This Row],[CODIGO_SBS]],Parametria!C:C,0),1)</f>
        <v>LarraínVial - Energía I</v>
      </c>
      <c r="H452" t="s">
        <v>818</v>
      </c>
      <c r="I452" t="s">
        <v>156</v>
      </c>
      <c r="J452" t="s">
        <v>819</v>
      </c>
      <c r="K452" t="s">
        <v>50</v>
      </c>
      <c r="L452">
        <v>1</v>
      </c>
      <c r="M452" s="5">
        <v>26540369.621611301</v>
      </c>
      <c r="N452">
        <v>7896804.3147999998</v>
      </c>
      <c r="O452">
        <v>29889494</v>
      </c>
      <c r="P452" s="15">
        <v>46198</v>
      </c>
      <c r="Q452">
        <v>176</v>
      </c>
      <c r="R452">
        <v>3.3609</v>
      </c>
      <c r="S452" t="s">
        <v>428</v>
      </c>
      <c r="T452">
        <v>26553794.1889464</v>
      </c>
      <c r="U452" s="5">
        <v>7896804.3147999998</v>
      </c>
      <c r="V452" t="s">
        <v>156</v>
      </c>
      <c r="W452">
        <v>0</v>
      </c>
      <c r="X452">
        <v>0</v>
      </c>
      <c r="Y452">
        <v>0</v>
      </c>
      <c r="Z452">
        <v>0</v>
      </c>
      <c r="AA452" t="str">
        <f>+MID(Tabla_Consulta_desde_Reporte_de_Valorización_de_Instrumentos[[#This Row],[CODIGO_SBS]],7,1)</f>
        <v>2</v>
      </c>
      <c r="AB452">
        <f>INDEX('Cálculo Caja'!F:F,MATCH(Tabla_Consulta_desde_Reporte_de_Valorización_de_Instrumentos[[#This Row],[PORTAFOLIO]],'Cálculo Caja'!A:A,0),1)</f>
        <v>26256910350.436607</v>
      </c>
      <c r="AC452" s="17">
        <f>Tabla_Consulta_desde_Reporte_de_Valorización_de_Instrumentos[[#This Row],[VALOR_VECTOR_LOCAL]]/Tabla_Consulta_desde_Reporte_de_Valorización_de_Instrumentos[[#This Row],[Patrimonio]]</f>
        <v>1.0107956064666984E-3</v>
      </c>
      <c r="AD452" s="4">
        <f>(Tabla_Consulta_desde_Reporte_de_Valorización_de_Instrumentos[[#This Row],[VALOR_VECTOR_LOCAL]]/INDEX('Tipo de Cambio'!$D:$D,MATCH("2",'Tipo de Cambio'!$E:$E,0),1))/1000000</f>
        <v>7.8968043147999945</v>
      </c>
      <c r="AE452">
        <f>IF(Tabla_Consulta_desde_Reporte_de_Valorización_de_Instrumentos[[#This Row],[PORTAFOLIO]]="IN-FONDO0",Tabla_Consulta_desde_Reporte_de_Valorización_de_Instrumentos[[#This Row],[Inv MM$]],0)</f>
        <v>0</v>
      </c>
      <c r="AF452" s="26">
        <f>IF(Tabla_Consulta_desde_Reporte_de_Valorización_de_Instrumentos[[#This Row],[PORTAFOLIO]]="IN-FONDO1",Tabla_Consulta_desde_Reporte_de_Valorización_de_Instrumentos[[#This Row],[Inv MM$]],0)</f>
        <v>0</v>
      </c>
      <c r="AG452" s="26">
        <f>IF(Tabla_Consulta_desde_Reporte_de_Valorización_de_Instrumentos[[#This Row],[PORTAFOLIO]]="IN-FONDO2",Tabla_Consulta_desde_Reporte_de_Valorización_de_Instrumentos[[#This Row],[Inv MM$]],0)</f>
        <v>7.8968043147999945</v>
      </c>
      <c r="AH452" s="26">
        <f>IF(Tabla_Consulta_desde_Reporte_de_Valorización_de_Instrumentos[[#This Row],[PORTAFOLIO]]="IN-FONDO3",Tabla_Consulta_desde_Reporte_de_Valorización_de_Instrumentos[[#This Row],[Inv MM$]],0)</f>
        <v>0</v>
      </c>
      <c r="AI45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11.698973357399982</v>
      </c>
      <c r="AJ452" s="26">
        <f>IFERROR(IFERROR(INDEX('BD(MSCI)'!$T:$T,MATCH(Tabla_Consulta_desde_Reporte_de_Valorización_de_Instrumentos[[#This Row],[CODIGO_ISIN]],'BD(MSCI)'!$C:$C,0),1),INDEX('BD(MSCI)'!$T:$T,MATCH(Tabla_Consulta_desde_Reporte_de_Valorización_de_Instrumentos[[#This Row],[CODIGO_SBS]],'BD(MSCI)'!$C:$C,0),1)),0)</f>
        <v>39.508152340000002</v>
      </c>
      <c r="AK452" s="26">
        <f>Tabla_Consulta_desde_Reporte_de_Valorización_de_Instrumentos[[#This Row],[C02-H]]*Tabla_Consulta_desde_Reporte_de_Valorización_de_Instrumentos[[#This Row],[Inv MM$]]</f>
        <v>311.98814786828751</v>
      </c>
      <c r="AL452" s="26">
        <f>Tabla_Consulta_desde_Reporte_de_Valorización_de_Instrumentos[[#This Row],[C02-H]]*Tabla_Consulta_desde_Reporte_de_Valorización_de_Instrumentos[[#This Row],[Weight]]</f>
        <v>3.993466680488901E-2</v>
      </c>
      <c r="AM452" s="26" t="str">
        <f>INDEX(Parametria!G:G,MATCH(Tabla_Consulta_desde_Reporte_de_Valorización_de_Instrumentos[[#This Row],[CODIGO_SBS]],Parametria!C:C,0))</f>
        <v>53ALT</v>
      </c>
      <c r="AN452" s="26" t="str">
        <f>INDEX(Parametria!F:F,MATCH(Tabla_Consulta_desde_Reporte_de_Valorización_de_Instrumentos[[#This Row],[CODIGO_SBS]],Parametria!C:C,0))</f>
        <v>ALT</v>
      </c>
      <c r="AO452" s="26" t="str">
        <f>+INDEX(Parametria!J:J,MATCH(Tabla_Consulta_desde_Reporte_de_Valorización_de_Instrumentos[[#This Row],[CODIGO_SBS]],Parametria!C:C,0))</f>
        <v>ALT</v>
      </c>
      <c r="AP452" s="26">
        <f>Tabla_Consulta_desde_Reporte_de_Valorización_de_Instrumentos[[#This Row],[Huella]]/$AU$4</f>
        <v>2.8922790998029704E-2</v>
      </c>
      <c r="AQ452" s="26" t="str">
        <f>IFERROR(INDEX('BD(MSCI)'!W:W,MATCH(Tabla_Consulta_desde_Reporte_de_Valorización_de_Instrumentos[[#This Row],[CODIGO_ISIN]],'BD(MSCI)'!C:C,0)),IF(Tabla_Consulta_desde_Reporte_de_Valorización_de_Instrumentos[[#This Row],[Rank_rt]]="Cash","Cash","Cuestionario Integra"))</f>
        <v>Proxies</v>
      </c>
      <c r="AR452" s="26" t="str">
        <f>IFERROR(INDEX('BD(MSCI)'!X:X,MATCH(Tabla_Consulta_desde_Reporte_de_Valorización_de_Instrumentos[[#This Row],[CODIGO_ISIN]],'BD(MSCI)'!C:C,0)),"Cuestionario Integra")</f>
        <v>Alts</v>
      </c>
      <c r="AU452" s="26"/>
    </row>
    <row r="453" spans="2:47" hidden="1" x14ac:dyDescent="0.25">
      <c r="B453" s="14" t="s">
        <v>6390</v>
      </c>
      <c r="C453" t="s">
        <v>727</v>
      </c>
      <c r="D453" t="s">
        <v>11</v>
      </c>
      <c r="E453" t="s">
        <v>728</v>
      </c>
      <c r="F453" t="s">
        <v>817</v>
      </c>
      <c r="G453" t="str">
        <f>INDEX(Parametria!H:H,MATCH(Tabla_Consulta_desde_Reporte_de_Valorización_de_Instrumentos[[#This Row],[CODIGO_SBS]],Parametria!C:C,0),1)</f>
        <v>LarraínVial - Energía I</v>
      </c>
      <c r="H453" t="s">
        <v>818</v>
      </c>
      <c r="I453" t="s">
        <v>156</v>
      </c>
      <c r="J453" t="s">
        <v>819</v>
      </c>
      <c r="K453" t="s">
        <v>50</v>
      </c>
      <c r="L453">
        <v>1</v>
      </c>
      <c r="M453" s="5">
        <v>12778709.935274299</v>
      </c>
      <c r="N453">
        <v>3802169.0425999998</v>
      </c>
      <c r="O453">
        <v>14391253</v>
      </c>
      <c r="P453" s="15">
        <v>46198</v>
      </c>
      <c r="Q453">
        <v>176</v>
      </c>
      <c r="R453">
        <v>3.3609</v>
      </c>
      <c r="S453" t="s">
        <v>428</v>
      </c>
      <c r="T453">
        <v>12785173.622646701</v>
      </c>
      <c r="U453" s="5">
        <v>3802169.0425999998</v>
      </c>
      <c r="V453" t="s">
        <v>156</v>
      </c>
      <c r="W453">
        <v>0</v>
      </c>
      <c r="X453">
        <v>0</v>
      </c>
      <c r="Y453">
        <v>0</v>
      </c>
      <c r="Z453">
        <v>0</v>
      </c>
      <c r="AA453" t="str">
        <f>+MID(Tabla_Consulta_desde_Reporte_de_Valorización_de_Instrumentos[[#This Row],[CODIGO_SBS]],7,1)</f>
        <v>2</v>
      </c>
      <c r="AB453">
        <f>INDEX('Cálculo Caja'!F:F,MATCH(Tabla_Consulta_desde_Reporte_de_Valorización_de_Instrumentos[[#This Row],[PORTAFOLIO]],'Cálculo Caja'!A:A,0),1)</f>
        <v>3164069580.822104</v>
      </c>
      <c r="AC453" s="17">
        <f>Tabla_Consulta_desde_Reporte_de_Valorización_de_Instrumentos[[#This Row],[VALOR_VECTOR_LOCAL]]/Tabla_Consulta_desde_Reporte_de_Valorización_de_Instrumentos[[#This Row],[Patrimonio]]</f>
        <v>4.0386943487993945E-3</v>
      </c>
      <c r="AD453" s="4">
        <f>(Tabla_Consulta_desde_Reporte_de_Valorización_de_Instrumentos[[#This Row],[VALOR_VECTOR_LOCAL]]/INDEX('Tipo de Cambio'!$D:$D,MATCH("2",'Tipo de Cambio'!$E:$E,0),1))/1000000</f>
        <v>3.8021690425999877</v>
      </c>
      <c r="AE453">
        <f>IF(Tabla_Consulta_desde_Reporte_de_Valorización_de_Instrumentos[[#This Row],[PORTAFOLIO]]="IN-FONDO0",Tabla_Consulta_desde_Reporte_de_Valorización_de_Instrumentos[[#This Row],[Inv MM$]],0)</f>
        <v>0</v>
      </c>
      <c r="AF453" s="26">
        <f>IF(Tabla_Consulta_desde_Reporte_de_Valorización_de_Instrumentos[[#This Row],[PORTAFOLIO]]="IN-FONDO1",Tabla_Consulta_desde_Reporte_de_Valorización_de_Instrumentos[[#This Row],[Inv MM$]],0)</f>
        <v>0</v>
      </c>
      <c r="AG453" s="26">
        <f>IF(Tabla_Consulta_desde_Reporte_de_Valorización_de_Instrumentos[[#This Row],[PORTAFOLIO]]="IN-FONDO2",Tabla_Consulta_desde_Reporte_de_Valorización_de_Instrumentos[[#This Row],[Inv MM$]],0)</f>
        <v>0</v>
      </c>
      <c r="AH453" s="26">
        <f>IF(Tabla_Consulta_desde_Reporte_de_Valorización_de_Instrumentos[[#This Row],[PORTAFOLIO]]="IN-FONDO3",Tabla_Consulta_desde_Reporte_de_Valorización_de_Instrumentos[[#This Row],[Inv MM$]],0)</f>
        <v>3.8021690425999877</v>
      </c>
      <c r="AI45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11.698973357399982</v>
      </c>
      <c r="AJ453" s="26">
        <f>IFERROR(IFERROR(INDEX('BD(MSCI)'!$T:$T,MATCH(Tabla_Consulta_desde_Reporte_de_Valorización_de_Instrumentos[[#This Row],[CODIGO_ISIN]],'BD(MSCI)'!$C:$C,0),1),INDEX('BD(MSCI)'!$T:$T,MATCH(Tabla_Consulta_desde_Reporte_de_Valorización_de_Instrumentos[[#This Row],[CODIGO_SBS]],'BD(MSCI)'!$C:$C,0),1)),0)</f>
        <v>39.508152340000002</v>
      </c>
      <c r="AK453" s="26">
        <f>Tabla_Consulta_desde_Reporte_de_Valorización_de_Instrumentos[[#This Row],[C02-H]]*Tabla_Consulta_desde_Reporte_de_Valorización_de_Instrumentos[[#This Row],[Inv MM$]]</f>
        <v>150.21667375747228</v>
      </c>
      <c r="AL453" s="26">
        <f>Tabla_Consulta_desde_Reporte_de_Valorización_de_Instrumentos[[#This Row],[C02-H]]*Tabla_Consulta_desde_Reporte_de_Valorización_de_Instrumentos[[#This Row],[Weight]]</f>
        <v>0.15956135158706358</v>
      </c>
      <c r="AM453" s="26" t="str">
        <f>INDEX(Parametria!G:G,MATCH(Tabla_Consulta_desde_Reporte_de_Valorización_de_Instrumentos[[#This Row],[CODIGO_SBS]],Parametria!C:C,0))</f>
        <v>53ALT</v>
      </c>
      <c r="AN453" s="26" t="str">
        <f>INDEX(Parametria!F:F,MATCH(Tabla_Consulta_desde_Reporte_de_Valorización_de_Instrumentos[[#This Row],[CODIGO_SBS]],Parametria!C:C,0))</f>
        <v>ALT</v>
      </c>
      <c r="AO453" s="26" t="str">
        <f>+INDEX(Parametria!J:J,MATCH(Tabla_Consulta_desde_Reporte_de_Valorización_de_Instrumentos[[#This Row],[CODIGO_SBS]],Parametria!C:C,0))</f>
        <v>ALT</v>
      </c>
      <c r="AP453" s="26">
        <f>Tabla_Consulta_desde_Reporte_de_Valorización_de_Instrumentos[[#This Row],[Huella]]/$AU$4</f>
        <v>1.3925802916528696E-2</v>
      </c>
      <c r="AQ453" s="26" t="str">
        <f>IFERROR(INDEX('BD(MSCI)'!W:W,MATCH(Tabla_Consulta_desde_Reporte_de_Valorización_de_Instrumentos[[#This Row],[CODIGO_ISIN]],'BD(MSCI)'!C:C,0)),IF(Tabla_Consulta_desde_Reporte_de_Valorización_de_Instrumentos[[#This Row],[Rank_rt]]="Cash","Cash","Cuestionario Integra"))</f>
        <v>Proxies</v>
      </c>
      <c r="AR453" s="26" t="str">
        <f>IFERROR(INDEX('BD(MSCI)'!X:X,MATCH(Tabla_Consulta_desde_Reporte_de_Valorización_de_Instrumentos[[#This Row],[CODIGO_ISIN]],'BD(MSCI)'!C:C,0)),"Cuestionario Integra")</f>
        <v>Alts</v>
      </c>
      <c r="AU453" s="26"/>
    </row>
    <row r="454" spans="2:47" hidden="1" x14ac:dyDescent="0.25">
      <c r="B454" s="14" t="s">
        <v>6390</v>
      </c>
      <c r="C454" t="s">
        <v>820</v>
      </c>
      <c r="D454" t="s">
        <v>12</v>
      </c>
      <c r="E454" t="s">
        <v>6440</v>
      </c>
      <c r="F454" t="s">
        <v>821</v>
      </c>
      <c r="G454" t="str">
        <f>INDEX(Parametria!H:H,MATCH(Tabla_Consulta_desde_Reporte_de_Valorización_de_Instrumentos[[#This Row],[CODIGO_SBS]],Parametria!C:C,0),1)</f>
        <v>BlackRock - iShares MSCI Peru</v>
      </c>
      <c r="H454" t="s">
        <v>822</v>
      </c>
      <c r="I454" t="s">
        <v>156</v>
      </c>
      <c r="J454" t="s">
        <v>6441</v>
      </c>
      <c r="K454" t="s">
        <v>50</v>
      </c>
      <c r="L454">
        <v>25</v>
      </c>
      <c r="M454" s="5">
        <v>1173981.8632199999</v>
      </c>
      <c r="N454">
        <v>349305.8</v>
      </c>
      <c r="O454">
        <v>4828</v>
      </c>
      <c r="P454" s="15"/>
      <c r="R454">
        <v>3.3609</v>
      </c>
      <c r="S454" t="s">
        <v>428</v>
      </c>
      <c r="T454">
        <v>1183667.077448</v>
      </c>
      <c r="U454" s="5">
        <v>352009.48</v>
      </c>
      <c r="V454" t="s">
        <v>156</v>
      </c>
      <c r="W454">
        <v>0</v>
      </c>
      <c r="X454">
        <v>0</v>
      </c>
      <c r="Y454">
        <v>0</v>
      </c>
      <c r="Z454">
        <v>-0.56000000000000005</v>
      </c>
      <c r="AA454" t="str">
        <f>+MID(Tabla_Consulta_desde_Reporte_de_Valorización_de_Instrumentos[[#This Row],[CODIGO_SBS]],7,1)</f>
        <v>2</v>
      </c>
      <c r="AB454">
        <f>INDEX('Cálculo Caja'!F:F,MATCH(Tabla_Consulta_desde_Reporte_de_Valorización_de_Instrumentos[[#This Row],[PORTAFOLIO]],'Cálculo Caja'!A:A,0),1)</f>
        <v>7679510866.0565634</v>
      </c>
      <c r="AC454" s="17">
        <f>Tabla_Consulta_desde_Reporte_de_Valorización_de_Instrumentos[[#This Row],[VALOR_VECTOR_LOCAL]]/Tabla_Consulta_desde_Reporte_de_Valorización_de_Instrumentos[[#This Row],[Patrimonio]]</f>
        <v>1.528719580838149E-4</v>
      </c>
      <c r="AD454" s="4">
        <f>(Tabla_Consulta_desde_Reporte_de_Valorización_de_Instrumentos[[#This Row],[VALOR_VECTOR_LOCAL]]/INDEX('Tipo de Cambio'!$D:$D,MATCH("2",'Tipo de Cambio'!$E:$E,0),1))/1000000</f>
        <v>0.3493058</v>
      </c>
      <c r="AE454">
        <f>IF(Tabla_Consulta_desde_Reporte_de_Valorización_de_Instrumentos[[#This Row],[PORTAFOLIO]]="IN-FONDO0",Tabla_Consulta_desde_Reporte_de_Valorización_de_Instrumentos[[#This Row],[Inv MM$]],0)</f>
        <v>0</v>
      </c>
      <c r="AF454" s="26">
        <f>IF(Tabla_Consulta_desde_Reporte_de_Valorización_de_Instrumentos[[#This Row],[PORTAFOLIO]]="IN-FONDO1",Tabla_Consulta_desde_Reporte_de_Valorización_de_Instrumentos[[#This Row],[Inv MM$]],0)</f>
        <v>0.3493058</v>
      </c>
      <c r="AG454" s="26">
        <f>IF(Tabla_Consulta_desde_Reporte_de_Valorización_de_Instrumentos[[#This Row],[PORTAFOLIO]]="IN-FONDO2",Tabla_Consulta_desde_Reporte_de_Valorización_de_Instrumentos[[#This Row],[Inv MM$]],0)</f>
        <v>0</v>
      </c>
      <c r="AH454" s="26">
        <f>IF(Tabla_Consulta_desde_Reporte_de_Valorización_de_Instrumentos[[#This Row],[PORTAFOLIO]]="IN-FONDO3",Tabla_Consulta_desde_Reporte_de_Valorización_de_Instrumentos[[#This Row],[Inv MM$]],0)</f>
        <v>0</v>
      </c>
      <c r="AI45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7.2349999999999994</v>
      </c>
      <c r="AJ454" s="26">
        <f>IFERROR(IFERROR(INDEX('BD(MSCI)'!$T:$T,MATCH(Tabla_Consulta_desde_Reporte_de_Valorización_de_Instrumentos[[#This Row],[CODIGO_ISIN]],'BD(MSCI)'!$C:$C,0),1),INDEX('BD(MSCI)'!$T:$T,MATCH(Tabla_Consulta_desde_Reporte_de_Valorización_de_Instrumentos[[#This Row],[CODIGO_SBS]],'BD(MSCI)'!$C:$C,0),1)),0)</f>
        <v>31.33247536</v>
      </c>
      <c r="AK454" s="26">
        <f>Tabla_Consulta_desde_Reporte_de_Valorización_de_Instrumentos[[#This Row],[C02-H]]*Tabla_Consulta_desde_Reporte_de_Valorización_de_Instrumentos[[#This Row],[Inv MM$]]</f>
        <v>10.944615371605089</v>
      </c>
      <c r="AL454" s="26">
        <f>Tabla_Consulta_desde_Reporte_de_Valorización_de_Instrumentos[[#This Row],[C02-H]]*Tabla_Consulta_desde_Reporte_de_Valorización_de_Instrumentos[[#This Row],[Weight]]</f>
        <v>4.7898568598960835E-3</v>
      </c>
      <c r="AM454" s="26" t="str">
        <f>INDEX(Parametria!G:G,MATCH(Tabla_Consulta_desde_Reporte_de_Valorización_de_Instrumentos[[#This Row],[CODIGO_SBS]],Parametria!C:C,0))</f>
        <v>54RVL</v>
      </c>
      <c r="AN454" s="26" t="str">
        <f>INDEX(Parametria!F:F,MATCH(Tabla_Consulta_desde_Reporte_de_Valorización_de_Instrumentos[[#This Row],[CODIGO_SBS]],Parametria!C:C,0))</f>
        <v>BU</v>
      </c>
      <c r="AO454" s="26" t="str">
        <f>+INDEX(Parametria!J:J,MATCH(Tabla_Consulta_desde_Reporte_de_Valorización_de_Instrumentos[[#This Row],[CODIGO_SBS]],Parametria!C:C,0))</f>
        <v>RVLBU</v>
      </c>
      <c r="AP454" s="26">
        <f>Tabla_Consulta_desde_Reporte_de_Valorización_de_Instrumentos[[#This Row],[Huella]]/$AU$4</f>
        <v>1.0146181036351262E-3</v>
      </c>
      <c r="AQ454" s="26" t="str">
        <f>IFERROR(INDEX('BD(MSCI)'!W:W,MATCH(Tabla_Consulta_desde_Reporte_de_Valorización_de_Instrumentos[[#This Row],[CODIGO_ISIN]],'BD(MSCI)'!C:C,0)),IF(Tabla_Consulta_desde_Reporte_de_Valorización_de_Instrumentos[[#This Row],[Rank_rt]]="Cash","Cash","Cuestionario Integra"))</f>
        <v>ETF</v>
      </c>
      <c r="AR454" s="26" t="str">
        <f>IFERROR(INDEX('BD(MSCI)'!X:X,MATCH(Tabla_Consulta_desde_Reporte_de_Valorización_de_Instrumentos[[#This Row],[CODIGO_ISIN]],'BD(MSCI)'!C:C,0)),"Cuestionario Integra")</f>
        <v>Otros ETFs</v>
      </c>
      <c r="AU454" s="26"/>
    </row>
    <row r="455" spans="2:47" hidden="1" x14ac:dyDescent="0.25">
      <c r="B455" s="14" t="s">
        <v>6390</v>
      </c>
      <c r="C455" t="s">
        <v>820</v>
      </c>
      <c r="D455" t="s">
        <v>11</v>
      </c>
      <c r="E455" t="s">
        <v>6440</v>
      </c>
      <c r="F455" t="s">
        <v>821</v>
      </c>
      <c r="G455" t="str">
        <f>INDEX(Parametria!H:H,MATCH(Tabla_Consulta_desde_Reporte_de_Valorización_de_Instrumentos[[#This Row],[CODIGO_SBS]],Parametria!C:C,0),1)</f>
        <v>BlackRock - iShares MSCI Peru</v>
      </c>
      <c r="H455" t="s">
        <v>822</v>
      </c>
      <c r="I455" t="s">
        <v>156</v>
      </c>
      <c r="J455" t="s">
        <v>6441</v>
      </c>
      <c r="K455" t="s">
        <v>50</v>
      </c>
      <c r="L455">
        <v>25</v>
      </c>
      <c r="M455" s="5">
        <v>22499941.132064998</v>
      </c>
      <c r="N455">
        <v>6694617.8499999996</v>
      </c>
      <c r="O455">
        <v>92531</v>
      </c>
      <c r="P455" s="15"/>
      <c r="R455">
        <v>3.3609</v>
      </c>
      <c r="S455" t="s">
        <v>428</v>
      </c>
      <c r="T455">
        <v>22685563.037145998</v>
      </c>
      <c r="U455" s="5">
        <v>6746435.21</v>
      </c>
      <c r="V455" t="s">
        <v>156</v>
      </c>
      <c r="W455">
        <v>0</v>
      </c>
      <c r="X455">
        <v>0</v>
      </c>
      <c r="Y455">
        <v>0</v>
      </c>
      <c r="Z455">
        <v>-0.56000000000000005</v>
      </c>
      <c r="AA455" t="str">
        <f>+MID(Tabla_Consulta_desde_Reporte_de_Valorización_de_Instrumentos[[#This Row],[CODIGO_SBS]],7,1)</f>
        <v>2</v>
      </c>
      <c r="AB455">
        <f>INDEX('Cálculo Caja'!F:F,MATCH(Tabla_Consulta_desde_Reporte_de_Valorización_de_Instrumentos[[#This Row],[PORTAFOLIO]],'Cálculo Caja'!A:A,0),1)</f>
        <v>3164069580.822104</v>
      </c>
      <c r="AC455" s="17">
        <f>Tabla_Consulta_desde_Reporte_de_Valorización_de_Instrumentos[[#This Row],[VALOR_VECTOR_LOCAL]]/Tabla_Consulta_desde_Reporte_de_Valorización_de_Instrumentos[[#This Row],[Patrimonio]]</f>
        <v>7.1110765921332721E-3</v>
      </c>
      <c r="AD455" s="4">
        <f>(Tabla_Consulta_desde_Reporte_de_Valorización_de_Instrumentos[[#This Row],[VALOR_VECTOR_LOCAL]]/INDEX('Tipo de Cambio'!$D:$D,MATCH("2",'Tipo de Cambio'!$E:$E,0),1))/1000000</f>
        <v>6.6946178499999993</v>
      </c>
      <c r="AE455">
        <f>IF(Tabla_Consulta_desde_Reporte_de_Valorización_de_Instrumentos[[#This Row],[PORTAFOLIO]]="IN-FONDO0",Tabla_Consulta_desde_Reporte_de_Valorización_de_Instrumentos[[#This Row],[Inv MM$]],0)</f>
        <v>0</v>
      </c>
      <c r="AF455" s="26">
        <f>IF(Tabla_Consulta_desde_Reporte_de_Valorización_de_Instrumentos[[#This Row],[PORTAFOLIO]]="IN-FONDO1",Tabla_Consulta_desde_Reporte_de_Valorización_de_Instrumentos[[#This Row],[Inv MM$]],0)</f>
        <v>0</v>
      </c>
      <c r="AG455" s="26">
        <f>IF(Tabla_Consulta_desde_Reporte_de_Valorización_de_Instrumentos[[#This Row],[PORTAFOLIO]]="IN-FONDO2",Tabla_Consulta_desde_Reporte_de_Valorización_de_Instrumentos[[#This Row],[Inv MM$]],0)</f>
        <v>0</v>
      </c>
      <c r="AH455" s="26">
        <f>IF(Tabla_Consulta_desde_Reporte_de_Valorización_de_Instrumentos[[#This Row],[PORTAFOLIO]]="IN-FONDO3",Tabla_Consulta_desde_Reporte_de_Valorización_de_Instrumentos[[#This Row],[Inv MM$]],0)</f>
        <v>6.6946178499999993</v>
      </c>
      <c r="AI45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7.2349999999999994</v>
      </c>
      <c r="AJ455" s="26">
        <f>IFERROR(IFERROR(INDEX('BD(MSCI)'!$T:$T,MATCH(Tabla_Consulta_desde_Reporte_de_Valorización_de_Instrumentos[[#This Row],[CODIGO_ISIN]],'BD(MSCI)'!$C:$C,0),1),INDEX('BD(MSCI)'!$T:$T,MATCH(Tabla_Consulta_desde_Reporte_de_Valorización_de_Instrumentos[[#This Row],[CODIGO_SBS]],'BD(MSCI)'!$C:$C,0),1)),0)</f>
        <v>31.33247536</v>
      </c>
      <c r="AK455" s="26">
        <f>Tabla_Consulta_desde_Reporte_de_Valorización_de_Instrumentos[[#This Row],[C02-H]]*Tabla_Consulta_desde_Reporte_de_Valorización_de_Instrumentos[[#This Row],[Inv MM$]]</f>
        <v>209.75894882974114</v>
      </c>
      <c r="AL455" s="26">
        <f>Tabla_Consulta_desde_Reporte_de_Valorización_de_Instrumentos[[#This Row],[C02-H]]*Tabla_Consulta_desde_Reporte_de_Valorización_de_Instrumentos[[#This Row],[Weight]]</f>
        <v>0.22280763210608853</v>
      </c>
      <c r="AM455" s="26" t="str">
        <f>INDEX(Parametria!G:G,MATCH(Tabla_Consulta_desde_Reporte_de_Valorización_de_Instrumentos[[#This Row],[CODIGO_SBS]],Parametria!C:C,0))</f>
        <v>54RVL</v>
      </c>
      <c r="AN455" s="26" t="str">
        <f>INDEX(Parametria!F:F,MATCH(Tabla_Consulta_desde_Reporte_de_Valorización_de_Instrumentos[[#This Row],[CODIGO_SBS]],Parametria!C:C,0))</f>
        <v>BU</v>
      </c>
      <c r="AO455" s="26" t="str">
        <f>+INDEX(Parametria!J:J,MATCH(Tabla_Consulta_desde_Reporte_de_Valorización_de_Instrumentos[[#This Row],[CODIGO_SBS]],Parametria!C:C,0))</f>
        <v>RVLBU</v>
      </c>
      <c r="AP455" s="26">
        <f>Tabla_Consulta_desde_Reporte_de_Valorización_de_Instrumentos[[#This Row],[Huella]]/$AU$4</f>
        <v>1.9445656120021092E-2</v>
      </c>
      <c r="AQ455" s="26" t="str">
        <f>IFERROR(INDEX('BD(MSCI)'!W:W,MATCH(Tabla_Consulta_desde_Reporte_de_Valorización_de_Instrumentos[[#This Row],[CODIGO_ISIN]],'BD(MSCI)'!C:C,0)),IF(Tabla_Consulta_desde_Reporte_de_Valorización_de_Instrumentos[[#This Row],[Rank_rt]]="Cash","Cash","Cuestionario Integra"))</f>
        <v>ETF</v>
      </c>
      <c r="AR455" s="26" t="str">
        <f>IFERROR(INDEX('BD(MSCI)'!X:X,MATCH(Tabla_Consulta_desde_Reporte_de_Valorización_de_Instrumentos[[#This Row],[CODIGO_ISIN]],'BD(MSCI)'!C:C,0)),"Cuestionario Integra")</f>
        <v>Otros ETFs</v>
      </c>
      <c r="AU455" s="26"/>
    </row>
    <row r="456" spans="2:47" hidden="1" x14ac:dyDescent="0.25">
      <c r="B456" s="14" t="s">
        <v>6390</v>
      </c>
      <c r="C456" t="s">
        <v>820</v>
      </c>
      <c r="D456" t="s">
        <v>10</v>
      </c>
      <c r="E456" t="s">
        <v>6440</v>
      </c>
      <c r="F456" t="s">
        <v>821</v>
      </c>
      <c r="G456" t="str">
        <f>INDEX(Parametria!H:H,MATCH(Tabla_Consulta_desde_Reporte_de_Valorización_de_Instrumentos[[#This Row],[CODIGO_SBS]],Parametria!C:C,0),1)</f>
        <v>BlackRock - iShares MSCI Peru</v>
      </c>
      <c r="H456" t="s">
        <v>822</v>
      </c>
      <c r="I456" t="s">
        <v>156</v>
      </c>
      <c r="J456" t="s">
        <v>6441</v>
      </c>
      <c r="K456" t="s">
        <v>50</v>
      </c>
      <c r="L456">
        <v>25</v>
      </c>
      <c r="M456" s="5">
        <v>642188.50471500005</v>
      </c>
      <c r="N456">
        <v>191076.35</v>
      </c>
      <c r="O456">
        <v>2641</v>
      </c>
      <c r="P456" s="15"/>
      <c r="R456">
        <v>3.3609</v>
      </c>
      <c r="S456" t="s">
        <v>428</v>
      </c>
      <c r="T456">
        <v>647486.48540600005</v>
      </c>
      <c r="U456" s="5">
        <v>192555.31</v>
      </c>
      <c r="V456" t="s">
        <v>156</v>
      </c>
      <c r="W456">
        <v>0</v>
      </c>
      <c r="X456">
        <v>0</v>
      </c>
      <c r="Y456">
        <v>0</v>
      </c>
      <c r="Z456">
        <v>-0.56000000000000005</v>
      </c>
      <c r="AA456" t="str">
        <f>+MID(Tabla_Consulta_desde_Reporte_de_Valorización_de_Instrumentos[[#This Row],[CODIGO_SBS]],7,1)</f>
        <v>2</v>
      </c>
      <c r="AB456">
        <f>INDEX('Cálculo Caja'!F:F,MATCH(Tabla_Consulta_desde_Reporte_de_Valorización_de_Instrumentos[[#This Row],[PORTAFOLIO]],'Cálculo Caja'!A:A,0),1)</f>
        <v>26256910350.436607</v>
      </c>
      <c r="AC456" s="17">
        <f>Tabla_Consulta_desde_Reporte_de_Valorización_de_Instrumentos[[#This Row],[VALOR_VECTOR_LOCAL]]/Tabla_Consulta_desde_Reporte_de_Valorización_de_Instrumentos[[#This Row],[Patrimonio]]</f>
        <v>2.4457885415460601E-5</v>
      </c>
      <c r="AD456" s="4">
        <f>(Tabla_Consulta_desde_Reporte_de_Valorización_de_Instrumentos[[#This Row],[VALOR_VECTOR_LOCAL]]/INDEX('Tipo de Cambio'!$D:$D,MATCH("2",'Tipo de Cambio'!$E:$E,0),1))/1000000</f>
        <v>0.19107635000000001</v>
      </c>
      <c r="AE456">
        <f>IF(Tabla_Consulta_desde_Reporte_de_Valorización_de_Instrumentos[[#This Row],[PORTAFOLIO]]="IN-FONDO0",Tabla_Consulta_desde_Reporte_de_Valorización_de_Instrumentos[[#This Row],[Inv MM$]],0)</f>
        <v>0</v>
      </c>
      <c r="AF456" s="26">
        <f>IF(Tabla_Consulta_desde_Reporte_de_Valorización_de_Instrumentos[[#This Row],[PORTAFOLIO]]="IN-FONDO1",Tabla_Consulta_desde_Reporte_de_Valorización_de_Instrumentos[[#This Row],[Inv MM$]],0)</f>
        <v>0</v>
      </c>
      <c r="AG456" s="26">
        <f>IF(Tabla_Consulta_desde_Reporte_de_Valorización_de_Instrumentos[[#This Row],[PORTAFOLIO]]="IN-FONDO2",Tabla_Consulta_desde_Reporte_de_Valorización_de_Instrumentos[[#This Row],[Inv MM$]],0)</f>
        <v>0.19107635000000001</v>
      </c>
      <c r="AH456" s="26">
        <f>IF(Tabla_Consulta_desde_Reporte_de_Valorización_de_Instrumentos[[#This Row],[PORTAFOLIO]]="IN-FONDO3",Tabla_Consulta_desde_Reporte_de_Valorización_de_Instrumentos[[#This Row],[Inv MM$]],0)</f>
        <v>0</v>
      </c>
      <c r="AI45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7.2349999999999994</v>
      </c>
      <c r="AJ456" s="26">
        <f>IFERROR(IFERROR(INDEX('BD(MSCI)'!$T:$T,MATCH(Tabla_Consulta_desde_Reporte_de_Valorización_de_Instrumentos[[#This Row],[CODIGO_ISIN]],'BD(MSCI)'!$C:$C,0),1),INDEX('BD(MSCI)'!$T:$T,MATCH(Tabla_Consulta_desde_Reporte_de_Valorización_de_Instrumentos[[#This Row],[CODIGO_SBS]],'BD(MSCI)'!$C:$C,0),1)),0)</f>
        <v>31.33247536</v>
      </c>
      <c r="AK456" s="26">
        <f>Tabla_Consulta_desde_Reporte_de_Valorización_de_Instrumentos[[#This Row],[C02-H]]*Tabla_Consulta_desde_Reporte_de_Valorización_de_Instrumentos[[#This Row],[Inv MM$]]</f>
        <v>5.9868950282537359</v>
      </c>
      <c r="AL456" s="26">
        <f>Tabla_Consulta_desde_Reporte_de_Valorización_de_Instrumentos[[#This Row],[C02-H]]*Tabla_Consulta_desde_Reporte_de_Valorización_de_Instrumentos[[#This Row],[Weight]]</f>
        <v>7.6632609213762263E-4</v>
      </c>
      <c r="AM456" s="26" t="str">
        <f>INDEX(Parametria!G:G,MATCH(Tabla_Consulta_desde_Reporte_de_Valorización_de_Instrumentos[[#This Row],[CODIGO_SBS]],Parametria!C:C,0))</f>
        <v>54RVL</v>
      </c>
      <c r="AN456" s="26" t="str">
        <f>INDEX(Parametria!F:F,MATCH(Tabla_Consulta_desde_Reporte_de_Valorización_de_Instrumentos[[#This Row],[CODIGO_SBS]],Parametria!C:C,0))</f>
        <v>BU</v>
      </c>
      <c r="AO456" s="26" t="str">
        <f>+INDEX(Parametria!J:J,MATCH(Tabla_Consulta_desde_Reporte_de_Valorización_de_Instrumentos[[#This Row],[CODIGO_SBS]],Parametria!C:C,0))</f>
        <v>RVLBU</v>
      </c>
      <c r="AP456" s="26">
        <f>Tabla_Consulta_desde_Reporte_de_Valorización_de_Instrumentos[[#This Row],[Huella]]/$AU$4</f>
        <v>5.5501375553031651E-4</v>
      </c>
      <c r="AQ456" s="26" t="str">
        <f>IFERROR(INDEX('BD(MSCI)'!W:W,MATCH(Tabla_Consulta_desde_Reporte_de_Valorización_de_Instrumentos[[#This Row],[CODIGO_ISIN]],'BD(MSCI)'!C:C,0)),IF(Tabla_Consulta_desde_Reporte_de_Valorización_de_Instrumentos[[#This Row],[Rank_rt]]="Cash","Cash","Cuestionario Integra"))</f>
        <v>ETF</v>
      </c>
      <c r="AR456" s="26" t="str">
        <f>IFERROR(INDEX('BD(MSCI)'!X:X,MATCH(Tabla_Consulta_desde_Reporte_de_Valorización_de_Instrumentos[[#This Row],[CODIGO_ISIN]],'BD(MSCI)'!C:C,0)),"Cuestionario Integra")</f>
        <v>Otros ETFs</v>
      </c>
      <c r="AU456" s="26"/>
    </row>
    <row r="457" spans="2:47" hidden="1" x14ac:dyDescent="0.25">
      <c r="B457" s="14" t="s">
        <v>6390</v>
      </c>
      <c r="C457" t="s">
        <v>823</v>
      </c>
      <c r="D457" t="s">
        <v>10</v>
      </c>
      <c r="E457" t="s">
        <v>824</v>
      </c>
      <c r="F457" t="s">
        <v>959</v>
      </c>
      <c r="G457" t="str">
        <f>INDEX(Parametria!H:H,MATCH(Tabla_Consulta_desde_Reporte_de_Valorización_de_Instrumentos[[#This Row],[CODIGO_SBS]],Parametria!C:C,0),1)</f>
        <v>Ecopetrol</v>
      </c>
      <c r="H457" t="s">
        <v>960</v>
      </c>
      <c r="I457" t="s">
        <v>4859</v>
      </c>
      <c r="J457" t="s">
        <v>193</v>
      </c>
      <c r="K457" t="s">
        <v>50</v>
      </c>
      <c r="L457">
        <v>1000</v>
      </c>
      <c r="M457" s="5">
        <v>3716023.4287145999</v>
      </c>
      <c r="N457">
        <v>1105663.1939999999</v>
      </c>
      <c r="O457">
        <v>1000</v>
      </c>
      <c r="P457" s="15">
        <v>48592</v>
      </c>
      <c r="Q457">
        <v>2570</v>
      </c>
      <c r="R457">
        <v>3.3609</v>
      </c>
      <c r="S457" t="s">
        <v>155</v>
      </c>
      <c r="T457">
        <v>3730321.9920448</v>
      </c>
      <c r="U457" s="5">
        <v>1109356.4480000001</v>
      </c>
      <c r="V457" t="s">
        <v>156</v>
      </c>
      <c r="W457">
        <v>293045373000000</v>
      </c>
      <c r="X457">
        <v>191552463000000</v>
      </c>
      <c r="Y457">
        <v>101492910000000</v>
      </c>
      <c r="Z457">
        <v>-3.693254</v>
      </c>
      <c r="AA457" t="str">
        <f>+MID(Tabla_Consulta_desde_Reporte_de_Valorización_de_Instrumentos[[#This Row],[CODIGO_SBS]],7,1)</f>
        <v>2</v>
      </c>
      <c r="AB457">
        <f>INDEX('Cálculo Caja'!F:F,MATCH(Tabla_Consulta_desde_Reporte_de_Valorización_de_Instrumentos[[#This Row],[PORTAFOLIO]],'Cálculo Caja'!A:A,0),1)</f>
        <v>26256910350.436607</v>
      </c>
      <c r="AC457" s="17">
        <f>Tabla_Consulta_desde_Reporte_de_Valorización_de_Instrumentos[[#This Row],[VALOR_VECTOR_LOCAL]]/Tabla_Consulta_desde_Reporte_de_Valorización_de_Instrumentos[[#This Row],[Patrimonio]]</f>
        <v>1.4152554048130073E-4</v>
      </c>
      <c r="AD457" s="4">
        <f>(Tabla_Consulta_desde_Reporte_de_Valorización_de_Instrumentos[[#This Row],[VALOR_VECTOR_LOCAL]]/INDEX('Tipo de Cambio'!$D:$D,MATCH("2",'Tipo de Cambio'!$E:$E,0),1))/1000000</f>
        <v>1.1056631939999999</v>
      </c>
      <c r="AE457">
        <f>IF(Tabla_Consulta_desde_Reporte_de_Valorización_de_Instrumentos[[#This Row],[PORTAFOLIO]]="IN-FONDO0",Tabla_Consulta_desde_Reporte_de_Valorización_de_Instrumentos[[#This Row],[Inv MM$]],0)</f>
        <v>0</v>
      </c>
      <c r="AF457" s="26">
        <f>IF(Tabla_Consulta_desde_Reporte_de_Valorización_de_Instrumentos[[#This Row],[PORTAFOLIO]]="IN-FONDO1",Tabla_Consulta_desde_Reporte_de_Valorización_de_Instrumentos[[#This Row],[Inv MM$]],0)</f>
        <v>0</v>
      </c>
      <c r="AG457" s="26">
        <f>IF(Tabla_Consulta_desde_Reporte_de_Valorización_de_Instrumentos[[#This Row],[PORTAFOLIO]]="IN-FONDO2",Tabla_Consulta_desde_Reporte_de_Valorización_de_Instrumentos[[#This Row],[Inv MM$]],0)</f>
        <v>1.1056631939999999</v>
      </c>
      <c r="AH457" s="26">
        <f>IF(Tabla_Consulta_desde_Reporte_de_Valorización_de_Instrumentos[[#This Row],[PORTAFOLIO]]="IN-FONDO3",Tabla_Consulta_desde_Reporte_de_Valorización_de_Instrumentos[[#This Row],[Inv MM$]],0)</f>
        <v>0</v>
      </c>
      <c r="AI45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10.393234023599987</v>
      </c>
      <c r="AJ457" s="26">
        <f>IFERROR(IFERROR(INDEX('BD(MSCI)'!$T:$T,MATCH(Tabla_Consulta_desde_Reporte_de_Valorización_de_Instrumentos[[#This Row],[CODIGO_ISIN]],'BD(MSCI)'!$C:$C,0),1),INDEX('BD(MSCI)'!$T:$T,MATCH(Tabla_Consulta_desde_Reporte_de_Valorización_de_Instrumentos[[#This Row],[CODIGO_SBS]],'BD(MSCI)'!$C:$C,0),1)),0)</f>
        <v>259.63</v>
      </c>
      <c r="AK457" s="26">
        <f>Tabla_Consulta_desde_Reporte_de_Valorización_de_Instrumentos[[#This Row],[C02-H]]*Tabla_Consulta_desde_Reporte_de_Valorización_de_Instrumentos[[#This Row],[Inv MM$]]</f>
        <v>287.06333505821999</v>
      </c>
      <c r="AL457" s="26">
        <f>Tabla_Consulta_desde_Reporte_de_Valorización_de_Instrumentos[[#This Row],[C02-H]]*Tabla_Consulta_desde_Reporte_de_Valorización_de_Instrumentos[[#This Row],[Weight]]</f>
        <v>3.6744276075160107E-2</v>
      </c>
      <c r="AM457" s="26" t="str">
        <f>INDEX(Parametria!G:G,MATCH(Tabla_Consulta_desde_Reporte_de_Valorización_de_Instrumentos[[#This Row],[CODIGO_SBS]],Parametria!C:C,0))</f>
        <v>59RFIC</v>
      </c>
      <c r="AN457" s="26" t="str">
        <f>INDEX(Parametria!F:F,MATCH(Tabla_Consulta_desde_Reporte_de_Valorización_de_Instrumentos[[#This Row],[CODIGO_SBS]],Parametria!C:C,0))</f>
        <v>BU</v>
      </c>
      <c r="AO457" s="26" t="str">
        <f>+INDEX(Parametria!J:J,MATCH(Tabla_Consulta_desde_Reporte_de_Valorización_de_Instrumentos[[#This Row],[CODIGO_SBS]],Parametria!C:C,0))</f>
        <v>RFIBU</v>
      </c>
      <c r="AP457" s="26">
        <f>Tabla_Consulta_desde_Reporte_de_Valorización_de_Instrumentos[[#This Row],[Huella]]/$AU$4</f>
        <v>2.6612141838770816E-2</v>
      </c>
      <c r="AQ457" s="26" t="str">
        <f>IFERROR(INDEX('BD(MSCI)'!W:W,MATCH(Tabla_Consulta_desde_Reporte_de_Valorización_de_Instrumentos[[#This Row],[CODIGO_ISIN]],'BD(MSCI)'!C:C,0)),IF(Tabla_Consulta_desde_Reporte_de_Valorización_de_Instrumentos[[#This Row],[Rank_rt]]="Cash","Cash","Cuestionario Integra"))</f>
        <v>Portafolio</v>
      </c>
      <c r="AR457" s="26" t="str">
        <f>IFERROR(INDEX('BD(MSCI)'!X:X,MATCH(Tabla_Consulta_desde_Reporte_de_Valorización_de_Instrumentos[[#This Row],[CODIGO_ISIN]],'BD(MSCI)'!C:C,0)),"Cuestionario Integra")</f>
        <v>Portafolio</v>
      </c>
      <c r="AU457" s="26"/>
    </row>
    <row r="458" spans="2:47" hidden="1" x14ac:dyDescent="0.25">
      <c r="B458" s="14" t="s">
        <v>6390</v>
      </c>
      <c r="C458" t="s">
        <v>823</v>
      </c>
      <c r="D458" t="s">
        <v>10</v>
      </c>
      <c r="E458" t="s">
        <v>824</v>
      </c>
      <c r="F458" t="s">
        <v>957</v>
      </c>
      <c r="G458" t="str">
        <f>INDEX(Parametria!H:H,MATCH(Tabla_Consulta_desde_Reporte_de_Valorización_de_Instrumentos[[#This Row],[CODIGO_SBS]],Parametria!C:C,0),1)</f>
        <v>Ecopetrol</v>
      </c>
      <c r="H458" t="s">
        <v>958</v>
      </c>
      <c r="I458" t="s">
        <v>4858</v>
      </c>
      <c r="J458" t="s">
        <v>193</v>
      </c>
      <c r="K458" t="s">
        <v>50</v>
      </c>
      <c r="L458">
        <v>1000</v>
      </c>
      <c r="M458" s="5">
        <v>75783470.106895804</v>
      </c>
      <c r="N458">
        <v>22548564.404444002</v>
      </c>
      <c r="O458">
        <v>30004</v>
      </c>
      <c r="P458" s="15">
        <v>53110</v>
      </c>
      <c r="Q458">
        <v>7088</v>
      </c>
      <c r="R458">
        <v>3.3609</v>
      </c>
      <c r="S458" t="s">
        <v>155</v>
      </c>
      <c r="T458">
        <v>75878045.311648995</v>
      </c>
      <c r="U458" s="5">
        <v>22565290.344271999</v>
      </c>
      <c r="V458" t="s">
        <v>156</v>
      </c>
      <c r="W458">
        <v>293045373000000</v>
      </c>
      <c r="X458">
        <v>191552463000000</v>
      </c>
      <c r="Y458">
        <v>101492910000000</v>
      </c>
      <c r="Z458">
        <v>-0.55745699999999998</v>
      </c>
      <c r="AA458" t="str">
        <f>+MID(Tabla_Consulta_desde_Reporte_de_Valorización_de_Instrumentos[[#This Row],[CODIGO_SBS]],7,1)</f>
        <v>2</v>
      </c>
      <c r="AB458">
        <f>INDEX('Cálculo Caja'!F:F,MATCH(Tabla_Consulta_desde_Reporte_de_Valorización_de_Instrumentos[[#This Row],[PORTAFOLIO]],'Cálculo Caja'!A:A,0),1)</f>
        <v>26256910350.436607</v>
      </c>
      <c r="AC458" s="17">
        <f>Tabla_Consulta_desde_Reporte_de_Valorización_de_Instrumentos[[#This Row],[VALOR_VECTOR_LOCAL]]/Tabla_Consulta_desde_Reporte_de_Valorización_de_Instrumentos[[#This Row],[Patrimonio]]</f>
        <v>2.8862295333097199E-3</v>
      </c>
      <c r="AD458" s="4">
        <f>(Tabla_Consulta_desde_Reporte_de_Valorización_de_Instrumentos[[#This Row],[VALOR_VECTOR_LOCAL]]/INDEX('Tipo de Cambio'!$D:$D,MATCH("2",'Tipo de Cambio'!$E:$E,0),1))/1000000</f>
        <v>22.54856440444399</v>
      </c>
      <c r="AE458">
        <f>IF(Tabla_Consulta_desde_Reporte_de_Valorización_de_Instrumentos[[#This Row],[PORTAFOLIO]]="IN-FONDO0",Tabla_Consulta_desde_Reporte_de_Valorización_de_Instrumentos[[#This Row],[Inv MM$]],0)</f>
        <v>0</v>
      </c>
      <c r="AF458" s="26">
        <f>IF(Tabla_Consulta_desde_Reporte_de_Valorización_de_Instrumentos[[#This Row],[PORTAFOLIO]]="IN-FONDO1",Tabla_Consulta_desde_Reporte_de_Valorización_de_Instrumentos[[#This Row],[Inv MM$]],0)</f>
        <v>0</v>
      </c>
      <c r="AG458" s="26">
        <f>IF(Tabla_Consulta_desde_Reporte_de_Valorización_de_Instrumentos[[#This Row],[PORTAFOLIO]]="IN-FONDO2",Tabla_Consulta_desde_Reporte_de_Valorización_de_Instrumentos[[#This Row],[Inv MM$]],0)</f>
        <v>22.54856440444399</v>
      </c>
      <c r="AH458" s="26">
        <f>IF(Tabla_Consulta_desde_Reporte_de_Valorización_de_Instrumentos[[#This Row],[PORTAFOLIO]]="IN-FONDO3",Tabla_Consulta_desde_Reporte_de_Valorización_de_Instrumentos[[#This Row],[Inv MM$]],0)</f>
        <v>0</v>
      </c>
      <c r="AI45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46.180067127338987</v>
      </c>
      <c r="AJ458" s="26">
        <f>IFERROR(IFERROR(INDEX('BD(MSCI)'!$T:$T,MATCH(Tabla_Consulta_desde_Reporte_de_Valorización_de_Instrumentos[[#This Row],[CODIGO_ISIN]],'BD(MSCI)'!$C:$C,0),1),INDEX('BD(MSCI)'!$T:$T,MATCH(Tabla_Consulta_desde_Reporte_de_Valorización_de_Instrumentos[[#This Row],[CODIGO_SBS]],'BD(MSCI)'!$C:$C,0),1)),0)</f>
        <v>259.63</v>
      </c>
      <c r="AK458" s="26">
        <f>Tabla_Consulta_desde_Reporte_de_Valorización_de_Instrumentos[[#This Row],[C02-H]]*Tabla_Consulta_desde_Reporte_de_Valorización_de_Instrumentos[[#This Row],[Inv MM$]]</f>
        <v>5854.283776325793</v>
      </c>
      <c r="AL458" s="26">
        <f>Tabla_Consulta_desde_Reporte_de_Valorización_de_Instrumentos[[#This Row],[C02-H]]*Tabla_Consulta_desde_Reporte_de_Valorización_de_Instrumentos[[#This Row],[Weight]]</f>
        <v>0.74935177373320261</v>
      </c>
      <c r="AM458" s="26" t="str">
        <f>INDEX(Parametria!G:G,MATCH(Tabla_Consulta_desde_Reporte_de_Valorización_de_Instrumentos[[#This Row],[CODIGO_SBS]],Parametria!C:C,0))</f>
        <v>59RFIC</v>
      </c>
      <c r="AN458" s="26" t="str">
        <f>INDEX(Parametria!F:F,MATCH(Tabla_Consulta_desde_Reporte_de_Valorización_de_Instrumentos[[#This Row],[CODIGO_SBS]],Parametria!C:C,0))</f>
        <v>BU</v>
      </c>
      <c r="AO458" s="26" t="str">
        <f>+INDEX(Parametria!J:J,MATCH(Tabla_Consulta_desde_Reporte_de_Valorización_de_Instrumentos[[#This Row],[CODIGO_SBS]],Parametria!C:C,0))</f>
        <v>RFIBU</v>
      </c>
      <c r="AP458" s="26">
        <f>Tabla_Consulta_desde_Reporte_de_Valorización_de_Instrumentos[[#This Row],[Huella]]/$AU$4</f>
        <v>0.54272005928029676</v>
      </c>
      <c r="AQ458" s="26" t="str">
        <f>IFERROR(INDEX('BD(MSCI)'!W:W,MATCH(Tabla_Consulta_desde_Reporte_de_Valorización_de_Instrumentos[[#This Row],[CODIGO_ISIN]],'BD(MSCI)'!C:C,0)),IF(Tabla_Consulta_desde_Reporte_de_Valorización_de_Instrumentos[[#This Row],[Rank_rt]]="Cash","Cash","Cuestionario Integra"))</f>
        <v>Portafolio</v>
      </c>
      <c r="AR458" s="26" t="str">
        <f>IFERROR(INDEX('BD(MSCI)'!X:X,MATCH(Tabla_Consulta_desde_Reporte_de_Valorización_de_Instrumentos[[#This Row],[CODIGO_ISIN]],'BD(MSCI)'!C:C,0)),"Cuestionario Integra")</f>
        <v>Portafolio</v>
      </c>
      <c r="AU458" s="26"/>
    </row>
    <row r="459" spans="2:47" hidden="1" x14ac:dyDescent="0.25">
      <c r="B459" s="14" t="s">
        <v>6390</v>
      </c>
      <c r="C459" t="s">
        <v>823</v>
      </c>
      <c r="D459" t="s">
        <v>10</v>
      </c>
      <c r="E459" t="s">
        <v>824</v>
      </c>
      <c r="F459" t="s">
        <v>825</v>
      </c>
      <c r="G459" t="str">
        <f>INDEX(Parametria!H:H,MATCH(Tabla_Consulta_desde_Reporte_de_Valorización_de_Instrumentos[[#This Row],[CODIGO_SBS]],Parametria!C:C,0),1)</f>
        <v>Ecopetrol</v>
      </c>
      <c r="H459" t="s">
        <v>826</v>
      </c>
      <c r="I459" t="s">
        <v>827</v>
      </c>
      <c r="J459" t="s">
        <v>193</v>
      </c>
      <c r="K459" t="s">
        <v>50</v>
      </c>
      <c r="L459">
        <v>1000</v>
      </c>
      <c r="M459" s="5">
        <v>82324329.692351699</v>
      </c>
      <c r="N459">
        <v>24494727.511188</v>
      </c>
      <c r="O459">
        <v>33564</v>
      </c>
      <c r="P459" s="15">
        <v>55459</v>
      </c>
      <c r="Q459">
        <v>9437</v>
      </c>
      <c r="R459">
        <v>3.3609</v>
      </c>
      <c r="S459" t="s">
        <v>155</v>
      </c>
      <c r="T459">
        <v>82329133.713797107</v>
      </c>
      <c r="U459" s="5">
        <v>24483772.590792</v>
      </c>
      <c r="V459" t="s">
        <v>156</v>
      </c>
      <c r="W459">
        <v>293045373000000</v>
      </c>
      <c r="X459">
        <v>191552463000000</v>
      </c>
      <c r="Y459">
        <v>101492910000000</v>
      </c>
      <c r="Z459">
        <v>0.32638899999999998</v>
      </c>
      <c r="AA459" t="str">
        <f>+MID(Tabla_Consulta_desde_Reporte_de_Valorización_de_Instrumentos[[#This Row],[CODIGO_SBS]],7,1)</f>
        <v>2</v>
      </c>
      <c r="AB459">
        <f>INDEX('Cálculo Caja'!F:F,MATCH(Tabla_Consulta_desde_Reporte_de_Valorización_de_Instrumentos[[#This Row],[PORTAFOLIO]],'Cálculo Caja'!A:A,0),1)</f>
        <v>26256910350.436607</v>
      </c>
      <c r="AC459" s="17">
        <f>Tabla_Consulta_desde_Reporte_de_Valorización_de_Instrumentos[[#This Row],[VALOR_VECTOR_LOCAL]]/Tabla_Consulta_desde_Reporte_de_Valorización_de_Instrumentos[[#This Row],[Patrimonio]]</f>
        <v>3.1353395579911702E-3</v>
      </c>
      <c r="AD459" s="4">
        <f>(Tabla_Consulta_desde_Reporte_de_Valorización_de_Instrumentos[[#This Row],[VALOR_VECTOR_LOCAL]]/INDEX('Tipo de Cambio'!$D:$D,MATCH("2",'Tipo de Cambio'!$E:$E,0),1))/1000000</f>
        <v>24.494727511187985</v>
      </c>
      <c r="AE459">
        <f>IF(Tabla_Consulta_desde_Reporte_de_Valorización_de_Instrumentos[[#This Row],[PORTAFOLIO]]="IN-FONDO0",Tabla_Consulta_desde_Reporte_de_Valorización_de_Instrumentos[[#This Row],[Inv MM$]],0)</f>
        <v>0</v>
      </c>
      <c r="AF459" s="26">
        <f>IF(Tabla_Consulta_desde_Reporte_de_Valorización_de_Instrumentos[[#This Row],[PORTAFOLIO]]="IN-FONDO1",Tabla_Consulta_desde_Reporte_de_Valorización_de_Instrumentos[[#This Row],[Inv MM$]],0)</f>
        <v>0</v>
      </c>
      <c r="AG459" s="26">
        <f>IF(Tabla_Consulta_desde_Reporte_de_Valorización_de_Instrumentos[[#This Row],[PORTAFOLIO]]="IN-FONDO2",Tabla_Consulta_desde_Reporte_de_Valorización_de_Instrumentos[[#This Row],[Inv MM$]],0)</f>
        <v>24.494727511187985</v>
      </c>
      <c r="AH459" s="26">
        <f>IF(Tabla_Consulta_desde_Reporte_de_Valorización_de_Instrumentos[[#This Row],[PORTAFOLIO]]="IN-FONDO3",Tabla_Consulta_desde_Reporte_de_Valorización_de_Instrumentos[[#This Row],[Inv MM$]],0)</f>
        <v>0</v>
      </c>
      <c r="AI45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37.815614808938975</v>
      </c>
      <c r="AJ459" s="26">
        <f>IFERROR(IFERROR(INDEX('BD(MSCI)'!$T:$T,MATCH(Tabla_Consulta_desde_Reporte_de_Valorización_de_Instrumentos[[#This Row],[CODIGO_ISIN]],'BD(MSCI)'!$C:$C,0),1),INDEX('BD(MSCI)'!$T:$T,MATCH(Tabla_Consulta_desde_Reporte_de_Valorización_de_Instrumentos[[#This Row],[CODIGO_SBS]],'BD(MSCI)'!$C:$C,0),1)),0)</f>
        <v>259.63</v>
      </c>
      <c r="AK459" s="26">
        <f>Tabla_Consulta_desde_Reporte_de_Valorización_de_Instrumentos[[#This Row],[C02-H]]*Tabla_Consulta_desde_Reporte_de_Valorización_de_Instrumentos[[#This Row],[Inv MM$]]</f>
        <v>6359.5661037297368</v>
      </c>
      <c r="AL459" s="26">
        <f>Tabla_Consulta_desde_Reporte_de_Valorización_de_Instrumentos[[#This Row],[C02-H]]*Tabla_Consulta_desde_Reporte_de_Valorización_de_Instrumentos[[#This Row],[Weight]]</f>
        <v>0.81402820944124754</v>
      </c>
      <c r="AM459" s="26" t="str">
        <f>INDEX(Parametria!G:G,MATCH(Tabla_Consulta_desde_Reporte_de_Valorización_de_Instrumentos[[#This Row],[CODIGO_SBS]],Parametria!C:C,0))</f>
        <v>59RFIC</v>
      </c>
      <c r="AN459" s="26" t="str">
        <f>INDEX(Parametria!F:F,MATCH(Tabla_Consulta_desde_Reporte_de_Valorización_de_Instrumentos[[#This Row],[CODIGO_SBS]],Parametria!C:C,0))</f>
        <v>BU</v>
      </c>
      <c r="AO459" s="26" t="str">
        <f>+INDEX(Parametria!J:J,MATCH(Tabla_Consulta_desde_Reporte_de_Valorización_de_Instrumentos[[#This Row],[CODIGO_SBS]],Parametria!C:C,0))</f>
        <v>RFIBU</v>
      </c>
      <c r="AP459" s="26">
        <f>Tabla_Consulta_desde_Reporte_de_Valorización_de_Instrumentos[[#This Row],[Huella]]/$AU$4</f>
        <v>0.58956214366829718</v>
      </c>
      <c r="AQ459" s="26" t="str">
        <f>IFERROR(INDEX('BD(MSCI)'!W:W,MATCH(Tabla_Consulta_desde_Reporte_de_Valorización_de_Instrumentos[[#This Row],[CODIGO_ISIN]],'BD(MSCI)'!C:C,0)),IF(Tabla_Consulta_desde_Reporte_de_Valorización_de_Instrumentos[[#This Row],[Rank_rt]]="Cash","Cash","Cuestionario Integra"))</f>
        <v>Portafolio</v>
      </c>
      <c r="AR459" s="26" t="str">
        <f>IFERROR(INDEX('BD(MSCI)'!X:X,MATCH(Tabla_Consulta_desde_Reporte_de_Valorización_de_Instrumentos[[#This Row],[CODIGO_ISIN]],'BD(MSCI)'!C:C,0)),"Cuestionario Integra")</f>
        <v>Portafolio</v>
      </c>
      <c r="AU459" s="26"/>
    </row>
    <row r="460" spans="2:47" hidden="1" x14ac:dyDescent="0.25">
      <c r="B460" s="14" t="s">
        <v>6390</v>
      </c>
      <c r="C460" t="s">
        <v>823</v>
      </c>
      <c r="D460" t="s">
        <v>10</v>
      </c>
      <c r="E460" t="s">
        <v>824</v>
      </c>
      <c r="F460" t="s">
        <v>4817</v>
      </c>
      <c r="G460" t="str">
        <f>INDEX(Parametria!H:H,MATCH(Tabla_Consulta_desde_Reporte_de_Valorización_de_Instrumentos[[#This Row],[CODIGO_SBS]],Parametria!C:C,0),1)</f>
        <v>Ecopetrol</v>
      </c>
      <c r="H460" t="s">
        <v>4816</v>
      </c>
      <c r="I460" t="s">
        <v>5001</v>
      </c>
      <c r="J460" t="s">
        <v>193</v>
      </c>
      <c r="K460" t="s">
        <v>50</v>
      </c>
      <c r="L460">
        <v>1000</v>
      </c>
      <c r="M460" s="5">
        <v>50188427.067311399</v>
      </c>
      <c r="N460">
        <v>14933031.946</v>
      </c>
      <c r="O460">
        <v>14000</v>
      </c>
      <c r="P460" s="15">
        <v>49693</v>
      </c>
      <c r="Q460">
        <v>3671</v>
      </c>
      <c r="R460">
        <v>3.3609</v>
      </c>
      <c r="S460" t="s">
        <v>155</v>
      </c>
      <c r="T460">
        <v>50248973.125411198</v>
      </c>
      <c r="U460" s="5">
        <v>14943488.112</v>
      </c>
      <c r="V460" t="s">
        <v>156</v>
      </c>
      <c r="W460">
        <v>293045373000000</v>
      </c>
      <c r="X460">
        <v>191552463000000</v>
      </c>
      <c r="Y460">
        <v>101492910000000</v>
      </c>
      <c r="Z460">
        <v>-0.74686900000000001</v>
      </c>
      <c r="AA460" t="str">
        <f>+MID(Tabla_Consulta_desde_Reporte_de_Valorización_de_Instrumentos[[#This Row],[CODIGO_SBS]],7,1)</f>
        <v>2</v>
      </c>
      <c r="AB460">
        <f>INDEX('Cálculo Caja'!F:F,MATCH(Tabla_Consulta_desde_Reporte_de_Valorización_de_Instrumentos[[#This Row],[PORTAFOLIO]],'Cálculo Caja'!A:A,0),1)</f>
        <v>26256910350.436607</v>
      </c>
      <c r="AC460" s="17">
        <f>Tabla_Consulta_desde_Reporte_de_Valorización_de_Instrumentos[[#This Row],[VALOR_VECTOR_LOCAL]]/Tabla_Consulta_desde_Reporte_de_Valorización_de_Instrumentos[[#This Row],[Patrimonio]]</f>
        <v>1.9114368902309502E-3</v>
      </c>
      <c r="AD460" s="4">
        <f>(Tabla_Consulta_desde_Reporte_de_Valorización_de_Instrumentos[[#This Row],[VALOR_VECTOR_LOCAL]]/INDEX('Tipo de Cambio'!$D:$D,MATCH("2",'Tipo de Cambio'!$E:$E,0),1))/1000000</f>
        <v>14.933031946</v>
      </c>
      <c r="AE460">
        <f>IF(Tabla_Consulta_desde_Reporte_de_Valorización_de_Instrumentos[[#This Row],[PORTAFOLIO]]="IN-FONDO0",Tabla_Consulta_desde_Reporte_de_Valorización_de_Instrumentos[[#This Row],[Inv MM$]],0)</f>
        <v>0</v>
      </c>
      <c r="AF460" s="26">
        <f>IF(Tabla_Consulta_desde_Reporte_de_Valorización_de_Instrumentos[[#This Row],[PORTAFOLIO]]="IN-FONDO1",Tabla_Consulta_desde_Reporte_de_Valorización_de_Instrumentos[[#This Row],[Inv MM$]],0)</f>
        <v>0</v>
      </c>
      <c r="AG460" s="26">
        <f>IF(Tabla_Consulta_desde_Reporte_de_Valorización_de_Instrumentos[[#This Row],[PORTAFOLIO]]="IN-FONDO2",Tabla_Consulta_desde_Reporte_de_Valorización_de_Instrumentos[[#This Row],[Inv MM$]],0)</f>
        <v>14.933031946</v>
      </c>
      <c r="AH460" s="26">
        <f>IF(Tabla_Consulta_desde_Reporte_de_Valorización_de_Instrumentos[[#This Row],[PORTAFOLIO]]="IN-FONDO3",Tabla_Consulta_desde_Reporte_de_Valorización_de_Instrumentos[[#This Row],[Inv MM$]],0)</f>
        <v>0</v>
      </c>
      <c r="AI46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27.285849300758994</v>
      </c>
      <c r="AJ460" s="26">
        <f>IFERROR(IFERROR(INDEX('BD(MSCI)'!$T:$T,MATCH(Tabla_Consulta_desde_Reporte_de_Valorización_de_Instrumentos[[#This Row],[CODIGO_ISIN]],'BD(MSCI)'!$C:$C,0),1),INDEX('BD(MSCI)'!$T:$T,MATCH(Tabla_Consulta_desde_Reporte_de_Valorización_de_Instrumentos[[#This Row],[CODIGO_SBS]],'BD(MSCI)'!$C:$C,0),1)),0)</f>
        <v>259.63</v>
      </c>
      <c r="AK460" s="26">
        <f>Tabla_Consulta_desde_Reporte_de_Valorización_de_Instrumentos[[#This Row],[C02-H]]*Tabla_Consulta_desde_Reporte_de_Valorización_de_Instrumentos[[#This Row],[Inv MM$]]</f>
        <v>3877.0630841399798</v>
      </c>
      <c r="AL460" s="26">
        <f>Tabla_Consulta_desde_Reporte_de_Valorización_de_Instrumentos[[#This Row],[C02-H]]*Tabla_Consulta_desde_Reporte_de_Valorización_de_Instrumentos[[#This Row],[Weight]]</f>
        <v>0.49626635981066158</v>
      </c>
      <c r="AM460" s="26" t="str">
        <f>INDEX(Parametria!G:G,MATCH(Tabla_Consulta_desde_Reporte_de_Valorización_de_Instrumentos[[#This Row],[CODIGO_SBS]],Parametria!C:C,0))</f>
        <v>59RFIC</v>
      </c>
      <c r="AN460" s="26" t="str">
        <f>INDEX(Parametria!F:F,MATCH(Tabla_Consulta_desde_Reporte_de_Valorización_de_Instrumentos[[#This Row],[CODIGO_SBS]],Parametria!C:C,0))</f>
        <v>BU</v>
      </c>
      <c r="AO460" s="26" t="str">
        <f>+INDEX(Parametria!J:J,MATCH(Tabla_Consulta_desde_Reporte_de_Valorización_de_Instrumentos[[#This Row],[CODIGO_SBS]],Parametria!C:C,0))</f>
        <v>RFIBU</v>
      </c>
      <c r="AP460" s="26">
        <f>Tabla_Consulta_desde_Reporte_de_Valorización_de_Instrumentos[[#This Row],[Huella]]/$AU$4</f>
        <v>0.35942226022027446</v>
      </c>
      <c r="AQ460" s="26" t="str">
        <f>IFERROR(INDEX('BD(MSCI)'!W:W,MATCH(Tabla_Consulta_desde_Reporte_de_Valorización_de_Instrumentos[[#This Row],[CODIGO_ISIN]],'BD(MSCI)'!C:C,0)),IF(Tabla_Consulta_desde_Reporte_de_Valorización_de_Instrumentos[[#This Row],[Rank_rt]]="Cash","Cash","Cuestionario Integra"))</f>
        <v>Portafolio</v>
      </c>
      <c r="AR460" s="26" t="str">
        <f>IFERROR(INDEX('BD(MSCI)'!X:X,MATCH(Tabla_Consulta_desde_Reporte_de_Valorización_de_Instrumentos[[#This Row],[CODIGO_ISIN]],'BD(MSCI)'!C:C,0)),"Cuestionario Integra")</f>
        <v>Portafolio</v>
      </c>
      <c r="AU460" s="26"/>
    </row>
    <row r="461" spans="2:47" hidden="1" x14ac:dyDescent="0.25">
      <c r="B461" s="14" t="s">
        <v>6390</v>
      </c>
      <c r="C461" t="s">
        <v>823</v>
      </c>
      <c r="D461" t="s">
        <v>10</v>
      </c>
      <c r="E461" t="s">
        <v>824</v>
      </c>
      <c r="F461" t="s">
        <v>5623</v>
      </c>
      <c r="G461" t="str">
        <f>INDEX(Parametria!H:H,MATCH(Tabla_Consulta_desde_Reporte_de_Valorización_de_Instrumentos[[#This Row],[CODIGO_SBS]],Parametria!C:C,0),1)</f>
        <v>Ecopetrol</v>
      </c>
      <c r="H461" t="s">
        <v>5622</v>
      </c>
      <c r="I461" t="s">
        <v>5862</v>
      </c>
      <c r="J461" t="s">
        <v>193</v>
      </c>
      <c r="K461" t="s">
        <v>50</v>
      </c>
      <c r="L461">
        <v>1000</v>
      </c>
      <c r="M461" s="5">
        <v>50588598.200872302</v>
      </c>
      <c r="N461">
        <v>15052098.604800001</v>
      </c>
      <c r="O461">
        <v>14200</v>
      </c>
      <c r="P461" s="15">
        <v>48245</v>
      </c>
      <c r="Q461">
        <v>2223</v>
      </c>
      <c r="R461">
        <v>3.3609</v>
      </c>
      <c r="S461" t="s">
        <v>155</v>
      </c>
      <c r="T461">
        <v>50553996.628649801</v>
      </c>
      <c r="U461" s="5">
        <v>15034198.7238</v>
      </c>
      <c r="V461" t="s">
        <v>156</v>
      </c>
      <c r="W461">
        <v>293045373000000</v>
      </c>
      <c r="X461">
        <v>191552463000000</v>
      </c>
      <c r="Y461">
        <v>101492910000000</v>
      </c>
      <c r="Z461">
        <v>1.2605550000000001</v>
      </c>
      <c r="AA461" t="str">
        <f>+MID(Tabla_Consulta_desde_Reporte_de_Valorización_de_Instrumentos[[#This Row],[CODIGO_SBS]],7,1)</f>
        <v>2</v>
      </c>
      <c r="AB461">
        <f>INDEX('Cálculo Caja'!F:F,MATCH(Tabla_Consulta_desde_Reporte_de_Valorización_de_Instrumentos[[#This Row],[PORTAFOLIO]],'Cálculo Caja'!A:A,0),1)</f>
        <v>26256910350.436607</v>
      </c>
      <c r="AC461" s="17">
        <f>Tabla_Consulta_desde_Reporte_de_Valorización_de_Instrumentos[[#This Row],[VALOR_VECTOR_LOCAL]]/Tabla_Consulta_desde_Reporte_de_Valorización_de_Instrumentos[[#This Row],[Patrimonio]]</f>
        <v>1.9266774927321599E-3</v>
      </c>
      <c r="AD461" s="4">
        <f>(Tabla_Consulta_desde_Reporte_de_Valorización_de_Instrumentos[[#This Row],[VALOR_VECTOR_LOCAL]]/INDEX('Tipo de Cambio'!$D:$D,MATCH("2",'Tipo de Cambio'!$E:$E,0),1))/1000000</f>
        <v>15.052098604799996</v>
      </c>
      <c r="AE461">
        <f>IF(Tabla_Consulta_desde_Reporte_de_Valorización_de_Instrumentos[[#This Row],[PORTAFOLIO]]="IN-FONDO0",Tabla_Consulta_desde_Reporte_de_Valorización_de_Instrumentos[[#This Row],[Inv MM$]],0)</f>
        <v>0</v>
      </c>
      <c r="AF461" s="26">
        <f>IF(Tabla_Consulta_desde_Reporte_de_Valorización_de_Instrumentos[[#This Row],[PORTAFOLIO]]="IN-FONDO1",Tabla_Consulta_desde_Reporte_de_Valorización_de_Instrumentos[[#This Row],[Inv MM$]],0)</f>
        <v>0</v>
      </c>
      <c r="AG461" s="26">
        <f>IF(Tabla_Consulta_desde_Reporte_de_Valorización_de_Instrumentos[[#This Row],[PORTAFOLIO]]="IN-FONDO2",Tabla_Consulta_desde_Reporte_de_Valorización_de_Instrumentos[[#This Row],[Inv MM$]],0)</f>
        <v>15.052098604799996</v>
      </c>
      <c r="AH461" s="26">
        <f>IF(Tabla_Consulta_desde_Reporte_de_Valorización_de_Instrumentos[[#This Row],[PORTAFOLIO]]="IN-FONDO3",Tabla_Consulta_desde_Reporte_de_Valorización_de_Instrumentos[[#This Row],[Inv MM$]],0)</f>
        <v>0</v>
      </c>
      <c r="AI46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21.697282136735996</v>
      </c>
      <c r="AJ461" s="26">
        <f>IFERROR(IFERROR(INDEX('BD(MSCI)'!$T:$T,MATCH(Tabla_Consulta_desde_Reporte_de_Valorización_de_Instrumentos[[#This Row],[CODIGO_ISIN]],'BD(MSCI)'!$C:$C,0),1),INDEX('BD(MSCI)'!$T:$T,MATCH(Tabla_Consulta_desde_Reporte_de_Valorización_de_Instrumentos[[#This Row],[CODIGO_SBS]],'BD(MSCI)'!$C:$C,0),1)),0)</f>
        <v>259.63</v>
      </c>
      <c r="AK461" s="26">
        <f>Tabla_Consulta_desde_Reporte_de_Valorización_de_Instrumentos[[#This Row],[C02-H]]*Tabla_Consulta_desde_Reporte_de_Valorización_de_Instrumentos[[#This Row],[Inv MM$]]</f>
        <v>3907.976360764223</v>
      </c>
      <c r="AL461" s="26">
        <f>Tabla_Consulta_desde_Reporte_de_Valorización_de_Instrumentos[[#This Row],[C02-H]]*Tabla_Consulta_desde_Reporte_de_Valorización_de_Instrumentos[[#This Row],[Weight]]</f>
        <v>0.50022327743805062</v>
      </c>
      <c r="AM461" s="26" t="str">
        <f>INDEX(Parametria!G:G,MATCH(Tabla_Consulta_desde_Reporte_de_Valorización_de_Instrumentos[[#This Row],[CODIGO_SBS]],Parametria!C:C,0))</f>
        <v>59RFIC</v>
      </c>
      <c r="AN461" s="26" t="str">
        <f>INDEX(Parametria!F:F,MATCH(Tabla_Consulta_desde_Reporte_de_Valorización_de_Instrumentos[[#This Row],[CODIGO_SBS]],Parametria!C:C,0))</f>
        <v>BU</v>
      </c>
      <c r="AO461" s="26" t="str">
        <f>+INDEX(Parametria!J:J,MATCH(Tabla_Consulta_desde_Reporte_de_Valorización_de_Instrumentos[[#This Row],[CODIGO_SBS]],Parametria!C:C,0))</f>
        <v>RFIBU</v>
      </c>
      <c r="AP461" s="26">
        <f>Tabla_Consulta_desde_Reporte_de_Valorización_de_Instrumentos[[#This Row],[Huella]]/$AU$4</f>
        <v>0.3622880685690093</v>
      </c>
      <c r="AQ461" s="26" t="str">
        <f>IFERROR(INDEX('BD(MSCI)'!W:W,MATCH(Tabla_Consulta_desde_Reporte_de_Valorización_de_Instrumentos[[#This Row],[CODIGO_ISIN]],'BD(MSCI)'!C:C,0)),IF(Tabla_Consulta_desde_Reporte_de_Valorización_de_Instrumentos[[#This Row],[Rank_rt]]="Cash","Cash","Cuestionario Integra"))</f>
        <v>Portafolio</v>
      </c>
      <c r="AR461" s="26" t="str">
        <f>IFERROR(INDEX('BD(MSCI)'!X:X,MATCH(Tabla_Consulta_desde_Reporte_de_Valorización_de_Instrumentos[[#This Row],[CODIGO_ISIN]],'BD(MSCI)'!C:C,0)),"Cuestionario Integra")</f>
        <v>Portafolio</v>
      </c>
      <c r="AU461" s="26"/>
    </row>
    <row r="462" spans="2:47" hidden="1" x14ac:dyDescent="0.25">
      <c r="B462" s="14" t="s">
        <v>6390</v>
      </c>
      <c r="C462" t="s">
        <v>823</v>
      </c>
      <c r="D462" t="s">
        <v>12</v>
      </c>
      <c r="E462" t="s">
        <v>824</v>
      </c>
      <c r="F462" t="s">
        <v>5623</v>
      </c>
      <c r="G462" t="str">
        <f>INDEX(Parametria!H:H,MATCH(Tabla_Consulta_desde_Reporte_de_Valorización_de_Instrumentos[[#This Row],[CODIGO_SBS]],Parametria!C:C,0),1)</f>
        <v>Ecopetrol</v>
      </c>
      <c r="H462" t="s">
        <v>5622</v>
      </c>
      <c r="I462" t="s">
        <v>5862</v>
      </c>
      <c r="J462" t="s">
        <v>193</v>
      </c>
      <c r="K462" t="s">
        <v>50</v>
      </c>
      <c r="L462">
        <v>1000</v>
      </c>
      <c r="M462" s="5">
        <v>22333797.332483701</v>
      </c>
      <c r="N462">
        <v>6645183.5319360001</v>
      </c>
      <c r="O462">
        <v>6269</v>
      </c>
      <c r="P462" s="15">
        <v>48245</v>
      </c>
      <c r="Q462">
        <v>2223</v>
      </c>
      <c r="R462">
        <v>3.3609</v>
      </c>
      <c r="S462" t="s">
        <v>155</v>
      </c>
      <c r="T462">
        <v>22318521.469366599</v>
      </c>
      <c r="U462" s="5">
        <v>6637281.1126410002</v>
      </c>
      <c r="V462" t="s">
        <v>156</v>
      </c>
      <c r="W462">
        <v>293045373000000</v>
      </c>
      <c r="X462">
        <v>191552463000000</v>
      </c>
      <c r="Y462">
        <v>101492910000000</v>
      </c>
      <c r="Z462">
        <v>1.2605550000000001</v>
      </c>
      <c r="AA462" t="str">
        <f>+MID(Tabla_Consulta_desde_Reporte_de_Valorización_de_Instrumentos[[#This Row],[CODIGO_SBS]],7,1)</f>
        <v>2</v>
      </c>
      <c r="AB462">
        <f>INDEX('Cálculo Caja'!F:F,MATCH(Tabla_Consulta_desde_Reporte_de_Valorización_de_Instrumentos[[#This Row],[PORTAFOLIO]],'Cálculo Caja'!A:A,0),1)</f>
        <v>7679510866.0565634</v>
      </c>
      <c r="AC462" s="17">
        <f>Tabla_Consulta_desde_Reporte_de_Valorización_de_Instrumentos[[#This Row],[VALOR_VECTOR_LOCAL]]/Tabla_Consulta_desde_Reporte_de_Valorización_de_Instrumentos[[#This Row],[Patrimonio]]</f>
        <v>2.9082317509568326E-3</v>
      </c>
      <c r="AD462" s="4">
        <f>(Tabla_Consulta_desde_Reporte_de_Valorización_de_Instrumentos[[#This Row],[VALOR_VECTOR_LOCAL]]/INDEX('Tipo de Cambio'!$D:$D,MATCH("2",'Tipo de Cambio'!$E:$E,0),1))/1000000</f>
        <v>6.6451835319360004</v>
      </c>
      <c r="AE462">
        <f>IF(Tabla_Consulta_desde_Reporte_de_Valorización_de_Instrumentos[[#This Row],[PORTAFOLIO]]="IN-FONDO0",Tabla_Consulta_desde_Reporte_de_Valorización_de_Instrumentos[[#This Row],[Inv MM$]],0)</f>
        <v>0</v>
      </c>
      <c r="AF462" s="26">
        <f>IF(Tabla_Consulta_desde_Reporte_de_Valorización_de_Instrumentos[[#This Row],[PORTAFOLIO]]="IN-FONDO1",Tabla_Consulta_desde_Reporte_de_Valorización_de_Instrumentos[[#This Row],[Inv MM$]],0)</f>
        <v>6.6451835319360004</v>
      </c>
      <c r="AG462" s="26">
        <f>IF(Tabla_Consulta_desde_Reporte_de_Valorización_de_Instrumentos[[#This Row],[PORTAFOLIO]]="IN-FONDO2",Tabla_Consulta_desde_Reporte_de_Valorización_de_Instrumentos[[#This Row],[Inv MM$]],0)</f>
        <v>0</v>
      </c>
      <c r="AH462" s="26">
        <f>IF(Tabla_Consulta_desde_Reporte_de_Valorización_de_Instrumentos[[#This Row],[PORTAFOLIO]]="IN-FONDO3",Tabla_Consulta_desde_Reporte_de_Valorización_de_Instrumentos[[#This Row],[Inv MM$]],0)</f>
        <v>0</v>
      </c>
      <c r="AI46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21.697282136735996</v>
      </c>
      <c r="AJ462" s="26">
        <f>IFERROR(IFERROR(INDEX('BD(MSCI)'!$T:$T,MATCH(Tabla_Consulta_desde_Reporte_de_Valorización_de_Instrumentos[[#This Row],[CODIGO_ISIN]],'BD(MSCI)'!$C:$C,0),1),INDEX('BD(MSCI)'!$T:$T,MATCH(Tabla_Consulta_desde_Reporte_de_Valorización_de_Instrumentos[[#This Row],[CODIGO_SBS]],'BD(MSCI)'!$C:$C,0),1)),0)</f>
        <v>259.63</v>
      </c>
      <c r="AK462" s="26">
        <f>Tabla_Consulta_desde_Reporte_de_Valorización_de_Instrumentos[[#This Row],[C02-H]]*Tabla_Consulta_desde_Reporte_de_Valorización_de_Instrumentos[[#This Row],[Inv MM$]]</f>
        <v>1725.2890003965438</v>
      </c>
      <c r="AL462" s="26">
        <f>Tabla_Consulta_desde_Reporte_de_Valorización_de_Instrumentos[[#This Row],[C02-H]]*Tabla_Consulta_desde_Reporte_de_Valorización_de_Instrumentos[[#This Row],[Weight]]</f>
        <v>0.75506420950092246</v>
      </c>
      <c r="AM462" s="26" t="str">
        <f>INDEX(Parametria!G:G,MATCH(Tabla_Consulta_desde_Reporte_de_Valorización_de_Instrumentos[[#This Row],[CODIGO_SBS]],Parametria!C:C,0))</f>
        <v>59RFIC</v>
      </c>
      <c r="AN462" s="26" t="str">
        <f>INDEX(Parametria!F:F,MATCH(Tabla_Consulta_desde_Reporte_de_Valorización_de_Instrumentos[[#This Row],[CODIGO_SBS]],Parametria!C:C,0))</f>
        <v>BU</v>
      </c>
      <c r="AO462" s="26" t="str">
        <f>+INDEX(Parametria!J:J,MATCH(Tabla_Consulta_desde_Reporte_de_Valorización_de_Instrumentos[[#This Row],[CODIGO_SBS]],Parametria!C:C,0))</f>
        <v>RFIBU</v>
      </c>
      <c r="AP462" s="26">
        <f>Tabla_Consulta_desde_Reporte_de_Valorización_de_Instrumentos[[#This Row],[Huella]]/$AU$4</f>
        <v>0.15994252829993802</v>
      </c>
      <c r="AQ462" s="26" t="str">
        <f>IFERROR(INDEX('BD(MSCI)'!W:W,MATCH(Tabla_Consulta_desde_Reporte_de_Valorización_de_Instrumentos[[#This Row],[CODIGO_ISIN]],'BD(MSCI)'!C:C,0)),IF(Tabla_Consulta_desde_Reporte_de_Valorización_de_Instrumentos[[#This Row],[Rank_rt]]="Cash","Cash","Cuestionario Integra"))</f>
        <v>Portafolio</v>
      </c>
      <c r="AR462" s="26" t="str">
        <f>IFERROR(INDEX('BD(MSCI)'!X:X,MATCH(Tabla_Consulta_desde_Reporte_de_Valorización_de_Instrumentos[[#This Row],[CODIGO_ISIN]],'BD(MSCI)'!C:C,0)),"Cuestionario Integra")</f>
        <v>Portafolio</v>
      </c>
      <c r="AU462" s="26"/>
    </row>
    <row r="463" spans="2:47" hidden="1" x14ac:dyDescent="0.25">
      <c r="B463" s="14" t="s">
        <v>6390</v>
      </c>
      <c r="C463" t="s">
        <v>823</v>
      </c>
      <c r="D463" t="s">
        <v>12</v>
      </c>
      <c r="E463" t="s">
        <v>824</v>
      </c>
      <c r="F463" t="s">
        <v>4817</v>
      </c>
      <c r="G463" t="str">
        <f>INDEX(Parametria!H:H,MATCH(Tabla_Consulta_desde_Reporte_de_Valorización_de_Instrumentos[[#This Row],[CODIGO_SBS]],Parametria!C:C,0),1)</f>
        <v>Ecopetrol</v>
      </c>
      <c r="H463" t="s">
        <v>4816</v>
      </c>
      <c r="I463" t="s">
        <v>5001</v>
      </c>
      <c r="J463" t="s">
        <v>193</v>
      </c>
      <c r="K463" t="s">
        <v>50</v>
      </c>
      <c r="L463">
        <v>1000</v>
      </c>
      <c r="M463" s="5">
        <v>41516583.847609498</v>
      </c>
      <c r="N463">
        <v>12352817.354759</v>
      </c>
      <c r="O463">
        <v>11581</v>
      </c>
      <c r="P463" s="15">
        <v>49693</v>
      </c>
      <c r="Q463">
        <v>3671</v>
      </c>
      <c r="R463">
        <v>3.3609</v>
      </c>
      <c r="S463" t="s">
        <v>155</v>
      </c>
      <c r="T463">
        <v>41566668.411813296</v>
      </c>
      <c r="U463" s="5">
        <v>12361466.844648</v>
      </c>
      <c r="V463" t="s">
        <v>156</v>
      </c>
      <c r="W463">
        <v>293045373000000</v>
      </c>
      <c r="X463">
        <v>191552463000000</v>
      </c>
      <c r="Y463">
        <v>101492910000000</v>
      </c>
      <c r="Z463">
        <v>-0.74686900000000001</v>
      </c>
      <c r="AA463" t="str">
        <f>+MID(Tabla_Consulta_desde_Reporte_de_Valorización_de_Instrumentos[[#This Row],[CODIGO_SBS]],7,1)</f>
        <v>2</v>
      </c>
      <c r="AB463">
        <f>INDEX('Cálculo Caja'!F:F,MATCH(Tabla_Consulta_desde_Reporte_de_Valorización_de_Instrumentos[[#This Row],[PORTAFOLIO]],'Cálculo Caja'!A:A,0),1)</f>
        <v>7679510866.0565634</v>
      </c>
      <c r="AC463" s="17">
        <f>Tabla_Consulta_desde_Reporte_de_Valorización_de_Instrumentos[[#This Row],[VALOR_VECTOR_LOCAL]]/Tabla_Consulta_desde_Reporte_de_Valorización_de_Instrumentos[[#This Row],[Patrimonio]]</f>
        <v>5.4061495024524007E-3</v>
      </c>
      <c r="AD463" s="4">
        <f>(Tabla_Consulta_desde_Reporte_de_Valorización_de_Instrumentos[[#This Row],[VALOR_VECTOR_LOCAL]]/INDEX('Tipo de Cambio'!$D:$D,MATCH("2",'Tipo de Cambio'!$E:$E,0),1))/1000000</f>
        <v>12.352817354758994</v>
      </c>
      <c r="AE463">
        <f>IF(Tabla_Consulta_desde_Reporte_de_Valorización_de_Instrumentos[[#This Row],[PORTAFOLIO]]="IN-FONDO0",Tabla_Consulta_desde_Reporte_de_Valorización_de_Instrumentos[[#This Row],[Inv MM$]],0)</f>
        <v>0</v>
      </c>
      <c r="AF463" s="26">
        <f>IF(Tabla_Consulta_desde_Reporte_de_Valorización_de_Instrumentos[[#This Row],[PORTAFOLIO]]="IN-FONDO1",Tabla_Consulta_desde_Reporte_de_Valorización_de_Instrumentos[[#This Row],[Inv MM$]],0)</f>
        <v>12.352817354758994</v>
      </c>
      <c r="AG463" s="26">
        <f>IF(Tabla_Consulta_desde_Reporte_de_Valorización_de_Instrumentos[[#This Row],[PORTAFOLIO]]="IN-FONDO2",Tabla_Consulta_desde_Reporte_de_Valorización_de_Instrumentos[[#This Row],[Inv MM$]],0)</f>
        <v>0</v>
      </c>
      <c r="AH463" s="26">
        <f>IF(Tabla_Consulta_desde_Reporte_de_Valorización_de_Instrumentos[[#This Row],[PORTAFOLIO]]="IN-FONDO3",Tabla_Consulta_desde_Reporte_de_Valorización_de_Instrumentos[[#This Row],[Inv MM$]],0)</f>
        <v>0</v>
      </c>
      <c r="AI46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27.285849300758994</v>
      </c>
      <c r="AJ463" s="26">
        <f>IFERROR(IFERROR(INDEX('BD(MSCI)'!$T:$T,MATCH(Tabla_Consulta_desde_Reporte_de_Valorización_de_Instrumentos[[#This Row],[CODIGO_ISIN]],'BD(MSCI)'!$C:$C,0),1),INDEX('BD(MSCI)'!$T:$T,MATCH(Tabla_Consulta_desde_Reporte_de_Valorización_de_Instrumentos[[#This Row],[CODIGO_SBS]],'BD(MSCI)'!$C:$C,0),1)),0)</f>
        <v>259.63</v>
      </c>
      <c r="AK463" s="26">
        <f>Tabla_Consulta_desde_Reporte_de_Valorización_de_Instrumentos[[#This Row],[C02-H]]*Tabla_Consulta_desde_Reporte_de_Valorización_de_Instrumentos[[#This Row],[Inv MM$]]</f>
        <v>3207.1619698160775</v>
      </c>
      <c r="AL463" s="26">
        <f>Tabla_Consulta_desde_Reporte_de_Valorización_de_Instrumentos[[#This Row],[C02-H]]*Tabla_Consulta_desde_Reporte_de_Valorización_de_Instrumentos[[#This Row],[Weight]]</f>
        <v>1.4035985953217167</v>
      </c>
      <c r="AM463" s="26" t="str">
        <f>INDEX(Parametria!G:G,MATCH(Tabla_Consulta_desde_Reporte_de_Valorización_de_Instrumentos[[#This Row],[CODIGO_SBS]],Parametria!C:C,0))</f>
        <v>59RFIC</v>
      </c>
      <c r="AN463" s="26" t="str">
        <f>INDEX(Parametria!F:F,MATCH(Tabla_Consulta_desde_Reporte_de_Valorización_de_Instrumentos[[#This Row],[CODIGO_SBS]],Parametria!C:C,0))</f>
        <v>BU</v>
      </c>
      <c r="AO463" s="26" t="str">
        <f>+INDEX(Parametria!J:J,MATCH(Tabla_Consulta_desde_Reporte_de_Valorización_de_Instrumentos[[#This Row],[CODIGO_SBS]],Parametria!C:C,0))</f>
        <v>RFIBU</v>
      </c>
      <c r="AP463" s="26">
        <f>Tabla_Consulta_desde_Reporte_de_Valorización_de_Instrumentos[[#This Row],[Huella]]/$AU$4</f>
        <v>0.29731922825792834</v>
      </c>
      <c r="AQ463" s="26" t="str">
        <f>IFERROR(INDEX('BD(MSCI)'!W:W,MATCH(Tabla_Consulta_desde_Reporte_de_Valorización_de_Instrumentos[[#This Row],[CODIGO_ISIN]],'BD(MSCI)'!C:C,0)),IF(Tabla_Consulta_desde_Reporte_de_Valorización_de_Instrumentos[[#This Row],[Rank_rt]]="Cash","Cash","Cuestionario Integra"))</f>
        <v>Portafolio</v>
      </c>
      <c r="AR463" s="26" t="str">
        <f>IFERROR(INDEX('BD(MSCI)'!X:X,MATCH(Tabla_Consulta_desde_Reporte_de_Valorización_de_Instrumentos[[#This Row],[CODIGO_ISIN]],'BD(MSCI)'!C:C,0)),"Cuestionario Integra")</f>
        <v>Portafolio</v>
      </c>
      <c r="AU463" s="26"/>
    </row>
    <row r="464" spans="2:47" hidden="1" x14ac:dyDescent="0.25">
      <c r="B464" s="14" t="s">
        <v>6390</v>
      </c>
      <c r="C464" t="s">
        <v>823</v>
      </c>
      <c r="D464" t="s">
        <v>12</v>
      </c>
      <c r="E464" t="s">
        <v>824</v>
      </c>
      <c r="F464" t="s">
        <v>959</v>
      </c>
      <c r="G464" t="str">
        <f>INDEX(Parametria!H:H,MATCH(Tabla_Consulta_desde_Reporte_de_Valorización_de_Instrumentos[[#This Row],[CODIGO_SBS]],Parametria!C:C,0),1)</f>
        <v>Ecopetrol</v>
      </c>
      <c r="H464" t="s">
        <v>960</v>
      </c>
      <c r="I464" t="s">
        <v>4859</v>
      </c>
      <c r="J464" t="s">
        <v>193</v>
      </c>
      <c r="K464" t="s">
        <v>50</v>
      </c>
      <c r="L464">
        <v>1000</v>
      </c>
      <c r="M464" s="5">
        <v>31214596.801202599</v>
      </c>
      <c r="N464">
        <v>9287570.8296000008</v>
      </c>
      <c r="O464">
        <v>8400</v>
      </c>
      <c r="P464" s="15">
        <v>48592</v>
      </c>
      <c r="Q464">
        <v>2570</v>
      </c>
      <c r="R464">
        <v>3.3609</v>
      </c>
      <c r="S464" t="s">
        <v>155</v>
      </c>
      <c r="T464">
        <v>31334704.733176298</v>
      </c>
      <c r="U464" s="5">
        <v>9318594.1632000003</v>
      </c>
      <c r="V464" t="s">
        <v>156</v>
      </c>
      <c r="W464">
        <v>293045373000000</v>
      </c>
      <c r="X464">
        <v>191552463000000</v>
      </c>
      <c r="Y464">
        <v>101492910000000</v>
      </c>
      <c r="Z464">
        <v>-3.693254</v>
      </c>
      <c r="AA464" t="str">
        <f>+MID(Tabla_Consulta_desde_Reporte_de_Valorización_de_Instrumentos[[#This Row],[CODIGO_SBS]],7,1)</f>
        <v>2</v>
      </c>
      <c r="AB464">
        <f>INDEX('Cálculo Caja'!F:F,MATCH(Tabla_Consulta_desde_Reporte_de_Valorización_de_Instrumentos[[#This Row],[PORTAFOLIO]],'Cálculo Caja'!A:A,0),1)</f>
        <v>7679510866.0565634</v>
      </c>
      <c r="AC464" s="17">
        <f>Tabla_Consulta_desde_Reporte_de_Valorización_de_Instrumentos[[#This Row],[VALOR_VECTOR_LOCAL]]/Tabla_Consulta_desde_Reporte_de_Valorización_de_Instrumentos[[#This Row],[Patrimonio]]</f>
        <v>4.0646595005381283E-3</v>
      </c>
      <c r="AD464" s="4">
        <f>(Tabla_Consulta_desde_Reporte_de_Valorización_de_Instrumentos[[#This Row],[VALOR_VECTOR_LOCAL]]/INDEX('Tipo de Cambio'!$D:$D,MATCH("2",'Tipo de Cambio'!$E:$E,0),1))/1000000</f>
        <v>9.2875708295999875</v>
      </c>
      <c r="AE464">
        <f>IF(Tabla_Consulta_desde_Reporte_de_Valorización_de_Instrumentos[[#This Row],[PORTAFOLIO]]="IN-FONDO0",Tabla_Consulta_desde_Reporte_de_Valorización_de_Instrumentos[[#This Row],[Inv MM$]],0)</f>
        <v>0</v>
      </c>
      <c r="AF464" s="26">
        <f>IF(Tabla_Consulta_desde_Reporte_de_Valorización_de_Instrumentos[[#This Row],[PORTAFOLIO]]="IN-FONDO1",Tabla_Consulta_desde_Reporte_de_Valorización_de_Instrumentos[[#This Row],[Inv MM$]],0)</f>
        <v>9.2875708295999875</v>
      </c>
      <c r="AG464" s="26">
        <f>IF(Tabla_Consulta_desde_Reporte_de_Valorización_de_Instrumentos[[#This Row],[PORTAFOLIO]]="IN-FONDO2",Tabla_Consulta_desde_Reporte_de_Valorización_de_Instrumentos[[#This Row],[Inv MM$]],0)</f>
        <v>0</v>
      </c>
      <c r="AH464" s="26">
        <f>IF(Tabla_Consulta_desde_Reporte_de_Valorización_de_Instrumentos[[#This Row],[PORTAFOLIO]]="IN-FONDO3",Tabla_Consulta_desde_Reporte_de_Valorización_de_Instrumentos[[#This Row],[Inv MM$]],0)</f>
        <v>0</v>
      </c>
      <c r="AI46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10.393234023599987</v>
      </c>
      <c r="AJ464" s="26">
        <f>IFERROR(IFERROR(INDEX('BD(MSCI)'!$T:$T,MATCH(Tabla_Consulta_desde_Reporte_de_Valorización_de_Instrumentos[[#This Row],[CODIGO_ISIN]],'BD(MSCI)'!$C:$C,0),1),INDEX('BD(MSCI)'!$T:$T,MATCH(Tabla_Consulta_desde_Reporte_de_Valorización_de_Instrumentos[[#This Row],[CODIGO_SBS]],'BD(MSCI)'!$C:$C,0),1)),0)</f>
        <v>259.63</v>
      </c>
      <c r="AK464" s="26">
        <f>Tabla_Consulta_desde_Reporte_de_Valorización_de_Instrumentos[[#This Row],[C02-H]]*Tabla_Consulta_desde_Reporte_de_Valorización_de_Instrumentos[[#This Row],[Inv MM$]]</f>
        <v>2411.3320144890449</v>
      </c>
      <c r="AL464" s="26">
        <f>Tabla_Consulta_desde_Reporte_de_Valorización_de_Instrumentos[[#This Row],[C02-H]]*Tabla_Consulta_desde_Reporte_de_Valorización_de_Instrumentos[[#This Row],[Weight]]</f>
        <v>1.0553075461247143</v>
      </c>
      <c r="AM464" s="26" t="str">
        <f>INDEX(Parametria!G:G,MATCH(Tabla_Consulta_desde_Reporte_de_Valorización_de_Instrumentos[[#This Row],[CODIGO_SBS]],Parametria!C:C,0))</f>
        <v>59RFIC</v>
      </c>
      <c r="AN464" s="26" t="str">
        <f>INDEX(Parametria!F:F,MATCH(Tabla_Consulta_desde_Reporte_de_Valorización_de_Instrumentos[[#This Row],[CODIGO_SBS]],Parametria!C:C,0))</f>
        <v>BU</v>
      </c>
      <c r="AO464" s="26" t="str">
        <f>+INDEX(Parametria!J:J,MATCH(Tabla_Consulta_desde_Reporte_de_Valorización_de_Instrumentos[[#This Row],[CODIGO_SBS]],Parametria!C:C,0))</f>
        <v>RFIBU</v>
      </c>
      <c r="AP464" s="26">
        <f>Tabla_Consulta_desde_Reporte_de_Valorización_de_Instrumentos[[#This Row],[Huella]]/$AU$4</f>
        <v>0.22354199144567458</v>
      </c>
      <c r="AQ464" s="26" t="str">
        <f>IFERROR(INDEX('BD(MSCI)'!W:W,MATCH(Tabla_Consulta_desde_Reporte_de_Valorización_de_Instrumentos[[#This Row],[CODIGO_ISIN]],'BD(MSCI)'!C:C,0)),IF(Tabla_Consulta_desde_Reporte_de_Valorización_de_Instrumentos[[#This Row],[Rank_rt]]="Cash","Cash","Cuestionario Integra"))</f>
        <v>Portafolio</v>
      </c>
      <c r="AR464" s="26" t="str">
        <f>IFERROR(INDEX('BD(MSCI)'!X:X,MATCH(Tabla_Consulta_desde_Reporte_de_Valorización_de_Instrumentos[[#This Row],[CODIGO_ISIN]],'BD(MSCI)'!C:C,0)),"Cuestionario Integra")</f>
        <v>Portafolio</v>
      </c>
      <c r="AU464" s="26"/>
    </row>
    <row r="465" spans="2:47" hidden="1" x14ac:dyDescent="0.25">
      <c r="B465" s="14" t="s">
        <v>6390</v>
      </c>
      <c r="C465" t="s">
        <v>823</v>
      </c>
      <c r="D465" t="s">
        <v>12</v>
      </c>
      <c r="E465" t="s">
        <v>824</v>
      </c>
      <c r="F465" t="s">
        <v>825</v>
      </c>
      <c r="G465" t="str">
        <f>INDEX(Parametria!H:H,MATCH(Tabla_Consulta_desde_Reporte_de_Valorización_de_Instrumentos[[#This Row],[CODIGO_SBS]],Parametria!C:C,0),1)</f>
        <v>Ecopetrol</v>
      </c>
      <c r="H465" t="s">
        <v>826</v>
      </c>
      <c r="I465" t="s">
        <v>827</v>
      </c>
      <c r="J465" t="s">
        <v>193</v>
      </c>
      <c r="K465" t="s">
        <v>50</v>
      </c>
      <c r="L465">
        <v>1000</v>
      </c>
      <c r="M465" s="5">
        <v>44770170.119011298</v>
      </c>
      <c r="N465">
        <v>13320887.297751</v>
      </c>
      <c r="O465">
        <v>18253</v>
      </c>
      <c r="P465" s="15">
        <v>55459</v>
      </c>
      <c r="Q465">
        <v>9437</v>
      </c>
      <c r="R465">
        <v>3.3609</v>
      </c>
      <c r="S465" t="s">
        <v>155</v>
      </c>
      <c r="T465">
        <v>44772782.674232498</v>
      </c>
      <c r="U465" s="5">
        <v>13314929.719334001</v>
      </c>
      <c r="V465" t="s">
        <v>156</v>
      </c>
      <c r="W465">
        <v>293045373000000</v>
      </c>
      <c r="X465">
        <v>191552463000000</v>
      </c>
      <c r="Y465">
        <v>101492910000000</v>
      </c>
      <c r="Z465">
        <v>0.32638899999999998</v>
      </c>
      <c r="AA465" t="str">
        <f>+MID(Tabla_Consulta_desde_Reporte_de_Valorización_de_Instrumentos[[#This Row],[CODIGO_SBS]],7,1)</f>
        <v>2</v>
      </c>
      <c r="AB465">
        <f>INDEX('Cálculo Caja'!F:F,MATCH(Tabla_Consulta_desde_Reporte_de_Valorización_de_Instrumentos[[#This Row],[PORTAFOLIO]],'Cálculo Caja'!A:A,0),1)</f>
        <v>7679510866.0565634</v>
      </c>
      <c r="AC465" s="17">
        <f>Tabla_Consulta_desde_Reporte_de_Valorización_de_Instrumentos[[#This Row],[VALOR_VECTOR_LOCAL]]/Tabla_Consulta_desde_Reporte_de_Valorización_de_Instrumentos[[#This Row],[Patrimonio]]</f>
        <v>5.8298205315257048E-3</v>
      </c>
      <c r="AD465" s="4">
        <f>(Tabla_Consulta_desde_Reporte_de_Valorización_de_Instrumentos[[#This Row],[VALOR_VECTOR_LOCAL]]/INDEX('Tipo de Cambio'!$D:$D,MATCH("2",'Tipo de Cambio'!$E:$E,0),1))/1000000</f>
        <v>13.320887297750989</v>
      </c>
      <c r="AE465">
        <f>IF(Tabla_Consulta_desde_Reporte_de_Valorización_de_Instrumentos[[#This Row],[PORTAFOLIO]]="IN-FONDO0",Tabla_Consulta_desde_Reporte_de_Valorización_de_Instrumentos[[#This Row],[Inv MM$]],0)</f>
        <v>0</v>
      </c>
      <c r="AF465" s="26">
        <f>IF(Tabla_Consulta_desde_Reporte_de_Valorización_de_Instrumentos[[#This Row],[PORTAFOLIO]]="IN-FONDO1",Tabla_Consulta_desde_Reporte_de_Valorización_de_Instrumentos[[#This Row],[Inv MM$]],0)</f>
        <v>13.320887297750989</v>
      </c>
      <c r="AG465" s="26">
        <f>IF(Tabla_Consulta_desde_Reporte_de_Valorización_de_Instrumentos[[#This Row],[PORTAFOLIO]]="IN-FONDO2",Tabla_Consulta_desde_Reporte_de_Valorización_de_Instrumentos[[#This Row],[Inv MM$]],0)</f>
        <v>0</v>
      </c>
      <c r="AH465" s="26">
        <f>IF(Tabla_Consulta_desde_Reporte_de_Valorización_de_Instrumentos[[#This Row],[PORTAFOLIO]]="IN-FONDO3",Tabla_Consulta_desde_Reporte_de_Valorización_de_Instrumentos[[#This Row],[Inv MM$]],0)</f>
        <v>0</v>
      </c>
      <c r="AI46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37.815614808938975</v>
      </c>
      <c r="AJ465" s="26">
        <f>IFERROR(IFERROR(INDEX('BD(MSCI)'!$T:$T,MATCH(Tabla_Consulta_desde_Reporte_de_Valorización_de_Instrumentos[[#This Row],[CODIGO_ISIN]],'BD(MSCI)'!$C:$C,0),1),INDEX('BD(MSCI)'!$T:$T,MATCH(Tabla_Consulta_desde_Reporte_de_Valorización_de_Instrumentos[[#This Row],[CODIGO_SBS]],'BD(MSCI)'!$C:$C,0),1)),0)</f>
        <v>259.63</v>
      </c>
      <c r="AK465" s="26">
        <f>Tabla_Consulta_desde_Reporte_de_Valorización_de_Instrumentos[[#This Row],[C02-H]]*Tabla_Consulta_desde_Reporte_de_Valorización_de_Instrumentos[[#This Row],[Inv MM$]]</f>
        <v>3458.5019691150892</v>
      </c>
      <c r="AL465" s="26">
        <f>Tabla_Consulta_desde_Reporte_de_Valorización_de_Instrumentos[[#This Row],[C02-H]]*Tabla_Consulta_desde_Reporte_de_Valorización_de_Instrumentos[[#This Row],[Weight]]</f>
        <v>1.5135963046000187</v>
      </c>
      <c r="AM465" s="26" t="str">
        <f>INDEX(Parametria!G:G,MATCH(Tabla_Consulta_desde_Reporte_de_Valorización_de_Instrumentos[[#This Row],[CODIGO_SBS]],Parametria!C:C,0))</f>
        <v>59RFIC</v>
      </c>
      <c r="AN465" s="26" t="str">
        <f>INDEX(Parametria!F:F,MATCH(Tabla_Consulta_desde_Reporte_de_Valorización_de_Instrumentos[[#This Row],[CODIGO_SBS]],Parametria!C:C,0))</f>
        <v>BU</v>
      </c>
      <c r="AO465" s="26" t="str">
        <f>+INDEX(Parametria!J:J,MATCH(Tabla_Consulta_desde_Reporte_de_Valorización_de_Instrumentos[[#This Row],[CODIGO_SBS]],Parametria!C:C,0))</f>
        <v>RFIBU</v>
      </c>
      <c r="AP465" s="26">
        <f>Tabla_Consulta_desde_Reporte_de_Valorización_de_Instrumentos[[#This Row],[Huella]]/$AU$4</f>
        <v>0.32061964629893414</v>
      </c>
      <c r="AQ465" s="26" t="str">
        <f>IFERROR(INDEX('BD(MSCI)'!W:W,MATCH(Tabla_Consulta_desde_Reporte_de_Valorización_de_Instrumentos[[#This Row],[CODIGO_ISIN]],'BD(MSCI)'!C:C,0)),IF(Tabla_Consulta_desde_Reporte_de_Valorización_de_Instrumentos[[#This Row],[Rank_rt]]="Cash","Cash","Cuestionario Integra"))</f>
        <v>Portafolio</v>
      </c>
      <c r="AR465" s="26" t="str">
        <f>IFERROR(INDEX('BD(MSCI)'!X:X,MATCH(Tabla_Consulta_desde_Reporte_de_Valorización_de_Instrumentos[[#This Row],[CODIGO_ISIN]],'BD(MSCI)'!C:C,0)),"Cuestionario Integra")</f>
        <v>Portafolio</v>
      </c>
      <c r="AU465" s="26"/>
    </row>
    <row r="466" spans="2:47" hidden="1" x14ac:dyDescent="0.25">
      <c r="B466" s="14" t="s">
        <v>6390</v>
      </c>
      <c r="C466" t="s">
        <v>823</v>
      </c>
      <c r="D466" t="s">
        <v>12</v>
      </c>
      <c r="E466" t="s">
        <v>824</v>
      </c>
      <c r="F466" t="s">
        <v>3015</v>
      </c>
      <c r="G466" t="str">
        <f>INDEX(Parametria!H:H,MATCH(Tabla_Consulta_desde_Reporte_de_Valorización_de_Instrumentos[[#This Row],[CODIGO_SBS]],Parametria!C:C,0),1)</f>
        <v>Ecopetrol</v>
      </c>
      <c r="H466" t="s">
        <v>864</v>
      </c>
      <c r="I466" t="s">
        <v>5861</v>
      </c>
      <c r="J466" t="s">
        <v>193</v>
      </c>
      <c r="K466" t="s">
        <v>50</v>
      </c>
      <c r="L466">
        <v>1000</v>
      </c>
      <c r="M466" s="5">
        <v>3787689.4897924</v>
      </c>
      <c r="N466">
        <v>1126986.6672</v>
      </c>
      <c r="O466">
        <v>1200</v>
      </c>
      <c r="P466" s="15">
        <v>52492</v>
      </c>
      <c r="Q466">
        <v>6470</v>
      </c>
      <c r="R466">
        <v>3.3609</v>
      </c>
      <c r="S466" t="s">
        <v>155</v>
      </c>
      <c r="T466">
        <v>3792592.4736549002</v>
      </c>
      <c r="U466" s="5">
        <v>1127874.9996</v>
      </c>
      <c r="V466" t="s">
        <v>156</v>
      </c>
      <c r="W466">
        <v>293045373000000</v>
      </c>
      <c r="X466">
        <v>191552463000000</v>
      </c>
      <c r="Y466">
        <v>101492910000000</v>
      </c>
      <c r="Z466">
        <v>-0.74027699999999996</v>
      </c>
      <c r="AA466" t="str">
        <f>+MID(Tabla_Consulta_desde_Reporte_de_Valorización_de_Instrumentos[[#This Row],[CODIGO_SBS]],7,1)</f>
        <v>2</v>
      </c>
      <c r="AB466">
        <f>INDEX('Cálculo Caja'!F:F,MATCH(Tabla_Consulta_desde_Reporte_de_Valorización_de_Instrumentos[[#This Row],[PORTAFOLIO]],'Cálculo Caja'!A:A,0),1)</f>
        <v>7679510866.0565634</v>
      </c>
      <c r="AC466" s="17">
        <f>Tabla_Consulta_desde_Reporte_de_Valorización_de_Instrumentos[[#This Row],[VALOR_VECTOR_LOCAL]]/Tabla_Consulta_desde_Reporte_de_Valorización_de_Instrumentos[[#This Row],[Patrimonio]]</f>
        <v>4.9322014850372662E-4</v>
      </c>
      <c r="AD466" s="4">
        <f>(Tabla_Consulta_desde_Reporte_de_Valorización_de_Instrumentos[[#This Row],[VALOR_VECTOR_LOCAL]]/INDEX('Tipo de Cambio'!$D:$D,MATCH("2",'Tipo de Cambio'!$E:$E,0),1))/1000000</f>
        <v>1.1269866671999762</v>
      </c>
      <c r="AE466">
        <f>IF(Tabla_Consulta_desde_Reporte_de_Valorización_de_Instrumentos[[#This Row],[PORTAFOLIO]]="IN-FONDO0",Tabla_Consulta_desde_Reporte_de_Valorización_de_Instrumentos[[#This Row],[Inv MM$]],0)</f>
        <v>0</v>
      </c>
      <c r="AF466" s="26">
        <f>IF(Tabla_Consulta_desde_Reporte_de_Valorización_de_Instrumentos[[#This Row],[PORTAFOLIO]]="IN-FONDO1",Tabla_Consulta_desde_Reporte_de_Valorización_de_Instrumentos[[#This Row],[Inv MM$]],0)</f>
        <v>1.1269866671999762</v>
      </c>
      <c r="AG466" s="26">
        <f>IF(Tabla_Consulta_desde_Reporte_de_Valorización_de_Instrumentos[[#This Row],[PORTAFOLIO]]="IN-FONDO2",Tabla_Consulta_desde_Reporte_de_Valorización_de_Instrumentos[[#This Row],[Inv MM$]],0)</f>
        <v>0</v>
      </c>
      <c r="AH466" s="26">
        <f>IF(Tabla_Consulta_desde_Reporte_de_Valorización_de_Instrumentos[[#This Row],[PORTAFOLIO]]="IN-FONDO3",Tabla_Consulta_desde_Reporte_de_Valorización_de_Instrumentos[[#This Row],[Inv MM$]],0)</f>
        <v>0</v>
      </c>
      <c r="AI46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1.1269866671999762</v>
      </c>
      <c r="AJ466" s="26">
        <f>IFERROR(IFERROR(INDEX('BD(MSCI)'!$T:$T,MATCH(Tabla_Consulta_desde_Reporte_de_Valorización_de_Instrumentos[[#This Row],[CODIGO_ISIN]],'BD(MSCI)'!$C:$C,0),1),INDEX('BD(MSCI)'!$T:$T,MATCH(Tabla_Consulta_desde_Reporte_de_Valorización_de_Instrumentos[[#This Row],[CODIGO_SBS]],'BD(MSCI)'!$C:$C,0),1)),0)</f>
        <v>259.63</v>
      </c>
      <c r="AK466" s="26">
        <f>Tabla_Consulta_desde_Reporte_de_Valorización_de_Instrumentos[[#This Row],[C02-H]]*Tabla_Consulta_desde_Reporte_de_Valorización_de_Instrumentos[[#This Row],[Inv MM$]]</f>
        <v>292.59954840512984</v>
      </c>
      <c r="AL466" s="26">
        <f>Tabla_Consulta_desde_Reporte_de_Valorización_de_Instrumentos[[#This Row],[C02-H]]*Tabla_Consulta_desde_Reporte_de_Valorización_de_Instrumentos[[#This Row],[Weight]]</f>
        <v>0.12805474715602255</v>
      </c>
      <c r="AM466" s="26" t="str">
        <f>INDEX(Parametria!G:G,MATCH(Tabla_Consulta_desde_Reporte_de_Valorización_de_Instrumentos[[#This Row],[CODIGO_SBS]],Parametria!C:C,0))</f>
        <v>59RFIC</v>
      </c>
      <c r="AN466" s="26" t="str">
        <f>INDEX(Parametria!F:F,MATCH(Tabla_Consulta_desde_Reporte_de_Valorización_de_Instrumentos[[#This Row],[CODIGO_SBS]],Parametria!C:C,0))</f>
        <v>BU</v>
      </c>
      <c r="AO466" s="26" t="str">
        <f>+INDEX(Parametria!J:J,MATCH(Tabla_Consulta_desde_Reporte_de_Valorización_de_Instrumentos[[#This Row],[CODIGO_SBS]],Parametria!C:C,0))</f>
        <v>RFIBU</v>
      </c>
      <c r="AP466" s="26">
        <f>Tabla_Consulta_desde_Reporte_de_Valorización_de_Instrumentos[[#This Row],[Huella]]/$AU$4</f>
        <v>2.712537525051175E-2</v>
      </c>
      <c r="AQ466" s="26" t="str">
        <f>IFERROR(INDEX('BD(MSCI)'!W:W,MATCH(Tabla_Consulta_desde_Reporte_de_Valorización_de_Instrumentos[[#This Row],[CODIGO_ISIN]],'BD(MSCI)'!C:C,0)),IF(Tabla_Consulta_desde_Reporte_de_Valorización_de_Instrumentos[[#This Row],[Rank_rt]]="Cash","Cash","Cuestionario Integra"))</f>
        <v>Portafolio</v>
      </c>
      <c r="AR466" s="26" t="str">
        <f>IFERROR(INDEX('BD(MSCI)'!X:X,MATCH(Tabla_Consulta_desde_Reporte_de_Valorización_de_Instrumentos[[#This Row],[CODIGO_ISIN]],'BD(MSCI)'!C:C,0)),"Cuestionario Integra")</f>
        <v>Portafolio</v>
      </c>
      <c r="AU466" s="26"/>
    </row>
    <row r="467" spans="2:47" hidden="1" x14ac:dyDescent="0.25">
      <c r="B467" s="14" t="s">
        <v>6390</v>
      </c>
      <c r="C467" t="s">
        <v>823</v>
      </c>
      <c r="D467" t="s">
        <v>12</v>
      </c>
      <c r="E467" t="s">
        <v>824</v>
      </c>
      <c r="F467" t="s">
        <v>957</v>
      </c>
      <c r="G467" t="str">
        <f>INDEX(Parametria!H:H,MATCH(Tabla_Consulta_desde_Reporte_de_Valorización_de_Instrumentos[[#This Row],[CODIGO_SBS]],Parametria!C:C,0),1)</f>
        <v>Ecopetrol</v>
      </c>
      <c r="H467" t="s">
        <v>958</v>
      </c>
      <c r="I467" t="s">
        <v>4858</v>
      </c>
      <c r="J467" t="s">
        <v>193</v>
      </c>
      <c r="K467" t="s">
        <v>50</v>
      </c>
      <c r="L467">
        <v>1000</v>
      </c>
      <c r="M467" s="5">
        <v>79423117.501377806</v>
      </c>
      <c r="N467">
        <v>23631502.722895</v>
      </c>
      <c r="O467">
        <v>31445</v>
      </c>
      <c r="P467" s="15">
        <v>53110</v>
      </c>
      <c r="Q467">
        <v>7088</v>
      </c>
      <c r="R467">
        <v>3.3609</v>
      </c>
      <c r="S467" t="s">
        <v>155</v>
      </c>
      <c r="T467">
        <v>79522234.862845004</v>
      </c>
      <c r="U467" s="5">
        <v>23649031.95826</v>
      </c>
      <c r="V467" t="s">
        <v>156</v>
      </c>
      <c r="W467">
        <v>293045373000000</v>
      </c>
      <c r="X467">
        <v>191552463000000</v>
      </c>
      <c r="Y467">
        <v>101492910000000</v>
      </c>
      <c r="Z467">
        <v>-0.55745699999999998</v>
      </c>
      <c r="AA467" t="str">
        <f>+MID(Tabla_Consulta_desde_Reporte_de_Valorización_de_Instrumentos[[#This Row],[CODIGO_SBS]],7,1)</f>
        <v>2</v>
      </c>
      <c r="AB467">
        <f>INDEX('Cálculo Caja'!F:F,MATCH(Tabla_Consulta_desde_Reporte_de_Valorización_de_Instrumentos[[#This Row],[PORTAFOLIO]],'Cálculo Caja'!A:A,0),1)</f>
        <v>7679510866.0565634</v>
      </c>
      <c r="AC467" s="17">
        <f>Tabla_Consulta_desde_Reporte_de_Valorización_de_Instrumentos[[#This Row],[VALOR_VECTOR_LOCAL]]/Tabla_Consulta_desde_Reporte_de_Valorización_de_Instrumentos[[#This Row],[Patrimonio]]</f>
        <v>1.0342210446296518E-2</v>
      </c>
      <c r="AD467" s="4">
        <f>(Tabla_Consulta_desde_Reporte_de_Valorización_de_Instrumentos[[#This Row],[VALOR_VECTOR_LOCAL]]/INDEX('Tipo de Cambio'!$D:$D,MATCH("2",'Tipo de Cambio'!$E:$E,0),1))/1000000</f>
        <v>23.631502722895</v>
      </c>
      <c r="AE467">
        <f>IF(Tabla_Consulta_desde_Reporte_de_Valorización_de_Instrumentos[[#This Row],[PORTAFOLIO]]="IN-FONDO0",Tabla_Consulta_desde_Reporte_de_Valorización_de_Instrumentos[[#This Row],[Inv MM$]],0)</f>
        <v>0</v>
      </c>
      <c r="AF467" s="26">
        <f>IF(Tabla_Consulta_desde_Reporte_de_Valorización_de_Instrumentos[[#This Row],[PORTAFOLIO]]="IN-FONDO1",Tabla_Consulta_desde_Reporte_de_Valorización_de_Instrumentos[[#This Row],[Inv MM$]],0)</f>
        <v>23.631502722895</v>
      </c>
      <c r="AG467" s="26">
        <f>IF(Tabla_Consulta_desde_Reporte_de_Valorización_de_Instrumentos[[#This Row],[PORTAFOLIO]]="IN-FONDO2",Tabla_Consulta_desde_Reporte_de_Valorización_de_Instrumentos[[#This Row],[Inv MM$]],0)</f>
        <v>0</v>
      </c>
      <c r="AH467" s="26">
        <f>IF(Tabla_Consulta_desde_Reporte_de_Valorización_de_Instrumentos[[#This Row],[PORTAFOLIO]]="IN-FONDO3",Tabla_Consulta_desde_Reporte_de_Valorización_de_Instrumentos[[#This Row],[Inv MM$]],0)</f>
        <v>0</v>
      </c>
      <c r="AI46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46.180067127338987</v>
      </c>
      <c r="AJ467" s="26">
        <f>IFERROR(IFERROR(INDEX('BD(MSCI)'!$T:$T,MATCH(Tabla_Consulta_desde_Reporte_de_Valorización_de_Instrumentos[[#This Row],[CODIGO_ISIN]],'BD(MSCI)'!$C:$C,0),1),INDEX('BD(MSCI)'!$T:$T,MATCH(Tabla_Consulta_desde_Reporte_de_Valorización_de_Instrumentos[[#This Row],[CODIGO_SBS]],'BD(MSCI)'!$C:$C,0),1)),0)</f>
        <v>259.63</v>
      </c>
      <c r="AK467" s="26">
        <f>Tabla_Consulta_desde_Reporte_de_Valorización_de_Instrumentos[[#This Row],[C02-H]]*Tabla_Consulta_desde_Reporte_de_Valorización_de_Instrumentos[[#This Row],[Inv MM$]]</f>
        <v>6135.4470519452288</v>
      </c>
      <c r="AL467" s="26">
        <f>Tabla_Consulta_desde_Reporte_de_Valorización_de_Instrumentos[[#This Row],[C02-H]]*Tabla_Consulta_desde_Reporte_de_Valorización_de_Instrumentos[[#This Row],[Weight]]</f>
        <v>2.6851480981719651</v>
      </c>
      <c r="AM467" s="26" t="str">
        <f>INDEX(Parametria!G:G,MATCH(Tabla_Consulta_desde_Reporte_de_Valorización_de_Instrumentos[[#This Row],[CODIGO_SBS]],Parametria!C:C,0))</f>
        <v>59RFIC</v>
      </c>
      <c r="AN467" s="26" t="str">
        <f>INDEX(Parametria!F:F,MATCH(Tabla_Consulta_desde_Reporte_de_Valorización_de_Instrumentos[[#This Row],[CODIGO_SBS]],Parametria!C:C,0))</f>
        <v>BU</v>
      </c>
      <c r="AO467" s="26" t="str">
        <f>+INDEX(Parametria!J:J,MATCH(Tabla_Consulta_desde_Reporte_de_Valorización_de_Instrumentos[[#This Row],[CODIGO_SBS]],Parametria!C:C,0))</f>
        <v>RFIBU</v>
      </c>
      <c r="AP467" s="26">
        <f>Tabla_Consulta_desde_Reporte_de_Valorización_de_Instrumentos[[#This Row],[Huella]]/$AU$4</f>
        <v>0.56878523743730636</v>
      </c>
      <c r="AQ467" s="26" t="str">
        <f>IFERROR(INDEX('BD(MSCI)'!W:W,MATCH(Tabla_Consulta_desde_Reporte_de_Valorización_de_Instrumentos[[#This Row],[CODIGO_ISIN]],'BD(MSCI)'!C:C,0)),IF(Tabla_Consulta_desde_Reporte_de_Valorización_de_Instrumentos[[#This Row],[Rank_rt]]="Cash","Cash","Cuestionario Integra"))</f>
        <v>Portafolio</v>
      </c>
      <c r="AR467" s="26" t="str">
        <f>IFERROR(INDEX('BD(MSCI)'!X:X,MATCH(Tabla_Consulta_desde_Reporte_de_Valorización_de_Instrumentos[[#This Row],[CODIGO_ISIN]],'BD(MSCI)'!C:C,0)),"Cuestionario Integra")</f>
        <v>Portafolio</v>
      </c>
      <c r="AU467" s="26"/>
    </row>
    <row r="468" spans="2:47" hidden="1" x14ac:dyDescent="0.25">
      <c r="B468" s="14" t="s">
        <v>6390</v>
      </c>
      <c r="C468" t="s">
        <v>823</v>
      </c>
      <c r="D468" t="s">
        <v>12</v>
      </c>
      <c r="E468" t="s">
        <v>824</v>
      </c>
      <c r="F468" t="s">
        <v>828</v>
      </c>
      <c r="G468" t="str">
        <f>INDEX(Parametria!H:H,MATCH(Tabla_Consulta_desde_Reporte_de_Valorización_de_Instrumentos[[#This Row],[CODIGO_SBS]],Parametria!C:C,0),1)</f>
        <v>Empresas Públicas Medellin</v>
      </c>
      <c r="H468" t="s">
        <v>829</v>
      </c>
      <c r="I468" t="s">
        <v>830</v>
      </c>
      <c r="J468" t="s">
        <v>831</v>
      </c>
      <c r="K468" t="s">
        <v>41</v>
      </c>
      <c r="L468">
        <v>1000000</v>
      </c>
      <c r="M468" s="5">
        <v>59781546.141988501</v>
      </c>
      <c r="N468">
        <v>67245833680.527</v>
      </c>
      <c r="O468">
        <v>71529</v>
      </c>
      <c r="P468" s="15">
        <v>46699</v>
      </c>
      <c r="Q468">
        <v>677</v>
      </c>
      <c r="R468">
        <v>8.8900000000000003E-4</v>
      </c>
      <c r="S468" t="s">
        <v>155</v>
      </c>
      <c r="T468">
        <v>59842067.392300896</v>
      </c>
      <c r="U468" s="5">
        <v>67245833680.527</v>
      </c>
      <c r="V468" t="s">
        <v>156</v>
      </c>
      <c r="W468">
        <v>75144776000000</v>
      </c>
      <c r="X468">
        <v>44883876000000</v>
      </c>
      <c r="Y468">
        <v>30260899999999.996</v>
      </c>
      <c r="Z468">
        <v>0</v>
      </c>
      <c r="AA468" t="str">
        <f>+MID(Tabla_Consulta_desde_Reporte_de_Valorización_de_Instrumentos[[#This Row],[CODIGO_SBS]],7,1)</f>
        <v>F</v>
      </c>
      <c r="AB468">
        <f>INDEX('Cálculo Caja'!F:F,MATCH(Tabla_Consulta_desde_Reporte_de_Valorización_de_Instrumentos[[#This Row],[PORTAFOLIO]],'Cálculo Caja'!A:A,0),1)</f>
        <v>7679510866.0565634</v>
      </c>
      <c r="AC468" s="17">
        <f>Tabla_Consulta_desde_Reporte_de_Valorización_de_Instrumentos[[#This Row],[VALOR_VECTOR_LOCAL]]/Tabla_Consulta_desde_Reporte_de_Valorización_de_Instrumentos[[#This Row],[Patrimonio]]</f>
        <v>7.7845512799809844E-3</v>
      </c>
      <c r="AD468" s="4">
        <f>(Tabla_Consulta_desde_Reporte_de_Valorización_de_Instrumentos[[#This Row],[VALOR_VECTOR_LOCAL]]/INDEX('Tipo de Cambio'!$D:$D,MATCH("2",'Tipo de Cambio'!$E:$E,0),1))/1000000</f>
        <v>17.787362355913146</v>
      </c>
      <c r="AE468">
        <f>IF(Tabla_Consulta_desde_Reporte_de_Valorización_de_Instrumentos[[#This Row],[PORTAFOLIO]]="IN-FONDO0",Tabla_Consulta_desde_Reporte_de_Valorización_de_Instrumentos[[#This Row],[Inv MM$]],0)</f>
        <v>0</v>
      </c>
      <c r="AF468" s="26">
        <f>IF(Tabla_Consulta_desde_Reporte_de_Valorización_de_Instrumentos[[#This Row],[PORTAFOLIO]]="IN-FONDO1",Tabla_Consulta_desde_Reporte_de_Valorización_de_Instrumentos[[#This Row],[Inv MM$]],0)</f>
        <v>17.787362355913146</v>
      </c>
      <c r="AG468" s="26">
        <f>IF(Tabla_Consulta_desde_Reporte_de_Valorización_de_Instrumentos[[#This Row],[PORTAFOLIO]]="IN-FONDO2",Tabla_Consulta_desde_Reporte_de_Valorización_de_Instrumentos[[#This Row],[Inv MM$]],0)</f>
        <v>0</v>
      </c>
      <c r="AH468" s="26">
        <f>IF(Tabla_Consulta_desde_Reporte_de_Valorización_de_Instrumentos[[#This Row],[PORTAFOLIO]]="IN-FONDO3",Tabla_Consulta_desde_Reporte_de_Valorización_de_Instrumentos[[#This Row],[Inv MM$]],0)</f>
        <v>0</v>
      </c>
      <c r="AI46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45.69946374523937</v>
      </c>
      <c r="AJ468" s="26">
        <f>IFERROR(IFERROR(INDEX('BD(MSCI)'!$T:$T,MATCH(Tabla_Consulta_desde_Reporte_de_Valorización_de_Instrumentos[[#This Row],[CODIGO_ISIN]],'BD(MSCI)'!$C:$C,0),1),INDEX('BD(MSCI)'!$T:$T,MATCH(Tabla_Consulta_desde_Reporte_de_Valorización_de_Instrumentos[[#This Row],[CODIGO_SBS]],'BD(MSCI)'!$C:$C,0),1)),0)</f>
        <v>32.630000000000003</v>
      </c>
      <c r="AK468" s="26">
        <f>Tabla_Consulta_desde_Reporte_de_Valorización_de_Instrumentos[[#This Row],[C02-H]]*Tabla_Consulta_desde_Reporte_de_Valorización_de_Instrumentos[[#This Row],[Inv MM$]]</f>
        <v>580.40163367344599</v>
      </c>
      <c r="AL468" s="26">
        <f>Tabla_Consulta_desde_Reporte_de_Valorización_de_Instrumentos[[#This Row],[C02-H]]*Tabla_Consulta_desde_Reporte_de_Valorización_de_Instrumentos[[#This Row],[Weight]]</f>
        <v>0.25400990826577952</v>
      </c>
      <c r="AM468" s="26" t="str">
        <f>INDEX(Parametria!G:G,MATCH(Tabla_Consulta_desde_Reporte_de_Valorización_de_Instrumentos[[#This Row],[CODIGO_SBS]],Parametria!C:C,0))</f>
        <v>59RFIC</v>
      </c>
      <c r="AN468" s="26" t="str">
        <f>INDEX(Parametria!F:F,MATCH(Tabla_Consulta_desde_Reporte_de_Valorización_de_Instrumentos[[#This Row],[CODIGO_SBS]],Parametria!C:C,0))</f>
        <v>BU</v>
      </c>
      <c r="AO468" s="26" t="str">
        <f>+INDEX(Parametria!J:J,MATCH(Tabla_Consulta_desde_Reporte_de_Valorización_de_Instrumentos[[#This Row],[CODIGO_SBS]],Parametria!C:C,0))</f>
        <v>RFIBU</v>
      </c>
      <c r="AP468" s="26">
        <f>Tabla_Consulta_desde_Reporte_de_Valorización_de_Instrumentos[[#This Row],[Huella]]/$AU$4</f>
        <v>5.3806002761165789E-2</v>
      </c>
      <c r="AQ468" s="26" t="str">
        <f>IFERROR(INDEX('BD(MSCI)'!W:W,MATCH(Tabla_Consulta_desde_Reporte_de_Valorización_de_Instrumentos[[#This Row],[CODIGO_ISIN]],'BD(MSCI)'!C:C,0)),IF(Tabla_Consulta_desde_Reporte_de_Valorización_de_Instrumentos[[#This Row],[Rank_rt]]="Cash","Cash","Cuestionario Integra"))</f>
        <v>Portafolio</v>
      </c>
      <c r="AR468" s="26" t="str">
        <f>IFERROR(INDEX('BD(MSCI)'!X:X,MATCH(Tabla_Consulta_desde_Reporte_de_Valorización_de_Instrumentos[[#This Row],[CODIGO_ISIN]],'BD(MSCI)'!C:C,0)),"Cuestionario Integra")</f>
        <v>Portafolio</v>
      </c>
      <c r="AU468" s="26"/>
    </row>
    <row r="469" spans="2:47" hidden="1" x14ac:dyDescent="0.25">
      <c r="B469" s="14" t="s">
        <v>6390</v>
      </c>
      <c r="C469" t="s">
        <v>823</v>
      </c>
      <c r="D469" t="s">
        <v>10</v>
      </c>
      <c r="E469" t="s">
        <v>824</v>
      </c>
      <c r="F469" t="s">
        <v>828</v>
      </c>
      <c r="G469" t="str">
        <f>INDEX(Parametria!H:H,MATCH(Tabla_Consulta_desde_Reporte_de_Valorización_de_Instrumentos[[#This Row],[CODIGO_SBS]],Parametria!C:C,0),1)</f>
        <v>Empresas Públicas Medellin</v>
      </c>
      <c r="H469" t="s">
        <v>829</v>
      </c>
      <c r="I469" t="s">
        <v>830</v>
      </c>
      <c r="J469" t="s">
        <v>831</v>
      </c>
      <c r="K469" t="s">
        <v>41</v>
      </c>
      <c r="L469">
        <v>1000000</v>
      </c>
      <c r="M469" s="5">
        <v>93809781.559386507</v>
      </c>
      <c r="N469">
        <v>105522813902.57201</v>
      </c>
      <c r="O469">
        <v>112244</v>
      </c>
      <c r="P469" s="15">
        <v>46699</v>
      </c>
      <c r="Q469">
        <v>677</v>
      </c>
      <c r="R469">
        <v>8.8900000000000003E-4</v>
      </c>
      <c r="S469" t="s">
        <v>155</v>
      </c>
      <c r="T469">
        <v>93904752.091898799</v>
      </c>
      <c r="U469" s="5">
        <v>105522813902.57201</v>
      </c>
      <c r="V469" t="s">
        <v>156</v>
      </c>
      <c r="W469">
        <v>75144776000000</v>
      </c>
      <c r="X469">
        <v>44883876000000</v>
      </c>
      <c r="Y469">
        <v>30260899999999.996</v>
      </c>
      <c r="Z469">
        <v>0</v>
      </c>
      <c r="AA469" t="str">
        <f>+MID(Tabla_Consulta_desde_Reporte_de_Valorización_de_Instrumentos[[#This Row],[CODIGO_SBS]],7,1)</f>
        <v>F</v>
      </c>
      <c r="AB469">
        <f>INDEX('Cálculo Caja'!F:F,MATCH(Tabla_Consulta_desde_Reporte_de_Valorización_de_Instrumentos[[#This Row],[PORTAFOLIO]],'Cálculo Caja'!A:A,0),1)</f>
        <v>26256910350.436607</v>
      </c>
      <c r="AC469" s="17">
        <f>Tabla_Consulta_desde_Reporte_de_Valorización_de_Instrumentos[[#This Row],[VALOR_VECTOR_LOCAL]]/Tabla_Consulta_desde_Reporte_de_Valorización_de_Instrumentos[[#This Row],[Patrimonio]]</f>
        <v>3.5727654285046761E-3</v>
      </c>
      <c r="AD469" s="4">
        <f>(Tabla_Consulta_desde_Reporte_de_Valorización_de_Instrumentos[[#This Row],[VALOR_VECTOR_LOCAL]]/INDEX('Tipo de Cambio'!$D:$D,MATCH("2",'Tipo de Cambio'!$E:$E,0),1))/1000000</f>
        <v>27.912101389326224</v>
      </c>
      <c r="AE469">
        <f>IF(Tabla_Consulta_desde_Reporte_de_Valorización_de_Instrumentos[[#This Row],[PORTAFOLIO]]="IN-FONDO0",Tabla_Consulta_desde_Reporte_de_Valorización_de_Instrumentos[[#This Row],[Inv MM$]],0)</f>
        <v>0</v>
      </c>
      <c r="AF469" s="26">
        <f>IF(Tabla_Consulta_desde_Reporte_de_Valorización_de_Instrumentos[[#This Row],[PORTAFOLIO]]="IN-FONDO1",Tabla_Consulta_desde_Reporte_de_Valorización_de_Instrumentos[[#This Row],[Inv MM$]],0)</f>
        <v>0</v>
      </c>
      <c r="AG469" s="26">
        <f>IF(Tabla_Consulta_desde_Reporte_de_Valorización_de_Instrumentos[[#This Row],[PORTAFOLIO]]="IN-FONDO2",Tabla_Consulta_desde_Reporte_de_Valorización_de_Instrumentos[[#This Row],[Inv MM$]],0)</f>
        <v>27.912101389326224</v>
      </c>
      <c r="AH469" s="26">
        <f>IF(Tabla_Consulta_desde_Reporte_de_Valorización_de_Instrumentos[[#This Row],[PORTAFOLIO]]="IN-FONDO3",Tabla_Consulta_desde_Reporte_de_Valorización_de_Instrumentos[[#This Row],[Inv MM$]],0)</f>
        <v>0</v>
      </c>
      <c r="AI46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45.69946374523937</v>
      </c>
      <c r="AJ469" s="26">
        <f>IFERROR(IFERROR(INDEX('BD(MSCI)'!$T:$T,MATCH(Tabla_Consulta_desde_Reporte_de_Valorización_de_Instrumentos[[#This Row],[CODIGO_ISIN]],'BD(MSCI)'!$C:$C,0),1),INDEX('BD(MSCI)'!$T:$T,MATCH(Tabla_Consulta_desde_Reporte_de_Valorización_de_Instrumentos[[#This Row],[CODIGO_SBS]],'BD(MSCI)'!$C:$C,0),1)),0)</f>
        <v>32.630000000000003</v>
      </c>
      <c r="AK469" s="26">
        <f>Tabla_Consulta_desde_Reporte_de_Valorización_de_Instrumentos[[#This Row],[C02-H]]*Tabla_Consulta_desde_Reporte_de_Valorización_de_Instrumentos[[#This Row],[Inv MM$]]</f>
        <v>910.77186833371479</v>
      </c>
      <c r="AL469" s="26">
        <f>Tabla_Consulta_desde_Reporte_de_Valorización_de_Instrumentos[[#This Row],[C02-H]]*Tabla_Consulta_desde_Reporte_de_Valorización_de_Instrumentos[[#This Row],[Weight]]</f>
        <v>0.11657933593210759</v>
      </c>
      <c r="AM469" s="26" t="str">
        <f>INDEX(Parametria!G:G,MATCH(Tabla_Consulta_desde_Reporte_de_Valorización_de_Instrumentos[[#This Row],[CODIGO_SBS]],Parametria!C:C,0))</f>
        <v>59RFIC</v>
      </c>
      <c r="AN469" s="26" t="str">
        <f>INDEX(Parametria!F:F,MATCH(Tabla_Consulta_desde_Reporte_de_Valorización_de_Instrumentos[[#This Row],[CODIGO_SBS]],Parametria!C:C,0))</f>
        <v>BU</v>
      </c>
      <c r="AO469" s="26" t="str">
        <f>+INDEX(Parametria!J:J,MATCH(Tabla_Consulta_desde_Reporte_de_Valorización_de_Instrumentos[[#This Row],[CODIGO_SBS]],Parametria!C:C,0))</f>
        <v>RFIBU</v>
      </c>
      <c r="AP469" s="26">
        <f>Tabla_Consulta_desde_Reporte_de_Valorización_de_Instrumentos[[#This Row],[Huella]]/$AU$4</f>
        <v>8.4432900976167624E-2</v>
      </c>
      <c r="AQ469" s="26" t="str">
        <f>IFERROR(INDEX('BD(MSCI)'!W:W,MATCH(Tabla_Consulta_desde_Reporte_de_Valorización_de_Instrumentos[[#This Row],[CODIGO_ISIN]],'BD(MSCI)'!C:C,0)),IF(Tabla_Consulta_desde_Reporte_de_Valorización_de_Instrumentos[[#This Row],[Rank_rt]]="Cash","Cash","Cuestionario Integra"))</f>
        <v>Portafolio</v>
      </c>
      <c r="AR469" s="26" t="str">
        <f>IFERROR(INDEX('BD(MSCI)'!X:X,MATCH(Tabla_Consulta_desde_Reporte_de_Valorización_de_Instrumentos[[#This Row],[CODIGO_ISIN]],'BD(MSCI)'!C:C,0)),"Cuestionario Integra")</f>
        <v>Portafolio</v>
      </c>
      <c r="AU469" s="26"/>
    </row>
    <row r="470" spans="2:47" hidden="1" x14ac:dyDescent="0.25">
      <c r="B470" s="14" t="s">
        <v>6390</v>
      </c>
      <c r="C470" t="s">
        <v>833</v>
      </c>
      <c r="D470" t="s">
        <v>12</v>
      </c>
      <c r="E470" t="s">
        <v>834</v>
      </c>
      <c r="F470" t="s">
        <v>6442</v>
      </c>
      <c r="G470">
        <f>INDEX(Parametria!H:H,MATCH(Tabla_Consulta_desde_Reporte_de_Valorización_de_Instrumentos[[#This Row],[CODIGO_SBS]],Parametria!C:C,0),1)</f>
        <v>0</v>
      </c>
      <c r="H470" t="s">
        <v>90</v>
      </c>
      <c r="I470" t="s">
        <v>5972</v>
      </c>
      <c r="J470" t="s">
        <v>245</v>
      </c>
      <c r="K470" t="s">
        <v>50</v>
      </c>
      <c r="L470">
        <v>1</v>
      </c>
      <c r="M470" s="5">
        <v>5041350</v>
      </c>
      <c r="N470">
        <v>1500000</v>
      </c>
      <c r="O470">
        <v>0</v>
      </c>
      <c r="P470" s="15">
        <v>46027</v>
      </c>
      <c r="Q470">
        <v>5</v>
      </c>
      <c r="R470">
        <v>3.3609</v>
      </c>
      <c r="S470" t="s">
        <v>155</v>
      </c>
      <c r="U470" s="5"/>
      <c r="V470" t="s">
        <v>233</v>
      </c>
      <c r="W470">
        <v>22149047000</v>
      </c>
      <c r="X470">
        <v>20355021000</v>
      </c>
      <c r="Y470">
        <v>1794026000</v>
      </c>
      <c r="Z470">
        <v>0</v>
      </c>
      <c r="AA470" t="str">
        <f>+MID(Tabla_Consulta_desde_Reporte_de_Valorización_de_Instrumentos[[#This Row],[CODIGO_SBS]],7,1)</f>
        <v>2</v>
      </c>
      <c r="AB470">
        <f>INDEX('Cálculo Caja'!F:F,MATCH(Tabla_Consulta_desde_Reporte_de_Valorización_de_Instrumentos[[#This Row],[PORTAFOLIO]],'Cálculo Caja'!A:A,0),1)</f>
        <v>7679510866.0565634</v>
      </c>
      <c r="AC470" s="17">
        <f>Tabla_Consulta_desde_Reporte_de_Valorización_de_Instrumentos[[#This Row],[VALOR_VECTOR_LOCAL]]/Tabla_Consulta_desde_Reporte_de_Valorización_de_Instrumentos[[#This Row],[Patrimonio]]</f>
        <v>6.564675912215667E-4</v>
      </c>
      <c r="AD470" s="4">
        <f>(Tabla_Consulta_desde_Reporte_de_Valorización_de_Instrumentos[[#This Row],[VALOR_VECTOR_LOCAL]]/INDEX('Tipo de Cambio'!$D:$D,MATCH("2",'Tipo de Cambio'!$E:$E,0),1))/1000000</f>
        <v>1.5</v>
      </c>
      <c r="AE470">
        <f>IF(Tabla_Consulta_desde_Reporte_de_Valorización_de_Instrumentos[[#This Row],[PORTAFOLIO]]="IN-FONDO0",Tabla_Consulta_desde_Reporte_de_Valorización_de_Instrumentos[[#This Row],[Inv MM$]],0)</f>
        <v>0</v>
      </c>
      <c r="AF470" s="26">
        <f>IF(Tabla_Consulta_desde_Reporte_de_Valorización_de_Instrumentos[[#This Row],[PORTAFOLIO]]="IN-FONDO1",Tabla_Consulta_desde_Reporte_de_Valorización_de_Instrumentos[[#This Row],[Inv MM$]],0)</f>
        <v>1.5</v>
      </c>
      <c r="AG470" s="26">
        <f>IF(Tabla_Consulta_desde_Reporte_de_Valorización_de_Instrumentos[[#This Row],[PORTAFOLIO]]="IN-FONDO2",Tabla_Consulta_desde_Reporte_de_Valorización_de_Instrumentos[[#This Row],[Inv MM$]],0)</f>
        <v>0</v>
      </c>
      <c r="AH470" s="26">
        <f>IF(Tabla_Consulta_desde_Reporte_de_Valorización_de_Instrumentos[[#This Row],[PORTAFOLIO]]="IN-FONDO3",Tabla_Consulta_desde_Reporte_de_Valorización_de_Instrumentos[[#This Row],[Inv MM$]],0)</f>
        <v>0</v>
      </c>
      <c r="AI47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v>
      </c>
      <c r="AJ470" s="26">
        <f>IFERROR(IFERROR(INDEX('BD(MSCI)'!$T:$T,MATCH(Tabla_Consulta_desde_Reporte_de_Valorización_de_Instrumentos[[#This Row],[CODIGO_ISIN]],'BD(MSCI)'!$C:$C,0),1),INDEX('BD(MSCI)'!$T:$T,MATCH(Tabla_Consulta_desde_Reporte_de_Valorización_de_Instrumentos[[#This Row],[CODIGO_SBS]],'BD(MSCI)'!$C:$C,0),1)),0)</f>
        <v>0</v>
      </c>
      <c r="AK470" s="26">
        <f>Tabla_Consulta_desde_Reporte_de_Valorización_de_Instrumentos[[#This Row],[C02-H]]*Tabla_Consulta_desde_Reporte_de_Valorización_de_Instrumentos[[#This Row],[Inv MM$]]</f>
        <v>0</v>
      </c>
      <c r="AL470" s="26">
        <f>Tabla_Consulta_desde_Reporte_de_Valorización_de_Instrumentos[[#This Row],[C02-H]]*Tabla_Consulta_desde_Reporte_de_Valorización_de_Instrumentos[[#This Row],[Weight]]</f>
        <v>0</v>
      </c>
      <c r="AM470" s="26">
        <f>INDEX(Parametria!G:G,MATCH(Tabla_Consulta_desde_Reporte_de_Valorización_de_Instrumentos[[#This Row],[CODIGO_SBS]],Parametria!C:C,0))</f>
        <v>0</v>
      </c>
      <c r="AN470" s="26" t="str">
        <f>INDEX(Parametria!F:F,MATCH(Tabla_Consulta_desde_Reporte_de_Valorización_de_Instrumentos[[#This Row],[CODIGO_SBS]],Parametria!C:C,0))</f>
        <v>Cash</v>
      </c>
      <c r="AO470" s="26" t="str">
        <f>+INDEX(Parametria!J:J,MATCH(Tabla_Consulta_desde_Reporte_de_Valorización_de_Instrumentos[[#This Row],[CODIGO_SBS]],Parametria!C:C,0))</f>
        <v>Cash</v>
      </c>
      <c r="AP470" s="26">
        <f>Tabla_Consulta_desde_Reporte_de_Valorización_de_Instrumentos[[#This Row],[Huella]]/$AU$4</f>
        <v>0</v>
      </c>
      <c r="AQ470" s="26" t="str">
        <f>IFERROR(INDEX('BD(MSCI)'!W:W,MATCH(Tabla_Consulta_desde_Reporte_de_Valorización_de_Instrumentos[[#This Row],[CODIGO_ISIN]],'BD(MSCI)'!C:C,0)),IF(Tabla_Consulta_desde_Reporte_de_Valorización_de_Instrumentos[[#This Row],[Rank_rt]]="Cash","Cash","Cuestionario Integra"))</f>
        <v>Cash</v>
      </c>
      <c r="AR470" s="26" t="str">
        <f>IFERROR(INDEX('BD(MSCI)'!X:X,MATCH(Tabla_Consulta_desde_Reporte_de_Valorización_de_Instrumentos[[#This Row],[CODIGO_ISIN]],'BD(MSCI)'!C:C,0)),"Cuestionario Integra")</f>
        <v>Cuestionario Integra</v>
      </c>
      <c r="AU470" s="26"/>
    </row>
    <row r="471" spans="2:47" hidden="1" x14ac:dyDescent="0.25">
      <c r="B471" s="14" t="s">
        <v>6390</v>
      </c>
      <c r="C471" t="s">
        <v>833</v>
      </c>
      <c r="D471" t="s">
        <v>10</v>
      </c>
      <c r="E471" t="s">
        <v>834</v>
      </c>
      <c r="F471" t="s">
        <v>6443</v>
      </c>
      <c r="G471">
        <f>INDEX(Parametria!H:H,MATCH(Tabla_Consulta_desde_Reporte_de_Valorización_de_Instrumentos[[#This Row],[CODIGO_SBS]],Parametria!C:C,0),1)</f>
        <v>0</v>
      </c>
      <c r="H471" t="s">
        <v>90</v>
      </c>
      <c r="I471" t="s">
        <v>5972</v>
      </c>
      <c r="J471" t="s">
        <v>245</v>
      </c>
      <c r="K471" t="s">
        <v>50</v>
      </c>
      <c r="L471">
        <v>1</v>
      </c>
      <c r="M471" s="5">
        <v>52093950</v>
      </c>
      <c r="N471">
        <v>15500000</v>
      </c>
      <c r="O471">
        <v>0</v>
      </c>
      <c r="P471" s="15">
        <v>46027</v>
      </c>
      <c r="Q471">
        <v>5</v>
      </c>
      <c r="R471">
        <v>3.3609</v>
      </c>
      <c r="S471" t="s">
        <v>155</v>
      </c>
      <c r="U471" s="5"/>
      <c r="V471" t="s">
        <v>233</v>
      </c>
      <c r="W471">
        <v>22149047000</v>
      </c>
      <c r="X471">
        <v>20355021000</v>
      </c>
      <c r="Y471">
        <v>1794026000</v>
      </c>
      <c r="Z471">
        <v>0</v>
      </c>
      <c r="AA471" t="str">
        <f>+MID(Tabla_Consulta_desde_Reporte_de_Valorización_de_Instrumentos[[#This Row],[CODIGO_SBS]],7,1)</f>
        <v>2</v>
      </c>
      <c r="AB471">
        <f>INDEX('Cálculo Caja'!F:F,MATCH(Tabla_Consulta_desde_Reporte_de_Valorización_de_Instrumentos[[#This Row],[PORTAFOLIO]],'Cálculo Caja'!A:A,0),1)</f>
        <v>26256910350.436607</v>
      </c>
      <c r="AC471" s="17">
        <f>Tabla_Consulta_desde_Reporte_de_Valorización_de_Instrumentos[[#This Row],[VALOR_VECTOR_LOCAL]]/Tabla_Consulta_desde_Reporte_de_Valorización_de_Instrumentos[[#This Row],[Patrimonio]]</f>
        <v>1.9840091352992628E-3</v>
      </c>
      <c r="AD471" s="4">
        <f>(Tabla_Consulta_desde_Reporte_de_Valorización_de_Instrumentos[[#This Row],[VALOR_VECTOR_LOCAL]]/INDEX('Tipo de Cambio'!$D:$D,MATCH("2",'Tipo de Cambio'!$E:$E,0),1))/1000000</f>
        <v>15.5</v>
      </c>
      <c r="AE471">
        <f>IF(Tabla_Consulta_desde_Reporte_de_Valorización_de_Instrumentos[[#This Row],[PORTAFOLIO]]="IN-FONDO0",Tabla_Consulta_desde_Reporte_de_Valorización_de_Instrumentos[[#This Row],[Inv MM$]],0)</f>
        <v>0</v>
      </c>
      <c r="AF471" s="26">
        <f>IF(Tabla_Consulta_desde_Reporte_de_Valorización_de_Instrumentos[[#This Row],[PORTAFOLIO]]="IN-FONDO1",Tabla_Consulta_desde_Reporte_de_Valorización_de_Instrumentos[[#This Row],[Inv MM$]],0)</f>
        <v>0</v>
      </c>
      <c r="AG471" s="26">
        <f>IF(Tabla_Consulta_desde_Reporte_de_Valorización_de_Instrumentos[[#This Row],[PORTAFOLIO]]="IN-FONDO2",Tabla_Consulta_desde_Reporte_de_Valorización_de_Instrumentos[[#This Row],[Inv MM$]],0)</f>
        <v>15.5</v>
      </c>
      <c r="AH471" s="26">
        <f>IF(Tabla_Consulta_desde_Reporte_de_Valorización_de_Instrumentos[[#This Row],[PORTAFOLIO]]="IN-FONDO3",Tabla_Consulta_desde_Reporte_de_Valorización_de_Instrumentos[[#This Row],[Inv MM$]],0)</f>
        <v>0</v>
      </c>
      <c r="AI47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15.5</v>
      </c>
      <c r="AJ471" s="26">
        <f>IFERROR(IFERROR(INDEX('BD(MSCI)'!$T:$T,MATCH(Tabla_Consulta_desde_Reporte_de_Valorización_de_Instrumentos[[#This Row],[CODIGO_ISIN]],'BD(MSCI)'!$C:$C,0),1),INDEX('BD(MSCI)'!$T:$T,MATCH(Tabla_Consulta_desde_Reporte_de_Valorización_de_Instrumentos[[#This Row],[CODIGO_SBS]],'BD(MSCI)'!$C:$C,0),1)),0)</f>
        <v>0</v>
      </c>
      <c r="AK471" s="26">
        <f>Tabla_Consulta_desde_Reporte_de_Valorización_de_Instrumentos[[#This Row],[C02-H]]*Tabla_Consulta_desde_Reporte_de_Valorización_de_Instrumentos[[#This Row],[Inv MM$]]</f>
        <v>0</v>
      </c>
      <c r="AL471" s="26">
        <f>Tabla_Consulta_desde_Reporte_de_Valorización_de_Instrumentos[[#This Row],[C02-H]]*Tabla_Consulta_desde_Reporte_de_Valorización_de_Instrumentos[[#This Row],[Weight]]</f>
        <v>0</v>
      </c>
      <c r="AM471" s="26">
        <f>INDEX(Parametria!G:G,MATCH(Tabla_Consulta_desde_Reporte_de_Valorización_de_Instrumentos[[#This Row],[CODIGO_SBS]],Parametria!C:C,0))</f>
        <v>0</v>
      </c>
      <c r="AN471" s="26" t="str">
        <f>INDEX(Parametria!F:F,MATCH(Tabla_Consulta_desde_Reporte_de_Valorización_de_Instrumentos[[#This Row],[CODIGO_SBS]],Parametria!C:C,0))</f>
        <v>Cash</v>
      </c>
      <c r="AO471" s="26" t="str">
        <f>+INDEX(Parametria!J:J,MATCH(Tabla_Consulta_desde_Reporte_de_Valorización_de_Instrumentos[[#This Row],[CODIGO_SBS]],Parametria!C:C,0))</f>
        <v>Cash</v>
      </c>
      <c r="AP471" s="26">
        <f>Tabla_Consulta_desde_Reporte_de_Valorización_de_Instrumentos[[#This Row],[Huella]]/$AU$4</f>
        <v>0</v>
      </c>
      <c r="AQ471" s="26" t="str">
        <f>IFERROR(INDEX('BD(MSCI)'!W:W,MATCH(Tabla_Consulta_desde_Reporte_de_Valorización_de_Instrumentos[[#This Row],[CODIGO_ISIN]],'BD(MSCI)'!C:C,0)),IF(Tabla_Consulta_desde_Reporte_de_Valorización_de_Instrumentos[[#This Row],[Rank_rt]]="Cash","Cash","Cuestionario Integra"))</f>
        <v>Cash</v>
      </c>
      <c r="AR471" s="26" t="str">
        <f>IFERROR(INDEX('BD(MSCI)'!X:X,MATCH(Tabla_Consulta_desde_Reporte_de_Valorización_de_Instrumentos[[#This Row],[CODIGO_ISIN]],'BD(MSCI)'!C:C,0)),"Cuestionario Integra")</f>
        <v>Cuestionario Integra</v>
      </c>
      <c r="AU471" s="26"/>
    </row>
    <row r="472" spans="2:47" hidden="1" x14ac:dyDescent="0.25">
      <c r="B472" s="14" t="s">
        <v>6390</v>
      </c>
      <c r="C472" t="s">
        <v>833</v>
      </c>
      <c r="D472" t="s">
        <v>12</v>
      </c>
      <c r="E472" t="s">
        <v>834</v>
      </c>
      <c r="F472" t="s">
        <v>6444</v>
      </c>
      <c r="G472">
        <f>INDEX(Parametria!H:H,MATCH(Tabla_Consulta_desde_Reporte_de_Valorización_de_Instrumentos[[#This Row],[CODIGO_SBS]],Parametria!C:C,0),1)</f>
        <v>0</v>
      </c>
      <c r="H472" t="s">
        <v>90</v>
      </c>
      <c r="I472" t="s">
        <v>835</v>
      </c>
      <c r="J472" t="s">
        <v>245</v>
      </c>
      <c r="K472" t="s">
        <v>90</v>
      </c>
      <c r="L472">
        <v>1</v>
      </c>
      <c r="M472" s="5">
        <v>11001393.336999999</v>
      </c>
      <c r="N472">
        <v>11001393.336999999</v>
      </c>
      <c r="O472">
        <v>0</v>
      </c>
      <c r="P472" s="15">
        <v>46027</v>
      </c>
      <c r="Q472">
        <v>5</v>
      </c>
      <c r="R472">
        <v>1</v>
      </c>
      <c r="S472" t="s">
        <v>155</v>
      </c>
      <c r="T472">
        <v>11000000</v>
      </c>
      <c r="U472" s="5">
        <v>11000000</v>
      </c>
      <c r="V472" t="s">
        <v>192</v>
      </c>
      <c r="W472">
        <v>4565854000</v>
      </c>
      <c r="X472">
        <v>3638173000</v>
      </c>
      <c r="Y472">
        <v>927681000</v>
      </c>
      <c r="Z472">
        <v>0</v>
      </c>
      <c r="AA472" t="str">
        <f>+MID(Tabla_Consulta_desde_Reporte_de_Valorización_de_Instrumentos[[#This Row],[CODIGO_SBS]],7,1)</f>
        <v>1</v>
      </c>
      <c r="AB472">
        <f>INDEX('Cálculo Caja'!F:F,MATCH(Tabla_Consulta_desde_Reporte_de_Valorización_de_Instrumentos[[#This Row],[PORTAFOLIO]],'Cálculo Caja'!A:A,0),1)</f>
        <v>7679510866.0565634</v>
      </c>
      <c r="AC472" s="17">
        <f>Tabla_Consulta_desde_Reporte_de_Valorización_de_Instrumentos[[#This Row],[VALOR_VECTOR_LOCAL]]/Tabla_Consulta_desde_Reporte_de_Valorización_de_Instrumentos[[#This Row],[Patrimonio]]</f>
        <v>1.4325643297968568E-3</v>
      </c>
      <c r="AD472" s="4">
        <f>(Tabla_Consulta_desde_Reporte_de_Valorización_de_Instrumentos[[#This Row],[VALOR_VECTOR_LOCAL]]/INDEX('Tipo de Cambio'!$D:$D,MATCH("2",'Tipo de Cambio'!$E:$E,0),1))/1000000</f>
        <v>3.2733474179535245</v>
      </c>
      <c r="AE472">
        <f>IF(Tabla_Consulta_desde_Reporte_de_Valorización_de_Instrumentos[[#This Row],[PORTAFOLIO]]="IN-FONDO0",Tabla_Consulta_desde_Reporte_de_Valorización_de_Instrumentos[[#This Row],[Inv MM$]],0)</f>
        <v>0</v>
      </c>
      <c r="AF472" s="26">
        <f>IF(Tabla_Consulta_desde_Reporte_de_Valorización_de_Instrumentos[[#This Row],[PORTAFOLIO]]="IN-FONDO1",Tabla_Consulta_desde_Reporte_de_Valorización_de_Instrumentos[[#This Row],[Inv MM$]],0)</f>
        <v>3.2733474179535245</v>
      </c>
      <c r="AG472" s="26">
        <f>IF(Tabla_Consulta_desde_Reporte_de_Valorización_de_Instrumentos[[#This Row],[PORTAFOLIO]]="IN-FONDO2",Tabla_Consulta_desde_Reporte_de_Valorización_de_Instrumentos[[#This Row],[Inv MM$]],0)</f>
        <v>0</v>
      </c>
      <c r="AH472" s="26">
        <f>IF(Tabla_Consulta_desde_Reporte_de_Valorización_de_Instrumentos[[#This Row],[PORTAFOLIO]]="IN-FONDO3",Tabla_Consulta_desde_Reporte_de_Valorización_de_Instrumentos[[#This Row],[Inv MM$]],0)</f>
        <v>0</v>
      </c>
      <c r="AI47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3.2733474179535245</v>
      </c>
      <c r="AJ472" s="26">
        <f>IFERROR(IFERROR(INDEX('BD(MSCI)'!$T:$T,MATCH(Tabla_Consulta_desde_Reporte_de_Valorización_de_Instrumentos[[#This Row],[CODIGO_ISIN]],'BD(MSCI)'!$C:$C,0),1),INDEX('BD(MSCI)'!$T:$T,MATCH(Tabla_Consulta_desde_Reporte_de_Valorización_de_Instrumentos[[#This Row],[CODIGO_SBS]],'BD(MSCI)'!$C:$C,0),1)),0)</f>
        <v>0</v>
      </c>
      <c r="AK472" s="26">
        <f>Tabla_Consulta_desde_Reporte_de_Valorización_de_Instrumentos[[#This Row],[C02-H]]*Tabla_Consulta_desde_Reporte_de_Valorización_de_Instrumentos[[#This Row],[Inv MM$]]</f>
        <v>0</v>
      </c>
      <c r="AL472" s="26">
        <f>Tabla_Consulta_desde_Reporte_de_Valorización_de_Instrumentos[[#This Row],[C02-H]]*Tabla_Consulta_desde_Reporte_de_Valorización_de_Instrumentos[[#This Row],[Weight]]</f>
        <v>0</v>
      </c>
      <c r="AM472" s="26">
        <f>INDEX(Parametria!G:G,MATCH(Tabla_Consulta_desde_Reporte_de_Valorización_de_Instrumentos[[#This Row],[CODIGO_SBS]],Parametria!C:C,0))</f>
        <v>0</v>
      </c>
      <c r="AN472" s="26" t="str">
        <f>INDEX(Parametria!F:F,MATCH(Tabla_Consulta_desde_Reporte_de_Valorización_de_Instrumentos[[#This Row],[CODIGO_SBS]],Parametria!C:C,0))</f>
        <v>Cash</v>
      </c>
      <c r="AO472" s="26" t="str">
        <f>+INDEX(Parametria!J:J,MATCH(Tabla_Consulta_desde_Reporte_de_Valorización_de_Instrumentos[[#This Row],[CODIGO_SBS]],Parametria!C:C,0))</f>
        <v>Cash</v>
      </c>
      <c r="AP472" s="26">
        <f>Tabla_Consulta_desde_Reporte_de_Valorización_de_Instrumentos[[#This Row],[Huella]]/$AU$4</f>
        <v>0</v>
      </c>
      <c r="AQ472" s="26" t="str">
        <f>IFERROR(INDEX('BD(MSCI)'!W:W,MATCH(Tabla_Consulta_desde_Reporte_de_Valorización_de_Instrumentos[[#This Row],[CODIGO_ISIN]],'BD(MSCI)'!C:C,0)),IF(Tabla_Consulta_desde_Reporte_de_Valorización_de_Instrumentos[[#This Row],[Rank_rt]]="Cash","Cash","Cuestionario Integra"))</f>
        <v>Cash</v>
      </c>
      <c r="AR472" s="26" t="str">
        <f>IFERROR(INDEX('BD(MSCI)'!X:X,MATCH(Tabla_Consulta_desde_Reporte_de_Valorización_de_Instrumentos[[#This Row],[CODIGO_ISIN]],'BD(MSCI)'!C:C,0)),"Cuestionario Integra")</f>
        <v>Cuestionario Integra</v>
      </c>
      <c r="AU472" s="26"/>
    </row>
    <row r="473" spans="2:47" hidden="1" x14ac:dyDescent="0.25">
      <c r="B473" s="14" t="s">
        <v>6390</v>
      </c>
      <c r="C473" t="s">
        <v>833</v>
      </c>
      <c r="D473" t="s">
        <v>12</v>
      </c>
      <c r="E473" t="s">
        <v>834</v>
      </c>
      <c r="F473" t="s">
        <v>6445</v>
      </c>
      <c r="G473">
        <f>INDEX(Parametria!H:H,MATCH(Tabla_Consulta_desde_Reporte_de_Valorización_de_Instrumentos[[#This Row],[CODIGO_SBS]],Parametria!C:C,0),1)</f>
        <v>0</v>
      </c>
      <c r="H473" t="s">
        <v>90</v>
      </c>
      <c r="I473" t="s">
        <v>835</v>
      </c>
      <c r="J473" t="s">
        <v>248</v>
      </c>
      <c r="K473" t="s">
        <v>90</v>
      </c>
      <c r="L473">
        <v>1</v>
      </c>
      <c r="M473" s="5">
        <v>26002166.658</v>
      </c>
      <c r="N473">
        <v>26002166.658</v>
      </c>
      <c r="O473">
        <v>0</v>
      </c>
      <c r="P473" s="15">
        <v>46027</v>
      </c>
      <c r="Q473">
        <v>5</v>
      </c>
      <c r="R473">
        <v>1</v>
      </c>
      <c r="S473" t="s">
        <v>155</v>
      </c>
      <c r="T473">
        <v>26000000</v>
      </c>
      <c r="U473" s="5">
        <v>26000000</v>
      </c>
      <c r="V473" t="s">
        <v>192</v>
      </c>
      <c r="W473">
        <v>4565854000</v>
      </c>
      <c r="X473">
        <v>3638173000</v>
      </c>
      <c r="Y473">
        <v>927681000</v>
      </c>
      <c r="Z473">
        <v>0</v>
      </c>
      <c r="AA473" t="str">
        <f>+MID(Tabla_Consulta_desde_Reporte_de_Valorización_de_Instrumentos[[#This Row],[CODIGO_SBS]],7,1)</f>
        <v>1</v>
      </c>
      <c r="AB473">
        <f>INDEX('Cálculo Caja'!F:F,MATCH(Tabla_Consulta_desde_Reporte_de_Valorización_de_Instrumentos[[#This Row],[PORTAFOLIO]],'Cálculo Caja'!A:A,0),1)</f>
        <v>7679510866.0565634</v>
      </c>
      <c r="AC473" s="17">
        <f>Tabla_Consulta_desde_Reporte_de_Valorización_de_Instrumentos[[#This Row],[VALOR_VECTOR_LOCAL]]/Tabla_Consulta_desde_Reporte_de_Valorización_de_Instrumentos[[#This Row],[Patrimonio]]</f>
        <v>3.3859144301663239E-3</v>
      </c>
      <c r="AD473" s="4">
        <f>(Tabla_Consulta_desde_Reporte_de_Valorización_de_Instrumentos[[#This Row],[VALOR_VECTOR_LOCAL]]/INDEX('Tipo de Cambio'!$D:$D,MATCH("2",'Tipo de Cambio'!$E:$E,0),1))/1000000</f>
        <v>7.736667755065608</v>
      </c>
      <c r="AE473">
        <f>IF(Tabla_Consulta_desde_Reporte_de_Valorización_de_Instrumentos[[#This Row],[PORTAFOLIO]]="IN-FONDO0",Tabla_Consulta_desde_Reporte_de_Valorización_de_Instrumentos[[#This Row],[Inv MM$]],0)</f>
        <v>0</v>
      </c>
      <c r="AF473" s="26">
        <f>IF(Tabla_Consulta_desde_Reporte_de_Valorización_de_Instrumentos[[#This Row],[PORTAFOLIO]]="IN-FONDO1",Tabla_Consulta_desde_Reporte_de_Valorización_de_Instrumentos[[#This Row],[Inv MM$]],0)</f>
        <v>7.736667755065608</v>
      </c>
      <c r="AG473" s="26">
        <f>IF(Tabla_Consulta_desde_Reporte_de_Valorización_de_Instrumentos[[#This Row],[PORTAFOLIO]]="IN-FONDO2",Tabla_Consulta_desde_Reporte_de_Valorización_de_Instrumentos[[#This Row],[Inv MM$]],0)</f>
        <v>0</v>
      </c>
      <c r="AH473" s="26">
        <f>IF(Tabla_Consulta_desde_Reporte_de_Valorización_de_Instrumentos[[#This Row],[PORTAFOLIO]]="IN-FONDO3",Tabla_Consulta_desde_Reporte_de_Valorización_de_Instrumentos[[#This Row],[Inv MM$]],0)</f>
        <v>0</v>
      </c>
      <c r="AI47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7.736667755065608</v>
      </c>
      <c r="AJ473" s="26">
        <f>IFERROR(IFERROR(INDEX('BD(MSCI)'!$T:$T,MATCH(Tabla_Consulta_desde_Reporte_de_Valorización_de_Instrumentos[[#This Row],[CODIGO_ISIN]],'BD(MSCI)'!$C:$C,0),1),INDEX('BD(MSCI)'!$T:$T,MATCH(Tabla_Consulta_desde_Reporte_de_Valorización_de_Instrumentos[[#This Row],[CODIGO_SBS]],'BD(MSCI)'!$C:$C,0),1)),0)</f>
        <v>0</v>
      </c>
      <c r="AK473" s="26">
        <f>Tabla_Consulta_desde_Reporte_de_Valorización_de_Instrumentos[[#This Row],[C02-H]]*Tabla_Consulta_desde_Reporte_de_Valorización_de_Instrumentos[[#This Row],[Inv MM$]]</f>
        <v>0</v>
      </c>
      <c r="AL473" s="26">
        <f>Tabla_Consulta_desde_Reporte_de_Valorización_de_Instrumentos[[#This Row],[C02-H]]*Tabla_Consulta_desde_Reporte_de_Valorización_de_Instrumentos[[#This Row],[Weight]]</f>
        <v>0</v>
      </c>
      <c r="AM473" s="26">
        <f>INDEX(Parametria!G:G,MATCH(Tabla_Consulta_desde_Reporte_de_Valorización_de_Instrumentos[[#This Row],[CODIGO_SBS]],Parametria!C:C,0))</f>
        <v>0</v>
      </c>
      <c r="AN473" s="26" t="str">
        <f>INDEX(Parametria!F:F,MATCH(Tabla_Consulta_desde_Reporte_de_Valorización_de_Instrumentos[[#This Row],[CODIGO_SBS]],Parametria!C:C,0))</f>
        <v>Cash</v>
      </c>
      <c r="AO473" s="26" t="str">
        <f>+INDEX(Parametria!J:J,MATCH(Tabla_Consulta_desde_Reporte_de_Valorización_de_Instrumentos[[#This Row],[CODIGO_SBS]],Parametria!C:C,0))</f>
        <v>Cash</v>
      </c>
      <c r="AP473" s="26">
        <f>Tabla_Consulta_desde_Reporte_de_Valorización_de_Instrumentos[[#This Row],[Huella]]/$AU$4</f>
        <v>0</v>
      </c>
      <c r="AQ473" s="26" t="str">
        <f>IFERROR(INDEX('BD(MSCI)'!W:W,MATCH(Tabla_Consulta_desde_Reporte_de_Valorización_de_Instrumentos[[#This Row],[CODIGO_ISIN]],'BD(MSCI)'!C:C,0)),IF(Tabla_Consulta_desde_Reporte_de_Valorización_de_Instrumentos[[#This Row],[Rank_rt]]="Cash","Cash","Cuestionario Integra"))</f>
        <v>Cash</v>
      </c>
      <c r="AR473" s="26" t="str">
        <f>IFERROR(INDEX('BD(MSCI)'!X:X,MATCH(Tabla_Consulta_desde_Reporte_de_Valorización_de_Instrumentos[[#This Row],[CODIGO_ISIN]],'BD(MSCI)'!C:C,0)),"Cuestionario Integra")</f>
        <v>Cuestionario Integra</v>
      </c>
      <c r="AU473" s="26"/>
    </row>
    <row r="474" spans="2:47" hidden="1" x14ac:dyDescent="0.25">
      <c r="B474" s="14" t="s">
        <v>6390</v>
      </c>
      <c r="C474" t="s">
        <v>833</v>
      </c>
      <c r="D474" t="s">
        <v>10</v>
      </c>
      <c r="E474" t="s">
        <v>834</v>
      </c>
      <c r="F474" t="s">
        <v>6446</v>
      </c>
      <c r="G474">
        <f>INDEX(Parametria!H:H,MATCH(Tabla_Consulta_desde_Reporte_de_Valorización_de_Instrumentos[[#This Row],[CODIGO_SBS]],Parametria!C:C,0),1)</f>
        <v>0</v>
      </c>
      <c r="H474" t="s">
        <v>90</v>
      </c>
      <c r="I474" t="s">
        <v>835</v>
      </c>
      <c r="J474" t="s">
        <v>6447</v>
      </c>
      <c r="K474" t="s">
        <v>90</v>
      </c>
      <c r="L474">
        <v>1</v>
      </c>
      <c r="M474" s="5">
        <v>23500000</v>
      </c>
      <c r="N474">
        <v>23500000</v>
      </c>
      <c r="O474">
        <v>0</v>
      </c>
      <c r="P474" s="15">
        <v>46027</v>
      </c>
      <c r="Q474">
        <v>5</v>
      </c>
      <c r="R474">
        <v>1</v>
      </c>
      <c r="S474" t="s">
        <v>155</v>
      </c>
      <c r="U474" s="5"/>
      <c r="V474" t="s">
        <v>192</v>
      </c>
      <c r="W474">
        <v>4565854000</v>
      </c>
      <c r="X474">
        <v>3638173000</v>
      </c>
      <c r="Y474">
        <v>927681000</v>
      </c>
      <c r="Z474">
        <v>0</v>
      </c>
      <c r="AA474" t="str">
        <f>+MID(Tabla_Consulta_desde_Reporte_de_Valorización_de_Instrumentos[[#This Row],[CODIGO_SBS]],7,1)</f>
        <v>1</v>
      </c>
      <c r="AB474">
        <f>INDEX('Cálculo Caja'!F:F,MATCH(Tabla_Consulta_desde_Reporte_de_Valorización_de_Instrumentos[[#This Row],[PORTAFOLIO]],'Cálculo Caja'!A:A,0),1)</f>
        <v>26256910350.436607</v>
      </c>
      <c r="AC474" s="17">
        <f>Tabla_Consulta_desde_Reporte_de_Valorización_de_Instrumentos[[#This Row],[VALOR_VECTOR_LOCAL]]/Tabla_Consulta_desde_Reporte_de_Valorización_de_Instrumentos[[#This Row],[Patrimonio]]</f>
        <v>8.9500248454057866E-4</v>
      </c>
      <c r="AD474" s="4">
        <f>(Tabla_Consulta_desde_Reporte_de_Valorización_de_Instrumentos[[#This Row],[VALOR_VECTOR_LOCAL]]/INDEX('Tipo de Cambio'!$D:$D,MATCH("2",'Tipo de Cambio'!$E:$E,0),1))/1000000</f>
        <v>6.9921747151060725</v>
      </c>
      <c r="AE474">
        <f>IF(Tabla_Consulta_desde_Reporte_de_Valorización_de_Instrumentos[[#This Row],[PORTAFOLIO]]="IN-FONDO0",Tabla_Consulta_desde_Reporte_de_Valorización_de_Instrumentos[[#This Row],[Inv MM$]],0)</f>
        <v>0</v>
      </c>
      <c r="AF474" s="26">
        <f>IF(Tabla_Consulta_desde_Reporte_de_Valorización_de_Instrumentos[[#This Row],[PORTAFOLIO]]="IN-FONDO1",Tabla_Consulta_desde_Reporte_de_Valorización_de_Instrumentos[[#This Row],[Inv MM$]],0)</f>
        <v>0</v>
      </c>
      <c r="AG474" s="26">
        <f>IF(Tabla_Consulta_desde_Reporte_de_Valorización_de_Instrumentos[[#This Row],[PORTAFOLIO]]="IN-FONDO2",Tabla_Consulta_desde_Reporte_de_Valorización_de_Instrumentos[[#This Row],[Inv MM$]],0)</f>
        <v>6.9921747151060725</v>
      </c>
      <c r="AH474" s="26">
        <f>IF(Tabla_Consulta_desde_Reporte_de_Valorización_de_Instrumentos[[#This Row],[PORTAFOLIO]]="IN-FONDO3",Tabla_Consulta_desde_Reporte_de_Valorización_de_Instrumentos[[#This Row],[Inv MM$]],0)</f>
        <v>0</v>
      </c>
      <c r="AI47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6.9921747151060725</v>
      </c>
      <c r="AJ474" s="26">
        <f>IFERROR(IFERROR(INDEX('BD(MSCI)'!$T:$T,MATCH(Tabla_Consulta_desde_Reporte_de_Valorización_de_Instrumentos[[#This Row],[CODIGO_ISIN]],'BD(MSCI)'!$C:$C,0),1),INDEX('BD(MSCI)'!$T:$T,MATCH(Tabla_Consulta_desde_Reporte_de_Valorización_de_Instrumentos[[#This Row],[CODIGO_SBS]],'BD(MSCI)'!$C:$C,0),1)),0)</f>
        <v>0</v>
      </c>
      <c r="AK474" s="26">
        <f>Tabla_Consulta_desde_Reporte_de_Valorización_de_Instrumentos[[#This Row],[C02-H]]*Tabla_Consulta_desde_Reporte_de_Valorización_de_Instrumentos[[#This Row],[Inv MM$]]</f>
        <v>0</v>
      </c>
      <c r="AL474" s="26">
        <f>Tabla_Consulta_desde_Reporte_de_Valorización_de_Instrumentos[[#This Row],[C02-H]]*Tabla_Consulta_desde_Reporte_de_Valorización_de_Instrumentos[[#This Row],[Weight]]</f>
        <v>0</v>
      </c>
      <c r="AM474" s="26">
        <f>INDEX(Parametria!G:G,MATCH(Tabla_Consulta_desde_Reporte_de_Valorización_de_Instrumentos[[#This Row],[CODIGO_SBS]],Parametria!C:C,0))</f>
        <v>0</v>
      </c>
      <c r="AN474" s="26" t="str">
        <f>INDEX(Parametria!F:F,MATCH(Tabla_Consulta_desde_Reporte_de_Valorización_de_Instrumentos[[#This Row],[CODIGO_SBS]],Parametria!C:C,0))</f>
        <v>Cash</v>
      </c>
      <c r="AO474" s="26" t="str">
        <f>+INDEX(Parametria!J:J,MATCH(Tabla_Consulta_desde_Reporte_de_Valorización_de_Instrumentos[[#This Row],[CODIGO_SBS]],Parametria!C:C,0))</f>
        <v>Cash</v>
      </c>
      <c r="AP474" s="26">
        <f>Tabla_Consulta_desde_Reporte_de_Valorización_de_Instrumentos[[#This Row],[Huella]]/$AU$4</f>
        <v>0</v>
      </c>
      <c r="AQ474" s="26" t="str">
        <f>IFERROR(INDEX('BD(MSCI)'!W:W,MATCH(Tabla_Consulta_desde_Reporte_de_Valorización_de_Instrumentos[[#This Row],[CODIGO_ISIN]],'BD(MSCI)'!C:C,0)),IF(Tabla_Consulta_desde_Reporte_de_Valorización_de_Instrumentos[[#This Row],[Rank_rt]]="Cash","Cash","Cuestionario Integra"))</f>
        <v>Cash</v>
      </c>
      <c r="AR474" s="26" t="str">
        <f>IFERROR(INDEX('BD(MSCI)'!X:X,MATCH(Tabla_Consulta_desde_Reporte_de_Valorización_de_Instrumentos[[#This Row],[CODIGO_ISIN]],'BD(MSCI)'!C:C,0)),"Cuestionario Integra")</f>
        <v>Cuestionario Integra</v>
      </c>
      <c r="AU474" s="26"/>
    </row>
    <row r="475" spans="2:47" hidden="1" x14ac:dyDescent="0.25">
      <c r="B475" s="14" t="s">
        <v>6390</v>
      </c>
      <c r="C475" t="s">
        <v>833</v>
      </c>
      <c r="D475" t="s">
        <v>9</v>
      </c>
      <c r="E475" t="s">
        <v>834</v>
      </c>
      <c r="F475" t="s">
        <v>6448</v>
      </c>
      <c r="G475" t="e">
        <f>INDEX(Parametria!H:H,MATCH(Tabla_Consulta_desde_Reporte_de_Valorización_de_Instrumentos[[#This Row],[CODIGO_SBS]],Parametria!C:C,0),1)</f>
        <v>#N/A</v>
      </c>
      <c r="H475" t="s">
        <v>90</v>
      </c>
      <c r="I475" t="s">
        <v>835</v>
      </c>
      <c r="J475" t="s">
        <v>6447</v>
      </c>
      <c r="K475" t="s">
        <v>90</v>
      </c>
      <c r="L475">
        <v>1</v>
      </c>
      <c r="M475" s="5">
        <v>2500000</v>
      </c>
      <c r="N475">
        <v>2500000</v>
      </c>
      <c r="O475">
        <v>0</v>
      </c>
      <c r="P475" s="15">
        <v>46027</v>
      </c>
      <c r="Q475">
        <v>5</v>
      </c>
      <c r="R475">
        <v>1</v>
      </c>
      <c r="S475" t="s">
        <v>155</v>
      </c>
      <c r="U475" s="5"/>
      <c r="V475" t="s">
        <v>192</v>
      </c>
      <c r="W475">
        <v>4565854000</v>
      </c>
      <c r="X475">
        <v>3638173000</v>
      </c>
      <c r="Y475">
        <v>927681000</v>
      </c>
      <c r="Z475">
        <v>0</v>
      </c>
      <c r="AA475" t="str">
        <f>+MID(Tabla_Consulta_desde_Reporte_de_Valorización_de_Instrumentos[[#This Row],[CODIGO_SBS]],7,1)</f>
        <v>1</v>
      </c>
      <c r="AB475">
        <f>INDEX('Cálculo Caja'!F:F,MATCH(Tabla_Consulta_desde_Reporte_de_Valorización_de_Instrumentos[[#This Row],[PORTAFOLIO]],'Cálculo Caja'!A:A,0),1)</f>
        <v>2847839359.3764262</v>
      </c>
      <c r="AC475" s="17">
        <f>Tabla_Consulta_desde_Reporte_de_Valorización_de_Instrumentos[[#This Row],[VALOR_VECTOR_LOCAL]]/Tabla_Consulta_desde_Reporte_de_Valorización_de_Instrumentos[[#This Row],[Patrimonio]]</f>
        <v>8.7785850412131731E-4</v>
      </c>
      <c r="AD475" s="4">
        <f>(Tabla_Consulta_desde_Reporte_de_Valorización_de_Instrumentos[[#This Row],[VALOR_VECTOR_LOCAL]]/INDEX('Tipo de Cambio'!$D:$D,MATCH("2",'Tipo de Cambio'!$E:$E,0),1))/1000000</f>
        <v>0.74384837394745451</v>
      </c>
      <c r="AE475">
        <f>IF(Tabla_Consulta_desde_Reporte_de_Valorización_de_Instrumentos[[#This Row],[PORTAFOLIO]]="IN-FONDO0",Tabla_Consulta_desde_Reporte_de_Valorización_de_Instrumentos[[#This Row],[Inv MM$]],0)</f>
        <v>0.74384837394745451</v>
      </c>
      <c r="AF475" s="26">
        <f>IF(Tabla_Consulta_desde_Reporte_de_Valorización_de_Instrumentos[[#This Row],[PORTAFOLIO]]="IN-FONDO1",Tabla_Consulta_desde_Reporte_de_Valorización_de_Instrumentos[[#This Row],[Inv MM$]],0)</f>
        <v>0</v>
      </c>
      <c r="AG475" s="26">
        <f>IF(Tabla_Consulta_desde_Reporte_de_Valorización_de_Instrumentos[[#This Row],[PORTAFOLIO]]="IN-FONDO2",Tabla_Consulta_desde_Reporte_de_Valorización_de_Instrumentos[[#This Row],[Inv MM$]],0)</f>
        <v>0</v>
      </c>
      <c r="AH475" s="26">
        <f>IF(Tabla_Consulta_desde_Reporte_de_Valorización_de_Instrumentos[[#This Row],[PORTAFOLIO]]="IN-FONDO3",Tabla_Consulta_desde_Reporte_de_Valorización_de_Instrumentos[[#This Row],[Inv MM$]],0)</f>
        <v>0</v>
      </c>
      <c r="AI47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75" s="26">
        <f>IFERROR(IFERROR(INDEX('BD(MSCI)'!$T:$T,MATCH(Tabla_Consulta_desde_Reporte_de_Valorización_de_Instrumentos[[#This Row],[CODIGO_ISIN]],'BD(MSCI)'!$C:$C,0),1),INDEX('BD(MSCI)'!$T:$T,MATCH(Tabla_Consulta_desde_Reporte_de_Valorización_de_Instrumentos[[#This Row],[CODIGO_SBS]],'BD(MSCI)'!$C:$C,0),1)),0)</f>
        <v>0</v>
      </c>
      <c r="AK475" s="26">
        <f>Tabla_Consulta_desde_Reporte_de_Valorización_de_Instrumentos[[#This Row],[C02-H]]*Tabla_Consulta_desde_Reporte_de_Valorización_de_Instrumentos[[#This Row],[Inv MM$]]</f>
        <v>0</v>
      </c>
      <c r="AL475" s="26">
        <f>Tabla_Consulta_desde_Reporte_de_Valorización_de_Instrumentos[[#This Row],[C02-H]]*Tabla_Consulta_desde_Reporte_de_Valorización_de_Instrumentos[[#This Row],[Weight]]</f>
        <v>0</v>
      </c>
      <c r="AM475" s="26" t="e">
        <f>INDEX(Parametria!G:G,MATCH(Tabla_Consulta_desde_Reporte_de_Valorización_de_Instrumentos[[#This Row],[CODIGO_SBS]],Parametria!C:C,0))</f>
        <v>#N/A</v>
      </c>
      <c r="AN475" s="26" t="e">
        <f>INDEX(Parametria!F:F,MATCH(Tabla_Consulta_desde_Reporte_de_Valorización_de_Instrumentos[[#This Row],[CODIGO_SBS]],Parametria!C:C,0))</f>
        <v>#N/A</v>
      </c>
      <c r="AO475" s="26" t="e">
        <f>+INDEX(Parametria!J:J,MATCH(Tabla_Consulta_desde_Reporte_de_Valorización_de_Instrumentos[[#This Row],[CODIGO_SBS]],Parametria!C:C,0))</f>
        <v>#N/A</v>
      </c>
      <c r="AP475" s="26">
        <f>Tabla_Consulta_desde_Reporte_de_Valorización_de_Instrumentos[[#This Row],[Huella]]/$AU$4</f>
        <v>0</v>
      </c>
      <c r="AQ475" s="26" t="e">
        <f>IFERROR(INDEX('BD(MSCI)'!W:W,MATCH(Tabla_Consulta_desde_Reporte_de_Valorización_de_Instrumentos[[#This Row],[CODIGO_ISIN]],'BD(MSCI)'!C:C,0)),IF(Tabla_Consulta_desde_Reporte_de_Valorización_de_Instrumentos[[#This Row],[Rank_rt]]="Cash","Cash","Cuestionario Integra"))</f>
        <v>#N/A</v>
      </c>
      <c r="AR475" s="26" t="str">
        <f>IFERROR(INDEX('BD(MSCI)'!X:X,MATCH(Tabla_Consulta_desde_Reporte_de_Valorización_de_Instrumentos[[#This Row],[CODIGO_ISIN]],'BD(MSCI)'!C:C,0)),"Cuestionario Integra")</f>
        <v>Cuestionario Integra</v>
      </c>
      <c r="AU475" s="26"/>
    </row>
    <row r="476" spans="2:47" hidden="1" x14ac:dyDescent="0.25">
      <c r="B476" s="14" t="s">
        <v>6390</v>
      </c>
      <c r="C476" t="s">
        <v>833</v>
      </c>
      <c r="D476" t="s">
        <v>9</v>
      </c>
      <c r="E476" t="s">
        <v>834</v>
      </c>
      <c r="F476" t="s">
        <v>6449</v>
      </c>
      <c r="G476" t="e">
        <f>INDEX(Parametria!H:H,MATCH(Tabla_Consulta_desde_Reporte_de_Valorización_de_Instrumentos[[#This Row],[CODIGO_SBS]],Parametria!C:C,0),1)</f>
        <v>#N/A</v>
      </c>
      <c r="H476" t="s">
        <v>90</v>
      </c>
      <c r="I476" t="s">
        <v>835</v>
      </c>
      <c r="J476" t="s">
        <v>248</v>
      </c>
      <c r="K476" t="s">
        <v>90</v>
      </c>
      <c r="L476">
        <v>1</v>
      </c>
      <c r="M476" s="5">
        <v>17000000</v>
      </c>
      <c r="N476">
        <v>17000000</v>
      </c>
      <c r="O476">
        <v>0</v>
      </c>
      <c r="P476" s="15">
        <v>46027</v>
      </c>
      <c r="Q476">
        <v>5</v>
      </c>
      <c r="R476">
        <v>1</v>
      </c>
      <c r="S476" t="s">
        <v>155</v>
      </c>
      <c r="U476" s="5"/>
      <c r="V476" t="s">
        <v>192</v>
      </c>
      <c r="W476">
        <v>4565854000</v>
      </c>
      <c r="X476">
        <v>3638173000</v>
      </c>
      <c r="Y476">
        <v>927681000</v>
      </c>
      <c r="Z476">
        <v>0</v>
      </c>
      <c r="AA476" t="str">
        <f>+MID(Tabla_Consulta_desde_Reporte_de_Valorización_de_Instrumentos[[#This Row],[CODIGO_SBS]],7,1)</f>
        <v>1</v>
      </c>
      <c r="AB476">
        <f>INDEX('Cálculo Caja'!F:F,MATCH(Tabla_Consulta_desde_Reporte_de_Valorización_de_Instrumentos[[#This Row],[PORTAFOLIO]],'Cálculo Caja'!A:A,0),1)</f>
        <v>2847839359.3764262</v>
      </c>
      <c r="AC476" s="17">
        <f>Tabla_Consulta_desde_Reporte_de_Valorización_de_Instrumentos[[#This Row],[VALOR_VECTOR_LOCAL]]/Tabla_Consulta_desde_Reporte_de_Valorización_de_Instrumentos[[#This Row],[Patrimonio]]</f>
        <v>5.9694378280249578E-3</v>
      </c>
      <c r="AD476" s="4">
        <f>(Tabla_Consulta_desde_Reporte_de_Valorización_de_Instrumentos[[#This Row],[VALOR_VECTOR_LOCAL]]/INDEX('Tipo de Cambio'!$D:$D,MATCH("2",'Tipo de Cambio'!$E:$E,0),1))/1000000</f>
        <v>5.0581689428426913</v>
      </c>
      <c r="AE476">
        <f>IF(Tabla_Consulta_desde_Reporte_de_Valorización_de_Instrumentos[[#This Row],[PORTAFOLIO]]="IN-FONDO0",Tabla_Consulta_desde_Reporte_de_Valorización_de_Instrumentos[[#This Row],[Inv MM$]],0)</f>
        <v>5.0581689428426913</v>
      </c>
      <c r="AF476" s="26">
        <f>IF(Tabla_Consulta_desde_Reporte_de_Valorización_de_Instrumentos[[#This Row],[PORTAFOLIO]]="IN-FONDO1",Tabla_Consulta_desde_Reporte_de_Valorización_de_Instrumentos[[#This Row],[Inv MM$]],0)</f>
        <v>0</v>
      </c>
      <c r="AG476" s="26">
        <f>IF(Tabla_Consulta_desde_Reporte_de_Valorización_de_Instrumentos[[#This Row],[PORTAFOLIO]]="IN-FONDO2",Tabla_Consulta_desde_Reporte_de_Valorización_de_Instrumentos[[#This Row],[Inv MM$]],0)</f>
        <v>0</v>
      </c>
      <c r="AH476" s="26">
        <f>IF(Tabla_Consulta_desde_Reporte_de_Valorización_de_Instrumentos[[#This Row],[PORTAFOLIO]]="IN-FONDO3",Tabla_Consulta_desde_Reporte_de_Valorización_de_Instrumentos[[#This Row],[Inv MM$]],0)</f>
        <v>0</v>
      </c>
      <c r="AI47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76" s="26">
        <f>IFERROR(IFERROR(INDEX('BD(MSCI)'!$T:$T,MATCH(Tabla_Consulta_desde_Reporte_de_Valorización_de_Instrumentos[[#This Row],[CODIGO_ISIN]],'BD(MSCI)'!$C:$C,0),1),INDEX('BD(MSCI)'!$T:$T,MATCH(Tabla_Consulta_desde_Reporte_de_Valorización_de_Instrumentos[[#This Row],[CODIGO_SBS]],'BD(MSCI)'!$C:$C,0),1)),0)</f>
        <v>0</v>
      </c>
      <c r="AK476" s="26">
        <f>Tabla_Consulta_desde_Reporte_de_Valorización_de_Instrumentos[[#This Row],[C02-H]]*Tabla_Consulta_desde_Reporte_de_Valorización_de_Instrumentos[[#This Row],[Inv MM$]]</f>
        <v>0</v>
      </c>
      <c r="AL476" s="26">
        <f>Tabla_Consulta_desde_Reporte_de_Valorización_de_Instrumentos[[#This Row],[C02-H]]*Tabla_Consulta_desde_Reporte_de_Valorización_de_Instrumentos[[#This Row],[Weight]]</f>
        <v>0</v>
      </c>
      <c r="AM476" s="26" t="e">
        <f>INDEX(Parametria!G:G,MATCH(Tabla_Consulta_desde_Reporte_de_Valorización_de_Instrumentos[[#This Row],[CODIGO_SBS]],Parametria!C:C,0))</f>
        <v>#N/A</v>
      </c>
      <c r="AN476" s="26" t="e">
        <f>INDEX(Parametria!F:F,MATCH(Tabla_Consulta_desde_Reporte_de_Valorización_de_Instrumentos[[#This Row],[CODIGO_SBS]],Parametria!C:C,0))</f>
        <v>#N/A</v>
      </c>
      <c r="AO476" s="26" t="e">
        <f>+INDEX(Parametria!J:J,MATCH(Tabla_Consulta_desde_Reporte_de_Valorización_de_Instrumentos[[#This Row],[CODIGO_SBS]],Parametria!C:C,0))</f>
        <v>#N/A</v>
      </c>
      <c r="AP476" s="26">
        <f>Tabla_Consulta_desde_Reporte_de_Valorización_de_Instrumentos[[#This Row],[Huella]]/$AU$4</f>
        <v>0</v>
      </c>
      <c r="AQ476" s="26" t="e">
        <f>IFERROR(INDEX('BD(MSCI)'!W:W,MATCH(Tabla_Consulta_desde_Reporte_de_Valorización_de_Instrumentos[[#This Row],[CODIGO_ISIN]],'BD(MSCI)'!C:C,0)),IF(Tabla_Consulta_desde_Reporte_de_Valorización_de_Instrumentos[[#This Row],[Rank_rt]]="Cash","Cash","Cuestionario Integra"))</f>
        <v>#N/A</v>
      </c>
      <c r="AR476" s="26" t="str">
        <f>IFERROR(INDEX('BD(MSCI)'!X:X,MATCH(Tabla_Consulta_desde_Reporte_de_Valorización_de_Instrumentos[[#This Row],[CODIGO_ISIN]],'BD(MSCI)'!C:C,0)),"Cuestionario Integra")</f>
        <v>Cuestionario Integra</v>
      </c>
      <c r="AU476" s="26"/>
    </row>
    <row r="477" spans="2:47" hidden="1" x14ac:dyDescent="0.25">
      <c r="B477" s="14" t="s">
        <v>6390</v>
      </c>
      <c r="C477" t="s">
        <v>833</v>
      </c>
      <c r="D477" t="s">
        <v>10</v>
      </c>
      <c r="E477" t="s">
        <v>834</v>
      </c>
      <c r="F477" t="s">
        <v>6450</v>
      </c>
      <c r="G477">
        <f>INDEX(Parametria!H:H,MATCH(Tabla_Consulta_desde_Reporte_de_Valorización_de_Instrumentos[[#This Row],[CODIGO_SBS]],Parametria!C:C,0),1)</f>
        <v>0</v>
      </c>
      <c r="H477" t="s">
        <v>90</v>
      </c>
      <c r="I477" t="s">
        <v>835</v>
      </c>
      <c r="J477" t="s">
        <v>245</v>
      </c>
      <c r="K477" t="s">
        <v>90</v>
      </c>
      <c r="L477">
        <v>1</v>
      </c>
      <c r="M477" s="5">
        <v>255532363.41850001</v>
      </c>
      <c r="N477">
        <v>255532363.41850001</v>
      </c>
      <c r="O477">
        <v>0</v>
      </c>
      <c r="P477" s="15">
        <v>46027</v>
      </c>
      <c r="Q477">
        <v>5</v>
      </c>
      <c r="R477">
        <v>1</v>
      </c>
      <c r="S477" t="s">
        <v>155</v>
      </c>
      <c r="T477">
        <v>255500000</v>
      </c>
      <c r="U477" s="5">
        <v>255500000</v>
      </c>
      <c r="V477" t="s">
        <v>192</v>
      </c>
      <c r="W477">
        <v>4565854000</v>
      </c>
      <c r="X477">
        <v>3638173000</v>
      </c>
      <c r="Y477">
        <v>927681000</v>
      </c>
      <c r="Z477">
        <v>0</v>
      </c>
      <c r="AA477" t="str">
        <f>+MID(Tabla_Consulta_desde_Reporte_de_Valorización_de_Instrumentos[[#This Row],[CODIGO_SBS]],7,1)</f>
        <v>1</v>
      </c>
      <c r="AB477">
        <f>INDEX('Cálculo Caja'!F:F,MATCH(Tabla_Consulta_desde_Reporte_de_Valorización_de_Instrumentos[[#This Row],[PORTAFOLIO]],'Cálculo Caja'!A:A,0),1)</f>
        <v>26256910350.436607</v>
      </c>
      <c r="AC477" s="17">
        <f>Tabla_Consulta_desde_Reporte_de_Valorización_de_Instrumentos[[#This Row],[VALOR_VECTOR_LOCAL]]/Tabla_Consulta_desde_Reporte_de_Valorización_de_Instrumentos[[#This Row],[Patrimonio]]</f>
        <v>9.7320042612801527E-3</v>
      </c>
      <c r="AD477" s="4">
        <f>(Tabla_Consulta_desde_Reporte_de_Valorización_de_Instrumentos[[#This Row],[VALOR_VECTOR_LOCAL]]/INDEX('Tipo de Cambio'!$D:$D,MATCH("2",'Tipo de Cambio'!$E:$E,0),1))/1000000</f>
        <v>76.030933207920512</v>
      </c>
      <c r="AE477">
        <f>IF(Tabla_Consulta_desde_Reporte_de_Valorización_de_Instrumentos[[#This Row],[PORTAFOLIO]]="IN-FONDO0",Tabla_Consulta_desde_Reporte_de_Valorización_de_Instrumentos[[#This Row],[Inv MM$]],0)</f>
        <v>0</v>
      </c>
      <c r="AF477" s="26">
        <f>IF(Tabla_Consulta_desde_Reporte_de_Valorización_de_Instrumentos[[#This Row],[PORTAFOLIO]]="IN-FONDO1",Tabla_Consulta_desde_Reporte_de_Valorización_de_Instrumentos[[#This Row],[Inv MM$]],0)</f>
        <v>0</v>
      </c>
      <c r="AG477" s="26">
        <f>IF(Tabla_Consulta_desde_Reporte_de_Valorización_de_Instrumentos[[#This Row],[PORTAFOLIO]]="IN-FONDO2",Tabla_Consulta_desde_Reporte_de_Valorización_de_Instrumentos[[#This Row],[Inv MM$]],0)</f>
        <v>76.030933207920512</v>
      </c>
      <c r="AH477" s="26">
        <f>IF(Tabla_Consulta_desde_Reporte_de_Valorización_de_Instrumentos[[#This Row],[PORTAFOLIO]]="IN-FONDO3",Tabla_Consulta_desde_Reporte_de_Valorización_de_Instrumentos[[#This Row],[Inv MM$]],0)</f>
        <v>0</v>
      </c>
      <c r="AI47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76.030933207920512</v>
      </c>
      <c r="AJ477" s="26">
        <f>IFERROR(IFERROR(INDEX('BD(MSCI)'!$T:$T,MATCH(Tabla_Consulta_desde_Reporte_de_Valorización_de_Instrumentos[[#This Row],[CODIGO_ISIN]],'BD(MSCI)'!$C:$C,0),1),INDEX('BD(MSCI)'!$T:$T,MATCH(Tabla_Consulta_desde_Reporte_de_Valorización_de_Instrumentos[[#This Row],[CODIGO_SBS]],'BD(MSCI)'!$C:$C,0),1)),0)</f>
        <v>0</v>
      </c>
      <c r="AK477" s="26">
        <f>Tabla_Consulta_desde_Reporte_de_Valorización_de_Instrumentos[[#This Row],[C02-H]]*Tabla_Consulta_desde_Reporte_de_Valorización_de_Instrumentos[[#This Row],[Inv MM$]]</f>
        <v>0</v>
      </c>
      <c r="AL477" s="26">
        <f>Tabla_Consulta_desde_Reporte_de_Valorización_de_Instrumentos[[#This Row],[C02-H]]*Tabla_Consulta_desde_Reporte_de_Valorización_de_Instrumentos[[#This Row],[Weight]]</f>
        <v>0</v>
      </c>
      <c r="AM477" s="26">
        <f>INDEX(Parametria!G:G,MATCH(Tabla_Consulta_desde_Reporte_de_Valorización_de_Instrumentos[[#This Row],[CODIGO_SBS]],Parametria!C:C,0))</f>
        <v>0</v>
      </c>
      <c r="AN477" s="26" t="str">
        <f>INDEX(Parametria!F:F,MATCH(Tabla_Consulta_desde_Reporte_de_Valorización_de_Instrumentos[[#This Row],[CODIGO_SBS]],Parametria!C:C,0))</f>
        <v>Cash</v>
      </c>
      <c r="AO477" s="26" t="str">
        <f>+INDEX(Parametria!J:J,MATCH(Tabla_Consulta_desde_Reporte_de_Valorización_de_Instrumentos[[#This Row],[CODIGO_SBS]],Parametria!C:C,0))</f>
        <v>Cash</v>
      </c>
      <c r="AP477" s="26">
        <f>Tabla_Consulta_desde_Reporte_de_Valorización_de_Instrumentos[[#This Row],[Huella]]/$AU$4</f>
        <v>0</v>
      </c>
      <c r="AQ477" s="26" t="str">
        <f>IFERROR(INDEX('BD(MSCI)'!W:W,MATCH(Tabla_Consulta_desde_Reporte_de_Valorización_de_Instrumentos[[#This Row],[CODIGO_ISIN]],'BD(MSCI)'!C:C,0)),IF(Tabla_Consulta_desde_Reporte_de_Valorización_de_Instrumentos[[#This Row],[Rank_rt]]="Cash","Cash","Cuestionario Integra"))</f>
        <v>Cash</v>
      </c>
      <c r="AR477" s="26" t="str">
        <f>IFERROR(INDEX('BD(MSCI)'!X:X,MATCH(Tabla_Consulta_desde_Reporte_de_Valorización_de_Instrumentos[[#This Row],[CODIGO_ISIN]],'BD(MSCI)'!C:C,0)),"Cuestionario Integra")</f>
        <v>Cuestionario Integra</v>
      </c>
      <c r="AU477" s="26"/>
    </row>
    <row r="478" spans="2:47" hidden="1" x14ac:dyDescent="0.25">
      <c r="B478" s="14" t="s">
        <v>6390</v>
      </c>
      <c r="C478" t="s">
        <v>833</v>
      </c>
      <c r="D478" t="s">
        <v>11</v>
      </c>
      <c r="E478" t="s">
        <v>834</v>
      </c>
      <c r="F478" t="s">
        <v>6451</v>
      </c>
      <c r="G478">
        <f>INDEX(Parametria!H:H,MATCH(Tabla_Consulta_desde_Reporte_de_Valorización_de_Instrumentos[[#This Row],[CODIGO_SBS]],Parametria!C:C,0),1)</f>
        <v>0</v>
      </c>
      <c r="H478" t="s">
        <v>90</v>
      </c>
      <c r="I478" t="s">
        <v>835</v>
      </c>
      <c r="J478" t="s">
        <v>245</v>
      </c>
      <c r="K478" t="s">
        <v>90</v>
      </c>
      <c r="L478">
        <v>1</v>
      </c>
      <c r="M478" s="5">
        <v>500063.33350000001</v>
      </c>
      <c r="N478">
        <v>500063.33350000001</v>
      </c>
      <c r="O478">
        <v>0</v>
      </c>
      <c r="P478" s="15">
        <v>46027</v>
      </c>
      <c r="Q478">
        <v>5</v>
      </c>
      <c r="R478">
        <v>1</v>
      </c>
      <c r="S478" t="s">
        <v>155</v>
      </c>
      <c r="T478">
        <v>500000</v>
      </c>
      <c r="U478" s="5">
        <v>500000</v>
      </c>
      <c r="V478" t="s">
        <v>192</v>
      </c>
      <c r="W478">
        <v>4565854000</v>
      </c>
      <c r="X478">
        <v>3638173000</v>
      </c>
      <c r="Y478">
        <v>927681000</v>
      </c>
      <c r="Z478">
        <v>0</v>
      </c>
      <c r="AA478" t="str">
        <f>+MID(Tabla_Consulta_desde_Reporte_de_Valorización_de_Instrumentos[[#This Row],[CODIGO_SBS]],7,1)</f>
        <v>1</v>
      </c>
      <c r="AB478">
        <f>INDEX('Cálculo Caja'!F:F,MATCH(Tabla_Consulta_desde_Reporte_de_Valorización_de_Instrumentos[[#This Row],[PORTAFOLIO]],'Cálculo Caja'!A:A,0),1)</f>
        <v>3164069580.822104</v>
      </c>
      <c r="AC478" s="17">
        <f>Tabla_Consulta_desde_Reporte_de_Valorización_de_Instrumentos[[#This Row],[VALOR_VECTOR_LOCAL]]/Tabla_Consulta_desde_Reporte_de_Valorización_de_Instrumentos[[#This Row],[Patrimonio]]</f>
        <v>1.5804435418581127E-4</v>
      </c>
      <c r="AD478" s="4">
        <f>(Tabla_Consulta_desde_Reporte_de_Valorización_de_Instrumentos[[#This Row],[VALOR_VECTOR_LOCAL]]/INDEX('Tipo de Cambio'!$D:$D,MATCH("2",'Tipo de Cambio'!$E:$E,0),1))/1000000</f>
        <v>0.14878851899788748</v>
      </c>
      <c r="AE478">
        <f>IF(Tabla_Consulta_desde_Reporte_de_Valorización_de_Instrumentos[[#This Row],[PORTAFOLIO]]="IN-FONDO0",Tabla_Consulta_desde_Reporte_de_Valorización_de_Instrumentos[[#This Row],[Inv MM$]],0)</f>
        <v>0</v>
      </c>
      <c r="AF478" s="26">
        <f>IF(Tabla_Consulta_desde_Reporte_de_Valorización_de_Instrumentos[[#This Row],[PORTAFOLIO]]="IN-FONDO1",Tabla_Consulta_desde_Reporte_de_Valorización_de_Instrumentos[[#This Row],[Inv MM$]],0)</f>
        <v>0</v>
      </c>
      <c r="AG478" s="26">
        <f>IF(Tabla_Consulta_desde_Reporte_de_Valorización_de_Instrumentos[[#This Row],[PORTAFOLIO]]="IN-FONDO2",Tabla_Consulta_desde_Reporte_de_Valorización_de_Instrumentos[[#This Row],[Inv MM$]],0)</f>
        <v>0</v>
      </c>
      <c r="AH478" s="26">
        <f>IF(Tabla_Consulta_desde_Reporte_de_Valorización_de_Instrumentos[[#This Row],[PORTAFOLIO]]="IN-FONDO3",Tabla_Consulta_desde_Reporte_de_Valorización_de_Instrumentos[[#This Row],[Inv MM$]],0)</f>
        <v>0.14878851899788748</v>
      </c>
      <c r="AI47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0.14878851899788748</v>
      </c>
      <c r="AJ478" s="26">
        <f>IFERROR(IFERROR(INDEX('BD(MSCI)'!$T:$T,MATCH(Tabla_Consulta_desde_Reporte_de_Valorización_de_Instrumentos[[#This Row],[CODIGO_ISIN]],'BD(MSCI)'!$C:$C,0),1),INDEX('BD(MSCI)'!$T:$T,MATCH(Tabla_Consulta_desde_Reporte_de_Valorización_de_Instrumentos[[#This Row],[CODIGO_SBS]],'BD(MSCI)'!$C:$C,0),1)),0)</f>
        <v>0</v>
      </c>
      <c r="AK478" s="26">
        <f>Tabla_Consulta_desde_Reporte_de_Valorización_de_Instrumentos[[#This Row],[C02-H]]*Tabla_Consulta_desde_Reporte_de_Valorización_de_Instrumentos[[#This Row],[Inv MM$]]</f>
        <v>0</v>
      </c>
      <c r="AL478" s="26">
        <f>Tabla_Consulta_desde_Reporte_de_Valorización_de_Instrumentos[[#This Row],[C02-H]]*Tabla_Consulta_desde_Reporte_de_Valorización_de_Instrumentos[[#This Row],[Weight]]</f>
        <v>0</v>
      </c>
      <c r="AM478" s="26">
        <f>INDEX(Parametria!G:G,MATCH(Tabla_Consulta_desde_Reporte_de_Valorización_de_Instrumentos[[#This Row],[CODIGO_SBS]],Parametria!C:C,0))</f>
        <v>0</v>
      </c>
      <c r="AN478" s="26" t="str">
        <f>INDEX(Parametria!F:F,MATCH(Tabla_Consulta_desde_Reporte_de_Valorización_de_Instrumentos[[#This Row],[CODIGO_SBS]],Parametria!C:C,0))</f>
        <v>Cash</v>
      </c>
      <c r="AO478" s="26" t="str">
        <f>+INDEX(Parametria!J:J,MATCH(Tabla_Consulta_desde_Reporte_de_Valorización_de_Instrumentos[[#This Row],[CODIGO_SBS]],Parametria!C:C,0))</f>
        <v>Cash</v>
      </c>
      <c r="AP478" s="26">
        <f>Tabla_Consulta_desde_Reporte_de_Valorización_de_Instrumentos[[#This Row],[Huella]]/$AU$4</f>
        <v>0</v>
      </c>
      <c r="AQ478" s="26" t="str">
        <f>IFERROR(INDEX('BD(MSCI)'!W:W,MATCH(Tabla_Consulta_desde_Reporte_de_Valorización_de_Instrumentos[[#This Row],[CODIGO_ISIN]],'BD(MSCI)'!C:C,0)),IF(Tabla_Consulta_desde_Reporte_de_Valorización_de_Instrumentos[[#This Row],[Rank_rt]]="Cash","Cash","Cuestionario Integra"))</f>
        <v>Cash</v>
      </c>
      <c r="AR478" s="26" t="str">
        <f>IFERROR(INDEX('BD(MSCI)'!X:X,MATCH(Tabla_Consulta_desde_Reporte_de_Valorización_de_Instrumentos[[#This Row],[CODIGO_ISIN]],'BD(MSCI)'!C:C,0)),"Cuestionario Integra")</f>
        <v>Cuestionario Integra</v>
      </c>
      <c r="AU478" s="26"/>
    </row>
    <row r="479" spans="2:47" hidden="1" x14ac:dyDescent="0.25">
      <c r="B479" s="14" t="s">
        <v>6390</v>
      </c>
      <c r="C479" t="s">
        <v>833</v>
      </c>
      <c r="D479" t="s">
        <v>9</v>
      </c>
      <c r="E479" t="s">
        <v>834</v>
      </c>
      <c r="F479" t="s">
        <v>5891</v>
      </c>
      <c r="G479">
        <f>INDEX(Parametria!H:H,MATCH(Tabla_Consulta_desde_Reporte_de_Valorización_de_Instrumentos[[#This Row],[CODIGO_SBS]],Parametria!C:C,0),1)</f>
        <v>0</v>
      </c>
      <c r="H479" t="s">
        <v>90</v>
      </c>
      <c r="I479" t="s">
        <v>835</v>
      </c>
      <c r="J479" t="s">
        <v>4860</v>
      </c>
      <c r="K479" t="s">
        <v>90</v>
      </c>
      <c r="L479">
        <v>1</v>
      </c>
      <c r="M479" s="5">
        <v>3132237.855</v>
      </c>
      <c r="N479">
        <v>3132237.855</v>
      </c>
      <c r="O479">
        <v>0</v>
      </c>
      <c r="P479" s="15">
        <v>46027</v>
      </c>
      <c r="Q479">
        <v>5</v>
      </c>
      <c r="R479">
        <v>1</v>
      </c>
      <c r="S479" t="s">
        <v>155</v>
      </c>
      <c r="T479">
        <v>3131865.3539999998</v>
      </c>
      <c r="U479" s="5">
        <v>3131865.3539999998</v>
      </c>
      <c r="V479" t="s">
        <v>192</v>
      </c>
      <c r="W479">
        <v>4565854000</v>
      </c>
      <c r="X479">
        <v>3638173000</v>
      </c>
      <c r="Y479">
        <v>927681000</v>
      </c>
      <c r="Z479">
        <v>0</v>
      </c>
      <c r="AA479" t="str">
        <f>+MID(Tabla_Consulta_desde_Reporte_de_Valorización_de_Instrumentos[[#This Row],[CODIGO_SBS]],7,1)</f>
        <v>1</v>
      </c>
      <c r="AB479">
        <f>INDEX('Cálculo Caja'!F:F,MATCH(Tabla_Consulta_desde_Reporte_de_Valorización_de_Instrumentos[[#This Row],[PORTAFOLIO]],'Cálculo Caja'!A:A,0),1)</f>
        <v>2847839359.3764262</v>
      </c>
      <c r="AC479" s="17">
        <f>Tabla_Consulta_desde_Reporte_de_Valorización_de_Instrumentos[[#This Row],[VALOR_VECTOR_LOCAL]]/Tabla_Consulta_desde_Reporte_de_Valorización_de_Instrumentos[[#This Row],[Patrimonio]]</f>
        <v>1.0998646551769855E-3</v>
      </c>
      <c r="AD479" s="4">
        <f>(Tabla_Consulta_desde_Reporte_de_Valorización_de_Instrumentos[[#This Row],[VALOR_VECTOR_LOCAL]]/INDEX('Tipo de Cambio'!$D:$D,MATCH("2",'Tipo de Cambio'!$E:$E,0),1))/1000000</f>
        <v>0.93196401410336516</v>
      </c>
      <c r="AE479">
        <f>IF(Tabla_Consulta_desde_Reporte_de_Valorización_de_Instrumentos[[#This Row],[PORTAFOLIO]]="IN-FONDO0",Tabla_Consulta_desde_Reporte_de_Valorización_de_Instrumentos[[#This Row],[Inv MM$]],0)</f>
        <v>0.93196401410336516</v>
      </c>
      <c r="AF479" s="26">
        <f>IF(Tabla_Consulta_desde_Reporte_de_Valorización_de_Instrumentos[[#This Row],[PORTAFOLIO]]="IN-FONDO1",Tabla_Consulta_desde_Reporte_de_Valorización_de_Instrumentos[[#This Row],[Inv MM$]],0)</f>
        <v>0</v>
      </c>
      <c r="AG479" s="26">
        <f>IF(Tabla_Consulta_desde_Reporte_de_Valorización_de_Instrumentos[[#This Row],[PORTAFOLIO]]="IN-FONDO2",Tabla_Consulta_desde_Reporte_de_Valorización_de_Instrumentos[[#This Row],[Inv MM$]],0)</f>
        <v>0</v>
      </c>
      <c r="AH479" s="26">
        <f>IF(Tabla_Consulta_desde_Reporte_de_Valorización_de_Instrumentos[[#This Row],[PORTAFOLIO]]="IN-FONDO3",Tabla_Consulta_desde_Reporte_de_Valorización_de_Instrumentos[[#This Row],[Inv MM$]],0)</f>
        <v>0</v>
      </c>
      <c r="AI47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79" s="26">
        <f>IFERROR(IFERROR(INDEX('BD(MSCI)'!$T:$T,MATCH(Tabla_Consulta_desde_Reporte_de_Valorización_de_Instrumentos[[#This Row],[CODIGO_ISIN]],'BD(MSCI)'!$C:$C,0),1),INDEX('BD(MSCI)'!$T:$T,MATCH(Tabla_Consulta_desde_Reporte_de_Valorización_de_Instrumentos[[#This Row],[CODIGO_SBS]],'BD(MSCI)'!$C:$C,0),1)),0)</f>
        <v>0</v>
      </c>
      <c r="AK479" s="26">
        <f>Tabla_Consulta_desde_Reporte_de_Valorización_de_Instrumentos[[#This Row],[C02-H]]*Tabla_Consulta_desde_Reporte_de_Valorización_de_Instrumentos[[#This Row],[Inv MM$]]</f>
        <v>0</v>
      </c>
      <c r="AL479" s="26">
        <f>Tabla_Consulta_desde_Reporte_de_Valorización_de_Instrumentos[[#This Row],[C02-H]]*Tabla_Consulta_desde_Reporte_de_Valorización_de_Instrumentos[[#This Row],[Weight]]</f>
        <v>0</v>
      </c>
      <c r="AM479" s="26">
        <f>INDEX(Parametria!G:G,MATCH(Tabla_Consulta_desde_Reporte_de_Valorización_de_Instrumentos[[#This Row],[CODIGO_SBS]],Parametria!C:C,0))</f>
        <v>0</v>
      </c>
      <c r="AN479" s="26" t="str">
        <f>INDEX(Parametria!F:F,MATCH(Tabla_Consulta_desde_Reporte_de_Valorización_de_Instrumentos[[#This Row],[CODIGO_SBS]],Parametria!C:C,0))</f>
        <v>Cash</v>
      </c>
      <c r="AO479" s="26" t="str">
        <f>+INDEX(Parametria!J:J,MATCH(Tabla_Consulta_desde_Reporte_de_Valorización_de_Instrumentos[[#This Row],[CODIGO_SBS]],Parametria!C:C,0))</f>
        <v>Cash</v>
      </c>
      <c r="AP479" s="26">
        <f>Tabla_Consulta_desde_Reporte_de_Valorización_de_Instrumentos[[#This Row],[Huella]]/$AU$4</f>
        <v>0</v>
      </c>
      <c r="AQ479" s="26" t="str">
        <f>IFERROR(INDEX('BD(MSCI)'!W:W,MATCH(Tabla_Consulta_desde_Reporte_de_Valorización_de_Instrumentos[[#This Row],[CODIGO_ISIN]],'BD(MSCI)'!C:C,0)),IF(Tabla_Consulta_desde_Reporte_de_Valorización_de_Instrumentos[[#This Row],[Rank_rt]]="Cash","Cash","Cuestionario Integra"))</f>
        <v>Cash</v>
      </c>
      <c r="AR479" s="26" t="str">
        <f>IFERROR(INDEX('BD(MSCI)'!X:X,MATCH(Tabla_Consulta_desde_Reporte_de_Valorización_de_Instrumentos[[#This Row],[CODIGO_ISIN]],'BD(MSCI)'!C:C,0)),"Cuestionario Integra")</f>
        <v>Cuestionario Integra</v>
      </c>
      <c r="AU479" s="26"/>
    </row>
    <row r="480" spans="2:47" hidden="1" x14ac:dyDescent="0.25">
      <c r="B480" s="14" t="s">
        <v>6390</v>
      </c>
      <c r="C480" t="s">
        <v>833</v>
      </c>
      <c r="D480" t="s">
        <v>9</v>
      </c>
      <c r="E480" t="s">
        <v>834</v>
      </c>
      <c r="F480" t="s">
        <v>5890</v>
      </c>
      <c r="G480">
        <f>INDEX(Parametria!H:H,MATCH(Tabla_Consulta_desde_Reporte_de_Valorización_de_Instrumentos[[#This Row],[CODIGO_SBS]],Parametria!C:C,0),1)</f>
        <v>0</v>
      </c>
      <c r="H480" t="s">
        <v>90</v>
      </c>
      <c r="I480" t="s">
        <v>835</v>
      </c>
      <c r="J480" t="s">
        <v>373</v>
      </c>
      <c r="K480" t="s">
        <v>90</v>
      </c>
      <c r="L480">
        <v>1</v>
      </c>
      <c r="M480" s="5">
        <v>64726796.890000001</v>
      </c>
      <c r="N480">
        <v>64726796.890000001</v>
      </c>
      <c r="O480">
        <v>0</v>
      </c>
      <c r="P480" s="15">
        <v>46027</v>
      </c>
      <c r="Q480">
        <v>5</v>
      </c>
      <c r="R480">
        <v>1</v>
      </c>
      <c r="S480" t="s">
        <v>155</v>
      </c>
      <c r="T480">
        <v>64719115.772</v>
      </c>
      <c r="U480" s="5">
        <v>64719115.772</v>
      </c>
      <c r="V480" t="s">
        <v>192</v>
      </c>
      <c r="W480">
        <v>4565854000</v>
      </c>
      <c r="X480">
        <v>3638173000</v>
      </c>
      <c r="Y480">
        <v>927681000</v>
      </c>
      <c r="Z480">
        <v>0</v>
      </c>
      <c r="AA480" t="str">
        <f>+MID(Tabla_Consulta_desde_Reporte_de_Valorización_de_Instrumentos[[#This Row],[CODIGO_SBS]],7,1)</f>
        <v>1</v>
      </c>
      <c r="AB480">
        <f>INDEX('Cálculo Caja'!F:F,MATCH(Tabla_Consulta_desde_Reporte_de_Valorización_de_Instrumentos[[#This Row],[PORTAFOLIO]],'Cálculo Caja'!A:A,0),1)</f>
        <v>2847839359.3764262</v>
      </c>
      <c r="AC480" s="17">
        <f>Tabla_Consulta_desde_Reporte_de_Valorización_de_Instrumentos[[#This Row],[VALOR_VECTOR_LOCAL]]/Tabla_Consulta_desde_Reporte_de_Valorización_de_Instrumentos[[#This Row],[Patrimonio]]</f>
        <v>2.2728387637767893E-2</v>
      </c>
      <c r="AD480" s="4">
        <f>(Tabla_Consulta_desde_Reporte_de_Valorización_de_Instrumentos[[#This Row],[VALOR_VECTOR_LOCAL]]/INDEX('Tipo de Cambio'!$D:$D,MATCH("2",'Tipo de Cambio'!$E:$E,0),1))/1000000</f>
        <v>19.258769046981467</v>
      </c>
      <c r="AE480">
        <f>IF(Tabla_Consulta_desde_Reporte_de_Valorización_de_Instrumentos[[#This Row],[PORTAFOLIO]]="IN-FONDO0",Tabla_Consulta_desde_Reporte_de_Valorización_de_Instrumentos[[#This Row],[Inv MM$]],0)</f>
        <v>19.258769046981467</v>
      </c>
      <c r="AF480" s="26">
        <f>IF(Tabla_Consulta_desde_Reporte_de_Valorización_de_Instrumentos[[#This Row],[PORTAFOLIO]]="IN-FONDO1",Tabla_Consulta_desde_Reporte_de_Valorización_de_Instrumentos[[#This Row],[Inv MM$]],0)</f>
        <v>0</v>
      </c>
      <c r="AG480" s="26">
        <f>IF(Tabla_Consulta_desde_Reporte_de_Valorización_de_Instrumentos[[#This Row],[PORTAFOLIO]]="IN-FONDO2",Tabla_Consulta_desde_Reporte_de_Valorización_de_Instrumentos[[#This Row],[Inv MM$]],0)</f>
        <v>0</v>
      </c>
      <c r="AH480" s="26">
        <f>IF(Tabla_Consulta_desde_Reporte_de_Valorización_de_Instrumentos[[#This Row],[PORTAFOLIO]]="IN-FONDO3",Tabla_Consulta_desde_Reporte_de_Valorización_de_Instrumentos[[#This Row],[Inv MM$]],0)</f>
        <v>0</v>
      </c>
      <c r="AI48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0" s="26">
        <f>IFERROR(IFERROR(INDEX('BD(MSCI)'!$T:$T,MATCH(Tabla_Consulta_desde_Reporte_de_Valorización_de_Instrumentos[[#This Row],[CODIGO_ISIN]],'BD(MSCI)'!$C:$C,0),1),INDEX('BD(MSCI)'!$T:$T,MATCH(Tabla_Consulta_desde_Reporte_de_Valorización_de_Instrumentos[[#This Row],[CODIGO_SBS]],'BD(MSCI)'!$C:$C,0),1)),0)</f>
        <v>0</v>
      </c>
      <c r="AK480" s="26">
        <f>Tabla_Consulta_desde_Reporte_de_Valorización_de_Instrumentos[[#This Row],[C02-H]]*Tabla_Consulta_desde_Reporte_de_Valorización_de_Instrumentos[[#This Row],[Inv MM$]]</f>
        <v>0</v>
      </c>
      <c r="AL480" s="26">
        <f>Tabla_Consulta_desde_Reporte_de_Valorización_de_Instrumentos[[#This Row],[C02-H]]*Tabla_Consulta_desde_Reporte_de_Valorización_de_Instrumentos[[#This Row],[Weight]]</f>
        <v>0</v>
      </c>
      <c r="AM480" s="26">
        <f>INDEX(Parametria!G:G,MATCH(Tabla_Consulta_desde_Reporte_de_Valorización_de_Instrumentos[[#This Row],[CODIGO_SBS]],Parametria!C:C,0))</f>
        <v>0</v>
      </c>
      <c r="AN480" s="26" t="str">
        <f>INDEX(Parametria!F:F,MATCH(Tabla_Consulta_desde_Reporte_de_Valorización_de_Instrumentos[[#This Row],[CODIGO_SBS]],Parametria!C:C,0))</f>
        <v>Cash</v>
      </c>
      <c r="AO480" s="26" t="str">
        <f>+INDEX(Parametria!J:J,MATCH(Tabla_Consulta_desde_Reporte_de_Valorización_de_Instrumentos[[#This Row],[CODIGO_SBS]],Parametria!C:C,0))</f>
        <v>Cash</v>
      </c>
      <c r="AP480" s="26">
        <f>Tabla_Consulta_desde_Reporte_de_Valorización_de_Instrumentos[[#This Row],[Huella]]/$AU$4</f>
        <v>0</v>
      </c>
      <c r="AQ480" s="26" t="str">
        <f>IFERROR(INDEX('BD(MSCI)'!W:W,MATCH(Tabla_Consulta_desde_Reporte_de_Valorización_de_Instrumentos[[#This Row],[CODIGO_ISIN]],'BD(MSCI)'!C:C,0)),IF(Tabla_Consulta_desde_Reporte_de_Valorización_de_Instrumentos[[#This Row],[Rank_rt]]="Cash","Cash","Cuestionario Integra"))</f>
        <v>Cash</v>
      </c>
      <c r="AR480" s="26" t="str">
        <f>IFERROR(INDEX('BD(MSCI)'!X:X,MATCH(Tabla_Consulta_desde_Reporte_de_Valorización_de_Instrumentos[[#This Row],[CODIGO_ISIN]],'BD(MSCI)'!C:C,0)),"Cuestionario Integra")</f>
        <v>Cuestionario Integra</v>
      </c>
      <c r="AU480" s="26"/>
    </row>
    <row r="481" spans="2:47" hidden="1" x14ac:dyDescent="0.25">
      <c r="B481" s="14" t="s">
        <v>6390</v>
      </c>
      <c r="C481" t="s">
        <v>833</v>
      </c>
      <c r="D481" t="s">
        <v>9</v>
      </c>
      <c r="E481" t="s">
        <v>834</v>
      </c>
      <c r="F481" t="s">
        <v>5888</v>
      </c>
      <c r="G481">
        <f>INDEX(Parametria!H:H,MATCH(Tabla_Consulta_desde_Reporte_de_Valorización_de_Instrumentos[[#This Row],[CODIGO_SBS]],Parametria!C:C,0),1)</f>
        <v>0</v>
      </c>
      <c r="H481" t="s">
        <v>90</v>
      </c>
      <c r="I481" t="s">
        <v>835</v>
      </c>
      <c r="J481" t="s">
        <v>373</v>
      </c>
      <c r="K481" t="s">
        <v>90</v>
      </c>
      <c r="L481">
        <v>1</v>
      </c>
      <c r="M481" s="5">
        <v>20836695.18</v>
      </c>
      <c r="N481">
        <v>20836695.18</v>
      </c>
      <c r="O481">
        <v>0</v>
      </c>
      <c r="P481" s="15">
        <v>46051</v>
      </c>
      <c r="Q481">
        <v>29</v>
      </c>
      <c r="R481">
        <v>1</v>
      </c>
      <c r="S481" t="s">
        <v>155</v>
      </c>
      <c r="T481">
        <v>20834167.399999999</v>
      </c>
      <c r="U481" s="5">
        <v>20834167.399999999</v>
      </c>
      <c r="V481" t="s">
        <v>192</v>
      </c>
      <c r="W481">
        <v>4565854000</v>
      </c>
      <c r="X481">
        <v>3638173000</v>
      </c>
      <c r="Y481">
        <v>927681000</v>
      </c>
      <c r="Z481">
        <v>0</v>
      </c>
      <c r="AA481" t="str">
        <f>+MID(Tabla_Consulta_desde_Reporte_de_Valorización_de_Instrumentos[[#This Row],[CODIGO_SBS]],7,1)</f>
        <v>1</v>
      </c>
      <c r="AB481">
        <f>INDEX('Cálculo Caja'!F:F,MATCH(Tabla_Consulta_desde_Reporte_de_Valorización_de_Instrumentos[[#This Row],[PORTAFOLIO]],'Cálculo Caja'!A:A,0),1)</f>
        <v>2847839359.3764262</v>
      </c>
      <c r="AC481" s="17">
        <f>Tabla_Consulta_desde_Reporte_de_Valorización_de_Instrumentos[[#This Row],[VALOR_VECTOR_LOCAL]]/Tabla_Consulta_desde_Reporte_de_Valorización_de_Instrumentos[[#This Row],[Patrimonio]]</f>
        <v>7.3166680246186649E-3</v>
      </c>
      <c r="AD481" s="4">
        <f>(Tabla_Consulta_desde_Reporte_de_Valorización_de_Instrumentos[[#This Row],[VALOR_VECTOR_LOCAL]]/INDEX('Tipo de Cambio'!$D:$D,MATCH("2",'Tipo de Cambio'!$E:$E,0),1))/1000000</f>
        <v>6.1997367312327052</v>
      </c>
      <c r="AE481">
        <f>IF(Tabla_Consulta_desde_Reporte_de_Valorización_de_Instrumentos[[#This Row],[PORTAFOLIO]]="IN-FONDO0",Tabla_Consulta_desde_Reporte_de_Valorización_de_Instrumentos[[#This Row],[Inv MM$]],0)</f>
        <v>6.1997367312327052</v>
      </c>
      <c r="AF481" s="26">
        <f>IF(Tabla_Consulta_desde_Reporte_de_Valorización_de_Instrumentos[[#This Row],[PORTAFOLIO]]="IN-FONDO1",Tabla_Consulta_desde_Reporte_de_Valorización_de_Instrumentos[[#This Row],[Inv MM$]],0)</f>
        <v>0</v>
      </c>
      <c r="AG481" s="26">
        <f>IF(Tabla_Consulta_desde_Reporte_de_Valorización_de_Instrumentos[[#This Row],[PORTAFOLIO]]="IN-FONDO2",Tabla_Consulta_desde_Reporte_de_Valorización_de_Instrumentos[[#This Row],[Inv MM$]],0)</f>
        <v>0</v>
      </c>
      <c r="AH481" s="26">
        <f>IF(Tabla_Consulta_desde_Reporte_de_Valorización_de_Instrumentos[[#This Row],[PORTAFOLIO]]="IN-FONDO3",Tabla_Consulta_desde_Reporte_de_Valorización_de_Instrumentos[[#This Row],[Inv MM$]],0)</f>
        <v>0</v>
      </c>
      <c r="AI48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1" s="26">
        <f>IFERROR(IFERROR(INDEX('BD(MSCI)'!$T:$T,MATCH(Tabla_Consulta_desde_Reporte_de_Valorización_de_Instrumentos[[#This Row],[CODIGO_ISIN]],'BD(MSCI)'!$C:$C,0),1),INDEX('BD(MSCI)'!$T:$T,MATCH(Tabla_Consulta_desde_Reporte_de_Valorización_de_Instrumentos[[#This Row],[CODIGO_SBS]],'BD(MSCI)'!$C:$C,0),1)),0)</f>
        <v>0</v>
      </c>
      <c r="AK481" s="26">
        <f>Tabla_Consulta_desde_Reporte_de_Valorización_de_Instrumentos[[#This Row],[C02-H]]*Tabla_Consulta_desde_Reporte_de_Valorización_de_Instrumentos[[#This Row],[Inv MM$]]</f>
        <v>0</v>
      </c>
      <c r="AL481" s="26">
        <f>Tabla_Consulta_desde_Reporte_de_Valorización_de_Instrumentos[[#This Row],[C02-H]]*Tabla_Consulta_desde_Reporte_de_Valorización_de_Instrumentos[[#This Row],[Weight]]</f>
        <v>0</v>
      </c>
      <c r="AM481" s="26">
        <f>INDEX(Parametria!G:G,MATCH(Tabla_Consulta_desde_Reporte_de_Valorización_de_Instrumentos[[#This Row],[CODIGO_SBS]],Parametria!C:C,0))</f>
        <v>0</v>
      </c>
      <c r="AN481" s="26" t="str">
        <f>INDEX(Parametria!F:F,MATCH(Tabla_Consulta_desde_Reporte_de_Valorización_de_Instrumentos[[#This Row],[CODIGO_SBS]],Parametria!C:C,0))</f>
        <v>Cash</v>
      </c>
      <c r="AO481" s="26" t="str">
        <f>+INDEX(Parametria!J:J,MATCH(Tabla_Consulta_desde_Reporte_de_Valorización_de_Instrumentos[[#This Row],[CODIGO_SBS]],Parametria!C:C,0))</f>
        <v>Cash</v>
      </c>
      <c r="AP481" s="26">
        <f>Tabla_Consulta_desde_Reporte_de_Valorización_de_Instrumentos[[#This Row],[Huella]]/$AU$4</f>
        <v>0</v>
      </c>
      <c r="AQ481" s="26" t="str">
        <f>IFERROR(INDEX('BD(MSCI)'!W:W,MATCH(Tabla_Consulta_desde_Reporte_de_Valorización_de_Instrumentos[[#This Row],[CODIGO_ISIN]],'BD(MSCI)'!C:C,0)),IF(Tabla_Consulta_desde_Reporte_de_Valorización_de_Instrumentos[[#This Row],[Rank_rt]]="Cash","Cash","Cuestionario Integra"))</f>
        <v>Cash</v>
      </c>
      <c r="AR481" s="26" t="str">
        <f>IFERROR(INDEX('BD(MSCI)'!X:X,MATCH(Tabla_Consulta_desde_Reporte_de_Valorización_de_Instrumentos[[#This Row],[CODIGO_ISIN]],'BD(MSCI)'!C:C,0)),"Cuestionario Integra")</f>
        <v>Cuestionario Integra</v>
      </c>
      <c r="AU481" s="26"/>
    </row>
    <row r="482" spans="2:47" hidden="1" x14ac:dyDescent="0.25">
      <c r="B482" s="14" t="s">
        <v>6390</v>
      </c>
      <c r="C482" t="s">
        <v>833</v>
      </c>
      <c r="D482" t="s">
        <v>9</v>
      </c>
      <c r="E482" t="s">
        <v>834</v>
      </c>
      <c r="F482" t="s">
        <v>5863</v>
      </c>
      <c r="G482">
        <f>INDEX(Parametria!H:H,MATCH(Tabla_Consulta_desde_Reporte_de_Valorización_de_Instrumentos[[#This Row],[CODIGO_SBS]],Parametria!C:C,0),1)</f>
        <v>0</v>
      </c>
      <c r="H482" t="s">
        <v>90</v>
      </c>
      <c r="I482" t="s">
        <v>835</v>
      </c>
      <c r="J482" t="s">
        <v>373</v>
      </c>
      <c r="K482" t="s">
        <v>90</v>
      </c>
      <c r="L482">
        <v>1</v>
      </c>
      <c r="M482" s="5">
        <v>41660427.520000003</v>
      </c>
      <c r="N482">
        <v>41660427.520000003</v>
      </c>
      <c r="O482">
        <v>0</v>
      </c>
      <c r="P482" s="15">
        <v>46055</v>
      </c>
      <c r="Q482">
        <v>33</v>
      </c>
      <c r="R482">
        <v>1</v>
      </c>
      <c r="S482" t="s">
        <v>155</v>
      </c>
      <c r="T482">
        <v>41655349.759999998</v>
      </c>
      <c r="U482" s="5">
        <v>41655349.759999998</v>
      </c>
      <c r="V482" t="s">
        <v>192</v>
      </c>
      <c r="W482">
        <v>4565854000</v>
      </c>
      <c r="X482">
        <v>3638173000</v>
      </c>
      <c r="Y482">
        <v>927681000</v>
      </c>
      <c r="Z482">
        <v>0</v>
      </c>
      <c r="AA482" t="str">
        <f>+MID(Tabla_Consulta_desde_Reporte_de_Valorización_de_Instrumentos[[#This Row],[CODIGO_SBS]],7,1)</f>
        <v>1</v>
      </c>
      <c r="AB482">
        <f>INDEX('Cálculo Caja'!F:F,MATCH(Tabla_Consulta_desde_Reporte_de_Valorización_de_Instrumentos[[#This Row],[PORTAFOLIO]],'Cálculo Caja'!A:A,0),1)</f>
        <v>2847839359.3764262</v>
      </c>
      <c r="AC482" s="17">
        <f>Tabla_Consulta_desde_Reporte_de_Valorización_de_Instrumentos[[#This Row],[VALOR_VECTOR_LOCAL]]/Tabla_Consulta_desde_Reporte_de_Valorización_de_Instrumentos[[#This Row],[Patrimonio]]</f>
        <v>1.4628784233504706E-2</v>
      </c>
      <c r="AD482" s="4">
        <f>(Tabla_Consulta_desde_Reporte_de_Valorización_de_Instrumentos[[#This Row],[VALOR_VECTOR_LOCAL]]/INDEX('Tipo de Cambio'!$D:$D,MATCH("2",'Tipo de Cambio'!$E:$E,0),1))/1000000</f>
        <v>12.395616507483115</v>
      </c>
      <c r="AE482">
        <f>IF(Tabla_Consulta_desde_Reporte_de_Valorización_de_Instrumentos[[#This Row],[PORTAFOLIO]]="IN-FONDO0",Tabla_Consulta_desde_Reporte_de_Valorización_de_Instrumentos[[#This Row],[Inv MM$]],0)</f>
        <v>12.395616507483115</v>
      </c>
      <c r="AF482" s="26">
        <f>IF(Tabla_Consulta_desde_Reporte_de_Valorización_de_Instrumentos[[#This Row],[PORTAFOLIO]]="IN-FONDO1",Tabla_Consulta_desde_Reporte_de_Valorización_de_Instrumentos[[#This Row],[Inv MM$]],0)</f>
        <v>0</v>
      </c>
      <c r="AG482" s="26">
        <f>IF(Tabla_Consulta_desde_Reporte_de_Valorización_de_Instrumentos[[#This Row],[PORTAFOLIO]]="IN-FONDO2",Tabla_Consulta_desde_Reporte_de_Valorización_de_Instrumentos[[#This Row],[Inv MM$]],0)</f>
        <v>0</v>
      </c>
      <c r="AH482" s="26">
        <f>IF(Tabla_Consulta_desde_Reporte_de_Valorización_de_Instrumentos[[#This Row],[PORTAFOLIO]]="IN-FONDO3",Tabla_Consulta_desde_Reporte_de_Valorización_de_Instrumentos[[#This Row],[Inv MM$]],0)</f>
        <v>0</v>
      </c>
      <c r="AI48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2" s="26">
        <f>IFERROR(IFERROR(INDEX('BD(MSCI)'!$T:$T,MATCH(Tabla_Consulta_desde_Reporte_de_Valorización_de_Instrumentos[[#This Row],[CODIGO_ISIN]],'BD(MSCI)'!$C:$C,0),1),INDEX('BD(MSCI)'!$T:$T,MATCH(Tabla_Consulta_desde_Reporte_de_Valorización_de_Instrumentos[[#This Row],[CODIGO_SBS]],'BD(MSCI)'!$C:$C,0),1)),0)</f>
        <v>0</v>
      </c>
      <c r="AK482" s="26">
        <f>Tabla_Consulta_desde_Reporte_de_Valorización_de_Instrumentos[[#This Row],[C02-H]]*Tabla_Consulta_desde_Reporte_de_Valorización_de_Instrumentos[[#This Row],[Inv MM$]]</f>
        <v>0</v>
      </c>
      <c r="AL482" s="26">
        <f>Tabla_Consulta_desde_Reporte_de_Valorización_de_Instrumentos[[#This Row],[C02-H]]*Tabla_Consulta_desde_Reporte_de_Valorización_de_Instrumentos[[#This Row],[Weight]]</f>
        <v>0</v>
      </c>
      <c r="AM482" s="26">
        <f>INDEX(Parametria!G:G,MATCH(Tabla_Consulta_desde_Reporte_de_Valorización_de_Instrumentos[[#This Row],[CODIGO_SBS]],Parametria!C:C,0))</f>
        <v>0</v>
      </c>
      <c r="AN482" s="26" t="str">
        <f>INDEX(Parametria!F:F,MATCH(Tabla_Consulta_desde_Reporte_de_Valorización_de_Instrumentos[[#This Row],[CODIGO_SBS]],Parametria!C:C,0))</f>
        <v>Cash</v>
      </c>
      <c r="AO482" s="26" t="str">
        <f>+INDEX(Parametria!J:J,MATCH(Tabla_Consulta_desde_Reporte_de_Valorización_de_Instrumentos[[#This Row],[CODIGO_SBS]],Parametria!C:C,0))</f>
        <v>Cash</v>
      </c>
      <c r="AP482" s="26">
        <f>Tabla_Consulta_desde_Reporte_de_Valorización_de_Instrumentos[[#This Row],[Huella]]/$AU$4</f>
        <v>0</v>
      </c>
      <c r="AQ482" s="26" t="str">
        <f>IFERROR(INDEX('BD(MSCI)'!W:W,MATCH(Tabla_Consulta_desde_Reporte_de_Valorización_de_Instrumentos[[#This Row],[CODIGO_ISIN]],'BD(MSCI)'!C:C,0)),IF(Tabla_Consulta_desde_Reporte_de_Valorización_de_Instrumentos[[#This Row],[Rank_rt]]="Cash","Cash","Cuestionario Integra"))</f>
        <v>Cash</v>
      </c>
      <c r="AR482" s="26" t="str">
        <f>IFERROR(INDEX('BD(MSCI)'!X:X,MATCH(Tabla_Consulta_desde_Reporte_de_Valorización_de_Instrumentos[[#This Row],[CODIGO_ISIN]],'BD(MSCI)'!C:C,0)),"Cuestionario Integra")</f>
        <v>Cuestionario Integra</v>
      </c>
      <c r="AU482" s="26"/>
    </row>
    <row r="483" spans="2:47" hidden="1" x14ac:dyDescent="0.25">
      <c r="B483" s="14" t="s">
        <v>6390</v>
      </c>
      <c r="C483" t="s">
        <v>833</v>
      </c>
      <c r="D483" t="s">
        <v>9</v>
      </c>
      <c r="E483" t="s">
        <v>834</v>
      </c>
      <c r="F483" t="s">
        <v>5864</v>
      </c>
      <c r="G483">
        <f>INDEX(Parametria!H:H,MATCH(Tabla_Consulta_desde_Reporte_de_Valorización_de_Instrumentos[[#This Row],[CODIGO_SBS]],Parametria!C:C,0),1)</f>
        <v>0</v>
      </c>
      <c r="H483" t="s">
        <v>90</v>
      </c>
      <c r="I483" t="s">
        <v>835</v>
      </c>
      <c r="J483" t="s">
        <v>243</v>
      </c>
      <c r="K483" t="s">
        <v>90</v>
      </c>
      <c r="L483">
        <v>1</v>
      </c>
      <c r="M483" s="5">
        <v>46802248.380000003</v>
      </c>
      <c r="N483">
        <v>46802248.380000003</v>
      </c>
      <c r="O483">
        <v>0</v>
      </c>
      <c r="P483" s="15">
        <v>46058</v>
      </c>
      <c r="Q483">
        <v>36</v>
      </c>
      <c r="R483">
        <v>1</v>
      </c>
      <c r="S483" t="s">
        <v>155</v>
      </c>
      <c r="T483">
        <v>46796685.884999998</v>
      </c>
      <c r="U483" s="5">
        <v>46796685.884999998</v>
      </c>
      <c r="V483" t="s">
        <v>192</v>
      </c>
      <c r="W483">
        <v>4565854000</v>
      </c>
      <c r="X483">
        <v>3638173000</v>
      </c>
      <c r="Y483">
        <v>927681000</v>
      </c>
      <c r="Z483">
        <v>0</v>
      </c>
      <c r="AA483" t="str">
        <f>+MID(Tabla_Consulta_desde_Reporte_de_Valorización_de_Instrumentos[[#This Row],[CODIGO_SBS]],7,1)</f>
        <v>1</v>
      </c>
      <c r="AB483">
        <f>INDEX('Cálculo Caja'!F:F,MATCH(Tabla_Consulta_desde_Reporte_de_Valorización_de_Instrumentos[[#This Row],[PORTAFOLIO]],'Cálculo Caja'!A:A,0),1)</f>
        <v>2847839359.3764262</v>
      </c>
      <c r="AC483" s="17">
        <f>Tabla_Consulta_desde_Reporte_de_Valorización_de_Instrumentos[[#This Row],[VALOR_VECTOR_LOCAL]]/Tabla_Consulta_desde_Reporte_de_Valorización_de_Instrumentos[[#This Row],[Patrimonio]]</f>
        <v>1.6434300700952458E-2</v>
      </c>
      <c r="AD483" s="4">
        <f>(Tabla_Consulta_desde_Reporte_de_Valorización_de_Instrumentos[[#This Row],[VALOR_VECTOR_LOCAL]]/INDEX('Tipo de Cambio'!$D:$D,MATCH("2",'Tipo de Cambio'!$E:$E,0),1))/1000000</f>
        <v>13.925510541819158</v>
      </c>
      <c r="AE483">
        <f>IF(Tabla_Consulta_desde_Reporte_de_Valorización_de_Instrumentos[[#This Row],[PORTAFOLIO]]="IN-FONDO0",Tabla_Consulta_desde_Reporte_de_Valorización_de_Instrumentos[[#This Row],[Inv MM$]],0)</f>
        <v>13.925510541819158</v>
      </c>
      <c r="AF483" s="26">
        <f>IF(Tabla_Consulta_desde_Reporte_de_Valorización_de_Instrumentos[[#This Row],[PORTAFOLIO]]="IN-FONDO1",Tabla_Consulta_desde_Reporte_de_Valorización_de_Instrumentos[[#This Row],[Inv MM$]],0)</f>
        <v>0</v>
      </c>
      <c r="AG483" s="26">
        <f>IF(Tabla_Consulta_desde_Reporte_de_Valorización_de_Instrumentos[[#This Row],[PORTAFOLIO]]="IN-FONDO2",Tabla_Consulta_desde_Reporte_de_Valorización_de_Instrumentos[[#This Row],[Inv MM$]],0)</f>
        <v>0</v>
      </c>
      <c r="AH483" s="26">
        <f>IF(Tabla_Consulta_desde_Reporte_de_Valorización_de_Instrumentos[[#This Row],[PORTAFOLIO]]="IN-FONDO3",Tabla_Consulta_desde_Reporte_de_Valorización_de_Instrumentos[[#This Row],[Inv MM$]],0)</f>
        <v>0</v>
      </c>
      <c r="AI48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3" s="26">
        <f>IFERROR(IFERROR(INDEX('BD(MSCI)'!$T:$T,MATCH(Tabla_Consulta_desde_Reporte_de_Valorización_de_Instrumentos[[#This Row],[CODIGO_ISIN]],'BD(MSCI)'!$C:$C,0),1),INDEX('BD(MSCI)'!$T:$T,MATCH(Tabla_Consulta_desde_Reporte_de_Valorización_de_Instrumentos[[#This Row],[CODIGO_SBS]],'BD(MSCI)'!$C:$C,0),1)),0)</f>
        <v>0</v>
      </c>
      <c r="AK483" s="26">
        <f>Tabla_Consulta_desde_Reporte_de_Valorización_de_Instrumentos[[#This Row],[C02-H]]*Tabla_Consulta_desde_Reporte_de_Valorización_de_Instrumentos[[#This Row],[Inv MM$]]</f>
        <v>0</v>
      </c>
      <c r="AL483" s="26">
        <f>Tabla_Consulta_desde_Reporte_de_Valorización_de_Instrumentos[[#This Row],[C02-H]]*Tabla_Consulta_desde_Reporte_de_Valorización_de_Instrumentos[[#This Row],[Weight]]</f>
        <v>0</v>
      </c>
      <c r="AM483" s="26">
        <f>INDEX(Parametria!G:G,MATCH(Tabla_Consulta_desde_Reporte_de_Valorización_de_Instrumentos[[#This Row],[CODIGO_SBS]],Parametria!C:C,0))</f>
        <v>0</v>
      </c>
      <c r="AN483" s="26" t="str">
        <f>INDEX(Parametria!F:F,MATCH(Tabla_Consulta_desde_Reporte_de_Valorización_de_Instrumentos[[#This Row],[CODIGO_SBS]],Parametria!C:C,0))</f>
        <v>Cash</v>
      </c>
      <c r="AO483" s="26" t="str">
        <f>+INDEX(Parametria!J:J,MATCH(Tabla_Consulta_desde_Reporte_de_Valorización_de_Instrumentos[[#This Row],[CODIGO_SBS]],Parametria!C:C,0))</f>
        <v>Cash</v>
      </c>
      <c r="AP483" s="26">
        <f>Tabla_Consulta_desde_Reporte_de_Valorización_de_Instrumentos[[#This Row],[Huella]]/$AU$4</f>
        <v>0</v>
      </c>
      <c r="AQ483" s="26" t="str">
        <f>IFERROR(INDEX('BD(MSCI)'!W:W,MATCH(Tabla_Consulta_desde_Reporte_de_Valorización_de_Instrumentos[[#This Row],[CODIGO_ISIN]],'BD(MSCI)'!C:C,0)),IF(Tabla_Consulta_desde_Reporte_de_Valorización_de_Instrumentos[[#This Row],[Rank_rt]]="Cash","Cash","Cuestionario Integra"))</f>
        <v>Cash</v>
      </c>
      <c r="AR483" s="26" t="str">
        <f>IFERROR(INDEX('BD(MSCI)'!X:X,MATCH(Tabla_Consulta_desde_Reporte_de_Valorización_de_Instrumentos[[#This Row],[CODIGO_ISIN]],'BD(MSCI)'!C:C,0)),"Cuestionario Integra")</f>
        <v>Cuestionario Integra</v>
      </c>
      <c r="AU483" s="26"/>
    </row>
    <row r="484" spans="2:47" hidden="1" x14ac:dyDescent="0.25">
      <c r="B484" s="14" t="s">
        <v>6390</v>
      </c>
      <c r="C484" t="s">
        <v>833</v>
      </c>
      <c r="D484" t="s">
        <v>9</v>
      </c>
      <c r="E484" t="s">
        <v>834</v>
      </c>
      <c r="F484" t="s">
        <v>5885</v>
      </c>
      <c r="G484">
        <f>INDEX(Parametria!H:H,MATCH(Tabla_Consulta_desde_Reporte_de_Valorización_de_Instrumentos[[#This Row],[CODIGO_SBS]],Parametria!C:C,0),1)</f>
        <v>0</v>
      </c>
      <c r="H484" t="s">
        <v>90</v>
      </c>
      <c r="I484" t="s">
        <v>835</v>
      </c>
      <c r="J484" t="s">
        <v>243</v>
      </c>
      <c r="K484" t="s">
        <v>90</v>
      </c>
      <c r="L484">
        <v>1</v>
      </c>
      <c r="M484" s="5">
        <v>29121987.103999998</v>
      </c>
      <c r="N484">
        <v>29121987.103999998</v>
      </c>
      <c r="O484">
        <v>0</v>
      </c>
      <c r="P484" s="15">
        <v>46059</v>
      </c>
      <c r="Q484">
        <v>37</v>
      </c>
      <c r="R484">
        <v>1</v>
      </c>
      <c r="S484" t="s">
        <v>155</v>
      </c>
      <c r="T484">
        <v>29118502.671999998</v>
      </c>
      <c r="U484" s="5">
        <v>29118502.671999998</v>
      </c>
      <c r="V484" t="s">
        <v>192</v>
      </c>
      <c r="W484">
        <v>4565854000</v>
      </c>
      <c r="X484">
        <v>3638173000</v>
      </c>
      <c r="Y484">
        <v>927681000</v>
      </c>
      <c r="Z484">
        <v>0</v>
      </c>
      <c r="AA484" t="str">
        <f>+MID(Tabla_Consulta_desde_Reporte_de_Valorización_de_Instrumentos[[#This Row],[CODIGO_SBS]],7,1)</f>
        <v>1</v>
      </c>
      <c r="AB484">
        <f>INDEX('Cálculo Caja'!F:F,MATCH(Tabla_Consulta_desde_Reporte_de_Valorización_de_Instrumentos[[#This Row],[PORTAFOLIO]],'Cálculo Caja'!A:A,0),1)</f>
        <v>2847839359.3764262</v>
      </c>
      <c r="AC484" s="17">
        <f>Tabla_Consulta_desde_Reporte_de_Valorización_de_Instrumentos[[#This Row],[VALOR_VECTOR_LOCAL]]/Tabla_Consulta_desde_Reporte_de_Valorización_de_Instrumentos[[#This Row],[Patrimonio]]</f>
        <v>1.0225993614463092E-2</v>
      </c>
      <c r="AD484" s="4">
        <f>(Tabla_Consulta_desde_Reporte_de_Valorización_de_Instrumentos[[#This Row],[VALOR_VECTOR_LOCAL]]/INDEX('Tipo de Cambio'!$D:$D,MATCH("2",'Tipo de Cambio'!$E:$E,0),1))/1000000</f>
        <v>8.6649371013716561</v>
      </c>
      <c r="AE484">
        <f>IF(Tabla_Consulta_desde_Reporte_de_Valorización_de_Instrumentos[[#This Row],[PORTAFOLIO]]="IN-FONDO0",Tabla_Consulta_desde_Reporte_de_Valorización_de_Instrumentos[[#This Row],[Inv MM$]],0)</f>
        <v>8.6649371013716561</v>
      </c>
      <c r="AF484" s="26">
        <f>IF(Tabla_Consulta_desde_Reporte_de_Valorización_de_Instrumentos[[#This Row],[PORTAFOLIO]]="IN-FONDO1",Tabla_Consulta_desde_Reporte_de_Valorización_de_Instrumentos[[#This Row],[Inv MM$]],0)</f>
        <v>0</v>
      </c>
      <c r="AG484" s="26">
        <f>IF(Tabla_Consulta_desde_Reporte_de_Valorización_de_Instrumentos[[#This Row],[PORTAFOLIO]]="IN-FONDO2",Tabla_Consulta_desde_Reporte_de_Valorización_de_Instrumentos[[#This Row],[Inv MM$]],0)</f>
        <v>0</v>
      </c>
      <c r="AH484" s="26">
        <f>IF(Tabla_Consulta_desde_Reporte_de_Valorización_de_Instrumentos[[#This Row],[PORTAFOLIO]]="IN-FONDO3",Tabla_Consulta_desde_Reporte_de_Valorización_de_Instrumentos[[#This Row],[Inv MM$]],0)</f>
        <v>0</v>
      </c>
      <c r="AI48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4" s="26">
        <f>IFERROR(IFERROR(INDEX('BD(MSCI)'!$T:$T,MATCH(Tabla_Consulta_desde_Reporte_de_Valorización_de_Instrumentos[[#This Row],[CODIGO_ISIN]],'BD(MSCI)'!$C:$C,0),1),INDEX('BD(MSCI)'!$T:$T,MATCH(Tabla_Consulta_desde_Reporte_de_Valorización_de_Instrumentos[[#This Row],[CODIGO_SBS]],'BD(MSCI)'!$C:$C,0),1)),0)</f>
        <v>0</v>
      </c>
      <c r="AK484" s="26">
        <f>Tabla_Consulta_desde_Reporte_de_Valorización_de_Instrumentos[[#This Row],[C02-H]]*Tabla_Consulta_desde_Reporte_de_Valorización_de_Instrumentos[[#This Row],[Inv MM$]]</f>
        <v>0</v>
      </c>
      <c r="AL484" s="26">
        <f>Tabla_Consulta_desde_Reporte_de_Valorización_de_Instrumentos[[#This Row],[C02-H]]*Tabla_Consulta_desde_Reporte_de_Valorización_de_Instrumentos[[#This Row],[Weight]]</f>
        <v>0</v>
      </c>
      <c r="AM484" s="26">
        <f>INDEX(Parametria!G:G,MATCH(Tabla_Consulta_desde_Reporte_de_Valorización_de_Instrumentos[[#This Row],[CODIGO_SBS]],Parametria!C:C,0))</f>
        <v>0</v>
      </c>
      <c r="AN484" s="26" t="str">
        <f>INDEX(Parametria!F:F,MATCH(Tabla_Consulta_desde_Reporte_de_Valorización_de_Instrumentos[[#This Row],[CODIGO_SBS]],Parametria!C:C,0))</f>
        <v>Cash</v>
      </c>
      <c r="AO484" s="26" t="str">
        <f>+INDEX(Parametria!J:J,MATCH(Tabla_Consulta_desde_Reporte_de_Valorización_de_Instrumentos[[#This Row],[CODIGO_SBS]],Parametria!C:C,0))</f>
        <v>Cash</v>
      </c>
      <c r="AP484" s="26">
        <f>Tabla_Consulta_desde_Reporte_de_Valorización_de_Instrumentos[[#This Row],[Huella]]/$AU$4</f>
        <v>0</v>
      </c>
      <c r="AQ484" s="26" t="str">
        <f>IFERROR(INDEX('BD(MSCI)'!W:W,MATCH(Tabla_Consulta_desde_Reporte_de_Valorización_de_Instrumentos[[#This Row],[CODIGO_ISIN]],'BD(MSCI)'!C:C,0)),IF(Tabla_Consulta_desde_Reporte_de_Valorización_de_Instrumentos[[#This Row],[Rank_rt]]="Cash","Cash","Cuestionario Integra"))</f>
        <v>Cash</v>
      </c>
      <c r="AR484" s="26" t="str">
        <f>IFERROR(INDEX('BD(MSCI)'!X:X,MATCH(Tabla_Consulta_desde_Reporte_de_Valorización_de_Instrumentos[[#This Row],[CODIGO_ISIN]],'BD(MSCI)'!C:C,0)),"Cuestionario Integra")</f>
        <v>Cuestionario Integra</v>
      </c>
      <c r="AU484" s="26"/>
    </row>
    <row r="485" spans="2:47" hidden="1" x14ac:dyDescent="0.25">
      <c r="B485" s="14" t="s">
        <v>6390</v>
      </c>
      <c r="C485" t="s">
        <v>833</v>
      </c>
      <c r="D485" t="s">
        <v>9</v>
      </c>
      <c r="E485" t="s">
        <v>834</v>
      </c>
      <c r="F485" t="s">
        <v>6452</v>
      </c>
      <c r="G485" t="e">
        <f>INDEX(Parametria!H:H,MATCH(Tabla_Consulta_desde_Reporte_de_Valorización_de_Instrumentos[[#This Row],[CODIGO_SBS]],Parametria!C:C,0),1)</f>
        <v>#N/A</v>
      </c>
      <c r="H485" t="s">
        <v>90</v>
      </c>
      <c r="I485" t="s">
        <v>835</v>
      </c>
      <c r="J485" t="s">
        <v>245</v>
      </c>
      <c r="K485" t="s">
        <v>90</v>
      </c>
      <c r="L485">
        <v>1</v>
      </c>
      <c r="M485" s="5">
        <v>81510323.360499993</v>
      </c>
      <c r="N485">
        <v>81510323.360499993</v>
      </c>
      <c r="O485">
        <v>0</v>
      </c>
      <c r="P485" s="15">
        <v>46027</v>
      </c>
      <c r="Q485">
        <v>5</v>
      </c>
      <c r="R485">
        <v>1</v>
      </c>
      <c r="S485" t="s">
        <v>155</v>
      </c>
      <c r="T485">
        <v>81500000</v>
      </c>
      <c r="U485" s="5">
        <v>81500000</v>
      </c>
      <c r="V485" t="s">
        <v>192</v>
      </c>
      <c r="W485">
        <v>4565854000</v>
      </c>
      <c r="X485">
        <v>3638173000</v>
      </c>
      <c r="Y485">
        <v>927681000</v>
      </c>
      <c r="Z485">
        <v>0</v>
      </c>
      <c r="AA485" t="str">
        <f>+MID(Tabla_Consulta_desde_Reporte_de_Valorización_de_Instrumentos[[#This Row],[CODIGO_SBS]],7,1)</f>
        <v>1</v>
      </c>
      <c r="AB485">
        <f>INDEX('Cálculo Caja'!F:F,MATCH(Tabla_Consulta_desde_Reporte_de_Valorización_de_Instrumentos[[#This Row],[PORTAFOLIO]],'Cálculo Caja'!A:A,0),1)</f>
        <v>2847839359.3764262</v>
      </c>
      <c r="AC485" s="17">
        <f>Tabla_Consulta_desde_Reporte_de_Valorización_de_Instrumentos[[#This Row],[VALOR_VECTOR_LOCAL]]/Tabla_Consulta_desde_Reporte_de_Valorización_de_Instrumentos[[#This Row],[Patrimonio]]</f>
        <v>2.8621812214277356E-2</v>
      </c>
      <c r="AD485" s="4">
        <f>(Tabla_Consulta_desde_Reporte_de_Valorización_de_Instrumentos[[#This Row],[VALOR_VECTOR_LOCAL]]/INDEX('Tipo de Cambio'!$D:$D,MATCH("2",'Tipo de Cambio'!$E:$E,0),1))/1000000</f>
        <v>24.252528596655655</v>
      </c>
      <c r="AE485">
        <f>IF(Tabla_Consulta_desde_Reporte_de_Valorización_de_Instrumentos[[#This Row],[PORTAFOLIO]]="IN-FONDO0",Tabla_Consulta_desde_Reporte_de_Valorización_de_Instrumentos[[#This Row],[Inv MM$]],0)</f>
        <v>24.252528596655655</v>
      </c>
      <c r="AF485" s="26">
        <f>IF(Tabla_Consulta_desde_Reporte_de_Valorización_de_Instrumentos[[#This Row],[PORTAFOLIO]]="IN-FONDO1",Tabla_Consulta_desde_Reporte_de_Valorización_de_Instrumentos[[#This Row],[Inv MM$]],0)</f>
        <v>0</v>
      </c>
      <c r="AG485" s="26">
        <f>IF(Tabla_Consulta_desde_Reporte_de_Valorización_de_Instrumentos[[#This Row],[PORTAFOLIO]]="IN-FONDO2",Tabla_Consulta_desde_Reporte_de_Valorización_de_Instrumentos[[#This Row],[Inv MM$]],0)</f>
        <v>0</v>
      </c>
      <c r="AH485" s="26">
        <f>IF(Tabla_Consulta_desde_Reporte_de_Valorización_de_Instrumentos[[#This Row],[PORTAFOLIO]]="IN-FONDO3",Tabla_Consulta_desde_Reporte_de_Valorización_de_Instrumentos[[#This Row],[Inv MM$]],0)</f>
        <v>0</v>
      </c>
      <c r="AI48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5" s="26">
        <f>IFERROR(IFERROR(INDEX('BD(MSCI)'!$T:$T,MATCH(Tabla_Consulta_desde_Reporte_de_Valorización_de_Instrumentos[[#This Row],[CODIGO_ISIN]],'BD(MSCI)'!$C:$C,0),1),INDEX('BD(MSCI)'!$T:$T,MATCH(Tabla_Consulta_desde_Reporte_de_Valorización_de_Instrumentos[[#This Row],[CODIGO_SBS]],'BD(MSCI)'!$C:$C,0),1)),0)</f>
        <v>0</v>
      </c>
      <c r="AK485" s="26">
        <f>Tabla_Consulta_desde_Reporte_de_Valorización_de_Instrumentos[[#This Row],[C02-H]]*Tabla_Consulta_desde_Reporte_de_Valorización_de_Instrumentos[[#This Row],[Inv MM$]]</f>
        <v>0</v>
      </c>
      <c r="AL485" s="26">
        <f>Tabla_Consulta_desde_Reporte_de_Valorización_de_Instrumentos[[#This Row],[C02-H]]*Tabla_Consulta_desde_Reporte_de_Valorización_de_Instrumentos[[#This Row],[Weight]]</f>
        <v>0</v>
      </c>
      <c r="AM485" s="26" t="e">
        <f>INDEX(Parametria!G:G,MATCH(Tabla_Consulta_desde_Reporte_de_Valorización_de_Instrumentos[[#This Row],[CODIGO_SBS]],Parametria!C:C,0))</f>
        <v>#N/A</v>
      </c>
      <c r="AN485" s="26" t="e">
        <f>INDEX(Parametria!F:F,MATCH(Tabla_Consulta_desde_Reporte_de_Valorización_de_Instrumentos[[#This Row],[CODIGO_SBS]],Parametria!C:C,0))</f>
        <v>#N/A</v>
      </c>
      <c r="AO485" s="26" t="e">
        <f>+INDEX(Parametria!J:J,MATCH(Tabla_Consulta_desde_Reporte_de_Valorización_de_Instrumentos[[#This Row],[CODIGO_SBS]],Parametria!C:C,0))</f>
        <v>#N/A</v>
      </c>
      <c r="AP485" s="26">
        <f>Tabla_Consulta_desde_Reporte_de_Valorización_de_Instrumentos[[#This Row],[Huella]]/$AU$4</f>
        <v>0</v>
      </c>
      <c r="AQ485" s="26" t="e">
        <f>IFERROR(INDEX('BD(MSCI)'!W:W,MATCH(Tabla_Consulta_desde_Reporte_de_Valorización_de_Instrumentos[[#This Row],[CODIGO_ISIN]],'BD(MSCI)'!C:C,0)),IF(Tabla_Consulta_desde_Reporte_de_Valorización_de_Instrumentos[[#This Row],[Rank_rt]]="Cash","Cash","Cuestionario Integra"))</f>
        <v>#N/A</v>
      </c>
      <c r="AR485" s="26" t="str">
        <f>IFERROR(INDEX('BD(MSCI)'!X:X,MATCH(Tabla_Consulta_desde_Reporte_de_Valorización_de_Instrumentos[[#This Row],[CODIGO_ISIN]],'BD(MSCI)'!C:C,0)),"Cuestionario Integra")</f>
        <v>Cuestionario Integra</v>
      </c>
      <c r="AU485" s="26"/>
    </row>
    <row r="486" spans="2:47" hidden="1" x14ac:dyDescent="0.25">
      <c r="B486" s="14" t="s">
        <v>6390</v>
      </c>
      <c r="C486" t="s">
        <v>833</v>
      </c>
      <c r="D486" t="s">
        <v>9</v>
      </c>
      <c r="E486" t="s">
        <v>834</v>
      </c>
      <c r="F486" t="s">
        <v>6453</v>
      </c>
      <c r="G486" t="e">
        <f>INDEX(Parametria!H:H,MATCH(Tabla_Consulta_desde_Reporte_de_Valorización_de_Instrumentos[[#This Row],[CODIGO_SBS]],Parametria!C:C,0),1)</f>
        <v>#N/A</v>
      </c>
      <c r="H486" t="s">
        <v>90</v>
      </c>
      <c r="I486" t="s">
        <v>835</v>
      </c>
      <c r="J486" t="s">
        <v>245</v>
      </c>
      <c r="K486" t="s">
        <v>90</v>
      </c>
      <c r="L486">
        <v>1</v>
      </c>
      <c r="M486" s="5">
        <v>25006194.449999999</v>
      </c>
      <c r="N486">
        <v>25006194.449999999</v>
      </c>
      <c r="O486">
        <v>0</v>
      </c>
      <c r="P486" s="15">
        <v>46379</v>
      </c>
      <c r="Q486">
        <v>357</v>
      </c>
      <c r="R486">
        <v>1</v>
      </c>
      <c r="S486" t="s">
        <v>155</v>
      </c>
      <c r="T486">
        <v>25003097.225000001</v>
      </c>
      <c r="U486" s="5">
        <v>25003097.225000001</v>
      </c>
      <c r="V486" t="s">
        <v>192</v>
      </c>
      <c r="W486">
        <v>4565854000</v>
      </c>
      <c r="X486">
        <v>3638173000</v>
      </c>
      <c r="Y486">
        <v>927681000</v>
      </c>
      <c r="Z486">
        <v>0</v>
      </c>
      <c r="AA486" t="str">
        <f>+MID(Tabla_Consulta_desde_Reporte_de_Valorización_de_Instrumentos[[#This Row],[CODIGO_SBS]],7,1)</f>
        <v>1</v>
      </c>
      <c r="AB486">
        <f>INDEX('Cálculo Caja'!F:F,MATCH(Tabla_Consulta_desde_Reporte_de_Valorización_de_Instrumentos[[#This Row],[PORTAFOLIO]],'Cálculo Caja'!A:A,0),1)</f>
        <v>2847839359.3764262</v>
      </c>
      <c r="AC486" s="17">
        <f>Tabla_Consulta_desde_Reporte_de_Valorización_de_Instrumentos[[#This Row],[VALOR_VECTOR_LOCAL]]/Tabla_Consulta_desde_Reporte_de_Valorización_de_Instrumentos[[#This Row],[Patrimonio]]</f>
        <v>8.7807601814575142E-3</v>
      </c>
      <c r="AD486" s="4">
        <f>(Tabla_Consulta_desde_Reporte_de_Valorización_de_Instrumentos[[#This Row],[VALOR_VECTOR_LOCAL]]/INDEX('Tipo de Cambio'!$D:$D,MATCH("2",'Tipo de Cambio'!$E:$E,0),1))/1000000</f>
        <v>7.4403268320985445</v>
      </c>
      <c r="AE486">
        <f>IF(Tabla_Consulta_desde_Reporte_de_Valorización_de_Instrumentos[[#This Row],[PORTAFOLIO]]="IN-FONDO0",Tabla_Consulta_desde_Reporte_de_Valorización_de_Instrumentos[[#This Row],[Inv MM$]],0)</f>
        <v>7.4403268320985445</v>
      </c>
      <c r="AF486" s="26">
        <f>IF(Tabla_Consulta_desde_Reporte_de_Valorización_de_Instrumentos[[#This Row],[PORTAFOLIO]]="IN-FONDO1",Tabla_Consulta_desde_Reporte_de_Valorización_de_Instrumentos[[#This Row],[Inv MM$]],0)</f>
        <v>0</v>
      </c>
      <c r="AG486" s="26">
        <f>IF(Tabla_Consulta_desde_Reporte_de_Valorización_de_Instrumentos[[#This Row],[PORTAFOLIO]]="IN-FONDO2",Tabla_Consulta_desde_Reporte_de_Valorización_de_Instrumentos[[#This Row],[Inv MM$]],0)</f>
        <v>0</v>
      </c>
      <c r="AH486" s="26">
        <f>IF(Tabla_Consulta_desde_Reporte_de_Valorización_de_Instrumentos[[#This Row],[PORTAFOLIO]]="IN-FONDO3",Tabla_Consulta_desde_Reporte_de_Valorización_de_Instrumentos[[#This Row],[Inv MM$]],0)</f>
        <v>0</v>
      </c>
      <c r="AI48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6" s="26">
        <f>IFERROR(IFERROR(INDEX('BD(MSCI)'!$T:$T,MATCH(Tabla_Consulta_desde_Reporte_de_Valorización_de_Instrumentos[[#This Row],[CODIGO_ISIN]],'BD(MSCI)'!$C:$C,0),1),INDEX('BD(MSCI)'!$T:$T,MATCH(Tabla_Consulta_desde_Reporte_de_Valorización_de_Instrumentos[[#This Row],[CODIGO_SBS]],'BD(MSCI)'!$C:$C,0),1)),0)</f>
        <v>0</v>
      </c>
      <c r="AK486" s="26">
        <f>Tabla_Consulta_desde_Reporte_de_Valorización_de_Instrumentos[[#This Row],[C02-H]]*Tabla_Consulta_desde_Reporte_de_Valorización_de_Instrumentos[[#This Row],[Inv MM$]]</f>
        <v>0</v>
      </c>
      <c r="AL486" s="26">
        <f>Tabla_Consulta_desde_Reporte_de_Valorización_de_Instrumentos[[#This Row],[C02-H]]*Tabla_Consulta_desde_Reporte_de_Valorización_de_Instrumentos[[#This Row],[Weight]]</f>
        <v>0</v>
      </c>
      <c r="AM486" s="26" t="e">
        <f>INDEX(Parametria!G:G,MATCH(Tabla_Consulta_desde_Reporte_de_Valorización_de_Instrumentos[[#This Row],[CODIGO_SBS]],Parametria!C:C,0))</f>
        <v>#N/A</v>
      </c>
      <c r="AN486" s="26" t="e">
        <f>INDEX(Parametria!F:F,MATCH(Tabla_Consulta_desde_Reporte_de_Valorización_de_Instrumentos[[#This Row],[CODIGO_SBS]],Parametria!C:C,0))</f>
        <v>#N/A</v>
      </c>
      <c r="AO486" s="26" t="e">
        <f>+INDEX(Parametria!J:J,MATCH(Tabla_Consulta_desde_Reporte_de_Valorización_de_Instrumentos[[#This Row],[CODIGO_SBS]],Parametria!C:C,0))</f>
        <v>#N/A</v>
      </c>
      <c r="AP486" s="26">
        <f>Tabla_Consulta_desde_Reporte_de_Valorización_de_Instrumentos[[#This Row],[Huella]]/$AU$4</f>
        <v>0</v>
      </c>
      <c r="AQ486" s="26" t="e">
        <f>IFERROR(INDEX('BD(MSCI)'!W:W,MATCH(Tabla_Consulta_desde_Reporte_de_Valorización_de_Instrumentos[[#This Row],[CODIGO_ISIN]],'BD(MSCI)'!C:C,0)),IF(Tabla_Consulta_desde_Reporte_de_Valorización_de_Instrumentos[[#This Row],[Rank_rt]]="Cash","Cash","Cuestionario Integra"))</f>
        <v>#N/A</v>
      </c>
      <c r="AR486" s="26" t="str">
        <f>IFERROR(INDEX('BD(MSCI)'!X:X,MATCH(Tabla_Consulta_desde_Reporte_de_Valorización_de_Instrumentos[[#This Row],[CODIGO_ISIN]],'BD(MSCI)'!C:C,0)),"Cuestionario Integra")</f>
        <v>Cuestionario Integra</v>
      </c>
      <c r="AU486" s="26"/>
    </row>
    <row r="487" spans="2:47" hidden="1" x14ac:dyDescent="0.25">
      <c r="B487" s="14" t="s">
        <v>6390</v>
      </c>
      <c r="C487" t="s">
        <v>833</v>
      </c>
      <c r="D487" t="s">
        <v>9</v>
      </c>
      <c r="E487" t="s">
        <v>834</v>
      </c>
      <c r="F487" t="s">
        <v>6454</v>
      </c>
      <c r="G487" t="e">
        <f>INDEX(Parametria!H:H,MATCH(Tabla_Consulta_desde_Reporte_de_Valorización_de_Instrumentos[[#This Row],[CODIGO_SBS]],Parametria!C:C,0),1)</f>
        <v>#N/A</v>
      </c>
      <c r="H487" t="s">
        <v>90</v>
      </c>
      <c r="I487" t="s">
        <v>835</v>
      </c>
      <c r="J487" t="s">
        <v>245</v>
      </c>
      <c r="K487" t="s">
        <v>90</v>
      </c>
      <c r="L487">
        <v>1</v>
      </c>
      <c r="M487" s="5">
        <v>25006194.449999999</v>
      </c>
      <c r="N487">
        <v>25006194.449999999</v>
      </c>
      <c r="O487">
        <v>0</v>
      </c>
      <c r="P487" s="15">
        <v>46377</v>
      </c>
      <c r="Q487">
        <v>355</v>
      </c>
      <c r="R487">
        <v>1</v>
      </c>
      <c r="S487" t="s">
        <v>155</v>
      </c>
      <c r="T487">
        <v>25003097.225000001</v>
      </c>
      <c r="U487" s="5">
        <v>25003097.225000001</v>
      </c>
      <c r="V487" t="s">
        <v>192</v>
      </c>
      <c r="W487">
        <v>4565854000</v>
      </c>
      <c r="X487">
        <v>3638173000</v>
      </c>
      <c r="Y487">
        <v>927681000</v>
      </c>
      <c r="Z487">
        <v>0</v>
      </c>
      <c r="AA487" t="str">
        <f>+MID(Tabla_Consulta_desde_Reporte_de_Valorización_de_Instrumentos[[#This Row],[CODIGO_SBS]],7,1)</f>
        <v>1</v>
      </c>
      <c r="AB487">
        <f>INDEX('Cálculo Caja'!F:F,MATCH(Tabla_Consulta_desde_Reporte_de_Valorización_de_Instrumentos[[#This Row],[PORTAFOLIO]],'Cálculo Caja'!A:A,0),1)</f>
        <v>2847839359.3764262</v>
      </c>
      <c r="AC487" s="17">
        <f>Tabla_Consulta_desde_Reporte_de_Valorización_de_Instrumentos[[#This Row],[VALOR_VECTOR_LOCAL]]/Tabla_Consulta_desde_Reporte_de_Valorización_de_Instrumentos[[#This Row],[Patrimonio]]</f>
        <v>8.7807601814575142E-3</v>
      </c>
      <c r="AD487" s="4">
        <f>(Tabla_Consulta_desde_Reporte_de_Valorización_de_Instrumentos[[#This Row],[VALOR_VECTOR_LOCAL]]/INDEX('Tipo de Cambio'!$D:$D,MATCH("2",'Tipo de Cambio'!$E:$E,0),1))/1000000</f>
        <v>7.4403268320985445</v>
      </c>
      <c r="AE487">
        <f>IF(Tabla_Consulta_desde_Reporte_de_Valorización_de_Instrumentos[[#This Row],[PORTAFOLIO]]="IN-FONDO0",Tabla_Consulta_desde_Reporte_de_Valorización_de_Instrumentos[[#This Row],[Inv MM$]],0)</f>
        <v>7.4403268320985445</v>
      </c>
      <c r="AF487" s="26">
        <f>IF(Tabla_Consulta_desde_Reporte_de_Valorización_de_Instrumentos[[#This Row],[PORTAFOLIO]]="IN-FONDO1",Tabla_Consulta_desde_Reporte_de_Valorización_de_Instrumentos[[#This Row],[Inv MM$]],0)</f>
        <v>0</v>
      </c>
      <c r="AG487" s="26">
        <f>IF(Tabla_Consulta_desde_Reporte_de_Valorización_de_Instrumentos[[#This Row],[PORTAFOLIO]]="IN-FONDO2",Tabla_Consulta_desde_Reporte_de_Valorización_de_Instrumentos[[#This Row],[Inv MM$]],0)</f>
        <v>0</v>
      </c>
      <c r="AH487" s="26">
        <f>IF(Tabla_Consulta_desde_Reporte_de_Valorización_de_Instrumentos[[#This Row],[PORTAFOLIO]]="IN-FONDO3",Tabla_Consulta_desde_Reporte_de_Valorización_de_Instrumentos[[#This Row],[Inv MM$]],0)</f>
        <v>0</v>
      </c>
      <c r="AI48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7" s="26">
        <f>IFERROR(IFERROR(INDEX('BD(MSCI)'!$T:$T,MATCH(Tabla_Consulta_desde_Reporte_de_Valorización_de_Instrumentos[[#This Row],[CODIGO_ISIN]],'BD(MSCI)'!$C:$C,0),1),INDEX('BD(MSCI)'!$T:$T,MATCH(Tabla_Consulta_desde_Reporte_de_Valorización_de_Instrumentos[[#This Row],[CODIGO_SBS]],'BD(MSCI)'!$C:$C,0),1)),0)</f>
        <v>0</v>
      </c>
      <c r="AK487" s="26">
        <f>Tabla_Consulta_desde_Reporte_de_Valorización_de_Instrumentos[[#This Row],[C02-H]]*Tabla_Consulta_desde_Reporte_de_Valorización_de_Instrumentos[[#This Row],[Inv MM$]]</f>
        <v>0</v>
      </c>
      <c r="AL487" s="26">
        <f>Tabla_Consulta_desde_Reporte_de_Valorización_de_Instrumentos[[#This Row],[C02-H]]*Tabla_Consulta_desde_Reporte_de_Valorización_de_Instrumentos[[#This Row],[Weight]]</f>
        <v>0</v>
      </c>
      <c r="AM487" s="26" t="e">
        <f>INDEX(Parametria!G:G,MATCH(Tabla_Consulta_desde_Reporte_de_Valorización_de_Instrumentos[[#This Row],[CODIGO_SBS]],Parametria!C:C,0))</f>
        <v>#N/A</v>
      </c>
      <c r="AN487" s="26" t="e">
        <f>INDEX(Parametria!F:F,MATCH(Tabla_Consulta_desde_Reporte_de_Valorización_de_Instrumentos[[#This Row],[CODIGO_SBS]],Parametria!C:C,0))</f>
        <v>#N/A</v>
      </c>
      <c r="AO487" s="26" t="e">
        <f>+INDEX(Parametria!J:J,MATCH(Tabla_Consulta_desde_Reporte_de_Valorización_de_Instrumentos[[#This Row],[CODIGO_SBS]],Parametria!C:C,0))</f>
        <v>#N/A</v>
      </c>
      <c r="AP487" s="26">
        <f>Tabla_Consulta_desde_Reporte_de_Valorización_de_Instrumentos[[#This Row],[Huella]]/$AU$4</f>
        <v>0</v>
      </c>
      <c r="AQ487" s="26" t="e">
        <f>IFERROR(INDEX('BD(MSCI)'!W:W,MATCH(Tabla_Consulta_desde_Reporte_de_Valorización_de_Instrumentos[[#This Row],[CODIGO_ISIN]],'BD(MSCI)'!C:C,0)),IF(Tabla_Consulta_desde_Reporte_de_Valorización_de_Instrumentos[[#This Row],[Rank_rt]]="Cash","Cash","Cuestionario Integra"))</f>
        <v>#N/A</v>
      </c>
      <c r="AR487" s="26" t="str">
        <f>IFERROR(INDEX('BD(MSCI)'!X:X,MATCH(Tabla_Consulta_desde_Reporte_de_Valorización_de_Instrumentos[[#This Row],[CODIGO_ISIN]],'BD(MSCI)'!C:C,0)),"Cuestionario Integra")</f>
        <v>Cuestionario Integra</v>
      </c>
      <c r="AU487" s="26"/>
    </row>
    <row r="488" spans="2:47" hidden="1" x14ac:dyDescent="0.25">
      <c r="B488" s="14" t="s">
        <v>6390</v>
      </c>
      <c r="C488" t="s">
        <v>833</v>
      </c>
      <c r="D488" t="s">
        <v>9</v>
      </c>
      <c r="E488" t="s">
        <v>834</v>
      </c>
      <c r="F488" t="s">
        <v>6455</v>
      </c>
      <c r="G488" t="e">
        <f>INDEX(Parametria!H:H,MATCH(Tabla_Consulta_desde_Reporte_de_Valorización_de_Instrumentos[[#This Row],[CODIGO_SBS]],Parametria!C:C,0),1)</f>
        <v>#N/A</v>
      </c>
      <c r="H488" t="s">
        <v>90</v>
      </c>
      <c r="I488" t="s">
        <v>835</v>
      </c>
      <c r="J488" t="s">
        <v>246</v>
      </c>
      <c r="K488" t="s">
        <v>90</v>
      </c>
      <c r="L488">
        <v>1</v>
      </c>
      <c r="M488" s="5">
        <v>10023802.82</v>
      </c>
      <c r="N488">
        <v>10023802.82</v>
      </c>
      <c r="O488">
        <v>0</v>
      </c>
      <c r="P488" s="15">
        <v>46350</v>
      </c>
      <c r="Q488">
        <v>328</v>
      </c>
      <c r="R488">
        <v>1</v>
      </c>
      <c r="S488" t="s">
        <v>155</v>
      </c>
      <c r="T488">
        <v>10022550.039999999</v>
      </c>
      <c r="U488" s="5">
        <v>10022550.039999999</v>
      </c>
      <c r="V488" t="s">
        <v>192</v>
      </c>
      <c r="W488">
        <v>4565854000</v>
      </c>
      <c r="X488">
        <v>3638173000</v>
      </c>
      <c r="Y488">
        <v>927681000</v>
      </c>
      <c r="Z488">
        <v>0</v>
      </c>
      <c r="AA488" t="str">
        <f>+MID(Tabla_Consulta_desde_Reporte_de_Valorización_de_Instrumentos[[#This Row],[CODIGO_SBS]],7,1)</f>
        <v>1</v>
      </c>
      <c r="AB488">
        <f>INDEX('Cálculo Caja'!F:F,MATCH(Tabla_Consulta_desde_Reporte_de_Valorización_de_Instrumentos[[#This Row],[PORTAFOLIO]],'Cálculo Caja'!A:A,0),1)</f>
        <v>2847839359.3764262</v>
      </c>
      <c r="AC488" s="17">
        <f>Tabla_Consulta_desde_Reporte_de_Valorización_de_Instrumentos[[#This Row],[VALOR_VECTOR_LOCAL]]/Tabla_Consulta_desde_Reporte_de_Valorización_de_Instrumentos[[#This Row],[Patrimonio]]</f>
        <v>3.5197922196688967E-3</v>
      </c>
      <c r="AD488" s="4">
        <f>(Tabla_Consulta_desde_Reporte_de_Valorización_de_Instrumentos[[#This Row],[VALOR_VECTOR_LOCAL]]/INDEX('Tipo de Cambio'!$D:$D,MATCH("2",'Tipo de Cambio'!$E:$E,0),1))/1000000</f>
        <v>2.9824757713707637</v>
      </c>
      <c r="AE488">
        <f>IF(Tabla_Consulta_desde_Reporte_de_Valorización_de_Instrumentos[[#This Row],[PORTAFOLIO]]="IN-FONDO0",Tabla_Consulta_desde_Reporte_de_Valorización_de_Instrumentos[[#This Row],[Inv MM$]],0)</f>
        <v>2.9824757713707637</v>
      </c>
      <c r="AF488" s="26">
        <f>IF(Tabla_Consulta_desde_Reporte_de_Valorización_de_Instrumentos[[#This Row],[PORTAFOLIO]]="IN-FONDO1",Tabla_Consulta_desde_Reporte_de_Valorización_de_Instrumentos[[#This Row],[Inv MM$]],0)</f>
        <v>0</v>
      </c>
      <c r="AG488" s="26">
        <f>IF(Tabla_Consulta_desde_Reporte_de_Valorización_de_Instrumentos[[#This Row],[PORTAFOLIO]]="IN-FONDO2",Tabla_Consulta_desde_Reporte_de_Valorización_de_Instrumentos[[#This Row],[Inv MM$]],0)</f>
        <v>0</v>
      </c>
      <c r="AH488" s="26">
        <f>IF(Tabla_Consulta_desde_Reporte_de_Valorización_de_Instrumentos[[#This Row],[PORTAFOLIO]]="IN-FONDO3",Tabla_Consulta_desde_Reporte_de_Valorización_de_Instrumentos[[#This Row],[Inv MM$]],0)</f>
        <v>0</v>
      </c>
      <c r="AI48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8" s="26">
        <f>IFERROR(IFERROR(INDEX('BD(MSCI)'!$T:$T,MATCH(Tabla_Consulta_desde_Reporte_de_Valorización_de_Instrumentos[[#This Row],[CODIGO_ISIN]],'BD(MSCI)'!$C:$C,0),1),INDEX('BD(MSCI)'!$T:$T,MATCH(Tabla_Consulta_desde_Reporte_de_Valorización_de_Instrumentos[[#This Row],[CODIGO_SBS]],'BD(MSCI)'!$C:$C,0),1)),0)</f>
        <v>0</v>
      </c>
      <c r="AK488" s="26">
        <f>Tabla_Consulta_desde_Reporte_de_Valorización_de_Instrumentos[[#This Row],[C02-H]]*Tabla_Consulta_desde_Reporte_de_Valorización_de_Instrumentos[[#This Row],[Inv MM$]]</f>
        <v>0</v>
      </c>
      <c r="AL488" s="26">
        <f>Tabla_Consulta_desde_Reporte_de_Valorización_de_Instrumentos[[#This Row],[C02-H]]*Tabla_Consulta_desde_Reporte_de_Valorización_de_Instrumentos[[#This Row],[Weight]]</f>
        <v>0</v>
      </c>
      <c r="AM488" s="26" t="e">
        <f>INDEX(Parametria!G:G,MATCH(Tabla_Consulta_desde_Reporte_de_Valorización_de_Instrumentos[[#This Row],[CODIGO_SBS]],Parametria!C:C,0))</f>
        <v>#N/A</v>
      </c>
      <c r="AN488" s="26" t="e">
        <f>INDEX(Parametria!F:F,MATCH(Tabla_Consulta_desde_Reporte_de_Valorización_de_Instrumentos[[#This Row],[CODIGO_SBS]],Parametria!C:C,0))</f>
        <v>#N/A</v>
      </c>
      <c r="AO488" s="26" t="e">
        <f>+INDEX(Parametria!J:J,MATCH(Tabla_Consulta_desde_Reporte_de_Valorización_de_Instrumentos[[#This Row],[CODIGO_SBS]],Parametria!C:C,0))</f>
        <v>#N/A</v>
      </c>
      <c r="AP488" s="26">
        <f>Tabla_Consulta_desde_Reporte_de_Valorización_de_Instrumentos[[#This Row],[Huella]]/$AU$4</f>
        <v>0</v>
      </c>
      <c r="AQ488" s="26" t="e">
        <f>IFERROR(INDEX('BD(MSCI)'!W:W,MATCH(Tabla_Consulta_desde_Reporte_de_Valorización_de_Instrumentos[[#This Row],[CODIGO_ISIN]],'BD(MSCI)'!C:C,0)),IF(Tabla_Consulta_desde_Reporte_de_Valorización_de_Instrumentos[[#This Row],[Rank_rt]]="Cash","Cash","Cuestionario Integra"))</f>
        <v>#N/A</v>
      </c>
      <c r="AR488" s="26" t="str">
        <f>IFERROR(INDEX('BD(MSCI)'!X:X,MATCH(Tabla_Consulta_desde_Reporte_de_Valorización_de_Instrumentos[[#This Row],[CODIGO_ISIN]],'BD(MSCI)'!C:C,0)),"Cuestionario Integra")</f>
        <v>Cuestionario Integra</v>
      </c>
      <c r="AU488" s="26"/>
    </row>
    <row r="489" spans="2:47" hidden="1" x14ac:dyDescent="0.25">
      <c r="B489" s="14" t="s">
        <v>6390</v>
      </c>
      <c r="C489" t="s">
        <v>833</v>
      </c>
      <c r="D489" t="s">
        <v>9</v>
      </c>
      <c r="E489" t="s">
        <v>834</v>
      </c>
      <c r="F489" t="s">
        <v>6456</v>
      </c>
      <c r="G489" t="e">
        <f>INDEX(Parametria!H:H,MATCH(Tabla_Consulta_desde_Reporte_de_Valorización_de_Instrumentos[[#This Row],[CODIGO_SBS]],Parametria!C:C,0),1)</f>
        <v>#N/A</v>
      </c>
      <c r="H489" t="s">
        <v>90</v>
      </c>
      <c r="I489" t="s">
        <v>835</v>
      </c>
      <c r="J489" t="s">
        <v>246</v>
      </c>
      <c r="K489" t="s">
        <v>90</v>
      </c>
      <c r="L489">
        <v>1</v>
      </c>
      <c r="M489" s="5">
        <v>10023802.82</v>
      </c>
      <c r="N489">
        <v>10023802.82</v>
      </c>
      <c r="O489">
        <v>0</v>
      </c>
      <c r="P489" s="15">
        <v>46343</v>
      </c>
      <c r="Q489">
        <v>321</v>
      </c>
      <c r="R489">
        <v>1</v>
      </c>
      <c r="S489" t="s">
        <v>155</v>
      </c>
      <c r="T489">
        <v>10022550.039999999</v>
      </c>
      <c r="U489" s="5">
        <v>10022550.039999999</v>
      </c>
      <c r="V489" t="s">
        <v>192</v>
      </c>
      <c r="W489">
        <v>4565854000</v>
      </c>
      <c r="X489">
        <v>3638173000</v>
      </c>
      <c r="Y489">
        <v>927681000</v>
      </c>
      <c r="Z489">
        <v>0</v>
      </c>
      <c r="AA489" t="str">
        <f>+MID(Tabla_Consulta_desde_Reporte_de_Valorización_de_Instrumentos[[#This Row],[CODIGO_SBS]],7,1)</f>
        <v>1</v>
      </c>
      <c r="AB489">
        <f>INDEX('Cálculo Caja'!F:F,MATCH(Tabla_Consulta_desde_Reporte_de_Valorización_de_Instrumentos[[#This Row],[PORTAFOLIO]],'Cálculo Caja'!A:A,0),1)</f>
        <v>2847839359.3764262</v>
      </c>
      <c r="AC489" s="17">
        <f>Tabla_Consulta_desde_Reporte_de_Valorización_de_Instrumentos[[#This Row],[VALOR_VECTOR_LOCAL]]/Tabla_Consulta_desde_Reporte_de_Valorización_de_Instrumentos[[#This Row],[Patrimonio]]</f>
        <v>3.5197922196688967E-3</v>
      </c>
      <c r="AD489" s="4">
        <f>(Tabla_Consulta_desde_Reporte_de_Valorización_de_Instrumentos[[#This Row],[VALOR_VECTOR_LOCAL]]/INDEX('Tipo de Cambio'!$D:$D,MATCH("2",'Tipo de Cambio'!$E:$E,0),1))/1000000</f>
        <v>2.9824757713707637</v>
      </c>
      <c r="AE489">
        <f>IF(Tabla_Consulta_desde_Reporte_de_Valorización_de_Instrumentos[[#This Row],[PORTAFOLIO]]="IN-FONDO0",Tabla_Consulta_desde_Reporte_de_Valorización_de_Instrumentos[[#This Row],[Inv MM$]],0)</f>
        <v>2.9824757713707637</v>
      </c>
      <c r="AF489" s="26">
        <f>IF(Tabla_Consulta_desde_Reporte_de_Valorización_de_Instrumentos[[#This Row],[PORTAFOLIO]]="IN-FONDO1",Tabla_Consulta_desde_Reporte_de_Valorización_de_Instrumentos[[#This Row],[Inv MM$]],0)</f>
        <v>0</v>
      </c>
      <c r="AG489" s="26">
        <f>IF(Tabla_Consulta_desde_Reporte_de_Valorización_de_Instrumentos[[#This Row],[PORTAFOLIO]]="IN-FONDO2",Tabla_Consulta_desde_Reporte_de_Valorización_de_Instrumentos[[#This Row],[Inv MM$]],0)</f>
        <v>0</v>
      </c>
      <c r="AH489" s="26">
        <f>IF(Tabla_Consulta_desde_Reporte_de_Valorización_de_Instrumentos[[#This Row],[PORTAFOLIO]]="IN-FONDO3",Tabla_Consulta_desde_Reporte_de_Valorización_de_Instrumentos[[#This Row],[Inv MM$]],0)</f>
        <v>0</v>
      </c>
      <c r="AI48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9" s="26">
        <f>IFERROR(IFERROR(INDEX('BD(MSCI)'!$T:$T,MATCH(Tabla_Consulta_desde_Reporte_de_Valorización_de_Instrumentos[[#This Row],[CODIGO_ISIN]],'BD(MSCI)'!$C:$C,0),1),INDEX('BD(MSCI)'!$T:$T,MATCH(Tabla_Consulta_desde_Reporte_de_Valorización_de_Instrumentos[[#This Row],[CODIGO_SBS]],'BD(MSCI)'!$C:$C,0),1)),0)</f>
        <v>0</v>
      </c>
      <c r="AK489" s="26">
        <f>Tabla_Consulta_desde_Reporte_de_Valorización_de_Instrumentos[[#This Row],[C02-H]]*Tabla_Consulta_desde_Reporte_de_Valorización_de_Instrumentos[[#This Row],[Inv MM$]]</f>
        <v>0</v>
      </c>
      <c r="AL489" s="26">
        <f>Tabla_Consulta_desde_Reporte_de_Valorización_de_Instrumentos[[#This Row],[C02-H]]*Tabla_Consulta_desde_Reporte_de_Valorización_de_Instrumentos[[#This Row],[Weight]]</f>
        <v>0</v>
      </c>
      <c r="AM489" s="26" t="e">
        <f>INDEX(Parametria!G:G,MATCH(Tabla_Consulta_desde_Reporte_de_Valorización_de_Instrumentos[[#This Row],[CODIGO_SBS]],Parametria!C:C,0))</f>
        <v>#N/A</v>
      </c>
      <c r="AN489" s="26" t="e">
        <f>INDEX(Parametria!F:F,MATCH(Tabla_Consulta_desde_Reporte_de_Valorización_de_Instrumentos[[#This Row],[CODIGO_SBS]],Parametria!C:C,0))</f>
        <v>#N/A</v>
      </c>
      <c r="AO489" s="26" t="e">
        <f>+INDEX(Parametria!J:J,MATCH(Tabla_Consulta_desde_Reporte_de_Valorización_de_Instrumentos[[#This Row],[CODIGO_SBS]],Parametria!C:C,0))</f>
        <v>#N/A</v>
      </c>
      <c r="AP489" s="26">
        <f>Tabla_Consulta_desde_Reporte_de_Valorización_de_Instrumentos[[#This Row],[Huella]]/$AU$4</f>
        <v>0</v>
      </c>
      <c r="AQ489" s="26" t="e">
        <f>IFERROR(INDEX('BD(MSCI)'!W:W,MATCH(Tabla_Consulta_desde_Reporte_de_Valorización_de_Instrumentos[[#This Row],[CODIGO_ISIN]],'BD(MSCI)'!C:C,0)),IF(Tabla_Consulta_desde_Reporte_de_Valorización_de_Instrumentos[[#This Row],[Rank_rt]]="Cash","Cash","Cuestionario Integra"))</f>
        <v>#N/A</v>
      </c>
      <c r="AR489" s="26" t="str">
        <f>IFERROR(INDEX('BD(MSCI)'!X:X,MATCH(Tabla_Consulta_desde_Reporte_de_Valorización_de_Instrumentos[[#This Row],[CODIGO_ISIN]],'BD(MSCI)'!C:C,0)),"Cuestionario Integra")</f>
        <v>Cuestionario Integra</v>
      </c>
      <c r="AU489" s="26"/>
    </row>
    <row r="490" spans="2:47" hidden="1" x14ac:dyDescent="0.25">
      <c r="B490" s="14" t="s">
        <v>6390</v>
      </c>
      <c r="C490" t="s">
        <v>833</v>
      </c>
      <c r="D490" t="s">
        <v>9</v>
      </c>
      <c r="E490" t="s">
        <v>834</v>
      </c>
      <c r="F490" t="s">
        <v>6457</v>
      </c>
      <c r="G490" t="e">
        <f>INDEX(Parametria!H:H,MATCH(Tabla_Consulta_desde_Reporte_de_Valorización_de_Instrumentos[[#This Row],[CODIGO_SBS]],Parametria!C:C,0),1)</f>
        <v>#N/A</v>
      </c>
      <c r="H490" t="s">
        <v>90</v>
      </c>
      <c r="I490" t="s">
        <v>835</v>
      </c>
      <c r="J490" t="s">
        <v>246</v>
      </c>
      <c r="K490" t="s">
        <v>90</v>
      </c>
      <c r="L490">
        <v>1</v>
      </c>
      <c r="M490" s="5">
        <v>30071408.460000001</v>
      </c>
      <c r="N490">
        <v>30071408.460000001</v>
      </c>
      <c r="O490">
        <v>0</v>
      </c>
      <c r="P490" s="15">
        <v>46363</v>
      </c>
      <c r="Q490">
        <v>341</v>
      </c>
      <c r="R490">
        <v>1</v>
      </c>
      <c r="S490" t="s">
        <v>155</v>
      </c>
      <c r="T490">
        <v>30067650.120000001</v>
      </c>
      <c r="U490" s="5">
        <v>30067650.120000001</v>
      </c>
      <c r="V490" t="s">
        <v>192</v>
      </c>
      <c r="W490">
        <v>4565854000</v>
      </c>
      <c r="X490">
        <v>3638173000</v>
      </c>
      <c r="Y490">
        <v>927681000</v>
      </c>
      <c r="Z490">
        <v>0</v>
      </c>
      <c r="AA490" t="str">
        <f>+MID(Tabla_Consulta_desde_Reporte_de_Valorización_de_Instrumentos[[#This Row],[CODIGO_SBS]],7,1)</f>
        <v>1</v>
      </c>
      <c r="AB490">
        <f>INDEX('Cálculo Caja'!F:F,MATCH(Tabla_Consulta_desde_Reporte_de_Valorización_de_Instrumentos[[#This Row],[PORTAFOLIO]],'Cálculo Caja'!A:A,0),1)</f>
        <v>2847839359.3764262</v>
      </c>
      <c r="AC490" s="17">
        <f>Tabla_Consulta_desde_Reporte_de_Valorización_de_Instrumentos[[#This Row],[VALOR_VECTOR_LOCAL]]/Tabla_Consulta_desde_Reporte_de_Valorización_de_Instrumentos[[#This Row],[Patrimonio]]</f>
        <v>1.055937665900669E-2</v>
      </c>
      <c r="AD490" s="4">
        <f>(Tabla_Consulta_desde_Reporte_de_Valorización_de_Instrumentos[[#This Row],[VALOR_VECTOR_LOCAL]]/INDEX('Tipo de Cambio'!$D:$D,MATCH("2",'Tipo de Cambio'!$E:$E,0),1))/1000000</f>
        <v>8.9474273141122911</v>
      </c>
      <c r="AE490">
        <f>IF(Tabla_Consulta_desde_Reporte_de_Valorización_de_Instrumentos[[#This Row],[PORTAFOLIO]]="IN-FONDO0",Tabla_Consulta_desde_Reporte_de_Valorización_de_Instrumentos[[#This Row],[Inv MM$]],0)</f>
        <v>8.9474273141122911</v>
      </c>
      <c r="AF490" s="26">
        <f>IF(Tabla_Consulta_desde_Reporte_de_Valorización_de_Instrumentos[[#This Row],[PORTAFOLIO]]="IN-FONDO1",Tabla_Consulta_desde_Reporte_de_Valorización_de_Instrumentos[[#This Row],[Inv MM$]],0)</f>
        <v>0</v>
      </c>
      <c r="AG490" s="26">
        <f>IF(Tabla_Consulta_desde_Reporte_de_Valorización_de_Instrumentos[[#This Row],[PORTAFOLIO]]="IN-FONDO2",Tabla_Consulta_desde_Reporte_de_Valorización_de_Instrumentos[[#This Row],[Inv MM$]],0)</f>
        <v>0</v>
      </c>
      <c r="AH490" s="26">
        <f>IF(Tabla_Consulta_desde_Reporte_de_Valorización_de_Instrumentos[[#This Row],[PORTAFOLIO]]="IN-FONDO3",Tabla_Consulta_desde_Reporte_de_Valorización_de_Instrumentos[[#This Row],[Inv MM$]],0)</f>
        <v>0</v>
      </c>
      <c r="AI49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0" s="26">
        <f>IFERROR(IFERROR(INDEX('BD(MSCI)'!$T:$T,MATCH(Tabla_Consulta_desde_Reporte_de_Valorización_de_Instrumentos[[#This Row],[CODIGO_ISIN]],'BD(MSCI)'!$C:$C,0),1),INDEX('BD(MSCI)'!$T:$T,MATCH(Tabla_Consulta_desde_Reporte_de_Valorización_de_Instrumentos[[#This Row],[CODIGO_SBS]],'BD(MSCI)'!$C:$C,0),1)),0)</f>
        <v>0</v>
      </c>
      <c r="AK490" s="26">
        <f>Tabla_Consulta_desde_Reporte_de_Valorización_de_Instrumentos[[#This Row],[C02-H]]*Tabla_Consulta_desde_Reporte_de_Valorización_de_Instrumentos[[#This Row],[Inv MM$]]</f>
        <v>0</v>
      </c>
      <c r="AL490" s="26">
        <f>Tabla_Consulta_desde_Reporte_de_Valorización_de_Instrumentos[[#This Row],[C02-H]]*Tabla_Consulta_desde_Reporte_de_Valorización_de_Instrumentos[[#This Row],[Weight]]</f>
        <v>0</v>
      </c>
      <c r="AM490" s="26" t="e">
        <f>INDEX(Parametria!G:G,MATCH(Tabla_Consulta_desde_Reporte_de_Valorización_de_Instrumentos[[#This Row],[CODIGO_SBS]],Parametria!C:C,0))</f>
        <v>#N/A</v>
      </c>
      <c r="AN490" s="26" t="e">
        <f>INDEX(Parametria!F:F,MATCH(Tabla_Consulta_desde_Reporte_de_Valorización_de_Instrumentos[[#This Row],[CODIGO_SBS]],Parametria!C:C,0))</f>
        <v>#N/A</v>
      </c>
      <c r="AO490" s="26" t="e">
        <f>+INDEX(Parametria!J:J,MATCH(Tabla_Consulta_desde_Reporte_de_Valorización_de_Instrumentos[[#This Row],[CODIGO_SBS]],Parametria!C:C,0))</f>
        <v>#N/A</v>
      </c>
      <c r="AP490" s="26">
        <f>Tabla_Consulta_desde_Reporte_de_Valorización_de_Instrumentos[[#This Row],[Huella]]/$AU$4</f>
        <v>0</v>
      </c>
      <c r="AQ490" s="26" t="e">
        <f>IFERROR(INDEX('BD(MSCI)'!W:W,MATCH(Tabla_Consulta_desde_Reporte_de_Valorización_de_Instrumentos[[#This Row],[CODIGO_ISIN]],'BD(MSCI)'!C:C,0)),IF(Tabla_Consulta_desde_Reporte_de_Valorización_de_Instrumentos[[#This Row],[Rank_rt]]="Cash","Cash","Cuestionario Integra"))</f>
        <v>#N/A</v>
      </c>
      <c r="AR490" s="26" t="str">
        <f>IFERROR(INDEX('BD(MSCI)'!X:X,MATCH(Tabla_Consulta_desde_Reporte_de_Valorización_de_Instrumentos[[#This Row],[CODIGO_ISIN]],'BD(MSCI)'!C:C,0)),"Cuestionario Integra")</f>
        <v>Cuestionario Integra</v>
      </c>
      <c r="AU490" s="26"/>
    </row>
    <row r="491" spans="2:47" hidden="1" x14ac:dyDescent="0.25">
      <c r="B491" s="14" t="s">
        <v>6390</v>
      </c>
      <c r="C491" t="s">
        <v>833</v>
      </c>
      <c r="D491" t="s">
        <v>9</v>
      </c>
      <c r="E491" t="s">
        <v>834</v>
      </c>
      <c r="F491" t="s">
        <v>6458</v>
      </c>
      <c r="G491" t="e">
        <f>INDEX(Parametria!H:H,MATCH(Tabla_Consulta_desde_Reporte_de_Valorización_de_Instrumentos[[#This Row],[CODIGO_SBS]],Parametria!C:C,0),1)</f>
        <v>#N/A</v>
      </c>
      <c r="H491" t="s">
        <v>90</v>
      </c>
      <c r="I491" t="s">
        <v>835</v>
      </c>
      <c r="J491" t="s">
        <v>4860</v>
      </c>
      <c r="K491" t="s">
        <v>90</v>
      </c>
      <c r="L491">
        <v>1</v>
      </c>
      <c r="M491" s="5">
        <v>20040355.52</v>
      </c>
      <c r="N491">
        <v>20040355.52</v>
      </c>
      <c r="O491">
        <v>0</v>
      </c>
      <c r="P491" s="15">
        <v>46366</v>
      </c>
      <c r="Q491">
        <v>344</v>
      </c>
      <c r="R491">
        <v>1</v>
      </c>
      <c r="S491" t="s">
        <v>155</v>
      </c>
      <c r="T491">
        <v>20037833.300000001</v>
      </c>
      <c r="U491" s="5">
        <v>20037833.300000001</v>
      </c>
      <c r="V491" t="s">
        <v>192</v>
      </c>
      <c r="W491">
        <v>4565854000</v>
      </c>
      <c r="X491">
        <v>3638173000</v>
      </c>
      <c r="Y491">
        <v>927681000</v>
      </c>
      <c r="Z491">
        <v>0</v>
      </c>
      <c r="AA491" t="str">
        <f>+MID(Tabla_Consulta_desde_Reporte_de_Valorización_de_Instrumentos[[#This Row],[CODIGO_SBS]],7,1)</f>
        <v>1</v>
      </c>
      <c r="AB491">
        <f>INDEX('Cálculo Caja'!F:F,MATCH(Tabla_Consulta_desde_Reporte_de_Valorización_de_Instrumentos[[#This Row],[PORTAFOLIO]],'Cálculo Caja'!A:A,0),1)</f>
        <v>2847839359.3764262</v>
      </c>
      <c r="AC491" s="17">
        <f>Tabla_Consulta_desde_Reporte_de_Valorización_de_Instrumentos[[#This Row],[VALOR_VECTOR_LOCAL]]/Tabla_Consulta_desde_Reporte_de_Valorización_de_Instrumentos[[#This Row],[Patrimonio]]</f>
        <v>7.0370386075386329E-3</v>
      </c>
      <c r="AD491" s="4">
        <f>(Tabla_Consulta_desde_Reporte_de_Valorización_de_Instrumentos[[#This Row],[VALOR_VECTOR_LOCAL]]/INDEX('Tipo de Cambio'!$D:$D,MATCH("2",'Tipo de Cambio'!$E:$E,0),1))/1000000</f>
        <v>5.9627943467523581</v>
      </c>
      <c r="AE491">
        <f>IF(Tabla_Consulta_desde_Reporte_de_Valorización_de_Instrumentos[[#This Row],[PORTAFOLIO]]="IN-FONDO0",Tabla_Consulta_desde_Reporte_de_Valorización_de_Instrumentos[[#This Row],[Inv MM$]],0)</f>
        <v>5.9627943467523581</v>
      </c>
      <c r="AF491" s="26">
        <f>IF(Tabla_Consulta_desde_Reporte_de_Valorización_de_Instrumentos[[#This Row],[PORTAFOLIO]]="IN-FONDO1",Tabla_Consulta_desde_Reporte_de_Valorización_de_Instrumentos[[#This Row],[Inv MM$]],0)</f>
        <v>0</v>
      </c>
      <c r="AG491" s="26">
        <f>IF(Tabla_Consulta_desde_Reporte_de_Valorización_de_Instrumentos[[#This Row],[PORTAFOLIO]]="IN-FONDO2",Tabla_Consulta_desde_Reporte_de_Valorización_de_Instrumentos[[#This Row],[Inv MM$]],0)</f>
        <v>0</v>
      </c>
      <c r="AH491" s="26">
        <f>IF(Tabla_Consulta_desde_Reporte_de_Valorización_de_Instrumentos[[#This Row],[PORTAFOLIO]]="IN-FONDO3",Tabla_Consulta_desde_Reporte_de_Valorización_de_Instrumentos[[#This Row],[Inv MM$]],0)</f>
        <v>0</v>
      </c>
      <c r="AI49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1" s="26">
        <f>IFERROR(IFERROR(INDEX('BD(MSCI)'!$T:$T,MATCH(Tabla_Consulta_desde_Reporte_de_Valorización_de_Instrumentos[[#This Row],[CODIGO_ISIN]],'BD(MSCI)'!$C:$C,0),1),INDEX('BD(MSCI)'!$T:$T,MATCH(Tabla_Consulta_desde_Reporte_de_Valorización_de_Instrumentos[[#This Row],[CODIGO_SBS]],'BD(MSCI)'!$C:$C,0),1)),0)</f>
        <v>0</v>
      </c>
      <c r="AK491" s="26">
        <f>Tabla_Consulta_desde_Reporte_de_Valorización_de_Instrumentos[[#This Row],[C02-H]]*Tabla_Consulta_desde_Reporte_de_Valorización_de_Instrumentos[[#This Row],[Inv MM$]]</f>
        <v>0</v>
      </c>
      <c r="AL491" s="26">
        <f>Tabla_Consulta_desde_Reporte_de_Valorización_de_Instrumentos[[#This Row],[C02-H]]*Tabla_Consulta_desde_Reporte_de_Valorización_de_Instrumentos[[#This Row],[Weight]]</f>
        <v>0</v>
      </c>
      <c r="AM491" s="26" t="e">
        <f>INDEX(Parametria!G:G,MATCH(Tabla_Consulta_desde_Reporte_de_Valorización_de_Instrumentos[[#This Row],[CODIGO_SBS]],Parametria!C:C,0))</f>
        <v>#N/A</v>
      </c>
      <c r="AN491" s="26" t="e">
        <f>INDEX(Parametria!F:F,MATCH(Tabla_Consulta_desde_Reporte_de_Valorización_de_Instrumentos[[#This Row],[CODIGO_SBS]],Parametria!C:C,0))</f>
        <v>#N/A</v>
      </c>
      <c r="AO491" s="26" t="e">
        <f>+INDEX(Parametria!J:J,MATCH(Tabla_Consulta_desde_Reporte_de_Valorización_de_Instrumentos[[#This Row],[CODIGO_SBS]],Parametria!C:C,0))</f>
        <v>#N/A</v>
      </c>
      <c r="AP491" s="26">
        <f>Tabla_Consulta_desde_Reporte_de_Valorización_de_Instrumentos[[#This Row],[Huella]]/$AU$4</f>
        <v>0</v>
      </c>
      <c r="AQ491" s="26" t="e">
        <f>IFERROR(INDEX('BD(MSCI)'!W:W,MATCH(Tabla_Consulta_desde_Reporte_de_Valorización_de_Instrumentos[[#This Row],[CODIGO_ISIN]],'BD(MSCI)'!C:C,0)),IF(Tabla_Consulta_desde_Reporte_de_Valorización_de_Instrumentos[[#This Row],[Rank_rt]]="Cash","Cash","Cuestionario Integra"))</f>
        <v>#N/A</v>
      </c>
      <c r="AR491" s="26" t="str">
        <f>IFERROR(INDEX('BD(MSCI)'!X:X,MATCH(Tabla_Consulta_desde_Reporte_de_Valorización_de_Instrumentos[[#This Row],[CODIGO_ISIN]],'BD(MSCI)'!C:C,0)),"Cuestionario Integra")</f>
        <v>Cuestionario Integra</v>
      </c>
      <c r="AU491" s="26"/>
    </row>
    <row r="492" spans="2:47" hidden="1" x14ac:dyDescent="0.25">
      <c r="B492" s="14" t="s">
        <v>6390</v>
      </c>
      <c r="C492" t="s">
        <v>833</v>
      </c>
      <c r="D492" t="s">
        <v>9</v>
      </c>
      <c r="E492" t="s">
        <v>834</v>
      </c>
      <c r="F492" t="s">
        <v>6459</v>
      </c>
      <c r="G492" t="e">
        <f>INDEX(Parametria!H:H,MATCH(Tabla_Consulta_desde_Reporte_de_Valorización_de_Instrumentos[[#This Row],[CODIGO_SBS]],Parametria!C:C,0),1)</f>
        <v>#N/A</v>
      </c>
      <c r="H492" t="s">
        <v>90</v>
      </c>
      <c r="I492" t="s">
        <v>835</v>
      </c>
      <c r="J492" t="s">
        <v>246</v>
      </c>
      <c r="K492" t="s">
        <v>90</v>
      </c>
      <c r="L492">
        <v>1</v>
      </c>
      <c r="M492" s="5">
        <v>30033750</v>
      </c>
      <c r="N492">
        <v>30033750</v>
      </c>
      <c r="O492">
        <v>0</v>
      </c>
      <c r="P492" s="15">
        <v>46373</v>
      </c>
      <c r="Q492">
        <v>351</v>
      </c>
      <c r="R492">
        <v>1</v>
      </c>
      <c r="S492" t="s">
        <v>155</v>
      </c>
      <c r="T492">
        <v>30030000</v>
      </c>
      <c r="U492" s="5">
        <v>30030000</v>
      </c>
      <c r="V492" t="s">
        <v>192</v>
      </c>
      <c r="W492">
        <v>4565854000</v>
      </c>
      <c r="X492">
        <v>3638173000</v>
      </c>
      <c r="Y492">
        <v>927681000</v>
      </c>
      <c r="Z492">
        <v>0</v>
      </c>
      <c r="AA492" t="str">
        <f>+MID(Tabla_Consulta_desde_Reporte_de_Valorización_de_Instrumentos[[#This Row],[CODIGO_SBS]],7,1)</f>
        <v>1</v>
      </c>
      <c r="AB492">
        <f>INDEX('Cálculo Caja'!F:F,MATCH(Tabla_Consulta_desde_Reporte_de_Valorización_de_Instrumentos[[#This Row],[PORTAFOLIO]],'Cálculo Caja'!A:A,0),1)</f>
        <v>2847839359.3764262</v>
      </c>
      <c r="AC492" s="17">
        <f>Tabla_Consulta_desde_Reporte_de_Valorización_de_Instrumentos[[#This Row],[VALOR_VECTOR_LOCAL]]/Tabla_Consulta_desde_Reporte_de_Valorización_de_Instrumentos[[#This Row],[Patrimonio]]</f>
        <v>1.0546153139261445E-2</v>
      </c>
      <c r="AD492" s="4">
        <f>(Tabla_Consulta_desde_Reporte_de_Valorización_de_Instrumentos[[#This Row],[VALOR_VECTOR_LOCAL]]/INDEX('Tipo de Cambio'!$D:$D,MATCH("2",'Tipo de Cambio'!$E:$E,0),1))/1000000</f>
        <v>8.9362224404177457</v>
      </c>
      <c r="AE492">
        <f>IF(Tabla_Consulta_desde_Reporte_de_Valorización_de_Instrumentos[[#This Row],[PORTAFOLIO]]="IN-FONDO0",Tabla_Consulta_desde_Reporte_de_Valorización_de_Instrumentos[[#This Row],[Inv MM$]],0)</f>
        <v>8.9362224404177457</v>
      </c>
      <c r="AF492" s="26">
        <f>IF(Tabla_Consulta_desde_Reporte_de_Valorización_de_Instrumentos[[#This Row],[PORTAFOLIO]]="IN-FONDO1",Tabla_Consulta_desde_Reporte_de_Valorización_de_Instrumentos[[#This Row],[Inv MM$]],0)</f>
        <v>0</v>
      </c>
      <c r="AG492" s="26">
        <f>IF(Tabla_Consulta_desde_Reporte_de_Valorización_de_Instrumentos[[#This Row],[PORTAFOLIO]]="IN-FONDO2",Tabla_Consulta_desde_Reporte_de_Valorización_de_Instrumentos[[#This Row],[Inv MM$]],0)</f>
        <v>0</v>
      </c>
      <c r="AH492" s="26">
        <f>IF(Tabla_Consulta_desde_Reporte_de_Valorización_de_Instrumentos[[#This Row],[PORTAFOLIO]]="IN-FONDO3",Tabla_Consulta_desde_Reporte_de_Valorización_de_Instrumentos[[#This Row],[Inv MM$]],0)</f>
        <v>0</v>
      </c>
      <c r="AI49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2" s="26">
        <f>IFERROR(IFERROR(INDEX('BD(MSCI)'!$T:$T,MATCH(Tabla_Consulta_desde_Reporte_de_Valorización_de_Instrumentos[[#This Row],[CODIGO_ISIN]],'BD(MSCI)'!$C:$C,0),1),INDEX('BD(MSCI)'!$T:$T,MATCH(Tabla_Consulta_desde_Reporte_de_Valorización_de_Instrumentos[[#This Row],[CODIGO_SBS]],'BD(MSCI)'!$C:$C,0),1)),0)</f>
        <v>0</v>
      </c>
      <c r="AK492" s="26">
        <f>Tabla_Consulta_desde_Reporte_de_Valorización_de_Instrumentos[[#This Row],[C02-H]]*Tabla_Consulta_desde_Reporte_de_Valorización_de_Instrumentos[[#This Row],[Inv MM$]]</f>
        <v>0</v>
      </c>
      <c r="AL492" s="26">
        <f>Tabla_Consulta_desde_Reporte_de_Valorización_de_Instrumentos[[#This Row],[C02-H]]*Tabla_Consulta_desde_Reporte_de_Valorización_de_Instrumentos[[#This Row],[Weight]]</f>
        <v>0</v>
      </c>
      <c r="AM492" s="26" t="e">
        <f>INDEX(Parametria!G:G,MATCH(Tabla_Consulta_desde_Reporte_de_Valorización_de_Instrumentos[[#This Row],[CODIGO_SBS]],Parametria!C:C,0))</f>
        <v>#N/A</v>
      </c>
      <c r="AN492" s="26" t="e">
        <f>INDEX(Parametria!F:F,MATCH(Tabla_Consulta_desde_Reporte_de_Valorización_de_Instrumentos[[#This Row],[CODIGO_SBS]],Parametria!C:C,0))</f>
        <v>#N/A</v>
      </c>
      <c r="AO492" s="26" t="e">
        <f>+INDEX(Parametria!J:J,MATCH(Tabla_Consulta_desde_Reporte_de_Valorización_de_Instrumentos[[#This Row],[CODIGO_SBS]],Parametria!C:C,0))</f>
        <v>#N/A</v>
      </c>
      <c r="AP492" s="26">
        <f>Tabla_Consulta_desde_Reporte_de_Valorización_de_Instrumentos[[#This Row],[Huella]]/$AU$4</f>
        <v>0</v>
      </c>
      <c r="AQ492" s="26" t="e">
        <f>IFERROR(INDEX('BD(MSCI)'!W:W,MATCH(Tabla_Consulta_desde_Reporte_de_Valorización_de_Instrumentos[[#This Row],[CODIGO_ISIN]],'BD(MSCI)'!C:C,0)),IF(Tabla_Consulta_desde_Reporte_de_Valorización_de_Instrumentos[[#This Row],[Rank_rt]]="Cash","Cash","Cuestionario Integra"))</f>
        <v>#N/A</v>
      </c>
      <c r="AR492" s="26" t="str">
        <f>IFERROR(INDEX('BD(MSCI)'!X:X,MATCH(Tabla_Consulta_desde_Reporte_de_Valorización_de_Instrumentos[[#This Row],[CODIGO_ISIN]],'BD(MSCI)'!C:C,0)),"Cuestionario Integra")</f>
        <v>Cuestionario Integra</v>
      </c>
      <c r="AU492" s="26"/>
    </row>
    <row r="493" spans="2:47" hidden="1" x14ac:dyDescent="0.25">
      <c r="B493" s="14" t="s">
        <v>6390</v>
      </c>
      <c r="C493" t="s">
        <v>833</v>
      </c>
      <c r="D493" t="s">
        <v>9</v>
      </c>
      <c r="E493" t="s">
        <v>834</v>
      </c>
      <c r="F493" t="s">
        <v>6460</v>
      </c>
      <c r="G493" t="e">
        <f>INDEX(Parametria!H:H,MATCH(Tabla_Consulta_desde_Reporte_de_Valorización_de_Instrumentos[[#This Row],[CODIGO_SBS]],Parametria!C:C,0),1)</f>
        <v>#N/A</v>
      </c>
      <c r="H493" t="s">
        <v>90</v>
      </c>
      <c r="I493" t="s">
        <v>835</v>
      </c>
      <c r="J493" t="s">
        <v>4860</v>
      </c>
      <c r="K493" t="s">
        <v>90</v>
      </c>
      <c r="L493">
        <v>1</v>
      </c>
      <c r="M493" s="5">
        <v>25028437.524999999</v>
      </c>
      <c r="N493">
        <v>25028437.524999999</v>
      </c>
      <c r="O493">
        <v>0</v>
      </c>
      <c r="P493" s="15">
        <v>46371</v>
      </c>
      <c r="Q493">
        <v>349</v>
      </c>
      <c r="R493">
        <v>1</v>
      </c>
      <c r="S493" t="s">
        <v>155</v>
      </c>
      <c r="T493">
        <v>25025277.800000001</v>
      </c>
      <c r="U493" s="5">
        <v>25025277.800000001</v>
      </c>
      <c r="V493" t="s">
        <v>192</v>
      </c>
      <c r="W493">
        <v>4565854000</v>
      </c>
      <c r="X493">
        <v>3638173000</v>
      </c>
      <c r="Y493">
        <v>927681000</v>
      </c>
      <c r="Z493">
        <v>0</v>
      </c>
      <c r="AA493" t="str">
        <f>+MID(Tabla_Consulta_desde_Reporte_de_Valorización_de_Instrumentos[[#This Row],[CODIGO_SBS]],7,1)</f>
        <v>1</v>
      </c>
      <c r="AB493">
        <f>INDEX('Cálculo Caja'!F:F,MATCH(Tabla_Consulta_desde_Reporte_de_Valorización_de_Instrumentos[[#This Row],[PORTAFOLIO]],'Cálculo Caja'!A:A,0),1)</f>
        <v>2847839359.3764262</v>
      </c>
      <c r="AC493" s="17">
        <f>Tabla_Consulta_desde_Reporte_de_Valorización_de_Instrumentos[[#This Row],[VALOR_VECTOR_LOCAL]]/Tabla_Consulta_desde_Reporte_de_Valorización_de_Instrumentos[[#This Row],[Patrimonio]]</f>
        <v>8.7885706904761371E-3</v>
      </c>
      <c r="AD493" s="4">
        <f>(Tabla_Consulta_desde_Reporte_de_Valorización_de_Instrumentos[[#This Row],[VALOR_VECTOR_LOCAL]]/INDEX('Tipo de Cambio'!$D:$D,MATCH("2",'Tipo de Cambio'!$E:$E,0),1))/1000000</f>
        <v>7.4469450221666813</v>
      </c>
      <c r="AE493">
        <f>IF(Tabla_Consulta_desde_Reporte_de_Valorización_de_Instrumentos[[#This Row],[PORTAFOLIO]]="IN-FONDO0",Tabla_Consulta_desde_Reporte_de_Valorización_de_Instrumentos[[#This Row],[Inv MM$]],0)</f>
        <v>7.4469450221666813</v>
      </c>
      <c r="AF493" s="26">
        <f>IF(Tabla_Consulta_desde_Reporte_de_Valorización_de_Instrumentos[[#This Row],[PORTAFOLIO]]="IN-FONDO1",Tabla_Consulta_desde_Reporte_de_Valorización_de_Instrumentos[[#This Row],[Inv MM$]],0)</f>
        <v>0</v>
      </c>
      <c r="AG493" s="26">
        <f>IF(Tabla_Consulta_desde_Reporte_de_Valorización_de_Instrumentos[[#This Row],[PORTAFOLIO]]="IN-FONDO2",Tabla_Consulta_desde_Reporte_de_Valorización_de_Instrumentos[[#This Row],[Inv MM$]],0)</f>
        <v>0</v>
      </c>
      <c r="AH493" s="26">
        <f>IF(Tabla_Consulta_desde_Reporte_de_Valorización_de_Instrumentos[[#This Row],[PORTAFOLIO]]="IN-FONDO3",Tabla_Consulta_desde_Reporte_de_Valorización_de_Instrumentos[[#This Row],[Inv MM$]],0)</f>
        <v>0</v>
      </c>
      <c r="AI49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3" s="26">
        <f>IFERROR(IFERROR(INDEX('BD(MSCI)'!$T:$T,MATCH(Tabla_Consulta_desde_Reporte_de_Valorización_de_Instrumentos[[#This Row],[CODIGO_ISIN]],'BD(MSCI)'!$C:$C,0),1),INDEX('BD(MSCI)'!$T:$T,MATCH(Tabla_Consulta_desde_Reporte_de_Valorización_de_Instrumentos[[#This Row],[CODIGO_SBS]],'BD(MSCI)'!$C:$C,0),1)),0)</f>
        <v>0</v>
      </c>
      <c r="AK493" s="26">
        <f>Tabla_Consulta_desde_Reporte_de_Valorización_de_Instrumentos[[#This Row],[C02-H]]*Tabla_Consulta_desde_Reporte_de_Valorización_de_Instrumentos[[#This Row],[Inv MM$]]</f>
        <v>0</v>
      </c>
      <c r="AL493" s="26">
        <f>Tabla_Consulta_desde_Reporte_de_Valorización_de_Instrumentos[[#This Row],[C02-H]]*Tabla_Consulta_desde_Reporte_de_Valorización_de_Instrumentos[[#This Row],[Weight]]</f>
        <v>0</v>
      </c>
      <c r="AM493" s="26" t="e">
        <f>INDEX(Parametria!G:G,MATCH(Tabla_Consulta_desde_Reporte_de_Valorización_de_Instrumentos[[#This Row],[CODIGO_SBS]],Parametria!C:C,0))</f>
        <v>#N/A</v>
      </c>
      <c r="AN493" s="26" t="e">
        <f>INDEX(Parametria!F:F,MATCH(Tabla_Consulta_desde_Reporte_de_Valorización_de_Instrumentos[[#This Row],[CODIGO_SBS]],Parametria!C:C,0))</f>
        <v>#N/A</v>
      </c>
      <c r="AO493" s="26" t="e">
        <f>+INDEX(Parametria!J:J,MATCH(Tabla_Consulta_desde_Reporte_de_Valorización_de_Instrumentos[[#This Row],[CODIGO_SBS]],Parametria!C:C,0))</f>
        <v>#N/A</v>
      </c>
      <c r="AP493" s="26">
        <f>Tabla_Consulta_desde_Reporte_de_Valorización_de_Instrumentos[[#This Row],[Huella]]/$AU$4</f>
        <v>0</v>
      </c>
      <c r="AQ493" s="26" t="e">
        <f>IFERROR(INDEX('BD(MSCI)'!W:W,MATCH(Tabla_Consulta_desde_Reporte_de_Valorización_de_Instrumentos[[#This Row],[CODIGO_ISIN]],'BD(MSCI)'!C:C,0)),IF(Tabla_Consulta_desde_Reporte_de_Valorización_de_Instrumentos[[#This Row],[Rank_rt]]="Cash","Cash","Cuestionario Integra"))</f>
        <v>#N/A</v>
      </c>
      <c r="AR493" s="26" t="str">
        <f>IFERROR(INDEX('BD(MSCI)'!X:X,MATCH(Tabla_Consulta_desde_Reporte_de_Valorización_de_Instrumentos[[#This Row],[CODIGO_ISIN]],'BD(MSCI)'!C:C,0)),"Cuestionario Integra")</f>
        <v>Cuestionario Integra</v>
      </c>
      <c r="AU493" s="26"/>
    </row>
    <row r="494" spans="2:47" hidden="1" x14ac:dyDescent="0.25">
      <c r="B494" s="14" t="s">
        <v>6390</v>
      </c>
      <c r="C494" t="s">
        <v>833</v>
      </c>
      <c r="D494" t="s">
        <v>9</v>
      </c>
      <c r="E494" t="s">
        <v>834</v>
      </c>
      <c r="F494" t="s">
        <v>6461</v>
      </c>
      <c r="G494" t="e">
        <f>INDEX(Parametria!H:H,MATCH(Tabla_Consulta_desde_Reporte_de_Valorización_de_Instrumentos[[#This Row],[CODIGO_SBS]],Parametria!C:C,0),1)</f>
        <v>#N/A</v>
      </c>
      <c r="H494" t="s">
        <v>90</v>
      </c>
      <c r="I494" t="s">
        <v>835</v>
      </c>
      <c r="J494" t="s">
        <v>245</v>
      </c>
      <c r="K494" t="s">
        <v>90</v>
      </c>
      <c r="L494">
        <v>1</v>
      </c>
      <c r="M494" s="5">
        <v>15036750</v>
      </c>
      <c r="N494">
        <v>15036750</v>
      </c>
      <c r="O494">
        <v>0</v>
      </c>
      <c r="P494" s="15">
        <v>46350</v>
      </c>
      <c r="Q494">
        <v>328</v>
      </c>
      <c r="R494">
        <v>1</v>
      </c>
      <c r="S494" t="s">
        <v>155</v>
      </c>
      <c r="T494">
        <v>15034912.5</v>
      </c>
      <c r="U494" s="5">
        <v>15034912.5</v>
      </c>
      <c r="V494" t="s">
        <v>192</v>
      </c>
      <c r="W494">
        <v>4565854000</v>
      </c>
      <c r="X494">
        <v>3638173000</v>
      </c>
      <c r="Y494">
        <v>927681000</v>
      </c>
      <c r="Z494">
        <v>0</v>
      </c>
      <c r="AA494" t="str">
        <f>+MID(Tabla_Consulta_desde_Reporte_de_Valorización_de_Instrumentos[[#This Row],[CODIGO_SBS]],7,1)</f>
        <v>1</v>
      </c>
      <c r="AB494">
        <f>INDEX('Cálculo Caja'!F:F,MATCH(Tabla_Consulta_desde_Reporte_de_Valorización_de_Instrumentos[[#This Row],[PORTAFOLIO]],'Cálculo Caja'!A:A,0),1)</f>
        <v>2847839359.3764262</v>
      </c>
      <c r="AC494" s="17">
        <f>Tabla_Consulta_desde_Reporte_de_Valorización_de_Instrumentos[[#This Row],[VALOR_VECTOR_LOCAL]]/Tabla_Consulta_desde_Reporte_de_Valorización_de_Instrumentos[[#This Row],[Patrimonio]]</f>
        <v>5.2800555447384866E-3</v>
      </c>
      <c r="AD494" s="4">
        <f>(Tabla_Consulta_desde_Reporte_de_Valorización_de_Instrumentos[[#This Row],[VALOR_VECTOR_LOCAL]]/INDEX('Tipo de Cambio'!$D:$D,MATCH("2",'Tipo de Cambio'!$E:$E,0),1))/1000000</f>
        <v>4.474024814781755</v>
      </c>
      <c r="AE494">
        <f>IF(Tabla_Consulta_desde_Reporte_de_Valorización_de_Instrumentos[[#This Row],[PORTAFOLIO]]="IN-FONDO0",Tabla_Consulta_desde_Reporte_de_Valorización_de_Instrumentos[[#This Row],[Inv MM$]],0)</f>
        <v>4.474024814781755</v>
      </c>
      <c r="AF494" s="26">
        <f>IF(Tabla_Consulta_desde_Reporte_de_Valorización_de_Instrumentos[[#This Row],[PORTAFOLIO]]="IN-FONDO1",Tabla_Consulta_desde_Reporte_de_Valorización_de_Instrumentos[[#This Row],[Inv MM$]],0)</f>
        <v>0</v>
      </c>
      <c r="AG494" s="26">
        <f>IF(Tabla_Consulta_desde_Reporte_de_Valorización_de_Instrumentos[[#This Row],[PORTAFOLIO]]="IN-FONDO2",Tabla_Consulta_desde_Reporte_de_Valorización_de_Instrumentos[[#This Row],[Inv MM$]],0)</f>
        <v>0</v>
      </c>
      <c r="AH494" s="26">
        <f>IF(Tabla_Consulta_desde_Reporte_de_Valorización_de_Instrumentos[[#This Row],[PORTAFOLIO]]="IN-FONDO3",Tabla_Consulta_desde_Reporte_de_Valorización_de_Instrumentos[[#This Row],[Inv MM$]],0)</f>
        <v>0</v>
      </c>
      <c r="AI49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4" s="26">
        <f>IFERROR(IFERROR(INDEX('BD(MSCI)'!$T:$T,MATCH(Tabla_Consulta_desde_Reporte_de_Valorización_de_Instrumentos[[#This Row],[CODIGO_ISIN]],'BD(MSCI)'!$C:$C,0),1),INDEX('BD(MSCI)'!$T:$T,MATCH(Tabla_Consulta_desde_Reporte_de_Valorización_de_Instrumentos[[#This Row],[CODIGO_SBS]],'BD(MSCI)'!$C:$C,0),1)),0)</f>
        <v>0</v>
      </c>
      <c r="AK494" s="26">
        <f>Tabla_Consulta_desde_Reporte_de_Valorización_de_Instrumentos[[#This Row],[C02-H]]*Tabla_Consulta_desde_Reporte_de_Valorización_de_Instrumentos[[#This Row],[Inv MM$]]</f>
        <v>0</v>
      </c>
      <c r="AL494" s="26">
        <f>Tabla_Consulta_desde_Reporte_de_Valorización_de_Instrumentos[[#This Row],[C02-H]]*Tabla_Consulta_desde_Reporte_de_Valorización_de_Instrumentos[[#This Row],[Weight]]</f>
        <v>0</v>
      </c>
      <c r="AM494" s="26" t="e">
        <f>INDEX(Parametria!G:G,MATCH(Tabla_Consulta_desde_Reporte_de_Valorización_de_Instrumentos[[#This Row],[CODIGO_SBS]],Parametria!C:C,0))</f>
        <v>#N/A</v>
      </c>
      <c r="AN494" s="26" t="e">
        <f>INDEX(Parametria!F:F,MATCH(Tabla_Consulta_desde_Reporte_de_Valorización_de_Instrumentos[[#This Row],[CODIGO_SBS]],Parametria!C:C,0))</f>
        <v>#N/A</v>
      </c>
      <c r="AO494" s="26" t="e">
        <f>+INDEX(Parametria!J:J,MATCH(Tabla_Consulta_desde_Reporte_de_Valorización_de_Instrumentos[[#This Row],[CODIGO_SBS]],Parametria!C:C,0))</f>
        <v>#N/A</v>
      </c>
      <c r="AP494" s="26">
        <f>Tabla_Consulta_desde_Reporte_de_Valorización_de_Instrumentos[[#This Row],[Huella]]/$AU$4</f>
        <v>0</v>
      </c>
      <c r="AQ494" s="26" t="e">
        <f>IFERROR(INDEX('BD(MSCI)'!W:W,MATCH(Tabla_Consulta_desde_Reporte_de_Valorización_de_Instrumentos[[#This Row],[CODIGO_ISIN]],'BD(MSCI)'!C:C,0)),IF(Tabla_Consulta_desde_Reporte_de_Valorización_de_Instrumentos[[#This Row],[Rank_rt]]="Cash","Cash","Cuestionario Integra"))</f>
        <v>#N/A</v>
      </c>
      <c r="AR494" s="26" t="str">
        <f>IFERROR(INDEX('BD(MSCI)'!X:X,MATCH(Tabla_Consulta_desde_Reporte_de_Valorización_de_Instrumentos[[#This Row],[CODIGO_ISIN]],'BD(MSCI)'!C:C,0)),"Cuestionario Integra")</f>
        <v>Cuestionario Integra</v>
      </c>
      <c r="AU494" s="26"/>
    </row>
    <row r="495" spans="2:47" hidden="1" x14ac:dyDescent="0.25">
      <c r="B495" s="14" t="s">
        <v>6390</v>
      </c>
      <c r="C495" t="s">
        <v>833</v>
      </c>
      <c r="D495" t="s">
        <v>9</v>
      </c>
      <c r="E495" t="s">
        <v>834</v>
      </c>
      <c r="F495" t="s">
        <v>6462</v>
      </c>
      <c r="G495" t="e">
        <f>INDEX(Parametria!H:H,MATCH(Tabla_Consulta_desde_Reporte_de_Valorización_de_Instrumentos[[#This Row],[CODIGO_SBS]],Parametria!C:C,0),1)</f>
        <v>#N/A</v>
      </c>
      <c r="H495" t="s">
        <v>90</v>
      </c>
      <c r="I495" t="s">
        <v>835</v>
      </c>
      <c r="J495" t="s">
        <v>245</v>
      </c>
      <c r="K495" t="s">
        <v>90</v>
      </c>
      <c r="L495">
        <v>1</v>
      </c>
      <c r="M495" s="5">
        <v>15036750</v>
      </c>
      <c r="N495">
        <v>15036750</v>
      </c>
      <c r="O495">
        <v>0</v>
      </c>
      <c r="P495" s="15">
        <v>46343</v>
      </c>
      <c r="Q495">
        <v>321</v>
      </c>
      <c r="R495">
        <v>1</v>
      </c>
      <c r="S495" t="s">
        <v>155</v>
      </c>
      <c r="T495">
        <v>15034912.5</v>
      </c>
      <c r="U495" s="5">
        <v>15034912.5</v>
      </c>
      <c r="V495" t="s">
        <v>192</v>
      </c>
      <c r="W495">
        <v>4565854000</v>
      </c>
      <c r="X495">
        <v>3638173000</v>
      </c>
      <c r="Y495">
        <v>927681000</v>
      </c>
      <c r="Z495">
        <v>0</v>
      </c>
      <c r="AA495" t="str">
        <f>+MID(Tabla_Consulta_desde_Reporte_de_Valorización_de_Instrumentos[[#This Row],[CODIGO_SBS]],7,1)</f>
        <v>1</v>
      </c>
      <c r="AB495">
        <f>INDEX('Cálculo Caja'!F:F,MATCH(Tabla_Consulta_desde_Reporte_de_Valorización_de_Instrumentos[[#This Row],[PORTAFOLIO]],'Cálculo Caja'!A:A,0),1)</f>
        <v>2847839359.3764262</v>
      </c>
      <c r="AC495" s="17">
        <f>Tabla_Consulta_desde_Reporte_de_Valorización_de_Instrumentos[[#This Row],[VALOR_VECTOR_LOCAL]]/Tabla_Consulta_desde_Reporte_de_Valorización_de_Instrumentos[[#This Row],[Patrimonio]]</f>
        <v>5.2800555447384866E-3</v>
      </c>
      <c r="AD495" s="4">
        <f>(Tabla_Consulta_desde_Reporte_de_Valorización_de_Instrumentos[[#This Row],[VALOR_VECTOR_LOCAL]]/INDEX('Tipo de Cambio'!$D:$D,MATCH("2",'Tipo de Cambio'!$E:$E,0),1))/1000000</f>
        <v>4.474024814781755</v>
      </c>
      <c r="AE495">
        <f>IF(Tabla_Consulta_desde_Reporte_de_Valorización_de_Instrumentos[[#This Row],[PORTAFOLIO]]="IN-FONDO0",Tabla_Consulta_desde_Reporte_de_Valorización_de_Instrumentos[[#This Row],[Inv MM$]],0)</f>
        <v>4.474024814781755</v>
      </c>
      <c r="AF495" s="26">
        <f>IF(Tabla_Consulta_desde_Reporte_de_Valorización_de_Instrumentos[[#This Row],[PORTAFOLIO]]="IN-FONDO1",Tabla_Consulta_desde_Reporte_de_Valorización_de_Instrumentos[[#This Row],[Inv MM$]],0)</f>
        <v>0</v>
      </c>
      <c r="AG495" s="26">
        <f>IF(Tabla_Consulta_desde_Reporte_de_Valorización_de_Instrumentos[[#This Row],[PORTAFOLIO]]="IN-FONDO2",Tabla_Consulta_desde_Reporte_de_Valorización_de_Instrumentos[[#This Row],[Inv MM$]],0)</f>
        <v>0</v>
      </c>
      <c r="AH495" s="26">
        <f>IF(Tabla_Consulta_desde_Reporte_de_Valorización_de_Instrumentos[[#This Row],[PORTAFOLIO]]="IN-FONDO3",Tabla_Consulta_desde_Reporte_de_Valorización_de_Instrumentos[[#This Row],[Inv MM$]],0)</f>
        <v>0</v>
      </c>
      <c r="AI49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5" s="26">
        <f>IFERROR(IFERROR(INDEX('BD(MSCI)'!$T:$T,MATCH(Tabla_Consulta_desde_Reporte_de_Valorización_de_Instrumentos[[#This Row],[CODIGO_ISIN]],'BD(MSCI)'!$C:$C,0),1),INDEX('BD(MSCI)'!$T:$T,MATCH(Tabla_Consulta_desde_Reporte_de_Valorización_de_Instrumentos[[#This Row],[CODIGO_SBS]],'BD(MSCI)'!$C:$C,0),1)),0)</f>
        <v>0</v>
      </c>
      <c r="AK495" s="26">
        <f>Tabla_Consulta_desde_Reporte_de_Valorización_de_Instrumentos[[#This Row],[C02-H]]*Tabla_Consulta_desde_Reporte_de_Valorización_de_Instrumentos[[#This Row],[Inv MM$]]</f>
        <v>0</v>
      </c>
      <c r="AL495" s="26">
        <f>Tabla_Consulta_desde_Reporte_de_Valorización_de_Instrumentos[[#This Row],[C02-H]]*Tabla_Consulta_desde_Reporte_de_Valorización_de_Instrumentos[[#This Row],[Weight]]</f>
        <v>0</v>
      </c>
      <c r="AM495" s="26" t="e">
        <f>INDEX(Parametria!G:G,MATCH(Tabla_Consulta_desde_Reporte_de_Valorización_de_Instrumentos[[#This Row],[CODIGO_SBS]],Parametria!C:C,0))</f>
        <v>#N/A</v>
      </c>
      <c r="AN495" s="26" t="e">
        <f>INDEX(Parametria!F:F,MATCH(Tabla_Consulta_desde_Reporte_de_Valorización_de_Instrumentos[[#This Row],[CODIGO_SBS]],Parametria!C:C,0))</f>
        <v>#N/A</v>
      </c>
      <c r="AO495" s="26" t="e">
        <f>+INDEX(Parametria!J:J,MATCH(Tabla_Consulta_desde_Reporte_de_Valorización_de_Instrumentos[[#This Row],[CODIGO_SBS]],Parametria!C:C,0))</f>
        <v>#N/A</v>
      </c>
      <c r="AP495" s="26">
        <f>Tabla_Consulta_desde_Reporte_de_Valorización_de_Instrumentos[[#This Row],[Huella]]/$AU$4</f>
        <v>0</v>
      </c>
      <c r="AQ495" s="26" t="e">
        <f>IFERROR(INDEX('BD(MSCI)'!W:W,MATCH(Tabla_Consulta_desde_Reporte_de_Valorización_de_Instrumentos[[#This Row],[CODIGO_ISIN]],'BD(MSCI)'!C:C,0)),IF(Tabla_Consulta_desde_Reporte_de_Valorización_de_Instrumentos[[#This Row],[Rank_rt]]="Cash","Cash","Cuestionario Integra"))</f>
        <v>#N/A</v>
      </c>
      <c r="AR495" s="26" t="str">
        <f>IFERROR(INDEX('BD(MSCI)'!X:X,MATCH(Tabla_Consulta_desde_Reporte_de_Valorización_de_Instrumentos[[#This Row],[CODIGO_ISIN]],'BD(MSCI)'!C:C,0)),"Cuestionario Integra")</f>
        <v>Cuestionario Integra</v>
      </c>
      <c r="AU495" s="26"/>
    </row>
    <row r="496" spans="2:47" hidden="1" x14ac:dyDescent="0.25">
      <c r="B496" s="14" t="s">
        <v>6390</v>
      </c>
      <c r="C496" t="s">
        <v>833</v>
      </c>
      <c r="D496" t="s">
        <v>9</v>
      </c>
      <c r="E496" t="s">
        <v>834</v>
      </c>
      <c r="F496" t="s">
        <v>6463</v>
      </c>
      <c r="G496" t="e">
        <f>INDEX(Parametria!H:H,MATCH(Tabla_Consulta_desde_Reporte_de_Valorización_de_Instrumentos[[#This Row],[CODIGO_SBS]],Parametria!C:C,0),1)</f>
        <v>#N/A</v>
      </c>
      <c r="H496" t="s">
        <v>90</v>
      </c>
      <c r="I496" t="s">
        <v>835</v>
      </c>
      <c r="J496" t="s">
        <v>245</v>
      </c>
      <c r="K496" t="s">
        <v>90</v>
      </c>
      <c r="L496">
        <v>1</v>
      </c>
      <c r="M496" s="5">
        <v>15036750</v>
      </c>
      <c r="N496">
        <v>15036750</v>
      </c>
      <c r="O496">
        <v>0</v>
      </c>
      <c r="P496" s="15">
        <v>46328</v>
      </c>
      <c r="Q496">
        <v>306</v>
      </c>
      <c r="R496">
        <v>1</v>
      </c>
      <c r="S496" t="s">
        <v>155</v>
      </c>
      <c r="T496">
        <v>15034912.5</v>
      </c>
      <c r="U496" s="5">
        <v>15034912.5</v>
      </c>
      <c r="V496" t="s">
        <v>192</v>
      </c>
      <c r="W496">
        <v>4565854000</v>
      </c>
      <c r="X496">
        <v>3638173000</v>
      </c>
      <c r="Y496">
        <v>927681000</v>
      </c>
      <c r="Z496">
        <v>0</v>
      </c>
      <c r="AA496" t="str">
        <f>+MID(Tabla_Consulta_desde_Reporte_de_Valorización_de_Instrumentos[[#This Row],[CODIGO_SBS]],7,1)</f>
        <v>1</v>
      </c>
      <c r="AB496">
        <f>INDEX('Cálculo Caja'!F:F,MATCH(Tabla_Consulta_desde_Reporte_de_Valorización_de_Instrumentos[[#This Row],[PORTAFOLIO]],'Cálculo Caja'!A:A,0),1)</f>
        <v>2847839359.3764262</v>
      </c>
      <c r="AC496" s="17">
        <f>Tabla_Consulta_desde_Reporte_de_Valorización_de_Instrumentos[[#This Row],[VALOR_VECTOR_LOCAL]]/Tabla_Consulta_desde_Reporte_de_Valorización_de_Instrumentos[[#This Row],[Patrimonio]]</f>
        <v>5.2800555447384866E-3</v>
      </c>
      <c r="AD496" s="4">
        <f>(Tabla_Consulta_desde_Reporte_de_Valorización_de_Instrumentos[[#This Row],[VALOR_VECTOR_LOCAL]]/INDEX('Tipo de Cambio'!$D:$D,MATCH("2",'Tipo de Cambio'!$E:$E,0),1))/1000000</f>
        <v>4.474024814781755</v>
      </c>
      <c r="AE496">
        <f>IF(Tabla_Consulta_desde_Reporte_de_Valorización_de_Instrumentos[[#This Row],[PORTAFOLIO]]="IN-FONDO0",Tabla_Consulta_desde_Reporte_de_Valorización_de_Instrumentos[[#This Row],[Inv MM$]],0)</f>
        <v>4.474024814781755</v>
      </c>
      <c r="AF496" s="26">
        <f>IF(Tabla_Consulta_desde_Reporte_de_Valorización_de_Instrumentos[[#This Row],[PORTAFOLIO]]="IN-FONDO1",Tabla_Consulta_desde_Reporte_de_Valorización_de_Instrumentos[[#This Row],[Inv MM$]],0)</f>
        <v>0</v>
      </c>
      <c r="AG496" s="26">
        <f>IF(Tabla_Consulta_desde_Reporte_de_Valorización_de_Instrumentos[[#This Row],[PORTAFOLIO]]="IN-FONDO2",Tabla_Consulta_desde_Reporte_de_Valorización_de_Instrumentos[[#This Row],[Inv MM$]],0)</f>
        <v>0</v>
      </c>
      <c r="AH496" s="26">
        <f>IF(Tabla_Consulta_desde_Reporte_de_Valorización_de_Instrumentos[[#This Row],[PORTAFOLIO]]="IN-FONDO3",Tabla_Consulta_desde_Reporte_de_Valorización_de_Instrumentos[[#This Row],[Inv MM$]],0)</f>
        <v>0</v>
      </c>
      <c r="AI49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6" s="26">
        <f>IFERROR(IFERROR(INDEX('BD(MSCI)'!$T:$T,MATCH(Tabla_Consulta_desde_Reporte_de_Valorización_de_Instrumentos[[#This Row],[CODIGO_ISIN]],'BD(MSCI)'!$C:$C,0),1),INDEX('BD(MSCI)'!$T:$T,MATCH(Tabla_Consulta_desde_Reporte_de_Valorización_de_Instrumentos[[#This Row],[CODIGO_SBS]],'BD(MSCI)'!$C:$C,0),1)),0)</f>
        <v>0</v>
      </c>
      <c r="AK496" s="26">
        <f>Tabla_Consulta_desde_Reporte_de_Valorización_de_Instrumentos[[#This Row],[C02-H]]*Tabla_Consulta_desde_Reporte_de_Valorización_de_Instrumentos[[#This Row],[Inv MM$]]</f>
        <v>0</v>
      </c>
      <c r="AL496" s="26">
        <f>Tabla_Consulta_desde_Reporte_de_Valorización_de_Instrumentos[[#This Row],[C02-H]]*Tabla_Consulta_desde_Reporte_de_Valorización_de_Instrumentos[[#This Row],[Weight]]</f>
        <v>0</v>
      </c>
      <c r="AM496" s="26" t="e">
        <f>INDEX(Parametria!G:G,MATCH(Tabla_Consulta_desde_Reporte_de_Valorización_de_Instrumentos[[#This Row],[CODIGO_SBS]],Parametria!C:C,0))</f>
        <v>#N/A</v>
      </c>
      <c r="AN496" s="26" t="e">
        <f>INDEX(Parametria!F:F,MATCH(Tabla_Consulta_desde_Reporte_de_Valorización_de_Instrumentos[[#This Row],[CODIGO_SBS]],Parametria!C:C,0))</f>
        <v>#N/A</v>
      </c>
      <c r="AO496" s="26" t="e">
        <f>+INDEX(Parametria!J:J,MATCH(Tabla_Consulta_desde_Reporte_de_Valorización_de_Instrumentos[[#This Row],[CODIGO_SBS]],Parametria!C:C,0))</f>
        <v>#N/A</v>
      </c>
      <c r="AP496" s="26">
        <f>Tabla_Consulta_desde_Reporte_de_Valorización_de_Instrumentos[[#This Row],[Huella]]/$AU$4</f>
        <v>0</v>
      </c>
      <c r="AQ496" s="26" t="e">
        <f>IFERROR(INDEX('BD(MSCI)'!W:W,MATCH(Tabla_Consulta_desde_Reporte_de_Valorización_de_Instrumentos[[#This Row],[CODIGO_ISIN]],'BD(MSCI)'!C:C,0)),IF(Tabla_Consulta_desde_Reporte_de_Valorización_de_Instrumentos[[#This Row],[Rank_rt]]="Cash","Cash","Cuestionario Integra"))</f>
        <v>#N/A</v>
      </c>
      <c r="AR496" s="26" t="str">
        <f>IFERROR(INDEX('BD(MSCI)'!X:X,MATCH(Tabla_Consulta_desde_Reporte_de_Valorización_de_Instrumentos[[#This Row],[CODIGO_ISIN]],'BD(MSCI)'!C:C,0)),"Cuestionario Integra")</f>
        <v>Cuestionario Integra</v>
      </c>
      <c r="AU496" s="26"/>
    </row>
    <row r="497" spans="2:47" hidden="1" x14ac:dyDescent="0.25">
      <c r="B497" s="14" t="s">
        <v>6390</v>
      </c>
      <c r="C497" t="s">
        <v>833</v>
      </c>
      <c r="D497" t="s">
        <v>9</v>
      </c>
      <c r="E497" t="s">
        <v>834</v>
      </c>
      <c r="F497" t="s">
        <v>6464</v>
      </c>
      <c r="G497" t="e">
        <f>INDEX(Parametria!H:H,MATCH(Tabla_Consulta_desde_Reporte_de_Valorización_de_Instrumentos[[#This Row],[CODIGO_SBS]],Parametria!C:C,0),1)</f>
        <v>#N/A</v>
      </c>
      <c r="H497" t="s">
        <v>90</v>
      </c>
      <c r="I497" t="s">
        <v>835</v>
      </c>
      <c r="J497" t="s">
        <v>248</v>
      </c>
      <c r="K497" t="s">
        <v>90</v>
      </c>
      <c r="L497">
        <v>1</v>
      </c>
      <c r="M497" s="5">
        <v>25060416.5</v>
      </c>
      <c r="N497">
        <v>25060416.5</v>
      </c>
      <c r="O497">
        <v>0</v>
      </c>
      <c r="P497" s="15">
        <v>46360</v>
      </c>
      <c r="Q497">
        <v>338</v>
      </c>
      <c r="R497">
        <v>1</v>
      </c>
      <c r="S497" t="s">
        <v>155</v>
      </c>
      <c r="T497">
        <v>25057395.675000001</v>
      </c>
      <c r="U497" s="5">
        <v>25057395.675000001</v>
      </c>
      <c r="V497" t="s">
        <v>192</v>
      </c>
      <c r="W497">
        <v>4565854000</v>
      </c>
      <c r="X497">
        <v>3638173000</v>
      </c>
      <c r="Y497">
        <v>927681000</v>
      </c>
      <c r="Z497">
        <v>0</v>
      </c>
      <c r="AA497" t="str">
        <f>+MID(Tabla_Consulta_desde_Reporte_de_Valorización_de_Instrumentos[[#This Row],[CODIGO_SBS]],7,1)</f>
        <v>1</v>
      </c>
      <c r="AB497">
        <f>INDEX('Cálculo Caja'!F:F,MATCH(Tabla_Consulta_desde_Reporte_de_Valorización_de_Instrumentos[[#This Row],[PORTAFOLIO]],'Cálculo Caja'!A:A,0),1)</f>
        <v>2847839359.3764262</v>
      </c>
      <c r="AC497" s="17">
        <f>Tabla_Consulta_desde_Reporte_de_Valorización_de_Instrumentos[[#This Row],[VALOR_VECTOR_LOCAL]]/Tabla_Consulta_desde_Reporte_de_Valorización_de_Instrumentos[[#This Row],[Patrimonio]]</f>
        <v>8.7997998965388714E-3</v>
      </c>
      <c r="AD497" s="4">
        <f>(Tabla_Consulta_desde_Reporte_de_Valorización_de_Instrumentos[[#This Row],[VALOR_VECTOR_LOCAL]]/INDEX('Tipo de Cambio'!$D:$D,MATCH("2",'Tipo de Cambio'!$E:$E,0),1))/1000000</f>
        <v>7.4564600255883837</v>
      </c>
      <c r="AE497">
        <f>IF(Tabla_Consulta_desde_Reporte_de_Valorización_de_Instrumentos[[#This Row],[PORTAFOLIO]]="IN-FONDO0",Tabla_Consulta_desde_Reporte_de_Valorización_de_Instrumentos[[#This Row],[Inv MM$]],0)</f>
        <v>7.4564600255883837</v>
      </c>
      <c r="AF497" s="26">
        <f>IF(Tabla_Consulta_desde_Reporte_de_Valorización_de_Instrumentos[[#This Row],[PORTAFOLIO]]="IN-FONDO1",Tabla_Consulta_desde_Reporte_de_Valorización_de_Instrumentos[[#This Row],[Inv MM$]],0)</f>
        <v>0</v>
      </c>
      <c r="AG497" s="26">
        <f>IF(Tabla_Consulta_desde_Reporte_de_Valorización_de_Instrumentos[[#This Row],[PORTAFOLIO]]="IN-FONDO2",Tabla_Consulta_desde_Reporte_de_Valorización_de_Instrumentos[[#This Row],[Inv MM$]],0)</f>
        <v>0</v>
      </c>
      <c r="AH497" s="26">
        <f>IF(Tabla_Consulta_desde_Reporte_de_Valorización_de_Instrumentos[[#This Row],[PORTAFOLIO]]="IN-FONDO3",Tabla_Consulta_desde_Reporte_de_Valorización_de_Instrumentos[[#This Row],[Inv MM$]],0)</f>
        <v>0</v>
      </c>
      <c r="AI49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7" s="26">
        <f>IFERROR(IFERROR(INDEX('BD(MSCI)'!$T:$T,MATCH(Tabla_Consulta_desde_Reporte_de_Valorización_de_Instrumentos[[#This Row],[CODIGO_ISIN]],'BD(MSCI)'!$C:$C,0),1),INDEX('BD(MSCI)'!$T:$T,MATCH(Tabla_Consulta_desde_Reporte_de_Valorización_de_Instrumentos[[#This Row],[CODIGO_SBS]],'BD(MSCI)'!$C:$C,0),1)),0)</f>
        <v>0</v>
      </c>
      <c r="AK497" s="26">
        <f>Tabla_Consulta_desde_Reporte_de_Valorización_de_Instrumentos[[#This Row],[C02-H]]*Tabla_Consulta_desde_Reporte_de_Valorización_de_Instrumentos[[#This Row],[Inv MM$]]</f>
        <v>0</v>
      </c>
      <c r="AL497" s="26">
        <f>Tabla_Consulta_desde_Reporte_de_Valorización_de_Instrumentos[[#This Row],[C02-H]]*Tabla_Consulta_desde_Reporte_de_Valorización_de_Instrumentos[[#This Row],[Weight]]</f>
        <v>0</v>
      </c>
      <c r="AM497" s="26" t="e">
        <f>INDEX(Parametria!G:G,MATCH(Tabla_Consulta_desde_Reporte_de_Valorización_de_Instrumentos[[#This Row],[CODIGO_SBS]],Parametria!C:C,0))</f>
        <v>#N/A</v>
      </c>
      <c r="AN497" s="26" t="e">
        <f>INDEX(Parametria!F:F,MATCH(Tabla_Consulta_desde_Reporte_de_Valorización_de_Instrumentos[[#This Row],[CODIGO_SBS]],Parametria!C:C,0))</f>
        <v>#N/A</v>
      </c>
      <c r="AO497" s="26" t="e">
        <f>+INDEX(Parametria!J:J,MATCH(Tabla_Consulta_desde_Reporte_de_Valorización_de_Instrumentos[[#This Row],[CODIGO_SBS]],Parametria!C:C,0))</f>
        <v>#N/A</v>
      </c>
      <c r="AP497" s="26">
        <f>Tabla_Consulta_desde_Reporte_de_Valorización_de_Instrumentos[[#This Row],[Huella]]/$AU$4</f>
        <v>0</v>
      </c>
      <c r="AQ497" s="26" t="e">
        <f>IFERROR(INDEX('BD(MSCI)'!W:W,MATCH(Tabla_Consulta_desde_Reporte_de_Valorización_de_Instrumentos[[#This Row],[CODIGO_ISIN]],'BD(MSCI)'!C:C,0)),IF(Tabla_Consulta_desde_Reporte_de_Valorización_de_Instrumentos[[#This Row],[Rank_rt]]="Cash","Cash","Cuestionario Integra"))</f>
        <v>#N/A</v>
      </c>
      <c r="AR497" s="26" t="str">
        <f>IFERROR(INDEX('BD(MSCI)'!X:X,MATCH(Tabla_Consulta_desde_Reporte_de_Valorización_de_Instrumentos[[#This Row],[CODIGO_ISIN]],'BD(MSCI)'!C:C,0)),"Cuestionario Integra")</f>
        <v>Cuestionario Integra</v>
      </c>
      <c r="AU497" s="26"/>
    </row>
    <row r="498" spans="2:47" hidden="1" x14ac:dyDescent="0.25">
      <c r="B498" s="14" t="s">
        <v>6390</v>
      </c>
      <c r="C498" t="s">
        <v>833</v>
      </c>
      <c r="D498" t="s">
        <v>9</v>
      </c>
      <c r="E498" t="s">
        <v>834</v>
      </c>
      <c r="F498" t="s">
        <v>6465</v>
      </c>
      <c r="G498" t="e">
        <f>INDEX(Parametria!H:H,MATCH(Tabla_Consulta_desde_Reporte_de_Valorización_de_Instrumentos[[#This Row],[CODIGO_SBS]],Parametria!C:C,0),1)</f>
        <v>#N/A</v>
      </c>
      <c r="H498" t="s">
        <v>90</v>
      </c>
      <c r="I498" t="s">
        <v>835</v>
      </c>
      <c r="J498" t="s">
        <v>246</v>
      </c>
      <c r="K498" t="s">
        <v>90</v>
      </c>
      <c r="L498">
        <v>1</v>
      </c>
      <c r="M498" s="5">
        <v>10023750</v>
      </c>
      <c r="N498">
        <v>10023750</v>
      </c>
      <c r="O498">
        <v>0</v>
      </c>
      <c r="P498" s="15">
        <v>46328</v>
      </c>
      <c r="Q498">
        <v>306</v>
      </c>
      <c r="R498">
        <v>1</v>
      </c>
      <c r="S498" t="s">
        <v>155</v>
      </c>
      <c r="T498">
        <v>10022500</v>
      </c>
      <c r="U498" s="5">
        <v>10022500</v>
      </c>
      <c r="V498" t="s">
        <v>192</v>
      </c>
      <c r="W498">
        <v>4565854000</v>
      </c>
      <c r="X498">
        <v>3638173000</v>
      </c>
      <c r="Y498">
        <v>927681000</v>
      </c>
      <c r="Z498">
        <v>0</v>
      </c>
      <c r="AA498" t="str">
        <f>+MID(Tabla_Consulta_desde_Reporte_de_Valorización_de_Instrumentos[[#This Row],[CODIGO_SBS]],7,1)</f>
        <v>1</v>
      </c>
      <c r="AB498">
        <f>INDEX('Cálculo Caja'!F:F,MATCH(Tabla_Consulta_desde_Reporte_de_Valorización_de_Instrumentos[[#This Row],[PORTAFOLIO]],'Cálculo Caja'!A:A,0),1)</f>
        <v>2847839359.3764262</v>
      </c>
      <c r="AC498" s="17">
        <f>Tabla_Consulta_desde_Reporte_de_Valorización_de_Instrumentos[[#This Row],[VALOR_VECTOR_LOCAL]]/Tabla_Consulta_desde_Reporte_de_Valorización_de_Instrumentos[[#This Row],[Patrimonio]]</f>
        <v>3.5197736722744218E-3</v>
      </c>
      <c r="AD498" s="4">
        <f>(Tabla_Consulta_desde_Reporte_de_Valorización_de_Instrumentos[[#This Row],[VALOR_VECTOR_LOCAL]]/INDEX('Tipo de Cambio'!$D:$D,MATCH("2",'Tipo de Cambio'!$E:$E,0),1))/1000000</f>
        <v>2.9824600553423188</v>
      </c>
      <c r="AE498">
        <f>IF(Tabla_Consulta_desde_Reporte_de_Valorización_de_Instrumentos[[#This Row],[PORTAFOLIO]]="IN-FONDO0",Tabla_Consulta_desde_Reporte_de_Valorización_de_Instrumentos[[#This Row],[Inv MM$]],0)</f>
        <v>2.9824600553423188</v>
      </c>
      <c r="AF498" s="26">
        <f>IF(Tabla_Consulta_desde_Reporte_de_Valorización_de_Instrumentos[[#This Row],[PORTAFOLIO]]="IN-FONDO1",Tabla_Consulta_desde_Reporte_de_Valorización_de_Instrumentos[[#This Row],[Inv MM$]],0)</f>
        <v>0</v>
      </c>
      <c r="AG498" s="26">
        <f>IF(Tabla_Consulta_desde_Reporte_de_Valorización_de_Instrumentos[[#This Row],[PORTAFOLIO]]="IN-FONDO2",Tabla_Consulta_desde_Reporte_de_Valorización_de_Instrumentos[[#This Row],[Inv MM$]],0)</f>
        <v>0</v>
      </c>
      <c r="AH498" s="26">
        <f>IF(Tabla_Consulta_desde_Reporte_de_Valorización_de_Instrumentos[[#This Row],[PORTAFOLIO]]="IN-FONDO3",Tabla_Consulta_desde_Reporte_de_Valorización_de_Instrumentos[[#This Row],[Inv MM$]],0)</f>
        <v>0</v>
      </c>
      <c r="AI49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8" s="26">
        <f>IFERROR(IFERROR(INDEX('BD(MSCI)'!$T:$T,MATCH(Tabla_Consulta_desde_Reporte_de_Valorización_de_Instrumentos[[#This Row],[CODIGO_ISIN]],'BD(MSCI)'!$C:$C,0),1),INDEX('BD(MSCI)'!$T:$T,MATCH(Tabla_Consulta_desde_Reporte_de_Valorización_de_Instrumentos[[#This Row],[CODIGO_SBS]],'BD(MSCI)'!$C:$C,0),1)),0)</f>
        <v>0</v>
      </c>
      <c r="AK498" s="26">
        <f>Tabla_Consulta_desde_Reporte_de_Valorización_de_Instrumentos[[#This Row],[C02-H]]*Tabla_Consulta_desde_Reporte_de_Valorización_de_Instrumentos[[#This Row],[Inv MM$]]</f>
        <v>0</v>
      </c>
      <c r="AL498" s="26">
        <f>Tabla_Consulta_desde_Reporte_de_Valorización_de_Instrumentos[[#This Row],[C02-H]]*Tabla_Consulta_desde_Reporte_de_Valorización_de_Instrumentos[[#This Row],[Weight]]</f>
        <v>0</v>
      </c>
      <c r="AM498" s="26" t="e">
        <f>INDEX(Parametria!G:G,MATCH(Tabla_Consulta_desde_Reporte_de_Valorización_de_Instrumentos[[#This Row],[CODIGO_SBS]],Parametria!C:C,0))</f>
        <v>#N/A</v>
      </c>
      <c r="AN498" s="26" t="e">
        <f>INDEX(Parametria!F:F,MATCH(Tabla_Consulta_desde_Reporte_de_Valorización_de_Instrumentos[[#This Row],[CODIGO_SBS]],Parametria!C:C,0))</f>
        <v>#N/A</v>
      </c>
      <c r="AO498" s="26" t="e">
        <f>+INDEX(Parametria!J:J,MATCH(Tabla_Consulta_desde_Reporte_de_Valorización_de_Instrumentos[[#This Row],[CODIGO_SBS]],Parametria!C:C,0))</f>
        <v>#N/A</v>
      </c>
      <c r="AP498" s="26">
        <f>Tabla_Consulta_desde_Reporte_de_Valorización_de_Instrumentos[[#This Row],[Huella]]/$AU$4</f>
        <v>0</v>
      </c>
      <c r="AQ498" s="26" t="e">
        <f>IFERROR(INDEX('BD(MSCI)'!W:W,MATCH(Tabla_Consulta_desde_Reporte_de_Valorización_de_Instrumentos[[#This Row],[CODIGO_ISIN]],'BD(MSCI)'!C:C,0)),IF(Tabla_Consulta_desde_Reporte_de_Valorización_de_Instrumentos[[#This Row],[Rank_rt]]="Cash","Cash","Cuestionario Integra"))</f>
        <v>#N/A</v>
      </c>
      <c r="AR498" s="26" t="str">
        <f>IFERROR(INDEX('BD(MSCI)'!X:X,MATCH(Tabla_Consulta_desde_Reporte_de_Valorización_de_Instrumentos[[#This Row],[CODIGO_ISIN]],'BD(MSCI)'!C:C,0)),"Cuestionario Integra")</f>
        <v>Cuestionario Integra</v>
      </c>
      <c r="AU498" s="26"/>
    </row>
    <row r="499" spans="2:47" hidden="1" x14ac:dyDescent="0.25">
      <c r="B499" s="14" t="s">
        <v>6390</v>
      </c>
      <c r="C499" t="s">
        <v>833</v>
      </c>
      <c r="D499" t="s">
        <v>9</v>
      </c>
      <c r="E499" t="s">
        <v>834</v>
      </c>
      <c r="F499" t="s">
        <v>6466</v>
      </c>
      <c r="G499" t="e">
        <f>INDEX(Parametria!H:H,MATCH(Tabla_Consulta_desde_Reporte_de_Valorización_de_Instrumentos[[#This Row],[CODIGO_SBS]],Parametria!C:C,0),1)</f>
        <v>#N/A</v>
      </c>
      <c r="H499" t="s">
        <v>90</v>
      </c>
      <c r="I499" t="s">
        <v>835</v>
      </c>
      <c r="J499" t="s">
        <v>246</v>
      </c>
      <c r="K499" t="s">
        <v>90</v>
      </c>
      <c r="L499">
        <v>1</v>
      </c>
      <c r="M499" s="5">
        <v>10023750</v>
      </c>
      <c r="N499">
        <v>10023750</v>
      </c>
      <c r="O499">
        <v>0</v>
      </c>
      <c r="P499" s="15">
        <v>46336</v>
      </c>
      <c r="Q499">
        <v>314</v>
      </c>
      <c r="R499">
        <v>1</v>
      </c>
      <c r="S499" t="s">
        <v>155</v>
      </c>
      <c r="T499">
        <v>10022500</v>
      </c>
      <c r="U499" s="5">
        <v>10022500</v>
      </c>
      <c r="V499" t="s">
        <v>192</v>
      </c>
      <c r="W499">
        <v>4565854000</v>
      </c>
      <c r="X499">
        <v>3638173000</v>
      </c>
      <c r="Y499">
        <v>927681000</v>
      </c>
      <c r="Z499">
        <v>0</v>
      </c>
      <c r="AA499" t="str">
        <f>+MID(Tabla_Consulta_desde_Reporte_de_Valorización_de_Instrumentos[[#This Row],[CODIGO_SBS]],7,1)</f>
        <v>1</v>
      </c>
      <c r="AB499">
        <f>INDEX('Cálculo Caja'!F:F,MATCH(Tabla_Consulta_desde_Reporte_de_Valorización_de_Instrumentos[[#This Row],[PORTAFOLIO]],'Cálculo Caja'!A:A,0),1)</f>
        <v>2847839359.3764262</v>
      </c>
      <c r="AC499" s="17">
        <f>Tabla_Consulta_desde_Reporte_de_Valorización_de_Instrumentos[[#This Row],[VALOR_VECTOR_LOCAL]]/Tabla_Consulta_desde_Reporte_de_Valorización_de_Instrumentos[[#This Row],[Patrimonio]]</f>
        <v>3.5197736722744218E-3</v>
      </c>
      <c r="AD499" s="4">
        <f>(Tabla_Consulta_desde_Reporte_de_Valorización_de_Instrumentos[[#This Row],[VALOR_VECTOR_LOCAL]]/INDEX('Tipo de Cambio'!$D:$D,MATCH("2",'Tipo de Cambio'!$E:$E,0),1))/1000000</f>
        <v>2.9824600553423188</v>
      </c>
      <c r="AE499">
        <f>IF(Tabla_Consulta_desde_Reporte_de_Valorización_de_Instrumentos[[#This Row],[PORTAFOLIO]]="IN-FONDO0",Tabla_Consulta_desde_Reporte_de_Valorización_de_Instrumentos[[#This Row],[Inv MM$]],0)</f>
        <v>2.9824600553423188</v>
      </c>
      <c r="AF499" s="26">
        <f>IF(Tabla_Consulta_desde_Reporte_de_Valorización_de_Instrumentos[[#This Row],[PORTAFOLIO]]="IN-FONDO1",Tabla_Consulta_desde_Reporte_de_Valorización_de_Instrumentos[[#This Row],[Inv MM$]],0)</f>
        <v>0</v>
      </c>
      <c r="AG499" s="26">
        <f>IF(Tabla_Consulta_desde_Reporte_de_Valorización_de_Instrumentos[[#This Row],[PORTAFOLIO]]="IN-FONDO2",Tabla_Consulta_desde_Reporte_de_Valorización_de_Instrumentos[[#This Row],[Inv MM$]],0)</f>
        <v>0</v>
      </c>
      <c r="AH499" s="26">
        <f>IF(Tabla_Consulta_desde_Reporte_de_Valorización_de_Instrumentos[[#This Row],[PORTAFOLIO]]="IN-FONDO3",Tabla_Consulta_desde_Reporte_de_Valorización_de_Instrumentos[[#This Row],[Inv MM$]],0)</f>
        <v>0</v>
      </c>
      <c r="AI49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9" s="26">
        <f>IFERROR(IFERROR(INDEX('BD(MSCI)'!$T:$T,MATCH(Tabla_Consulta_desde_Reporte_de_Valorización_de_Instrumentos[[#This Row],[CODIGO_ISIN]],'BD(MSCI)'!$C:$C,0),1),INDEX('BD(MSCI)'!$T:$T,MATCH(Tabla_Consulta_desde_Reporte_de_Valorización_de_Instrumentos[[#This Row],[CODIGO_SBS]],'BD(MSCI)'!$C:$C,0),1)),0)</f>
        <v>0</v>
      </c>
      <c r="AK499" s="26">
        <f>Tabla_Consulta_desde_Reporte_de_Valorización_de_Instrumentos[[#This Row],[C02-H]]*Tabla_Consulta_desde_Reporte_de_Valorización_de_Instrumentos[[#This Row],[Inv MM$]]</f>
        <v>0</v>
      </c>
      <c r="AL499" s="26">
        <f>Tabla_Consulta_desde_Reporte_de_Valorización_de_Instrumentos[[#This Row],[C02-H]]*Tabla_Consulta_desde_Reporte_de_Valorización_de_Instrumentos[[#This Row],[Weight]]</f>
        <v>0</v>
      </c>
      <c r="AM499" s="26" t="e">
        <f>INDEX(Parametria!G:G,MATCH(Tabla_Consulta_desde_Reporte_de_Valorización_de_Instrumentos[[#This Row],[CODIGO_SBS]],Parametria!C:C,0))</f>
        <v>#N/A</v>
      </c>
      <c r="AN499" s="26" t="e">
        <f>INDEX(Parametria!F:F,MATCH(Tabla_Consulta_desde_Reporte_de_Valorización_de_Instrumentos[[#This Row],[CODIGO_SBS]],Parametria!C:C,0))</f>
        <v>#N/A</v>
      </c>
      <c r="AO499" s="26" t="e">
        <f>+INDEX(Parametria!J:J,MATCH(Tabla_Consulta_desde_Reporte_de_Valorización_de_Instrumentos[[#This Row],[CODIGO_SBS]],Parametria!C:C,0))</f>
        <v>#N/A</v>
      </c>
      <c r="AP499" s="26">
        <f>Tabla_Consulta_desde_Reporte_de_Valorización_de_Instrumentos[[#This Row],[Huella]]/$AU$4</f>
        <v>0</v>
      </c>
      <c r="AQ499" s="26" t="e">
        <f>IFERROR(INDEX('BD(MSCI)'!W:W,MATCH(Tabla_Consulta_desde_Reporte_de_Valorización_de_Instrumentos[[#This Row],[CODIGO_ISIN]],'BD(MSCI)'!C:C,0)),IF(Tabla_Consulta_desde_Reporte_de_Valorización_de_Instrumentos[[#This Row],[Rank_rt]]="Cash","Cash","Cuestionario Integra"))</f>
        <v>#N/A</v>
      </c>
      <c r="AR499" s="26" t="str">
        <f>IFERROR(INDEX('BD(MSCI)'!X:X,MATCH(Tabla_Consulta_desde_Reporte_de_Valorización_de_Instrumentos[[#This Row],[CODIGO_ISIN]],'BD(MSCI)'!C:C,0)),"Cuestionario Integra")</f>
        <v>Cuestionario Integra</v>
      </c>
      <c r="AU499" s="26"/>
    </row>
    <row r="500" spans="2:47" hidden="1" x14ac:dyDescent="0.25">
      <c r="B500" s="14" t="s">
        <v>6390</v>
      </c>
      <c r="C500" t="s">
        <v>833</v>
      </c>
      <c r="D500" t="s">
        <v>9</v>
      </c>
      <c r="E500" t="s">
        <v>834</v>
      </c>
      <c r="F500" t="s">
        <v>6467</v>
      </c>
      <c r="G500" t="e">
        <f>INDEX(Parametria!H:H,MATCH(Tabla_Consulta_desde_Reporte_de_Valorización_de_Instrumentos[[#This Row],[CODIGO_SBS]],Parametria!C:C,0),1)</f>
        <v>#N/A</v>
      </c>
      <c r="H500" t="s">
        <v>90</v>
      </c>
      <c r="I500" t="s">
        <v>835</v>
      </c>
      <c r="J500" t="s">
        <v>248</v>
      </c>
      <c r="K500" t="s">
        <v>90</v>
      </c>
      <c r="L500">
        <v>1</v>
      </c>
      <c r="M500" s="5">
        <v>20092500</v>
      </c>
      <c r="N500">
        <v>20092500</v>
      </c>
      <c r="O500">
        <v>0</v>
      </c>
      <c r="P500" s="15">
        <v>46324</v>
      </c>
      <c r="Q500">
        <v>302</v>
      </c>
      <c r="R500">
        <v>1</v>
      </c>
      <c r="S500" t="s">
        <v>155</v>
      </c>
      <c r="T500">
        <v>20090000</v>
      </c>
      <c r="U500" s="5">
        <v>20090000</v>
      </c>
      <c r="V500" t="s">
        <v>192</v>
      </c>
      <c r="W500">
        <v>4565854000</v>
      </c>
      <c r="X500">
        <v>3638173000</v>
      </c>
      <c r="Y500">
        <v>927681000</v>
      </c>
      <c r="Z500">
        <v>0</v>
      </c>
      <c r="AA500" t="str">
        <f>+MID(Tabla_Consulta_desde_Reporte_de_Valorización_de_Instrumentos[[#This Row],[CODIGO_SBS]],7,1)</f>
        <v>1</v>
      </c>
      <c r="AB500">
        <f>INDEX('Cálculo Caja'!F:F,MATCH(Tabla_Consulta_desde_Reporte_de_Valorización_de_Instrumentos[[#This Row],[PORTAFOLIO]],'Cálculo Caja'!A:A,0),1)</f>
        <v>2847839359.3764262</v>
      </c>
      <c r="AC500" s="17">
        <f>Tabla_Consulta_desde_Reporte_de_Valorización_de_Instrumentos[[#This Row],[VALOR_VECTOR_LOCAL]]/Tabla_Consulta_desde_Reporte_de_Valorización_de_Instrumentos[[#This Row],[Patrimonio]]</f>
        <v>7.055348797623027E-3</v>
      </c>
      <c r="AD500" s="4">
        <f>(Tabla_Consulta_desde_Reporte_de_Valorización_de_Instrumentos[[#This Row],[VALOR_VECTOR_LOCAL]]/INDEX('Tipo de Cambio'!$D:$D,MATCH("2",'Tipo de Cambio'!$E:$E,0),1))/1000000</f>
        <v>5.9783093814156922</v>
      </c>
      <c r="AE500">
        <f>IF(Tabla_Consulta_desde_Reporte_de_Valorización_de_Instrumentos[[#This Row],[PORTAFOLIO]]="IN-FONDO0",Tabla_Consulta_desde_Reporte_de_Valorización_de_Instrumentos[[#This Row],[Inv MM$]],0)</f>
        <v>5.9783093814156922</v>
      </c>
      <c r="AF500" s="26">
        <f>IF(Tabla_Consulta_desde_Reporte_de_Valorización_de_Instrumentos[[#This Row],[PORTAFOLIO]]="IN-FONDO1",Tabla_Consulta_desde_Reporte_de_Valorización_de_Instrumentos[[#This Row],[Inv MM$]],0)</f>
        <v>0</v>
      </c>
      <c r="AG500" s="26">
        <f>IF(Tabla_Consulta_desde_Reporte_de_Valorización_de_Instrumentos[[#This Row],[PORTAFOLIO]]="IN-FONDO2",Tabla_Consulta_desde_Reporte_de_Valorización_de_Instrumentos[[#This Row],[Inv MM$]],0)</f>
        <v>0</v>
      </c>
      <c r="AH500" s="26">
        <f>IF(Tabla_Consulta_desde_Reporte_de_Valorización_de_Instrumentos[[#This Row],[PORTAFOLIO]]="IN-FONDO3",Tabla_Consulta_desde_Reporte_de_Valorización_de_Instrumentos[[#This Row],[Inv MM$]],0)</f>
        <v>0</v>
      </c>
      <c r="AI50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0" s="26">
        <f>IFERROR(IFERROR(INDEX('BD(MSCI)'!$T:$T,MATCH(Tabla_Consulta_desde_Reporte_de_Valorización_de_Instrumentos[[#This Row],[CODIGO_ISIN]],'BD(MSCI)'!$C:$C,0),1),INDEX('BD(MSCI)'!$T:$T,MATCH(Tabla_Consulta_desde_Reporte_de_Valorización_de_Instrumentos[[#This Row],[CODIGO_SBS]],'BD(MSCI)'!$C:$C,0),1)),0)</f>
        <v>0</v>
      </c>
      <c r="AK500" s="26">
        <f>Tabla_Consulta_desde_Reporte_de_Valorización_de_Instrumentos[[#This Row],[C02-H]]*Tabla_Consulta_desde_Reporte_de_Valorización_de_Instrumentos[[#This Row],[Inv MM$]]</f>
        <v>0</v>
      </c>
      <c r="AL500" s="26">
        <f>Tabla_Consulta_desde_Reporte_de_Valorización_de_Instrumentos[[#This Row],[C02-H]]*Tabla_Consulta_desde_Reporte_de_Valorización_de_Instrumentos[[#This Row],[Weight]]</f>
        <v>0</v>
      </c>
      <c r="AM500" s="26" t="e">
        <f>INDEX(Parametria!G:G,MATCH(Tabla_Consulta_desde_Reporte_de_Valorización_de_Instrumentos[[#This Row],[CODIGO_SBS]],Parametria!C:C,0))</f>
        <v>#N/A</v>
      </c>
      <c r="AN500" s="26" t="e">
        <f>INDEX(Parametria!F:F,MATCH(Tabla_Consulta_desde_Reporte_de_Valorización_de_Instrumentos[[#This Row],[CODIGO_SBS]],Parametria!C:C,0))</f>
        <v>#N/A</v>
      </c>
      <c r="AO500" s="26" t="e">
        <f>+INDEX(Parametria!J:J,MATCH(Tabla_Consulta_desde_Reporte_de_Valorización_de_Instrumentos[[#This Row],[CODIGO_SBS]],Parametria!C:C,0))</f>
        <v>#N/A</v>
      </c>
      <c r="AP500" s="26">
        <f>Tabla_Consulta_desde_Reporte_de_Valorización_de_Instrumentos[[#This Row],[Huella]]/$AU$4</f>
        <v>0</v>
      </c>
      <c r="AQ500" s="26" t="e">
        <f>IFERROR(INDEX('BD(MSCI)'!W:W,MATCH(Tabla_Consulta_desde_Reporte_de_Valorización_de_Instrumentos[[#This Row],[CODIGO_ISIN]],'BD(MSCI)'!C:C,0)),IF(Tabla_Consulta_desde_Reporte_de_Valorización_de_Instrumentos[[#This Row],[Rank_rt]]="Cash","Cash","Cuestionario Integra"))</f>
        <v>#N/A</v>
      </c>
      <c r="AR500" s="26" t="str">
        <f>IFERROR(INDEX('BD(MSCI)'!X:X,MATCH(Tabla_Consulta_desde_Reporte_de_Valorización_de_Instrumentos[[#This Row],[CODIGO_ISIN]],'BD(MSCI)'!C:C,0)),"Cuestionario Integra")</f>
        <v>Cuestionario Integra</v>
      </c>
      <c r="AU500" s="26"/>
    </row>
    <row r="501" spans="2:47" hidden="1" x14ac:dyDescent="0.25">
      <c r="B501" s="14" t="s">
        <v>6390</v>
      </c>
      <c r="C501" t="s">
        <v>833</v>
      </c>
      <c r="D501" t="s">
        <v>9</v>
      </c>
      <c r="E501" t="s">
        <v>834</v>
      </c>
      <c r="F501" t="s">
        <v>6468</v>
      </c>
      <c r="G501" t="e">
        <f>INDEX(Parametria!H:H,MATCH(Tabla_Consulta_desde_Reporte_de_Valorización_de_Instrumentos[[#This Row],[CODIGO_SBS]],Parametria!C:C,0),1)</f>
        <v>#N/A</v>
      </c>
      <c r="H501" t="s">
        <v>90</v>
      </c>
      <c r="I501" t="s">
        <v>835</v>
      </c>
      <c r="J501" t="s">
        <v>248</v>
      </c>
      <c r="K501" t="s">
        <v>90</v>
      </c>
      <c r="L501">
        <v>1</v>
      </c>
      <c r="M501" s="5">
        <v>20092705.719999999</v>
      </c>
      <c r="N501">
        <v>20092705.719999999</v>
      </c>
      <c r="O501">
        <v>0</v>
      </c>
      <c r="P501" s="15">
        <v>46331</v>
      </c>
      <c r="Q501">
        <v>309</v>
      </c>
      <c r="R501">
        <v>1</v>
      </c>
      <c r="S501" t="s">
        <v>155</v>
      </c>
      <c r="T501">
        <v>20090200.16</v>
      </c>
      <c r="U501" s="5">
        <v>20090200.16</v>
      </c>
      <c r="V501" t="s">
        <v>192</v>
      </c>
      <c r="W501">
        <v>4565854000</v>
      </c>
      <c r="X501">
        <v>3638173000</v>
      </c>
      <c r="Y501">
        <v>927681000</v>
      </c>
      <c r="Z501">
        <v>0</v>
      </c>
      <c r="AA501" t="str">
        <f>+MID(Tabla_Consulta_desde_Reporte_de_Valorización_de_Instrumentos[[#This Row],[CODIGO_SBS]],7,1)</f>
        <v>1</v>
      </c>
      <c r="AB501">
        <f>INDEX('Cálculo Caja'!F:F,MATCH(Tabla_Consulta_desde_Reporte_de_Valorización_de_Instrumentos[[#This Row],[PORTAFOLIO]],'Cálculo Caja'!A:A,0),1)</f>
        <v>2847839359.3764262</v>
      </c>
      <c r="AC501" s="17">
        <f>Tabla_Consulta_desde_Reporte_de_Valorización_de_Instrumentos[[#This Row],[VALOR_VECTOR_LOCAL]]/Tabla_Consulta_desde_Reporte_de_Valorización_de_Instrumentos[[#This Row],[Patrimonio]]</f>
        <v>7.0554210348436133E-3</v>
      </c>
      <c r="AD501" s="4">
        <f>(Tabla_Consulta_desde_Reporte_de_Valorización_de_Instrumentos[[#This Row],[VALOR_VECTOR_LOCAL]]/INDEX('Tipo de Cambio'!$D:$D,MATCH("2",'Tipo de Cambio'!$E:$E,0),1))/1000000</f>
        <v>5.9783705912106875</v>
      </c>
      <c r="AE501">
        <f>IF(Tabla_Consulta_desde_Reporte_de_Valorización_de_Instrumentos[[#This Row],[PORTAFOLIO]]="IN-FONDO0",Tabla_Consulta_desde_Reporte_de_Valorización_de_Instrumentos[[#This Row],[Inv MM$]],0)</f>
        <v>5.9783705912106875</v>
      </c>
      <c r="AF501" s="26">
        <f>IF(Tabla_Consulta_desde_Reporte_de_Valorización_de_Instrumentos[[#This Row],[PORTAFOLIO]]="IN-FONDO1",Tabla_Consulta_desde_Reporte_de_Valorización_de_Instrumentos[[#This Row],[Inv MM$]],0)</f>
        <v>0</v>
      </c>
      <c r="AG501" s="26">
        <f>IF(Tabla_Consulta_desde_Reporte_de_Valorización_de_Instrumentos[[#This Row],[PORTAFOLIO]]="IN-FONDO2",Tabla_Consulta_desde_Reporte_de_Valorización_de_Instrumentos[[#This Row],[Inv MM$]],0)</f>
        <v>0</v>
      </c>
      <c r="AH501" s="26">
        <f>IF(Tabla_Consulta_desde_Reporte_de_Valorización_de_Instrumentos[[#This Row],[PORTAFOLIO]]="IN-FONDO3",Tabla_Consulta_desde_Reporte_de_Valorización_de_Instrumentos[[#This Row],[Inv MM$]],0)</f>
        <v>0</v>
      </c>
      <c r="AI50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1" s="26">
        <f>IFERROR(IFERROR(INDEX('BD(MSCI)'!$T:$T,MATCH(Tabla_Consulta_desde_Reporte_de_Valorización_de_Instrumentos[[#This Row],[CODIGO_ISIN]],'BD(MSCI)'!$C:$C,0),1),INDEX('BD(MSCI)'!$T:$T,MATCH(Tabla_Consulta_desde_Reporte_de_Valorización_de_Instrumentos[[#This Row],[CODIGO_SBS]],'BD(MSCI)'!$C:$C,0),1)),0)</f>
        <v>0</v>
      </c>
      <c r="AK501" s="26">
        <f>Tabla_Consulta_desde_Reporte_de_Valorización_de_Instrumentos[[#This Row],[C02-H]]*Tabla_Consulta_desde_Reporte_de_Valorización_de_Instrumentos[[#This Row],[Inv MM$]]</f>
        <v>0</v>
      </c>
      <c r="AL501" s="26">
        <f>Tabla_Consulta_desde_Reporte_de_Valorización_de_Instrumentos[[#This Row],[C02-H]]*Tabla_Consulta_desde_Reporte_de_Valorización_de_Instrumentos[[#This Row],[Weight]]</f>
        <v>0</v>
      </c>
      <c r="AM501" s="26" t="e">
        <f>INDEX(Parametria!G:G,MATCH(Tabla_Consulta_desde_Reporte_de_Valorización_de_Instrumentos[[#This Row],[CODIGO_SBS]],Parametria!C:C,0))</f>
        <v>#N/A</v>
      </c>
      <c r="AN501" s="26" t="e">
        <f>INDEX(Parametria!F:F,MATCH(Tabla_Consulta_desde_Reporte_de_Valorización_de_Instrumentos[[#This Row],[CODIGO_SBS]],Parametria!C:C,0))</f>
        <v>#N/A</v>
      </c>
      <c r="AO501" s="26" t="e">
        <f>+INDEX(Parametria!J:J,MATCH(Tabla_Consulta_desde_Reporte_de_Valorización_de_Instrumentos[[#This Row],[CODIGO_SBS]],Parametria!C:C,0))</f>
        <v>#N/A</v>
      </c>
      <c r="AP501" s="26">
        <f>Tabla_Consulta_desde_Reporte_de_Valorización_de_Instrumentos[[#This Row],[Huella]]/$AU$4</f>
        <v>0</v>
      </c>
      <c r="AQ501" s="26" t="e">
        <f>IFERROR(INDEX('BD(MSCI)'!W:W,MATCH(Tabla_Consulta_desde_Reporte_de_Valorización_de_Instrumentos[[#This Row],[CODIGO_ISIN]],'BD(MSCI)'!C:C,0)),IF(Tabla_Consulta_desde_Reporte_de_Valorización_de_Instrumentos[[#This Row],[Rank_rt]]="Cash","Cash","Cuestionario Integra"))</f>
        <v>#N/A</v>
      </c>
      <c r="AR501" s="26" t="str">
        <f>IFERROR(INDEX('BD(MSCI)'!X:X,MATCH(Tabla_Consulta_desde_Reporte_de_Valorización_de_Instrumentos[[#This Row],[CODIGO_ISIN]],'BD(MSCI)'!C:C,0)),"Cuestionario Integra")</f>
        <v>Cuestionario Integra</v>
      </c>
      <c r="AU501" s="26"/>
    </row>
    <row r="502" spans="2:47" hidden="1" x14ac:dyDescent="0.25">
      <c r="B502" s="14" t="s">
        <v>6390</v>
      </c>
      <c r="C502" t="s">
        <v>833</v>
      </c>
      <c r="D502" t="s">
        <v>9</v>
      </c>
      <c r="E502" t="s">
        <v>834</v>
      </c>
      <c r="F502" t="s">
        <v>6469</v>
      </c>
      <c r="G502" t="e">
        <f>INDEX(Parametria!H:H,MATCH(Tabla_Consulta_desde_Reporte_de_Valorización_de_Instrumentos[[#This Row],[CODIGO_SBS]],Parametria!C:C,0),1)</f>
        <v>#N/A</v>
      </c>
      <c r="H502" t="s">
        <v>90</v>
      </c>
      <c r="I502" t="s">
        <v>835</v>
      </c>
      <c r="J502" t="s">
        <v>246</v>
      </c>
      <c r="K502" t="s">
        <v>90</v>
      </c>
      <c r="L502">
        <v>1</v>
      </c>
      <c r="M502" s="5">
        <v>20075000</v>
      </c>
      <c r="N502">
        <v>20075000</v>
      </c>
      <c r="O502">
        <v>0</v>
      </c>
      <c r="P502" s="15">
        <v>46352</v>
      </c>
      <c r="Q502">
        <v>330</v>
      </c>
      <c r="R502">
        <v>1</v>
      </c>
      <c r="S502" t="s">
        <v>155</v>
      </c>
      <c r="T502">
        <v>20072500</v>
      </c>
      <c r="U502" s="5">
        <v>20072500</v>
      </c>
      <c r="V502" t="s">
        <v>192</v>
      </c>
      <c r="W502">
        <v>4565854000</v>
      </c>
      <c r="X502">
        <v>3638173000</v>
      </c>
      <c r="Y502">
        <v>927681000</v>
      </c>
      <c r="Z502">
        <v>0</v>
      </c>
      <c r="AA502" t="str">
        <f>+MID(Tabla_Consulta_desde_Reporte_de_Valorización_de_Instrumentos[[#This Row],[CODIGO_SBS]],7,1)</f>
        <v>1</v>
      </c>
      <c r="AB502">
        <f>INDEX('Cálculo Caja'!F:F,MATCH(Tabla_Consulta_desde_Reporte_de_Valorización_de_Instrumentos[[#This Row],[PORTAFOLIO]],'Cálculo Caja'!A:A,0),1)</f>
        <v>2847839359.3764262</v>
      </c>
      <c r="AC502" s="17">
        <f>Tabla_Consulta_desde_Reporte_de_Valorización_de_Instrumentos[[#This Row],[VALOR_VECTOR_LOCAL]]/Tabla_Consulta_desde_Reporte_de_Valorización_de_Instrumentos[[#This Row],[Patrimonio]]</f>
        <v>7.049203788094178E-3</v>
      </c>
      <c r="AD502" s="4">
        <f>(Tabla_Consulta_desde_Reporte_de_Valorización_de_Instrumentos[[#This Row],[VALOR_VECTOR_LOCAL]]/INDEX('Tipo de Cambio'!$D:$D,MATCH("2",'Tipo de Cambio'!$E:$E,0),1))/1000000</f>
        <v>5.9731024427980604</v>
      </c>
      <c r="AE502">
        <f>IF(Tabla_Consulta_desde_Reporte_de_Valorización_de_Instrumentos[[#This Row],[PORTAFOLIO]]="IN-FONDO0",Tabla_Consulta_desde_Reporte_de_Valorización_de_Instrumentos[[#This Row],[Inv MM$]],0)</f>
        <v>5.9731024427980604</v>
      </c>
      <c r="AF502" s="26">
        <f>IF(Tabla_Consulta_desde_Reporte_de_Valorización_de_Instrumentos[[#This Row],[PORTAFOLIO]]="IN-FONDO1",Tabla_Consulta_desde_Reporte_de_Valorización_de_Instrumentos[[#This Row],[Inv MM$]],0)</f>
        <v>0</v>
      </c>
      <c r="AG502" s="26">
        <f>IF(Tabla_Consulta_desde_Reporte_de_Valorización_de_Instrumentos[[#This Row],[PORTAFOLIO]]="IN-FONDO2",Tabla_Consulta_desde_Reporte_de_Valorización_de_Instrumentos[[#This Row],[Inv MM$]],0)</f>
        <v>0</v>
      </c>
      <c r="AH502" s="26">
        <f>IF(Tabla_Consulta_desde_Reporte_de_Valorización_de_Instrumentos[[#This Row],[PORTAFOLIO]]="IN-FONDO3",Tabla_Consulta_desde_Reporte_de_Valorización_de_Instrumentos[[#This Row],[Inv MM$]],0)</f>
        <v>0</v>
      </c>
      <c r="AI50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2" s="26">
        <f>IFERROR(IFERROR(INDEX('BD(MSCI)'!$T:$T,MATCH(Tabla_Consulta_desde_Reporte_de_Valorización_de_Instrumentos[[#This Row],[CODIGO_ISIN]],'BD(MSCI)'!$C:$C,0),1),INDEX('BD(MSCI)'!$T:$T,MATCH(Tabla_Consulta_desde_Reporte_de_Valorización_de_Instrumentos[[#This Row],[CODIGO_SBS]],'BD(MSCI)'!$C:$C,0),1)),0)</f>
        <v>0</v>
      </c>
      <c r="AK502" s="26">
        <f>Tabla_Consulta_desde_Reporte_de_Valorización_de_Instrumentos[[#This Row],[C02-H]]*Tabla_Consulta_desde_Reporte_de_Valorización_de_Instrumentos[[#This Row],[Inv MM$]]</f>
        <v>0</v>
      </c>
      <c r="AL502" s="26">
        <f>Tabla_Consulta_desde_Reporte_de_Valorización_de_Instrumentos[[#This Row],[C02-H]]*Tabla_Consulta_desde_Reporte_de_Valorización_de_Instrumentos[[#This Row],[Weight]]</f>
        <v>0</v>
      </c>
      <c r="AM502" s="26" t="e">
        <f>INDEX(Parametria!G:G,MATCH(Tabla_Consulta_desde_Reporte_de_Valorización_de_Instrumentos[[#This Row],[CODIGO_SBS]],Parametria!C:C,0))</f>
        <v>#N/A</v>
      </c>
      <c r="AN502" s="26" t="e">
        <f>INDEX(Parametria!F:F,MATCH(Tabla_Consulta_desde_Reporte_de_Valorización_de_Instrumentos[[#This Row],[CODIGO_SBS]],Parametria!C:C,0))</f>
        <v>#N/A</v>
      </c>
      <c r="AO502" s="26" t="e">
        <f>+INDEX(Parametria!J:J,MATCH(Tabla_Consulta_desde_Reporte_de_Valorización_de_Instrumentos[[#This Row],[CODIGO_SBS]],Parametria!C:C,0))</f>
        <v>#N/A</v>
      </c>
      <c r="AP502" s="26">
        <f>Tabla_Consulta_desde_Reporte_de_Valorización_de_Instrumentos[[#This Row],[Huella]]/$AU$4</f>
        <v>0</v>
      </c>
      <c r="AQ502" s="26" t="e">
        <f>IFERROR(INDEX('BD(MSCI)'!W:W,MATCH(Tabla_Consulta_desde_Reporte_de_Valorización_de_Instrumentos[[#This Row],[CODIGO_ISIN]],'BD(MSCI)'!C:C,0)),IF(Tabla_Consulta_desde_Reporte_de_Valorización_de_Instrumentos[[#This Row],[Rank_rt]]="Cash","Cash","Cuestionario Integra"))</f>
        <v>#N/A</v>
      </c>
      <c r="AR502" s="26" t="str">
        <f>IFERROR(INDEX('BD(MSCI)'!X:X,MATCH(Tabla_Consulta_desde_Reporte_de_Valorización_de_Instrumentos[[#This Row],[CODIGO_ISIN]],'BD(MSCI)'!C:C,0)),"Cuestionario Integra")</f>
        <v>Cuestionario Integra</v>
      </c>
      <c r="AU502" s="26"/>
    </row>
    <row r="503" spans="2:47" hidden="1" x14ac:dyDescent="0.25">
      <c r="B503" s="14" t="s">
        <v>6390</v>
      </c>
      <c r="C503" t="s">
        <v>833</v>
      </c>
      <c r="D503" t="s">
        <v>9</v>
      </c>
      <c r="E503" t="s">
        <v>834</v>
      </c>
      <c r="F503" t="s">
        <v>6470</v>
      </c>
      <c r="G503" t="e">
        <f>INDEX(Parametria!H:H,MATCH(Tabla_Consulta_desde_Reporte_de_Valorización_de_Instrumentos[[#This Row],[CODIGO_SBS]],Parametria!C:C,0),1)</f>
        <v>#N/A</v>
      </c>
      <c r="H503" t="s">
        <v>90</v>
      </c>
      <c r="I503" t="s">
        <v>835</v>
      </c>
      <c r="J503" t="s">
        <v>248</v>
      </c>
      <c r="K503" t="s">
        <v>90</v>
      </c>
      <c r="L503">
        <v>1</v>
      </c>
      <c r="M503" s="5">
        <v>16050844.352</v>
      </c>
      <c r="N503">
        <v>16050844.352</v>
      </c>
      <c r="O503">
        <v>0</v>
      </c>
      <c r="P503" s="15">
        <v>46336</v>
      </c>
      <c r="Q503">
        <v>314</v>
      </c>
      <c r="R503">
        <v>1</v>
      </c>
      <c r="S503" t="s">
        <v>155</v>
      </c>
      <c r="T503">
        <v>16048888.800000001</v>
      </c>
      <c r="U503" s="5">
        <v>16048888.800000001</v>
      </c>
      <c r="V503" t="s">
        <v>192</v>
      </c>
      <c r="W503">
        <v>4565854000</v>
      </c>
      <c r="X503">
        <v>3638173000</v>
      </c>
      <c r="Y503">
        <v>927681000</v>
      </c>
      <c r="Z503">
        <v>0</v>
      </c>
      <c r="AA503" t="str">
        <f>+MID(Tabla_Consulta_desde_Reporte_de_Valorización_de_Instrumentos[[#This Row],[CODIGO_SBS]],7,1)</f>
        <v>1</v>
      </c>
      <c r="AB503">
        <f>INDEX('Cálculo Caja'!F:F,MATCH(Tabla_Consulta_desde_Reporte_de_Valorización_de_Instrumentos[[#This Row],[PORTAFOLIO]],'Cálculo Caja'!A:A,0),1)</f>
        <v>2847839359.3764262</v>
      </c>
      <c r="AC503" s="17">
        <f>Tabla_Consulta_desde_Reporte_de_Valorización_de_Instrumentos[[#This Row],[VALOR_VECTOR_LOCAL]]/Tabla_Consulta_desde_Reporte_de_Valorización_de_Instrumentos[[#This Row],[Patrimonio]]</f>
        <v>5.6361480850923252E-3</v>
      </c>
      <c r="AD503" s="4">
        <f>(Tabla_Consulta_desde_Reporte_de_Valorización_de_Instrumentos[[#This Row],[VALOR_VECTOR_LOCAL]]/INDEX('Tipo de Cambio'!$D:$D,MATCH("2",'Tipo de Cambio'!$E:$E,0),1))/1000000</f>
        <v>4.775757788687554</v>
      </c>
      <c r="AE503">
        <f>IF(Tabla_Consulta_desde_Reporte_de_Valorización_de_Instrumentos[[#This Row],[PORTAFOLIO]]="IN-FONDO0",Tabla_Consulta_desde_Reporte_de_Valorización_de_Instrumentos[[#This Row],[Inv MM$]],0)</f>
        <v>4.775757788687554</v>
      </c>
      <c r="AF503" s="26">
        <f>IF(Tabla_Consulta_desde_Reporte_de_Valorización_de_Instrumentos[[#This Row],[PORTAFOLIO]]="IN-FONDO1",Tabla_Consulta_desde_Reporte_de_Valorización_de_Instrumentos[[#This Row],[Inv MM$]],0)</f>
        <v>0</v>
      </c>
      <c r="AG503" s="26">
        <f>IF(Tabla_Consulta_desde_Reporte_de_Valorización_de_Instrumentos[[#This Row],[PORTAFOLIO]]="IN-FONDO2",Tabla_Consulta_desde_Reporte_de_Valorización_de_Instrumentos[[#This Row],[Inv MM$]],0)</f>
        <v>0</v>
      </c>
      <c r="AH503" s="26">
        <f>IF(Tabla_Consulta_desde_Reporte_de_Valorización_de_Instrumentos[[#This Row],[PORTAFOLIO]]="IN-FONDO3",Tabla_Consulta_desde_Reporte_de_Valorización_de_Instrumentos[[#This Row],[Inv MM$]],0)</f>
        <v>0</v>
      </c>
      <c r="AI50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3" s="26">
        <f>IFERROR(IFERROR(INDEX('BD(MSCI)'!$T:$T,MATCH(Tabla_Consulta_desde_Reporte_de_Valorización_de_Instrumentos[[#This Row],[CODIGO_ISIN]],'BD(MSCI)'!$C:$C,0),1),INDEX('BD(MSCI)'!$T:$T,MATCH(Tabla_Consulta_desde_Reporte_de_Valorización_de_Instrumentos[[#This Row],[CODIGO_SBS]],'BD(MSCI)'!$C:$C,0),1)),0)</f>
        <v>0</v>
      </c>
      <c r="AK503" s="26">
        <f>Tabla_Consulta_desde_Reporte_de_Valorización_de_Instrumentos[[#This Row],[C02-H]]*Tabla_Consulta_desde_Reporte_de_Valorización_de_Instrumentos[[#This Row],[Inv MM$]]</f>
        <v>0</v>
      </c>
      <c r="AL503" s="26">
        <f>Tabla_Consulta_desde_Reporte_de_Valorización_de_Instrumentos[[#This Row],[C02-H]]*Tabla_Consulta_desde_Reporte_de_Valorización_de_Instrumentos[[#This Row],[Weight]]</f>
        <v>0</v>
      </c>
      <c r="AM503" s="26" t="e">
        <f>INDEX(Parametria!G:G,MATCH(Tabla_Consulta_desde_Reporte_de_Valorización_de_Instrumentos[[#This Row],[CODIGO_SBS]],Parametria!C:C,0))</f>
        <v>#N/A</v>
      </c>
      <c r="AN503" s="26" t="e">
        <f>INDEX(Parametria!F:F,MATCH(Tabla_Consulta_desde_Reporte_de_Valorización_de_Instrumentos[[#This Row],[CODIGO_SBS]],Parametria!C:C,0))</f>
        <v>#N/A</v>
      </c>
      <c r="AO503" s="26" t="e">
        <f>+INDEX(Parametria!J:J,MATCH(Tabla_Consulta_desde_Reporte_de_Valorización_de_Instrumentos[[#This Row],[CODIGO_SBS]],Parametria!C:C,0))</f>
        <v>#N/A</v>
      </c>
      <c r="AP503" s="26">
        <f>Tabla_Consulta_desde_Reporte_de_Valorización_de_Instrumentos[[#This Row],[Huella]]/$AU$4</f>
        <v>0</v>
      </c>
      <c r="AQ503" s="26" t="e">
        <f>IFERROR(INDEX('BD(MSCI)'!W:W,MATCH(Tabla_Consulta_desde_Reporte_de_Valorización_de_Instrumentos[[#This Row],[CODIGO_ISIN]],'BD(MSCI)'!C:C,0)),IF(Tabla_Consulta_desde_Reporte_de_Valorización_de_Instrumentos[[#This Row],[Rank_rt]]="Cash","Cash","Cuestionario Integra"))</f>
        <v>#N/A</v>
      </c>
      <c r="AR503" s="26" t="str">
        <f>IFERROR(INDEX('BD(MSCI)'!X:X,MATCH(Tabla_Consulta_desde_Reporte_de_Valorización_de_Instrumentos[[#This Row],[CODIGO_ISIN]],'BD(MSCI)'!C:C,0)),"Cuestionario Integra")</f>
        <v>Cuestionario Integra</v>
      </c>
      <c r="AU503" s="26"/>
    </row>
    <row r="504" spans="2:47" hidden="1" x14ac:dyDescent="0.25">
      <c r="B504" s="14" t="s">
        <v>6390</v>
      </c>
      <c r="C504" t="s">
        <v>833</v>
      </c>
      <c r="D504" t="s">
        <v>9</v>
      </c>
      <c r="E504" t="s">
        <v>834</v>
      </c>
      <c r="F504" t="s">
        <v>6471</v>
      </c>
      <c r="G504" t="e">
        <f>INDEX(Parametria!H:H,MATCH(Tabla_Consulta_desde_Reporte_de_Valorización_de_Instrumentos[[#This Row],[CODIGO_SBS]],Parametria!C:C,0),1)</f>
        <v>#N/A</v>
      </c>
      <c r="H504" t="s">
        <v>90</v>
      </c>
      <c r="I504" t="s">
        <v>835</v>
      </c>
      <c r="J504" t="s">
        <v>246</v>
      </c>
      <c r="K504" t="s">
        <v>90</v>
      </c>
      <c r="L504">
        <v>1</v>
      </c>
      <c r="M504" s="5">
        <v>12039000</v>
      </c>
      <c r="N504">
        <v>12039000</v>
      </c>
      <c r="O504">
        <v>0</v>
      </c>
      <c r="P504" s="15">
        <v>46338</v>
      </c>
      <c r="Q504">
        <v>316</v>
      </c>
      <c r="R504">
        <v>1</v>
      </c>
      <c r="S504" t="s">
        <v>155</v>
      </c>
      <c r="T504">
        <v>12037500</v>
      </c>
      <c r="U504" s="5">
        <v>12037500</v>
      </c>
      <c r="V504" t="s">
        <v>192</v>
      </c>
      <c r="W504">
        <v>4565854000</v>
      </c>
      <c r="X504">
        <v>3638173000</v>
      </c>
      <c r="Y504">
        <v>927681000</v>
      </c>
      <c r="Z504">
        <v>0</v>
      </c>
      <c r="AA504" t="str">
        <f>+MID(Tabla_Consulta_desde_Reporte_de_Valorización_de_Instrumentos[[#This Row],[CODIGO_SBS]],7,1)</f>
        <v>1</v>
      </c>
      <c r="AB504">
        <f>INDEX('Cálculo Caja'!F:F,MATCH(Tabla_Consulta_desde_Reporte_de_Valorización_de_Instrumentos[[#This Row],[PORTAFOLIO]],'Cálculo Caja'!A:A,0),1)</f>
        <v>2847839359.3764262</v>
      </c>
      <c r="AC504" s="17">
        <f>Tabla_Consulta_desde_Reporte_de_Valorización_de_Instrumentos[[#This Row],[VALOR_VECTOR_LOCAL]]/Tabla_Consulta_desde_Reporte_de_Valorización_de_Instrumentos[[#This Row],[Patrimonio]]</f>
        <v>4.227415412446615E-3</v>
      </c>
      <c r="AD504" s="4">
        <f>(Tabla_Consulta_desde_Reporte_de_Valorización_de_Instrumentos[[#This Row],[VALOR_VECTOR_LOCAL]]/INDEX('Tipo de Cambio'!$D:$D,MATCH("2",'Tipo de Cambio'!$E:$E,0),1))/1000000</f>
        <v>3.5820762295813622</v>
      </c>
      <c r="AE504">
        <f>IF(Tabla_Consulta_desde_Reporte_de_Valorización_de_Instrumentos[[#This Row],[PORTAFOLIO]]="IN-FONDO0",Tabla_Consulta_desde_Reporte_de_Valorización_de_Instrumentos[[#This Row],[Inv MM$]],0)</f>
        <v>3.5820762295813622</v>
      </c>
      <c r="AF504" s="26">
        <f>IF(Tabla_Consulta_desde_Reporte_de_Valorización_de_Instrumentos[[#This Row],[PORTAFOLIO]]="IN-FONDO1",Tabla_Consulta_desde_Reporte_de_Valorización_de_Instrumentos[[#This Row],[Inv MM$]],0)</f>
        <v>0</v>
      </c>
      <c r="AG504" s="26">
        <f>IF(Tabla_Consulta_desde_Reporte_de_Valorización_de_Instrumentos[[#This Row],[PORTAFOLIO]]="IN-FONDO2",Tabla_Consulta_desde_Reporte_de_Valorización_de_Instrumentos[[#This Row],[Inv MM$]],0)</f>
        <v>0</v>
      </c>
      <c r="AH504" s="26">
        <f>IF(Tabla_Consulta_desde_Reporte_de_Valorización_de_Instrumentos[[#This Row],[PORTAFOLIO]]="IN-FONDO3",Tabla_Consulta_desde_Reporte_de_Valorización_de_Instrumentos[[#This Row],[Inv MM$]],0)</f>
        <v>0</v>
      </c>
      <c r="AI50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4" s="26">
        <f>IFERROR(IFERROR(INDEX('BD(MSCI)'!$T:$T,MATCH(Tabla_Consulta_desde_Reporte_de_Valorización_de_Instrumentos[[#This Row],[CODIGO_ISIN]],'BD(MSCI)'!$C:$C,0),1),INDEX('BD(MSCI)'!$T:$T,MATCH(Tabla_Consulta_desde_Reporte_de_Valorización_de_Instrumentos[[#This Row],[CODIGO_SBS]],'BD(MSCI)'!$C:$C,0),1)),0)</f>
        <v>0</v>
      </c>
      <c r="AK504" s="26">
        <f>Tabla_Consulta_desde_Reporte_de_Valorización_de_Instrumentos[[#This Row],[C02-H]]*Tabla_Consulta_desde_Reporte_de_Valorización_de_Instrumentos[[#This Row],[Inv MM$]]</f>
        <v>0</v>
      </c>
      <c r="AL504" s="26">
        <f>Tabla_Consulta_desde_Reporte_de_Valorización_de_Instrumentos[[#This Row],[C02-H]]*Tabla_Consulta_desde_Reporte_de_Valorización_de_Instrumentos[[#This Row],[Weight]]</f>
        <v>0</v>
      </c>
      <c r="AM504" s="26" t="e">
        <f>INDEX(Parametria!G:G,MATCH(Tabla_Consulta_desde_Reporte_de_Valorización_de_Instrumentos[[#This Row],[CODIGO_SBS]],Parametria!C:C,0))</f>
        <v>#N/A</v>
      </c>
      <c r="AN504" s="26" t="e">
        <f>INDEX(Parametria!F:F,MATCH(Tabla_Consulta_desde_Reporte_de_Valorización_de_Instrumentos[[#This Row],[CODIGO_SBS]],Parametria!C:C,0))</f>
        <v>#N/A</v>
      </c>
      <c r="AO504" s="26" t="e">
        <f>+INDEX(Parametria!J:J,MATCH(Tabla_Consulta_desde_Reporte_de_Valorización_de_Instrumentos[[#This Row],[CODIGO_SBS]],Parametria!C:C,0))</f>
        <v>#N/A</v>
      </c>
      <c r="AP504" s="26">
        <f>Tabla_Consulta_desde_Reporte_de_Valorización_de_Instrumentos[[#This Row],[Huella]]/$AU$4</f>
        <v>0</v>
      </c>
      <c r="AQ504" s="26" t="e">
        <f>IFERROR(INDEX('BD(MSCI)'!W:W,MATCH(Tabla_Consulta_desde_Reporte_de_Valorización_de_Instrumentos[[#This Row],[CODIGO_ISIN]],'BD(MSCI)'!C:C,0)),IF(Tabla_Consulta_desde_Reporte_de_Valorización_de_Instrumentos[[#This Row],[Rank_rt]]="Cash","Cash","Cuestionario Integra"))</f>
        <v>#N/A</v>
      </c>
      <c r="AR504" s="26" t="str">
        <f>IFERROR(INDEX('BD(MSCI)'!X:X,MATCH(Tabla_Consulta_desde_Reporte_de_Valorización_de_Instrumentos[[#This Row],[CODIGO_ISIN]],'BD(MSCI)'!C:C,0)),"Cuestionario Integra")</f>
        <v>Cuestionario Integra</v>
      </c>
      <c r="AU504" s="26"/>
    </row>
    <row r="505" spans="2:47" hidden="1" x14ac:dyDescent="0.25">
      <c r="B505" s="14" t="s">
        <v>6390</v>
      </c>
      <c r="C505" t="s">
        <v>833</v>
      </c>
      <c r="D505" t="s">
        <v>9</v>
      </c>
      <c r="E505" t="s">
        <v>834</v>
      </c>
      <c r="F505" t="s">
        <v>6472</v>
      </c>
      <c r="G505" t="e">
        <f>INDEX(Parametria!H:H,MATCH(Tabla_Consulta_desde_Reporte_de_Valorización_de_Instrumentos[[#This Row],[CODIGO_SBS]],Parametria!C:C,0),1)</f>
        <v>#N/A</v>
      </c>
      <c r="H505" t="s">
        <v>90</v>
      </c>
      <c r="I505" t="s">
        <v>835</v>
      </c>
      <c r="J505" t="s">
        <v>245</v>
      </c>
      <c r="K505" t="s">
        <v>90</v>
      </c>
      <c r="L505">
        <v>1</v>
      </c>
      <c r="M505" s="5">
        <v>8025306.7359999996</v>
      </c>
      <c r="N505">
        <v>8025306.7359999996</v>
      </c>
      <c r="O505">
        <v>0</v>
      </c>
      <c r="P505" s="15">
        <v>46338</v>
      </c>
      <c r="Q505">
        <v>316</v>
      </c>
      <c r="R505">
        <v>1</v>
      </c>
      <c r="S505" t="s">
        <v>155</v>
      </c>
      <c r="T505">
        <v>8024333.4000000004</v>
      </c>
      <c r="U505" s="5">
        <v>8024333.4000000004</v>
      </c>
      <c r="V505" t="s">
        <v>192</v>
      </c>
      <c r="W505">
        <v>4565854000</v>
      </c>
      <c r="X505">
        <v>3638173000</v>
      </c>
      <c r="Y505">
        <v>927681000</v>
      </c>
      <c r="Z505">
        <v>0</v>
      </c>
      <c r="AA505" t="str">
        <f>+MID(Tabla_Consulta_desde_Reporte_de_Valorización_de_Instrumentos[[#This Row],[CODIGO_SBS]],7,1)</f>
        <v>1</v>
      </c>
      <c r="AB505">
        <f>INDEX('Cálculo Caja'!F:F,MATCH(Tabla_Consulta_desde_Reporte_de_Valorización_de_Instrumentos[[#This Row],[PORTAFOLIO]],'Cálculo Caja'!A:A,0),1)</f>
        <v>2847839359.3764262</v>
      </c>
      <c r="AC505" s="17">
        <f>Tabla_Consulta_desde_Reporte_de_Valorización_de_Instrumentos[[#This Row],[VALOR_VECTOR_LOCAL]]/Tabla_Consulta_desde_Reporte_de_Valorización_de_Instrumentos[[#This Row],[Patrimonio]]</f>
        <v>2.8180335065518766E-3</v>
      </c>
      <c r="AD505" s="4">
        <f>(Tabla_Consulta_desde_Reporte_de_Valorización_de_Instrumentos[[#This Row],[VALOR_VECTOR_LOCAL]]/INDEX('Tipo de Cambio'!$D:$D,MATCH("2",'Tipo de Cambio'!$E:$E,0),1))/1000000</f>
        <v>2.3878445464012614</v>
      </c>
      <c r="AE505">
        <f>IF(Tabla_Consulta_desde_Reporte_de_Valorización_de_Instrumentos[[#This Row],[PORTAFOLIO]]="IN-FONDO0",Tabla_Consulta_desde_Reporte_de_Valorización_de_Instrumentos[[#This Row],[Inv MM$]],0)</f>
        <v>2.3878445464012614</v>
      </c>
      <c r="AF505" s="26">
        <f>IF(Tabla_Consulta_desde_Reporte_de_Valorización_de_Instrumentos[[#This Row],[PORTAFOLIO]]="IN-FONDO1",Tabla_Consulta_desde_Reporte_de_Valorización_de_Instrumentos[[#This Row],[Inv MM$]],0)</f>
        <v>0</v>
      </c>
      <c r="AG505" s="26">
        <f>IF(Tabla_Consulta_desde_Reporte_de_Valorización_de_Instrumentos[[#This Row],[PORTAFOLIO]]="IN-FONDO2",Tabla_Consulta_desde_Reporte_de_Valorización_de_Instrumentos[[#This Row],[Inv MM$]],0)</f>
        <v>0</v>
      </c>
      <c r="AH505" s="26">
        <f>IF(Tabla_Consulta_desde_Reporte_de_Valorización_de_Instrumentos[[#This Row],[PORTAFOLIO]]="IN-FONDO3",Tabla_Consulta_desde_Reporte_de_Valorización_de_Instrumentos[[#This Row],[Inv MM$]],0)</f>
        <v>0</v>
      </c>
      <c r="AI50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5" s="26">
        <f>IFERROR(IFERROR(INDEX('BD(MSCI)'!$T:$T,MATCH(Tabla_Consulta_desde_Reporte_de_Valorización_de_Instrumentos[[#This Row],[CODIGO_ISIN]],'BD(MSCI)'!$C:$C,0),1),INDEX('BD(MSCI)'!$T:$T,MATCH(Tabla_Consulta_desde_Reporte_de_Valorización_de_Instrumentos[[#This Row],[CODIGO_SBS]],'BD(MSCI)'!$C:$C,0),1)),0)</f>
        <v>0</v>
      </c>
      <c r="AK505" s="26">
        <f>Tabla_Consulta_desde_Reporte_de_Valorización_de_Instrumentos[[#This Row],[C02-H]]*Tabla_Consulta_desde_Reporte_de_Valorización_de_Instrumentos[[#This Row],[Inv MM$]]</f>
        <v>0</v>
      </c>
      <c r="AL505" s="26">
        <f>Tabla_Consulta_desde_Reporte_de_Valorización_de_Instrumentos[[#This Row],[C02-H]]*Tabla_Consulta_desde_Reporte_de_Valorización_de_Instrumentos[[#This Row],[Weight]]</f>
        <v>0</v>
      </c>
      <c r="AM505" s="26" t="e">
        <f>INDEX(Parametria!G:G,MATCH(Tabla_Consulta_desde_Reporte_de_Valorización_de_Instrumentos[[#This Row],[CODIGO_SBS]],Parametria!C:C,0))</f>
        <v>#N/A</v>
      </c>
      <c r="AN505" s="26" t="e">
        <f>INDEX(Parametria!F:F,MATCH(Tabla_Consulta_desde_Reporte_de_Valorización_de_Instrumentos[[#This Row],[CODIGO_SBS]],Parametria!C:C,0))</f>
        <v>#N/A</v>
      </c>
      <c r="AO505" s="26" t="e">
        <f>+INDEX(Parametria!J:J,MATCH(Tabla_Consulta_desde_Reporte_de_Valorización_de_Instrumentos[[#This Row],[CODIGO_SBS]],Parametria!C:C,0))</f>
        <v>#N/A</v>
      </c>
      <c r="AP505" s="26">
        <f>Tabla_Consulta_desde_Reporte_de_Valorización_de_Instrumentos[[#This Row],[Huella]]/$AU$4</f>
        <v>0</v>
      </c>
      <c r="AQ505" s="26" t="e">
        <f>IFERROR(INDEX('BD(MSCI)'!W:W,MATCH(Tabla_Consulta_desde_Reporte_de_Valorización_de_Instrumentos[[#This Row],[CODIGO_ISIN]],'BD(MSCI)'!C:C,0)),IF(Tabla_Consulta_desde_Reporte_de_Valorización_de_Instrumentos[[#This Row],[Rank_rt]]="Cash","Cash","Cuestionario Integra"))</f>
        <v>#N/A</v>
      </c>
      <c r="AR505" s="26" t="str">
        <f>IFERROR(INDEX('BD(MSCI)'!X:X,MATCH(Tabla_Consulta_desde_Reporte_de_Valorización_de_Instrumentos[[#This Row],[CODIGO_ISIN]],'BD(MSCI)'!C:C,0)),"Cuestionario Integra")</f>
        <v>Cuestionario Integra</v>
      </c>
      <c r="AU505" s="26"/>
    </row>
    <row r="506" spans="2:47" hidden="1" x14ac:dyDescent="0.25">
      <c r="B506" s="14" t="s">
        <v>6390</v>
      </c>
      <c r="C506" t="s">
        <v>833</v>
      </c>
      <c r="D506" t="s">
        <v>9</v>
      </c>
      <c r="E506" t="s">
        <v>834</v>
      </c>
      <c r="F506" t="s">
        <v>6473</v>
      </c>
      <c r="G506" t="e">
        <f>INDEX(Parametria!H:H,MATCH(Tabla_Consulta_desde_Reporte_de_Valorización_de_Instrumentos[[#This Row],[CODIGO_SBS]],Parametria!C:C,0),1)</f>
        <v>#N/A</v>
      </c>
      <c r="H506" t="s">
        <v>90</v>
      </c>
      <c r="I506" t="s">
        <v>835</v>
      </c>
      <c r="J506" t="s">
        <v>243</v>
      </c>
      <c r="K506" t="s">
        <v>90</v>
      </c>
      <c r="L506">
        <v>1</v>
      </c>
      <c r="M506" s="5">
        <v>46272933.088</v>
      </c>
      <c r="N506">
        <v>46272933.088</v>
      </c>
      <c r="O506">
        <v>0</v>
      </c>
      <c r="P506" s="15">
        <v>46294</v>
      </c>
      <c r="Q506">
        <v>272</v>
      </c>
      <c r="R506">
        <v>1</v>
      </c>
      <c r="S506" t="s">
        <v>155</v>
      </c>
      <c r="T506">
        <v>46267246.982000001</v>
      </c>
      <c r="U506" s="5">
        <v>46267246.982000001</v>
      </c>
      <c r="V506" t="s">
        <v>192</v>
      </c>
      <c r="W506">
        <v>4565854000</v>
      </c>
      <c r="X506">
        <v>3638173000</v>
      </c>
      <c r="Y506">
        <v>927681000</v>
      </c>
      <c r="Z506">
        <v>0</v>
      </c>
      <c r="AA506" t="str">
        <f>+MID(Tabla_Consulta_desde_Reporte_de_Valorización_de_Instrumentos[[#This Row],[CODIGO_SBS]],7,1)</f>
        <v>1</v>
      </c>
      <c r="AB506">
        <f>INDEX('Cálculo Caja'!F:F,MATCH(Tabla_Consulta_desde_Reporte_de_Valorización_de_Instrumentos[[#This Row],[PORTAFOLIO]],'Cálculo Caja'!A:A,0),1)</f>
        <v>2847839359.3764262</v>
      </c>
      <c r="AC506" s="17">
        <f>Tabla_Consulta_desde_Reporte_de_Valorización_de_Instrumentos[[#This Row],[VALOR_VECTOR_LOCAL]]/Tabla_Consulta_desde_Reporte_de_Valorización_de_Instrumentos[[#This Row],[Patrimonio]]</f>
        <v>1.6248435128774993E-2</v>
      </c>
      <c r="AD506" s="4">
        <f>(Tabla_Consulta_desde_Reporte_de_Valorización_de_Instrumentos[[#This Row],[VALOR_VECTOR_LOCAL]]/INDEX('Tipo de Cambio'!$D:$D,MATCH("2",'Tipo de Cambio'!$E:$E,0),1))/1000000</f>
        <v>13.768018414115266</v>
      </c>
      <c r="AE506">
        <f>IF(Tabla_Consulta_desde_Reporte_de_Valorización_de_Instrumentos[[#This Row],[PORTAFOLIO]]="IN-FONDO0",Tabla_Consulta_desde_Reporte_de_Valorización_de_Instrumentos[[#This Row],[Inv MM$]],0)</f>
        <v>13.768018414115266</v>
      </c>
      <c r="AF506" s="26">
        <f>IF(Tabla_Consulta_desde_Reporte_de_Valorización_de_Instrumentos[[#This Row],[PORTAFOLIO]]="IN-FONDO1",Tabla_Consulta_desde_Reporte_de_Valorización_de_Instrumentos[[#This Row],[Inv MM$]],0)</f>
        <v>0</v>
      </c>
      <c r="AG506" s="26">
        <f>IF(Tabla_Consulta_desde_Reporte_de_Valorización_de_Instrumentos[[#This Row],[PORTAFOLIO]]="IN-FONDO2",Tabla_Consulta_desde_Reporte_de_Valorización_de_Instrumentos[[#This Row],[Inv MM$]],0)</f>
        <v>0</v>
      </c>
      <c r="AH506" s="26">
        <f>IF(Tabla_Consulta_desde_Reporte_de_Valorización_de_Instrumentos[[#This Row],[PORTAFOLIO]]="IN-FONDO3",Tabla_Consulta_desde_Reporte_de_Valorización_de_Instrumentos[[#This Row],[Inv MM$]],0)</f>
        <v>0</v>
      </c>
      <c r="AI50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6" s="26">
        <f>IFERROR(IFERROR(INDEX('BD(MSCI)'!$T:$T,MATCH(Tabla_Consulta_desde_Reporte_de_Valorización_de_Instrumentos[[#This Row],[CODIGO_ISIN]],'BD(MSCI)'!$C:$C,0),1),INDEX('BD(MSCI)'!$T:$T,MATCH(Tabla_Consulta_desde_Reporte_de_Valorización_de_Instrumentos[[#This Row],[CODIGO_SBS]],'BD(MSCI)'!$C:$C,0),1)),0)</f>
        <v>0</v>
      </c>
      <c r="AK506" s="26">
        <f>Tabla_Consulta_desde_Reporte_de_Valorización_de_Instrumentos[[#This Row],[C02-H]]*Tabla_Consulta_desde_Reporte_de_Valorización_de_Instrumentos[[#This Row],[Inv MM$]]</f>
        <v>0</v>
      </c>
      <c r="AL506" s="26">
        <f>Tabla_Consulta_desde_Reporte_de_Valorización_de_Instrumentos[[#This Row],[C02-H]]*Tabla_Consulta_desde_Reporte_de_Valorización_de_Instrumentos[[#This Row],[Weight]]</f>
        <v>0</v>
      </c>
      <c r="AM506" s="26" t="e">
        <f>INDEX(Parametria!G:G,MATCH(Tabla_Consulta_desde_Reporte_de_Valorización_de_Instrumentos[[#This Row],[CODIGO_SBS]],Parametria!C:C,0))</f>
        <v>#N/A</v>
      </c>
      <c r="AN506" s="26" t="e">
        <f>INDEX(Parametria!F:F,MATCH(Tabla_Consulta_desde_Reporte_de_Valorización_de_Instrumentos[[#This Row],[CODIGO_SBS]],Parametria!C:C,0))</f>
        <v>#N/A</v>
      </c>
      <c r="AO506" s="26" t="e">
        <f>+INDEX(Parametria!J:J,MATCH(Tabla_Consulta_desde_Reporte_de_Valorización_de_Instrumentos[[#This Row],[CODIGO_SBS]],Parametria!C:C,0))</f>
        <v>#N/A</v>
      </c>
      <c r="AP506" s="26">
        <f>Tabla_Consulta_desde_Reporte_de_Valorización_de_Instrumentos[[#This Row],[Huella]]/$AU$4</f>
        <v>0</v>
      </c>
      <c r="AQ506" s="26" t="e">
        <f>IFERROR(INDEX('BD(MSCI)'!W:W,MATCH(Tabla_Consulta_desde_Reporte_de_Valorización_de_Instrumentos[[#This Row],[CODIGO_ISIN]],'BD(MSCI)'!C:C,0)),IF(Tabla_Consulta_desde_Reporte_de_Valorización_de_Instrumentos[[#This Row],[Rank_rt]]="Cash","Cash","Cuestionario Integra"))</f>
        <v>#N/A</v>
      </c>
      <c r="AR506" s="26" t="str">
        <f>IFERROR(INDEX('BD(MSCI)'!X:X,MATCH(Tabla_Consulta_desde_Reporte_de_Valorización_de_Instrumentos[[#This Row],[CODIGO_ISIN]],'BD(MSCI)'!C:C,0)),"Cuestionario Integra")</f>
        <v>Cuestionario Integra</v>
      </c>
      <c r="AU506" s="26"/>
    </row>
    <row r="507" spans="2:47" hidden="1" x14ac:dyDescent="0.25">
      <c r="B507" s="14" t="s">
        <v>6390</v>
      </c>
      <c r="C507" t="s">
        <v>833</v>
      </c>
      <c r="D507" t="s">
        <v>9</v>
      </c>
      <c r="E507" t="s">
        <v>834</v>
      </c>
      <c r="F507" t="s">
        <v>6474</v>
      </c>
      <c r="G507" t="e">
        <f>INDEX(Parametria!H:H,MATCH(Tabla_Consulta_desde_Reporte_de_Valorización_de_Instrumentos[[#This Row],[CODIGO_SBS]],Parametria!C:C,0),1)</f>
        <v>#N/A</v>
      </c>
      <c r="H507" t="s">
        <v>90</v>
      </c>
      <c r="I507" t="s">
        <v>835</v>
      </c>
      <c r="J507" t="s">
        <v>245</v>
      </c>
      <c r="K507" t="s">
        <v>90</v>
      </c>
      <c r="L507">
        <v>1</v>
      </c>
      <c r="M507" s="5">
        <v>4020926.7239999999</v>
      </c>
      <c r="N507">
        <v>4020926.7239999999</v>
      </c>
      <c r="O507">
        <v>0</v>
      </c>
      <c r="P507" s="15">
        <v>46251</v>
      </c>
      <c r="Q507">
        <v>229</v>
      </c>
      <c r="R507">
        <v>1</v>
      </c>
      <c r="S507" t="s">
        <v>155</v>
      </c>
      <c r="T507">
        <v>4020440.0559999999</v>
      </c>
      <c r="U507" s="5">
        <v>4020440.0559999999</v>
      </c>
      <c r="V507" t="s">
        <v>192</v>
      </c>
      <c r="W507">
        <v>4565854000</v>
      </c>
      <c r="X507">
        <v>3638173000</v>
      </c>
      <c r="Y507">
        <v>927681000</v>
      </c>
      <c r="Z507">
        <v>0</v>
      </c>
      <c r="AA507" t="str">
        <f>+MID(Tabla_Consulta_desde_Reporte_de_Valorización_de_Instrumentos[[#This Row],[CODIGO_SBS]],7,1)</f>
        <v>1</v>
      </c>
      <c r="AB507">
        <f>INDEX('Cálculo Caja'!F:F,MATCH(Tabla_Consulta_desde_Reporte_de_Valorización_de_Instrumentos[[#This Row],[PORTAFOLIO]],'Cálculo Caja'!A:A,0),1)</f>
        <v>2847839359.3764262</v>
      </c>
      <c r="AC507" s="17">
        <f>Tabla_Consulta_desde_Reporte_de_Valorización_de_Instrumentos[[#This Row],[VALOR_VECTOR_LOCAL]]/Tabla_Consulta_desde_Reporte_de_Valorización_de_Instrumentos[[#This Row],[Patrimonio]]</f>
        <v>1.4119218876448274E-3</v>
      </c>
      <c r="AD507" s="4">
        <f>(Tabla_Consulta_desde_Reporte_de_Valorización_de_Instrumentos[[#This Row],[VALOR_VECTOR_LOCAL]]/INDEX('Tipo de Cambio'!$D:$D,MATCH("2",'Tipo de Cambio'!$E:$E,0),1))/1000000</f>
        <v>1.196383922163706</v>
      </c>
      <c r="AE507">
        <f>IF(Tabla_Consulta_desde_Reporte_de_Valorización_de_Instrumentos[[#This Row],[PORTAFOLIO]]="IN-FONDO0",Tabla_Consulta_desde_Reporte_de_Valorización_de_Instrumentos[[#This Row],[Inv MM$]],0)</f>
        <v>1.196383922163706</v>
      </c>
      <c r="AF507" s="26">
        <f>IF(Tabla_Consulta_desde_Reporte_de_Valorización_de_Instrumentos[[#This Row],[PORTAFOLIO]]="IN-FONDO1",Tabla_Consulta_desde_Reporte_de_Valorización_de_Instrumentos[[#This Row],[Inv MM$]],0)</f>
        <v>0</v>
      </c>
      <c r="AG507" s="26">
        <f>IF(Tabla_Consulta_desde_Reporte_de_Valorización_de_Instrumentos[[#This Row],[PORTAFOLIO]]="IN-FONDO2",Tabla_Consulta_desde_Reporte_de_Valorización_de_Instrumentos[[#This Row],[Inv MM$]],0)</f>
        <v>0</v>
      </c>
      <c r="AH507" s="26">
        <f>IF(Tabla_Consulta_desde_Reporte_de_Valorización_de_Instrumentos[[#This Row],[PORTAFOLIO]]="IN-FONDO3",Tabla_Consulta_desde_Reporte_de_Valorización_de_Instrumentos[[#This Row],[Inv MM$]],0)</f>
        <v>0</v>
      </c>
      <c r="AI50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7" s="26">
        <f>IFERROR(IFERROR(INDEX('BD(MSCI)'!$T:$T,MATCH(Tabla_Consulta_desde_Reporte_de_Valorización_de_Instrumentos[[#This Row],[CODIGO_ISIN]],'BD(MSCI)'!$C:$C,0),1),INDEX('BD(MSCI)'!$T:$T,MATCH(Tabla_Consulta_desde_Reporte_de_Valorización_de_Instrumentos[[#This Row],[CODIGO_SBS]],'BD(MSCI)'!$C:$C,0),1)),0)</f>
        <v>0</v>
      </c>
      <c r="AK507" s="26">
        <f>Tabla_Consulta_desde_Reporte_de_Valorización_de_Instrumentos[[#This Row],[C02-H]]*Tabla_Consulta_desde_Reporte_de_Valorización_de_Instrumentos[[#This Row],[Inv MM$]]</f>
        <v>0</v>
      </c>
      <c r="AL507" s="26">
        <f>Tabla_Consulta_desde_Reporte_de_Valorización_de_Instrumentos[[#This Row],[C02-H]]*Tabla_Consulta_desde_Reporte_de_Valorización_de_Instrumentos[[#This Row],[Weight]]</f>
        <v>0</v>
      </c>
      <c r="AM507" s="26" t="e">
        <f>INDEX(Parametria!G:G,MATCH(Tabla_Consulta_desde_Reporte_de_Valorización_de_Instrumentos[[#This Row],[CODIGO_SBS]],Parametria!C:C,0))</f>
        <v>#N/A</v>
      </c>
      <c r="AN507" s="26" t="e">
        <f>INDEX(Parametria!F:F,MATCH(Tabla_Consulta_desde_Reporte_de_Valorización_de_Instrumentos[[#This Row],[CODIGO_SBS]],Parametria!C:C,0))</f>
        <v>#N/A</v>
      </c>
      <c r="AO507" s="26" t="e">
        <f>+INDEX(Parametria!J:J,MATCH(Tabla_Consulta_desde_Reporte_de_Valorización_de_Instrumentos[[#This Row],[CODIGO_SBS]],Parametria!C:C,0))</f>
        <v>#N/A</v>
      </c>
      <c r="AP507" s="26">
        <f>Tabla_Consulta_desde_Reporte_de_Valorización_de_Instrumentos[[#This Row],[Huella]]/$AU$4</f>
        <v>0</v>
      </c>
      <c r="AQ507" s="26" t="e">
        <f>IFERROR(INDEX('BD(MSCI)'!W:W,MATCH(Tabla_Consulta_desde_Reporte_de_Valorización_de_Instrumentos[[#This Row],[CODIGO_ISIN]],'BD(MSCI)'!C:C,0)),IF(Tabla_Consulta_desde_Reporte_de_Valorización_de_Instrumentos[[#This Row],[Rank_rt]]="Cash","Cash","Cuestionario Integra"))</f>
        <v>#N/A</v>
      </c>
      <c r="AR507" s="26" t="str">
        <f>IFERROR(INDEX('BD(MSCI)'!X:X,MATCH(Tabla_Consulta_desde_Reporte_de_Valorización_de_Instrumentos[[#This Row],[CODIGO_ISIN]],'BD(MSCI)'!C:C,0)),"Cuestionario Integra")</f>
        <v>Cuestionario Integra</v>
      </c>
      <c r="AU507" s="26"/>
    </row>
    <row r="508" spans="2:47" hidden="1" x14ac:dyDescent="0.25">
      <c r="B508" s="14" t="s">
        <v>6390</v>
      </c>
      <c r="C508" t="s">
        <v>833</v>
      </c>
      <c r="D508" t="s">
        <v>9</v>
      </c>
      <c r="E508" t="s">
        <v>834</v>
      </c>
      <c r="F508" t="s">
        <v>6475</v>
      </c>
      <c r="G508" t="e">
        <f>INDEX(Parametria!H:H,MATCH(Tabla_Consulta_desde_Reporte_de_Valorización_de_Instrumentos[[#This Row],[CODIGO_SBS]],Parametria!C:C,0),1)</f>
        <v>#N/A</v>
      </c>
      <c r="H508" t="s">
        <v>90</v>
      </c>
      <c r="I508" t="s">
        <v>835</v>
      </c>
      <c r="J508" t="s">
        <v>838</v>
      </c>
      <c r="K508" t="s">
        <v>90</v>
      </c>
      <c r="L508">
        <v>1</v>
      </c>
      <c r="M508" s="5">
        <v>9048375</v>
      </c>
      <c r="N508">
        <v>9048375</v>
      </c>
      <c r="O508">
        <v>0</v>
      </c>
      <c r="P508" s="15">
        <v>46251</v>
      </c>
      <c r="Q508">
        <v>229</v>
      </c>
      <c r="R508">
        <v>1</v>
      </c>
      <c r="S508" t="s">
        <v>155</v>
      </c>
      <c r="T508">
        <v>9047250</v>
      </c>
      <c r="U508" s="5">
        <v>9047250</v>
      </c>
      <c r="V508" t="s">
        <v>192</v>
      </c>
      <c r="W508">
        <v>4565854000</v>
      </c>
      <c r="X508">
        <v>3638173000</v>
      </c>
      <c r="Y508">
        <v>927681000</v>
      </c>
      <c r="Z508">
        <v>0</v>
      </c>
      <c r="AA508" t="str">
        <f>+MID(Tabla_Consulta_desde_Reporte_de_Valorización_de_Instrumentos[[#This Row],[CODIGO_SBS]],7,1)</f>
        <v>1</v>
      </c>
      <c r="AB508">
        <f>INDEX('Cálculo Caja'!F:F,MATCH(Tabla_Consulta_desde_Reporte_de_Valorización_de_Instrumentos[[#This Row],[PORTAFOLIO]],'Cálculo Caja'!A:A,0),1)</f>
        <v>2847839359.3764262</v>
      </c>
      <c r="AC508" s="17">
        <f>Tabla_Consulta_desde_Reporte_de_Valorización_de_Instrumentos[[#This Row],[VALOR_VECTOR_LOCAL]]/Tabla_Consulta_desde_Reporte_de_Valorización_de_Instrumentos[[#This Row],[Patrimonio]]</f>
        <v>3.1772771768914898E-3</v>
      </c>
      <c r="AD508" s="4">
        <f>(Tabla_Consulta_desde_Reporte_de_Valorización_de_Instrumentos[[#This Row],[VALOR_VECTOR_LOCAL]]/INDEX('Tipo de Cambio'!$D:$D,MATCH("2",'Tipo de Cambio'!$E:$E,0),1))/1000000</f>
        <v>2.6922476122467196</v>
      </c>
      <c r="AE508">
        <f>IF(Tabla_Consulta_desde_Reporte_de_Valorización_de_Instrumentos[[#This Row],[PORTAFOLIO]]="IN-FONDO0",Tabla_Consulta_desde_Reporte_de_Valorización_de_Instrumentos[[#This Row],[Inv MM$]],0)</f>
        <v>2.6922476122467196</v>
      </c>
      <c r="AF508" s="26">
        <f>IF(Tabla_Consulta_desde_Reporte_de_Valorización_de_Instrumentos[[#This Row],[PORTAFOLIO]]="IN-FONDO1",Tabla_Consulta_desde_Reporte_de_Valorización_de_Instrumentos[[#This Row],[Inv MM$]],0)</f>
        <v>0</v>
      </c>
      <c r="AG508" s="26">
        <f>IF(Tabla_Consulta_desde_Reporte_de_Valorización_de_Instrumentos[[#This Row],[PORTAFOLIO]]="IN-FONDO2",Tabla_Consulta_desde_Reporte_de_Valorización_de_Instrumentos[[#This Row],[Inv MM$]],0)</f>
        <v>0</v>
      </c>
      <c r="AH508" s="26">
        <f>IF(Tabla_Consulta_desde_Reporte_de_Valorización_de_Instrumentos[[#This Row],[PORTAFOLIO]]="IN-FONDO3",Tabla_Consulta_desde_Reporte_de_Valorización_de_Instrumentos[[#This Row],[Inv MM$]],0)</f>
        <v>0</v>
      </c>
      <c r="AI50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8" s="26">
        <f>IFERROR(IFERROR(INDEX('BD(MSCI)'!$T:$T,MATCH(Tabla_Consulta_desde_Reporte_de_Valorización_de_Instrumentos[[#This Row],[CODIGO_ISIN]],'BD(MSCI)'!$C:$C,0),1),INDEX('BD(MSCI)'!$T:$T,MATCH(Tabla_Consulta_desde_Reporte_de_Valorización_de_Instrumentos[[#This Row],[CODIGO_SBS]],'BD(MSCI)'!$C:$C,0),1)),0)</f>
        <v>0</v>
      </c>
      <c r="AK508" s="26">
        <f>Tabla_Consulta_desde_Reporte_de_Valorización_de_Instrumentos[[#This Row],[C02-H]]*Tabla_Consulta_desde_Reporte_de_Valorización_de_Instrumentos[[#This Row],[Inv MM$]]</f>
        <v>0</v>
      </c>
      <c r="AL508" s="26">
        <f>Tabla_Consulta_desde_Reporte_de_Valorización_de_Instrumentos[[#This Row],[C02-H]]*Tabla_Consulta_desde_Reporte_de_Valorización_de_Instrumentos[[#This Row],[Weight]]</f>
        <v>0</v>
      </c>
      <c r="AM508" s="26" t="e">
        <f>INDEX(Parametria!G:G,MATCH(Tabla_Consulta_desde_Reporte_de_Valorización_de_Instrumentos[[#This Row],[CODIGO_SBS]],Parametria!C:C,0))</f>
        <v>#N/A</v>
      </c>
      <c r="AN508" s="26" t="e">
        <f>INDEX(Parametria!F:F,MATCH(Tabla_Consulta_desde_Reporte_de_Valorización_de_Instrumentos[[#This Row],[CODIGO_SBS]],Parametria!C:C,0))</f>
        <v>#N/A</v>
      </c>
      <c r="AO508" s="26" t="e">
        <f>+INDEX(Parametria!J:J,MATCH(Tabla_Consulta_desde_Reporte_de_Valorización_de_Instrumentos[[#This Row],[CODIGO_SBS]],Parametria!C:C,0))</f>
        <v>#N/A</v>
      </c>
      <c r="AP508" s="26">
        <f>Tabla_Consulta_desde_Reporte_de_Valorización_de_Instrumentos[[#This Row],[Huella]]/$AU$4</f>
        <v>0</v>
      </c>
      <c r="AQ508" s="26" t="e">
        <f>IFERROR(INDEX('BD(MSCI)'!W:W,MATCH(Tabla_Consulta_desde_Reporte_de_Valorización_de_Instrumentos[[#This Row],[CODIGO_ISIN]],'BD(MSCI)'!C:C,0)),IF(Tabla_Consulta_desde_Reporte_de_Valorización_de_Instrumentos[[#This Row],[Rank_rt]]="Cash","Cash","Cuestionario Integra"))</f>
        <v>#N/A</v>
      </c>
      <c r="AR508" s="26" t="str">
        <f>IFERROR(INDEX('BD(MSCI)'!X:X,MATCH(Tabla_Consulta_desde_Reporte_de_Valorización_de_Instrumentos[[#This Row],[CODIGO_ISIN]],'BD(MSCI)'!C:C,0)),"Cuestionario Integra")</f>
        <v>Cuestionario Integra</v>
      </c>
      <c r="AU508" s="26"/>
    </row>
    <row r="509" spans="2:47" hidden="1" x14ac:dyDescent="0.25">
      <c r="B509" s="14" t="s">
        <v>6390</v>
      </c>
      <c r="C509" t="s">
        <v>833</v>
      </c>
      <c r="D509" t="s">
        <v>9</v>
      </c>
      <c r="E509" t="s">
        <v>834</v>
      </c>
      <c r="F509" t="s">
        <v>6476</v>
      </c>
      <c r="G509" t="e">
        <f>INDEX(Parametria!H:H,MATCH(Tabla_Consulta_desde_Reporte_de_Valorización_de_Instrumentos[[#This Row],[CODIGO_SBS]],Parametria!C:C,0),1)</f>
        <v>#N/A</v>
      </c>
      <c r="H509" t="s">
        <v>90</v>
      </c>
      <c r="I509" t="s">
        <v>835</v>
      </c>
      <c r="J509" t="s">
        <v>838</v>
      </c>
      <c r="K509" t="s">
        <v>90</v>
      </c>
      <c r="L509">
        <v>1</v>
      </c>
      <c r="M509" s="5">
        <v>13069875</v>
      </c>
      <c r="N509">
        <v>13069875</v>
      </c>
      <c r="O509">
        <v>0</v>
      </c>
      <c r="P509" s="15">
        <v>46220</v>
      </c>
      <c r="Q509">
        <v>198</v>
      </c>
      <c r="R509">
        <v>1</v>
      </c>
      <c r="S509" t="s">
        <v>155</v>
      </c>
      <c r="T509">
        <v>13068250</v>
      </c>
      <c r="U509" s="5">
        <v>13068250</v>
      </c>
      <c r="V509" t="s">
        <v>192</v>
      </c>
      <c r="W509">
        <v>4565854000</v>
      </c>
      <c r="X509">
        <v>3638173000</v>
      </c>
      <c r="Y509">
        <v>927681000</v>
      </c>
      <c r="Z509">
        <v>0</v>
      </c>
      <c r="AA509" t="str">
        <f>+MID(Tabla_Consulta_desde_Reporte_de_Valorización_de_Instrumentos[[#This Row],[CODIGO_SBS]],7,1)</f>
        <v>1</v>
      </c>
      <c r="AB509">
        <f>INDEX('Cálculo Caja'!F:F,MATCH(Tabla_Consulta_desde_Reporte_de_Valorización_de_Instrumentos[[#This Row],[PORTAFOLIO]],'Cálculo Caja'!A:A,0),1)</f>
        <v>2847839359.3764262</v>
      </c>
      <c r="AC509" s="17">
        <f>Tabla_Consulta_desde_Reporte_de_Valorización_de_Instrumentos[[#This Row],[VALOR_VECTOR_LOCAL]]/Tabla_Consulta_desde_Reporte_de_Valorización_de_Instrumentos[[#This Row],[Patrimonio]]</f>
        <v>4.5894003666210404E-3</v>
      </c>
      <c r="AD509" s="4">
        <f>(Tabla_Consulta_desde_Reporte_de_Valorización_de_Instrumentos[[#This Row],[VALOR_VECTOR_LOCAL]]/INDEX('Tipo de Cambio'!$D:$D,MATCH("2",'Tipo de Cambio'!$E:$E,0),1))/1000000</f>
        <v>3.8888021065785949</v>
      </c>
      <c r="AE509">
        <f>IF(Tabla_Consulta_desde_Reporte_de_Valorización_de_Instrumentos[[#This Row],[PORTAFOLIO]]="IN-FONDO0",Tabla_Consulta_desde_Reporte_de_Valorización_de_Instrumentos[[#This Row],[Inv MM$]],0)</f>
        <v>3.8888021065785949</v>
      </c>
      <c r="AF509" s="26">
        <f>IF(Tabla_Consulta_desde_Reporte_de_Valorización_de_Instrumentos[[#This Row],[PORTAFOLIO]]="IN-FONDO1",Tabla_Consulta_desde_Reporte_de_Valorización_de_Instrumentos[[#This Row],[Inv MM$]],0)</f>
        <v>0</v>
      </c>
      <c r="AG509" s="26">
        <f>IF(Tabla_Consulta_desde_Reporte_de_Valorización_de_Instrumentos[[#This Row],[PORTAFOLIO]]="IN-FONDO2",Tabla_Consulta_desde_Reporte_de_Valorización_de_Instrumentos[[#This Row],[Inv MM$]],0)</f>
        <v>0</v>
      </c>
      <c r="AH509" s="26">
        <f>IF(Tabla_Consulta_desde_Reporte_de_Valorización_de_Instrumentos[[#This Row],[PORTAFOLIO]]="IN-FONDO3",Tabla_Consulta_desde_Reporte_de_Valorización_de_Instrumentos[[#This Row],[Inv MM$]],0)</f>
        <v>0</v>
      </c>
      <c r="AI50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9" s="26">
        <f>IFERROR(IFERROR(INDEX('BD(MSCI)'!$T:$T,MATCH(Tabla_Consulta_desde_Reporte_de_Valorización_de_Instrumentos[[#This Row],[CODIGO_ISIN]],'BD(MSCI)'!$C:$C,0),1),INDEX('BD(MSCI)'!$T:$T,MATCH(Tabla_Consulta_desde_Reporte_de_Valorización_de_Instrumentos[[#This Row],[CODIGO_SBS]],'BD(MSCI)'!$C:$C,0),1)),0)</f>
        <v>0</v>
      </c>
      <c r="AK509" s="26">
        <f>Tabla_Consulta_desde_Reporte_de_Valorización_de_Instrumentos[[#This Row],[C02-H]]*Tabla_Consulta_desde_Reporte_de_Valorización_de_Instrumentos[[#This Row],[Inv MM$]]</f>
        <v>0</v>
      </c>
      <c r="AL509" s="26">
        <f>Tabla_Consulta_desde_Reporte_de_Valorización_de_Instrumentos[[#This Row],[C02-H]]*Tabla_Consulta_desde_Reporte_de_Valorización_de_Instrumentos[[#This Row],[Weight]]</f>
        <v>0</v>
      </c>
      <c r="AM509" s="26" t="e">
        <f>INDEX(Parametria!G:G,MATCH(Tabla_Consulta_desde_Reporte_de_Valorización_de_Instrumentos[[#This Row],[CODIGO_SBS]],Parametria!C:C,0))</f>
        <v>#N/A</v>
      </c>
      <c r="AN509" s="26" t="e">
        <f>INDEX(Parametria!F:F,MATCH(Tabla_Consulta_desde_Reporte_de_Valorización_de_Instrumentos[[#This Row],[CODIGO_SBS]],Parametria!C:C,0))</f>
        <v>#N/A</v>
      </c>
      <c r="AO509" s="26" t="e">
        <f>+INDEX(Parametria!J:J,MATCH(Tabla_Consulta_desde_Reporte_de_Valorización_de_Instrumentos[[#This Row],[CODIGO_SBS]],Parametria!C:C,0))</f>
        <v>#N/A</v>
      </c>
      <c r="AP509" s="26">
        <f>Tabla_Consulta_desde_Reporte_de_Valorización_de_Instrumentos[[#This Row],[Huella]]/$AU$4</f>
        <v>0</v>
      </c>
      <c r="AQ509" s="26" t="e">
        <f>IFERROR(INDEX('BD(MSCI)'!W:W,MATCH(Tabla_Consulta_desde_Reporte_de_Valorización_de_Instrumentos[[#This Row],[CODIGO_ISIN]],'BD(MSCI)'!C:C,0)),IF(Tabla_Consulta_desde_Reporte_de_Valorización_de_Instrumentos[[#This Row],[Rank_rt]]="Cash","Cash","Cuestionario Integra"))</f>
        <v>#N/A</v>
      </c>
      <c r="AR509" s="26" t="str">
        <f>IFERROR(INDEX('BD(MSCI)'!X:X,MATCH(Tabla_Consulta_desde_Reporte_de_Valorización_de_Instrumentos[[#This Row],[CODIGO_ISIN]],'BD(MSCI)'!C:C,0)),"Cuestionario Integra")</f>
        <v>Cuestionario Integra</v>
      </c>
      <c r="AU509" s="26"/>
    </row>
    <row r="510" spans="2:47" hidden="1" x14ac:dyDescent="0.25">
      <c r="B510" s="14" t="s">
        <v>6390</v>
      </c>
      <c r="C510" t="s">
        <v>833</v>
      </c>
      <c r="D510" t="s">
        <v>9</v>
      </c>
      <c r="E510" t="s">
        <v>834</v>
      </c>
      <c r="F510" t="s">
        <v>6477</v>
      </c>
      <c r="G510" t="e">
        <f>INDEX(Parametria!H:H,MATCH(Tabla_Consulta_desde_Reporte_de_Valorización_de_Instrumentos[[#This Row],[CODIGO_SBS]],Parametria!C:C,0),1)</f>
        <v>#N/A</v>
      </c>
      <c r="H510" t="s">
        <v>90</v>
      </c>
      <c r="I510" t="s">
        <v>835</v>
      </c>
      <c r="J510" t="s">
        <v>246</v>
      </c>
      <c r="K510" t="s">
        <v>90</v>
      </c>
      <c r="L510">
        <v>1</v>
      </c>
      <c r="M510" s="5">
        <v>15076875</v>
      </c>
      <c r="N510">
        <v>15076875</v>
      </c>
      <c r="O510">
        <v>0</v>
      </c>
      <c r="P510" s="15">
        <v>46280</v>
      </c>
      <c r="Q510">
        <v>258</v>
      </c>
      <c r="R510">
        <v>1</v>
      </c>
      <c r="S510" t="s">
        <v>155</v>
      </c>
      <c r="T510">
        <v>15075000</v>
      </c>
      <c r="U510" s="5">
        <v>15075000</v>
      </c>
      <c r="V510" t="s">
        <v>192</v>
      </c>
      <c r="W510">
        <v>4565854000</v>
      </c>
      <c r="X510">
        <v>3638173000</v>
      </c>
      <c r="Y510">
        <v>927681000</v>
      </c>
      <c r="Z510">
        <v>0</v>
      </c>
      <c r="AA510" t="str">
        <f>+MID(Tabla_Consulta_desde_Reporte_de_Valorización_de_Instrumentos[[#This Row],[CODIGO_SBS]],7,1)</f>
        <v>1</v>
      </c>
      <c r="AB510">
        <f>INDEX('Cálculo Caja'!F:F,MATCH(Tabla_Consulta_desde_Reporte_de_Valorización_de_Instrumentos[[#This Row],[PORTAFOLIO]],'Cálculo Caja'!A:A,0),1)</f>
        <v>2847839359.3764262</v>
      </c>
      <c r="AC510" s="17">
        <f>Tabla_Consulta_desde_Reporte_de_Valorización_de_Instrumentos[[#This Row],[VALOR_VECTOR_LOCAL]]/Tabla_Consulta_desde_Reporte_de_Valorización_de_Instrumentos[[#This Row],[Patrimonio]]</f>
        <v>5.2941451737296341E-3</v>
      </c>
      <c r="AD510" s="4">
        <f>(Tabla_Consulta_desde_Reporte_de_Valorización_de_Instrumentos[[#This Row],[VALOR_VECTOR_LOCAL]]/INDEX('Tipo de Cambio'!$D:$D,MATCH("2",'Tipo de Cambio'!$E:$E,0),1))/1000000</f>
        <v>4.4859635811836114</v>
      </c>
      <c r="AE510">
        <f>IF(Tabla_Consulta_desde_Reporte_de_Valorización_de_Instrumentos[[#This Row],[PORTAFOLIO]]="IN-FONDO0",Tabla_Consulta_desde_Reporte_de_Valorización_de_Instrumentos[[#This Row],[Inv MM$]],0)</f>
        <v>4.4859635811836114</v>
      </c>
      <c r="AF510" s="26">
        <f>IF(Tabla_Consulta_desde_Reporte_de_Valorización_de_Instrumentos[[#This Row],[PORTAFOLIO]]="IN-FONDO1",Tabla_Consulta_desde_Reporte_de_Valorización_de_Instrumentos[[#This Row],[Inv MM$]],0)</f>
        <v>0</v>
      </c>
      <c r="AG510" s="26">
        <f>IF(Tabla_Consulta_desde_Reporte_de_Valorización_de_Instrumentos[[#This Row],[PORTAFOLIO]]="IN-FONDO2",Tabla_Consulta_desde_Reporte_de_Valorización_de_Instrumentos[[#This Row],[Inv MM$]],0)</f>
        <v>0</v>
      </c>
      <c r="AH510" s="26">
        <f>IF(Tabla_Consulta_desde_Reporte_de_Valorización_de_Instrumentos[[#This Row],[PORTAFOLIO]]="IN-FONDO3",Tabla_Consulta_desde_Reporte_de_Valorización_de_Instrumentos[[#This Row],[Inv MM$]],0)</f>
        <v>0</v>
      </c>
      <c r="AI51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0" s="26">
        <f>IFERROR(IFERROR(INDEX('BD(MSCI)'!$T:$T,MATCH(Tabla_Consulta_desde_Reporte_de_Valorización_de_Instrumentos[[#This Row],[CODIGO_ISIN]],'BD(MSCI)'!$C:$C,0),1),INDEX('BD(MSCI)'!$T:$T,MATCH(Tabla_Consulta_desde_Reporte_de_Valorización_de_Instrumentos[[#This Row],[CODIGO_SBS]],'BD(MSCI)'!$C:$C,0),1)),0)</f>
        <v>0</v>
      </c>
      <c r="AK510" s="26">
        <f>Tabla_Consulta_desde_Reporte_de_Valorización_de_Instrumentos[[#This Row],[C02-H]]*Tabla_Consulta_desde_Reporte_de_Valorización_de_Instrumentos[[#This Row],[Inv MM$]]</f>
        <v>0</v>
      </c>
      <c r="AL510" s="26">
        <f>Tabla_Consulta_desde_Reporte_de_Valorización_de_Instrumentos[[#This Row],[C02-H]]*Tabla_Consulta_desde_Reporte_de_Valorización_de_Instrumentos[[#This Row],[Weight]]</f>
        <v>0</v>
      </c>
      <c r="AM510" s="26" t="e">
        <f>INDEX(Parametria!G:G,MATCH(Tabla_Consulta_desde_Reporte_de_Valorización_de_Instrumentos[[#This Row],[CODIGO_SBS]],Parametria!C:C,0))</f>
        <v>#N/A</v>
      </c>
      <c r="AN510" s="26" t="e">
        <f>INDEX(Parametria!F:F,MATCH(Tabla_Consulta_desde_Reporte_de_Valorización_de_Instrumentos[[#This Row],[CODIGO_SBS]],Parametria!C:C,0))</f>
        <v>#N/A</v>
      </c>
      <c r="AO510" s="26" t="e">
        <f>+INDEX(Parametria!J:J,MATCH(Tabla_Consulta_desde_Reporte_de_Valorización_de_Instrumentos[[#This Row],[CODIGO_SBS]],Parametria!C:C,0))</f>
        <v>#N/A</v>
      </c>
      <c r="AP510" s="26">
        <f>Tabla_Consulta_desde_Reporte_de_Valorización_de_Instrumentos[[#This Row],[Huella]]/$AU$4</f>
        <v>0</v>
      </c>
      <c r="AQ510" s="26" t="e">
        <f>IFERROR(INDEX('BD(MSCI)'!W:W,MATCH(Tabla_Consulta_desde_Reporte_de_Valorización_de_Instrumentos[[#This Row],[CODIGO_ISIN]],'BD(MSCI)'!C:C,0)),IF(Tabla_Consulta_desde_Reporte_de_Valorización_de_Instrumentos[[#This Row],[Rank_rt]]="Cash","Cash","Cuestionario Integra"))</f>
        <v>#N/A</v>
      </c>
      <c r="AR510" s="26" t="str">
        <f>IFERROR(INDEX('BD(MSCI)'!X:X,MATCH(Tabla_Consulta_desde_Reporte_de_Valorización_de_Instrumentos[[#This Row],[CODIGO_ISIN]],'BD(MSCI)'!C:C,0)),"Cuestionario Integra")</f>
        <v>Cuestionario Integra</v>
      </c>
      <c r="AU510" s="26"/>
    </row>
    <row r="511" spans="2:47" hidden="1" x14ac:dyDescent="0.25">
      <c r="B511" s="14" t="s">
        <v>6390</v>
      </c>
      <c r="C511" t="s">
        <v>833</v>
      </c>
      <c r="D511" t="s">
        <v>9</v>
      </c>
      <c r="E511" t="s">
        <v>834</v>
      </c>
      <c r="F511" t="s">
        <v>6478</v>
      </c>
      <c r="G511" t="e">
        <f>INDEX(Parametria!H:H,MATCH(Tabla_Consulta_desde_Reporte_de_Valorización_de_Instrumentos[[#This Row],[CODIGO_SBS]],Parametria!C:C,0),1)</f>
        <v>#N/A</v>
      </c>
      <c r="H511" t="s">
        <v>90</v>
      </c>
      <c r="I511" t="s">
        <v>835</v>
      </c>
      <c r="J511" t="s">
        <v>248</v>
      </c>
      <c r="K511" t="s">
        <v>90</v>
      </c>
      <c r="L511">
        <v>1</v>
      </c>
      <c r="M511" s="5">
        <v>15076020.765000001</v>
      </c>
      <c r="N511">
        <v>15076020.765000001</v>
      </c>
      <c r="O511">
        <v>0</v>
      </c>
      <c r="P511" s="15">
        <v>46310</v>
      </c>
      <c r="Q511">
        <v>288</v>
      </c>
      <c r="R511">
        <v>1</v>
      </c>
      <c r="S511" t="s">
        <v>155</v>
      </c>
      <c r="T511">
        <v>15074166.6</v>
      </c>
      <c r="U511" s="5">
        <v>15074166.6</v>
      </c>
      <c r="V511" t="s">
        <v>192</v>
      </c>
      <c r="W511">
        <v>4565854000</v>
      </c>
      <c r="X511">
        <v>3638173000</v>
      </c>
      <c r="Y511">
        <v>927681000</v>
      </c>
      <c r="Z511">
        <v>0</v>
      </c>
      <c r="AA511" t="str">
        <f>+MID(Tabla_Consulta_desde_Reporte_de_Valorización_de_Instrumentos[[#This Row],[CODIGO_SBS]],7,1)</f>
        <v>1</v>
      </c>
      <c r="AB511">
        <f>INDEX('Cálculo Caja'!F:F,MATCH(Tabla_Consulta_desde_Reporte_de_Valorización_de_Instrumentos[[#This Row],[PORTAFOLIO]],'Cálculo Caja'!A:A,0),1)</f>
        <v>2847839359.3764262</v>
      </c>
      <c r="AC511" s="17">
        <f>Tabla_Consulta_desde_Reporte_de_Valorización_de_Instrumentos[[#This Row],[VALOR_VECTOR_LOCAL]]/Tabla_Consulta_desde_Reporte_de_Valorización_de_Instrumentos[[#This Row],[Patrimonio]]</f>
        <v>5.2938452147459269E-3</v>
      </c>
      <c r="AD511" s="4">
        <f>(Tabla_Consulta_desde_Reporte_de_Valorización_de_Instrumentos[[#This Row],[VALOR_VECTOR_LOCAL]]/INDEX('Tipo de Cambio'!$D:$D,MATCH("2",'Tipo de Cambio'!$E:$E,0),1))/1000000</f>
        <v>4.4857094126573243</v>
      </c>
      <c r="AE511">
        <f>IF(Tabla_Consulta_desde_Reporte_de_Valorización_de_Instrumentos[[#This Row],[PORTAFOLIO]]="IN-FONDO0",Tabla_Consulta_desde_Reporte_de_Valorización_de_Instrumentos[[#This Row],[Inv MM$]],0)</f>
        <v>4.4857094126573243</v>
      </c>
      <c r="AF511" s="26">
        <f>IF(Tabla_Consulta_desde_Reporte_de_Valorización_de_Instrumentos[[#This Row],[PORTAFOLIO]]="IN-FONDO1",Tabla_Consulta_desde_Reporte_de_Valorización_de_Instrumentos[[#This Row],[Inv MM$]],0)</f>
        <v>0</v>
      </c>
      <c r="AG511" s="26">
        <f>IF(Tabla_Consulta_desde_Reporte_de_Valorización_de_Instrumentos[[#This Row],[PORTAFOLIO]]="IN-FONDO2",Tabla_Consulta_desde_Reporte_de_Valorización_de_Instrumentos[[#This Row],[Inv MM$]],0)</f>
        <v>0</v>
      </c>
      <c r="AH511" s="26">
        <f>IF(Tabla_Consulta_desde_Reporte_de_Valorización_de_Instrumentos[[#This Row],[PORTAFOLIO]]="IN-FONDO3",Tabla_Consulta_desde_Reporte_de_Valorización_de_Instrumentos[[#This Row],[Inv MM$]],0)</f>
        <v>0</v>
      </c>
      <c r="AI51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1" s="26">
        <f>IFERROR(IFERROR(INDEX('BD(MSCI)'!$T:$T,MATCH(Tabla_Consulta_desde_Reporte_de_Valorización_de_Instrumentos[[#This Row],[CODIGO_ISIN]],'BD(MSCI)'!$C:$C,0),1),INDEX('BD(MSCI)'!$T:$T,MATCH(Tabla_Consulta_desde_Reporte_de_Valorización_de_Instrumentos[[#This Row],[CODIGO_SBS]],'BD(MSCI)'!$C:$C,0),1)),0)</f>
        <v>0</v>
      </c>
      <c r="AK511" s="26">
        <f>Tabla_Consulta_desde_Reporte_de_Valorización_de_Instrumentos[[#This Row],[C02-H]]*Tabla_Consulta_desde_Reporte_de_Valorización_de_Instrumentos[[#This Row],[Inv MM$]]</f>
        <v>0</v>
      </c>
      <c r="AL511" s="26">
        <f>Tabla_Consulta_desde_Reporte_de_Valorización_de_Instrumentos[[#This Row],[C02-H]]*Tabla_Consulta_desde_Reporte_de_Valorización_de_Instrumentos[[#This Row],[Weight]]</f>
        <v>0</v>
      </c>
      <c r="AM511" s="26" t="e">
        <f>INDEX(Parametria!G:G,MATCH(Tabla_Consulta_desde_Reporte_de_Valorización_de_Instrumentos[[#This Row],[CODIGO_SBS]],Parametria!C:C,0))</f>
        <v>#N/A</v>
      </c>
      <c r="AN511" s="26" t="e">
        <f>INDEX(Parametria!F:F,MATCH(Tabla_Consulta_desde_Reporte_de_Valorización_de_Instrumentos[[#This Row],[CODIGO_SBS]],Parametria!C:C,0))</f>
        <v>#N/A</v>
      </c>
      <c r="AO511" s="26" t="e">
        <f>+INDEX(Parametria!J:J,MATCH(Tabla_Consulta_desde_Reporte_de_Valorización_de_Instrumentos[[#This Row],[CODIGO_SBS]],Parametria!C:C,0))</f>
        <v>#N/A</v>
      </c>
      <c r="AP511" s="26">
        <f>Tabla_Consulta_desde_Reporte_de_Valorización_de_Instrumentos[[#This Row],[Huella]]/$AU$4</f>
        <v>0</v>
      </c>
      <c r="AQ511" s="26" t="e">
        <f>IFERROR(INDEX('BD(MSCI)'!W:W,MATCH(Tabla_Consulta_desde_Reporte_de_Valorización_de_Instrumentos[[#This Row],[CODIGO_ISIN]],'BD(MSCI)'!C:C,0)),IF(Tabla_Consulta_desde_Reporte_de_Valorización_de_Instrumentos[[#This Row],[Rank_rt]]="Cash","Cash","Cuestionario Integra"))</f>
        <v>#N/A</v>
      </c>
      <c r="AR511" s="26" t="str">
        <f>IFERROR(INDEX('BD(MSCI)'!X:X,MATCH(Tabla_Consulta_desde_Reporte_de_Valorización_de_Instrumentos[[#This Row],[CODIGO_ISIN]],'BD(MSCI)'!C:C,0)),"Cuestionario Integra")</f>
        <v>Cuestionario Integra</v>
      </c>
      <c r="AU511" s="26"/>
    </row>
    <row r="512" spans="2:47" hidden="1" x14ac:dyDescent="0.25">
      <c r="B512" s="14" t="s">
        <v>6390</v>
      </c>
      <c r="C512" t="s">
        <v>833</v>
      </c>
      <c r="D512" t="s">
        <v>9</v>
      </c>
      <c r="E512" t="s">
        <v>834</v>
      </c>
      <c r="F512" t="s">
        <v>6479</v>
      </c>
      <c r="G512" t="e">
        <f>INDEX(Parametria!H:H,MATCH(Tabla_Consulta_desde_Reporte_de_Valorización_de_Instrumentos[[#This Row],[CODIGO_SBS]],Parametria!C:C,0),1)</f>
        <v>#N/A</v>
      </c>
      <c r="H512" t="s">
        <v>90</v>
      </c>
      <c r="I512" t="s">
        <v>835</v>
      </c>
      <c r="J512" t="s">
        <v>243</v>
      </c>
      <c r="K512" t="s">
        <v>90</v>
      </c>
      <c r="L512">
        <v>1</v>
      </c>
      <c r="M512" s="5">
        <v>17149599.728</v>
      </c>
      <c r="N512">
        <v>17149599.728</v>
      </c>
      <c r="O512">
        <v>0</v>
      </c>
      <c r="P512" s="15">
        <v>46167</v>
      </c>
      <c r="Q512">
        <v>145</v>
      </c>
      <c r="R512">
        <v>1</v>
      </c>
      <c r="S512" t="s">
        <v>155</v>
      </c>
      <c r="T512">
        <v>17147521.954</v>
      </c>
      <c r="U512" s="5">
        <v>17147521.954</v>
      </c>
      <c r="V512" t="s">
        <v>192</v>
      </c>
      <c r="W512">
        <v>4565854000</v>
      </c>
      <c r="X512">
        <v>3638173000</v>
      </c>
      <c r="Y512">
        <v>927681000</v>
      </c>
      <c r="Z512">
        <v>0</v>
      </c>
      <c r="AA512" t="str">
        <f>+MID(Tabla_Consulta_desde_Reporte_de_Valorización_de_Instrumentos[[#This Row],[CODIGO_SBS]],7,1)</f>
        <v>1</v>
      </c>
      <c r="AB512">
        <f>INDEX('Cálculo Caja'!F:F,MATCH(Tabla_Consulta_desde_Reporte_de_Valorización_de_Instrumentos[[#This Row],[PORTAFOLIO]],'Cálculo Caja'!A:A,0),1)</f>
        <v>2847839359.3764262</v>
      </c>
      <c r="AC512" s="17">
        <f>Tabla_Consulta_desde_Reporte_de_Valorización_de_Instrumentos[[#This Row],[VALOR_VECTOR_LOCAL]]/Tabla_Consulta_desde_Reporte_de_Valorización_de_Instrumentos[[#This Row],[Patrimonio]]</f>
        <v>6.0219687854005718E-3</v>
      </c>
      <c r="AD512" s="4">
        <f>(Tabla_Consulta_desde_Reporte_de_Valorización_de_Instrumentos[[#This Row],[VALOR_VECTOR_LOCAL]]/INDEX('Tipo de Cambio'!$D:$D,MATCH("2",'Tipo de Cambio'!$E:$E,0),1))/1000000</f>
        <v>5.1026807486090036</v>
      </c>
      <c r="AE512">
        <f>IF(Tabla_Consulta_desde_Reporte_de_Valorización_de_Instrumentos[[#This Row],[PORTAFOLIO]]="IN-FONDO0",Tabla_Consulta_desde_Reporte_de_Valorización_de_Instrumentos[[#This Row],[Inv MM$]],0)</f>
        <v>5.1026807486090036</v>
      </c>
      <c r="AF512" s="26">
        <f>IF(Tabla_Consulta_desde_Reporte_de_Valorización_de_Instrumentos[[#This Row],[PORTAFOLIO]]="IN-FONDO1",Tabla_Consulta_desde_Reporte_de_Valorización_de_Instrumentos[[#This Row],[Inv MM$]],0)</f>
        <v>0</v>
      </c>
      <c r="AG512" s="26">
        <f>IF(Tabla_Consulta_desde_Reporte_de_Valorización_de_Instrumentos[[#This Row],[PORTAFOLIO]]="IN-FONDO2",Tabla_Consulta_desde_Reporte_de_Valorización_de_Instrumentos[[#This Row],[Inv MM$]],0)</f>
        <v>0</v>
      </c>
      <c r="AH512" s="26">
        <f>IF(Tabla_Consulta_desde_Reporte_de_Valorización_de_Instrumentos[[#This Row],[PORTAFOLIO]]="IN-FONDO3",Tabla_Consulta_desde_Reporte_de_Valorización_de_Instrumentos[[#This Row],[Inv MM$]],0)</f>
        <v>0</v>
      </c>
      <c r="AI51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2" s="26">
        <f>IFERROR(IFERROR(INDEX('BD(MSCI)'!$T:$T,MATCH(Tabla_Consulta_desde_Reporte_de_Valorización_de_Instrumentos[[#This Row],[CODIGO_ISIN]],'BD(MSCI)'!$C:$C,0),1),INDEX('BD(MSCI)'!$T:$T,MATCH(Tabla_Consulta_desde_Reporte_de_Valorización_de_Instrumentos[[#This Row],[CODIGO_SBS]],'BD(MSCI)'!$C:$C,0),1)),0)</f>
        <v>0</v>
      </c>
      <c r="AK512" s="26">
        <f>Tabla_Consulta_desde_Reporte_de_Valorización_de_Instrumentos[[#This Row],[C02-H]]*Tabla_Consulta_desde_Reporte_de_Valorización_de_Instrumentos[[#This Row],[Inv MM$]]</f>
        <v>0</v>
      </c>
      <c r="AL512" s="26">
        <f>Tabla_Consulta_desde_Reporte_de_Valorización_de_Instrumentos[[#This Row],[C02-H]]*Tabla_Consulta_desde_Reporte_de_Valorización_de_Instrumentos[[#This Row],[Weight]]</f>
        <v>0</v>
      </c>
      <c r="AM512" s="26" t="e">
        <f>INDEX(Parametria!G:G,MATCH(Tabla_Consulta_desde_Reporte_de_Valorización_de_Instrumentos[[#This Row],[CODIGO_SBS]],Parametria!C:C,0))</f>
        <v>#N/A</v>
      </c>
      <c r="AN512" s="26" t="e">
        <f>INDEX(Parametria!F:F,MATCH(Tabla_Consulta_desde_Reporte_de_Valorización_de_Instrumentos[[#This Row],[CODIGO_SBS]],Parametria!C:C,0))</f>
        <v>#N/A</v>
      </c>
      <c r="AO512" s="26" t="e">
        <f>+INDEX(Parametria!J:J,MATCH(Tabla_Consulta_desde_Reporte_de_Valorización_de_Instrumentos[[#This Row],[CODIGO_SBS]],Parametria!C:C,0))</f>
        <v>#N/A</v>
      </c>
      <c r="AP512" s="26">
        <f>Tabla_Consulta_desde_Reporte_de_Valorización_de_Instrumentos[[#This Row],[Huella]]/$AU$4</f>
        <v>0</v>
      </c>
      <c r="AQ512" s="26" t="e">
        <f>IFERROR(INDEX('BD(MSCI)'!W:W,MATCH(Tabla_Consulta_desde_Reporte_de_Valorización_de_Instrumentos[[#This Row],[CODIGO_ISIN]],'BD(MSCI)'!C:C,0)),IF(Tabla_Consulta_desde_Reporte_de_Valorización_de_Instrumentos[[#This Row],[Rank_rt]]="Cash","Cash","Cuestionario Integra"))</f>
        <v>#N/A</v>
      </c>
      <c r="AR512" s="26" t="str">
        <f>IFERROR(INDEX('BD(MSCI)'!X:X,MATCH(Tabla_Consulta_desde_Reporte_de_Valorización_de_Instrumentos[[#This Row],[CODIGO_ISIN]],'BD(MSCI)'!C:C,0)),"Cuestionario Integra")</f>
        <v>Cuestionario Integra</v>
      </c>
      <c r="AU512" s="26"/>
    </row>
    <row r="513" spans="2:47" hidden="1" x14ac:dyDescent="0.25">
      <c r="B513" s="14" t="s">
        <v>6390</v>
      </c>
      <c r="C513" t="s">
        <v>833</v>
      </c>
      <c r="D513" t="s">
        <v>9</v>
      </c>
      <c r="E513" t="s">
        <v>834</v>
      </c>
      <c r="F513" t="s">
        <v>6480</v>
      </c>
      <c r="G513" t="e">
        <f>INDEX(Parametria!H:H,MATCH(Tabla_Consulta_desde_Reporte_de_Valorización_de_Instrumentos[[#This Row],[CODIGO_SBS]],Parametria!C:C,0),1)</f>
        <v>#N/A</v>
      </c>
      <c r="H513" t="s">
        <v>90</v>
      </c>
      <c r="I513" t="s">
        <v>835</v>
      </c>
      <c r="J513" t="s">
        <v>243</v>
      </c>
      <c r="K513" t="s">
        <v>90</v>
      </c>
      <c r="L513">
        <v>1</v>
      </c>
      <c r="M513" s="5">
        <v>17149599.728</v>
      </c>
      <c r="N513">
        <v>17149599.728</v>
      </c>
      <c r="O513">
        <v>0</v>
      </c>
      <c r="P513" s="15">
        <v>46101</v>
      </c>
      <c r="Q513">
        <v>79</v>
      </c>
      <c r="R513">
        <v>1</v>
      </c>
      <c r="S513" t="s">
        <v>155</v>
      </c>
      <c r="T513">
        <v>17147521.954</v>
      </c>
      <c r="U513" s="5">
        <v>17147521.954</v>
      </c>
      <c r="V513" t="s">
        <v>192</v>
      </c>
      <c r="W513">
        <v>4565854000</v>
      </c>
      <c r="X513">
        <v>3638173000</v>
      </c>
      <c r="Y513">
        <v>927681000</v>
      </c>
      <c r="Z513">
        <v>0</v>
      </c>
      <c r="AA513" t="str">
        <f>+MID(Tabla_Consulta_desde_Reporte_de_Valorización_de_Instrumentos[[#This Row],[CODIGO_SBS]],7,1)</f>
        <v>1</v>
      </c>
      <c r="AB513">
        <f>INDEX('Cálculo Caja'!F:F,MATCH(Tabla_Consulta_desde_Reporte_de_Valorización_de_Instrumentos[[#This Row],[PORTAFOLIO]],'Cálculo Caja'!A:A,0),1)</f>
        <v>2847839359.3764262</v>
      </c>
      <c r="AC513" s="17">
        <f>Tabla_Consulta_desde_Reporte_de_Valorización_de_Instrumentos[[#This Row],[VALOR_VECTOR_LOCAL]]/Tabla_Consulta_desde_Reporte_de_Valorización_de_Instrumentos[[#This Row],[Patrimonio]]</f>
        <v>6.0219687854005718E-3</v>
      </c>
      <c r="AD513" s="4">
        <f>(Tabla_Consulta_desde_Reporte_de_Valorización_de_Instrumentos[[#This Row],[VALOR_VECTOR_LOCAL]]/INDEX('Tipo de Cambio'!$D:$D,MATCH("2",'Tipo de Cambio'!$E:$E,0),1))/1000000</f>
        <v>5.1026807486090036</v>
      </c>
      <c r="AE513">
        <f>IF(Tabla_Consulta_desde_Reporte_de_Valorización_de_Instrumentos[[#This Row],[PORTAFOLIO]]="IN-FONDO0",Tabla_Consulta_desde_Reporte_de_Valorización_de_Instrumentos[[#This Row],[Inv MM$]],0)</f>
        <v>5.1026807486090036</v>
      </c>
      <c r="AF513" s="26">
        <f>IF(Tabla_Consulta_desde_Reporte_de_Valorización_de_Instrumentos[[#This Row],[PORTAFOLIO]]="IN-FONDO1",Tabla_Consulta_desde_Reporte_de_Valorización_de_Instrumentos[[#This Row],[Inv MM$]],0)</f>
        <v>0</v>
      </c>
      <c r="AG513" s="26">
        <f>IF(Tabla_Consulta_desde_Reporte_de_Valorización_de_Instrumentos[[#This Row],[PORTAFOLIO]]="IN-FONDO2",Tabla_Consulta_desde_Reporte_de_Valorización_de_Instrumentos[[#This Row],[Inv MM$]],0)</f>
        <v>0</v>
      </c>
      <c r="AH513" s="26">
        <f>IF(Tabla_Consulta_desde_Reporte_de_Valorización_de_Instrumentos[[#This Row],[PORTAFOLIO]]="IN-FONDO3",Tabla_Consulta_desde_Reporte_de_Valorización_de_Instrumentos[[#This Row],[Inv MM$]],0)</f>
        <v>0</v>
      </c>
      <c r="AI51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3" s="26">
        <f>IFERROR(IFERROR(INDEX('BD(MSCI)'!$T:$T,MATCH(Tabla_Consulta_desde_Reporte_de_Valorización_de_Instrumentos[[#This Row],[CODIGO_ISIN]],'BD(MSCI)'!$C:$C,0),1),INDEX('BD(MSCI)'!$T:$T,MATCH(Tabla_Consulta_desde_Reporte_de_Valorización_de_Instrumentos[[#This Row],[CODIGO_SBS]],'BD(MSCI)'!$C:$C,0),1)),0)</f>
        <v>0</v>
      </c>
      <c r="AK513" s="26">
        <f>Tabla_Consulta_desde_Reporte_de_Valorización_de_Instrumentos[[#This Row],[C02-H]]*Tabla_Consulta_desde_Reporte_de_Valorización_de_Instrumentos[[#This Row],[Inv MM$]]</f>
        <v>0</v>
      </c>
      <c r="AL513" s="26">
        <f>Tabla_Consulta_desde_Reporte_de_Valorización_de_Instrumentos[[#This Row],[C02-H]]*Tabla_Consulta_desde_Reporte_de_Valorización_de_Instrumentos[[#This Row],[Weight]]</f>
        <v>0</v>
      </c>
      <c r="AM513" s="26" t="e">
        <f>INDEX(Parametria!G:G,MATCH(Tabla_Consulta_desde_Reporte_de_Valorización_de_Instrumentos[[#This Row],[CODIGO_SBS]],Parametria!C:C,0))</f>
        <v>#N/A</v>
      </c>
      <c r="AN513" s="26" t="e">
        <f>INDEX(Parametria!F:F,MATCH(Tabla_Consulta_desde_Reporte_de_Valorización_de_Instrumentos[[#This Row],[CODIGO_SBS]],Parametria!C:C,0))</f>
        <v>#N/A</v>
      </c>
      <c r="AO513" s="26" t="e">
        <f>+INDEX(Parametria!J:J,MATCH(Tabla_Consulta_desde_Reporte_de_Valorización_de_Instrumentos[[#This Row],[CODIGO_SBS]],Parametria!C:C,0))</f>
        <v>#N/A</v>
      </c>
      <c r="AP513" s="26">
        <f>Tabla_Consulta_desde_Reporte_de_Valorización_de_Instrumentos[[#This Row],[Huella]]/$AU$4</f>
        <v>0</v>
      </c>
      <c r="AQ513" s="26" t="e">
        <f>IFERROR(INDEX('BD(MSCI)'!W:W,MATCH(Tabla_Consulta_desde_Reporte_de_Valorización_de_Instrumentos[[#This Row],[CODIGO_ISIN]],'BD(MSCI)'!C:C,0)),IF(Tabla_Consulta_desde_Reporte_de_Valorización_de_Instrumentos[[#This Row],[Rank_rt]]="Cash","Cash","Cuestionario Integra"))</f>
        <v>#N/A</v>
      </c>
      <c r="AR513" s="26" t="str">
        <f>IFERROR(INDEX('BD(MSCI)'!X:X,MATCH(Tabla_Consulta_desde_Reporte_de_Valorización_de_Instrumentos[[#This Row],[CODIGO_ISIN]],'BD(MSCI)'!C:C,0)),"Cuestionario Integra")</f>
        <v>Cuestionario Integra</v>
      </c>
      <c r="AU513" s="26"/>
    </row>
    <row r="514" spans="2:47" hidden="1" x14ac:dyDescent="0.25">
      <c r="B514" s="14" t="s">
        <v>6390</v>
      </c>
      <c r="C514" t="s">
        <v>833</v>
      </c>
      <c r="D514" t="s">
        <v>9</v>
      </c>
      <c r="E514" t="s">
        <v>834</v>
      </c>
      <c r="F514" t="s">
        <v>6481</v>
      </c>
      <c r="G514" t="e">
        <f>INDEX(Parametria!H:H,MATCH(Tabla_Consulta_desde_Reporte_de_Valorización_de_Instrumentos[[#This Row],[CODIGO_SBS]],Parametria!C:C,0),1)</f>
        <v>#N/A</v>
      </c>
      <c r="H514" t="s">
        <v>90</v>
      </c>
      <c r="I514" t="s">
        <v>835</v>
      </c>
      <c r="J514" t="s">
        <v>245</v>
      </c>
      <c r="K514" t="s">
        <v>90</v>
      </c>
      <c r="L514">
        <v>1</v>
      </c>
      <c r="M514" s="5">
        <v>30253865.760000002</v>
      </c>
      <c r="N514">
        <v>30253865.760000002</v>
      </c>
      <c r="O514">
        <v>0</v>
      </c>
      <c r="P514" s="15">
        <v>46314</v>
      </c>
      <c r="Q514">
        <v>292</v>
      </c>
      <c r="R514">
        <v>1</v>
      </c>
      <c r="S514" t="s">
        <v>155</v>
      </c>
      <c r="T514">
        <v>30250132.440000001</v>
      </c>
      <c r="U514" s="5">
        <v>30250132.440000001</v>
      </c>
      <c r="V514" t="s">
        <v>192</v>
      </c>
      <c r="W514">
        <v>4565854000</v>
      </c>
      <c r="X514">
        <v>3638173000</v>
      </c>
      <c r="Y514">
        <v>927681000</v>
      </c>
      <c r="Z514">
        <v>0</v>
      </c>
      <c r="AA514" t="str">
        <f>+MID(Tabla_Consulta_desde_Reporte_de_Valorización_de_Instrumentos[[#This Row],[CODIGO_SBS]],7,1)</f>
        <v>1</v>
      </c>
      <c r="AB514">
        <f>INDEX('Cálculo Caja'!F:F,MATCH(Tabla_Consulta_desde_Reporte_de_Valorización_de_Instrumentos[[#This Row],[PORTAFOLIO]],'Cálculo Caja'!A:A,0),1)</f>
        <v>2847839359.3764262</v>
      </c>
      <c r="AC514" s="17">
        <f>Tabla_Consulta_desde_Reporte_de_Valorización_de_Instrumentos[[#This Row],[VALOR_VECTOR_LOCAL]]/Tabla_Consulta_desde_Reporte_de_Valorización_de_Instrumentos[[#This Row],[Patrimonio]]</f>
        <v>1.0623445335984296E-2</v>
      </c>
      <c r="AD514" s="4">
        <f>(Tabla_Consulta_desde_Reporte_de_Valorización_de_Instrumentos[[#This Row],[VALOR_VECTOR_LOCAL]]/INDEX('Tipo de Cambio'!$D:$D,MATCH("2",'Tipo de Cambio'!$E:$E,0),1))/1000000</f>
        <v>9.0017155404802285</v>
      </c>
      <c r="AE514">
        <f>IF(Tabla_Consulta_desde_Reporte_de_Valorización_de_Instrumentos[[#This Row],[PORTAFOLIO]]="IN-FONDO0",Tabla_Consulta_desde_Reporte_de_Valorización_de_Instrumentos[[#This Row],[Inv MM$]],0)</f>
        <v>9.0017155404802285</v>
      </c>
      <c r="AF514" s="26">
        <f>IF(Tabla_Consulta_desde_Reporte_de_Valorización_de_Instrumentos[[#This Row],[PORTAFOLIO]]="IN-FONDO1",Tabla_Consulta_desde_Reporte_de_Valorización_de_Instrumentos[[#This Row],[Inv MM$]],0)</f>
        <v>0</v>
      </c>
      <c r="AG514" s="26">
        <f>IF(Tabla_Consulta_desde_Reporte_de_Valorización_de_Instrumentos[[#This Row],[PORTAFOLIO]]="IN-FONDO2",Tabla_Consulta_desde_Reporte_de_Valorización_de_Instrumentos[[#This Row],[Inv MM$]],0)</f>
        <v>0</v>
      </c>
      <c r="AH514" s="26">
        <f>IF(Tabla_Consulta_desde_Reporte_de_Valorización_de_Instrumentos[[#This Row],[PORTAFOLIO]]="IN-FONDO3",Tabla_Consulta_desde_Reporte_de_Valorización_de_Instrumentos[[#This Row],[Inv MM$]],0)</f>
        <v>0</v>
      </c>
      <c r="AI51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4" s="26">
        <f>IFERROR(IFERROR(INDEX('BD(MSCI)'!$T:$T,MATCH(Tabla_Consulta_desde_Reporte_de_Valorización_de_Instrumentos[[#This Row],[CODIGO_ISIN]],'BD(MSCI)'!$C:$C,0),1),INDEX('BD(MSCI)'!$T:$T,MATCH(Tabla_Consulta_desde_Reporte_de_Valorización_de_Instrumentos[[#This Row],[CODIGO_SBS]],'BD(MSCI)'!$C:$C,0),1)),0)</f>
        <v>0</v>
      </c>
      <c r="AK514" s="26">
        <f>Tabla_Consulta_desde_Reporte_de_Valorización_de_Instrumentos[[#This Row],[C02-H]]*Tabla_Consulta_desde_Reporte_de_Valorización_de_Instrumentos[[#This Row],[Inv MM$]]</f>
        <v>0</v>
      </c>
      <c r="AL514" s="26">
        <f>Tabla_Consulta_desde_Reporte_de_Valorización_de_Instrumentos[[#This Row],[C02-H]]*Tabla_Consulta_desde_Reporte_de_Valorización_de_Instrumentos[[#This Row],[Weight]]</f>
        <v>0</v>
      </c>
      <c r="AM514" s="26" t="e">
        <f>INDEX(Parametria!G:G,MATCH(Tabla_Consulta_desde_Reporte_de_Valorización_de_Instrumentos[[#This Row],[CODIGO_SBS]],Parametria!C:C,0))</f>
        <v>#N/A</v>
      </c>
      <c r="AN514" s="26" t="e">
        <f>INDEX(Parametria!F:F,MATCH(Tabla_Consulta_desde_Reporte_de_Valorización_de_Instrumentos[[#This Row],[CODIGO_SBS]],Parametria!C:C,0))</f>
        <v>#N/A</v>
      </c>
      <c r="AO514" s="26" t="e">
        <f>+INDEX(Parametria!J:J,MATCH(Tabla_Consulta_desde_Reporte_de_Valorización_de_Instrumentos[[#This Row],[CODIGO_SBS]],Parametria!C:C,0))</f>
        <v>#N/A</v>
      </c>
      <c r="AP514" s="26">
        <f>Tabla_Consulta_desde_Reporte_de_Valorización_de_Instrumentos[[#This Row],[Huella]]/$AU$4</f>
        <v>0</v>
      </c>
      <c r="AQ514" s="26" t="e">
        <f>IFERROR(INDEX('BD(MSCI)'!W:W,MATCH(Tabla_Consulta_desde_Reporte_de_Valorización_de_Instrumentos[[#This Row],[CODIGO_ISIN]],'BD(MSCI)'!C:C,0)),IF(Tabla_Consulta_desde_Reporte_de_Valorización_de_Instrumentos[[#This Row],[Rank_rt]]="Cash","Cash","Cuestionario Integra"))</f>
        <v>#N/A</v>
      </c>
      <c r="AR514" s="26" t="str">
        <f>IFERROR(INDEX('BD(MSCI)'!X:X,MATCH(Tabla_Consulta_desde_Reporte_de_Valorización_de_Instrumentos[[#This Row],[CODIGO_ISIN]],'BD(MSCI)'!C:C,0)),"Cuestionario Integra")</f>
        <v>Cuestionario Integra</v>
      </c>
      <c r="AU514" s="26"/>
    </row>
    <row r="515" spans="2:47" hidden="1" x14ac:dyDescent="0.25">
      <c r="B515" s="14" t="s">
        <v>6390</v>
      </c>
      <c r="C515" t="s">
        <v>833</v>
      </c>
      <c r="D515" t="s">
        <v>9</v>
      </c>
      <c r="E515" t="s">
        <v>834</v>
      </c>
      <c r="F515" t="s">
        <v>6482</v>
      </c>
      <c r="G515" t="e">
        <f>INDEX(Parametria!H:H,MATCH(Tabla_Consulta_desde_Reporte_de_Valorización_de_Instrumentos[[#This Row],[CODIGO_SBS]],Parametria!C:C,0),1)</f>
        <v>#N/A</v>
      </c>
      <c r="H515" t="s">
        <v>90</v>
      </c>
      <c r="I515" t="s">
        <v>835</v>
      </c>
      <c r="J515" t="s">
        <v>245</v>
      </c>
      <c r="K515" t="s">
        <v>90</v>
      </c>
      <c r="L515">
        <v>1</v>
      </c>
      <c r="M515" s="5">
        <v>12071199.936000001</v>
      </c>
      <c r="N515">
        <v>12071199.936000001</v>
      </c>
      <c r="O515">
        <v>0</v>
      </c>
      <c r="P515" s="15">
        <v>46237</v>
      </c>
      <c r="Q515">
        <v>215</v>
      </c>
      <c r="R515">
        <v>1</v>
      </c>
      <c r="S515" t="s">
        <v>155</v>
      </c>
      <c r="T515">
        <v>12069716.604</v>
      </c>
      <c r="U515" s="5">
        <v>12069716.604</v>
      </c>
      <c r="V515" t="s">
        <v>192</v>
      </c>
      <c r="W515">
        <v>4565854000</v>
      </c>
      <c r="X515">
        <v>3638173000</v>
      </c>
      <c r="Y515">
        <v>927681000</v>
      </c>
      <c r="Z515">
        <v>0</v>
      </c>
      <c r="AA515" t="str">
        <f>+MID(Tabla_Consulta_desde_Reporte_de_Valorización_de_Instrumentos[[#This Row],[CODIGO_SBS]],7,1)</f>
        <v>1</v>
      </c>
      <c r="AB515">
        <f>INDEX('Cálculo Caja'!F:F,MATCH(Tabla_Consulta_desde_Reporte_de_Valorización_de_Instrumentos[[#This Row],[PORTAFOLIO]],'Cálculo Caja'!A:A,0),1)</f>
        <v>2847839359.3764262</v>
      </c>
      <c r="AC515" s="17">
        <f>Tabla_Consulta_desde_Reporte_de_Valorización_de_Instrumentos[[#This Row],[VALOR_VECTOR_LOCAL]]/Tabla_Consulta_desde_Reporte_de_Valorización_de_Instrumentos[[#This Row],[Patrimonio]]</f>
        <v>4.238722207506521E-3</v>
      </c>
      <c r="AD515" s="4">
        <f>(Tabla_Consulta_desde_Reporte_de_Valorización_de_Instrumentos[[#This Row],[VALOR_VECTOR_LOCAL]]/INDEX('Tipo de Cambio'!$D:$D,MATCH("2",'Tipo de Cambio'!$E:$E,0),1))/1000000</f>
        <v>3.5916569775952873</v>
      </c>
      <c r="AE515">
        <f>IF(Tabla_Consulta_desde_Reporte_de_Valorización_de_Instrumentos[[#This Row],[PORTAFOLIO]]="IN-FONDO0",Tabla_Consulta_desde_Reporte_de_Valorización_de_Instrumentos[[#This Row],[Inv MM$]],0)</f>
        <v>3.5916569775952873</v>
      </c>
      <c r="AF515" s="26">
        <f>IF(Tabla_Consulta_desde_Reporte_de_Valorización_de_Instrumentos[[#This Row],[PORTAFOLIO]]="IN-FONDO1",Tabla_Consulta_desde_Reporte_de_Valorización_de_Instrumentos[[#This Row],[Inv MM$]],0)</f>
        <v>0</v>
      </c>
      <c r="AG515" s="26">
        <f>IF(Tabla_Consulta_desde_Reporte_de_Valorización_de_Instrumentos[[#This Row],[PORTAFOLIO]]="IN-FONDO2",Tabla_Consulta_desde_Reporte_de_Valorización_de_Instrumentos[[#This Row],[Inv MM$]],0)</f>
        <v>0</v>
      </c>
      <c r="AH515" s="26">
        <f>IF(Tabla_Consulta_desde_Reporte_de_Valorización_de_Instrumentos[[#This Row],[PORTAFOLIO]]="IN-FONDO3",Tabla_Consulta_desde_Reporte_de_Valorización_de_Instrumentos[[#This Row],[Inv MM$]],0)</f>
        <v>0</v>
      </c>
      <c r="AI51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5" s="26">
        <f>IFERROR(IFERROR(INDEX('BD(MSCI)'!$T:$T,MATCH(Tabla_Consulta_desde_Reporte_de_Valorización_de_Instrumentos[[#This Row],[CODIGO_ISIN]],'BD(MSCI)'!$C:$C,0),1),INDEX('BD(MSCI)'!$T:$T,MATCH(Tabla_Consulta_desde_Reporte_de_Valorización_de_Instrumentos[[#This Row],[CODIGO_SBS]],'BD(MSCI)'!$C:$C,0),1)),0)</f>
        <v>0</v>
      </c>
      <c r="AK515" s="26">
        <f>Tabla_Consulta_desde_Reporte_de_Valorización_de_Instrumentos[[#This Row],[C02-H]]*Tabla_Consulta_desde_Reporte_de_Valorización_de_Instrumentos[[#This Row],[Inv MM$]]</f>
        <v>0</v>
      </c>
      <c r="AL515" s="26">
        <f>Tabla_Consulta_desde_Reporte_de_Valorización_de_Instrumentos[[#This Row],[C02-H]]*Tabla_Consulta_desde_Reporte_de_Valorización_de_Instrumentos[[#This Row],[Weight]]</f>
        <v>0</v>
      </c>
      <c r="AM515" s="26" t="e">
        <f>INDEX(Parametria!G:G,MATCH(Tabla_Consulta_desde_Reporte_de_Valorización_de_Instrumentos[[#This Row],[CODIGO_SBS]],Parametria!C:C,0))</f>
        <v>#N/A</v>
      </c>
      <c r="AN515" s="26" t="e">
        <f>INDEX(Parametria!F:F,MATCH(Tabla_Consulta_desde_Reporte_de_Valorización_de_Instrumentos[[#This Row],[CODIGO_SBS]],Parametria!C:C,0))</f>
        <v>#N/A</v>
      </c>
      <c r="AO515" s="26" t="e">
        <f>+INDEX(Parametria!J:J,MATCH(Tabla_Consulta_desde_Reporte_de_Valorización_de_Instrumentos[[#This Row],[CODIGO_SBS]],Parametria!C:C,0))</f>
        <v>#N/A</v>
      </c>
      <c r="AP515" s="26">
        <f>Tabla_Consulta_desde_Reporte_de_Valorización_de_Instrumentos[[#This Row],[Huella]]/$AU$4</f>
        <v>0</v>
      </c>
      <c r="AQ515" s="26" t="e">
        <f>IFERROR(INDEX('BD(MSCI)'!W:W,MATCH(Tabla_Consulta_desde_Reporte_de_Valorización_de_Instrumentos[[#This Row],[CODIGO_ISIN]],'BD(MSCI)'!C:C,0)),IF(Tabla_Consulta_desde_Reporte_de_Valorización_de_Instrumentos[[#This Row],[Rank_rt]]="Cash","Cash","Cuestionario Integra"))</f>
        <v>#N/A</v>
      </c>
      <c r="AR515" s="26" t="str">
        <f>IFERROR(INDEX('BD(MSCI)'!X:X,MATCH(Tabla_Consulta_desde_Reporte_de_Valorización_de_Instrumentos[[#This Row],[CODIGO_ISIN]],'BD(MSCI)'!C:C,0)),"Cuestionario Integra")</f>
        <v>Cuestionario Integra</v>
      </c>
      <c r="AU515" s="26"/>
    </row>
    <row r="516" spans="2:47" hidden="1" x14ac:dyDescent="0.25">
      <c r="B516" s="14" t="s">
        <v>6390</v>
      </c>
      <c r="C516" t="s">
        <v>833</v>
      </c>
      <c r="D516" t="s">
        <v>9</v>
      </c>
      <c r="E516" t="s">
        <v>834</v>
      </c>
      <c r="F516" t="s">
        <v>6483</v>
      </c>
      <c r="G516" t="e">
        <f>INDEX(Parametria!H:H,MATCH(Tabla_Consulta_desde_Reporte_de_Valorización_de_Instrumentos[[#This Row],[CODIGO_SBS]],Parametria!C:C,0),1)</f>
        <v>#N/A</v>
      </c>
      <c r="H516" t="s">
        <v>90</v>
      </c>
      <c r="I516" t="s">
        <v>835</v>
      </c>
      <c r="J516" t="s">
        <v>4860</v>
      </c>
      <c r="K516" t="s">
        <v>90</v>
      </c>
      <c r="L516">
        <v>1</v>
      </c>
      <c r="M516" s="5">
        <v>3017919.9360000002</v>
      </c>
      <c r="N516">
        <v>3017919.9360000002</v>
      </c>
      <c r="O516">
        <v>0</v>
      </c>
      <c r="P516" s="15">
        <v>46237</v>
      </c>
      <c r="Q516">
        <v>215</v>
      </c>
      <c r="R516">
        <v>1</v>
      </c>
      <c r="S516" t="s">
        <v>155</v>
      </c>
      <c r="T516">
        <v>3017546.6039999998</v>
      </c>
      <c r="U516" s="5">
        <v>3017546.6039999998</v>
      </c>
      <c r="V516" t="s">
        <v>192</v>
      </c>
      <c r="W516">
        <v>4565854000</v>
      </c>
      <c r="X516">
        <v>3638173000</v>
      </c>
      <c r="Y516">
        <v>927681000</v>
      </c>
      <c r="Z516">
        <v>0</v>
      </c>
      <c r="AA516" t="str">
        <f>+MID(Tabla_Consulta_desde_Reporte_de_Valorización_de_Instrumentos[[#This Row],[CODIGO_SBS]],7,1)</f>
        <v>1</v>
      </c>
      <c r="AB516">
        <f>INDEX('Cálculo Caja'!F:F,MATCH(Tabla_Consulta_desde_Reporte_de_Valorización_de_Instrumentos[[#This Row],[PORTAFOLIO]],'Cálculo Caja'!A:A,0),1)</f>
        <v>2847839359.3764262</v>
      </c>
      <c r="AC516" s="17">
        <f>Tabla_Consulta_desde_Reporte_de_Valorización_de_Instrumentos[[#This Row],[VALOR_VECTOR_LOCAL]]/Tabla_Consulta_desde_Reporte_de_Valorización_de_Instrumentos[[#This Row],[Patrimonio]]</f>
        <v>1.0597226722299448E-3</v>
      </c>
      <c r="AD516" s="4">
        <f>(Tabla_Consulta_desde_Reporte_de_Valorización_de_Instrumentos[[#This Row],[VALOR_VECTOR_LOCAL]]/INDEX('Tipo de Cambio'!$D:$D,MATCH("2",'Tipo de Cambio'!$E:$E,0),1))/1000000</f>
        <v>0.89794993483888252</v>
      </c>
      <c r="AE516">
        <f>IF(Tabla_Consulta_desde_Reporte_de_Valorización_de_Instrumentos[[#This Row],[PORTAFOLIO]]="IN-FONDO0",Tabla_Consulta_desde_Reporte_de_Valorización_de_Instrumentos[[#This Row],[Inv MM$]],0)</f>
        <v>0.89794993483888252</v>
      </c>
      <c r="AF516" s="26">
        <f>IF(Tabla_Consulta_desde_Reporte_de_Valorización_de_Instrumentos[[#This Row],[PORTAFOLIO]]="IN-FONDO1",Tabla_Consulta_desde_Reporte_de_Valorización_de_Instrumentos[[#This Row],[Inv MM$]],0)</f>
        <v>0</v>
      </c>
      <c r="AG516" s="26">
        <f>IF(Tabla_Consulta_desde_Reporte_de_Valorización_de_Instrumentos[[#This Row],[PORTAFOLIO]]="IN-FONDO2",Tabla_Consulta_desde_Reporte_de_Valorización_de_Instrumentos[[#This Row],[Inv MM$]],0)</f>
        <v>0</v>
      </c>
      <c r="AH516" s="26">
        <f>IF(Tabla_Consulta_desde_Reporte_de_Valorización_de_Instrumentos[[#This Row],[PORTAFOLIO]]="IN-FONDO3",Tabla_Consulta_desde_Reporte_de_Valorización_de_Instrumentos[[#This Row],[Inv MM$]],0)</f>
        <v>0</v>
      </c>
      <c r="AI51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6" s="26">
        <f>IFERROR(IFERROR(INDEX('BD(MSCI)'!$T:$T,MATCH(Tabla_Consulta_desde_Reporte_de_Valorización_de_Instrumentos[[#This Row],[CODIGO_ISIN]],'BD(MSCI)'!$C:$C,0),1),INDEX('BD(MSCI)'!$T:$T,MATCH(Tabla_Consulta_desde_Reporte_de_Valorización_de_Instrumentos[[#This Row],[CODIGO_SBS]],'BD(MSCI)'!$C:$C,0),1)),0)</f>
        <v>0</v>
      </c>
      <c r="AK516" s="26">
        <f>Tabla_Consulta_desde_Reporte_de_Valorización_de_Instrumentos[[#This Row],[C02-H]]*Tabla_Consulta_desde_Reporte_de_Valorización_de_Instrumentos[[#This Row],[Inv MM$]]</f>
        <v>0</v>
      </c>
      <c r="AL516" s="26">
        <f>Tabla_Consulta_desde_Reporte_de_Valorización_de_Instrumentos[[#This Row],[C02-H]]*Tabla_Consulta_desde_Reporte_de_Valorización_de_Instrumentos[[#This Row],[Weight]]</f>
        <v>0</v>
      </c>
      <c r="AM516" s="26" t="e">
        <f>INDEX(Parametria!G:G,MATCH(Tabla_Consulta_desde_Reporte_de_Valorización_de_Instrumentos[[#This Row],[CODIGO_SBS]],Parametria!C:C,0))</f>
        <v>#N/A</v>
      </c>
      <c r="AN516" s="26" t="e">
        <f>INDEX(Parametria!F:F,MATCH(Tabla_Consulta_desde_Reporte_de_Valorización_de_Instrumentos[[#This Row],[CODIGO_SBS]],Parametria!C:C,0))</f>
        <v>#N/A</v>
      </c>
      <c r="AO516" s="26" t="e">
        <f>+INDEX(Parametria!J:J,MATCH(Tabla_Consulta_desde_Reporte_de_Valorización_de_Instrumentos[[#This Row],[CODIGO_SBS]],Parametria!C:C,0))</f>
        <v>#N/A</v>
      </c>
      <c r="AP516" s="26">
        <f>Tabla_Consulta_desde_Reporte_de_Valorización_de_Instrumentos[[#This Row],[Huella]]/$AU$4</f>
        <v>0</v>
      </c>
      <c r="AQ516" s="26" t="e">
        <f>IFERROR(INDEX('BD(MSCI)'!W:W,MATCH(Tabla_Consulta_desde_Reporte_de_Valorización_de_Instrumentos[[#This Row],[CODIGO_ISIN]],'BD(MSCI)'!C:C,0)),IF(Tabla_Consulta_desde_Reporte_de_Valorización_de_Instrumentos[[#This Row],[Rank_rt]]="Cash","Cash","Cuestionario Integra"))</f>
        <v>#N/A</v>
      </c>
      <c r="AR516" s="26" t="str">
        <f>IFERROR(INDEX('BD(MSCI)'!X:X,MATCH(Tabla_Consulta_desde_Reporte_de_Valorización_de_Instrumentos[[#This Row],[CODIGO_ISIN]],'BD(MSCI)'!C:C,0)),"Cuestionario Integra")</f>
        <v>Cuestionario Integra</v>
      </c>
      <c r="AU516" s="26"/>
    </row>
    <row r="517" spans="2:47" hidden="1" x14ac:dyDescent="0.25">
      <c r="B517" s="14" t="s">
        <v>6390</v>
      </c>
      <c r="C517" t="s">
        <v>833</v>
      </c>
      <c r="D517" t="s">
        <v>9</v>
      </c>
      <c r="E517" t="s">
        <v>834</v>
      </c>
      <c r="F517" t="s">
        <v>6484</v>
      </c>
      <c r="G517" t="e">
        <f>INDEX(Parametria!H:H,MATCH(Tabla_Consulta_desde_Reporte_de_Valorización_de_Instrumentos[[#This Row],[CODIGO_SBS]],Parametria!C:C,0),1)</f>
        <v>#N/A</v>
      </c>
      <c r="H517" t="s">
        <v>90</v>
      </c>
      <c r="I517" t="s">
        <v>835</v>
      </c>
      <c r="J517" t="s">
        <v>243</v>
      </c>
      <c r="K517" t="s">
        <v>90</v>
      </c>
      <c r="L517">
        <v>1</v>
      </c>
      <c r="M517" s="5">
        <v>15088999.92</v>
      </c>
      <c r="N517">
        <v>15088999.92</v>
      </c>
      <c r="O517">
        <v>0</v>
      </c>
      <c r="P517" s="15">
        <v>46230</v>
      </c>
      <c r="Q517">
        <v>208</v>
      </c>
      <c r="R517">
        <v>1</v>
      </c>
      <c r="S517" t="s">
        <v>155</v>
      </c>
      <c r="T517">
        <v>15087145.755000001</v>
      </c>
      <c r="U517" s="5">
        <v>15087145.755000001</v>
      </c>
      <c r="V517" t="s">
        <v>192</v>
      </c>
      <c r="W517">
        <v>4565854000</v>
      </c>
      <c r="X517">
        <v>3638173000</v>
      </c>
      <c r="Y517">
        <v>927681000</v>
      </c>
      <c r="Z517">
        <v>0</v>
      </c>
      <c r="AA517" t="str">
        <f>+MID(Tabla_Consulta_desde_Reporte_de_Valorización_de_Instrumentos[[#This Row],[CODIGO_SBS]],7,1)</f>
        <v>1</v>
      </c>
      <c r="AB517">
        <f>INDEX('Cálculo Caja'!F:F,MATCH(Tabla_Consulta_desde_Reporte_de_Valorización_de_Instrumentos[[#This Row],[PORTAFOLIO]],'Cálculo Caja'!A:A,0),1)</f>
        <v>2847839359.3764262</v>
      </c>
      <c r="AC517" s="17">
        <f>Tabla_Consulta_desde_Reporte_de_Valorización_de_Instrumentos[[#This Row],[VALOR_VECTOR_LOCAL]]/Tabla_Consulta_desde_Reporte_de_Valorización_de_Instrumentos[[#This Row],[Patrimonio]]</f>
        <v>5.2984027593831508E-3</v>
      </c>
      <c r="AD517" s="4">
        <f>(Tabla_Consulta_desde_Reporte_de_Valorización_de_Instrumentos[[#This Row],[VALOR_VECTOR_LOCAL]]/INDEX('Tipo de Cambio'!$D:$D,MATCH("2",'Tipo de Cambio'!$E:$E,0),1))/1000000</f>
        <v>4.4895712219941082</v>
      </c>
      <c r="AE517">
        <f>IF(Tabla_Consulta_desde_Reporte_de_Valorización_de_Instrumentos[[#This Row],[PORTAFOLIO]]="IN-FONDO0",Tabla_Consulta_desde_Reporte_de_Valorización_de_Instrumentos[[#This Row],[Inv MM$]],0)</f>
        <v>4.4895712219941082</v>
      </c>
      <c r="AF517" s="26">
        <f>IF(Tabla_Consulta_desde_Reporte_de_Valorización_de_Instrumentos[[#This Row],[PORTAFOLIO]]="IN-FONDO1",Tabla_Consulta_desde_Reporte_de_Valorización_de_Instrumentos[[#This Row],[Inv MM$]],0)</f>
        <v>0</v>
      </c>
      <c r="AG517" s="26">
        <f>IF(Tabla_Consulta_desde_Reporte_de_Valorización_de_Instrumentos[[#This Row],[PORTAFOLIO]]="IN-FONDO2",Tabla_Consulta_desde_Reporte_de_Valorización_de_Instrumentos[[#This Row],[Inv MM$]],0)</f>
        <v>0</v>
      </c>
      <c r="AH517" s="26">
        <f>IF(Tabla_Consulta_desde_Reporte_de_Valorización_de_Instrumentos[[#This Row],[PORTAFOLIO]]="IN-FONDO3",Tabla_Consulta_desde_Reporte_de_Valorización_de_Instrumentos[[#This Row],[Inv MM$]],0)</f>
        <v>0</v>
      </c>
      <c r="AI51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7" s="26">
        <f>IFERROR(IFERROR(INDEX('BD(MSCI)'!$T:$T,MATCH(Tabla_Consulta_desde_Reporte_de_Valorización_de_Instrumentos[[#This Row],[CODIGO_ISIN]],'BD(MSCI)'!$C:$C,0),1),INDEX('BD(MSCI)'!$T:$T,MATCH(Tabla_Consulta_desde_Reporte_de_Valorización_de_Instrumentos[[#This Row],[CODIGO_SBS]],'BD(MSCI)'!$C:$C,0),1)),0)</f>
        <v>0</v>
      </c>
      <c r="AK517" s="26">
        <f>Tabla_Consulta_desde_Reporte_de_Valorización_de_Instrumentos[[#This Row],[C02-H]]*Tabla_Consulta_desde_Reporte_de_Valorización_de_Instrumentos[[#This Row],[Inv MM$]]</f>
        <v>0</v>
      </c>
      <c r="AL517" s="26">
        <f>Tabla_Consulta_desde_Reporte_de_Valorización_de_Instrumentos[[#This Row],[C02-H]]*Tabla_Consulta_desde_Reporte_de_Valorización_de_Instrumentos[[#This Row],[Weight]]</f>
        <v>0</v>
      </c>
      <c r="AM517" s="26" t="e">
        <f>INDEX(Parametria!G:G,MATCH(Tabla_Consulta_desde_Reporte_de_Valorización_de_Instrumentos[[#This Row],[CODIGO_SBS]],Parametria!C:C,0))</f>
        <v>#N/A</v>
      </c>
      <c r="AN517" s="26" t="e">
        <f>INDEX(Parametria!F:F,MATCH(Tabla_Consulta_desde_Reporte_de_Valorización_de_Instrumentos[[#This Row],[CODIGO_SBS]],Parametria!C:C,0))</f>
        <v>#N/A</v>
      </c>
      <c r="AO517" s="26" t="e">
        <f>+INDEX(Parametria!J:J,MATCH(Tabla_Consulta_desde_Reporte_de_Valorización_de_Instrumentos[[#This Row],[CODIGO_SBS]],Parametria!C:C,0))</f>
        <v>#N/A</v>
      </c>
      <c r="AP517" s="26">
        <f>Tabla_Consulta_desde_Reporte_de_Valorización_de_Instrumentos[[#This Row],[Huella]]/$AU$4</f>
        <v>0</v>
      </c>
      <c r="AQ517" s="26" t="e">
        <f>IFERROR(INDEX('BD(MSCI)'!W:W,MATCH(Tabla_Consulta_desde_Reporte_de_Valorización_de_Instrumentos[[#This Row],[CODIGO_ISIN]],'BD(MSCI)'!C:C,0)),IF(Tabla_Consulta_desde_Reporte_de_Valorización_de_Instrumentos[[#This Row],[Rank_rt]]="Cash","Cash","Cuestionario Integra"))</f>
        <v>#N/A</v>
      </c>
      <c r="AR517" s="26" t="str">
        <f>IFERROR(INDEX('BD(MSCI)'!X:X,MATCH(Tabla_Consulta_desde_Reporte_de_Valorización_de_Instrumentos[[#This Row],[CODIGO_ISIN]],'BD(MSCI)'!C:C,0)),"Cuestionario Integra")</f>
        <v>Cuestionario Integra</v>
      </c>
      <c r="AU517" s="26"/>
    </row>
    <row r="518" spans="2:47" hidden="1" x14ac:dyDescent="0.25">
      <c r="B518" s="14" t="s">
        <v>6390</v>
      </c>
      <c r="C518" t="s">
        <v>833</v>
      </c>
      <c r="D518" t="s">
        <v>9</v>
      </c>
      <c r="E518" t="s">
        <v>834</v>
      </c>
      <c r="F518" t="s">
        <v>6485</v>
      </c>
      <c r="G518" t="e">
        <f>INDEX(Parametria!H:H,MATCH(Tabla_Consulta_desde_Reporte_de_Valorización_de_Instrumentos[[#This Row],[CODIGO_SBS]],Parametria!C:C,0),1)</f>
        <v>#N/A</v>
      </c>
      <c r="H518" t="s">
        <v>90</v>
      </c>
      <c r="I518" t="s">
        <v>835</v>
      </c>
      <c r="J518" t="s">
        <v>245</v>
      </c>
      <c r="K518" t="s">
        <v>90</v>
      </c>
      <c r="L518">
        <v>1</v>
      </c>
      <c r="M518" s="5">
        <v>26277015.804000001</v>
      </c>
      <c r="N518">
        <v>26277015.804000001</v>
      </c>
      <c r="O518">
        <v>0</v>
      </c>
      <c r="P518" s="15">
        <v>46274</v>
      </c>
      <c r="Q518">
        <v>252</v>
      </c>
      <c r="R518">
        <v>1</v>
      </c>
      <c r="S518" t="s">
        <v>155</v>
      </c>
      <c r="T518">
        <v>26273794.690000001</v>
      </c>
      <c r="U518" s="5">
        <v>26273794.690000001</v>
      </c>
      <c r="V518" t="s">
        <v>192</v>
      </c>
      <c r="W518">
        <v>4565854000</v>
      </c>
      <c r="X518">
        <v>3638173000</v>
      </c>
      <c r="Y518">
        <v>927681000</v>
      </c>
      <c r="Z518">
        <v>0</v>
      </c>
      <c r="AA518" t="str">
        <f>+MID(Tabla_Consulta_desde_Reporte_de_Valorización_de_Instrumentos[[#This Row],[CODIGO_SBS]],7,1)</f>
        <v>1</v>
      </c>
      <c r="AB518">
        <f>INDEX('Cálculo Caja'!F:F,MATCH(Tabla_Consulta_desde_Reporte_de_Valorización_de_Instrumentos[[#This Row],[PORTAFOLIO]],'Cálculo Caja'!A:A,0),1)</f>
        <v>2847839359.3764262</v>
      </c>
      <c r="AC518" s="17">
        <f>Tabla_Consulta_desde_Reporte_de_Valorización_de_Instrumentos[[#This Row],[VALOR_VECTOR_LOCAL]]/Tabla_Consulta_desde_Reporte_de_Valorización_de_Instrumentos[[#This Row],[Patrimonio]]</f>
        <v>9.2270007145886616E-3</v>
      </c>
      <c r="AD518" s="4">
        <f>(Tabla_Consulta_desde_Reporte_de_Valorización_de_Instrumentos[[#This Row],[VALOR_VECTOR_LOCAL]]/INDEX('Tipo de Cambio'!$D:$D,MATCH("2",'Tipo de Cambio'!$E:$E,0),1))/1000000</f>
        <v>7.8184461911987864</v>
      </c>
      <c r="AE518">
        <f>IF(Tabla_Consulta_desde_Reporte_de_Valorización_de_Instrumentos[[#This Row],[PORTAFOLIO]]="IN-FONDO0",Tabla_Consulta_desde_Reporte_de_Valorización_de_Instrumentos[[#This Row],[Inv MM$]],0)</f>
        <v>7.8184461911987864</v>
      </c>
      <c r="AF518" s="26">
        <f>IF(Tabla_Consulta_desde_Reporte_de_Valorización_de_Instrumentos[[#This Row],[PORTAFOLIO]]="IN-FONDO1",Tabla_Consulta_desde_Reporte_de_Valorización_de_Instrumentos[[#This Row],[Inv MM$]],0)</f>
        <v>0</v>
      </c>
      <c r="AG518" s="26">
        <f>IF(Tabla_Consulta_desde_Reporte_de_Valorización_de_Instrumentos[[#This Row],[PORTAFOLIO]]="IN-FONDO2",Tabla_Consulta_desde_Reporte_de_Valorización_de_Instrumentos[[#This Row],[Inv MM$]],0)</f>
        <v>0</v>
      </c>
      <c r="AH518" s="26">
        <f>IF(Tabla_Consulta_desde_Reporte_de_Valorización_de_Instrumentos[[#This Row],[PORTAFOLIO]]="IN-FONDO3",Tabla_Consulta_desde_Reporte_de_Valorización_de_Instrumentos[[#This Row],[Inv MM$]],0)</f>
        <v>0</v>
      </c>
      <c r="AI51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8" s="26">
        <f>IFERROR(IFERROR(INDEX('BD(MSCI)'!$T:$T,MATCH(Tabla_Consulta_desde_Reporte_de_Valorización_de_Instrumentos[[#This Row],[CODIGO_ISIN]],'BD(MSCI)'!$C:$C,0),1),INDEX('BD(MSCI)'!$T:$T,MATCH(Tabla_Consulta_desde_Reporte_de_Valorización_de_Instrumentos[[#This Row],[CODIGO_SBS]],'BD(MSCI)'!$C:$C,0),1)),0)</f>
        <v>0</v>
      </c>
      <c r="AK518" s="26">
        <f>Tabla_Consulta_desde_Reporte_de_Valorización_de_Instrumentos[[#This Row],[C02-H]]*Tabla_Consulta_desde_Reporte_de_Valorización_de_Instrumentos[[#This Row],[Inv MM$]]</f>
        <v>0</v>
      </c>
      <c r="AL518" s="26">
        <f>Tabla_Consulta_desde_Reporte_de_Valorización_de_Instrumentos[[#This Row],[C02-H]]*Tabla_Consulta_desde_Reporte_de_Valorización_de_Instrumentos[[#This Row],[Weight]]</f>
        <v>0</v>
      </c>
      <c r="AM518" s="26" t="e">
        <f>INDEX(Parametria!G:G,MATCH(Tabla_Consulta_desde_Reporte_de_Valorización_de_Instrumentos[[#This Row],[CODIGO_SBS]],Parametria!C:C,0))</f>
        <v>#N/A</v>
      </c>
      <c r="AN518" s="26" t="e">
        <f>INDEX(Parametria!F:F,MATCH(Tabla_Consulta_desde_Reporte_de_Valorización_de_Instrumentos[[#This Row],[CODIGO_SBS]],Parametria!C:C,0))</f>
        <v>#N/A</v>
      </c>
      <c r="AO518" s="26" t="e">
        <f>+INDEX(Parametria!J:J,MATCH(Tabla_Consulta_desde_Reporte_de_Valorización_de_Instrumentos[[#This Row],[CODIGO_SBS]],Parametria!C:C,0))</f>
        <v>#N/A</v>
      </c>
      <c r="AP518" s="26">
        <f>Tabla_Consulta_desde_Reporte_de_Valorización_de_Instrumentos[[#This Row],[Huella]]/$AU$4</f>
        <v>0</v>
      </c>
      <c r="AQ518" s="26" t="e">
        <f>IFERROR(INDEX('BD(MSCI)'!W:W,MATCH(Tabla_Consulta_desde_Reporte_de_Valorización_de_Instrumentos[[#This Row],[CODIGO_ISIN]],'BD(MSCI)'!C:C,0)),IF(Tabla_Consulta_desde_Reporte_de_Valorización_de_Instrumentos[[#This Row],[Rank_rt]]="Cash","Cash","Cuestionario Integra"))</f>
        <v>#N/A</v>
      </c>
      <c r="AR518" s="26" t="str">
        <f>IFERROR(INDEX('BD(MSCI)'!X:X,MATCH(Tabla_Consulta_desde_Reporte_de_Valorización_de_Instrumentos[[#This Row],[CODIGO_ISIN]],'BD(MSCI)'!C:C,0)),"Cuestionario Integra")</f>
        <v>Cuestionario Integra</v>
      </c>
      <c r="AU518" s="26"/>
    </row>
    <row r="519" spans="2:47" hidden="1" x14ac:dyDescent="0.25">
      <c r="B519" s="14" t="s">
        <v>6390</v>
      </c>
      <c r="C519" t="s">
        <v>833</v>
      </c>
      <c r="D519" t="s">
        <v>9</v>
      </c>
      <c r="E519" t="s">
        <v>834</v>
      </c>
      <c r="F519" t="s">
        <v>6486</v>
      </c>
      <c r="G519" t="e">
        <f>INDEX(Parametria!H:H,MATCH(Tabla_Consulta_desde_Reporte_de_Valorización_de_Instrumentos[[#This Row],[CODIGO_SBS]],Parametria!C:C,0),1)</f>
        <v>#N/A</v>
      </c>
      <c r="H519" t="s">
        <v>90</v>
      </c>
      <c r="I519" t="s">
        <v>835</v>
      </c>
      <c r="J519" t="s">
        <v>245</v>
      </c>
      <c r="K519" t="s">
        <v>90</v>
      </c>
      <c r="L519">
        <v>1</v>
      </c>
      <c r="M519" s="5">
        <v>40390610.759999998</v>
      </c>
      <c r="N519">
        <v>40390610.759999998</v>
      </c>
      <c r="O519">
        <v>0</v>
      </c>
      <c r="P519" s="15">
        <v>46302</v>
      </c>
      <c r="Q519">
        <v>280</v>
      </c>
      <c r="R519">
        <v>1</v>
      </c>
      <c r="S519" t="s">
        <v>155</v>
      </c>
      <c r="T519">
        <v>40385666.32</v>
      </c>
      <c r="U519" s="5">
        <v>40385666.32</v>
      </c>
      <c r="V519" t="s">
        <v>192</v>
      </c>
      <c r="W519">
        <v>4565854000</v>
      </c>
      <c r="X519">
        <v>3638173000</v>
      </c>
      <c r="Y519">
        <v>927681000</v>
      </c>
      <c r="Z519">
        <v>0</v>
      </c>
      <c r="AA519" t="str">
        <f>+MID(Tabla_Consulta_desde_Reporte_de_Valorización_de_Instrumentos[[#This Row],[CODIGO_SBS]],7,1)</f>
        <v>1</v>
      </c>
      <c r="AB519">
        <f>INDEX('Cálculo Caja'!F:F,MATCH(Tabla_Consulta_desde_Reporte_de_Valorización_de_Instrumentos[[#This Row],[PORTAFOLIO]],'Cálculo Caja'!A:A,0),1)</f>
        <v>2847839359.3764262</v>
      </c>
      <c r="AC519" s="17">
        <f>Tabla_Consulta_desde_Reporte_de_Valorización_de_Instrumentos[[#This Row],[VALOR_VECTOR_LOCAL]]/Tabla_Consulta_desde_Reporte_de_Valorización_de_Instrumentos[[#This Row],[Patrimonio]]</f>
        <v>1.4182896456927992E-2</v>
      </c>
      <c r="AD519" s="4">
        <f>(Tabla_Consulta_desde_Reporte_de_Valorización_de_Instrumentos[[#This Row],[VALOR_VECTOR_LOCAL]]/INDEX('Tipo de Cambio'!$D:$D,MATCH("2",'Tipo de Cambio'!$E:$E,0),1))/1000000</f>
        <v>12.017796054628223</v>
      </c>
      <c r="AE519">
        <f>IF(Tabla_Consulta_desde_Reporte_de_Valorización_de_Instrumentos[[#This Row],[PORTAFOLIO]]="IN-FONDO0",Tabla_Consulta_desde_Reporte_de_Valorización_de_Instrumentos[[#This Row],[Inv MM$]],0)</f>
        <v>12.017796054628223</v>
      </c>
      <c r="AF519" s="26">
        <f>IF(Tabla_Consulta_desde_Reporte_de_Valorización_de_Instrumentos[[#This Row],[PORTAFOLIO]]="IN-FONDO1",Tabla_Consulta_desde_Reporte_de_Valorización_de_Instrumentos[[#This Row],[Inv MM$]],0)</f>
        <v>0</v>
      </c>
      <c r="AG519" s="26">
        <f>IF(Tabla_Consulta_desde_Reporte_de_Valorización_de_Instrumentos[[#This Row],[PORTAFOLIO]]="IN-FONDO2",Tabla_Consulta_desde_Reporte_de_Valorización_de_Instrumentos[[#This Row],[Inv MM$]],0)</f>
        <v>0</v>
      </c>
      <c r="AH519" s="26">
        <f>IF(Tabla_Consulta_desde_Reporte_de_Valorización_de_Instrumentos[[#This Row],[PORTAFOLIO]]="IN-FONDO3",Tabla_Consulta_desde_Reporte_de_Valorización_de_Instrumentos[[#This Row],[Inv MM$]],0)</f>
        <v>0</v>
      </c>
      <c r="AI51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9" s="26">
        <f>IFERROR(IFERROR(INDEX('BD(MSCI)'!$T:$T,MATCH(Tabla_Consulta_desde_Reporte_de_Valorización_de_Instrumentos[[#This Row],[CODIGO_ISIN]],'BD(MSCI)'!$C:$C,0),1),INDEX('BD(MSCI)'!$T:$T,MATCH(Tabla_Consulta_desde_Reporte_de_Valorización_de_Instrumentos[[#This Row],[CODIGO_SBS]],'BD(MSCI)'!$C:$C,0),1)),0)</f>
        <v>0</v>
      </c>
      <c r="AK519" s="26">
        <f>Tabla_Consulta_desde_Reporte_de_Valorización_de_Instrumentos[[#This Row],[C02-H]]*Tabla_Consulta_desde_Reporte_de_Valorización_de_Instrumentos[[#This Row],[Inv MM$]]</f>
        <v>0</v>
      </c>
      <c r="AL519" s="26">
        <f>Tabla_Consulta_desde_Reporte_de_Valorización_de_Instrumentos[[#This Row],[C02-H]]*Tabla_Consulta_desde_Reporte_de_Valorización_de_Instrumentos[[#This Row],[Weight]]</f>
        <v>0</v>
      </c>
      <c r="AM519" s="26" t="e">
        <f>INDEX(Parametria!G:G,MATCH(Tabla_Consulta_desde_Reporte_de_Valorización_de_Instrumentos[[#This Row],[CODIGO_SBS]],Parametria!C:C,0))</f>
        <v>#N/A</v>
      </c>
      <c r="AN519" s="26" t="e">
        <f>INDEX(Parametria!F:F,MATCH(Tabla_Consulta_desde_Reporte_de_Valorización_de_Instrumentos[[#This Row],[CODIGO_SBS]],Parametria!C:C,0))</f>
        <v>#N/A</v>
      </c>
      <c r="AO519" s="26" t="e">
        <f>+INDEX(Parametria!J:J,MATCH(Tabla_Consulta_desde_Reporte_de_Valorización_de_Instrumentos[[#This Row],[CODIGO_SBS]],Parametria!C:C,0))</f>
        <v>#N/A</v>
      </c>
      <c r="AP519" s="26">
        <f>Tabla_Consulta_desde_Reporte_de_Valorización_de_Instrumentos[[#This Row],[Huella]]/$AU$4</f>
        <v>0</v>
      </c>
      <c r="AQ519" s="26" t="e">
        <f>IFERROR(INDEX('BD(MSCI)'!W:W,MATCH(Tabla_Consulta_desde_Reporte_de_Valorización_de_Instrumentos[[#This Row],[CODIGO_ISIN]],'BD(MSCI)'!C:C,0)),IF(Tabla_Consulta_desde_Reporte_de_Valorización_de_Instrumentos[[#This Row],[Rank_rt]]="Cash","Cash","Cuestionario Integra"))</f>
        <v>#N/A</v>
      </c>
      <c r="AR519" s="26" t="str">
        <f>IFERROR(INDEX('BD(MSCI)'!X:X,MATCH(Tabla_Consulta_desde_Reporte_de_Valorización_de_Instrumentos[[#This Row],[CODIGO_ISIN]],'BD(MSCI)'!C:C,0)),"Cuestionario Integra")</f>
        <v>Cuestionario Integra</v>
      </c>
      <c r="AU519" s="26"/>
    </row>
    <row r="520" spans="2:47" hidden="1" x14ac:dyDescent="0.25">
      <c r="B520" s="14" t="s">
        <v>6390</v>
      </c>
      <c r="C520" t="s">
        <v>833</v>
      </c>
      <c r="D520" t="s">
        <v>9</v>
      </c>
      <c r="E520" t="s">
        <v>834</v>
      </c>
      <c r="F520" t="s">
        <v>6487</v>
      </c>
      <c r="G520" t="e">
        <f>INDEX(Parametria!H:H,MATCH(Tabla_Consulta_desde_Reporte_de_Valorización_de_Instrumentos[[#This Row],[CODIGO_SBS]],Parametria!C:C,0),1)</f>
        <v>#N/A</v>
      </c>
      <c r="H520" t="s">
        <v>90</v>
      </c>
      <c r="I520" t="s">
        <v>835</v>
      </c>
      <c r="J520" t="s">
        <v>245</v>
      </c>
      <c r="K520" t="s">
        <v>90</v>
      </c>
      <c r="L520">
        <v>1</v>
      </c>
      <c r="M520" s="5">
        <v>20191643.760000002</v>
      </c>
      <c r="N520">
        <v>20191643.760000002</v>
      </c>
      <c r="O520">
        <v>0</v>
      </c>
      <c r="P520" s="15">
        <v>46135</v>
      </c>
      <c r="Q520">
        <v>113</v>
      </c>
      <c r="R520">
        <v>1</v>
      </c>
      <c r="S520" t="s">
        <v>155</v>
      </c>
      <c r="T520">
        <v>20189154.879999999</v>
      </c>
      <c r="U520" s="5">
        <v>20189154.879999999</v>
      </c>
      <c r="V520" t="s">
        <v>192</v>
      </c>
      <c r="W520">
        <v>4565854000</v>
      </c>
      <c r="X520">
        <v>3638173000</v>
      </c>
      <c r="Y520">
        <v>927681000</v>
      </c>
      <c r="Z520">
        <v>0</v>
      </c>
      <c r="AA520" t="str">
        <f>+MID(Tabla_Consulta_desde_Reporte_de_Valorización_de_Instrumentos[[#This Row],[CODIGO_SBS]],7,1)</f>
        <v>1</v>
      </c>
      <c r="AB520">
        <f>INDEX('Cálculo Caja'!F:F,MATCH(Tabla_Consulta_desde_Reporte_de_Valorización_de_Instrumentos[[#This Row],[PORTAFOLIO]],'Cálculo Caja'!A:A,0),1)</f>
        <v>2847839359.3764262</v>
      </c>
      <c r="AC520" s="17">
        <f>Tabla_Consulta_desde_Reporte_de_Valorización_de_Instrumentos[[#This Row],[VALOR_VECTOR_LOCAL]]/Tabla_Consulta_desde_Reporte_de_Valorización_de_Instrumentos[[#This Row],[Patrimonio]]</f>
        <v>7.0901624747616524E-3</v>
      </c>
      <c r="AD520" s="4">
        <f>(Tabla_Consulta_desde_Reporte_de_Valorización_de_Instrumentos[[#This Row],[VALOR_VECTOR_LOCAL]]/INDEX('Tipo de Cambio'!$D:$D,MATCH("2",'Tipo de Cambio'!$E:$E,0),1))/1000000</f>
        <v>6.007808551280907</v>
      </c>
      <c r="AE520">
        <f>IF(Tabla_Consulta_desde_Reporte_de_Valorización_de_Instrumentos[[#This Row],[PORTAFOLIO]]="IN-FONDO0",Tabla_Consulta_desde_Reporte_de_Valorización_de_Instrumentos[[#This Row],[Inv MM$]],0)</f>
        <v>6.007808551280907</v>
      </c>
      <c r="AF520" s="26">
        <f>IF(Tabla_Consulta_desde_Reporte_de_Valorización_de_Instrumentos[[#This Row],[PORTAFOLIO]]="IN-FONDO1",Tabla_Consulta_desde_Reporte_de_Valorización_de_Instrumentos[[#This Row],[Inv MM$]],0)</f>
        <v>0</v>
      </c>
      <c r="AG520" s="26">
        <f>IF(Tabla_Consulta_desde_Reporte_de_Valorización_de_Instrumentos[[#This Row],[PORTAFOLIO]]="IN-FONDO2",Tabla_Consulta_desde_Reporte_de_Valorización_de_Instrumentos[[#This Row],[Inv MM$]],0)</f>
        <v>0</v>
      </c>
      <c r="AH520" s="26">
        <f>IF(Tabla_Consulta_desde_Reporte_de_Valorización_de_Instrumentos[[#This Row],[PORTAFOLIO]]="IN-FONDO3",Tabla_Consulta_desde_Reporte_de_Valorización_de_Instrumentos[[#This Row],[Inv MM$]],0)</f>
        <v>0</v>
      </c>
      <c r="AI52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0" s="26">
        <f>IFERROR(IFERROR(INDEX('BD(MSCI)'!$T:$T,MATCH(Tabla_Consulta_desde_Reporte_de_Valorización_de_Instrumentos[[#This Row],[CODIGO_ISIN]],'BD(MSCI)'!$C:$C,0),1),INDEX('BD(MSCI)'!$T:$T,MATCH(Tabla_Consulta_desde_Reporte_de_Valorización_de_Instrumentos[[#This Row],[CODIGO_SBS]],'BD(MSCI)'!$C:$C,0),1)),0)</f>
        <v>0</v>
      </c>
      <c r="AK520" s="26">
        <f>Tabla_Consulta_desde_Reporte_de_Valorización_de_Instrumentos[[#This Row],[C02-H]]*Tabla_Consulta_desde_Reporte_de_Valorización_de_Instrumentos[[#This Row],[Inv MM$]]</f>
        <v>0</v>
      </c>
      <c r="AL520" s="26">
        <f>Tabla_Consulta_desde_Reporte_de_Valorización_de_Instrumentos[[#This Row],[C02-H]]*Tabla_Consulta_desde_Reporte_de_Valorización_de_Instrumentos[[#This Row],[Weight]]</f>
        <v>0</v>
      </c>
      <c r="AM520" s="26" t="e">
        <f>INDEX(Parametria!G:G,MATCH(Tabla_Consulta_desde_Reporte_de_Valorización_de_Instrumentos[[#This Row],[CODIGO_SBS]],Parametria!C:C,0))</f>
        <v>#N/A</v>
      </c>
      <c r="AN520" s="26" t="e">
        <f>INDEX(Parametria!F:F,MATCH(Tabla_Consulta_desde_Reporte_de_Valorización_de_Instrumentos[[#This Row],[CODIGO_SBS]],Parametria!C:C,0))</f>
        <v>#N/A</v>
      </c>
      <c r="AO520" s="26" t="e">
        <f>+INDEX(Parametria!J:J,MATCH(Tabla_Consulta_desde_Reporte_de_Valorización_de_Instrumentos[[#This Row],[CODIGO_SBS]],Parametria!C:C,0))</f>
        <v>#N/A</v>
      </c>
      <c r="AP520" s="26">
        <f>Tabla_Consulta_desde_Reporte_de_Valorización_de_Instrumentos[[#This Row],[Huella]]/$AU$4</f>
        <v>0</v>
      </c>
      <c r="AQ520" s="26" t="e">
        <f>IFERROR(INDEX('BD(MSCI)'!W:W,MATCH(Tabla_Consulta_desde_Reporte_de_Valorización_de_Instrumentos[[#This Row],[CODIGO_ISIN]],'BD(MSCI)'!C:C,0)),IF(Tabla_Consulta_desde_Reporte_de_Valorización_de_Instrumentos[[#This Row],[Rank_rt]]="Cash","Cash","Cuestionario Integra"))</f>
        <v>#N/A</v>
      </c>
      <c r="AR520" s="26" t="str">
        <f>IFERROR(INDEX('BD(MSCI)'!X:X,MATCH(Tabla_Consulta_desde_Reporte_de_Valorización_de_Instrumentos[[#This Row],[CODIGO_ISIN]],'BD(MSCI)'!C:C,0)),"Cuestionario Integra")</f>
        <v>Cuestionario Integra</v>
      </c>
      <c r="AU520" s="26"/>
    </row>
    <row r="521" spans="2:47" hidden="1" x14ac:dyDescent="0.25">
      <c r="B521" s="14" t="s">
        <v>6390</v>
      </c>
      <c r="C521" t="s">
        <v>833</v>
      </c>
      <c r="D521" t="s">
        <v>9</v>
      </c>
      <c r="E521" t="s">
        <v>834</v>
      </c>
      <c r="F521" t="s">
        <v>6488</v>
      </c>
      <c r="G521" t="e">
        <f>INDEX(Parametria!H:H,MATCH(Tabla_Consulta_desde_Reporte_de_Valorización_de_Instrumentos[[#This Row],[CODIGO_SBS]],Parametria!C:C,0),1)</f>
        <v>#N/A</v>
      </c>
      <c r="H521" t="s">
        <v>90</v>
      </c>
      <c r="I521" t="s">
        <v>835</v>
      </c>
      <c r="J521" t="s">
        <v>245</v>
      </c>
      <c r="K521" t="s">
        <v>90</v>
      </c>
      <c r="L521">
        <v>1</v>
      </c>
      <c r="M521" s="5">
        <v>20191643.760000002</v>
      </c>
      <c r="N521">
        <v>20191643.760000002</v>
      </c>
      <c r="O521">
        <v>0</v>
      </c>
      <c r="P521" s="15">
        <v>46070</v>
      </c>
      <c r="Q521">
        <v>48</v>
      </c>
      <c r="R521">
        <v>1</v>
      </c>
      <c r="S521" t="s">
        <v>155</v>
      </c>
      <c r="T521">
        <v>20189154.879999999</v>
      </c>
      <c r="U521" s="5">
        <v>20189154.879999999</v>
      </c>
      <c r="V521" t="s">
        <v>192</v>
      </c>
      <c r="W521">
        <v>4565854000</v>
      </c>
      <c r="X521">
        <v>3638173000</v>
      </c>
      <c r="Y521">
        <v>927681000</v>
      </c>
      <c r="Z521">
        <v>0</v>
      </c>
      <c r="AA521" t="str">
        <f>+MID(Tabla_Consulta_desde_Reporte_de_Valorización_de_Instrumentos[[#This Row],[CODIGO_SBS]],7,1)</f>
        <v>1</v>
      </c>
      <c r="AB521">
        <f>INDEX('Cálculo Caja'!F:F,MATCH(Tabla_Consulta_desde_Reporte_de_Valorización_de_Instrumentos[[#This Row],[PORTAFOLIO]],'Cálculo Caja'!A:A,0),1)</f>
        <v>2847839359.3764262</v>
      </c>
      <c r="AC521" s="17">
        <f>Tabla_Consulta_desde_Reporte_de_Valorización_de_Instrumentos[[#This Row],[VALOR_VECTOR_LOCAL]]/Tabla_Consulta_desde_Reporte_de_Valorización_de_Instrumentos[[#This Row],[Patrimonio]]</f>
        <v>7.0901624747616524E-3</v>
      </c>
      <c r="AD521" s="4">
        <f>(Tabla_Consulta_desde_Reporte_de_Valorización_de_Instrumentos[[#This Row],[VALOR_VECTOR_LOCAL]]/INDEX('Tipo de Cambio'!$D:$D,MATCH("2",'Tipo de Cambio'!$E:$E,0),1))/1000000</f>
        <v>6.007808551280907</v>
      </c>
      <c r="AE521">
        <f>IF(Tabla_Consulta_desde_Reporte_de_Valorización_de_Instrumentos[[#This Row],[PORTAFOLIO]]="IN-FONDO0",Tabla_Consulta_desde_Reporte_de_Valorización_de_Instrumentos[[#This Row],[Inv MM$]],0)</f>
        <v>6.007808551280907</v>
      </c>
      <c r="AF521" s="26">
        <f>IF(Tabla_Consulta_desde_Reporte_de_Valorización_de_Instrumentos[[#This Row],[PORTAFOLIO]]="IN-FONDO1",Tabla_Consulta_desde_Reporte_de_Valorización_de_Instrumentos[[#This Row],[Inv MM$]],0)</f>
        <v>0</v>
      </c>
      <c r="AG521" s="26">
        <f>IF(Tabla_Consulta_desde_Reporte_de_Valorización_de_Instrumentos[[#This Row],[PORTAFOLIO]]="IN-FONDO2",Tabla_Consulta_desde_Reporte_de_Valorización_de_Instrumentos[[#This Row],[Inv MM$]],0)</f>
        <v>0</v>
      </c>
      <c r="AH521" s="26">
        <f>IF(Tabla_Consulta_desde_Reporte_de_Valorización_de_Instrumentos[[#This Row],[PORTAFOLIO]]="IN-FONDO3",Tabla_Consulta_desde_Reporte_de_Valorización_de_Instrumentos[[#This Row],[Inv MM$]],0)</f>
        <v>0</v>
      </c>
      <c r="AI52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1" s="26">
        <f>IFERROR(IFERROR(INDEX('BD(MSCI)'!$T:$T,MATCH(Tabla_Consulta_desde_Reporte_de_Valorización_de_Instrumentos[[#This Row],[CODIGO_ISIN]],'BD(MSCI)'!$C:$C,0),1),INDEX('BD(MSCI)'!$T:$T,MATCH(Tabla_Consulta_desde_Reporte_de_Valorización_de_Instrumentos[[#This Row],[CODIGO_SBS]],'BD(MSCI)'!$C:$C,0),1)),0)</f>
        <v>0</v>
      </c>
      <c r="AK521" s="26">
        <f>Tabla_Consulta_desde_Reporte_de_Valorización_de_Instrumentos[[#This Row],[C02-H]]*Tabla_Consulta_desde_Reporte_de_Valorización_de_Instrumentos[[#This Row],[Inv MM$]]</f>
        <v>0</v>
      </c>
      <c r="AL521" s="26">
        <f>Tabla_Consulta_desde_Reporte_de_Valorización_de_Instrumentos[[#This Row],[C02-H]]*Tabla_Consulta_desde_Reporte_de_Valorización_de_Instrumentos[[#This Row],[Weight]]</f>
        <v>0</v>
      </c>
      <c r="AM521" s="26" t="e">
        <f>INDEX(Parametria!G:G,MATCH(Tabla_Consulta_desde_Reporte_de_Valorización_de_Instrumentos[[#This Row],[CODIGO_SBS]],Parametria!C:C,0))</f>
        <v>#N/A</v>
      </c>
      <c r="AN521" s="26" t="e">
        <f>INDEX(Parametria!F:F,MATCH(Tabla_Consulta_desde_Reporte_de_Valorización_de_Instrumentos[[#This Row],[CODIGO_SBS]],Parametria!C:C,0))</f>
        <v>#N/A</v>
      </c>
      <c r="AO521" s="26" t="e">
        <f>+INDEX(Parametria!J:J,MATCH(Tabla_Consulta_desde_Reporte_de_Valorización_de_Instrumentos[[#This Row],[CODIGO_SBS]],Parametria!C:C,0))</f>
        <v>#N/A</v>
      </c>
      <c r="AP521" s="26">
        <f>Tabla_Consulta_desde_Reporte_de_Valorización_de_Instrumentos[[#This Row],[Huella]]/$AU$4</f>
        <v>0</v>
      </c>
      <c r="AQ521" s="26" t="e">
        <f>IFERROR(INDEX('BD(MSCI)'!W:W,MATCH(Tabla_Consulta_desde_Reporte_de_Valorización_de_Instrumentos[[#This Row],[CODIGO_ISIN]],'BD(MSCI)'!C:C,0)),IF(Tabla_Consulta_desde_Reporte_de_Valorización_de_Instrumentos[[#This Row],[Rank_rt]]="Cash","Cash","Cuestionario Integra"))</f>
        <v>#N/A</v>
      </c>
      <c r="AR521" s="26" t="str">
        <f>IFERROR(INDEX('BD(MSCI)'!X:X,MATCH(Tabla_Consulta_desde_Reporte_de_Valorización_de_Instrumentos[[#This Row],[CODIGO_ISIN]],'BD(MSCI)'!C:C,0)),"Cuestionario Integra")</f>
        <v>Cuestionario Integra</v>
      </c>
      <c r="AU521" s="26"/>
    </row>
    <row r="522" spans="2:47" hidden="1" x14ac:dyDescent="0.25">
      <c r="B522" s="14" t="s">
        <v>6390</v>
      </c>
      <c r="C522" t="s">
        <v>833</v>
      </c>
      <c r="D522" t="s">
        <v>9</v>
      </c>
      <c r="E522" t="s">
        <v>834</v>
      </c>
      <c r="F522" t="s">
        <v>6489</v>
      </c>
      <c r="G522" t="e">
        <f>INDEX(Parametria!H:H,MATCH(Tabla_Consulta_desde_Reporte_de_Valorización_de_Instrumentos[[#This Row],[CODIGO_SBS]],Parametria!C:C,0),1)</f>
        <v>#N/A</v>
      </c>
      <c r="H522" t="s">
        <v>90</v>
      </c>
      <c r="I522" t="s">
        <v>835</v>
      </c>
      <c r="J522" t="s">
        <v>245</v>
      </c>
      <c r="K522" t="s">
        <v>90</v>
      </c>
      <c r="L522">
        <v>1</v>
      </c>
      <c r="M522" s="5">
        <v>20191643.760000002</v>
      </c>
      <c r="N522">
        <v>20191643.760000002</v>
      </c>
      <c r="O522">
        <v>0</v>
      </c>
      <c r="P522" s="15">
        <v>46051</v>
      </c>
      <c r="Q522">
        <v>29</v>
      </c>
      <c r="R522">
        <v>1</v>
      </c>
      <c r="S522" t="s">
        <v>155</v>
      </c>
      <c r="T522">
        <v>20189154.879999999</v>
      </c>
      <c r="U522" s="5">
        <v>20189154.879999999</v>
      </c>
      <c r="V522" t="s">
        <v>192</v>
      </c>
      <c r="W522">
        <v>4565854000</v>
      </c>
      <c r="X522">
        <v>3638173000</v>
      </c>
      <c r="Y522">
        <v>927681000</v>
      </c>
      <c r="Z522">
        <v>0</v>
      </c>
      <c r="AA522" t="str">
        <f>+MID(Tabla_Consulta_desde_Reporte_de_Valorización_de_Instrumentos[[#This Row],[CODIGO_SBS]],7,1)</f>
        <v>1</v>
      </c>
      <c r="AB522">
        <f>INDEX('Cálculo Caja'!F:F,MATCH(Tabla_Consulta_desde_Reporte_de_Valorización_de_Instrumentos[[#This Row],[PORTAFOLIO]],'Cálculo Caja'!A:A,0),1)</f>
        <v>2847839359.3764262</v>
      </c>
      <c r="AC522" s="17">
        <f>Tabla_Consulta_desde_Reporte_de_Valorización_de_Instrumentos[[#This Row],[VALOR_VECTOR_LOCAL]]/Tabla_Consulta_desde_Reporte_de_Valorización_de_Instrumentos[[#This Row],[Patrimonio]]</f>
        <v>7.0901624747616524E-3</v>
      </c>
      <c r="AD522" s="4">
        <f>(Tabla_Consulta_desde_Reporte_de_Valorización_de_Instrumentos[[#This Row],[VALOR_VECTOR_LOCAL]]/INDEX('Tipo de Cambio'!$D:$D,MATCH("2",'Tipo de Cambio'!$E:$E,0),1))/1000000</f>
        <v>6.007808551280907</v>
      </c>
      <c r="AE522">
        <f>IF(Tabla_Consulta_desde_Reporte_de_Valorización_de_Instrumentos[[#This Row],[PORTAFOLIO]]="IN-FONDO0",Tabla_Consulta_desde_Reporte_de_Valorización_de_Instrumentos[[#This Row],[Inv MM$]],0)</f>
        <v>6.007808551280907</v>
      </c>
      <c r="AF522" s="26">
        <f>IF(Tabla_Consulta_desde_Reporte_de_Valorización_de_Instrumentos[[#This Row],[PORTAFOLIO]]="IN-FONDO1",Tabla_Consulta_desde_Reporte_de_Valorización_de_Instrumentos[[#This Row],[Inv MM$]],0)</f>
        <v>0</v>
      </c>
      <c r="AG522" s="26">
        <f>IF(Tabla_Consulta_desde_Reporte_de_Valorización_de_Instrumentos[[#This Row],[PORTAFOLIO]]="IN-FONDO2",Tabla_Consulta_desde_Reporte_de_Valorización_de_Instrumentos[[#This Row],[Inv MM$]],0)</f>
        <v>0</v>
      </c>
      <c r="AH522" s="26">
        <f>IF(Tabla_Consulta_desde_Reporte_de_Valorización_de_Instrumentos[[#This Row],[PORTAFOLIO]]="IN-FONDO3",Tabla_Consulta_desde_Reporte_de_Valorización_de_Instrumentos[[#This Row],[Inv MM$]],0)</f>
        <v>0</v>
      </c>
      <c r="AI52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2" s="26">
        <f>IFERROR(IFERROR(INDEX('BD(MSCI)'!$T:$T,MATCH(Tabla_Consulta_desde_Reporte_de_Valorización_de_Instrumentos[[#This Row],[CODIGO_ISIN]],'BD(MSCI)'!$C:$C,0),1),INDEX('BD(MSCI)'!$T:$T,MATCH(Tabla_Consulta_desde_Reporte_de_Valorización_de_Instrumentos[[#This Row],[CODIGO_SBS]],'BD(MSCI)'!$C:$C,0),1)),0)</f>
        <v>0</v>
      </c>
      <c r="AK522" s="26">
        <f>Tabla_Consulta_desde_Reporte_de_Valorización_de_Instrumentos[[#This Row],[C02-H]]*Tabla_Consulta_desde_Reporte_de_Valorización_de_Instrumentos[[#This Row],[Inv MM$]]</f>
        <v>0</v>
      </c>
      <c r="AL522" s="26">
        <f>Tabla_Consulta_desde_Reporte_de_Valorización_de_Instrumentos[[#This Row],[C02-H]]*Tabla_Consulta_desde_Reporte_de_Valorización_de_Instrumentos[[#This Row],[Weight]]</f>
        <v>0</v>
      </c>
      <c r="AM522" s="26" t="e">
        <f>INDEX(Parametria!G:G,MATCH(Tabla_Consulta_desde_Reporte_de_Valorización_de_Instrumentos[[#This Row],[CODIGO_SBS]],Parametria!C:C,0))</f>
        <v>#N/A</v>
      </c>
      <c r="AN522" s="26" t="e">
        <f>INDEX(Parametria!F:F,MATCH(Tabla_Consulta_desde_Reporte_de_Valorización_de_Instrumentos[[#This Row],[CODIGO_SBS]],Parametria!C:C,0))</f>
        <v>#N/A</v>
      </c>
      <c r="AO522" s="26" t="e">
        <f>+INDEX(Parametria!J:J,MATCH(Tabla_Consulta_desde_Reporte_de_Valorización_de_Instrumentos[[#This Row],[CODIGO_SBS]],Parametria!C:C,0))</f>
        <v>#N/A</v>
      </c>
      <c r="AP522" s="26">
        <f>Tabla_Consulta_desde_Reporte_de_Valorización_de_Instrumentos[[#This Row],[Huella]]/$AU$4</f>
        <v>0</v>
      </c>
      <c r="AQ522" s="26" t="e">
        <f>IFERROR(INDEX('BD(MSCI)'!W:W,MATCH(Tabla_Consulta_desde_Reporte_de_Valorización_de_Instrumentos[[#This Row],[CODIGO_ISIN]],'BD(MSCI)'!C:C,0)),IF(Tabla_Consulta_desde_Reporte_de_Valorización_de_Instrumentos[[#This Row],[Rank_rt]]="Cash","Cash","Cuestionario Integra"))</f>
        <v>#N/A</v>
      </c>
      <c r="AR522" s="26" t="str">
        <f>IFERROR(INDEX('BD(MSCI)'!X:X,MATCH(Tabla_Consulta_desde_Reporte_de_Valorización_de_Instrumentos[[#This Row],[CODIGO_ISIN]],'BD(MSCI)'!C:C,0)),"Cuestionario Integra")</f>
        <v>Cuestionario Integra</v>
      </c>
      <c r="AU522" s="26"/>
    </row>
    <row r="523" spans="2:47" hidden="1" x14ac:dyDescent="0.25">
      <c r="B523" s="14" t="s">
        <v>6390</v>
      </c>
      <c r="C523" t="s">
        <v>833</v>
      </c>
      <c r="D523" t="s">
        <v>9</v>
      </c>
      <c r="E523" t="s">
        <v>834</v>
      </c>
      <c r="F523" t="s">
        <v>6490</v>
      </c>
      <c r="G523" t="e">
        <f>INDEX(Parametria!H:H,MATCH(Tabla_Consulta_desde_Reporte_de_Valorización_de_Instrumentos[[#This Row],[CODIGO_SBS]],Parametria!C:C,0),1)</f>
        <v>#N/A</v>
      </c>
      <c r="H523" t="s">
        <v>90</v>
      </c>
      <c r="I523" t="s">
        <v>835</v>
      </c>
      <c r="J523" t="s">
        <v>245</v>
      </c>
      <c r="K523" t="s">
        <v>90</v>
      </c>
      <c r="L523">
        <v>1</v>
      </c>
      <c r="M523" s="5">
        <v>17152319.456</v>
      </c>
      <c r="N523">
        <v>17152319.456</v>
      </c>
      <c r="O523">
        <v>0</v>
      </c>
      <c r="P523" s="15">
        <v>46308</v>
      </c>
      <c r="Q523">
        <v>286</v>
      </c>
      <c r="R523">
        <v>1</v>
      </c>
      <c r="S523" t="s">
        <v>155</v>
      </c>
      <c r="T523">
        <v>17150203.908</v>
      </c>
      <c r="U523" s="5">
        <v>17150203.908</v>
      </c>
      <c r="V523" t="s">
        <v>192</v>
      </c>
      <c r="W523">
        <v>4565854000</v>
      </c>
      <c r="X523">
        <v>3638173000</v>
      </c>
      <c r="Y523">
        <v>927681000</v>
      </c>
      <c r="Z523">
        <v>0</v>
      </c>
      <c r="AA523" t="str">
        <f>+MID(Tabla_Consulta_desde_Reporte_de_Valorización_de_Instrumentos[[#This Row],[CODIGO_SBS]],7,1)</f>
        <v>1</v>
      </c>
      <c r="AB523">
        <f>INDEX('Cálculo Caja'!F:F,MATCH(Tabla_Consulta_desde_Reporte_de_Valorización_de_Instrumentos[[#This Row],[PORTAFOLIO]],'Cálculo Caja'!A:A,0),1)</f>
        <v>2847839359.3764262</v>
      </c>
      <c r="AC523" s="17">
        <f>Tabla_Consulta_desde_Reporte_de_Valorización_de_Instrumentos[[#This Row],[VALOR_VECTOR_LOCAL]]/Tabla_Consulta_desde_Reporte_de_Valorización_de_Instrumentos[[#This Row],[Patrimonio]]</f>
        <v>6.0229237999420504E-3</v>
      </c>
      <c r="AD523" s="4">
        <f>(Tabla_Consulta_desde_Reporte_de_Valorización_de_Instrumentos[[#This Row],[VALOR_VECTOR_LOCAL]]/INDEX('Tipo de Cambio'!$D:$D,MATCH("2",'Tipo de Cambio'!$E:$E,0),1))/1000000</f>
        <v>5.1034899747091549</v>
      </c>
      <c r="AE523">
        <f>IF(Tabla_Consulta_desde_Reporte_de_Valorización_de_Instrumentos[[#This Row],[PORTAFOLIO]]="IN-FONDO0",Tabla_Consulta_desde_Reporte_de_Valorización_de_Instrumentos[[#This Row],[Inv MM$]],0)</f>
        <v>5.1034899747091549</v>
      </c>
      <c r="AF523" s="26">
        <f>IF(Tabla_Consulta_desde_Reporte_de_Valorización_de_Instrumentos[[#This Row],[PORTAFOLIO]]="IN-FONDO1",Tabla_Consulta_desde_Reporte_de_Valorización_de_Instrumentos[[#This Row],[Inv MM$]],0)</f>
        <v>0</v>
      </c>
      <c r="AG523" s="26">
        <f>IF(Tabla_Consulta_desde_Reporte_de_Valorización_de_Instrumentos[[#This Row],[PORTAFOLIO]]="IN-FONDO2",Tabla_Consulta_desde_Reporte_de_Valorización_de_Instrumentos[[#This Row],[Inv MM$]],0)</f>
        <v>0</v>
      </c>
      <c r="AH523" s="26">
        <f>IF(Tabla_Consulta_desde_Reporte_de_Valorización_de_Instrumentos[[#This Row],[PORTAFOLIO]]="IN-FONDO3",Tabla_Consulta_desde_Reporte_de_Valorización_de_Instrumentos[[#This Row],[Inv MM$]],0)</f>
        <v>0</v>
      </c>
      <c r="AI52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3" s="26">
        <f>IFERROR(IFERROR(INDEX('BD(MSCI)'!$T:$T,MATCH(Tabla_Consulta_desde_Reporte_de_Valorización_de_Instrumentos[[#This Row],[CODIGO_ISIN]],'BD(MSCI)'!$C:$C,0),1),INDEX('BD(MSCI)'!$T:$T,MATCH(Tabla_Consulta_desde_Reporte_de_Valorización_de_Instrumentos[[#This Row],[CODIGO_SBS]],'BD(MSCI)'!$C:$C,0),1)),0)</f>
        <v>0</v>
      </c>
      <c r="AK523" s="26">
        <f>Tabla_Consulta_desde_Reporte_de_Valorización_de_Instrumentos[[#This Row],[C02-H]]*Tabla_Consulta_desde_Reporte_de_Valorización_de_Instrumentos[[#This Row],[Inv MM$]]</f>
        <v>0</v>
      </c>
      <c r="AL523" s="26">
        <f>Tabla_Consulta_desde_Reporte_de_Valorización_de_Instrumentos[[#This Row],[C02-H]]*Tabla_Consulta_desde_Reporte_de_Valorización_de_Instrumentos[[#This Row],[Weight]]</f>
        <v>0</v>
      </c>
      <c r="AM523" s="26" t="e">
        <f>INDEX(Parametria!G:G,MATCH(Tabla_Consulta_desde_Reporte_de_Valorización_de_Instrumentos[[#This Row],[CODIGO_SBS]],Parametria!C:C,0))</f>
        <v>#N/A</v>
      </c>
      <c r="AN523" s="26" t="e">
        <f>INDEX(Parametria!F:F,MATCH(Tabla_Consulta_desde_Reporte_de_Valorización_de_Instrumentos[[#This Row],[CODIGO_SBS]],Parametria!C:C,0))</f>
        <v>#N/A</v>
      </c>
      <c r="AO523" s="26" t="e">
        <f>+INDEX(Parametria!J:J,MATCH(Tabla_Consulta_desde_Reporte_de_Valorización_de_Instrumentos[[#This Row],[CODIGO_SBS]],Parametria!C:C,0))</f>
        <v>#N/A</v>
      </c>
      <c r="AP523" s="26">
        <f>Tabla_Consulta_desde_Reporte_de_Valorización_de_Instrumentos[[#This Row],[Huella]]/$AU$4</f>
        <v>0</v>
      </c>
      <c r="AQ523" s="26" t="e">
        <f>IFERROR(INDEX('BD(MSCI)'!W:W,MATCH(Tabla_Consulta_desde_Reporte_de_Valorización_de_Instrumentos[[#This Row],[CODIGO_ISIN]],'BD(MSCI)'!C:C,0)),IF(Tabla_Consulta_desde_Reporte_de_Valorización_de_Instrumentos[[#This Row],[Rank_rt]]="Cash","Cash","Cuestionario Integra"))</f>
        <v>#N/A</v>
      </c>
      <c r="AR523" s="26" t="str">
        <f>IFERROR(INDEX('BD(MSCI)'!X:X,MATCH(Tabla_Consulta_desde_Reporte_de_Valorización_de_Instrumentos[[#This Row],[CODIGO_ISIN]],'BD(MSCI)'!C:C,0)),"Cuestionario Integra")</f>
        <v>Cuestionario Integra</v>
      </c>
      <c r="AU523" s="26"/>
    </row>
    <row r="524" spans="2:47" hidden="1" x14ac:dyDescent="0.25">
      <c r="B524" s="14" t="s">
        <v>6390</v>
      </c>
      <c r="C524" t="s">
        <v>833</v>
      </c>
      <c r="D524" t="s">
        <v>9</v>
      </c>
      <c r="E524" t="s">
        <v>834</v>
      </c>
      <c r="F524" t="s">
        <v>6491</v>
      </c>
      <c r="G524" t="e">
        <f>INDEX(Parametria!H:H,MATCH(Tabla_Consulta_desde_Reporte_de_Valorización_de_Instrumentos[[#This Row],[CODIGO_SBS]],Parametria!C:C,0),1)</f>
        <v>#N/A</v>
      </c>
      <c r="H524" t="s">
        <v>90</v>
      </c>
      <c r="I524" t="s">
        <v>835</v>
      </c>
      <c r="J524" t="s">
        <v>243</v>
      </c>
      <c r="K524" t="s">
        <v>90</v>
      </c>
      <c r="L524">
        <v>1</v>
      </c>
      <c r="M524" s="5">
        <v>20224972.02</v>
      </c>
      <c r="N524">
        <v>20224972.02</v>
      </c>
      <c r="O524">
        <v>0</v>
      </c>
      <c r="P524" s="15">
        <v>46160</v>
      </c>
      <c r="Q524">
        <v>138</v>
      </c>
      <c r="R524">
        <v>1</v>
      </c>
      <c r="S524" t="s">
        <v>155</v>
      </c>
      <c r="T524">
        <v>20222499.800000001</v>
      </c>
      <c r="U524" s="5">
        <v>20222499.800000001</v>
      </c>
      <c r="V524" t="s">
        <v>192</v>
      </c>
      <c r="W524">
        <v>4565854000</v>
      </c>
      <c r="X524">
        <v>3638173000</v>
      </c>
      <c r="Y524">
        <v>927681000</v>
      </c>
      <c r="Z524">
        <v>0</v>
      </c>
      <c r="AA524" t="str">
        <f>+MID(Tabla_Consulta_desde_Reporte_de_Valorización_de_Instrumentos[[#This Row],[CODIGO_SBS]],7,1)</f>
        <v>1</v>
      </c>
      <c r="AB524">
        <f>INDEX('Cálculo Caja'!F:F,MATCH(Tabla_Consulta_desde_Reporte_de_Valorización_de_Instrumentos[[#This Row],[PORTAFOLIO]],'Cálculo Caja'!A:A,0),1)</f>
        <v>2847839359.3764262</v>
      </c>
      <c r="AC524" s="17">
        <f>Tabla_Consulta_desde_Reporte_de_Valorización_de_Instrumentos[[#This Row],[VALOR_VECTOR_LOCAL]]/Tabla_Consulta_desde_Reporte_de_Valorización_de_Instrumentos[[#This Row],[Patrimonio]]</f>
        <v>7.1018654733490784E-3</v>
      </c>
      <c r="AD524" s="4">
        <f>(Tabla_Consulta_desde_Reporte_de_Valorización_de_Instrumentos[[#This Row],[VALOR_VECTOR_LOCAL]]/INDEX('Tipo de Cambio'!$D:$D,MATCH("2",'Tipo de Cambio'!$E:$E,0),1))/1000000</f>
        <v>6.0177250200839065</v>
      </c>
      <c r="AE524">
        <f>IF(Tabla_Consulta_desde_Reporte_de_Valorización_de_Instrumentos[[#This Row],[PORTAFOLIO]]="IN-FONDO0",Tabla_Consulta_desde_Reporte_de_Valorización_de_Instrumentos[[#This Row],[Inv MM$]],0)</f>
        <v>6.0177250200839065</v>
      </c>
      <c r="AF524" s="26">
        <f>IF(Tabla_Consulta_desde_Reporte_de_Valorización_de_Instrumentos[[#This Row],[PORTAFOLIO]]="IN-FONDO1",Tabla_Consulta_desde_Reporte_de_Valorización_de_Instrumentos[[#This Row],[Inv MM$]],0)</f>
        <v>0</v>
      </c>
      <c r="AG524" s="26">
        <f>IF(Tabla_Consulta_desde_Reporte_de_Valorización_de_Instrumentos[[#This Row],[PORTAFOLIO]]="IN-FONDO2",Tabla_Consulta_desde_Reporte_de_Valorización_de_Instrumentos[[#This Row],[Inv MM$]],0)</f>
        <v>0</v>
      </c>
      <c r="AH524" s="26">
        <f>IF(Tabla_Consulta_desde_Reporte_de_Valorización_de_Instrumentos[[#This Row],[PORTAFOLIO]]="IN-FONDO3",Tabla_Consulta_desde_Reporte_de_Valorización_de_Instrumentos[[#This Row],[Inv MM$]],0)</f>
        <v>0</v>
      </c>
      <c r="AI52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4" s="26">
        <f>IFERROR(IFERROR(INDEX('BD(MSCI)'!$T:$T,MATCH(Tabla_Consulta_desde_Reporte_de_Valorización_de_Instrumentos[[#This Row],[CODIGO_ISIN]],'BD(MSCI)'!$C:$C,0),1),INDEX('BD(MSCI)'!$T:$T,MATCH(Tabla_Consulta_desde_Reporte_de_Valorización_de_Instrumentos[[#This Row],[CODIGO_SBS]],'BD(MSCI)'!$C:$C,0),1)),0)</f>
        <v>0</v>
      </c>
      <c r="AK524" s="26">
        <f>Tabla_Consulta_desde_Reporte_de_Valorización_de_Instrumentos[[#This Row],[C02-H]]*Tabla_Consulta_desde_Reporte_de_Valorización_de_Instrumentos[[#This Row],[Inv MM$]]</f>
        <v>0</v>
      </c>
      <c r="AL524" s="26">
        <f>Tabla_Consulta_desde_Reporte_de_Valorización_de_Instrumentos[[#This Row],[C02-H]]*Tabla_Consulta_desde_Reporte_de_Valorización_de_Instrumentos[[#This Row],[Weight]]</f>
        <v>0</v>
      </c>
      <c r="AM524" s="26" t="e">
        <f>INDEX(Parametria!G:G,MATCH(Tabla_Consulta_desde_Reporte_de_Valorización_de_Instrumentos[[#This Row],[CODIGO_SBS]],Parametria!C:C,0))</f>
        <v>#N/A</v>
      </c>
      <c r="AN524" s="26" t="e">
        <f>INDEX(Parametria!F:F,MATCH(Tabla_Consulta_desde_Reporte_de_Valorización_de_Instrumentos[[#This Row],[CODIGO_SBS]],Parametria!C:C,0))</f>
        <v>#N/A</v>
      </c>
      <c r="AO524" s="26" t="e">
        <f>+INDEX(Parametria!J:J,MATCH(Tabla_Consulta_desde_Reporte_de_Valorización_de_Instrumentos[[#This Row],[CODIGO_SBS]],Parametria!C:C,0))</f>
        <v>#N/A</v>
      </c>
      <c r="AP524" s="26">
        <f>Tabla_Consulta_desde_Reporte_de_Valorización_de_Instrumentos[[#This Row],[Huella]]/$AU$4</f>
        <v>0</v>
      </c>
      <c r="AQ524" s="26" t="e">
        <f>IFERROR(INDEX('BD(MSCI)'!W:W,MATCH(Tabla_Consulta_desde_Reporte_de_Valorización_de_Instrumentos[[#This Row],[CODIGO_ISIN]],'BD(MSCI)'!C:C,0)),IF(Tabla_Consulta_desde_Reporte_de_Valorización_de_Instrumentos[[#This Row],[Rank_rt]]="Cash","Cash","Cuestionario Integra"))</f>
        <v>#N/A</v>
      </c>
      <c r="AR524" s="26" t="str">
        <f>IFERROR(INDEX('BD(MSCI)'!X:X,MATCH(Tabla_Consulta_desde_Reporte_de_Valorización_de_Instrumentos[[#This Row],[CODIGO_ISIN]],'BD(MSCI)'!C:C,0)),"Cuestionario Integra")</f>
        <v>Cuestionario Integra</v>
      </c>
    </row>
    <row r="525" spans="2:47" hidden="1" x14ac:dyDescent="0.25">
      <c r="B525" s="14" t="s">
        <v>6390</v>
      </c>
      <c r="C525" t="s">
        <v>833</v>
      </c>
      <c r="D525" t="s">
        <v>9</v>
      </c>
      <c r="E525" t="s">
        <v>834</v>
      </c>
      <c r="F525" t="s">
        <v>6492</v>
      </c>
      <c r="G525" t="e">
        <f>INDEX(Parametria!H:H,MATCH(Tabla_Consulta_desde_Reporte_de_Valorización_de_Instrumentos[[#This Row],[CODIGO_SBS]],Parametria!C:C,0),1)</f>
        <v>#N/A</v>
      </c>
      <c r="H525" t="s">
        <v>90</v>
      </c>
      <c r="I525" t="s">
        <v>835</v>
      </c>
      <c r="J525" t="s">
        <v>243</v>
      </c>
      <c r="K525" t="s">
        <v>90</v>
      </c>
      <c r="L525">
        <v>1</v>
      </c>
      <c r="M525" s="5">
        <v>26292463.625999998</v>
      </c>
      <c r="N525">
        <v>26292463.625999998</v>
      </c>
      <c r="O525">
        <v>0</v>
      </c>
      <c r="P525" s="15">
        <v>46217</v>
      </c>
      <c r="Q525">
        <v>195</v>
      </c>
      <c r="R525">
        <v>1</v>
      </c>
      <c r="S525" t="s">
        <v>155</v>
      </c>
      <c r="T525">
        <v>26289249.739999998</v>
      </c>
      <c r="U525" s="5">
        <v>26289249.739999998</v>
      </c>
      <c r="V525" t="s">
        <v>192</v>
      </c>
      <c r="W525">
        <v>4565854000</v>
      </c>
      <c r="X525">
        <v>3638173000</v>
      </c>
      <c r="Y525">
        <v>927681000</v>
      </c>
      <c r="Z525">
        <v>0</v>
      </c>
      <c r="AA525" t="str">
        <f>+MID(Tabla_Consulta_desde_Reporte_de_Valorización_de_Instrumentos[[#This Row],[CODIGO_SBS]],7,1)</f>
        <v>1</v>
      </c>
      <c r="AB525">
        <f>INDEX('Cálculo Caja'!F:F,MATCH(Tabla_Consulta_desde_Reporte_de_Valorización_de_Instrumentos[[#This Row],[PORTAFOLIO]],'Cálculo Caja'!A:A,0),1)</f>
        <v>2847839359.3764262</v>
      </c>
      <c r="AC525" s="17">
        <f>Tabla_Consulta_desde_Reporte_de_Valorización_de_Instrumentos[[#This Row],[VALOR_VECTOR_LOCAL]]/Tabla_Consulta_desde_Reporte_de_Valorización_de_Instrumentos[[#This Row],[Patrimonio]]</f>
        <v>9.2324251153538019E-3</v>
      </c>
      <c r="AD525" s="4">
        <f>(Tabla_Consulta_desde_Reporte_de_Valorización_de_Instrumentos[[#This Row],[VALOR_VECTOR_LOCAL]]/INDEX('Tipo de Cambio'!$D:$D,MATCH("2",'Tipo de Cambio'!$E:$E,0),1))/1000000</f>
        <v>7.8230425261090772</v>
      </c>
      <c r="AE525">
        <f>IF(Tabla_Consulta_desde_Reporte_de_Valorización_de_Instrumentos[[#This Row],[PORTAFOLIO]]="IN-FONDO0",Tabla_Consulta_desde_Reporte_de_Valorización_de_Instrumentos[[#This Row],[Inv MM$]],0)</f>
        <v>7.8230425261090772</v>
      </c>
      <c r="AF525" s="26">
        <f>IF(Tabla_Consulta_desde_Reporte_de_Valorización_de_Instrumentos[[#This Row],[PORTAFOLIO]]="IN-FONDO1",Tabla_Consulta_desde_Reporte_de_Valorización_de_Instrumentos[[#This Row],[Inv MM$]],0)</f>
        <v>0</v>
      </c>
      <c r="AG525" s="26">
        <f>IF(Tabla_Consulta_desde_Reporte_de_Valorización_de_Instrumentos[[#This Row],[PORTAFOLIO]]="IN-FONDO2",Tabla_Consulta_desde_Reporte_de_Valorización_de_Instrumentos[[#This Row],[Inv MM$]],0)</f>
        <v>0</v>
      </c>
      <c r="AH525" s="26">
        <f>IF(Tabla_Consulta_desde_Reporte_de_Valorización_de_Instrumentos[[#This Row],[PORTAFOLIO]]="IN-FONDO3",Tabla_Consulta_desde_Reporte_de_Valorización_de_Instrumentos[[#This Row],[Inv MM$]],0)</f>
        <v>0</v>
      </c>
      <c r="AI52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5" s="26">
        <f>IFERROR(IFERROR(INDEX('BD(MSCI)'!$T:$T,MATCH(Tabla_Consulta_desde_Reporte_de_Valorización_de_Instrumentos[[#This Row],[CODIGO_ISIN]],'BD(MSCI)'!$C:$C,0),1),INDEX('BD(MSCI)'!$T:$T,MATCH(Tabla_Consulta_desde_Reporte_de_Valorización_de_Instrumentos[[#This Row],[CODIGO_SBS]],'BD(MSCI)'!$C:$C,0),1)),0)</f>
        <v>0</v>
      </c>
      <c r="AK525" s="26">
        <f>Tabla_Consulta_desde_Reporte_de_Valorización_de_Instrumentos[[#This Row],[C02-H]]*Tabla_Consulta_desde_Reporte_de_Valorización_de_Instrumentos[[#This Row],[Inv MM$]]</f>
        <v>0</v>
      </c>
      <c r="AL525" s="26">
        <f>Tabla_Consulta_desde_Reporte_de_Valorización_de_Instrumentos[[#This Row],[C02-H]]*Tabla_Consulta_desde_Reporte_de_Valorización_de_Instrumentos[[#This Row],[Weight]]</f>
        <v>0</v>
      </c>
      <c r="AM525" s="26" t="e">
        <f>INDEX(Parametria!G:G,MATCH(Tabla_Consulta_desde_Reporte_de_Valorización_de_Instrumentos[[#This Row],[CODIGO_SBS]],Parametria!C:C,0))</f>
        <v>#N/A</v>
      </c>
      <c r="AN525" s="26" t="e">
        <f>INDEX(Parametria!F:F,MATCH(Tabla_Consulta_desde_Reporte_de_Valorización_de_Instrumentos[[#This Row],[CODIGO_SBS]],Parametria!C:C,0))</f>
        <v>#N/A</v>
      </c>
      <c r="AO525" s="26" t="e">
        <f>+INDEX(Parametria!J:J,MATCH(Tabla_Consulta_desde_Reporte_de_Valorización_de_Instrumentos[[#This Row],[CODIGO_SBS]],Parametria!C:C,0))</f>
        <v>#N/A</v>
      </c>
      <c r="AP525" s="26">
        <f>Tabla_Consulta_desde_Reporte_de_Valorización_de_Instrumentos[[#This Row],[Huella]]/$AU$4</f>
        <v>0</v>
      </c>
      <c r="AQ525" s="26" t="e">
        <f>IFERROR(INDEX('BD(MSCI)'!W:W,MATCH(Tabla_Consulta_desde_Reporte_de_Valorización_de_Instrumentos[[#This Row],[CODIGO_ISIN]],'BD(MSCI)'!C:C,0)),IF(Tabla_Consulta_desde_Reporte_de_Valorización_de_Instrumentos[[#This Row],[Rank_rt]]="Cash","Cash","Cuestionario Integra"))</f>
        <v>#N/A</v>
      </c>
      <c r="AR525" s="26" t="str">
        <f>IFERROR(INDEX('BD(MSCI)'!X:X,MATCH(Tabla_Consulta_desde_Reporte_de_Valorización_de_Instrumentos[[#This Row],[CODIGO_ISIN]],'BD(MSCI)'!C:C,0)),"Cuestionario Integra")</f>
        <v>Cuestionario Integra</v>
      </c>
    </row>
    <row r="526" spans="2:47" hidden="1" x14ac:dyDescent="0.25">
      <c r="B526" s="14" t="s">
        <v>6390</v>
      </c>
      <c r="C526" t="s">
        <v>833</v>
      </c>
      <c r="D526" t="s">
        <v>9</v>
      </c>
      <c r="E526" t="s">
        <v>834</v>
      </c>
      <c r="F526" t="s">
        <v>6493</v>
      </c>
      <c r="G526" t="e">
        <f>INDEX(Parametria!H:H,MATCH(Tabla_Consulta_desde_Reporte_de_Valorización_de_Instrumentos[[#This Row],[CODIGO_SBS]],Parametria!C:C,0),1)</f>
        <v>#N/A</v>
      </c>
      <c r="H526" t="s">
        <v>90</v>
      </c>
      <c r="I526" t="s">
        <v>835</v>
      </c>
      <c r="J526" t="s">
        <v>243</v>
      </c>
      <c r="K526" t="s">
        <v>90</v>
      </c>
      <c r="L526">
        <v>1</v>
      </c>
      <c r="M526" s="5">
        <v>10106544.539999999</v>
      </c>
      <c r="N526">
        <v>10106544.539999999</v>
      </c>
      <c r="O526">
        <v>0</v>
      </c>
      <c r="P526" s="15">
        <v>46296</v>
      </c>
      <c r="Q526">
        <v>274</v>
      </c>
      <c r="R526">
        <v>1</v>
      </c>
      <c r="S526" t="s">
        <v>155</v>
      </c>
      <c r="T526">
        <v>10105305.65</v>
      </c>
      <c r="U526" s="5">
        <v>10105305.65</v>
      </c>
      <c r="V526" t="s">
        <v>192</v>
      </c>
      <c r="W526">
        <v>4565854000</v>
      </c>
      <c r="X526">
        <v>3638173000</v>
      </c>
      <c r="Y526">
        <v>927681000</v>
      </c>
      <c r="Z526">
        <v>0</v>
      </c>
      <c r="AA526" t="str">
        <f>+MID(Tabla_Consulta_desde_Reporte_de_Valorización_de_Instrumentos[[#This Row],[CODIGO_SBS]],7,1)</f>
        <v>1</v>
      </c>
      <c r="AB526">
        <f>INDEX('Cálculo Caja'!F:F,MATCH(Tabla_Consulta_desde_Reporte_de_Valorización_de_Instrumentos[[#This Row],[PORTAFOLIO]],'Cálculo Caja'!A:A,0),1)</f>
        <v>2847839359.3764262</v>
      </c>
      <c r="AC526" s="17">
        <f>Tabla_Consulta_desde_Reporte_de_Valorización_de_Instrumentos[[#This Row],[VALOR_VECTOR_LOCAL]]/Tabla_Consulta_desde_Reporte_de_Valorización_de_Instrumentos[[#This Row],[Patrimonio]]</f>
        <v>3.5488464286879463E-3</v>
      </c>
      <c r="AD526" s="4">
        <f>(Tabla_Consulta_desde_Reporte_de_Valorización_de_Instrumentos[[#This Row],[VALOR_VECTOR_LOCAL]]/INDEX('Tipo de Cambio'!$D:$D,MATCH("2",'Tipo de Cambio'!$E:$E,0),1))/1000000</f>
        <v>3.0070946889226096</v>
      </c>
      <c r="AE526">
        <f>IF(Tabla_Consulta_desde_Reporte_de_Valorización_de_Instrumentos[[#This Row],[PORTAFOLIO]]="IN-FONDO0",Tabla_Consulta_desde_Reporte_de_Valorización_de_Instrumentos[[#This Row],[Inv MM$]],0)</f>
        <v>3.0070946889226096</v>
      </c>
      <c r="AF526" s="26">
        <f>IF(Tabla_Consulta_desde_Reporte_de_Valorización_de_Instrumentos[[#This Row],[PORTAFOLIO]]="IN-FONDO1",Tabla_Consulta_desde_Reporte_de_Valorización_de_Instrumentos[[#This Row],[Inv MM$]],0)</f>
        <v>0</v>
      </c>
      <c r="AG526" s="26">
        <f>IF(Tabla_Consulta_desde_Reporte_de_Valorización_de_Instrumentos[[#This Row],[PORTAFOLIO]]="IN-FONDO2",Tabla_Consulta_desde_Reporte_de_Valorización_de_Instrumentos[[#This Row],[Inv MM$]],0)</f>
        <v>0</v>
      </c>
      <c r="AH526" s="26">
        <f>IF(Tabla_Consulta_desde_Reporte_de_Valorización_de_Instrumentos[[#This Row],[PORTAFOLIO]]="IN-FONDO3",Tabla_Consulta_desde_Reporte_de_Valorización_de_Instrumentos[[#This Row],[Inv MM$]],0)</f>
        <v>0</v>
      </c>
      <c r="AI52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6" s="26">
        <f>IFERROR(IFERROR(INDEX('BD(MSCI)'!$T:$T,MATCH(Tabla_Consulta_desde_Reporte_de_Valorización_de_Instrumentos[[#This Row],[CODIGO_ISIN]],'BD(MSCI)'!$C:$C,0),1),INDEX('BD(MSCI)'!$T:$T,MATCH(Tabla_Consulta_desde_Reporte_de_Valorización_de_Instrumentos[[#This Row],[CODIGO_SBS]],'BD(MSCI)'!$C:$C,0),1)),0)</f>
        <v>0</v>
      </c>
      <c r="AK526" s="26">
        <f>Tabla_Consulta_desde_Reporte_de_Valorización_de_Instrumentos[[#This Row],[C02-H]]*Tabla_Consulta_desde_Reporte_de_Valorización_de_Instrumentos[[#This Row],[Inv MM$]]</f>
        <v>0</v>
      </c>
      <c r="AL526" s="26">
        <f>Tabla_Consulta_desde_Reporte_de_Valorización_de_Instrumentos[[#This Row],[C02-H]]*Tabla_Consulta_desde_Reporte_de_Valorización_de_Instrumentos[[#This Row],[Weight]]</f>
        <v>0</v>
      </c>
      <c r="AM526" s="26" t="e">
        <f>INDEX(Parametria!G:G,MATCH(Tabla_Consulta_desde_Reporte_de_Valorización_de_Instrumentos[[#This Row],[CODIGO_SBS]],Parametria!C:C,0))</f>
        <v>#N/A</v>
      </c>
      <c r="AN526" s="26" t="e">
        <f>INDEX(Parametria!F:F,MATCH(Tabla_Consulta_desde_Reporte_de_Valorización_de_Instrumentos[[#This Row],[CODIGO_SBS]],Parametria!C:C,0))</f>
        <v>#N/A</v>
      </c>
      <c r="AO526" s="26" t="e">
        <f>+INDEX(Parametria!J:J,MATCH(Tabla_Consulta_desde_Reporte_de_Valorización_de_Instrumentos[[#This Row],[CODIGO_SBS]],Parametria!C:C,0))</f>
        <v>#N/A</v>
      </c>
      <c r="AP526" s="26">
        <f>Tabla_Consulta_desde_Reporte_de_Valorización_de_Instrumentos[[#This Row],[Huella]]/$AU$4</f>
        <v>0</v>
      </c>
      <c r="AQ526" s="26" t="e">
        <f>IFERROR(INDEX('BD(MSCI)'!W:W,MATCH(Tabla_Consulta_desde_Reporte_de_Valorización_de_Instrumentos[[#This Row],[CODIGO_ISIN]],'BD(MSCI)'!C:C,0)),IF(Tabla_Consulta_desde_Reporte_de_Valorización_de_Instrumentos[[#This Row],[Rank_rt]]="Cash","Cash","Cuestionario Integra"))</f>
        <v>#N/A</v>
      </c>
      <c r="AR526" s="26" t="str">
        <f>IFERROR(INDEX('BD(MSCI)'!X:X,MATCH(Tabla_Consulta_desde_Reporte_de_Valorización_de_Instrumentos[[#This Row],[CODIGO_ISIN]],'BD(MSCI)'!C:C,0)),"Cuestionario Integra")</f>
        <v>Cuestionario Integra</v>
      </c>
    </row>
    <row r="527" spans="2:47" hidden="1" x14ac:dyDescent="0.25">
      <c r="B527" s="14" t="s">
        <v>6390</v>
      </c>
      <c r="C527" t="s">
        <v>833</v>
      </c>
      <c r="D527" t="s">
        <v>9</v>
      </c>
      <c r="E527" t="s">
        <v>834</v>
      </c>
      <c r="F527" t="s">
        <v>6494</v>
      </c>
      <c r="G527" t="e">
        <f>INDEX(Parametria!H:H,MATCH(Tabla_Consulta_desde_Reporte_de_Valorización_de_Instrumentos[[#This Row],[CODIGO_SBS]],Parametria!C:C,0),1)</f>
        <v>#N/A</v>
      </c>
      <c r="H527" t="s">
        <v>90</v>
      </c>
      <c r="I527" t="s">
        <v>835</v>
      </c>
      <c r="J527" t="s">
        <v>245</v>
      </c>
      <c r="K527" t="s">
        <v>90</v>
      </c>
      <c r="L527">
        <v>1</v>
      </c>
      <c r="M527" s="5">
        <v>30319633.620000001</v>
      </c>
      <c r="N527">
        <v>30319633.620000001</v>
      </c>
      <c r="O527">
        <v>0</v>
      </c>
      <c r="P527" s="15">
        <v>46296</v>
      </c>
      <c r="Q527">
        <v>274</v>
      </c>
      <c r="R527">
        <v>1</v>
      </c>
      <c r="S527" t="s">
        <v>155</v>
      </c>
      <c r="T527">
        <v>30315916.949999999</v>
      </c>
      <c r="U527" s="5">
        <v>30315916.949999999</v>
      </c>
      <c r="V527" t="s">
        <v>192</v>
      </c>
      <c r="W527">
        <v>4565854000</v>
      </c>
      <c r="X527">
        <v>3638173000</v>
      </c>
      <c r="Y527">
        <v>927681000</v>
      </c>
      <c r="Z527">
        <v>0</v>
      </c>
      <c r="AA527" t="str">
        <f>+MID(Tabla_Consulta_desde_Reporte_de_Valorización_de_Instrumentos[[#This Row],[CODIGO_SBS]],7,1)</f>
        <v>1</v>
      </c>
      <c r="AB527">
        <f>INDEX('Cálculo Caja'!F:F,MATCH(Tabla_Consulta_desde_Reporte_de_Valorización_de_Instrumentos[[#This Row],[PORTAFOLIO]],'Cálculo Caja'!A:A,0),1)</f>
        <v>2847839359.3764262</v>
      </c>
      <c r="AC527" s="17">
        <f>Tabla_Consulta_desde_Reporte_de_Valorización_de_Instrumentos[[#This Row],[VALOR_VECTOR_LOCAL]]/Tabla_Consulta_desde_Reporte_de_Valorización_de_Instrumentos[[#This Row],[Patrimonio]]</f>
        <v>1.0646539286063841E-2</v>
      </c>
      <c r="AD527" s="4">
        <f>(Tabla_Consulta_desde_Reporte_de_Valorización_de_Instrumentos[[#This Row],[VALOR_VECTOR_LOCAL]]/INDEX('Tipo de Cambio'!$D:$D,MATCH("2",'Tipo de Cambio'!$E:$E,0),1))/1000000</f>
        <v>9.02128406676783</v>
      </c>
      <c r="AE527">
        <f>IF(Tabla_Consulta_desde_Reporte_de_Valorización_de_Instrumentos[[#This Row],[PORTAFOLIO]]="IN-FONDO0",Tabla_Consulta_desde_Reporte_de_Valorización_de_Instrumentos[[#This Row],[Inv MM$]],0)</f>
        <v>9.02128406676783</v>
      </c>
      <c r="AF527" s="26">
        <f>IF(Tabla_Consulta_desde_Reporte_de_Valorización_de_Instrumentos[[#This Row],[PORTAFOLIO]]="IN-FONDO1",Tabla_Consulta_desde_Reporte_de_Valorización_de_Instrumentos[[#This Row],[Inv MM$]],0)</f>
        <v>0</v>
      </c>
      <c r="AG527" s="26">
        <f>IF(Tabla_Consulta_desde_Reporte_de_Valorización_de_Instrumentos[[#This Row],[PORTAFOLIO]]="IN-FONDO2",Tabla_Consulta_desde_Reporte_de_Valorización_de_Instrumentos[[#This Row],[Inv MM$]],0)</f>
        <v>0</v>
      </c>
      <c r="AH527" s="26">
        <f>IF(Tabla_Consulta_desde_Reporte_de_Valorización_de_Instrumentos[[#This Row],[PORTAFOLIO]]="IN-FONDO3",Tabla_Consulta_desde_Reporte_de_Valorización_de_Instrumentos[[#This Row],[Inv MM$]],0)</f>
        <v>0</v>
      </c>
      <c r="AI52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7" s="26">
        <f>IFERROR(IFERROR(INDEX('BD(MSCI)'!$T:$T,MATCH(Tabla_Consulta_desde_Reporte_de_Valorización_de_Instrumentos[[#This Row],[CODIGO_ISIN]],'BD(MSCI)'!$C:$C,0),1),INDEX('BD(MSCI)'!$T:$T,MATCH(Tabla_Consulta_desde_Reporte_de_Valorización_de_Instrumentos[[#This Row],[CODIGO_SBS]],'BD(MSCI)'!$C:$C,0),1)),0)</f>
        <v>0</v>
      </c>
      <c r="AK527" s="26">
        <f>Tabla_Consulta_desde_Reporte_de_Valorización_de_Instrumentos[[#This Row],[C02-H]]*Tabla_Consulta_desde_Reporte_de_Valorización_de_Instrumentos[[#This Row],[Inv MM$]]</f>
        <v>0</v>
      </c>
      <c r="AL527" s="26">
        <f>Tabla_Consulta_desde_Reporte_de_Valorización_de_Instrumentos[[#This Row],[C02-H]]*Tabla_Consulta_desde_Reporte_de_Valorización_de_Instrumentos[[#This Row],[Weight]]</f>
        <v>0</v>
      </c>
      <c r="AM527" s="26" t="e">
        <f>INDEX(Parametria!G:G,MATCH(Tabla_Consulta_desde_Reporte_de_Valorización_de_Instrumentos[[#This Row],[CODIGO_SBS]],Parametria!C:C,0))</f>
        <v>#N/A</v>
      </c>
      <c r="AN527" s="26" t="e">
        <f>INDEX(Parametria!F:F,MATCH(Tabla_Consulta_desde_Reporte_de_Valorización_de_Instrumentos[[#This Row],[CODIGO_SBS]],Parametria!C:C,0))</f>
        <v>#N/A</v>
      </c>
      <c r="AO527" s="26" t="e">
        <f>+INDEX(Parametria!J:J,MATCH(Tabla_Consulta_desde_Reporte_de_Valorización_de_Instrumentos[[#This Row],[CODIGO_SBS]],Parametria!C:C,0))</f>
        <v>#N/A</v>
      </c>
      <c r="AP527" s="26">
        <f>Tabla_Consulta_desde_Reporte_de_Valorización_de_Instrumentos[[#This Row],[Huella]]/$AU$4</f>
        <v>0</v>
      </c>
      <c r="AQ527" s="26" t="e">
        <f>IFERROR(INDEX('BD(MSCI)'!W:W,MATCH(Tabla_Consulta_desde_Reporte_de_Valorización_de_Instrumentos[[#This Row],[CODIGO_ISIN]],'BD(MSCI)'!C:C,0)),IF(Tabla_Consulta_desde_Reporte_de_Valorización_de_Instrumentos[[#This Row],[Rank_rt]]="Cash","Cash","Cuestionario Integra"))</f>
        <v>#N/A</v>
      </c>
      <c r="AR527" s="26" t="str">
        <f>IFERROR(INDEX('BD(MSCI)'!X:X,MATCH(Tabla_Consulta_desde_Reporte_de_Valorización_de_Instrumentos[[#This Row],[CODIGO_ISIN]],'BD(MSCI)'!C:C,0)),"Cuestionario Integra")</f>
        <v>Cuestionario Integra</v>
      </c>
    </row>
    <row r="528" spans="2:47" hidden="1" x14ac:dyDescent="0.25">
      <c r="B528" s="14" t="s">
        <v>6390</v>
      </c>
      <c r="C528" t="s">
        <v>833</v>
      </c>
      <c r="D528" t="s">
        <v>9</v>
      </c>
      <c r="E528" t="s">
        <v>834</v>
      </c>
      <c r="F528" t="s">
        <v>6495</v>
      </c>
      <c r="G528" t="e">
        <f>INDEX(Parametria!H:H,MATCH(Tabla_Consulta_desde_Reporte_de_Valorización_de_Instrumentos[[#This Row],[CODIGO_SBS]],Parametria!C:C,0),1)</f>
        <v>#N/A</v>
      </c>
      <c r="H528" t="s">
        <v>90</v>
      </c>
      <c r="I528" t="s">
        <v>835</v>
      </c>
      <c r="J528" t="s">
        <v>4860</v>
      </c>
      <c r="K528" t="s">
        <v>90</v>
      </c>
      <c r="L528">
        <v>1</v>
      </c>
      <c r="M528" s="5">
        <v>10107021.84</v>
      </c>
      <c r="N528">
        <v>10107021.84</v>
      </c>
      <c r="O528">
        <v>0</v>
      </c>
      <c r="P528" s="15">
        <v>46296</v>
      </c>
      <c r="Q528">
        <v>274</v>
      </c>
      <c r="R528">
        <v>1</v>
      </c>
      <c r="S528" t="s">
        <v>155</v>
      </c>
      <c r="T528">
        <v>10105777.4</v>
      </c>
      <c r="U528" s="5">
        <v>10105777.4</v>
      </c>
      <c r="V528" t="s">
        <v>192</v>
      </c>
      <c r="W528">
        <v>4565854000</v>
      </c>
      <c r="X528">
        <v>3638173000</v>
      </c>
      <c r="Y528">
        <v>927681000</v>
      </c>
      <c r="Z528">
        <v>0</v>
      </c>
      <c r="AA528" t="str">
        <f>+MID(Tabla_Consulta_desde_Reporte_de_Valorización_de_Instrumentos[[#This Row],[CODIGO_SBS]],7,1)</f>
        <v>1</v>
      </c>
      <c r="AB528">
        <f>INDEX('Cálculo Caja'!F:F,MATCH(Tabla_Consulta_desde_Reporte_de_Valorización_de_Instrumentos[[#This Row],[PORTAFOLIO]],'Cálculo Caja'!A:A,0),1)</f>
        <v>2847839359.3764262</v>
      </c>
      <c r="AC528" s="17">
        <f>Tabla_Consulta_desde_Reporte_de_Valorización_de_Instrumentos[[#This Row],[VALOR_VECTOR_LOCAL]]/Tabla_Consulta_desde_Reporte_de_Valorización_de_Instrumentos[[#This Row],[Patrimonio]]</f>
        <v>3.5490140294335533E-3</v>
      </c>
      <c r="AD528" s="4">
        <f>(Tabla_Consulta_desde_Reporte_de_Valorización_de_Instrumentos[[#This Row],[VALOR_VECTOR_LOCAL]]/INDEX('Tipo de Cambio'!$D:$D,MATCH("2",'Tipo de Cambio'!$E:$E,0),1))/1000000</f>
        <v>3.0072367044541641</v>
      </c>
      <c r="AE528">
        <f>IF(Tabla_Consulta_desde_Reporte_de_Valorización_de_Instrumentos[[#This Row],[PORTAFOLIO]]="IN-FONDO0",Tabla_Consulta_desde_Reporte_de_Valorización_de_Instrumentos[[#This Row],[Inv MM$]],0)</f>
        <v>3.0072367044541641</v>
      </c>
      <c r="AF528" s="26">
        <f>IF(Tabla_Consulta_desde_Reporte_de_Valorización_de_Instrumentos[[#This Row],[PORTAFOLIO]]="IN-FONDO1",Tabla_Consulta_desde_Reporte_de_Valorización_de_Instrumentos[[#This Row],[Inv MM$]],0)</f>
        <v>0</v>
      </c>
      <c r="AG528" s="26">
        <f>IF(Tabla_Consulta_desde_Reporte_de_Valorización_de_Instrumentos[[#This Row],[PORTAFOLIO]]="IN-FONDO2",Tabla_Consulta_desde_Reporte_de_Valorización_de_Instrumentos[[#This Row],[Inv MM$]],0)</f>
        <v>0</v>
      </c>
      <c r="AH528" s="26">
        <f>IF(Tabla_Consulta_desde_Reporte_de_Valorización_de_Instrumentos[[#This Row],[PORTAFOLIO]]="IN-FONDO3",Tabla_Consulta_desde_Reporte_de_Valorización_de_Instrumentos[[#This Row],[Inv MM$]],0)</f>
        <v>0</v>
      </c>
      <c r="AI52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8" s="26">
        <f>IFERROR(IFERROR(INDEX('BD(MSCI)'!$T:$T,MATCH(Tabla_Consulta_desde_Reporte_de_Valorización_de_Instrumentos[[#This Row],[CODIGO_ISIN]],'BD(MSCI)'!$C:$C,0),1),INDEX('BD(MSCI)'!$T:$T,MATCH(Tabla_Consulta_desde_Reporte_de_Valorización_de_Instrumentos[[#This Row],[CODIGO_SBS]],'BD(MSCI)'!$C:$C,0),1)),0)</f>
        <v>0</v>
      </c>
      <c r="AK528" s="26">
        <f>Tabla_Consulta_desde_Reporte_de_Valorización_de_Instrumentos[[#This Row],[C02-H]]*Tabla_Consulta_desde_Reporte_de_Valorización_de_Instrumentos[[#This Row],[Inv MM$]]</f>
        <v>0</v>
      </c>
      <c r="AL528" s="26">
        <f>Tabla_Consulta_desde_Reporte_de_Valorización_de_Instrumentos[[#This Row],[C02-H]]*Tabla_Consulta_desde_Reporte_de_Valorización_de_Instrumentos[[#This Row],[Weight]]</f>
        <v>0</v>
      </c>
      <c r="AM528" s="26" t="e">
        <f>INDEX(Parametria!G:G,MATCH(Tabla_Consulta_desde_Reporte_de_Valorización_de_Instrumentos[[#This Row],[CODIGO_SBS]],Parametria!C:C,0))</f>
        <v>#N/A</v>
      </c>
      <c r="AN528" s="26" t="e">
        <f>INDEX(Parametria!F:F,MATCH(Tabla_Consulta_desde_Reporte_de_Valorización_de_Instrumentos[[#This Row],[CODIGO_SBS]],Parametria!C:C,0))</f>
        <v>#N/A</v>
      </c>
      <c r="AO528" s="26" t="e">
        <f>+INDEX(Parametria!J:J,MATCH(Tabla_Consulta_desde_Reporte_de_Valorización_de_Instrumentos[[#This Row],[CODIGO_SBS]],Parametria!C:C,0))</f>
        <v>#N/A</v>
      </c>
      <c r="AP528" s="26">
        <f>Tabla_Consulta_desde_Reporte_de_Valorización_de_Instrumentos[[#This Row],[Huella]]/$AU$4</f>
        <v>0</v>
      </c>
      <c r="AQ528" s="26" t="e">
        <f>IFERROR(INDEX('BD(MSCI)'!W:W,MATCH(Tabla_Consulta_desde_Reporte_de_Valorización_de_Instrumentos[[#This Row],[CODIGO_ISIN]],'BD(MSCI)'!C:C,0)),IF(Tabla_Consulta_desde_Reporte_de_Valorización_de_Instrumentos[[#This Row],[Rank_rt]]="Cash","Cash","Cuestionario Integra"))</f>
        <v>#N/A</v>
      </c>
      <c r="AR528" s="26" t="str">
        <f>IFERROR(INDEX('BD(MSCI)'!X:X,MATCH(Tabla_Consulta_desde_Reporte_de_Valorización_de_Instrumentos[[#This Row],[CODIGO_ISIN]],'BD(MSCI)'!C:C,0)),"Cuestionario Integra")</f>
        <v>Cuestionario Integra</v>
      </c>
    </row>
    <row r="529" spans="2:44" hidden="1" x14ac:dyDescent="0.25">
      <c r="B529" s="14" t="s">
        <v>6390</v>
      </c>
      <c r="C529" t="s">
        <v>833</v>
      </c>
      <c r="D529" t="s">
        <v>9</v>
      </c>
      <c r="E529" t="s">
        <v>834</v>
      </c>
      <c r="F529" t="s">
        <v>6496</v>
      </c>
      <c r="G529" t="e">
        <f>INDEX(Parametria!H:H,MATCH(Tabla_Consulta_desde_Reporte_de_Valorización_de_Instrumentos[[#This Row],[CODIGO_SBS]],Parametria!C:C,0),1)</f>
        <v>#N/A</v>
      </c>
      <c r="H529" t="s">
        <v>90</v>
      </c>
      <c r="I529" t="s">
        <v>835</v>
      </c>
      <c r="J529" t="s">
        <v>245</v>
      </c>
      <c r="K529" t="s">
        <v>90</v>
      </c>
      <c r="L529">
        <v>1</v>
      </c>
      <c r="M529" s="5">
        <v>26277015.804000001</v>
      </c>
      <c r="N529">
        <v>26277015.804000001</v>
      </c>
      <c r="O529">
        <v>0</v>
      </c>
      <c r="P529" s="15">
        <v>46287</v>
      </c>
      <c r="Q529">
        <v>265</v>
      </c>
      <c r="R529">
        <v>1</v>
      </c>
      <c r="S529" t="s">
        <v>155</v>
      </c>
      <c r="T529">
        <v>26273794.690000001</v>
      </c>
      <c r="U529" s="5">
        <v>26273794.690000001</v>
      </c>
      <c r="V529" t="s">
        <v>192</v>
      </c>
      <c r="W529">
        <v>4565854000</v>
      </c>
      <c r="X529">
        <v>3638173000</v>
      </c>
      <c r="Y529">
        <v>927681000</v>
      </c>
      <c r="Z529">
        <v>0</v>
      </c>
      <c r="AA529" t="str">
        <f>+MID(Tabla_Consulta_desde_Reporte_de_Valorización_de_Instrumentos[[#This Row],[CODIGO_SBS]],7,1)</f>
        <v>1</v>
      </c>
      <c r="AB529">
        <f>INDEX('Cálculo Caja'!F:F,MATCH(Tabla_Consulta_desde_Reporte_de_Valorización_de_Instrumentos[[#This Row],[PORTAFOLIO]],'Cálculo Caja'!A:A,0),1)</f>
        <v>2847839359.3764262</v>
      </c>
      <c r="AC529" s="17">
        <f>Tabla_Consulta_desde_Reporte_de_Valorización_de_Instrumentos[[#This Row],[VALOR_VECTOR_LOCAL]]/Tabla_Consulta_desde_Reporte_de_Valorización_de_Instrumentos[[#This Row],[Patrimonio]]</f>
        <v>9.2270007145886616E-3</v>
      </c>
      <c r="AD529" s="4">
        <f>(Tabla_Consulta_desde_Reporte_de_Valorización_de_Instrumentos[[#This Row],[VALOR_VECTOR_LOCAL]]/INDEX('Tipo de Cambio'!$D:$D,MATCH("2",'Tipo de Cambio'!$E:$E,0),1))/1000000</f>
        <v>7.8184461911987864</v>
      </c>
      <c r="AE529">
        <f>IF(Tabla_Consulta_desde_Reporte_de_Valorización_de_Instrumentos[[#This Row],[PORTAFOLIO]]="IN-FONDO0",Tabla_Consulta_desde_Reporte_de_Valorización_de_Instrumentos[[#This Row],[Inv MM$]],0)</f>
        <v>7.8184461911987864</v>
      </c>
      <c r="AF529" s="26">
        <f>IF(Tabla_Consulta_desde_Reporte_de_Valorización_de_Instrumentos[[#This Row],[PORTAFOLIO]]="IN-FONDO1",Tabla_Consulta_desde_Reporte_de_Valorización_de_Instrumentos[[#This Row],[Inv MM$]],0)</f>
        <v>0</v>
      </c>
      <c r="AG529" s="26">
        <f>IF(Tabla_Consulta_desde_Reporte_de_Valorización_de_Instrumentos[[#This Row],[PORTAFOLIO]]="IN-FONDO2",Tabla_Consulta_desde_Reporte_de_Valorización_de_Instrumentos[[#This Row],[Inv MM$]],0)</f>
        <v>0</v>
      </c>
      <c r="AH529" s="26">
        <f>IF(Tabla_Consulta_desde_Reporte_de_Valorización_de_Instrumentos[[#This Row],[PORTAFOLIO]]="IN-FONDO3",Tabla_Consulta_desde_Reporte_de_Valorización_de_Instrumentos[[#This Row],[Inv MM$]],0)</f>
        <v>0</v>
      </c>
      <c r="AI52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9" s="26">
        <f>IFERROR(IFERROR(INDEX('BD(MSCI)'!$T:$T,MATCH(Tabla_Consulta_desde_Reporte_de_Valorización_de_Instrumentos[[#This Row],[CODIGO_ISIN]],'BD(MSCI)'!$C:$C,0),1),INDEX('BD(MSCI)'!$T:$T,MATCH(Tabla_Consulta_desde_Reporte_de_Valorización_de_Instrumentos[[#This Row],[CODIGO_SBS]],'BD(MSCI)'!$C:$C,0),1)),0)</f>
        <v>0</v>
      </c>
      <c r="AK529" s="26">
        <f>Tabla_Consulta_desde_Reporte_de_Valorización_de_Instrumentos[[#This Row],[C02-H]]*Tabla_Consulta_desde_Reporte_de_Valorización_de_Instrumentos[[#This Row],[Inv MM$]]</f>
        <v>0</v>
      </c>
      <c r="AL529" s="26">
        <f>Tabla_Consulta_desde_Reporte_de_Valorización_de_Instrumentos[[#This Row],[C02-H]]*Tabla_Consulta_desde_Reporte_de_Valorización_de_Instrumentos[[#This Row],[Weight]]</f>
        <v>0</v>
      </c>
      <c r="AM529" s="26" t="e">
        <f>INDEX(Parametria!G:G,MATCH(Tabla_Consulta_desde_Reporte_de_Valorización_de_Instrumentos[[#This Row],[CODIGO_SBS]],Parametria!C:C,0))</f>
        <v>#N/A</v>
      </c>
      <c r="AN529" s="26" t="e">
        <f>INDEX(Parametria!F:F,MATCH(Tabla_Consulta_desde_Reporte_de_Valorización_de_Instrumentos[[#This Row],[CODIGO_SBS]],Parametria!C:C,0))</f>
        <v>#N/A</v>
      </c>
      <c r="AO529" s="26" t="e">
        <f>+INDEX(Parametria!J:J,MATCH(Tabla_Consulta_desde_Reporte_de_Valorización_de_Instrumentos[[#This Row],[CODIGO_SBS]],Parametria!C:C,0))</f>
        <v>#N/A</v>
      </c>
      <c r="AP529" s="26">
        <f>Tabla_Consulta_desde_Reporte_de_Valorización_de_Instrumentos[[#This Row],[Huella]]/$AU$4</f>
        <v>0</v>
      </c>
      <c r="AQ529" s="26" t="e">
        <f>IFERROR(INDEX('BD(MSCI)'!W:W,MATCH(Tabla_Consulta_desde_Reporte_de_Valorización_de_Instrumentos[[#This Row],[CODIGO_ISIN]],'BD(MSCI)'!C:C,0)),IF(Tabla_Consulta_desde_Reporte_de_Valorización_de_Instrumentos[[#This Row],[Rank_rt]]="Cash","Cash","Cuestionario Integra"))</f>
        <v>#N/A</v>
      </c>
      <c r="AR529" s="26" t="str">
        <f>IFERROR(INDEX('BD(MSCI)'!X:X,MATCH(Tabla_Consulta_desde_Reporte_de_Valorización_de_Instrumentos[[#This Row],[CODIGO_ISIN]],'BD(MSCI)'!C:C,0)),"Cuestionario Integra")</f>
        <v>Cuestionario Integra</v>
      </c>
    </row>
    <row r="530" spans="2:44" hidden="1" x14ac:dyDescent="0.25">
      <c r="B530" s="14" t="s">
        <v>6390</v>
      </c>
      <c r="C530" t="s">
        <v>833</v>
      </c>
      <c r="D530" t="s">
        <v>9</v>
      </c>
      <c r="E530" t="s">
        <v>834</v>
      </c>
      <c r="F530" t="s">
        <v>6497</v>
      </c>
      <c r="G530" t="e">
        <f>INDEX(Parametria!H:H,MATCH(Tabla_Consulta_desde_Reporte_de_Valorización_de_Instrumentos[[#This Row],[CODIGO_SBS]],Parametria!C:C,0),1)</f>
        <v>#N/A</v>
      </c>
      <c r="H530" t="s">
        <v>90</v>
      </c>
      <c r="I530" t="s">
        <v>835</v>
      </c>
      <c r="J530" t="s">
        <v>245</v>
      </c>
      <c r="K530" t="s">
        <v>90</v>
      </c>
      <c r="L530">
        <v>1</v>
      </c>
      <c r="M530" s="5">
        <v>31620833</v>
      </c>
      <c r="N530">
        <v>31620833</v>
      </c>
      <c r="O530">
        <v>0</v>
      </c>
      <c r="P530" s="15">
        <v>46254</v>
      </c>
      <c r="Q530">
        <v>232</v>
      </c>
      <c r="R530">
        <v>1</v>
      </c>
      <c r="S530" t="s">
        <v>155</v>
      </c>
      <c r="T530">
        <v>31616970.15625</v>
      </c>
      <c r="U530" s="5">
        <v>31616970.15625</v>
      </c>
      <c r="V530" t="s">
        <v>192</v>
      </c>
      <c r="W530">
        <v>4565854000</v>
      </c>
      <c r="X530">
        <v>3638173000</v>
      </c>
      <c r="Y530">
        <v>927681000</v>
      </c>
      <c r="Z530">
        <v>0</v>
      </c>
      <c r="AA530" t="str">
        <f>+MID(Tabla_Consulta_desde_Reporte_de_Valorización_de_Instrumentos[[#This Row],[CODIGO_SBS]],7,1)</f>
        <v>1</v>
      </c>
      <c r="AB530">
        <f>INDEX('Cálculo Caja'!F:F,MATCH(Tabla_Consulta_desde_Reporte_de_Valorización_de_Instrumentos[[#This Row],[PORTAFOLIO]],'Cálculo Caja'!A:A,0),1)</f>
        <v>2847839359.3764262</v>
      </c>
      <c r="AC530" s="17">
        <f>Tabla_Consulta_desde_Reporte_de_Valorización_de_Instrumentos[[#This Row],[VALOR_VECTOR_LOCAL]]/Tabla_Consulta_desde_Reporte_de_Valorización_de_Instrumentos[[#This Row],[Patrimonio]]</f>
        <v>1.1103446862579995E-2</v>
      </c>
      <c r="AD530" s="4">
        <f>(Tabla_Consulta_desde_Reporte_de_Valorización_de_Instrumentos[[#This Row],[VALOR_VECTOR_LOCAL]]/INDEX('Tipo de Cambio'!$D:$D,MATCH("2",'Tipo de Cambio'!$E:$E,0),1))/1000000</f>
        <v>9.4084420839656051</v>
      </c>
      <c r="AE530">
        <f>IF(Tabla_Consulta_desde_Reporte_de_Valorización_de_Instrumentos[[#This Row],[PORTAFOLIO]]="IN-FONDO0",Tabla_Consulta_desde_Reporte_de_Valorización_de_Instrumentos[[#This Row],[Inv MM$]],0)</f>
        <v>9.4084420839656051</v>
      </c>
      <c r="AF530" s="26">
        <f>IF(Tabla_Consulta_desde_Reporte_de_Valorización_de_Instrumentos[[#This Row],[PORTAFOLIO]]="IN-FONDO1",Tabla_Consulta_desde_Reporte_de_Valorización_de_Instrumentos[[#This Row],[Inv MM$]],0)</f>
        <v>0</v>
      </c>
      <c r="AG530" s="26">
        <f>IF(Tabla_Consulta_desde_Reporte_de_Valorización_de_Instrumentos[[#This Row],[PORTAFOLIO]]="IN-FONDO2",Tabla_Consulta_desde_Reporte_de_Valorización_de_Instrumentos[[#This Row],[Inv MM$]],0)</f>
        <v>0</v>
      </c>
      <c r="AH530" s="26">
        <f>IF(Tabla_Consulta_desde_Reporte_de_Valorización_de_Instrumentos[[#This Row],[PORTAFOLIO]]="IN-FONDO3",Tabla_Consulta_desde_Reporte_de_Valorización_de_Instrumentos[[#This Row],[Inv MM$]],0)</f>
        <v>0</v>
      </c>
      <c r="AI53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0" s="26">
        <f>IFERROR(IFERROR(INDEX('BD(MSCI)'!$T:$T,MATCH(Tabla_Consulta_desde_Reporte_de_Valorización_de_Instrumentos[[#This Row],[CODIGO_ISIN]],'BD(MSCI)'!$C:$C,0),1),INDEX('BD(MSCI)'!$T:$T,MATCH(Tabla_Consulta_desde_Reporte_de_Valorización_de_Instrumentos[[#This Row],[CODIGO_SBS]],'BD(MSCI)'!$C:$C,0),1)),0)</f>
        <v>0</v>
      </c>
      <c r="AK530" s="26">
        <f>Tabla_Consulta_desde_Reporte_de_Valorización_de_Instrumentos[[#This Row],[C02-H]]*Tabla_Consulta_desde_Reporte_de_Valorización_de_Instrumentos[[#This Row],[Inv MM$]]</f>
        <v>0</v>
      </c>
      <c r="AL530" s="26">
        <f>Tabla_Consulta_desde_Reporte_de_Valorización_de_Instrumentos[[#This Row],[C02-H]]*Tabla_Consulta_desde_Reporte_de_Valorización_de_Instrumentos[[#This Row],[Weight]]</f>
        <v>0</v>
      </c>
      <c r="AM530" s="26" t="e">
        <f>INDEX(Parametria!G:G,MATCH(Tabla_Consulta_desde_Reporte_de_Valorización_de_Instrumentos[[#This Row],[CODIGO_SBS]],Parametria!C:C,0))</f>
        <v>#N/A</v>
      </c>
      <c r="AN530" s="26" t="e">
        <f>INDEX(Parametria!F:F,MATCH(Tabla_Consulta_desde_Reporte_de_Valorización_de_Instrumentos[[#This Row],[CODIGO_SBS]],Parametria!C:C,0))</f>
        <v>#N/A</v>
      </c>
      <c r="AO530" s="26" t="e">
        <f>+INDEX(Parametria!J:J,MATCH(Tabla_Consulta_desde_Reporte_de_Valorización_de_Instrumentos[[#This Row],[CODIGO_SBS]],Parametria!C:C,0))</f>
        <v>#N/A</v>
      </c>
      <c r="AP530" s="26">
        <f>Tabla_Consulta_desde_Reporte_de_Valorización_de_Instrumentos[[#This Row],[Huella]]/$AU$4</f>
        <v>0</v>
      </c>
      <c r="AQ530" s="26" t="e">
        <f>IFERROR(INDEX('BD(MSCI)'!W:W,MATCH(Tabla_Consulta_desde_Reporte_de_Valorización_de_Instrumentos[[#This Row],[CODIGO_ISIN]],'BD(MSCI)'!C:C,0)),IF(Tabla_Consulta_desde_Reporte_de_Valorización_de_Instrumentos[[#This Row],[Rank_rt]]="Cash","Cash","Cuestionario Integra"))</f>
        <v>#N/A</v>
      </c>
      <c r="AR530" s="26" t="str">
        <f>IFERROR(INDEX('BD(MSCI)'!X:X,MATCH(Tabla_Consulta_desde_Reporte_de_Valorización_de_Instrumentos[[#This Row],[CODIGO_ISIN]],'BD(MSCI)'!C:C,0)),"Cuestionario Integra")</f>
        <v>Cuestionario Integra</v>
      </c>
    </row>
    <row r="531" spans="2:44" hidden="1" x14ac:dyDescent="0.25">
      <c r="B531" s="14" t="s">
        <v>6390</v>
      </c>
      <c r="C531" t="s">
        <v>833</v>
      </c>
      <c r="D531" t="s">
        <v>9</v>
      </c>
      <c r="E531" t="s">
        <v>834</v>
      </c>
      <c r="F531" t="s">
        <v>6498</v>
      </c>
      <c r="G531" t="e">
        <f>INDEX(Parametria!H:H,MATCH(Tabla_Consulta_desde_Reporte_de_Valorización_de_Instrumentos[[#This Row],[CODIGO_SBS]],Parametria!C:C,0),1)</f>
        <v>#N/A</v>
      </c>
      <c r="H531" t="s">
        <v>90</v>
      </c>
      <c r="I531" t="s">
        <v>835</v>
      </c>
      <c r="J531" t="s">
        <v>243</v>
      </c>
      <c r="K531" t="s">
        <v>90</v>
      </c>
      <c r="L531">
        <v>1</v>
      </c>
      <c r="M531" s="5">
        <v>46135039.027199998</v>
      </c>
      <c r="N531">
        <v>46135039.027199998</v>
      </c>
      <c r="O531">
        <v>0</v>
      </c>
      <c r="P531" s="15">
        <v>46038</v>
      </c>
      <c r="Q531">
        <v>16</v>
      </c>
      <c r="R531">
        <v>1</v>
      </c>
      <c r="S531" t="s">
        <v>155</v>
      </c>
      <c r="T531">
        <v>46129465.704000004</v>
      </c>
      <c r="U531" s="5">
        <v>46129465.704000004</v>
      </c>
      <c r="V531" t="s">
        <v>192</v>
      </c>
      <c r="W531">
        <v>4565854000</v>
      </c>
      <c r="X531">
        <v>3638173000</v>
      </c>
      <c r="Y531">
        <v>927681000</v>
      </c>
      <c r="Z531">
        <v>0</v>
      </c>
      <c r="AA531" t="str">
        <f>+MID(Tabla_Consulta_desde_Reporte_de_Valorización_de_Instrumentos[[#This Row],[CODIGO_SBS]],7,1)</f>
        <v>1</v>
      </c>
      <c r="AB531">
        <f>INDEX('Cálculo Caja'!F:F,MATCH(Tabla_Consulta_desde_Reporte_de_Valorización_de_Instrumentos[[#This Row],[PORTAFOLIO]],'Cálculo Caja'!A:A,0),1)</f>
        <v>2847839359.3764262</v>
      </c>
      <c r="AC531" s="17">
        <f>Tabla_Consulta_desde_Reporte_de_Valorización_de_Instrumentos[[#This Row],[VALOR_VECTOR_LOCAL]]/Tabla_Consulta_desde_Reporte_de_Valorización_de_Instrumentos[[#This Row],[Patrimonio]]</f>
        <v>1.6200014539198553E-2</v>
      </c>
      <c r="AD531" s="4">
        <f>(Tabla_Consulta_desde_Reporte_de_Valorización_de_Instrumentos[[#This Row],[VALOR_VECTOR_LOCAL]]/INDEX('Tipo de Cambio'!$D:$D,MATCH("2",'Tipo de Cambio'!$E:$E,0),1))/1000000</f>
        <v>13.726989504954028</v>
      </c>
      <c r="AE531">
        <f>IF(Tabla_Consulta_desde_Reporte_de_Valorización_de_Instrumentos[[#This Row],[PORTAFOLIO]]="IN-FONDO0",Tabla_Consulta_desde_Reporte_de_Valorización_de_Instrumentos[[#This Row],[Inv MM$]],0)</f>
        <v>13.726989504954028</v>
      </c>
      <c r="AF531" s="26">
        <f>IF(Tabla_Consulta_desde_Reporte_de_Valorización_de_Instrumentos[[#This Row],[PORTAFOLIO]]="IN-FONDO1",Tabla_Consulta_desde_Reporte_de_Valorización_de_Instrumentos[[#This Row],[Inv MM$]],0)</f>
        <v>0</v>
      </c>
      <c r="AG531" s="26">
        <f>IF(Tabla_Consulta_desde_Reporte_de_Valorización_de_Instrumentos[[#This Row],[PORTAFOLIO]]="IN-FONDO2",Tabla_Consulta_desde_Reporte_de_Valorización_de_Instrumentos[[#This Row],[Inv MM$]],0)</f>
        <v>0</v>
      </c>
      <c r="AH531" s="26">
        <f>IF(Tabla_Consulta_desde_Reporte_de_Valorización_de_Instrumentos[[#This Row],[PORTAFOLIO]]="IN-FONDO3",Tabla_Consulta_desde_Reporte_de_Valorización_de_Instrumentos[[#This Row],[Inv MM$]],0)</f>
        <v>0</v>
      </c>
      <c r="AI53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1" s="26">
        <f>IFERROR(IFERROR(INDEX('BD(MSCI)'!$T:$T,MATCH(Tabla_Consulta_desde_Reporte_de_Valorización_de_Instrumentos[[#This Row],[CODIGO_ISIN]],'BD(MSCI)'!$C:$C,0),1),INDEX('BD(MSCI)'!$T:$T,MATCH(Tabla_Consulta_desde_Reporte_de_Valorización_de_Instrumentos[[#This Row],[CODIGO_SBS]],'BD(MSCI)'!$C:$C,0),1)),0)</f>
        <v>0</v>
      </c>
      <c r="AK531" s="26">
        <f>Tabla_Consulta_desde_Reporte_de_Valorización_de_Instrumentos[[#This Row],[C02-H]]*Tabla_Consulta_desde_Reporte_de_Valorización_de_Instrumentos[[#This Row],[Inv MM$]]</f>
        <v>0</v>
      </c>
      <c r="AL531" s="26">
        <f>Tabla_Consulta_desde_Reporte_de_Valorización_de_Instrumentos[[#This Row],[C02-H]]*Tabla_Consulta_desde_Reporte_de_Valorización_de_Instrumentos[[#This Row],[Weight]]</f>
        <v>0</v>
      </c>
      <c r="AM531" s="26" t="e">
        <f>INDEX(Parametria!G:G,MATCH(Tabla_Consulta_desde_Reporte_de_Valorización_de_Instrumentos[[#This Row],[CODIGO_SBS]],Parametria!C:C,0))</f>
        <v>#N/A</v>
      </c>
      <c r="AN531" s="26" t="e">
        <f>INDEX(Parametria!F:F,MATCH(Tabla_Consulta_desde_Reporte_de_Valorización_de_Instrumentos[[#This Row],[CODIGO_SBS]],Parametria!C:C,0))</f>
        <v>#N/A</v>
      </c>
      <c r="AO531" s="26" t="e">
        <f>+INDEX(Parametria!J:J,MATCH(Tabla_Consulta_desde_Reporte_de_Valorización_de_Instrumentos[[#This Row],[CODIGO_SBS]],Parametria!C:C,0))</f>
        <v>#N/A</v>
      </c>
      <c r="AP531" s="26">
        <f>Tabla_Consulta_desde_Reporte_de_Valorización_de_Instrumentos[[#This Row],[Huella]]/$AU$4</f>
        <v>0</v>
      </c>
      <c r="AQ531" s="26" t="e">
        <f>IFERROR(INDEX('BD(MSCI)'!W:W,MATCH(Tabla_Consulta_desde_Reporte_de_Valorización_de_Instrumentos[[#This Row],[CODIGO_ISIN]],'BD(MSCI)'!C:C,0)),IF(Tabla_Consulta_desde_Reporte_de_Valorización_de_Instrumentos[[#This Row],[Rank_rt]]="Cash","Cash","Cuestionario Integra"))</f>
        <v>#N/A</v>
      </c>
      <c r="AR531" s="26" t="str">
        <f>IFERROR(INDEX('BD(MSCI)'!X:X,MATCH(Tabla_Consulta_desde_Reporte_de_Valorización_de_Instrumentos[[#This Row],[CODIGO_ISIN]],'BD(MSCI)'!C:C,0)),"Cuestionario Integra")</f>
        <v>Cuestionario Integra</v>
      </c>
    </row>
    <row r="532" spans="2:44" hidden="1" x14ac:dyDescent="0.25">
      <c r="B532" s="14" t="s">
        <v>6390</v>
      </c>
      <c r="C532" t="s">
        <v>833</v>
      </c>
      <c r="D532" t="s">
        <v>9</v>
      </c>
      <c r="E532" t="s">
        <v>834</v>
      </c>
      <c r="F532" t="s">
        <v>6499</v>
      </c>
      <c r="G532" t="e">
        <f>INDEX(Parametria!H:H,MATCH(Tabla_Consulta_desde_Reporte_de_Valorización_de_Instrumentos[[#This Row],[CODIGO_SBS]],Parametria!C:C,0),1)</f>
        <v>#N/A</v>
      </c>
      <c r="H532" t="s">
        <v>90</v>
      </c>
      <c r="I532" t="s">
        <v>835</v>
      </c>
      <c r="J532" t="s">
        <v>245</v>
      </c>
      <c r="K532" t="s">
        <v>90</v>
      </c>
      <c r="L532">
        <v>1</v>
      </c>
      <c r="M532" s="5">
        <v>31620833</v>
      </c>
      <c r="N532">
        <v>31620833</v>
      </c>
      <c r="O532">
        <v>0</v>
      </c>
      <c r="P532" s="15">
        <v>46245</v>
      </c>
      <c r="Q532">
        <v>223</v>
      </c>
      <c r="R532">
        <v>1</v>
      </c>
      <c r="S532" t="s">
        <v>155</v>
      </c>
      <c r="T532">
        <v>31616970.15625</v>
      </c>
      <c r="U532" s="5">
        <v>31616970.15625</v>
      </c>
      <c r="V532" t="s">
        <v>192</v>
      </c>
      <c r="W532">
        <v>4565854000</v>
      </c>
      <c r="X532">
        <v>3638173000</v>
      </c>
      <c r="Y532">
        <v>927681000</v>
      </c>
      <c r="Z532">
        <v>0</v>
      </c>
      <c r="AA532" t="str">
        <f>+MID(Tabla_Consulta_desde_Reporte_de_Valorización_de_Instrumentos[[#This Row],[CODIGO_SBS]],7,1)</f>
        <v>1</v>
      </c>
      <c r="AB532">
        <f>INDEX('Cálculo Caja'!F:F,MATCH(Tabla_Consulta_desde_Reporte_de_Valorización_de_Instrumentos[[#This Row],[PORTAFOLIO]],'Cálculo Caja'!A:A,0),1)</f>
        <v>2847839359.3764262</v>
      </c>
      <c r="AC532" s="17">
        <f>Tabla_Consulta_desde_Reporte_de_Valorización_de_Instrumentos[[#This Row],[VALOR_VECTOR_LOCAL]]/Tabla_Consulta_desde_Reporte_de_Valorización_de_Instrumentos[[#This Row],[Patrimonio]]</f>
        <v>1.1103446862579995E-2</v>
      </c>
      <c r="AD532" s="4">
        <f>(Tabla_Consulta_desde_Reporte_de_Valorización_de_Instrumentos[[#This Row],[VALOR_VECTOR_LOCAL]]/INDEX('Tipo de Cambio'!$D:$D,MATCH("2",'Tipo de Cambio'!$E:$E,0),1))/1000000</f>
        <v>9.4084420839656051</v>
      </c>
      <c r="AE532">
        <f>IF(Tabla_Consulta_desde_Reporte_de_Valorización_de_Instrumentos[[#This Row],[PORTAFOLIO]]="IN-FONDO0",Tabla_Consulta_desde_Reporte_de_Valorización_de_Instrumentos[[#This Row],[Inv MM$]],0)</f>
        <v>9.4084420839656051</v>
      </c>
      <c r="AF532" s="26">
        <f>IF(Tabla_Consulta_desde_Reporte_de_Valorización_de_Instrumentos[[#This Row],[PORTAFOLIO]]="IN-FONDO1",Tabla_Consulta_desde_Reporte_de_Valorización_de_Instrumentos[[#This Row],[Inv MM$]],0)</f>
        <v>0</v>
      </c>
      <c r="AG532" s="26">
        <f>IF(Tabla_Consulta_desde_Reporte_de_Valorización_de_Instrumentos[[#This Row],[PORTAFOLIO]]="IN-FONDO2",Tabla_Consulta_desde_Reporte_de_Valorización_de_Instrumentos[[#This Row],[Inv MM$]],0)</f>
        <v>0</v>
      </c>
      <c r="AH532" s="26">
        <f>IF(Tabla_Consulta_desde_Reporte_de_Valorización_de_Instrumentos[[#This Row],[PORTAFOLIO]]="IN-FONDO3",Tabla_Consulta_desde_Reporte_de_Valorización_de_Instrumentos[[#This Row],[Inv MM$]],0)</f>
        <v>0</v>
      </c>
      <c r="AI53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2" s="26">
        <f>IFERROR(IFERROR(INDEX('BD(MSCI)'!$T:$T,MATCH(Tabla_Consulta_desde_Reporte_de_Valorización_de_Instrumentos[[#This Row],[CODIGO_ISIN]],'BD(MSCI)'!$C:$C,0),1),INDEX('BD(MSCI)'!$T:$T,MATCH(Tabla_Consulta_desde_Reporte_de_Valorización_de_Instrumentos[[#This Row],[CODIGO_SBS]],'BD(MSCI)'!$C:$C,0),1)),0)</f>
        <v>0</v>
      </c>
      <c r="AK532" s="26">
        <f>Tabla_Consulta_desde_Reporte_de_Valorización_de_Instrumentos[[#This Row],[C02-H]]*Tabla_Consulta_desde_Reporte_de_Valorización_de_Instrumentos[[#This Row],[Inv MM$]]</f>
        <v>0</v>
      </c>
      <c r="AL532" s="26">
        <f>Tabla_Consulta_desde_Reporte_de_Valorización_de_Instrumentos[[#This Row],[C02-H]]*Tabla_Consulta_desde_Reporte_de_Valorización_de_Instrumentos[[#This Row],[Weight]]</f>
        <v>0</v>
      </c>
      <c r="AM532" s="26" t="e">
        <f>INDEX(Parametria!G:G,MATCH(Tabla_Consulta_desde_Reporte_de_Valorización_de_Instrumentos[[#This Row],[CODIGO_SBS]],Parametria!C:C,0))</f>
        <v>#N/A</v>
      </c>
      <c r="AN532" s="26" t="e">
        <f>INDEX(Parametria!F:F,MATCH(Tabla_Consulta_desde_Reporte_de_Valorización_de_Instrumentos[[#This Row],[CODIGO_SBS]],Parametria!C:C,0))</f>
        <v>#N/A</v>
      </c>
      <c r="AO532" s="26" t="e">
        <f>+INDEX(Parametria!J:J,MATCH(Tabla_Consulta_desde_Reporte_de_Valorización_de_Instrumentos[[#This Row],[CODIGO_SBS]],Parametria!C:C,0))</f>
        <v>#N/A</v>
      </c>
      <c r="AP532" s="26">
        <f>Tabla_Consulta_desde_Reporte_de_Valorización_de_Instrumentos[[#This Row],[Huella]]/$AU$4</f>
        <v>0</v>
      </c>
      <c r="AQ532" s="26" t="e">
        <f>IFERROR(INDEX('BD(MSCI)'!W:W,MATCH(Tabla_Consulta_desde_Reporte_de_Valorización_de_Instrumentos[[#This Row],[CODIGO_ISIN]],'BD(MSCI)'!C:C,0)),IF(Tabla_Consulta_desde_Reporte_de_Valorización_de_Instrumentos[[#This Row],[Rank_rt]]="Cash","Cash","Cuestionario Integra"))</f>
        <v>#N/A</v>
      </c>
      <c r="AR532" s="26" t="str">
        <f>IFERROR(INDEX('BD(MSCI)'!X:X,MATCH(Tabla_Consulta_desde_Reporte_de_Valorización_de_Instrumentos[[#This Row],[CODIGO_ISIN]],'BD(MSCI)'!C:C,0)),"Cuestionario Integra")</f>
        <v>Cuestionario Integra</v>
      </c>
    </row>
    <row r="533" spans="2:44" hidden="1" x14ac:dyDescent="0.25">
      <c r="B533" s="14" t="s">
        <v>6390</v>
      </c>
      <c r="C533" t="s">
        <v>833</v>
      </c>
      <c r="D533" t="s">
        <v>9</v>
      </c>
      <c r="E533" t="s">
        <v>834</v>
      </c>
      <c r="F533" t="s">
        <v>6500</v>
      </c>
      <c r="G533" t="e">
        <f>INDEX(Parametria!H:H,MATCH(Tabla_Consulta_desde_Reporte_de_Valorización_de_Instrumentos[[#This Row],[CODIGO_SBS]],Parametria!C:C,0),1)</f>
        <v>#N/A</v>
      </c>
      <c r="H533" t="s">
        <v>90</v>
      </c>
      <c r="I533" t="s">
        <v>835</v>
      </c>
      <c r="J533" t="s">
        <v>245</v>
      </c>
      <c r="K533" t="s">
        <v>90</v>
      </c>
      <c r="L533">
        <v>1</v>
      </c>
      <c r="M533" s="5">
        <v>30344874.690000001</v>
      </c>
      <c r="N533">
        <v>30344874.690000001</v>
      </c>
      <c r="O533">
        <v>0</v>
      </c>
      <c r="P533" s="15">
        <v>46282</v>
      </c>
      <c r="Q533">
        <v>260</v>
      </c>
      <c r="R533">
        <v>1</v>
      </c>
      <c r="S533" t="s">
        <v>155</v>
      </c>
      <c r="T533">
        <v>30341166.359999999</v>
      </c>
      <c r="U533" s="5">
        <v>30341166.359999999</v>
      </c>
      <c r="V533" t="s">
        <v>192</v>
      </c>
      <c r="W533">
        <v>4565854000</v>
      </c>
      <c r="X533">
        <v>3638173000</v>
      </c>
      <c r="Y533">
        <v>927681000</v>
      </c>
      <c r="Z533">
        <v>0</v>
      </c>
      <c r="AA533" t="str">
        <f>+MID(Tabla_Consulta_desde_Reporte_de_Valorización_de_Instrumentos[[#This Row],[CODIGO_SBS]],7,1)</f>
        <v>1</v>
      </c>
      <c r="AB533">
        <f>INDEX('Cálculo Caja'!F:F,MATCH(Tabla_Consulta_desde_Reporte_de_Valorización_de_Instrumentos[[#This Row],[PORTAFOLIO]],'Cálculo Caja'!A:A,0),1)</f>
        <v>2847839359.3764262</v>
      </c>
      <c r="AC533" s="17">
        <f>Tabla_Consulta_desde_Reporte_de_Valorización_de_Instrumentos[[#This Row],[VALOR_VECTOR_LOCAL]]/Tabla_Consulta_desde_Reporte_de_Valorización_de_Instrumentos[[#This Row],[Patrimonio]]</f>
        <v>1.0655402521244889E-2</v>
      </c>
      <c r="AD533" s="4">
        <f>(Tabla_Consulta_desde_Reporte_de_Valorización_de_Instrumentos[[#This Row],[VALOR_VECTOR_LOCAL]]/INDEX('Tipo de Cambio'!$D:$D,MATCH("2",'Tipo de Cambio'!$E:$E,0),1))/1000000</f>
        <v>9.0287942783183084</v>
      </c>
      <c r="AE533">
        <f>IF(Tabla_Consulta_desde_Reporte_de_Valorización_de_Instrumentos[[#This Row],[PORTAFOLIO]]="IN-FONDO0",Tabla_Consulta_desde_Reporte_de_Valorización_de_Instrumentos[[#This Row],[Inv MM$]],0)</f>
        <v>9.0287942783183084</v>
      </c>
      <c r="AF533" s="26">
        <f>IF(Tabla_Consulta_desde_Reporte_de_Valorización_de_Instrumentos[[#This Row],[PORTAFOLIO]]="IN-FONDO1",Tabla_Consulta_desde_Reporte_de_Valorización_de_Instrumentos[[#This Row],[Inv MM$]],0)</f>
        <v>0</v>
      </c>
      <c r="AG533" s="26">
        <f>IF(Tabla_Consulta_desde_Reporte_de_Valorización_de_Instrumentos[[#This Row],[PORTAFOLIO]]="IN-FONDO2",Tabla_Consulta_desde_Reporte_de_Valorización_de_Instrumentos[[#This Row],[Inv MM$]],0)</f>
        <v>0</v>
      </c>
      <c r="AH533" s="26">
        <f>IF(Tabla_Consulta_desde_Reporte_de_Valorización_de_Instrumentos[[#This Row],[PORTAFOLIO]]="IN-FONDO3",Tabla_Consulta_desde_Reporte_de_Valorización_de_Instrumentos[[#This Row],[Inv MM$]],0)</f>
        <v>0</v>
      </c>
      <c r="AI53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3" s="26">
        <f>IFERROR(IFERROR(INDEX('BD(MSCI)'!$T:$T,MATCH(Tabla_Consulta_desde_Reporte_de_Valorización_de_Instrumentos[[#This Row],[CODIGO_ISIN]],'BD(MSCI)'!$C:$C,0),1),INDEX('BD(MSCI)'!$T:$T,MATCH(Tabla_Consulta_desde_Reporte_de_Valorización_de_Instrumentos[[#This Row],[CODIGO_SBS]],'BD(MSCI)'!$C:$C,0),1)),0)</f>
        <v>0</v>
      </c>
      <c r="AK533" s="26">
        <f>Tabla_Consulta_desde_Reporte_de_Valorización_de_Instrumentos[[#This Row],[C02-H]]*Tabla_Consulta_desde_Reporte_de_Valorización_de_Instrumentos[[#This Row],[Inv MM$]]</f>
        <v>0</v>
      </c>
      <c r="AL533" s="26">
        <f>Tabla_Consulta_desde_Reporte_de_Valorización_de_Instrumentos[[#This Row],[C02-H]]*Tabla_Consulta_desde_Reporte_de_Valorización_de_Instrumentos[[#This Row],[Weight]]</f>
        <v>0</v>
      </c>
      <c r="AM533" s="26" t="e">
        <f>INDEX(Parametria!G:G,MATCH(Tabla_Consulta_desde_Reporte_de_Valorización_de_Instrumentos[[#This Row],[CODIGO_SBS]],Parametria!C:C,0))</f>
        <v>#N/A</v>
      </c>
      <c r="AN533" s="26" t="e">
        <f>INDEX(Parametria!F:F,MATCH(Tabla_Consulta_desde_Reporte_de_Valorización_de_Instrumentos[[#This Row],[CODIGO_SBS]],Parametria!C:C,0))</f>
        <v>#N/A</v>
      </c>
      <c r="AO533" s="26" t="e">
        <f>+INDEX(Parametria!J:J,MATCH(Tabla_Consulta_desde_Reporte_de_Valorización_de_Instrumentos[[#This Row],[CODIGO_SBS]],Parametria!C:C,0))</f>
        <v>#N/A</v>
      </c>
      <c r="AP533" s="26">
        <f>Tabla_Consulta_desde_Reporte_de_Valorización_de_Instrumentos[[#This Row],[Huella]]/$AU$4</f>
        <v>0</v>
      </c>
      <c r="AQ533" s="26" t="e">
        <f>IFERROR(INDEX('BD(MSCI)'!W:W,MATCH(Tabla_Consulta_desde_Reporte_de_Valorización_de_Instrumentos[[#This Row],[CODIGO_ISIN]],'BD(MSCI)'!C:C,0)),IF(Tabla_Consulta_desde_Reporte_de_Valorización_de_Instrumentos[[#This Row],[Rank_rt]]="Cash","Cash","Cuestionario Integra"))</f>
        <v>#N/A</v>
      </c>
      <c r="AR533" s="26" t="str">
        <f>IFERROR(INDEX('BD(MSCI)'!X:X,MATCH(Tabla_Consulta_desde_Reporte_de_Valorización_de_Instrumentos[[#This Row],[CODIGO_ISIN]],'BD(MSCI)'!C:C,0)),"Cuestionario Integra")</f>
        <v>Cuestionario Integra</v>
      </c>
    </row>
    <row r="534" spans="2:44" hidden="1" x14ac:dyDescent="0.25">
      <c r="B534" s="14" t="s">
        <v>6390</v>
      </c>
      <c r="C534" t="s">
        <v>833</v>
      </c>
      <c r="D534" t="s">
        <v>9</v>
      </c>
      <c r="E534" t="s">
        <v>834</v>
      </c>
      <c r="F534" t="s">
        <v>6501</v>
      </c>
      <c r="G534" t="e">
        <f>INDEX(Parametria!H:H,MATCH(Tabla_Consulta_desde_Reporte_de_Valorización_de_Instrumentos[[#This Row],[CODIGO_SBS]],Parametria!C:C,0),1)</f>
        <v>#N/A</v>
      </c>
      <c r="H534" t="s">
        <v>90</v>
      </c>
      <c r="I534" t="s">
        <v>835</v>
      </c>
      <c r="J534" t="s">
        <v>246</v>
      </c>
      <c r="K534" t="s">
        <v>90</v>
      </c>
      <c r="L534">
        <v>1</v>
      </c>
      <c r="M534" s="5">
        <v>20228884.16</v>
      </c>
      <c r="N534">
        <v>20228884.16</v>
      </c>
      <c r="O534">
        <v>0</v>
      </c>
      <c r="P534" s="15">
        <v>46268</v>
      </c>
      <c r="Q534">
        <v>246</v>
      </c>
      <c r="R534">
        <v>1</v>
      </c>
      <c r="S534" t="s">
        <v>155</v>
      </c>
      <c r="T534">
        <v>20226423.039999999</v>
      </c>
      <c r="U534" s="5">
        <v>20226423.039999999</v>
      </c>
      <c r="V534" t="s">
        <v>192</v>
      </c>
      <c r="W534">
        <v>4565854000</v>
      </c>
      <c r="X534">
        <v>3638173000</v>
      </c>
      <c r="Y534">
        <v>927681000</v>
      </c>
      <c r="Z534">
        <v>0</v>
      </c>
      <c r="AA534" t="str">
        <f>+MID(Tabla_Consulta_desde_Reporte_de_Valorización_de_Instrumentos[[#This Row],[CODIGO_SBS]],7,1)</f>
        <v>1</v>
      </c>
      <c r="AB534">
        <f>INDEX('Cálculo Caja'!F:F,MATCH(Tabla_Consulta_desde_Reporte_de_Valorización_de_Instrumentos[[#This Row],[PORTAFOLIO]],'Cálculo Caja'!A:A,0),1)</f>
        <v>2847839359.3764262</v>
      </c>
      <c r="AC534" s="17">
        <f>Tabla_Consulta_desde_Reporte_de_Valorización_de_Instrumentos[[#This Row],[VALOR_VECTOR_LOCAL]]/Tabla_Consulta_desde_Reporte_de_Valorización_de_Instrumentos[[#This Row],[Patrimonio]]</f>
        <v>7.1032391954964037E-3</v>
      </c>
      <c r="AD534" s="4">
        <f>(Tabla_Consulta_desde_Reporte_de_Valorización_de_Instrumentos[[#This Row],[VALOR_VECTOR_LOCAL]]/INDEX('Tipo de Cambio'!$D:$D,MATCH("2",'Tipo de Cambio'!$E:$E,0),1))/1000000</f>
        <v>6.0188890356749676</v>
      </c>
      <c r="AE534">
        <f>IF(Tabla_Consulta_desde_Reporte_de_Valorización_de_Instrumentos[[#This Row],[PORTAFOLIO]]="IN-FONDO0",Tabla_Consulta_desde_Reporte_de_Valorización_de_Instrumentos[[#This Row],[Inv MM$]],0)</f>
        <v>6.0188890356749676</v>
      </c>
      <c r="AF534" s="26">
        <f>IF(Tabla_Consulta_desde_Reporte_de_Valorización_de_Instrumentos[[#This Row],[PORTAFOLIO]]="IN-FONDO1",Tabla_Consulta_desde_Reporte_de_Valorización_de_Instrumentos[[#This Row],[Inv MM$]],0)</f>
        <v>0</v>
      </c>
      <c r="AG534" s="26">
        <f>IF(Tabla_Consulta_desde_Reporte_de_Valorización_de_Instrumentos[[#This Row],[PORTAFOLIO]]="IN-FONDO2",Tabla_Consulta_desde_Reporte_de_Valorización_de_Instrumentos[[#This Row],[Inv MM$]],0)</f>
        <v>0</v>
      </c>
      <c r="AH534" s="26">
        <f>IF(Tabla_Consulta_desde_Reporte_de_Valorización_de_Instrumentos[[#This Row],[PORTAFOLIO]]="IN-FONDO3",Tabla_Consulta_desde_Reporte_de_Valorización_de_Instrumentos[[#This Row],[Inv MM$]],0)</f>
        <v>0</v>
      </c>
      <c r="AI53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4" s="26">
        <f>IFERROR(IFERROR(INDEX('BD(MSCI)'!$T:$T,MATCH(Tabla_Consulta_desde_Reporte_de_Valorización_de_Instrumentos[[#This Row],[CODIGO_ISIN]],'BD(MSCI)'!$C:$C,0),1),INDEX('BD(MSCI)'!$T:$T,MATCH(Tabla_Consulta_desde_Reporte_de_Valorización_de_Instrumentos[[#This Row],[CODIGO_SBS]],'BD(MSCI)'!$C:$C,0),1)),0)</f>
        <v>0</v>
      </c>
      <c r="AK534" s="26">
        <f>Tabla_Consulta_desde_Reporte_de_Valorización_de_Instrumentos[[#This Row],[C02-H]]*Tabla_Consulta_desde_Reporte_de_Valorización_de_Instrumentos[[#This Row],[Inv MM$]]</f>
        <v>0</v>
      </c>
      <c r="AL534" s="26">
        <f>Tabla_Consulta_desde_Reporte_de_Valorización_de_Instrumentos[[#This Row],[C02-H]]*Tabla_Consulta_desde_Reporte_de_Valorización_de_Instrumentos[[#This Row],[Weight]]</f>
        <v>0</v>
      </c>
      <c r="AM534" s="26" t="e">
        <f>INDEX(Parametria!G:G,MATCH(Tabla_Consulta_desde_Reporte_de_Valorización_de_Instrumentos[[#This Row],[CODIGO_SBS]],Parametria!C:C,0))</f>
        <v>#N/A</v>
      </c>
      <c r="AN534" s="26" t="e">
        <f>INDEX(Parametria!F:F,MATCH(Tabla_Consulta_desde_Reporte_de_Valorización_de_Instrumentos[[#This Row],[CODIGO_SBS]],Parametria!C:C,0))</f>
        <v>#N/A</v>
      </c>
      <c r="AO534" s="26" t="e">
        <f>+INDEX(Parametria!J:J,MATCH(Tabla_Consulta_desde_Reporte_de_Valorización_de_Instrumentos[[#This Row],[CODIGO_SBS]],Parametria!C:C,0))</f>
        <v>#N/A</v>
      </c>
      <c r="AP534" s="26">
        <f>Tabla_Consulta_desde_Reporte_de_Valorización_de_Instrumentos[[#This Row],[Huella]]/$AU$4</f>
        <v>0</v>
      </c>
      <c r="AQ534" s="26" t="e">
        <f>IFERROR(INDEX('BD(MSCI)'!W:W,MATCH(Tabla_Consulta_desde_Reporte_de_Valorización_de_Instrumentos[[#This Row],[CODIGO_ISIN]],'BD(MSCI)'!C:C,0)),IF(Tabla_Consulta_desde_Reporte_de_Valorización_de_Instrumentos[[#This Row],[Rank_rt]]="Cash","Cash","Cuestionario Integra"))</f>
        <v>#N/A</v>
      </c>
      <c r="AR534" s="26" t="str">
        <f>IFERROR(INDEX('BD(MSCI)'!X:X,MATCH(Tabla_Consulta_desde_Reporte_de_Valorización_de_Instrumentos[[#This Row],[CODIGO_ISIN]],'BD(MSCI)'!C:C,0)),"Cuestionario Integra")</f>
        <v>Cuestionario Integra</v>
      </c>
    </row>
    <row r="535" spans="2:44" hidden="1" x14ac:dyDescent="0.25">
      <c r="B535" s="14" t="s">
        <v>6390</v>
      </c>
      <c r="C535" t="s">
        <v>833</v>
      </c>
      <c r="D535" t="s">
        <v>9</v>
      </c>
      <c r="E535" t="s">
        <v>834</v>
      </c>
      <c r="F535" t="s">
        <v>6502</v>
      </c>
      <c r="G535" t="e">
        <f>INDEX(Parametria!H:H,MATCH(Tabla_Consulta_desde_Reporte_de_Valorización_de_Instrumentos[[#This Row],[CODIGO_SBS]],Parametria!C:C,0),1)</f>
        <v>#N/A</v>
      </c>
      <c r="H535" t="s">
        <v>90</v>
      </c>
      <c r="I535" t="s">
        <v>835</v>
      </c>
      <c r="J535" t="s">
        <v>245</v>
      </c>
      <c r="K535" t="s">
        <v>90</v>
      </c>
      <c r="L535">
        <v>1</v>
      </c>
      <c r="M535" s="5">
        <v>10113925</v>
      </c>
      <c r="N535">
        <v>10113925</v>
      </c>
      <c r="O535">
        <v>0</v>
      </c>
      <c r="P535" s="15">
        <v>46268</v>
      </c>
      <c r="Q535">
        <v>246</v>
      </c>
      <c r="R535">
        <v>1</v>
      </c>
      <c r="S535" t="s">
        <v>155</v>
      </c>
      <c r="T535">
        <v>10112700</v>
      </c>
      <c r="U535" s="5">
        <v>10112700</v>
      </c>
      <c r="V535" t="s">
        <v>192</v>
      </c>
      <c r="W535">
        <v>4565854000</v>
      </c>
      <c r="X535">
        <v>3638173000</v>
      </c>
      <c r="Y535">
        <v>927681000</v>
      </c>
      <c r="Z535">
        <v>0</v>
      </c>
      <c r="AA535" t="str">
        <f>+MID(Tabla_Consulta_desde_Reporte_de_Valorización_de_Instrumentos[[#This Row],[CODIGO_SBS]],7,1)</f>
        <v>1</v>
      </c>
      <c r="AB535">
        <f>INDEX('Cálculo Caja'!F:F,MATCH(Tabla_Consulta_desde_Reporte_de_Valorización_de_Instrumentos[[#This Row],[PORTAFOLIO]],'Cálculo Caja'!A:A,0),1)</f>
        <v>2847839359.3764262</v>
      </c>
      <c r="AC535" s="17">
        <f>Tabla_Consulta_desde_Reporte_de_Valorización_de_Instrumentos[[#This Row],[VALOR_VECTOR_LOCAL]]/Tabla_Consulta_desde_Reporte_de_Valorización_de_Instrumentos[[#This Row],[Patrimonio]]</f>
        <v>3.5514380285180777E-3</v>
      </c>
      <c r="AD535" s="4">
        <f>(Tabla_Consulta_desde_Reporte_de_Valorización_de_Instrumentos[[#This Row],[VALOR_VECTOR_LOCAL]]/INDEX('Tipo de Cambio'!$D:$D,MATCH("2",'Tipo de Cambio'!$E:$E,0),1))/1000000</f>
        <v>3.0092906661906036</v>
      </c>
      <c r="AE535">
        <f>IF(Tabla_Consulta_desde_Reporte_de_Valorización_de_Instrumentos[[#This Row],[PORTAFOLIO]]="IN-FONDO0",Tabla_Consulta_desde_Reporte_de_Valorización_de_Instrumentos[[#This Row],[Inv MM$]],0)</f>
        <v>3.0092906661906036</v>
      </c>
      <c r="AF535" s="26">
        <f>IF(Tabla_Consulta_desde_Reporte_de_Valorización_de_Instrumentos[[#This Row],[PORTAFOLIO]]="IN-FONDO1",Tabla_Consulta_desde_Reporte_de_Valorización_de_Instrumentos[[#This Row],[Inv MM$]],0)</f>
        <v>0</v>
      </c>
      <c r="AG535" s="26">
        <f>IF(Tabla_Consulta_desde_Reporte_de_Valorización_de_Instrumentos[[#This Row],[PORTAFOLIO]]="IN-FONDO2",Tabla_Consulta_desde_Reporte_de_Valorización_de_Instrumentos[[#This Row],[Inv MM$]],0)</f>
        <v>0</v>
      </c>
      <c r="AH535" s="26">
        <f>IF(Tabla_Consulta_desde_Reporte_de_Valorización_de_Instrumentos[[#This Row],[PORTAFOLIO]]="IN-FONDO3",Tabla_Consulta_desde_Reporte_de_Valorización_de_Instrumentos[[#This Row],[Inv MM$]],0)</f>
        <v>0</v>
      </c>
      <c r="AI53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5" s="26">
        <f>IFERROR(IFERROR(INDEX('BD(MSCI)'!$T:$T,MATCH(Tabla_Consulta_desde_Reporte_de_Valorización_de_Instrumentos[[#This Row],[CODIGO_ISIN]],'BD(MSCI)'!$C:$C,0),1),INDEX('BD(MSCI)'!$T:$T,MATCH(Tabla_Consulta_desde_Reporte_de_Valorización_de_Instrumentos[[#This Row],[CODIGO_SBS]],'BD(MSCI)'!$C:$C,0),1)),0)</f>
        <v>0</v>
      </c>
      <c r="AK535" s="26">
        <f>Tabla_Consulta_desde_Reporte_de_Valorización_de_Instrumentos[[#This Row],[C02-H]]*Tabla_Consulta_desde_Reporte_de_Valorización_de_Instrumentos[[#This Row],[Inv MM$]]</f>
        <v>0</v>
      </c>
      <c r="AL535" s="26">
        <f>Tabla_Consulta_desde_Reporte_de_Valorización_de_Instrumentos[[#This Row],[C02-H]]*Tabla_Consulta_desde_Reporte_de_Valorización_de_Instrumentos[[#This Row],[Weight]]</f>
        <v>0</v>
      </c>
      <c r="AM535" s="26" t="e">
        <f>INDEX(Parametria!G:G,MATCH(Tabla_Consulta_desde_Reporte_de_Valorización_de_Instrumentos[[#This Row],[CODIGO_SBS]],Parametria!C:C,0))</f>
        <v>#N/A</v>
      </c>
      <c r="AN535" s="26" t="e">
        <f>INDEX(Parametria!F:F,MATCH(Tabla_Consulta_desde_Reporte_de_Valorización_de_Instrumentos[[#This Row],[CODIGO_SBS]],Parametria!C:C,0))</f>
        <v>#N/A</v>
      </c>
      <c r="AO535" s="26" t="e">
        <f>+INDEX(Parametria!J:J,MATCH(Tabla_Consulta_desde_Reporte_de_Valorización_de_Instrumentos[[#This Row],[CODIGO_SBS]],Parametria!C:C,0))</f>
        <v>#N/A</v>
      </c>
      <c r="AP535" s="26">
        <f>Tabla_Consulta_desde_Reporte_de_Valorización_de_Instrumentos[[#This Row],[Huella]]/$AU$4</f>
        <v>0</v>
      </c>
      <c r="AQ535" s="26" t="e">
        <f>IFERROR(INDEX('BD(MSCI)'!W:W,MATCH(Tabla_Consulta_desde_Reporte_de_Valorización_de_Instrumentos[[#This Row],[CODIGO_ISIN]],'BD(MSCI)'!C:C,0)),IF(Tabla_Consulta_desde_Reporte_de_Valorización_de_Instrumentos[[#This Row],[Rank_rt]]="Cash","Cash","Cuestionario Integra"))</f>
        <v>#N/A</v>
      </c>
      <c r="AR535" s="26" t="str">
        <f>IFERROR(INDEX('BD(MSCI)'!X:X,MATCH(Tabla_Consulta_desde_Reporte_de_Valorización_de_Instrumentos[[#This Row],[CODIGO_ISIN]],'BD(MSCI)'!C:C,0)),"Cuestionario Integra")</f>
        <v>Cuestionario Integra</v>
      </c>
    </row>
    <row r="536" spans="2:44" hidden="1" x14ac:dyDescent="0.25">
      <c r="B536" s="14" t="s">
        <v>6390</v>
      </c>
      <c r="C536" t="s">
        <v>833</v>
      </c>
      <c r="D536" t="s">
        <v>9</v>
      </c>
      <c r="E536" t="s">
        <v>834</v>
      </c>
      <c r="F536" t="s">
        <v>6503</v>
      </c>
      <c r="G536" t="e">
        <f>INDEX(Parametria!H:H,MATCH(Tabla_Consulta_desde_Reporte_de_Valorización_de_Instrumentos[[#This Row],[CODIGO_SBS]],Parametria!C:C,0),1)</f>
        <v>#N/A</v>
      </c>
      <c r="H536" t="s">
        <v>90</v>
      </c>
      <c r="I536" t="s">
        <v>835</v>
      </c>
      <c r="J536" t="s">
        <v>243</v>
      </c>
      <c r="K536" t="s">
        <v>90</v>
      </c>
      <c r="L536">
        <v>1</v>
      </c>
      <c r="M536" s="5">
        <v>25864649.337000001</v>
      </c>
      <c r="N536">
        <v>25864649.337000001</v>
      </c>
      <c r="O536">
        <v>0</v>
      </c>
      <c r="P536" s="15">
        <v>46155</v>
      </c>
      <c r="Q536">
        <v>133</v>
      </c>
      <c r="R536">
        <v>1</v>
      </c>
      <c r="S536" t="s">
        <v>155</v>
      </c>
      <c r="T536">
        <v>25861532.675999999</v>
      </c>
      <c r="U536" s="5">
        <v>25861532.675999999</v>
      </c>
      <c r="V536" t="s">
        <v>192</v>
      </c>
      <c r="W536">
        <v>4565854000</v>
      </c>
      <c r="X536">
        <v>3638173000</v>
      </c>
      <c r="Y536">
        <v>927681000</v>
      </c>
      <c r="Z536">
        <v>0</v>
      </c>
      <c r="AA536" t="str">
        <f>+MID(Tabla_Consulta_desde_Reporte_de_Valorización_de_Instrumentos[[#This Row],[CODIGO_SBS]],7,1)</f>
        <v>1</v>
      </c>
      <c r="AB536">
        <f>INDEX('Cálculo Caja'!F:F,MATCH(Tabla_Consulta_desde_Reporte_de_Valorización_de_Instrumentos[[#This Row],[PORTAFOLIO]],'Cálculo Caja'!A:A,0),1)</f>
        <v>2847839359.3764262</v>
      </c>
      <c r="AC536" s="17">
        <f>Tabla_Consulta_desde_Reporte_de_Valorización_de_Instrumentos[[#This Row],[VALOR_VECTOR_LOCAL]]/Tabla_Consulta_desde_Reporte_de_Valorización_de_Instrumentos[[#This Row],[Patrimonio]]</f>
        <v>9.0822009506404972E-3</v>
      </c>
      <c r="AD536" s="4">
        <f>(Tabla_Consulta_desde_Reporte_de_Valorización_de_Instrumentos[[#This Row],[VALOR_VECTOR_LOCAL]]/INDEX('Tipo de Cambio'!$D:$D,MATCH("2",'Tipo de Cambio'!$E:$E,0),1))/1000000</f>
        <v>7.6957509408194236</v>
      </c>
      <c r="AE536">
        <f>IF(Tabla_Consulta_desde_Reporte_de_Valorización_de_Instrumentos[[#This Row],[PORTAFOLIO]]="IN-FONDO0",Tabla_Consulta_desde_Reporte_de_Valorización_de_Instrumentos[[#This Row],[Inv MM$]],0)</f>
        <v>7.6957509408194236</v>
      </c>
      <c r="AF536" s="26">
        <f>IF(Tabla_Consulta_desde_Reporte_de_Valorización_de_Instrumentos[[#This Row],[PORTAFOLIO]]="IN-FONDO1",Tabla_Consulta_desde_Reporte_de_Valorización_de_Instrumentos[[#This Row],[Inv MM$]],0)</f>
        <v>0</v>
      </c>
      <c r="AG536" s="26">
        <f>IF(Tabla_Consulta_desde_Reporte_de_Valorización_de_Instrumentos[[#This Row],[PORTAFOLIO]]="IN-FONDO2",Tabla_Consulta_desde_Reporte_de_Valorización_de_Instrumentos[[#This Row],[Inv MM$]],0)</f>
        <v>0</v>
      </c>
      <c r="AH536" s="26">
        <f>IF(Tabla_Consulta_desde_Reporte_de_Valorización_de_Instrumentos[[#This Row],[PORTAFOLIO]]="IN-FONDO3",Tabla_Consulta_desde_Reporte_de_Valorización_de_Instrumentos[[#This Row],[Inv MM$]],0)</f>
        <v>0</v>
      </c>
      <c r="AI53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6" s="26">
        <f>IFERROR(IFERROR(INDEX('BD(MSCI)'!$T:$T,MATCH(Tabla_Consulta_desde_Reporte_de_Valorización_de_Instrumentos[[#This Row],[CODIGO_ISIN]],'BD(MSCI)'!$C:$C,0),1),INDEX('BD(MSCI)'!$T:$T,MATCH(Tabla_Consulta_desde_Reporte_de_Valorización_de_Instrumentos[[#This Row],[CODIGO_SBS]],'BD(MSCI)'!$C:$C,0),1)),0)</f>
        <v>0</v>
      </c>
      <c r="AK536" s="26">
        <f>Tabla_Consulta_desde_Reporte_de_Valorización_de_Instrumentos[[#This Row],[C02-H]]*Tabla_Consulta_desde_Reporte_de_Valorización_de_Instrumentos[[#This Row],[Inv MM$]]</f>
        <v>0</v>
      </c>
      <c r="AL536" s="26">
        <f>Tabla_Consulta_desde_Reporte_de_Valorización_de_Instrumentos[[#This Row],[C02-H]]*Tabla_Consulta_desde_Reporte_de_Valorización_de_Instrumentos[[#This Row],[Weight]]</f>
        <v>0</v>
      </c>
      <c r="AM536" s="26" t="e">
        <f>INDEX(Parametria!G:G,MATCH(Tabla_Consulta_desde_Reporte_de_Valorización_de_Instrumentos[[#This Row],[CODIGO_SBS]],Parametria!C:C,0))</f>
        <v>#N/A</v>
      </c>
      <c r="AN536" s="26" t="e">
        <f>INDEX(Parametria!F:F,MATCH(Tabla_Consulta_desde_Reporte_de_Valorización_de_Instrumentos[[#This Row],[CODIGO_SBS]],Parametria!C:C,0))</f>
        <v>#N/A</v>
      </c>
      <c r="AO536" s="26" t="e">
        <f>+INDEX(Parametria!J:J,MATCH(Tabla_Consulta_desde_Reporte_de_Valorización_de_Instrumentos[[#This Row],[CODIGO_SBS]],Parametria!C:C,0))</f>
        <v>#N/A</v>
      </c>
      <c r="AP536" s="26">
        <f>Tabla_Consulta_desde_Reporte_de_Valorización_de_Instrumentos[[#This Row],[Huella]]/$AU$4</f>
        <v>0</v>
      </c>
      <c r="AQ536" s="26" t="e">
        <f>IFERROR(INDEX('BD(MSCI)'!W:W,MATCH(Tabla_Consulta_desde_Reporte_de_Valorización_de_Instrumentos[[#This Row],[CODIGO_ISIN]],'BD(MSCI)'!C:C,0)),IF(Tabla_Consulta_desde_Reporte_de_Valorización_de_Instrumentos[[#This Row],[Rank_rt]]="Cash","Cash","Cuestionario Integra"))</f>
        <v>#N/A</v>
      </c>
      <c r="AR536" s="26" t="str">
        <f>IFERROR(INDEX('BD(MSCI)'!X:X,MATCH(Tabla_Consulta_desde_Reporte_de_Valorización_de_Instrumentos[[#This Row],[CODIGO_ISIN]],'BD(MSCI)'!C:C,0)),"Cuestionario Integra")</f>
        <v>Cuestionario Integra</v>
      </c>
    </row>
    <row r="537" spans="2:44" hidden="1" x14ac:dyDescent="0.25">
      <c r="B537" s="14" t="s">
        <v>6390</v>
      </c>
      <c r="C537" t="s">
        <v>833</v>
      </c>
      <c r="D537" t="s">
        <v>9</v>
      </c>
      <c r="E537" t="s">
        <v>834</v>
      </c>
      <c r="F537" t="s">
        <v>6504</v>
      </c>
      <c r="G537" t="e">
        <f>INDEX(Parametria!H:H,MATCH(Tabla_Consulta_desde_Reporte_de_Valorización_de_Instrumentos[[#This Row],[CODIGO_SBS]],Parametria!C:C,0),1)</f>
        <v>#N/A</v>
      </c>
      <c r="H537" t="s">
        <v>90</v>
      </c>
      <c r="I537" t="s">
        <v>835</v>
      </c>
      <c r="J537" t="s">
        <v>248</v>
      </c>
      <c r="K537" t="s">
        <v>90</v>
      </c>
      <c r="L537">
        <v>1</v>
      </c>
      <c r="M537" s="5">
        <v>20281199.239999998</v>
      </c>
      <c r="N537">
        <v>20281199.239999998</v>
      </c>
      <c r="O537">
        <v>0</v>
      </c>
      <c r="P537" s="15">
        <v>46099</v>
      </c>
      <c r="Q537">
        <v>77</v>
      </c>
      <c r="R537">
        <v>1</v>
      </c>
      <c r="S537" t="s">
        <v>155</v>
      </c>
      <c r="T537">
        <v>20278732.579999998</v>
      </c>
      <c r="U537" s="5">
        <v>20278732.579999998</v>
      </c>
      <c r="V537" t="s">
        <v>192</v>
      </c>
      <c r="W537">
        <v>4565854000</v>
      </c>
      <c r="X537">
        <v>3638173000</v>
      </c>
      <c r="Y537">
        <v>927681000</v>
      </c>
      <c r="Z537">
        <v>0</v>
      </c>
      <c r="AA537" t="str">
        <f>+MID(Tabla_Consulta_desde_Reporte_de_Valorización_de_Instrumentos[[#This Row],[CODIGO_SBS]],7,1)</f>
        <v>1</v>
      </c>
      <c r="AB537">
        <f>INDEX('Cálculo Caja'!F:F,MATCH(Tabla_Consulta_desde_Reporte_de_Valorización_de_Instrumentos[[#This Row],[PORTAFOLIO]],'Cálculo Caja'!A:A,0),1)</f>
        <v>2847839359.3764262</v>
      </c>
      <c r="AC537" s="17">
        <f>Tabla_Consulta_desde_Reporte_de_Valorización_de_Instrumentos[[#This Row],[VALOR_VECTOR_LOCAL]]/Tabla_Consulta_desde_Reporte_de_Valorización_de_Instrumentos[[#This Row],[Patrimonio]]</f>
        <v>7.1216092906451183E-3</v>
      </c>
      <c r="AD537" s="4">
        <f>(Tabla_Consulta_desde_Reporte_de_Valorización_de_Instrumentos[[#This Row],[VALOR_VECTOR_LOCAL]]/INDEX('Tipo de Cambio'!$D:$D,MATCH("2",'Tipo de Cambio'!$E:$E,0),1))/1000000</f>
        <v>6.0344548305513399</v>
      </c>
      <c r="AE537">
        <f>IF(Tabla_Consulta_desde_Reporte_de_Valorización_de_Instrumentos[[#This Row],[PORTAFOLIO]]="IN-FONDO0",Tabla_Consulta_desde_Reporte_de_Valorización_de_Instrumentos[[#This Row],[Inv MM$]],0)</f>
        <v>6.0344548305513399</v>
      </c>
      <c r="AF537" s="26">
        <f>IF(Tabla_Consulta_desde_Reporte_de_Valorización_de_Instrumentos[[#This Row],[PORTAFOLIO]]="IN-FONDO1",Tabla_Consulta_desde_Reporte_de_Valorización_de_Instrumentos[[#This Row],[Inv MM$]],0)</f>
        <v>0</v>
      </c>
      <c r="AG537" s="26">
        <f>IF(Tabla_Consulta_desde_Reporte_de_Valorización_de_Instrumentos[[#This Row],[PORTAFOLIO]]="IN-FONDO2",Tabla_Consulta_desde_Reporte_de_Valorización_de_Instrumentos[[#This Row],[Inv MM$]],0)</f>
        <v>0</v>
      </c>
      <c r="AH537" s="26">
        <f>IF(Tabla_Consulta_desde_Reporte_de_Valorización_de_Instrumentos[[#This Row],[PORTAFOLIO]]="IN-FONDO3",Tabla_Consulta_desde_Reporte_de_Valorización_de_Instrumentos[[#This Row],[Inv MM$]],0)</f>
        <v>0</v>
      </c>
      <c r="AI53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7" s="26">
        <f>IFERROR(IFERROR(INDEX('BD(MSCI)'!$T:$T,MATCH(Tabla_Consulta_desde_Reporte_de_Valorización_de_Instrumentos[[#This Row],[CODIGO_ISIN]],'BD(MSCI)'!$C:$C,0),1),INDEX('BD(MSCI)'!$T:$T,MATCH(Tabla_Consulta_desde_Reporte_de_Valorización_de_Instrumentos[[#This Row],[CODIGO_SBS]],'BD(MSCI)'!$C:$C,0),1)),0)</f>
        <v>0</v>
      </c>
      <c r="AK537" s="26">
        <f>Tabla_Consulta_desde_Reporte_de_Valorización_de_Instrumentos[[#This Row],[C02-H]]*Tabla_Consulta_desde_Reporte_de_Valorización_de_Instrumentos[[#This Row],[Inv MM$]]</f>
        <v>0</v>
      </c>
      <c r="AL537" s="26">
        <f>Tabla_Consulta_desde_Reporte_de_Valorización_de_Instrumentos[[#This Row],[C02-H]]*Tabla_Consulta_desde_Reporte_de_Valorización_de_Instrumentos[[#This Row],[Weight]]</f>
        <v>0</v>
      </c>
      <c r="AM537" s="26" t="e">
        <f>INDEX(Parametria!G:G,MATCH(Tabla_Consulta_desde_Reporte_de_Valorización_de_Instrumentos[[#This Row],[CODIGO_SBS]],Parametria!C:C,0))</f>
        <v>#N/A</v>
      </c>
      <c r="AN537" s="26" t="e">
        <f>INDEX(Parametria!F:F,MATCH(Tabla_Consulta_desde_Reporte_de_Valorización_de_Instrumentos[[#This Row],[CODIGO_SBS]],Parametria!C:C,0))</f>
        <v>#N/A</v>
      </c>
      <c r="AO537" s="26" t="e">
        <f>+INDEX(Parametria!J:J,MATCH(Tabla_Consulta_desde_Reporte_de_Valorización_de_Instrumentos[[#This Row],[CODIGO_SBS]],Parametria!C:C,0))</f>
        <v>#N/A</v>
      </c>
      <c r="AP537" s="26">
        <f>Tabla_Consulta_desde_Reporte_de_Valorización_de_Instrumentos[[#This Row],[Huella]]/$AU$4</f>
        <v>0</v>
      </c>
      <c r="AQ537" s="26" t="e">
        <f>IFERROR(INDEX('BD(MSCI)'!W:W,MATCH(Tabla_Consulta_desde_Reporte_de_Valorización_de_Instrumentos[[#This Row],[CODIGO_ISIN]],'BD(MSCI)'!C:C,0)),IF(Tabla_Consulta_desde_Reporte_de_Valorización_de_Instrumentos[[#This Row],[Rank_rt]]="Cash","Cash","Cuestionario Integra"))</f>
        <v>#N/A</v>
      </c>
      <c r="AR537" s="26" t="str">
        <f>IFERROR(INDEX('BD(MSCI)'!X:X,MATCH(Tabla_Consulta_desde_Reporte_de_Valorización_de_Instrumentos[[#This Row],[CODIGO_ISIN]],'BD(MSCI)'!C:C,0)),"Cuestionario Integra")</f>
        <v>Cuestionario Integra</v>
      </c>
    </row>
    <row r="538" spans="2:44" hidden="1" x14ac:dyDescent="0.25">
      <c r="B538" s="14" t="s">
        <v>6390</v>
      </c>
      <c r="C538" t="s">
        <v>833</v>
      </c>
      <c r="D538" t="s">
        <v>9</v>
      </c>
      <c r="E538" t="s">
        <v>834</v>
      </c>
      <c r="F538" t="s">
        <v>6505</v>
      </c>
      <c r="G538" t="e">
        <f>INDEX(Parametria!H:H,MATCH(Tabla_Consulta_desde_Reporte_de_Valorización_de_Instrumentos[[#This Row],[CODIGO_SBS]],Parametria!C:C,0),1)</f>
        <v>#N/A</v>
      </c>
      <c r="H538" t="s">
        <v>90</v>
      </c>
      <c r="I538" t="s">
        <v>835</v>
      </c>
      <c r="J538" t="s">
        <v>248</v>
      </c>
      <c r="K538" t="s">
        <v>90</v>
      </c>
      <c r="L538">
        <v>1</v>
      </c>
      <c r="M538" s="5">
        <v>20281199.239999998</v>
      </c>
      <c r="N538">
        <v>20281199.239999998</v>
      </c>
      <c r="O538">
        <v>0</v>
      </c>
      <c r="P538" s="15">
        <v>46141</v>
      </c>
      <c r="Q538">
        <v>119</v>
      </c>
      <c r="R538">
        <v>1</v>
      </c>
      <c r="S538" t="s">
        <v>155</v>
      </c>
      <c r="T538">
        <v>20278732.579999998</v>
      </c>
      <c r="U538" s="5">
        <v>20278732.579999998</v>
      </c>
      <c r="V538" t="s">
        <v>192</v>
      </c>
      <c r="W538">
        <v>4565854000</v>
      </c>
      <c r="X538">
        <v>3638173000</v>
      </c>
      <c r="Y538">
        <v>927681000</v>
      </c>
      <c r="Z538">
        <v>0</v>
      </c>
      <c r="AA538" t="str">
        <f>+MID(Tabla_Consulta_desde_Reporte_de_Valorización_de_Instrumentos[[#This Row],[CODIGO_SBS]],7,1)</f>
        <v>1</v>
      </c>
      <c r="AB538">
        <f>INDEX('Cálculo Caja'!F:F,MATCH(Tabla_Consulta_desde_Reporte_de_Valorización_de_Instrumentos[[#This Row],[PORTAFOLIO]],'Cálculo Caja'!A:A,0),1)</f>
        <v>2847839359.3764262</v>
      </c>
      <c r="AC538" s="17">
        <f>Tabla_Consulta_desde_Reporte_de_Valorización_de_Instrumentos[[#This Row],[VALOR_VECTOR_LOCAL]]/Tabla_Consulta_desde_Reporte_de_Valorización_de_Instrumentos[[#This Row],[Patrimonio]]</f>
        <v>7.1216092906451183E-3</v>
      </c>
      <c r="AD538" s="4">
        <f>(Tabla_Consulta_desde_Reporte_de_Valorización_de_Instrumentos[[#This Row],[VALOR_VECTOR_LOCAL]]/INDEX('Tipo de Cambio'!$D:$D,MATCH("2",'Tipo de Cambio'!$E:$E,0),1))/1000000</f>
        <v>6.0344548305513399</v>
      </c>
      <c r="AE538">
        <f>IF(Tabla_Consulta_desde_Reporte_de_Valorización_de_Instrumentos[[#This Row],[PORTAFOLIO]]="IN-FONDO0",Tabla_Consulta_desde_Reporte_de_Valorización_de_Instrumentos[[#This Row],[Inv MM$]],0)</f>
        <v>6.0344548305513399</v>
      </c>
      <c r="AF538" s="26">
        <f>IF(Tabla_Consulta_desde_Reporte_de_Valorización_de_Instrumentos[[#This Row],[PORTAFOLIO]]="IN-FONDO1",Tabla_Consulta_desde_Reporte_de_Valorización_de_Instrumentos[[#This Row],[Inv MM$]],0)</f>
        <v>0</v>
      </c>
      <c r="AG538" s="26">
        <f>IF(Tabla_Consulta_desde_Reporte_de_Valorización_de_Instrumentos[[#This Row],[PORTAFOLIO]]="IN-FONDO2",Tabla_Consulta_desde_Reporte_de_Valorización_de_Instrumentos[[#This Row],[Inv MM$]],0)</f>
        <v>0</v>
      </c>
      <c r="AH538" s="26">
        <f>IF(Tabla_Consulta_desde_Reporte_de_Valorización_de_Instrumentos[[#This Row],[PORTAFOLIO]]="IN-FONDO3",Tabla_Consulta_desde_Reporte_de_Valorización_de_Instrumentos[[#This Row],[Inv MM$]],0)</f>
        <v>0</v>
      </c>
      <c r="AI53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8" s="26">
        <f>IFERROR(IFERROR(INDEX('BD(MSCI)'!$T:$T,MATCH(Tabla_Consulta_desde_Reporte_de_Valorización_de_Instrumentos[[#This Row],[CODIGO_ISIN]],'BD(MSCI)'!$C:$C,0),1),INDEX('BD(MSCI)'!$T:$T,MATCH(Tabla_Consulta_desde_Reporte_de_Valorización_de_Instrumentos[[#This Row],[CODIGO_SBS]],'BD(MSCI)'!$C:$C,0),1)),0)</f>
        <v>0</v>
      </c>
      <c r="AK538" s="26">
        <f>Tabla_Consulta_desde_Reporte_de_Valorización_de_Instrumentos[[#This Row],[C02-H]]*Tabla_Consulta_desde_Reporte_de_Valorización_de_Instrumentos[[#This Row],[Inv MM$]]</f>
        <v>0</v>
      </c>
      <c r="AL538" s="26">
        <f>Tabla_Consulta_desde_Reporte_de_Valorización_de_Instrumentos[[#This Row],[C02-H]]*Tabla_Consulta_desde_Reporte_de_Valorización_de_Instrumentos[[#This Row],[Weight]]</f>
        <v>0</v>
      </c>
      <c r="AM538" s="26" t="e">
        <f>INDEX(Parametria!G:G,MATCH(Tabla_Consulta_desde_Reporte_de_Valorización_de_Instrumentos[[#This Row],[CODIGO_SBS]],Parametria!C:C,0))</f>
        <v>#N/A</v>
      </c>
      <c r="AN538" s="26" t="e">
        <f>INDEX(Parametria!F:F,MATCH(Tabla_Consulta_desde_Reporte_de_Valorización_de_Instrumentos[[#This Row],[CODIGO_SBS]],Parametria!C:C,0))</f>
        <v>#N/A</v>
      </c>
      <c r="AO538" s="26" t="e">
        <f>+INDEX(Parametria!J:J,MATCH(Tabla_Consulta_desde_Reporte_de_Valorización_de_Instrumentos[[#This Row],[CODIGO_SBS]],Parametria!C:C,0))</f>
        <v>#N/A</v>
      </c>
      <c r="AP538" s="26">
        <f>Tabla_Consulta_desde_Reporte_de_Valorización_de_Instrumentos[[#This Row],[Huella]]/$AU$4</f>
        <v>0</v>
      </c>
      <c r="AQ538" s="26" t="e">
        <f>IFERROR(INDEX('BD(MSCI)'!W:W,MATCH(Tabla_Consulta_desde_Reporte_de_Valorización_de_Instrumentos[[#This Row],[CODIGO_ISIN]],'BD(MSCI)'!C:C,0)),IF(Tabla_Consulta_desde_Reporte_de_Valorización_de_Instrumentos[[#This Row],[Rank_rt]]="Cash","Cash","Cuestionario Integra"))</f>
        <v>#N/A</v>
      </c>
      <c r="AR538" s="26" t="str">
        <f>IFERROR(INDEX('BD(MSCI)'!X:X,MATCH(Tabla_Consulta_desde_Reporte_de_Valorización_de_Instrumentos[[#This Row],[CODIGO_ISIN]],'BD(MSCI)'!C:C,0)),"Cuestionario Integra")</f>
        <v>Cuestionario Integra</v>
      </c>
    </row>
    <row r="539" spans="2:44" hidden="1" x14ac:dyDescent="0.25">
      <c r="B539" s="14" t="s">
        <v>6390</v>
      </c>
      <c r="C539" t="s">
        <v>833</v>
      </c>
      <c r="D539" t="s">
        <v>9</v>
      </c>
      <c r="E539" t="s">
        <v>834</v>
      </c>
      <c r="F539" t="s">
        <v>6506</v>
      </c>
      <c r="G539" t="e">
        <f>INDEX(Parametria!H:H,MATCH(Tabla_Consulta_desde_Reporte_de_Valorización_de_Instrumentos[[#This Row],[CODIGO_SBS]],Parametria!C:C,0),1)</f>
        <v>#N/A</v>
      </c>
      <c r="H539" t="s">
        <v>90</v>
      </c>
      <c r="I539" t="s">
        <v>835</v>
      </c>
      <c r="J539" t="s">
        <v>248</v>
      </c>
      <c r="K539" t="s">
        <v>90</v>
      </c>
      <c r="L539">
        <v>1</v>
      </c>
      <c r="M539" s="5">
        <v>20281199.239999998</v>
      </c>
      <c r="N539">
        <v>20281199.239999998</v>
      </c>
      <c r="O539">
        <v>0</v>
      </c>
      <c r="P539" s="15">
        <v>46169</v>
      </c>
      <c r="Q539">
        <v>147</v>
      </c>
      <c r="R539">
        <v>1</v>
      </c>
      <c r="S539" t="s">
        <v>155</v>
      </c>
      <c r="T539">
        <v>20278732.579999998</v>
      </c>
      <c r="U539" s="5">
        <v>20278732.579999998</v>
      </c>
      <c r="V539" t="s">
        <v>192</v>
      </c>
      <c r="W539">
        <v>4565854000</v>
      </c>
      <c r="X539">
        <v>3638173000</v>
      </c>
      <c r="Y539">
        <v>927681000</v>
      </c>
      <c r="Z539">
        <v>0</v>
      </c>
      <c r="AA539" t="str">
        <f>+MID(Tabla_Consulta_desde_Reporte_de_Valorización_de_Instrumentos[[#This Row],[CODIGO_SBS]],7,1)</f>
        <v>1</v>
      </c>
      <c r="AB539">
        <f>INDEX('Cálculo Caja'!F:F,MATCH(Tabla_Consulta_desde_Reporte_de_Valorización_de_Instrumentos[[#This Row],[PORTAFOLIO]],'Cálculo Caja'!A:A,0),1)</f>
        <v>2847839359.3764262</v>
      </c>
      <c r="AC539" s="17">
        <f>Tabla_Consulta_desde_Reporte_de_Valorización_de_Instrumentos[[#This Row],[VALOR_VECTOR_LOCAL]]/Tabla_Consulta_desde_Reporte_de_Valorización_de_Instrumentos[[#This Row],[Patrimonio]]</f>
        <v>7.1216092906451183E-3</v>
      </c>
      <c r="AD539" s="4">
        <f>(Tabla_Consulta_desde_Reporte_de_Valorización_de_Instrumentos[[#This Row],[VALOR_VECTOR_LOCAL]]/INDEX('Tipo de Cambio'!$D:$D,MATCH("2",'Tipo de Cambio'!$E:$E,0),1))/1000000</f>
        <v>6.0344548305513399</v>
      </c>
      <c r="AE539">
        <f>IF(Tabla_Consulta_desde_Reporte_de_Valorización_de_Instrumentos[[#This Row],[PORTAFOLIO]]="IN-FONDO0",Tabla_Consulta_desde_Reporte_de_Valorización_de_Instrumentos[[#This Row],[Inv MM$]],0)</f>
        <v>6.0344548305513399</v>
      </c>
      <c r="AF539" s="26">
        <f>IF(Tabla_Consulta_desde_Reporte_de_Valorización_de_Instrumentos[[#This Row],[PORTAFOLIO]]="IN-FONDO1",Tabla_Consulta_desde_Reporte_de_Valorización_de_Instrumentos[[#This Row],[Inv MM$]],0)</f>
        <v>0</v>
      </c>
      <c r="AG539" s="26">
        <f>IF(Tabla_Consulta_desde_Reporte_de_Valorización_de_Instrumentos[[#This Row],[PORTAFOLIO]]="IN-FONDO2",Tabla_Consulta_desde_Reporte_de_Valorización_de_Instrumentos[[#This Row],[Inv MM$]],0)</f>
        <v>0</v>
      </c>
      <c r="AH539" s="26">
        <f>IF(Tabla_Consulta_desde_Reporte_de_Valorización_de_Instrumentos[[#This Row],[PORTAFOLIO]]="IN-FONDO3",Tabla_Consulta_desde_Reporte_de_Valorización_de_Instrumentos[[#This Row],[Inv MM$]],0)</f>
        <v>0</v>
      </c>
      <c r="AI53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9" s="26">
        <f>IFERROR(IFERROR(INDEX('BD(MSCI)'!$T:$T,MATCH(Tabla_Consulta_desde_Reporte_de_Valorización_de_Instrumentos[[#This Row],[CODIGO_ISIN]],'BD(MSCI)'!$C:$C,0),1),INDEX('BD(MSCI)'!$T:$T,MATCH(Tabla_Consulta_desde_Reporte_de_Valorización_de_Instrumentos[[#This Row],[CODIGO_SBS]],'BD(MSCI)'!$C:$C,0),1)),0)</f>
        <v>0</v>
      </c>
      <c r="AK539" s="26">
        <f>Tabla_Consulta_desde_Reporte_de_Valorización_de_Instrumentos[[#This Row],[C02-H]]*Tabla_Consulta_desde_Reporte_de_Valorización_de_Instrumentos[[#This Row],[Inv MM$]]</f>
        <v>0</v>
      </c>
      <c r="AL539" s="26">
        <f>Tabla_Consulta_desde_Reporte_de_Valorización_de_Instrumentos[[#This Row],[C02-H]]*Tabla_Consulta_desde_Reporte_de_Valorización_de_Instrumentos[[#This Row],[Weight]]</f>
        <v>0</v>
      </c>
      <c r="AM539" s="26" t="e">
        <f>INDEX(Parametria!G:G,MATCH(Tabla_Consulta_desde_Reporte_de_Valorización_de_Instrumentos[[#This Row],[CODIGO_SBS]],Parametria!C:C,0))</f>
        <v>#N/A</v>
      </c>
      <c r="AN539" s="26" t="e">
        <f>INDEX(Parametria!F:F,MATCH(Tabla_Consulta_desde_Reporte_de_Valorización_de_Instrumentos[[#This Row],[CODIGO_SBS]],Parametria!C:C,0))</f>
        <v>#N/A</v>
      </c>
      <c r="AO539" s="26" t="e">
        <f>+INDEX(Parametria!J:J,MATCH(Tabla_Consulta_desde_Reporte_de_Valorización_de_Instrumentos[[#This Row],[CODIGO_SBS]],Parametria!C:C,0))</f>
        <v>#N/A</v>
      </c>
      <c r="AP539" s="26">
        <f>Tabla_Consulta_desde_Reporte_de_Valorización_de_Instrumentos[[#This Row],[Huella]]/$AU$4</f>
        <v>0</v>
      </c>
      <c r="AQ539" s="26" t="e">
        <f>IFERROR(INDEX('BD(MSCI)'!W:W,MATCH(Tabla_Consulta_desde_Reporte_de_Valorización_de_Instrumentos[[#This Row],[CODIGO_ISIN]],'BD(MSCI)'!C:C,0)),IF(Tabla_Consulta_desde_Reporte_de_Valorización_de_Instrumentos[[#This Row],[Rank_rt]]="Cash","Cash","Cuestionario Integra"))</f>
        <v>#N/A</v>
      </c>
      <c r="AR539" s="26" t="str">
        <f>IFERROR(INDEX('BD(MSCI)'!X:X,MATCH(Tabla_Consulta_desde_Reporte_de_Valorización_de_Instrumentos[[#This Row],[CODIGO_ISIN]],'BD(MSCI)'!C:C,0)),"Cuestionario Integra")</f>
        <v>Cuestionario Integra</v>
      </c>
    </row>
    <row r="540" spans="2:44" hidden="1" x14ac:dyDescent="0.25">
      <c r="B540" s="14" t="s">
        <v>6390</v>
      </c>
      <c r="C540" t="s">
        <v>833</v>
      </c>
      <c r="D540" t="s">
        <v>9</v>
      </c>
      <c r="E540" t="s">
        <v>834</v>
      </c>
      <c r="F540" t="s">
        <v>6507</v>
      </c>
      <c r="G540" t="e">
        <f>INDEX(Parametria!H:H,MATCH(Tabla_Consulta_desde_Reporte_de_Valorización_de_Instrumentos[[#This Row],[CODIGO_SBS]],Parametria!C:C,0),1)</f>
        <v>#N/A</v>
      </c>
      <c r="H540" t="s">
        <v>90</v>
      </c>
      <c r="I540" t="s">
        <v>835</v>
      </c>
      <c r="J540" t="s">
        <v>246</v>
      </c>
      <c r="K540" t="s">
        <v>90</v>
      </c>
      <c r="L540">
        <v>1</v>
      </c>
      <c r="M540" s="5">
        <v>26307147.776000001</v>
      </c>
      <c r="N540">
        <v>26307147.776000001</v>
      </c>
      <c r="O540">
        <v>0</v>
      </c>
      <c r="P540" s="15">
        <v>46107</v>
      </c>
      <c r="Q540">
        <v>85</v>
      </c>
      <c r="R540">
        <v>1</v>
      </c>
      <c r="S540" t="s">
        <v>155</v>
      </c>
      <c r="T540">
        <v>26303948.32</v>
      </c>
      <c r="U540" s="5">
        <v>26303948.32</v>
      </c>
      <c r="V540" t="s">
        <v>192</v>
      </c>
      <c r="W540">
        <v>4565854000</v>
      </c>
      <c r="X540">
        <v>3638173000</v>
      </c>
      <c r="Y540">
        <v>927681000</v>
      </c>
      <c r="Z540">
        <v>0</v>
      </c>
      <c r="AA540" t="str">
        <f>+MID(Tabla_Consulta_desde_Reporte_de_Valorización_de_Instrumentos[[#This Row],[CODIGO_SBS]],7,1)</f>
        <v>1</v>
      </c>
      <c r="AB540">
        <f>INDEX('Cálculo Caja'!F:F,MATCH(Tabla_Consulta_desde_Reporte_de_Valorización_de_Instrumentos[[#This Row],[PORTAFOLIO]],'Cálculo Caja'!A:A,0),1)</f>
        <v>2847839359.3764262</v>
      </c>
      <c r="AC540" s="17">
        <f>Tabla_Consulta_desde_Reporte_de_Valorización_de_Instrumentos[[#This Row],[VALOR_VECTOR_LOCAL]]/Tabla_Consulta_desde_Reporte_de_Valorización_de_Instrumentos[[#This Row],[Patrimonio]]</f>
        <v>9.2375813577351192E-3</v>
      </c>
      <c r="AD540" s="4">
        <f>(Tabla_Consulta_desde_Reporte_de_Valorización_de_Instrumentos[[#This Row],[VALOR_VECTOR_LOCAL]]/INDEX('Tipo de Cambio'!$D:$D,MATCH("2",'Tipo de Cambio'!$E:$E,0),1))/1000000</f>
        <v>7.8274116385491981</v>
      </c>
      <c r="AE540">
        <f>IF(Tabla_Consulta_desde_Reporte_de_Valorización_de_Instrumentos[[#This Row],[PORTAFOLIO]]="IN-FONDO0",Tabla_Consulta_desde_Reporte_de_Valorización_de_Instrumentos[[#This Row],[Inv MM$]],0)</f>
        <v>7.8274116385491981</v>
      </c>
      <c r="AF540" s="26">
        <f>IF(Tabla_Consulta_desde_Reporte_de_Valorización_de_Instrumentos[[#This Row],[PORTAFOLIO]]="IN-FONDO1",Tabla_Consulta_desde_Reporte_de_Valorización_de_Instrumentos[[#This Row],[Inv MM$]],0)</f>
        <v>0</v>
      </c>
      <c r="AG540" s="26">
        <f>IF(Tabla_Consulta_desde_Reporte_de_Valorización_de_Instrumentos[[#This Row],[PORTAFOLIO]]="IN-FONDO2",Tabla_Consulta_desde_Reporte_de_Valorización_de_Instrumentos[[#This Row],[Inv MM$]],0)</f>
        <v>0</v>
      </c>
      <c r="AH540" s="26">
        <f>IF(Tabla_Consulta_desde_Reporte_de_Valorización_de_Instrumentos[[#This Row],[PORTAFOLIO]]="IN-FONDO3",Tabla_Consulta_desde_Reporte_de_Valorización_de_Instrumentos[[#This Row],[Inv MM$]],0)</f>
        <v>0</v>
      </c>
      <c r="AI54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0" s="26">
        <f>IFERROR(IFERROR(INDEX('BD(MSCI)'!$T:$T,MATCH(Tabla_Consulta_desde_Reporte_de_Valorización_de_Instrumentos[[#This Row],[CODIGO_ISIN]],'BD(MSCI)'!$C:$C,0),1),INDEX('BD(MSCI)'!$T:$T,MATCH(Tabla_Consulta_desde_Reporte_de_Valorización_de_Instrumentos[[#This Row],[CODIGO_SBS]],'BD(MSCI)'!$C:$C,0),1)),0)</f>
        <v>0</v>
      </c>
      <c r="AK540" s="26">
        <f>Tabla_Consulta_desde_Reporte_de_Valorización_de_Instrumentos[[#This Row],[C02-H]]*Tabla_Consulta_desde_Reporte_de_Valorización_de_Instrumentos[[#This Row],[Inv MM$]]</f>
        <v>0</v>
      </c>
      <c r="AL540" s="26">
        <f>Tabla_Consulta_desde_Reporte_de_Valorización_de_Instrumentos[[#This Row],[C02-H]]*Tabla_Consulta_desde_Reporte_de_Valorización_de_Instrumentos[[#This Row],[Weight]]</f>
        <v>0</v>
      </c>
      <c r="AM540" s="26" t="e">
        <f>INDEX(Parametria!G:G,MATCH(Tabla_Consulta_desde_Reporte_de_Valorización_de_Instrumentos[[#This Row],[CODIGO_SBS]],Parametria!C:C,0))</f>
        <v>#N/A</v>
      </c>
      <c r="AN540" s="26" t="e">
        <f>INDEX(Parametria!F:F,MATCH(Tabla_Consulta_desde_Reporte_de_Valorización_de_Instrumentos[[#This Row],[CODIGO_SBS]],Parametria!C:C,0))</f>
        <v>#N/A</v>
      </c>
      <c r="AO540" s="26" t="e">
        <f>+INDEX(Parametria!J:J,MATCH(Tabla_Consulta_desde_Reporte_de_Valorización_de_Instrumentos[[#This Row],[CODIGO_SBS]],Parametria!C:C,0))</f>
        <v>#N/A</v>
      </c>
      <c r="AP540" s="26">
        <f>Tabla_Consulta_desde_Reporte_de_Valorización_de_Instrumentos[[#This Row],[Huella]]/$AU$4</f>
        <v>0</v>
      </c>
      <c r="AQ540" s="26" t="e">
        <f>IFERROR(INDEX('BD(MSCI)'!W:W,MATCH(Tabla_Consulta_desde_Reporte_de_Valorización_de_Instrumentos[[#This Row],[CODIGO_ISIN]],'BD(MSCI)'!C:C,0)),IF(Tabla_Consulta_desde_Reporte_de_Valorización_de_Instrumentos[[#This Row],[Rank_rt]]="Cash","Cash","Cuestionario Integra"))</f>
        <v>#N/A</v>
      </c>
      <c r="AR540" s="26" t="str">
        <f>IFERROR(INDEX('BD(MSCI)'!X:X,MATCH(Tabla_Consulta_desde_Reporte_de_Valorización_de_Instrumentos[[#This Row],[CODIGO_ISIN]],'BD(MSCI)'!C:C,0)),"Cuestionario Integra")</f>
        <v>Cuestionario Integra</v>
      </c>
    </row>
    <row r="541" spans="2:44" hidden="1" x14ac:dyDescent="0.25">
      <c r="B541" s="14" t="s">
        <v>6390</v>
      </c>
      <c r="C541" t="s">
        <v>833</v>
      </c>
      <c r="D541" t="s">
        <v>9</v>
      </c>
      <c r="E541" t="s">
        <v>834</v>
      </c>
      <c r="F541" t="s">
        <v>6508</v>
      </c>
      <c r="G541" t="e">
        <f>INDEX(Parametria!H:H,MATCH(Tabla_Consulta_desde_Reporte_de_Valorización_de_Instrumentos[[#This Row],[CODIGO_SBS]],Parametria!C:C,0),1)</f>
        <v>#N/A</v>
      </c>
      <c r="H541" t="s">
        <v>90</v>
      </c>
      <c r="I541" t="s">
        <v>835</v>
      </c>
      <c r="J541" t="s">
        <v>246</v>
      </c>
      <c r="K541" t="s">
        <v>90</v>
      </c>
      <c r="L541">
        <v>1</v>
      </c>
      <c r="M541" s="5">
        <v>20235200</v>
      </c>
      <c r="N541">
        <v>20235200</v>
      </c>
      <c r="O541">
        <v>0</v>
      </c>
      <c r="P541" s="15">
        <v>46128</v>
      </c>
      <c r="Q541">
        <v>106</v>
      </c>
      <c r="R541">
        <v>1</v>
      </c>
      <c r="S541" t="s">
        <v>155</v>
      </c>
      <c r="T541">
        <v>20232750</v>
      </c>
      <c r="U541" s="5">
        <v>20232750</v>
      </c>
      <c r="V541" t="s">
        <v>192</v>
      </c>
      <c r="W541">
        <v>4565854000</v>
      </c>
      <c r="X541">
        <v>3638173000</v>
      </c>
      <c r="Y541">
        <v>927681000</v>
      </c>
      <c r="Z541">
        <v>0</v>
      </c>
      <c r="AA541" t="str">
        <f>+MID(Tabla_Consulta_desde_Reporte_de_Valorización_de_Instrumentos[[#This Row],[CODIGO_SBS]],7,1)</f>
        <v>1</v>
      </c>
      <c r="AB541">
        <f>INDEX('Cálculo Caja'!F:F,MATCH(Tabla_Consulta_desde_Reporte_de_Valorización_de_Instrumentos[[#This Row],[PORTAFOLIO]],'Cálculo Caja'!A:A,0),1)</f>
        <v>2847839359.3764262</v>
      </c>
      <c r="AC541" s="17">
        <f>Tabla_Consulta_desde_Reporte_de_Valorización_de_Instrumentos[[#This Row],[VALOR_VECTOR_LOCAL]]/Tabla_Consulta_desde_Reporte_de_Valorización_de_Instrumentos[[#This Row],[Patrimonio]]</f>
        <v>7.105456961038272E-3</v>
      </c>
      <c r="AD541" s="4">
        <f>(Tabla_Consulta_desde_Reporte_de_Valorización_de_Instrumentos[[#This Row],[VALOR_VECTOR_LOCAL]]/INDEX('Tipo de Cambio'!$D:$D,MATCH("2",'Tipo de Cambio'!$E:$E,0),1))/1000000</f>
        <v>6.0207682466006132</v>
      </c>
      <c r="AE541">
        <f>IF(Tabla_Consulta_desde_Reporte_de_Valorización_de_Instrumentos[[#This Row],[PORTAFOLIO]]="IN-FONDO0",Tabla_Consulta_desde_Reporte_de_Valorización_de_Instrumentos[[#This Row],[Inv MM$]],0)</f>
        <v>6.0207682466006132</v>
      </c>
      <c r="AF541" s="26">
        <f>IF(Tabla_Consulta_desde_Reporte_de_Valorización_de_Instrumentos[[#This Row],[PORTAFOLIO]]="IN-FONDO1",Tabla_Consulta_desde_Reporte_de_Valorización_de_Instrumentos[[#This Row],[Inv MM$]],0)</f>
        <v>0</v>
      </c>
      <c r="AG541" s="26">
        <f>IF(Tabla_Consulta_desde_Reporte_de_Valorización_de_Instrumentos[[#This Row],[PORTAFOLIO]]="IN-FONDO2",Tabla_Consulta_desde_Reporte_de_Valorización_de_Instrumentos[[#This Row],[Inv MM$]],0)</f>
        <v>0</v>
      </c>
      <c r="AH541" s="26">
        <f>IF(Tabla_Consulta_desde_Reporte_de_Valorización_de_Instrumentos[[#This Row],[PORTAFOLIO]]="IN-FONDO3",Tabla_Consulta_desde_Reporte_de_Valorización_de_Instrumentos[[#This Row],[Inv MM$]],0)</f>
        <v>0</v>
      </c>
      <c r="AI54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1" s="26">
        <f>IFERROR(IFERROR(INDEX('BD(MSCI)'!$T:$T,MATCH(Tabla_Consulta_desde_Reporte_de_Valorización_de_Instrumentos[[#This Row],[CODIGO_ISIN]],'BD(MSCI)'!$C:$C,0),1),INDEX('BD(MSCI)'!$T:$T,MATCH(Tabla_Consulta_desde_Reporte_de_Valorización_de_Instrumentos[[#This Row],[CODIGO_SBS]],'BD(MSCI)'!$C:$C,0),1)),0)</f>
        <v>0</v>
      </c>
      <c r="AK541" s="26">
        <f>Tabla_Consulta_desde_Reporte_de_Valorización_de_Instrumentos[[#This Row],[C02-H]]*Tabla_Consulta_desde_Reporte_de_Valorización_de_Instrumentos[[#This Row],[Inv MM$]]</f>
        <v>0</v>
      </c>
      <c r="AL541" s="26">
        <f>Tabla_Consulta_desde_Reporte_de_Valorización_de_Instrumentos[[#This Row],[C02-H]]*Tabla_Consulta_desde_Reporte_de_Valorización_de_Instrumentos[[#This Row],[Weight]]</f>
        <v>0</v>
      </c>
      <c r="AM541" s="26" t="e">
        <f>INDEX(Parametria!G:G,MATCH(Tabla_Consulta_desde_Reporte_de_Valorización_de_Instrumentos[[#This Row],[CODIGO_SBS]],Parametria!C:C,0))</f>
        <v>#N/A</v>
      </c>
      <c r="AN541" s="26" t="e">
        <f>INDEX(Parametria!F:F,MATCH(Tabla_Consulta_desde_Reporte_de_Valorización_de_Instrumentos[[#This Row],[CODIGO_SBS]],Parametria!C:C,0))</f>
        <v>#N/A</v>
      </c>
      <c r="AO541" s="26" t="e">
        <f>+INDEX(Parametria!J:J,MATCH(Tabla_Consulta_desde_Reporte_de_Valorización_de_Instrumentos[[#This Row],[CODIGO_SBS]],Parametria!C:C,0))</f>
        <v>#N/A</v>
      </c>
      <c r="AP541" s="26">
        <f>Tabla_Consulta_desde_Reporte_de_Valorización_de_Instrumentos[[#This Row],[Huella]]/$AU$4</f>
        <v>0</v>
      </c>
      <c r="AQ541" s="26" t="e">
        <f>IFERROR(INDEX('BD(MSCI)'!W:W,MATCH(Tabla_Consulta_desde_Reporte_de_Valorización_de_Instrumentos[[#This Row],[CODIGO_ISIN]],'BD(MSCI)'!C:C,0)),IF(Tabla_Consulta_desde_Reporte_de_Valorización_de_Instrumentos[[#This Row],[Rank_rt]]="Cash","Cash","Cuestionario Integra"))</f>
        <v>#N/A</v>
      </c>
      <c r="AR541" s="26" t="str">
        <f>IFERROR(INDEX('BD(MSCI)'!X:X,MATCH(Tabla_Consulta_desde_Reporte_de_Valorización_de_Instrumentos[[#This Row],[CODIGO_ISIN]],'BD(MSCI)'!C:C,0)),"Cuestionario Integra")</f>
        <v>Cuestionario Integra</v>
      </c>
    </row>
    <row r="542" spans="2:44" hidden="1" x14ac:dyDescent="0.25">
      <c r="B542" s="14" t="s">
        <v>6390</v>
      </c>
      <c r="C542" t="s">
        <v>833</v>
      </c>
      <c r="D542" t="s">
        <v>9</v>
      </c>
      <c r="E542" t="s">
        <v>834</v>
      </c>
      <c r="F542" t="s">
        <v>6509</v>
      </c>
      <c r="G542" t="e">
        <f>INDEX(Parametria!H:H,MATCH(Tabla_Consulta_desde_Reporte_de_Valorización_de_Instrumentos[[#This Row],[CODIGO_SBS]],Parametria!C:C,0),1)</f>
        <v>#N/A</v>
      </c>
      <c r="H542" t="s">
        <v>90</v>
      </c>
      <c r="I542" t="s">
        <v>835</v>
      </c>
      <c r="J542" t="s">
        <v>248</v>
      </c>
      <c r="K542" t="s">
        <v>90</v>
      </c>
      <c r="L542">
        <v>1</v>
      </c>
      <c r="M542" s="5">
        <v>20325110.52</v>
      </c>
      <c r="N542">
        <v>20325110.52</v>
      </c>
      <c r="O542">
        <v>0</v>
      </c>
      <c r="P542" s="15">
        <v>46248</v>
      </c>
      <c r="Q542">
        <v>226</v>
      </c>
      <c r="R542">
        <v>1</v>
      </c>
      <c r="S542" t="s">
        <v>155</v>
      </c>
      <c r="T542">
        <v>20322666.079999998</v>
      </c>
      <c r="U542" s="5">
        <v>20322666.079999998</v>
      </c>
      <c r="V542" t="s">
        <v>192</v>
      </c>
      <c r="W542">
        <v>4565854000</v>
      </c>
      <c r="X542">
        <v>3638173000</v>
      </c>
      <c r="Y542">
        <v>927681000</v>
      </c>
      <c r="Z542">
        <v>0</v>
      </c>
      <c r="AA542" t="str">
        <f>+MID(Tabla_Consulta_desde_Reporte_de_Valorización_de_Instrumentos[[#This Row],[CODIGO_SBS]],7,1)</f>
        <v>1</v>
      </c>
      <c r="AB542">
        <f>INDEX('Cálculo Caja'!F:F,MATCH(Tabla_Consulta_desde_Reporte_de_Valorización_de_Instrumentos[[#This Row],[PORTAFOLIO]],'Cálculo Caja'!A:A,0),1)</f>
        <v>2847839359.3764262</v>
      </c>
      <c r="AC542" s="17">
        <f>Tabla_Consulta_desde_Reporte_de_Valorización_de_Instrumentos[[#This Row],[VALOR_VECTOR_LOCAL]]/Tabla_Consulta_desde_Reporte_de_Valorización_de_Instrumentos[[#This Row],[Patrimonio]]</f>
        <v>7.1370284468750596E-3</v>
      </c>
      <c r="AD542" s="4">
        <f>(Tabla_Consulta_desde_Reporte_de_Valorización_de_Instrumentos[[#This Row],[VALOR_VECTOR_LOCAL]]/INDEX('Tipo de Cambio'!$D:$D,MATCH("2",'Tipo de Cambio'!$E:$E,0),1))/1000000</f>
        <v>6.0475201642417211</v>
      </c>
      <c r="AE542">
        <f>IF(Tabla_Consulta_desde_Reporte_de_Valorización_de_Instrumentos[[#This Row],[PORTAFOLIO]]="IN-FONDO0",Tabla_Consulta_desde_Reporte_de_Valorización_de_Instrumentos[[#This Row],[Inv MM$]],0)</f>
        <v>6.0475201642417211</v>
      </c>
      <c r="AF542" s="26">
        <f>IF(Tabla_Consulta_desde_Reporte_de_Valorización_de_Instrumentos[[#This Row],[PORTAFOLIO]]="IN-FONDO1",Tabla_Consulta_desde_Reporte_de_Valorización_de_Instrumentos[[#This Row],[Inv MM$]],0)</f>
        <v>0</v>
      </c>
      <c r="AG542" s="26">
        <f>IF(Tabla_Consulta_desde_Reporte_de_Valorización_de_Instrumentos[[#This Row],[PORTAFOLIO]]="IN-FONDO2",Tabla_Consulta_desde_Reporte_de_Valorización_de_Instrumentos[[#This Row],[Inv MM$]],0)</f>
        <v>0</v>
      </c>
      <c r="AH542" s="26">
        <f>IF(Tabla_Consulta_desde_Reporte_de_Valorización_de_Instrumentos[[#This Row],[PORTAFOLIO]]="IN-FONDO3",Tabla_Consulta_desde_Reporte_de_Valorización_de_Instrumentos[[#This Row],[Inv MM$]],0)</f>
        <v>0</v>
      </c>
      <c r="AI54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2" s="26">
        <f>IFERROR(IFERROR(INDEX('BD(MSCI)'!$T:$T,MATCH(Tabla_Consulta_desde_Reporte_de_Valorización_de_Instrumentos[[#This Row],[CODIGO_ISIN]],'BD(MSCI)'!$C:$C,0),1),INDEX('BD(MSCI)'!$T:$T,MATCH(Tabla_Consulta_desde_Reporte_de_Valorización_de_Instrumentos[[#This Row],[CODIGO_SBS]],'BD(MSCI)'!$C:$C,0),1)),0)</f>
        <v>0</v>
      </c>
      <c r="AK542" s="26">
        <f>Tabla_Consulta_desde_Reporte_de_Valorización_de_Instrumentos[[#This Row],[C02-H]]*Tabla_Consulta_desde_Reporte_de_Valorización_de_Instrumentos[[#This Row],[Inv MM$]]</f>
        <v>0</v>
      </c>
      <c r="AL542" s="26">
        <f>Tabla_Consulta_desde_Reporte_de_Valorización_de_Instrumentos[[#This Row],[C02-H]]*Tabla_Consulta_desde_Reporte_de_Valorización_de_Instrumentos[[#This Row],[Weight]]</f>
        <v>0</v>
      </c>
      <c r="AM542" s="26" t="e">
        <f>INDEX(Parametria!G:G,MATCH(Tabla_Consulta_desde_Reporte_de_Valorización_de_Instrumentos[[#This Row],[CODIGO_SBS]],Parametria!C:C,0))</f>
        <v>#N/A</v>
      </c>
      <c r="AN542" s="26" t="e">
        <f>INDEX(Parametria!F:F,MATCH(Tabla_Consulta_desde_Reporte_de_Valorización_de_Instrumentos[[#This Row],[CODIGO_SBS]],Parametria!C:C,0))</f>
        <v>#N/A</v>
      </c>
      <c r="AO542" s="26" t="e">
        <f>+INDEX(Parametria!J:J,MATCH(Tabla_Consulta_desde_Reporte_de_Valorización_de_Instrumentos[[#This Row],[CODIGO_SBS]],Parametria!C:C,0))</f>
        <v>#N/A</v>
      </c>
      <c r="AP542" s="26">
        <f>Tabla_Consulta_desde_Reporte_de_Valorización_de_Instrumentos[[#This Row],[Huella]]/$AU$4</f>
        <v>0</v>
      </c>
      <c r="AQ542" s="26" t="e">
        <f>IFERROR(INDEX('BD(MSCI)'!W:W,MATCH(Tabla_Consulta_desde_Reporte_de_Valorización_de_Instrumentos[[#This Row],[CODIGO_ISIN]],'BD(MSCI)'!C:C,0)),IF(Tabla_Consulta_desde_Reporte_de_Valorización_de_Instrumentos[[#This Row],[Rank_rt]]="Cash","Cash","Cuestionario Integra"))</f>
        <v>#N/A</v>
      </c>
      <c r="AR542" s="26" t="str">
        <f>IFERROR(INDEX('BD(MSCI)'!X:X,MATCH(Tabla_Consulta_desde_Reporte_de_Valorización_de_Instrumentos[[#This Row],[CODIGO_ISIN]],'BD(MSCI)'!C:C,0)),"Cuestionario Integra")</f>
        <v>Cuestionario Integra</v>
      </c>
    </row>
    <row r="543" spans="2:44" hidden="1" x14ac:dyDescent="0.25">
      <c r="B543" s="14" t="s">
        <v>6390</v>
      </c>
      <c r="C543" t="s">
        <v>833</v>
      </c>
      <c r="D543" t="s">
        <v>9</v>
      </c>
      <c r="E543" t="s">
        <v>834</v>
      </c>
      <c r="F543" t="s">
        <v>6510</v>
      </c>
      <c r="G543" t="e">
        <f>INDEX(Parametria!H:H,MATCH(Tabla_Consulta_desde_Reporte_de_Valorización_de_Instrumentos[[#This Row],[CODIGO_SBS]],Parametria!C:C,0),1)</f>
        <v>#N/A</v>
      </c>
      <c r="H543" t="s">
        <v>90</v>
      </c>
      <c r="I543" t="s">
        <v>835</v>
      </c>
      <c r="J543" t="s">
        <v>246</v>
      </c>
      <c r="K543" t="s">
        <v>90</v>
      </c>
      <c r="L543">
        <v>1</v>
      </c>
      <c r="M543" s="5">
        <v>10164402.630000001</v>
      </c>
      <c r="N543">
        <v>10164402.630000001</v>
      </c>
      <c r="O543">
        <v>0</v>
      </c>
      <c r="P543" s="15">
        <v>46248</v>
      </c>
      <c r="Q543">
        <v>226</v>
      </c>
      <c r="R543">
        <v>1</v>
      </c>
      <c r="S543" t="s">
        <v>155</v>
      </c>
      <c r="T543">
        <v>10163166.52</v>
      </c>
      <c r="U543" s="5">
        <v>10163166.52</v>
      </c>
      <c r="V543" t="s">
        <v>192</v>
      </c>
      <c r="W543">
        <v>4565854000</v>
      </c>
      <c r="X543">
        <v>3638173000</v>
      </c>
      <c r="Y543">
        <v>927681000</v>
      </c>
      <c r="Z543">
        <v>0</v>
      </c>
      <c r="AA543" t="str">
        <f>+MID(Tabla_Consulta_desde_Reporte_de_Valorización_de_Instrumentos[[#This Row],[CODIGO_SBS]],7,1)</f>
        <v>1</v>
      </c>
      <c r="AB543">
        <f>INDEX('Cálculo Caja'!F:F,MATCH(Tabla_Consulta_desde_Reporte_de_Valorización_de_Instrumentos[[#This Row],[PORTAFOLIO]],'Cálculo Caja'!A:A,0),1)</f>
        <v>2847839359.3764262</v>
      </c>
      <c r="AC543" s="17">
        <f>Tabla_Consulta_desde_Reporte_de_Valorización_de_Instrumentos[[#This Row],[VALOR_VECTOR_LOCAL]]/Tabla_Consulta_desde_Reporte_de_Valorización_de_Instrumentos[[#This Row],[Patrimonio]]</f>
        <v>3.5691629152234334E-3</v>
      </c>
      <c r="AD543" s="4">
        <f>(Tabla_Consulta_desde_Reporte_de_Valorización_de_Instrumentos[[#This Row],[VALOR_VECTOR_LOCAL]]/INDEX('Tipo de Cambio'!$D:$D,MATCH("2",'Tipo de Cambio'!$E:$E,0),1))/1000000</f>
        <v>3.0243097473890925</v>
      </c>
      <c r="AE543">
        <f>IF(Tabla_Consulta_desde_Reporte_de_Valorización_de_Instrumentos[[#This Row],[PORTAFOLIO]]="IN-FONDO0",Tabla_Consulta_desde_Reporte_de_Valorización_de_Instrumentos[[#This Row],[Inv MM$]],0)</f>
        <v>3.0243097473890925</v>
      </c>
      <c r="AF543" s="26">
        <f>IF(Tabla_Consulta_desde_Reporte_de_Valorización_de_Instrumentos[[#This Row],[PORTAFOLIO]]="IN-FONDO1",Tabla_Consulta_desde_Reporte_de_Valorización_de_Instrumentos[[#This Row],[Inv MM$]],0)</f>
        <v>0</v>
      </c>
      <c r="AG543" s="26">
        <f>IF(Tabla_Consulta_desde_Reporte_de_Valorización_de_Instrumentos[[#This Row],[PORTAFOLIO]]="IN-FONDO2",Tabla_Consulta_desde_Reporte_de_Valorización_de_Instrumentos[[#This Row],[Inv MM$]],0)</f>
        <v>0</v>
      </c>
      <c r="AH543" s="26">
        <f>IF(Tabla_Consulta_desde_Reporte_de_Valorización_de_Instrumentos[[#This Row],[PORTAFOLIO]]="IN-FONDO3",Tabla_Consulta_desde_Reporte_de_Valorización_de_Instrumentos[[#This Row],[Inv MM$]],0)</f>
        <v>0</v>
      </c>
      <c r="AI54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3" s="26">
        <f>IFERROR(IFERROR(INDEX('BD(MSCI)'!$T:$T,MATCH(Tabla_Consulta_desde_Reporte_de_Valorización_de_Instrumentos[[#This Row],[CODIGO_ISIN]],'BD(MSCI)'!$C:$C,0),1),INDEX('BD(MSCI)'!$T:$T,MATCH(Tabla_Consulta_desde_Reporte_de_Valorización_de_Instrumentos[[#This Row],[CODIGO_SBS]],'BD(MSCI)'!$C:$C,0),1)),0)</f>
        <v>0</v>
      </c>
      <c r="AK543" s="26">
        <f>Tabla_Consulta_desde_Reporte_de_Valorización_de_Instrumentos[[#This Row],[C02-H]]*Tabla_Consulta_desde_Reporte_de_Valorización_de_Instrumentos[[#This Row],[Inv MM$]]</f>
        <v>0</v>
      </c>
      <c r="AL543" s="26">
        <f>Tabla_Consulta_desde_Reporte_de_Valorización_de_Instrumentos[[#This Row],[C02-H]]*Tabla_Consulta_desde_Reporte_de_Valorización_de_Instrumentos[[#This Row],[Weight]]</f>
        <v>0</v>
      </c>
      <c r="AM543" s="26" t="e">
        <f>INDEX(Parametria!G:G,MATCH(Tabla_Consulta_desde_Reporte_de_Valorización_de_Instrumentos[[#This Row],[CODIGO_SBS]],Parametria!C:C,0))</f>
        <v>#N/A</v>
      </c>
      <c r="AN543" s="26" t="e">
        <f>INDEX(Parametria!F:F,MATCH(Tabla_Consulta_desde_Reporte_de_Valorización_de_Instrumentos[[#This Row],[CODIGO_SBS]],Parametria!C:C,0))</f>
        <v>#N/A</v>
      </c>
      <c r="AO543" s="26" t="e">
        <f>+INDEX(Parametria!J:J,MATCH(Tabla_Consulta_desde_Reporte_de_Valorización_de_Instrumentos[[#This Row],[CODIGO_SBS]],Parametria!C:C,0))</f>
        <v>#N/A</v>
      </c>
      <c r="AP543" s="26">
        <f>Tabla_Consulta_desde_Reporte_de_Valorización_de_Instrumentos[[#This Row],[Huella]]/$AU$4</f>
        <v>0</v>
      </c>
      <c r="AQ543" s="26" t="e">
        <f>IFERROR(INDEX('BD(MSCI)'!W:W,MATCH(Tabla_Consulta_desde_Reporte_de_Valorización_de_Instrumentos[[#This Row],[CODIGO_ISIN]],'BD(MSCI)'!C:C,0)),IF(Tabla_Consulta_desde_Reporte_de_Valorización_de_Instrumentos[[#This Row],[Rank_rt]]="Cash","Cash","Cuestionario Integra"))</f>
        <v>#N/A</v>
      </c>
      <c r="AR543" s="26" t="str">
        <f>IFERROR(INDEX('BD(MSCI)'!X:X,MATCH(Tabla_Consulta_desde_Reporte_de_Valorización_de_Instrumentos[[#This Row],[CODIGO_ISIN]],'BD(MSCI)'!C:C,0)),"Cuestionario Integra")</f>
        <v>Cuestionario Integra</v>
      </c>
    </row>
    <row r="544" spans="2:44" hidden="1" x14ac:dyDescent="0.25">
      <c r="B544" s="14" t="s">
        <v>6390</v>
      </c>
      <c r="C544" t="s">
        <v>833</v>
      </c>
      <c r="D544" t="s">
        <v>9</v>
      </c>
      <c r="E544" t="s">
        <v>834</v>
      </c>
      <c r="F544" t="s">
        <v>6511</v>
      </c>
      <c r="G544" t="e">
        <f>INDEX(Parametria!H:H,MATCH(Tabla_Consulta_desde_Reporte_de_Valorización_de_Instrumentos[[#This Row],[CODIGO_SBS]],Parametria!C:C,0),1)</f>
        <v>#N/A</v>
      </c>
      <c r="H544" t="s">
        <v>90</v>
      </c>
      <c r="I544" t="s">
        <v>835</v>
      </c>
      <c r="J544" t="s">
        <v>373</v>
      </c>
      <c r="K544" t="s">
        <v>90</v>
      </c>
      <c r="L544">
        <v>1</v>
      </c>
      <c r="M544" s="5">
        <v>20326333.039999999</v>
      </c>
      <c r="N544">
        <v>20326333.039999999</v>
      </c>
      <c r="O544">
        <v>0</v>
      </c>
      <c r="P544" s="15">
        <v>46105</v>
      </c>
      <c r="Q544">
        <v>83</v>
      </c>
      <c r="R544">
        <v>1</v>
      </c>
      <c r="S544" t="s">
        <v>155</v>
      </c>
      <c r="T544">
        <v>20323860.82</v>
      </c>
      <c r="U544" s="5">
        <v>20323860.82</v>
      </c>
      <c r="V544" t="s">
        <v>192</v>
      </c>
      <c r="W544">
        <v>4565854000</v>
      </c>
      <c r="X544">
        <v>3638173000</v>
      </c>
      <c r="Y544">
        <v>927681000</v>
      </c>
      <c r="Z544">
        <v>0</v>
      </c>
      <c r="AA544" t="str">
        <f>+MID(Tabla_Consulta_desde_Reporte_de_Valorización_de_Instrumentos[[#This Row],[CODIGO_SBS]],7,1)</f>
        <v>1</v>
      </c>
      <c r="AB544">
        <f>INDEX('Cálculo Caja'!F:F,MATCH(Tabla_Consulta_desde_Reporte_de_Valorización_de_Instrumentos[[#This Row],[PORTAFOLIO]],'Cálculo Caja'!A:A,0),1)</f>
        <v>2847839359.3764262</v>
      </c>
      <c r="AC544" s="17">
        <f>Tabla_Consulta_desde_Reporte_de_Valorización_de_Instrumentos[[#This Row],[VALOR_VECTOR_LOCAL]]/Tabla_Consulta_desde_Reporte_de_Valorización_de_Instrumentos[[#This Row],[Patrimonio]]</f>
        <v>7.1374577267064422E-3</v>
      </c>
      <c r="AD544" s="4">
        <f>(Tabla_Consulta_desde_Reporte_de_Valorización_de_Instrumentos[[#This Row],[VALOR_VECTOR_LOCAL]]/INDEX('Tipo de Cambio'!$D:$D,MATCH("2",'Tipo de Cambio'!$E:$E,0),1))/1000000</f>
        <v>6.047883912047368</v>
      </c>
      <c r="AE544">
        <f>IF(Tabla_Consulta_desde_Reporte_de_Valorización_de_Instrumentos[[#This Row],[PORTAFOLIO]]="IN-FONDO0",Tabla_Consulta_desde_Reporte_de_Valorización_de_Instrumentos[[#This Row],[Inv MM$]],0)</f>
        <v>6.047883912047368</v>
      </c>
      <c r="AF544" s="26">
        <f>IF(Tabla_Consulta_desde_Reporte_de_Valorización_de_Instrumentos[[#This Row],[PORTAFOLIO]]="IN-FONDO1",Tabla_Consulta_desde_Reporte_de_Valorización_de_Instrumentos[[#This Row],[Inv MM$]],0)</f>
        <v>0</v>
      </c>
      <c r="AG544" s="26">
        <f>IF(Tabla_Consulta_desde_Reporte_de_Valorización_de_Instrumentos[[#This Row],[PORTAFOLIO]]="IN-FONDO2",Tabla_Consulta_desde_Reporte_de_Valorización_de_Instrumentos[[#This Row],[Inv MM$]],0)</f>
        <v>0</v>
      </c>
      <c r="AH544" s="26">
        <f>IF(Tabla_Consulta_desde_Reporte_de_Valorización_de_Instrumentos[[#This Row],[PORTAFOLIO]]="IN-FONDO3",Tabla_Consulta_desde_Reporte_de_Valorización_de_Instrumentos[[#This Row],[Inv MM$]],0)</f>
        <v>0</v>
      </c>
      <c r="AI54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4" s="26">
        <f>IFERROR(IFERROR(INDEX('BD(MSCI)'!$T:$T,MATCH(Tabla_Consulta_desde_Reporte_de_Valorización_de_Instrumentos[[#This Row],[CODIGO_ISIN]],'BD(MSCI)'!$C:$C,0),1),INDEX('BD(MSCI)'!$T:$T,MATCH(Tabla_Consulta_desde_Reporte_de_Valorización_de_Instrumentos[[#This Row],[CODIGO_SBS]],'BD(MSCI)'!$C:$C,0),1)),0)</f>
        <v>0</v>
      </c>
      <c r="AK544" s="26">
        <f>Tabla_Consulta_desde_Reporte_de_Valorización_de_Instrumentos[[#This Row],[C02-H]]*Tabla_Consulta_desde_Reporte_de_Valorización_de_Instrumentos[[#This Row],[Inv MM$]]</f>
        <v>0</v>
      </c>
      <c r="AL544" s="26">
        <f>Tabla_Consulta_desde_Reporte_de_Valorización_de_Instrumentos[[#This Row],[C02-H]]*Tabla_Consulta_desde_Reporte_de_Valorización_de_Instrumentos[[#This Row],[Weight]]</f>
        <v>0</v>
      </c>
      <c r="AM544" s="26" t="e">
        <f>INDEX(Parametria!G:G,MATCH(Tabla_Consulta_desde_Reporte_de_Valorización_de_Instrumentos[[#This Row],[CODIGO_SBS]],Parametria!C:C,0))</f>
        <v>#N/A</v>
      </c>
      <c r="AN544" s="26" t="e">
        <f>INDEX(Parametria!F:F,MATCH(Tabla_Consulta_desde_Reporte_de_Valorización_de_Instrumentos[[#This Row],[CODIGO_SBS]],Parametria!C:C,0))</f>
        <v>#N/A</v>
      </c>
      <c r="AO544" s="26" t="e">
        <f>+INDEX(Parametria!J:J,MATCH(Tabla_Consulta_desde_Reporte_de_Valorización_de_Instrumentos[[#This Row],[CODIGO_SBS]],Parametria!C:C,0))</f>
        <v>#N/A</v>
      </c>
      <c r="AP544" s="26">
        <f>Tabla_Consulta_desde_Reporte_de_Valorización_de_Instrumentos[[#This Row],[Huella]]/$AU$4</f>
        <v>0</v>
      </c>
      <c r="AQ544" s="26" t="e">
        <f>IFERROR(INDEX('BD(MSCI)'!W:W,MATCH(Tabla_Consulta_desde_Reporte_de_Valorización_de_Instrumentos[[#This Row],[CODIGO_ISIN]],'BD(MSCI)'!C:C,0)),IF(Tabla_Consulta_desde_Reporte_de_Valorización_de_Instrumentos[[#This Row],[Rank_rt]]="Cash","Cash","Cuestionario Integra"))</f>
        <v>#N/A</v>
      </c>
      <c r="AR544" s="26" t="str">
        <f>IFERROR(INDEX('BD(MSCI)'!X:X,MATCH(Tabla_Consulta_desde_Reporte_de_Valorización_de_Instrumentos[[#This Row],[CODIGO_ISIN]],'BD(MSCI)'!C:C,0)),"Cuestionario Integra")</f>
        <v>Cuestionario Integra</v>
      </c>
    </row>
    <row r="545" spans="2:44" hidden="1" x14ac:dyDescent="0.25">
      <c r="B545" s="14" t="s">
        <v>6390</v>
      </c>
      <c r="C545" t="s">
        <v>833</v>
      </c>
      <c r="D545" t="s">
        <v>9</v>
      </c>
      <c r="E545" t="s">
        <v>834</v>
      </c>
      <c r="F545" t="s">
        <v>6512</v>
      </c>
      <c r="G545" t="e">
        <f>INDEX(Parametria!H:H,MATCH(Tabla_Consulta_desde_Reporte_de_Valorización_de_Instrumentos[[#This Row],[CODIGO_SBS]],Parametria!C:C,0),1)</f>
        <v>#N/A</v>
      </c>
      <c r="H545" t="s">
        <v>90</v>
      </c>
      <c r="I545" t="s">
        <v>835</v>
      </c>
      <c r="J545" t="s">
        <v>373</v>
      </c>
      <c r="K545" t="s">
        <v>90</v>
      </c>
      <c r="L545">
        <v>1</v>
      </c>
      <c r="M545" s="5">
        <v>10165000</v>
      </c>
      <c r="N545">
        <v>10165000</v>
      </c>
      <c r="O545">
        <v>0</v>
      </c>
      <c r="P545" s="15">
        <v>46225</v>
      </c>
      <c r="Q545">
        <v>203</v>
      </c>
      <c r="R545">
        <v>1</v>
      </c>
      <c r="S545" t="s">
        <v>155</v>
      </c>
      <c r="T545">
        <v>10163750</v>
      </c>
      <c r="U545" s="5">
        <v>10163750</v>
      </c>
      <c r="V545" t="s">
        <v>192</v>
      </c>
      <c r="W545">
        <v>4565854000</v>
      </c>
      <c r="X545">
        <v>3638173000</v>
      </c>
      <c r="Y545">
        <v>927681000</v>
      </c>
      <c r="Z545">
        <v>0</v>
      </c>
      <c r="AA545" t="str">
        <f>+MID(Tabla_Consulta_desde_Reporte_de_Valorización_de_Instrumentos[[#This Row],[CODIGO_SBS]],7,1)</f>
        <v>1</v>
      </c>
      <c r="AB545">
        <f>INDEX('Cálculo Caja'!F:F,MATCH(Tabla_Consulta_desde_Reporte_de_Valorización_de_Instrumentos[[#This Row],[PORTAFOLIO]],'Cálculo Caja'!A:A,0),1)</f>
        <v>2847839359.3764262</v>
      </c>
      <c r="AC545" s="17">
        <f>Tabla_Consulta_desde_Reporte_de_Valorización_de_Instrumentos[[#This Row],[VALOR_VECTOR_LOCAL]]/Tabla_Consulta_desde_Reporte_de_Valorización_de_Instrumentos[[#This Row],[Patrimonio]]</f>
        <v>3.569372677757276E-3</v>
      </c>
      <c r="AD545" s="4">
        <f>(Tabla_Consulta_desde_Reporte_de_Valorización_de_Instrumentos[[#This Row],[VALOR_VECTOR_LOCAL]]/INDEX('Tipo de Cambio'!$D:$D,MATCH("2",'Tipo de Cambio'!$E:$E,0),1))/1000000</f>
        <v>3.0244874884703505</v>
      </c>
      <c r="AE545">
        <f>IF(Tabla_Consulta_desde_Reporte_de_Valorización_de_Instrumentos[[#This Row],[PORTAFOLIO]]="IN-FONDO0",Tabla_Consulta_desde_Reporte_de_Valorización_de_Instrumentos[[#This Row],[Inv MM$]],0)</f>
        <v>3.0244874884703505</v>
      </c>
      <c r="AF545" s="26">
        <f>IF(Tabla_Consulta_desde_Reporte_de_Valorización_de_Instrumentos[[#This Row],[PORTAFOLIO]]="IN-FONDO1",Tabla_Consulta_desde_Reporte_de_Valorización_de_Instrumentos[[#This Row],[Inv MM$]],0)</f>
        <v>0</v>
      </c>
      <c r="AG545" s="26">
        <f>IF(Tabla_Consulta_desde_Reporte_de_Valorización_de_Instrumentos[[#This Row],[PORTAFOLIO]]="IN-FONDO2",Tabla_Consulta_desde_Reporte_de_Valorización_de_Instrumentos[[#This Row],[Inv MM$]],0)</f>
        <v>0</v>
      </c>
      <c r="AH545" s="26">
        <f>IF(Tabla_Consulta_desde_Reporte_de_Valorización_de_Instrumentos[[#This Row],[PORTAFOLIO]]="IN-FONDO3",Tabla_Consulta_desde_Reporte_de_Valorización_de_Instrumentos[[#This Row],[Inv MM$]],0)</f>
        <v>0</v>
      </c>
      <c r="AI54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5" s="26">
        <f>IFERROR(IFERROR(INDEX('BD(MSCI)'!$T:$T,MATCH(Tabla_Consulta_desde_Reporte_de_Valorización_de_Instrumentos[[#This Row],[CODIGO_ISIN]],'BD(MSCI)'!$C:$C,0),1),INDEX('BD(MSCI)'!$T:$T,MATCH(Tabla_Consulta_desde_Reporte_de_Valorización_de_Instrumentos[[#This Row],[CODIGO_SBS]],'BD(MSCI)'!$C:$C,0),1)),0)</f>
        <v>0</v>
      </c>
      <c r="AK545" s="26">
        <f>Tabla_Consulta_desde_Reporte_de_Valorización_de_Instrumentos[[#This Row],[C02-H]]*Tabla_Consulta_desde_Reporte_de_Valorización_de_Instrumentos[[#This Row],[Inv MM$]]</f>
        <v>0</v>
      </c>
      <c r="AL545" s="26">
        <f>Tabla_Consulta_desde_Reporte_de_Valorización_de_Instrumentos[[#This Row],[C02-H]]*Tabla_Consulta_desde_Reporte_de_Valorización_de_Instrumentos[[#This Row],[Weight]]</f>
        <v>0</v>
      </c>
      <c r="AM545" s="26" t="e">
        <f>INDEX(Parametria!G:G,MATCH(Tabla_Consulta_desde_Reporte_de_Valorización_de_Instrumentos[[#This Row],[CODIGO_SBS]],Parametria!C:C,0))</f>
        <v>#N/A</v>
      </c>
      <c r="AN545" s="26" t="e">
        <f>INDEX(Parametria!F:F,MATCH(Tabla_Consulta_desde_Reporte_de_Valorización_de_Instrumentos[[#This Row],[CODIGO_SBS]],Parametria!C:C,0))</f>
        <v>#N/A</v>
      </c>
      <c r="AO545" s="26" t="e">
        <f>+INDEX(Parametria!J:J,MATCH(Tabla_Consulta_desde_Reporte_de_Valorización_de_Instrumentos[[#This Row],[CODIGO_SBS]],Parametria!C:C,0))</f>
        <v>#N/A</v>
      </c>
      <c r="AP545" s="26">
        <f>Tabla_Consulta_desde_Reporte_de_Valorización_de_Instrumentos[[#This Row],[Huella]]/$AU$4</f>
        <v>0</v>
      </c>
      <c r="AQ545" s="26" t="e">
        <f>IFERROR(INDEX('BD(MSCI)'!W:W,MATCH(Tabla_Consulta_desde_Reporte_de_Valorización_de_Instrumentos[[#This Row],[CODIGO_ISIN]],'BD(MSCI)'!C:C,0)),IF(Tabla_Consulta_desde_Reporte_de_Valorización_de_Instrumentos[[#This Row],[Rank_rt]]="Cash","Cash","Cuestionario Integra"))</f>
        <v>#N/A</v>
      </c>
      <c r="AR545" s="26" t="str">
        <f>IFERROR(INDEX('BD(MSCI)'!X:X,MATCH(Tabla_Consulta_desde_Reporte_de_Valorización_de_Instrumentos[[#This Row],[CODIGO_ISIN]],'BD(MSCI)'!C:C,0)),"Cuestionario Integra")</f>
        <v>Cuestionario Integra</v>
      </c>
    </row>
    <row r="546" spans="2:44" hidden="1" x14ac:dyDescent="0.25">
      <c r="B546" s="14" t="s">
        <v>6390</v>
      </c>
      <c r="C546" t="s">
        <v>833</v>
      </c>
      <c r="D546" t="s">
        <v>9</v>
      </c>
      <c r="E546" t="s">
        <v>834</v>
      </c>
      <c r="F546" t="s">
        <v>6513</v>
      </c>
      <c r="G546" t="e">
        <f>INDEX(Parametria!H:H,MATCH(Tabla_Consulta_desde_Reporte_de_Valorización_de_Instrumentos[[#This Row],[CODIGO_SBS]],Parametria!C:C,0),1)</f>
        <v>#N/A</v>
      </c>
      <c r="H546" t="s">
        <v>90</v>
      </c>
      <c r="I546" t="s">
        <v>835</v>
      </c>
      <c r="J546" t="s">
        <v>245</v>
      </c>
      <c r="K546" t="s">
        <v>90</v>
      </c>
      <c r="L546">
        <v>1</v>
      </c>
      <c r="M546" s="5">
        <v>25864649.337000001</v>
      </c>
      <c r="N546">
        <v>25864649.337000001</v>
      </c>
      <c r="O546">
        <v>0</v>
      </c>
      <c r="P546" s="15">
        <v>46259</v>
      </c>
      <c r="Q546">
        <v>237</v>
      </c>
      <c r="R546">
        <v>1</v>
      </c>
      <c r="S546" t="s">
        <v>155</v>
      </c>
      <c r="T546">
        <v>25861532.675999999</v>
      </c>
      <c r="U546" s="5">
        <v>25861532.675999999</v>
      </c>
      <c r="V546" t="s">
        <v>192</v>
      </c>
      <c r="W546">
        <v>4565854000</v>
      </c>
      <c r="X546">
        <v>3638173000</v>
      </c>
      <c r="Y546">
        <v>927681000</v>
      </c>
      <c r="Z546">
        <v>0</v>
      </c>
      <c r="AA546" t="str">
        <f>+MID(Tabla_Consulta_desde_Reporte_de_Valorización_de_Instrumentos[[#This Row],[CODIGO_SBS]],7,1)</f>
        <v>1</v>
      </c>
      <c r="AB546">
        <f>INDEX('Cálculo Caja'!F:F,MATCH(Tabla_Consulta_desde_Reporte_de_Valorización_de_Instrumentos[[#This Row],[PORTAFOLIO]],'Cálculo Caja'!A:A,0),1)</f>
        <v>2847839359.3764262</v>
      </c>
      <c r="AC546" s="17">
        <f>Tabla_Consulta_desde_Reporte_de_Valorización_de_Instrumentos[[#This Row],[VALOR_VECTOR_LOCAL]]/Tabla_Consulta_desde_Reporte_de_Valorización_de_Instrumentos[[#This Row],[Patrimonio]]</f>
        <v>9.0822009506404972E-3</v>
      </c>
      <c r="AD546" s="4">
        <f>(Tabla_Consulta_desde_Reporte_de_Valorización_de_Instrumentos[[#This Row],[VALOR_VECTOR_LOCAL]]/INDEX('Tipo de Cambio'!$D:$D,MATCH("2",'Tipo de Cambio'!$E:$E,0),1))/1000000</f>
        <v>7.6957509408194236</v>
      </c>
      <c r="AE546">
        <f>IF(Tabla_Consulta_desde_Reporte_de_Valorización_de_Instrumentos[[#This Row],[PORTAFOLIO]]="IN-FONDO0",Tabla_Consulta_desde_Reporte_de_Valorización_de_Instrumentos[[#This Row],[Inv MM$]],0)</f>
        <v>7.6957509408194236</v>
      </c>
      <c r="AF546" s="26">
        <f>IF(Tabla_Consulta_desde_Reporte_de_Valorización_de_Instrumentos[[#This Row],[PORTAFOLIO]]="IN-FONDO1",Tabla_Consulta_desde_Reporte_de_Valorización_de_Instrumentos[[#This Row],[Inv MM$]],0)</f>
        <v>0</v>
      </c>
      <c r="AG546" s="26">
        <f>IF(Tabla_Consulta_desde_Reporte_de_Valorización_de_Instrumentos[[#This Row],[PORTAFOLIO]]="IN-FONDO2",Tabla_Consulta_desde_Reporte_de_Valorización_de_Instrumentos[[#This Row],[Inv MM$]],0)</f>
        <v>0</v>
      </c>
      <c r="AH546" s="26">
        <f>IF(Tabla_Consulta_desde_Reporte_de_Valorización_de_Instrumentos[[#This Row],[PORTAFOLIO]]="IN-FONDO3",Tabla_Consulta_desde_Reporte_de_Valorización_de_Instrumentos[[#This Row],[Inv MM$]],0)</f>
        <v>0</v>
      </c>
      <c r="AI54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6" s="26">
        <f>IFERROR(IFERROR(INDEX('BD(MSCI)'!$T:$T,MATCH(Tabla_Consulta_desde_Reporte_de_Valorización_de_Instrumentos[[#This Row],[CODIGO_ISIN]],'BD(MSCI)'!$C:$C,0),1),INDEX('BD(MSCI)'!$T:$T,MATCH(Tabla_Consulta_desde_Reporte_de_Valorización_de_Instrumentos[[#This Row],[CODIGO_SBS]],'BD(MSCI)'!$C:$C,0),1)),0)</f>
        <v>0</v>
      </c>
      <c r="AK546" s="26">
        <f>Tabla_Consulta_desde_Reporte_de_Valorización_de_Instrumentos[[#This Row],[C02-H]]*Tabla_Consulta_desde_Reporte_de_Valorización_de_Instrumentos[[#This Row],[Inv MM$]]</f>
        <v>0</v>
      </c>
      <c r="AL546" s="26">
        <f>Tabla_Consulta_desde_Reporte_de_Valorización_de_Instrumentos[[#This Row],[C02-H]]*Tabla_Consulta_desde_Reporte_de_Valorización_de_Instrumentos[[#This Row],[Weight]]</f>
        <v>0</v>
      </c>
      <c r="AM546" s="26" t="e">
        <f>INDEX(Parametria!G:G,MATCH(Tabla_Consulta_desde_Reporte_de_Valorización_de_Instrumentos[[#This Row],[CODIGO_SBS]],Parametria!C:C,0))</f>
        <v>#N/A</v>
      </c>
      <c r="AN546" s="26" t="e">
        <f>INDEX(Parametria!F:F,MATCH(Tabla_Consulta_desde_Reporte_de_Valorización_de_Instrumentos[[#This Row],[CODIGO_SBS]],Parametria!C:C,0))</f>
        <v>#N/A</v>
      </c>
      <c r="AO546" s="26" t="e">
        <f>+INDEX(Parametria!J:J,MATCH(Tabla_Consulta_desde_Reporte_de_Valorización_de_Instrumentos[[#This Row],[CODIGO_SBS]],Parametria!C:C,0))</f>
        <v>#N/A</v>
      </c>
      <c r="AP546" s="26">
        <f>Tabla_Consulta_desde_Reporte_de_Valorización_de_Instrumentos[[#This Row],[Huella]]/$AU$4</f>
        <v>0</v>
      </c>
      <c r="AQ546" s="26" t="e">
        <f>IFERROR(INDEX('BD(MSCI)'!W:W,MATCH(Tabla_Consulta_desde_Reporte_de_Valorización_de_Instrumentos[[#This Row],[CODIGO_ISIN]],'BD(MSCI)'!C:C,0)),IF(Tabla_Consulta_desde_Reporte_de_Valorización_de_Instrumentos[[#This Row],[Rank_rt]]="Cash","Cash","Cuestionario Integra"))</f>
        <v>#N/A</v>
      </c>
      <c r="AR546" s="26" t="str">
        <f>IFERROR(INDEX('BD(MSCI)'!X:X,MATCH(Tabla_Consulta_desde_Reporte_de_Valorización_de_Instrumentos[[#This Row],[CODIGO_ISIN]],'BD(MSCI)'!C:C,0)),"Cuestionario Integra")</f>
        <v>Cuestionario Integra</v>
      </c>
    </row>
    <row r="547" spans="2:44" hidden="1" x14ac:dyDescent="0.25">
      <c r="B547" s="14" t="s">
        <v>6390</v>
      </c>
      <c r="C547" t="s">
        <v>833</v>
      </c>
      <c r="D547" t="s">
        <v>9</v>
      </c>
      <c r="E547" t="s">
        <v>834</v>
      </c>
      <c r="F547" t="s">
        <v>6514</v>
      </c>
      <c r="G547" t="e">
        <f>INDEX(Parametria!H:H,MATCH(Tabla_Consulta_desde_Reporte_de_Valorización_de_Instrumentos[[#This Row],[CODIGO_SBS]],Parametria!C:C,0),1)</f>
        <v>#N/A</v>
      </c>
      <c r="H547" t="s">
        <v>90</v>
      </c>
      <c r="I547" t="s">
        <v>835</v>
      </c>
      <c r="J547" t="s">
        <v>243</v>
      </c>
      <c r="K547" t="s">
        <v>90</v>
      </c>
      <c r="L547">
        <v>1</v>
      </c>
      <c r="M547" s="5">
        <v>25864649.337000001</v>
      </c>
      <c r="N547">
        <v>25864649.337000001</v>
      </c>
      <c r="O547">
        <v>0</v>
      </c>
      <c r="P547" s="15">
        <v>46259</v>
      </c>
      <c r="Q547">
        <v>237</v>
      </c>
      <c r="R547">
        <v>1</v>
      </c>
      <c r="S547" t="s">
        <v>155</v>
      </c>
      <c r="T547">
        <v>25861532.675999999</v>
      </c>
      <c r="U547" s="5">
        <v>25861532.675999999</v>
      </c>
      <c r="V547" t="s">
        <v>192</v>
      </c>
      <c r="W547">
        <v>4565854000</v>
      </c>
      <c r="X547">
        <v>3638173000</v>
      </c>
      <c r="Y547">
        <v>927681000</v>
      </c>
      <c r="Z547">
        <v>0</v>
      </c>
      <c r="AA547" t="str">
        <f>+MID(Tabla_Consulta_desde_Reporte_de_Valorización_de_Instrumentos[[#This Row],[CODIGO_SBS]],7,1)</f>
        <v>1</v>
      </c>
      <c r="AB547">
        <f>INDEX('Cálculo Caja'!F:F,MATCH(Tabla_Consulta_desde_Reporte_de_Valorización_de_Instrumentos[[#This Row],[PORTAFOLIO]],'Cálculo Caja'!A:A,0),1)</f>
        <v>2847839359.3764262</v>
      </c>
      <c r="AC547" s="17">
        <f>Tabla_Consulta_desde_Reporte_de_Valorización_de_Instrumentos[[#This Row],[VALOR_VECTOR_LOCAL]]/Tabla_Consulta_desde_Reporte_de_Valorización_de_Instrumentos[[#This Row],[Patrimonio]]</f>
        <v>9.0822009506404972E-3</v>
      </c>
      <c r="AD547" s="4">
        <f>(Tabla_Consulta_desde_Reporte_de_Valorización_de_Instrumentos[[#This Row],[VALOR_VECTOR_LOCAL]]/INDEX('Tipo de Cambio'!$D:$D,MATCH("2",'Tipo de Cambio'!$E:$E,0),1))/1000000</f>
        <v>7.6957509408194236</v>
      </c>
      <c r="AE547">
        <f>IF(Tabla_Consulta_desde_Reporte_de_Valorización_de_Instrumentos[[#This Row],[PORTAFOLIO]]="IN-FONDO0",Tabla_Consulta_desde_Reporte_de_Valorización_de_Instrumentos[[#This Row],[Inv MM$]],0)</f>
        <v>7.6957509408194236</v>
      </c>
      <c r="AF547" s="26">
        <f>IF(Tabla_Consulta_desde_Reporte_de_Valorización_de_Instrumentos[[#This Row],[PORTAFOLIO]]="IN-FONDO1",Tabla_Consulta_desde_Reporte_de_Valorización_de_Instrumentos[[#This Row],[Inv MM$]],0)</f>
        <v>0</v>
      </c>
      <c r="AG547" s="26">
        <f>IF(Tabla_Consulta_desde_Reporte_de_Valorización_de_Instrumentos[[#This Row],[PORTAFOLIO]]="IN-FONDO2",Tabla_Consulta_desde_Reporte_de_Valorización_de_Instrumentos[[#This Row],[Inv MM$]],0)</f>
        <v>0</v>
      </c>
      <c r="AH547" s="26">
        <f>IF(Tabla_Consulta_desde_Reporte_de_Valorización_de_Instrumentos[[#This Row],[PORTAFOLIO]]="IN-FONDO3",Tabla_Consulta_desde_Reporte_de_Valorización_de_Instrumentos[[#This Row],[Inv MM$]],0)</f>
        <v>0</v>
      </c>
      <c r="AI54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7" s="26">
        <f>IFERROR(IFERROR(INDEX('BD(MSCI)'!$T:$T,MATCH(Tabla_Consulta_desde_Reporte_de_Valorización_de_Instrumentos[[#This Row],[CODIGO_ISIN]],'BD(MSCI)'!$C:$C,0),1),INDEX('BD(MSCI)'!$T:$T,MATCH(Tabla_Consulta_desde_Reporte_de_Valorización_de_Instrumentos[[#This Row],[CODIGO_SBS]],'BD(MSCI)'!$C:$C,0),1)),0)</f>
        <v>0</v>
      </c>
      <c r="AK547" s="26">
        <f>Tabla_Consulta_desde_Reporte_de_Valorización_de_Instrumentos[[#This Row],[C02-H]]*Tabla_Consulta_desde_Reporte_de_Valorización_de_Instrumentos[[#This Row],[Inv MM$]]</f>
        <v>0</v>
      </c>
      <c r="AL547" s="26">
        <f>Tabla_Consulta_desde_Reporte_de_Valorización_de_Instrumentos[[#This Row],[C02-H]]*Tabla_Consulta_desde_Reporte_de_Valorización_de_Instrumentos[[#This Row],[Weight]]</f>
        <v>0</v>
      </c>
      <c r="AM547" s="26" t="e">
        <f>INDEX(Parametria!G:G,MATCH(Tabla_Consulta_desde_Reporte_de_Valorización_de_Instrumentos[[#This Row],[CODIGO_SBS]],Parametria!C:C,0))</f>
        <v>#N/A</v>
      </c>
      <c r="AN547" s="26" t="e">
        <f>INDEX(Parametria!F:F,MATCH(Tabla_Consulta_desde_Reporte_de_Valorización_de_Instrumentos[[#This Row],[CODIGO_SBS]],Parametria!C:C,0))</f>
        <v>#N/A</v>
      </c>
      <c r="AO547" s="26" t="e">
        <f>+INDEX(Parametria!J:J,MATCH(Tabla_Consulta_desde_Reporte_de_Valorización_de_Instrumentos[[#This Row],[CODIGO_SBS]],Parametria!C:C,0))</f>
        <v>#N/A</v>
      </c>
      <c r="AP547" s="26">
        <f>Tabla_Consulta_desde_Reporte_de_Valorización_de_Instrumentos[[#This Row],[Huella]]/$AU$4</f>
        <v>0</v>
      </c>
      <c r="AQ547" s="26" t="e">
        <f>IFERROR(INDEX('BD(MSCI)'!W:W,MATCH(Tabla_Consulta_desde_Reporte_de_Valorización_de_Instrumentos[[#This Row],[CODIGO_ISIN]],'BD(MSCI)'!C:C,0)),IF(Tabla_Consulta_desde_Reporte_de_Valorización_de_Instrumentos[[#This Row],[Rank_rt]]="Cash","Cash","Cuestionario Integra"))</f>
        <v>#N/A</v>
      </c>
      <c r="AR547" s="26" t="str">
        <f>IFERROR(INDEX('BD(MSCI)'!X:X,MATCH(Tabla_Consulta_desde_Reporte_de_Valorización_de_Instrumentos[[#This Row],[CODIGO_ISIN]],'BD(MSCI)'!C:C,0)),"Cuestionario Integra")</f>
        <v>Cuestionario Integra</v>
      </c>
    </row>
    <row r="548" spans="2:44" hidden="1" x14ac:dyDescent="0.25">
      <c r="B548" s="14" t="s">
        <v>6390</v>
      </c>
      <c r="C548" t="s">
        <v>833</v>
      </c>
      <c r="D548" t="s">
        <v>9</v>
      </c>
      <c r="E548" t="s">
        <v>834</v>
      </c>
      <c r="F548" t="s">
        <v>6515</v>
      </c>
      <c r="G548" t="e">
        <f>INDEX(Parametria!H:H,MATCH(Tabla_Consulta_desde_Reporte_de_Valorización_de_Instrumentos[[#This Row],[CODIGO_SBS]],Parametria!C:C,0),1)</f>
        <v>#N/A</v>
      </c>
      <c r="H548" t="s">
        <v>90</v>
      </c>
      <c r="I548" t="s">
        <v>835</v>
      </c>
      <c r="J548" t="s">
        <v>243</v>
      </c>
      <c r="K548" t="s">
        <v>90</v>
      </c>
      <c r="L548">
        <v>1</v>
      </c>
      <c r="M548" s="5">
        <v>30647834.460000001</v>
      </c>
      <c r="N548">
        <v>30647834.460000001</v>
      </c>
      <c r="O548">
        <v>0</v>
      </c>
      <c r="P548" s="15">
        <v>46213</v>
      </c>
      <c r="Q548">
        <v>191</v>
      </c>
      <c r="R548">
        <v>1</v>
      </c>
      <c r="S548" t="s">
        <v>155</v>
      </c>
      <c r="T548">
        <v>30644001.120000001</v>
      </c>
      <c r="U548" s="5">
        <v>30644001.120000001</v>
      </c>
      <c r="V548" t="s">
        <v>192</v>
      </c>
      <c r="W548">
        <v>4565854000</v>
      </c>
      <c r="X548">
        <v>3638173000</v>
      </c>
      <c r="Y548">
        <v>927681000</v>
      </c>
      <c r="Z548">
        <v>0</v>
      </c>
      <c r="AA548" t="str">
        <f>+MID(Tabla_Consulta_desde_Reporte_de_Valorización_de_Instrumentos[[#This Row],[CODIGO_SBS]],7,1)</f>
        <v>1</v>
      </c>
      <c r="AB548">
        <f>INDEX('Cálculo Caja'!F:F,MATCH(Tabla_Consulta_desde_Reporte_de_Valorización_de_Instrumentos[[#This Row],[PORTAFOLIO]],'Cálculo Caja'!A:A,0),1)</f>
        <v>2847839359.3764262</v>
      </c>
      <c r="AC548" s="17">
        <f>Tabla_Consulta_desde_Reporte_de_Valorización_de_Instrumentos[[#This Row],[VALOR_VECTOR_LOCAL]]/Tabla_Consulta_desde_Reporte_de_Valorización_de_Instrumentos[[#This Row],[Patrimonio]]</f>
        <v>1.0761784845445344E-2</v>
      </c>
      <c r="AD548" s="4">
        <f>(Tabla_Consulta_desde_Reporte_de_Valorización_de_Instrumentos[[#This Row],[VALOR_VECTOR_LOCAL]]/INDEX('Tipo de Cambio'!$D:$D,MATCH("2",'Tipo de Cambio'!$E:$E,0),1))/1000000</f>
        <v>9.1189367312327061</v>
      </c>
      <c r="AE548">
        <f>IF(Tabla_Consulta_desde_Reporte_de_Valorización_de_Instrumentos[[#This Row],[PORTAFOLIO]]="IN-FONDO0",Tabla_Consulta_desde_Reporte_de_Valorización_de_Instrumentos[[#This Row],[Inv MM$]],0)</f>
        <v>9.1189367312327061</v>
      </c>
      <c r="AF548" s="26">
        <f>IF(Tabla_Consulta_desde_Reporte_de_Valorización_de_Instrumentos[[#This Row],[PORTAFOLIO]]="IN-FONDO1",Tabla_Consulta_desde_Reporte_de_Valorización_de_Instrumentos[[#This Row],[Inv MM$]],0)</f>
        <v>0</v>
      </c>
      <c r="AG548" s="26">
        <f>IF(Tabla_Consulta_desde_Reporte_de_Valorización_de_Instrumentos[[#This Row],[PORTAFOLIO]]="IN-FONDO2",Tabla_Consulta_desde_Reporte_de_Valorización_de_Instrumentos[[#This Row],[Inv MM$]],0)</f>
        <v>0</v>
      </c>
      <c r="AH548" s="26">
        <f>IF(Tabla_Consulta_desde_Reporte_de_Valorización_de_Instrumentos[[#This Row],[PORTAFOLIO]]="IN-FONDO3",Tabla_Consulta_desde_Reporte_de_Valorización_de_Instrumentos[[#This Row],[Inv MM$]],0)</f>
        <v>0</v>
      </c>
      <c r="AI54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8" s="26">
        <f>IFERROR(IFERROR(INDEX('BD(MSCI)'!$T:$T,MATCH(Tabla_Consulta_desde_Reporte_de_Valorización_de_Instrumentos[[#This Row],[CODIGO_ISIN]],'BD(MSCI)'!$C:$C,0),1),INDEX('BD(MSCI)'!$T:$T,MATCH(Tabla_Consulta_desde_Reporte_de_Valorización_de_Instrumentos[[#This Row],[CODIGO_SBS]],'BD(MSCI)'!$C:$C,0),1)),0)</f>
        <v>0</v>
      </c>
      <c r="AK548" s="26">
        <f>Tabla_Consulta_desde_Reporte_de_Valorización_de_Instrumentos[[#This Row],[C02-H]]*Tabla_Consulta_desde_Reporte_de_Valorización_de_Instrumentos[[#This Row],[Inv MM$]]</f>
        <v>0</v>
      </c>
      <c r="AL548" s="26">
        <f>Tabla_Consulta_desde_Reporte_de_Valorización_de_Instrumentos[[#This Row],[C02-H]]*Tabla_Consulta_desde_Reporte_de_Valorización_de_Instrumentos[[#This Row],[Weight]]</f>
        <v>0</v>
      </c>
      <c r="AM548" s="26" t="e">
        <f>INDEX(Parametria!G:G,MATCH(Tabla_Consulta_desde_Reporte_de_Valorización_de_Instrumentos[[#This Row],[CODIGO_SBS]],Parametria!C:C,0))</f>
        <v>#N/A</v>
      </c>
      <c r="AN548" s="26" t="e">
        <f>INDEX(Parametria!F:F,MATCH(Tabla_Consulta_desde_Reporte_de_Valorización_de_Instrumentos[[#This Row],[CODIGO_SBS]],Parametria!C:C,0))</f>
        <v>#N/A</v>
      </c>
      <c r="AO548" s="26" t="e">
        <f>+INDEX(Parametria!J:J,MATCH(Tabla_Consulta_desde_Reporte_de_Valorización_de_Instrumentos[[#This Row],[CODIGO_SBS]],Parametria!C:C,0))</f>
        <v>#N/A</v>
      </c>
      <c r="AP548" s="26">
        <f>Tabla_Consulta_desde_Reporte_de_Valorización_de_Instrumentos[[#This Row],[Huella]]/$AU$4</f>
        <v>0</v>
      </c>
      <c r="AQ548" s="26" t="e">
        <f>IFERROR(INDEX('BD(MSCI)'!W:W,MATCH(Tabla_Consulta_desde_Reporte_de_Valorización_de_Instrumentos[[#This Row],[CODIGO_ISIN]],'BD(MSCI)'!C:C,0)),IF(Tabla_Consulta_desde_Reporte_de_Valorización_de_Instrumentos[[#This Row],[Rank_rt]]="Cash","Cash","Cuestionario Integra"))</f>
        <v>#N/A</v>
      </c>
      <c r="AR548" s="26" t="str">
        <f>IFERROR(INDEX('BD(MSCI)'!X:X,MATCH(Tabla_Consulta_desde_Reporte_de_Valorización_de_Instrumentos[[#This Row],[CODIGO_ISIN]],'BD(MSCI)'!C:C,0)),"Cuestionario Integra")</f>
        <v>Cuestionario Integra</v>
      </c>
    </row>
    <row r="549" spans="2:44" hidden="1" x14ac:dyDescent="0.25">
      <c r="B549" s="14" t="s">
        <v>6390</v>
      </c>
      <c r="C549" t="s">
        <v>833</v>
      </c>
      <c r="D549" t="s">
        <v>9</v>
      </c>
      <c r="E549" t="s">
        <v>834</v>
      </c>
      <c r="F549" t="s">
        <v>6516</v>
      </c>
      <c r="G549" t="e">
        <f>INDEX(Parametria!H:H,MATCH(Tabla_Consulta_desde_Reporte_de_Valorización_de_Instrumentos[[#This Row],[CODIGO_SBS]],Parametria!C:C,0),1)</f>
        <v>#N/A</v>
      </c>
      <c r="H549" t="s">
        <v>90</v>
      </c>
      <c r="I549" t="s">
        <v>835</v>
      </c>
      <c r="J549" t="s">
        <v>243</v>
      </c>
      <c r="K549" t="s">
        <v>90</v>
      </c>
      <c r="L549">
        <v>1</v>
      </c>
      <c r="M549" s="5">
        <v>30644001.120000001</v>
      </c>
      <c r="N549">
        <v>30644001.120000001</v>
      </c>
      <c r="O549">
        <v>0</v>
      </c>
      <c r="P549" s="15">
        <v>46162</v>
      </c>
      <c r="Q549">
        <v>140</v>
      </c>
      <c r="R549">
        <v>1</v>
      </c>
      <c r="S549" t="s">
        <v>155</v>
      </c>
      <c r="T549">
        <v>30640167.780000001</v>
      </c>
      <c r="U549" s="5">
        <v>30640167.780000001</v>
      </c>
      <c r="V549" t="s">
        <v>192</v>
      </c>
      <c r="W549">
        <v>4565854000</v>
      </c>
      <c r="X549">
        <v>3638173000</v>
      </c>
      <c r="Y549">
        <v>927681000</v>
      </c>
      <c r="Z549">
        <v>0</v>
      </c>
      <c r="AA549" t="str">
        <f>+MID(Tabla_Consulta_desde_Reporte_de_Valorización_de_Instrumentos[[#This Row],[CODIGO_SBS]],7,1)</f>
        <v>1</v>
      </c>
      <c r="AB549">
        <f>INDEX('Cálculo Caja'!F:F,MATCH(Tabla_Consulta_desde_Reporte_de_Valorización_de_Instrumentos[[#This Row],[PORTAFOLIO]],'Cálculo Caja'!A:A,0),1)</f>
        <v>2847839359.3764262</v>
      </c>
      <c r="AC549" s="17">
        <f>Tabla_Consulta_desde_Reporte_de_Valorización_de_Instrumentos[[#This Row],[VALOR_VECTOR_LOCAL]]/Tabla_Consulta_desde_Reporte_de_Valorización_de_Instrumentos[[#This Row],[Patrimonio]]</f>
        <v>1.0760438793398068E-2</v>
      </c>
      <c r="AD549" s="4">
        <f>(Tabla_Consulta_desde_Reporte_de_Valorización_de_Instrumentos[[#This Row],[VALOR_VECTOR_LOCAL]]/INDEX('Tipo de Cambio'!$D:$D,MATCH("2",'Tipo de Cambio'!$E:$E,0),1))/1000000</f>
        <v>9.1177961617423904</v>
      </c>
      <c r="AE549">
        <f>IF(Tabla_Consulta_desde_Reporte_de_Valorización_de_Instrumentos[[#This Row],[PORTAFOLIO]]="IN-FONDO0",Tabla_Consulta_desde_Reporte_de_Valorización_de_Instrumentos[[#This Row],[Inv MM$]],0)</f>
        <v>9.1177961617423904</v>
      </c>
      <c r="AF549" s="26">
        <f>IF(Tabla_Consulta_desde_Reporte_de_Valorización_de_Instrumentos[[#This Row],[PORTAFOLIO]]="IN-FONDO1",Tabla_Consulta_desde_Reporte_de_Valorización_de_Instrumentos[[#This Row],[Inv MM$]],0)</f>
        <v>0</v>
      </c>
      <c r="AG549" s="26">
        <f>IF(Tabla_Consulta_desde_Reporte_de_Valorización_de_Instrumentos[[#This Row],[PORTAFOLIO]]="IN-FONDO2",Tabla_Consulta_desde_Reporte_de_Valorización_de_Instrumentos[[#This Row],[Inv MM$]],0)</f>
        <v>0</v>
      </c>
      <c r="AH549" s="26">
        <f>IF(Tabla_Consulta_desde_Reporte_de_Valorización_de_Instrumentos[[#This Row],[PORTAFOLIO]]="IN-FONDO3",Tabla_Consulta_desde_Reporte_de_Valorización_de_Instrumentos[[#This Row],[Inv MM$]],0)</f>
        <v>0</v>
      </c>
      <c r="AI54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9" s="26">
        <f>IFERROR(IFERROR(INDEX('BD(MSCI)'!$T:$T,MATCH(Tabla_Consulta_desde_Reporte_de_Valorización_de_Instrumentos[[#This Row],[CODIGO_ISIN]],'BD(MSCI)'!$C:$C,0),1),INDEX('BD(MSCI)'!$T:$T,MATCH(Tabla_Consulta_desde_Reporte_de_Valorización_de_Instrumentos[[#This Row],[CODIGO_SBS]],'BD(MSCI)'!$C:$C,0),1)),0)</f>
        <v>0</v>
      </c>
      <c r="AK549" s="26">
        <f>Tabla_Consulta_desde_Reporte_de_Valorización_de_Instrumentos[[#This Row],[C02-H]]*Tabla_Consulta_desde_Reporte_de_Valorización_de_Instrumentos[[#This Row],[Inv MM$]]</f>
        <v>0</v>
      </c>
      <c r="AL549" s="26">
        <f>Tabla_Consulta_desde_Reporte_de_Valorización_de_Instrumentos[[#This Row],[C02-H]]*Tabla_Consulta_desde_Reporte_de_Valorización_de_Instrumentos[[#This Row],[Weight]]</f>
        <v>0</v>
      </c>
      <c r="AM549" s="26" t="e">
        <f>INDEX(Parametria!G:G,MATCH(Tabla_Consulta_desde_Reporte_de_Valorización_de_Instrumentos[[#This Row],[CODIGO_SBS]],Parametria!C:C,0))</f>
        <v>#N/A</v>
      </c>
      <c r="AN549" s="26" t="e">
        <f>INDEX(Parametria!F:F,MATCH(Tabla_Consulta_desde_Reporte_de_Valorización_de_Instrumentos[[#This Row],[CODIGO_SBS]],Parametria!C:C,0))</f>
        <v>#N/A</v>
      </c>
      <c r="AO549" s="26" t="e">
        <f>+INDEX(Parametria!J:J,MATCH(Tabla_Consulta_desde_Reporte_de_Valorización_de_Instrumentos[[#This Row],[CODIGO_SBS]],Parametria!C:C,0))</f>
        <v>#N/A</v>
      </c>
      <c r="AP549" s="26">
        <f>Tabla_Consulta_desde_Reporte_de_Valorización_de_Instrumentos[[#This Row],[Huella]]/$AU$4</f>
        <v>0</v>
      </c>
      <c r="AQ549" s="26" t="e">
        <f>IFERROR(INDEX('BD(MSCI)'!W:W,MATCH(Tabla_Consulta_desde_Reporte_de_Valorización_de_Instrumentos[[#This Row],[CODIGO_ISIN]],'BD(MSCI)'!C:C,0)),IF(Tabla_Consulta_desde_Reporte_de_Valorización_de_Instrumentos[[#This Row],[Rank_rt]]="Cash","Cash","Cuestionario Integra"))</f>
        <v>#N/A</v>
      </c>
      <c r="AR549" s="26" t="str">
        <f>IFERROR(INDEX('BD(MSCI)'!X:X,MATCH(Tabla_Consulta_desde_Reporte_de_Valorización_de_Instrumentos[[#This Row],[CODIGO_ISIN]],'BD(MSCI)'!C:C,0)),"Cuestionario Integra")</f>
        <v>Cuestionario Integra</v>
      </c>
    </row>
    <row r="550" spans="2:44" hidden="1" x14ac:dyDescent="0.25">
      <c r="B550" s="14" t="s">
        <v>6390</v>
      </c>
      <c r="C550" t="s">
        <v>833</v>
      </c>
      <c r="D550" t="s">
        <v>9</v>
      </c>
      <c r="E550" t="s">
        <v>834</v>
      </c>
      <c r="F550" t="s">
        <v>6517</v>
      </c>
      <c r="G550" t="e">
        <f>INDEX(Parametria!H:H,MATCH(Tabla_Consulta_desde_Reporte_de_Valorización_de_Instrumentos[[#This Row],[CODIGO_SBS]],Parametria!C:C,0),1)</f>
        <v>#N/A</v>
      </c>
      <c r="H550" t="s">
        <v>90</v>
      </c>
      <c r="I550" t="s">
        <v>835</v>
      </c>
      <c r="J550" t="s">
        <v>373</v>
      </c>
      <c r="K550" t="s">
        <v>90</v>
      </c>
      <c r="L550">
        <v>1</v>
      </c>
      <c r="M550" s="5">
        <v>15271875</v>
      </c>
      <c r="N550">
        <v>15271875</v>
      </c>
      <c r="O550">
        <v>0</v>
      </c>
      <c r="P550" s="15">
        <v>46237</v>
      </c>
      <c r="Q550">
        <v>215</v>
      </c>
      <c r="R550">
        <v>1</v>
      </c>
      <c r="S550" t="s">
        <v>155</v>
      </c>
      <c r="T550">
        <v>15270000</v>
      </c>
      <c r="U550" s="5">
        <v>15270000</v>
      </c>
      <c r="V550" t="s">
        <v>192</v>
      </c>
      <c r="W550">
        <v>4565854000</v>
      </c>
      <c r="X550">
        <v>3638173000</v>
      </c>
      <c r="Y550">
        <v>927681000</v>
      </c>
      <c r="Z550">
        <v>0</v>
      </c>
      <c r="AA550" t="str">
        <f>+MID(Tabla_Consulta_desde_Reporte_de_Valorización_de_Instrumentos[[#This Row],[CODIGO_SBS]],7,1)</f>
        <v>1</v>
      </c>
      <c r="AB550">
        <f>INDEX('Cálculo Caja'!F:F,MATCH(Tabla_Consulta_desde_Reporte_de_Valorización_de_Instrumentos[[#This Row],[PORTAFOLIO]],'Cálculo Caja'!A:A,0),1)</f>
        <v>2847839359.3764262</v>
      </c>
      <c r="AC550" s="17">
        <f>Tabla_Consulta_desde_Reporte_de_Valorización_de_Instrumentos[[#This Row],[VALOR_VECTOR_LOCAL]]/Tabla_Consulta_desde_Reporte_de_Valorización_de_Instrumentos[[#This Row],[Patrimonio]]</f>
        <v>5.3626181370510966E-3</v>
      </c>
      <c r="AD550" s="4">
        <f>(Tabla_Consulta_desde_Reporte_de_Valorización_de_Instrumentos[[#This Row],[VALOR_VECTOR_LOCAL]]/INDEX('Tipo de Cambio'!$D:$D,MATCH("2",'Tipo de Cambio'!$E:$E,0),1))/1000000</f>
        <v>4.5439837543515127</v>
      </c>
      <c r="AE550">
        <f>IF(Tabla_Consulta_desde_Reporte_de_Valorización_de_Instrumentos[[#This Row],[PORTAFOLIO]]="IN-FONDO0",Tabla_Consulta_desde_Reporte_de_Valorización_de_Instrumentos[[#This Row],[Inv MM$]],0)</f>
        <v>4.5439837543515127</v>
      </c>
      <c r="AF550" s="26">
        <f>IF(Tabla_Consulta_desde_Reporte_de_Valorización_de_Instrumentos[[#This Row],[PORTAFOLIO]]="IN-FONDO1",Tabla_Consulta_desde_Reporte_de_Valorización_de_Instrumentos[[#This Row],[Inv MM$]],0)</f>
        <v>0</v>
      </c>
      <c r="AG550" s="26">
        <f>IF(Tabla_Consulta_desde_Reporte_de_Valorización_de_Instrumentos[[#This Row],[PORTAFOLIO]]="IN-FONDO2",Tabla_Consulta_desde_Reporte_de_Valorización_de_Instrumentos[[#This Row],[Inv MM$]],0)</f>
        <v>0</v>
      </c>
      <c r="AH550" s="26">
        <f>IF(Tabla_Consulta_desde_Reporte_de_Valorización_de_Instrumentos[[#This Row],[PORTAFOLIO]]="IN-FONDO3",Tabla_Consulta_desde_Reporte_de_Valorización_de_Instrumentos[[#This Row],[Inv MM$]],0)</f>
        <v>0</v>
      </c>
      <c r="AI55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0" s="26">
        <f>IFERROR(IFERROR(INDEX('BD(MSCI)'!$T:$T,MATCH(Tabla_Consulta_desde_Reporte_de_Valorización_de_Instrumentos[[#This Row],[CODIGO_ISIN]],'BD(MSCI)'!$C:$C,0),1),INDEX('BD(MSCI)'!$T:$T,MATCH(Tabla_Consulta_desde_Reporte_de_Valorización_de_Instrumentos[[#This Row],[CODIGO_SBS]],'BD(MSCI)'!$C:$C,0),1)),0)</f>
        <v>0</v>
      </c>
      <c r="AK550" s="26">
        <f>Tabla_Consulta_desde_Reporte_de_Valorización_de_Instrumentos[[#This Row],[C02-H]]*Tabla_Consulta_desde_Reporte_de_Valorización_de_Instrumentos[[#This Row],[Inv MM$]]</f>
        <v>0</v>
      </c>
      <c r="AL550" s="26">
        <f>Tabla_Consulta_desde_Reporte_de_Valorización_de_Instrumentos[[#This Row],[C02-H]]*Tabla_Consulta_desde_Reporte_de_Valorización_de_Instrumentos[[#This Row],[Weight]]</f>
        <v>0</v>
      </c>
      <c r="AM550" s="26" t="e">
        <f>INDEX(Parametria!G:G,MATCH(Tabla_Consulta_desde_Reporte_de_Valorización_de_Instrumentos[[#This Row],[CODIGO_SBS]],Parametria!C:C,0))</f>
        <v>#N/A</v>
      </c>
      <c r="AN550" s="26" t="e">
        <f>INDEX(Parametria!F:F,MATCH(Tabla_Consulta_desde_Reporte_de_Valorización_de_Instrumentos[[#This Row],[CODIGO_SBS]],Parametria!C:C,0))</f>
        <v>#N/A</v>
      </c>
      <c r="AO550" s="26" t="e">
        <f>+INDEX(Parametria!J:J,MATCH(Tabla_Consulta_desde_Reporte_de_Valorización_de_Instrumentos[[#This Row],[CODIGO_SBS]],Parametria!C:C,0))</f>
        <v>#N/A</v>
      </c>
      <c r="AP550" s="26">
        <f>Tabla_Consulta_desde_Reporte_de_Valorización_de_Instrumentos[[#This Row],[Huella]]/$AU$4</f>
        <v>0</v>
      </c>
      <c r="AQ550" s="26" t="e">
        <f>IFERROR(INDEX('BD(MSCI)'!W:W,MATCH(Tabla_Consulta_desde_Reporte_de_Valorización_de_Instrumentos[[#This Row],[CODIGO_ISIN]],'BD(MSCI)'!C:C,0)),IF(Tabla_Consulta_desde_Reporte_de_Valorización_de_Instrumentos[[#This Row],[Rank_rt]]="Cash","Cash","Cuestionario Integra"))</f>
        <v>#N/A</v>
      </c>
      <c r="AR550" s="26" t="str">
        <f>IFERROR(INDEX('BD(MSCI)'!X:X,MATCH(Tabla_Consulta_desde_Reporte_de_Valorización_de_Instrumentos[[#This Row],[CODIGO_ISIN]],'BD(MSCI)'!C:C,0)),"Cuestionario Integra")</f>
        <v>Cuestionario Integra</v>
      </c>
    </row>
    <row r="551" spans="2:44" hidden="1" x14ac:dyDescent="0.25">
      <c r="B551" s="14" t="s">
        <v>6390</v>
      </c>
      <c r="C551" t="s">
        <v>833</v>
      </c>
      <c r="D551" t="s">
        <v>9</v>
      </c>
      <c r="E551" t="s">
        <v>834</v>
      </c>
      <c r="F551" t="s">
        <v>6518</v>
      </c>
      <c r="G551" t="e">
        <f>INDEX(Parametria!H:H,MATCH(Tabla_Consulta_desde_Reporte_de_Valorización_de_Instrumentos[[#This Row],[CODIGO_SBS]],Parametria!C:C,0),1)</f>
        <v>#N/A</v>
      </c>
      <c r="H551" t="s">
        <v>90</v>
      </c>
      <c r="I551" t="s">
        <v>835</v>
      </c>
      <c r="J551" t="s">
        <v>245</v>
      </c>
      <c r="K551" t="s">
        <v>90</v>
      </c>
      <c r="L551">
        <v>1</v>
      </c>
      <c r="M551" s="5">
        <v>12216786.288000001</v>
      </c>
      <c r="N551">
        <v>12216786.288000001</v>
      </c>
      <c r="O551">
        <v>0</v>
      </c>
      <c r="P551" s="15">
        <v>46239</v>
      </c>
      <c r="Q551">
        <v>217</v>
      </c>
      <c r="R551">
        <v>1</v>
      </c>
      <c r="S551" t="s">
        <v>155</v>
      </c>
      <c r="T551">
        <v>12215259.624</v>
      </c>
      <c r="U551" s="5">
        <v>12215259.624</v>
      </c>
      <c r="V551" t="s">
        <v>192</v>
      </c>
      <c r="W551">
        <v>4565854000</v>
      </c>
      <c r="X551">
        <v>3638173000</v>
      </c>
      <c r="Y551">
        <v>927681000</v>
      </c>
      <c r="Z551">
        <v>0</v>
      </c>
      <c r="AA551" t="str">
        <f>+MID(Tabla_Consulta_desde_Reporte_de_Valorización_de_Instrumentos[[#This Row],[CODIGO_SBS]],7,1)</f>
        <v>1</v>
      </c>
      <c r="AB551">
        <f>INDEX('Cálculo Caja'!F:F,MATCH(Tabla_Consulta_desde_Reporte_de_Valorización_de_Instrumentos[[#This Row],[PORTAFOLIO]],'Cálculo Caja'!A:A,0),1)</f>
        <v>2847839359.3764262</v>
      </c>
      <c r="AC551" s="17">
        <f>Tabla_Consulta_desde_Reporte_de_Valorización_de_Instrumentos[[#This Row],[VALOR_VECTOR_LOCAL]]/Tabla_Consulta_desde_Reporte_de_Valorización_de_Instrumentos[[#This Row],[Patrimonio]]</f>
        <v>4.2898438943814003E-3</v>
      </c>
      <c r="AD551" s="4">
        <f>(Tabla_Consulta_desde_Reporte_de_Valorización_de_Instrumentos[[#This Row],[VALOR_VECTOR_LOCAL]]/INDEX('Tipo de Cambio'!$D:$D,MATCH("2",'Tipo de Cambio'!$E:$E,0),1))/1000000</f>
        <v>3.6349746460769436</v>
      </c>
      <c r="AE551">
        <f>IF(Tabla_Consulta_desde_Reporte_de_Valorización_de_Instrumentos[[#This Row],[PORTAFOLIO]]="IN-FONDO0",Tabla_Consulta_desde_Reporte_de_Valorización_de_Instrumentos[[#This Row],[Inv MM$]],0)</f>
        <v>3.6349746460769436</v>
      </c>
      <c r="AF551" s="26">
        <f>IF(Tabla_Consulta_desde_Reporte_de_Valorización_de_Instrumentos[[#This Row],[PORTAFOLIO]]="IN-FONDO1",Tabla_Consulta_desde_Reporte_de_Valorización_de_Instrumentos[[#This Row],[Inv MM$]],0)</f>
        <v>0</v>
      </c>
      <c r="AG551" s="26">
        <f>IF(Tabla_Consulta_desde_Reporte_de_Valorización_de_Instrumentos[[#This Row],[PORTAFOLIO]]="IN-FONDO2",Tabla_Consulta_desde_Reporte_de_Valorización_de_Instrumentos[[#This Row],[Inv MM$]],0)</f>
        <v>0</v>
      </c>
      <c r="AH551" s="26">
        <f>IF(Tabla_Consulta_desde_Reporte_de_Valorización_de_Instrumentos[[#This Row],[PORTAFOLIO]]="IN-FONDO3",Tabla_Consulta_desde_Reporte_de_Valorización_de_Instrumentos[[#This Row],[Inv MM$]],0)</f>
        <v>0</v>
      </c>
      <c r="AI55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1" s="26">
        <f>IFERROR(IFERROR(INDEX('BD(MSCI)'!$T:$T,MATCH(Tabla_Consulta_desde_Reporte_de_Valorización_de_Instrumentos[[#This Row],[CODIGO_ISIN]],'BD(MSCI)'!$C:$C,0),1),INDEX('BD(MSCI)'!$T:$T,MATCH(Tabla_Consulta_desde_Reporte_de_Valorización_de_Instrumentos[[#This Row],[CODIGO_SBS]],'BD(MSCI)'!$C:$C,0),1)),0)</f>
        <v>0</v>
      </c>
      <c r="AK551" s="26">
        <f>Tabla_Consulta_desde_Reporte_de_Valorización_de_Instrumentos[[#This Row],[C02-H]]*Tabla_Consulta_desde_Reporte_de_Valorización_de_Instrumentos[[#This Row],[Inv MM$]]</f>
        <v>0</v>
      </c>
      <c r="AL551" s="26">
        <f>Tabla_Consulta_desde_Reporte_de_Valorización_de_Instrumentos[[#This Row],[C02-H]]*Tabla_Consulta_desde_Reporte_de_Valorización_de_Instrumentos[[#This Row],[Weight]]</f>
        <v>0</v>
      </c>
      <c r="AM551" s="26" t="e">
        <f>INDEX(Parametria!G:G,MATCH(Tabla_Consulta_desde_Reporte_de_Valorización_de_Instrumentos[[#This Row],[CODIGO_SBS]],Parametria!C:C,0))</f>
        <v>#N/A</v>
      </c>
      <c r="AN551" s="26" t="e">
        <f>INDEX(Parametria!F:F,MATCH(Tabla_Consulta_desde_Reporte_de_Valorización_de_Instrumentos[[#This Row],[CODIGO_SBS]],Parametria!C:C,0))</f>
        <v>#N/A</v>
      </c>
      <c r="AO551" s="26" t="e">
        <f>+INDEX(Parametria!J:J,MATCH(Tabla_Consulta_desde_Reporte_de_Valorización_de_Instrumentos[[#This Row],[CODIGO_SBS]],Parametria!C:C,0))</f>
        <v>#N/A</v>
      </c>
      <c r="AP551" s="26">
        <f>Tabla_Consulta_desde_Reporte_de_Valorización_de_Instrumentos[[#This Row],[Huella]]/$AU$4</f>
        <v>0</v>
      </c>
      <c r="AQ551" s="26" t="e">
        <f>IFERROR(INDEX('BD(MSCI)'!W:W,MATCH(Tabla_Consulta_desde_Reporte_de_Valorización_de_Instrumentos[[#This Row],[CODIGO_ISIN]],'BD(MSCI)'!C:C,0)),IF(Tabla_Consulta_desde_Reporte_de_Valorización_de_Instrumentos[[#This Row],[Rank_rt]]="Cash","Cash","Cuestionario Integra"))</f>
        <v>#N/A</v>
      </c>
      <c r="AR551" s="26" t="str">
        <f>IFERROR(INDEX('BD(MSCI)'!X:X,MATCH(Tabla_Consulta_desde_Reporte_de_Valorización_de_Instrumentos[[#This Row],[CODIGO_ISIN]],'BD(MSCI)'!C:C,0)),"Cuestionario Integra")</f>
        <v>Cuestionario Integra</v>
      </c>
    </row>
    <row r="552" spans="2:44" hidden="1" x14ac:dyDescent="0.25">
      <c r="B552" s="14" t="s">
        <v>6390</v>
      </c>
      <c r="C552" t="s">
        <v>833</v>
      </c>
      <c r="D552" t="s">
        <v>9</v>
      </c>
      <c r="E552" t="s">
        <v>834</v>
      </c>
      <c r="F552" t="s">
        <v>6519</v>
      </c>
      <c r="G552" t="e">
        <f>INDEX(Parametria!H:H,MATCH(Tabla_Consulta_desde_Reporte_de_Valorización_de_Instrumentos[[#This Row],[CODIGO_SBS]],Parametria!C:C,0),1)</f>
        <v>#N/A</v>
      </c>
      <c r="H552" t="s">
        <v>90</v>
      </c>
      <c r="I552" t="s">
        <v>835</v>
      </c>
      <c r="J552" t="s">
        <v>373</v>
      </c>
      <c r="K552" t="s">
        <v>90</v>
      </c>
      <c r="L552">
        <v>1</v>
      </c>
      <c r="M552" s="5">
        <v>35621250</v>
      </c>
      <c r="N552">
        <v>35621250</v>
      </c>
      <c r="O552">
        <v>0</v>
      </c>
      <c r="P552" s="15">
        <v>46132</v>
      </c>
      <c r="Q552">
        <v>110</v>
      </c>
      <c r="R552">
        <v>1</v>
      </c>
      <c r="S552" t="s">
        <v>155</v>
      </c>
      <c r="T552">
        <v>35616875</v>
      </c>
      <c r="U552" s="5">
        <v>35616875</v>
      </c>
      <c r="V552" t="s">
        <v>192</v>
      </c>
      <c r="W552">
        <v>4565854000</v>
      </c>
      <c r="X552">
        <v>3638173000</v>
      </c>
      <c r="Y552">
        <v>927681000</v>
      </c>
      <c r="Z552">
        <v>0</v>
      </c>
      <c r="AA552" t="str">
        <f>+MID(Tabla_Consulta_desde_Reporte_de_Valorización_de_Instrumentos[[#This Row],[CODIGO_SBS]],7,1)</f>
        <v>1</v>
      </c>
      <c r="AB552">
        <f>INDEX('Cálculo Caja'!F:F,MATCH(Tabla_Consulta_desde_Reporte_de_Valorización_de_Instrumentos[[#This Row],[PORTAFOLIO]],'Cálculo Caja'!A:A,0),1)</f>
        <v>2847839359.3764262</v>
      </c>
      <c r="AC552" s="17">
        <f>Tabla_Consulta_desde_Reporte_de_Valorización_de_Instrumentos[[#This Row],[VALOR_VECTOR_LOCAL]]/Tabla_Consulta_desde_Reporte_de_Valorización_de_Instrumentos[[#This Row],[Patrimonio]]</f>
        <v>1.2508166895972589E-2</v>
      </c>
      <c r="AD552" s="4">
        <f>(Tabla_Consulta_desde_Reporte_de_Valorización_de_Instrumentos[[#This Row],[VALOR_VECTOR_LOCAL]]/INDEX('Tipo de Cambio'!$D:$D,MATCH("2",'Tipo de Cambio'!$E:$E,0),1))/1000000</f>
        <v>10.598723556190306</v>
      </c>
      <c r="AE552">
        <f>IF(Tabla_Consulta_desde_Reporte_de_Valorización_de_Instrumentos[[#This Row],[PORTAFOLIO]]="IN-FONDO0",Tabla_Consulta_desde_Reporte_de_Valorización_de_Instrumentos[[#This Row],[Inv MM$]],0)</f>
        <v>10.598723556190306</v>
      </c>
      <c r="AF552" s="26">
        <f>IF(Tabla_Consulta_desde_Reporte_de_Valorización_de_Instrumentos[[#This Row],[PORTAFOLIO]]="IN-FONDO1",Tabla_Consulta_desde_Reporte_de_Valorización_de_Instrumentos[[#This Row],[Inv MM$]],0)</f>
        <v>0</v>
      </c>
      <c r="AG552" s="26">
        <f>IF(Tabla_Consulta_desde_Reporte_de_Valorización_de_Instrumentos[[#This Row],[PORTAFOLIO]]="IN-FONDO2",Tabla_Consulta_desde_Reporte_de_Valorización_de_Instrumentos[[#This Row],[Inv MM$]],0)</f>
        <v>0</v>
      </c>
      <c r="AH552" s="26">
        <f>IF(Tabla_Consulta_desde_Reporte_de_Valorización_de_Instrumentos[[#This Row],[PORTAFOLIO]]="IN-FONDO3",Tabla_Consulta_desde_Reporte_de_Valorización_de_Instrumentos[[#This Row],[Inv MM$]],0)</f>
        <v>0</v>
      </c>
      <c r="AI55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2" s="26">
        <f>IFERROR(IFERROR(INDEX('BD(MSCI)'!$T:$T,MATCH(Tabla_Consulta_desde_Reporte_de_Valorización_de_Instrumentos[[#This Row],[CODIGO_ISIN]],'BD(MSCI)'!$C:$C,0),1),INDEX('BD(MSCI)'!$T:$T,MATCH(Tabla_Consulta_desde_Reporte_de_Valorización_de_Instrumentos[[#This Row],[CODIGO_SBS]],'BD(MSCI)'!$C:$C,0),1)),0)</f>
        <v>0</v>
      </c>
      <c r="AK552" s="26">
        <f>Tabla_Consulta_desde_Reporte_de_Valorización_de_Instrumentos[[#This Row],[C02-H]]*Tabla_Consulta_desde_Reporte_de_Valorización_de_Instrumentos[[#This Row],[Inv MM$]]</f>
        <v>0</v>
      </c>
      <c r="AL552" s="26">
        <f>Tabla_Consulta_desde_Reporte_de_Valorización_de_Instrumentos[[#This Row],[C02-H]]*Tabla_Consulta_desde_Reporte_de_Valorización_de_Instrumentos[[#This Row],[Weight]]</f>
        <v>0</v>
      </c>
      <c r="AM552" s="26" t="e">
        <f>INDEX(Parametria!G:G,MATCH(Tabla_Consulta_desde_Reporte_de_Valorización_de_Instrumentos[[#This Row],[CODIGO_SBS]],Parametria!C:C,0))</f>
        <v>#N/A</v>
      </c>
      <c r="AN552" s="26" t="e">
        <f>INDEX(Parametria!F:F,MATCH(Tabla_Consulta_desde_Reporte_de_Valorización_de_Instrumentos[[#This Row],[CODIGO_SBS]],Parametria!C:C,0))</f>
        <v>#N/A</v>
      </c>
      <c r="AO552" s="26" t="e">
        <f>+INDEX(Parametria!J:J,MATCH(Tabla_Consulta_desde_Reporte_de_Valorización_de_Instrumentos[[#This Row],[CODIGO_SBS]],Parametria!C:C,0))</f>
        <v>#N/A</v>
      </c>
      <c r="AP552" s="26">
        <f>Tabla_Consulta_desde_Reporte_de_Valorización_de_Instrumentos[[#This Row],[Huella]]/$AU$4</f>
        <v>0</v>
      </c>
      <c r="AQ552" s="26" t="e">
        <f>IFERROR(INDEX('BD(MSCI)'!W:W,MATCH(Tabla_Consulta_desde_Reporte_de_Valorización_de_Instrumentos[[#This Row],[CODIGO_ISIN]],'BD(MSCI)'!C:C,0)),IF(Tabla_Consulta_desde_Reporte_de_Valorización_de_Instrumentos[[#This Row],[Rank_rt]]="Cash","Cash","Cuestionario Integra"))</f>
        <v>#N/A</v>
      </c>
      <c r="AR552" s="26" t="str">
        <f>IFERROR(INDEX('BD(MSCI)'!X:X,MATCH(Tabla_Consulta_desde_Reporte_de_Valorización_de_Instrumentos[[#This Row],[CODIGO_ISIN]],'BD(MSCI)'!C:C,0)),"Cuestionario Integra")</f>
        <v>Cuestionario Integra</v>
      </c>
    </row>
    <row r="553" spans="2:44" hidden="1" x14ac:dyDescent="0.25">
      <c r="B553" s="14" t="s">
        <v>6390</v>
      </c>
      <c r="C553" t="s">
        <v>833</v>
      </c>
      <c r="D553" t="s">
        <v>9</v>
      </c>
      <c r="E553" t="s">
        <v>834</v>
      </c>
      <c r="F553" t="s">
        <v>6520</v>
      </c>
      <c r="G553" t="e">
        <f>INDEX(Parametria!H:H,MATCH(Tabla_Consulta_desde_Reporte_de_Valorización_de_Instrumentos[[#This Row],[CODIGO_SBS]],Parametria!C:C,0),1)</f>
        <v>#N/A</v>
      </c>
      <c r="H553" t="s">
        <v>90</v>
      </c>
      <c r="I553" t="s">
        <v>835</v>
      </c>
      <c r="J553" t="s">
        <v>373</v>
      </c>
      <c r="K553" t="s">
        <v>90</v>
      </c>
      <c r="L553">
        <v>1</v>
      </c>
      <c r="M553" s="5">
        <v>40710000</v>
      </c>
      <c r="N553">
        <v>40710000</v>
      </c>
      <c r="O553">
        <v>0</v>
      </c>
      <c r="P553" s="15">
        <v>46043</v>
      </c>
      <c r="Q553">
        <v>21</v>
      </c>
      <c r="R553">
        <v>1</v>
      </c>
      <c r="S553" t="s">
        <v>155</v>
      </c>
      <c r="T553">
        <v>40705000</v>
      </c>
      <c r="U553" s="5">
        <v>40705000</v>
      </c>
      <c r="V553" t="s">
        <v>192</v>
      </c>
      <c r="W553">
        <v>4565854000</v>
      </c>
      <c r="X553">
        <v>3638173000</v>
      </c>
      <c r="Y553">
        <v>927681000</v>
      </c>
      <c r="Z553">
        <v>0</v>
      </c>
      <c r="AA553" t="str">
        <f>+MID(Tabla_Consulta_desde_Reporte_de_Valorización_de_Instrumentos[[#This Row],[CODIGO_SBS]],7,1)</f>
        <v>1</v>
      </c>
      <c r="AB553">
        <f>INDEX('Cálculo Caja'!F:F,MATCH(Tabla_Consulta_desde_Reporte_de_Valorización_de_Instrumentos[[#This Row],[PORTAFOLIO]],'Cálculo Caja'!A:A,0),1)</f>
        <v>2847839359.3764262</v>
      </c>
      <c r="AC553" s="17">
        <f>Tabla_Consulta_desde_Reporte_de_Valorización_de_Instrumentos[[#This Row],[VALOR_VECTOR_LOCAL]]/Tabla_Consulta_desde_Reporte_de_Valorización_de_Instrumentos[[#This Row],[Patrimonio]]</f>
        <v>1.4295047881111531E-2</v>
      </c>
      <c r="AD553" s="4">
        <f>(Tabla_Consulta_desde_Reporte_de_Valorización_de_Instrumentos[[#This Row],[VALOR_VECTOR_LOCAL]]/INDEX('Tipo de Cambio'!$D:$D,MATCH("2",'Tipo de Cambio'!$E:$E,0),1))/1000000</f>
        <v>12.11282692136035</v>
      </c>
      <c r="AE553">
        <f>IF(Tabla_Consulta_desde_Reporte_de_Valorización_de_Instrumentos[[#This Row],[PORTAFOLIO]]="IN-FONDO0",Tabla_Consulta_desde_Reporte_de_Valorización_de_Instrumentos[[#This Row],[Inv MM$]],0)</f>
        <v>12.11282692136035</v>
      </c>
      <c r="AF553" s="26">
        <f>IF(Tabla_Consulta_desde_Reporte_de_Valorización_de_Instrumentos[[#This Row],[PORTAFOLIO]]="IN-FONDO1",Tabla_Consulta_desde_Reporte_de_Valorización_de_Instrumentos[[#This Row],[Inv MM$]],0)</f>
        <v>0</v>
      </c>
      <c r="AG553" s="26">
        <f>IF(Tabla_Consulta_desde_Reporte_de_Valorización_de_Instrumentos[[#This Row],[PORTAFOLIO]]="IN-FONDO2",Tabla_Consulta_desde_Reporte_de_Valorización_de_Instrumentos[[#This Row],[Inv MM$]],0)</f>
        <v>0</v>
      </c>
      <c r="AH553" s="26">
        <f>IF(Tabla_Consulta_desde_Reporte_de_Valorización_de_Instrumentos[[#This Row],[PORTAFOLIO]]="IN-FONDO3",Tabla_Consulta_desde_Reporte_de_Valorización_de_Instrumentos[[#This Row],[Inv MM$]],0)</f>
        <v>0</v>
      </c>
      <c r="AI55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3" s="26">
        <f>IFERROR(IFERROR(INDEX('BD(MSCI)'!$T:$T,MATCH(Tabla_Consulta_desde_Reporte_de_Valorización_de_Instrumentos[[#This Row],[CODIGO_ISIN]],'BD(MSCI)'!$C:$C,0),1),INDEX('BD(MSCI)'!$T:$T,MATCH(Tabla_Consulta_desde_Reporte_de_Valorización_de_Instrumentos[[#This Row],[CODIGO_SBS]],'BD(MSCI)'!$C:$C,0),1)),0)</f>
        <v>0</v>
      </c>
      <c r="AK553" s="26">
        <f>Tabla_Consulta_desde_Reporte_de_Valorización_de_Instrumentos[[#This Row],[C02-H]]*Tabla_Consulta_desde_Reporte_de_Valorización_de_Instrumentos[[#This Row],[Inv MM$]]</f>
        <v>0</v>
      </c>
      <c r="AL553" s="26">
        <f>Tabla_Consulta_desde_Reporte_de_Valorización_de_Instrumentos[[#This Row],[C02-H]]*Tabla_Consulta_desde_Reporte_de_Valorización_de_Instrumentos[[#This Row],[Weight]]</f>
        <v>0</v>
      </c>
      <c r="AM553" s="26" t="e">
        <f>INDEX(Parametria!G:G,MATCH(Tabla_Consulta_desde_Reporte_de_Valorización_de_Instrumentos[[#This Row],[CODIGO_SBS]],Parametria!C:C,0))</f>
        <v>#N/A</v>
      </c>
      <c r="AN553" s="26" t="e">
        <f>INDEX(Parametria!F:F,MATCH(Tabla_Consulta_desde_Reporte_de_Valorización_de_Instrumentos[[#This Row],[CODIGO_SBS]],Parametria!C:C,0))</f>
        <v>#N/A</v>
      </c>
      <c r="AO553" s="26" t="e">
        <f>+INDEX(Parametria!J:J,MATCH(Tabla_Consulta_desde_Reporte_de_Valorización_de_Instrumentos[[#This Row],[CODIGO_SBS]],Parametria!C:C,0))</f>
        <v>#N/A</v>
      </c>
      <c r="AP553" s="26">
        <f>Tabla_Consulta_desde_Reporte_de_Valorización_de_Instrumentos[[#This Row],[Huella]]/$AU$4</f>
        <v>0</v>
      </c>
      <c r="AQ553" s="26" t="e">
        <f>IFERROR(INDEX('BD(MSCI)'!W:W,MATCH(Tabla_Consulta_desde_Reporte_de_Valorización_de_Instrumentos[[#This Row],[CODIGO_ISIN]],'BD(MSCI)'!C:C,0)),IF(Tabla_Consulta_desde_Reporte_de_Valorización_de_Instrumentos[[#This Row],[Rank_rt]]="Cash","Cash","Cuestionario Integra"))</f>
        <v>#N/A</v>
      </c>
      <c r="AR553" s="26" t="str">
        <f>IFERROR(INDEX('BD(MSCI)'!X:X,MATCH(Tabla_Consulta_desde_Reporte_de_Valorización_de_Instrumentos[[#This Row],[CODIGO_ISIN]],'BD(MSCI)'!C:C,0)),"Cuestionario Integra")</f>
        <v>Cuestionario Integra</v>
      </c>
    </row>
    <row r="554" spans="2:44" hidden="1" x14ac:dyDescent="0.25">
      <c r="B554" s="14" t="s">
        <v>6390</v>
      </c>
      <c r="C554" t="s">
        <v>833</v>
      </c>
      <c r="D554" t="s">
        <v>9</v>
      </c>
      <c r="E554" t="s">
        <v>834</v>
      </c>
      <c r="F554" t="s">
        <v>6521</v>
      </c>
      <c r="G554" t="e">
        <f>INDEX(Parametria!H:H,MATCH(Tabla_Consulta_desde_Reporte_de_Valorización_de_Instrumentos[[#This Row],[CODIGO_SBS]],Parametria!C:C,0),1)</f>
        <v>#N/A</v>
      </c>
      <c r="H554" t="s">
        <v>90</v>
      </c>
      <c r="I554" t="s">
        <v>835</v>
      </c>
      <c r="J554" t="s">
        <v>243</v>
      </c>
      <c r="K554" t="s">
        <v>90</v>
      </c>
      <c r="L554">
        <v>1</v>
      </c>
      <c r="M554" s="5">
        <v>61581915.299999997</v>
      </c>
      <c r="N554">
        <v>61581915.299999997</v>
      </c>
      <c r="O554">
        <v>0</v>
      </c>
      <c r="P554" s="15">
        <v>46177</v>
      </c>
      <c r="Q554">
        <v>155</v>
      </c>
      <c r="R554">
        <v>1</v>
      </c>
      <c r="S554" t="s">
        <v>155</v>
      </c>
      <c r="T554">
        <v>61574198.640000001</v>
      </c>
      <c r="U554" s="5">
        <v>61574198.640000001</v>
      </c>
      <c r="V554" t="s">
        <v>192</v>
      </c>
      <c r="W554">
        <v>4565854000</v>
      </c>
      <c r="X554">
        <v>3638173000</v>
      </c>
      <c r="Y554">
        <v>927681000</v>
      </c>
      <c r="Z554">
        <v>0</v>
      </c>
      <c r="AA554" t="str">
        <f>+MID(Tabla_Consulta_desde_Reporte_de_Valorización_de_Instrumentos[[#This Row],[CODIGO_SBS]],7,1)</f>
        <v>1</v>
      </c>
      <c r="AB554">
        <f>INDEX('Cálculo Caja'!F:F,MATCH(Tabla_Consulta_desde_Reporte_de_Valorización_de_Instrumentos[[#This Row],[PORTAFOLIO]],'Cálculo Caja'!A:A,0),1)</f>
        <v>2847839359.3764262</v>
      </c>
      <c r="AC554" s="17">
        <f>Tabla_Consulta_desde_Reporte_de_Valorización_de_Instrumentos[[#This Row],[VALOR_VECTOR_LOCAL]]/Tabla_Consulta_desde_Reporte_de_Valorización_de_Instrumentos[[#This Row],[Patrimonio]]</f>
        <v>2.1624083218473464E-2</v>
      </c>
      <c r="AD554" s="4">
        <f>(Tabla_Consulta_desde_Reporte_de_Valorización_de_Instrumentos[[#This Row],[VALOR_VECTOR_LOCAL]]/INDEX('Tipo de Cambio'!$D:$D,MATCH("2",'Tipo de Cambio'!$E:$E,0),1))/1000000</f>
        <v>18.32304302418995</v>
      </c>
      <c r="AE554">
        <f>IF(Tabla_Consulta_desde_Reporte_de_Valorización_de_Instrumentos[[#This Row],[PORTAFOLIO]]="IN-FONDO0",Tabla_Consulta_desde_Reporte_de_Valorización_de_Instrumentos[[#This Row],[Inv MM$]],0)</f>
        <v>18.32304302418995</v>
      </c>
      <c r="AF554" s="26">
        <f>IF(Tabla_Consulta_desde_Reporte_de_Valorización_de_Instrumentos[[#This Row],[PORTAFOLIO]]="IN-FONDO1",Tabla_Consulta_desde_Reporte_de_Valorización_de_Instrumentos[[#This Row],[Inv MM$]],0)</f>
        <v>0</v>
      </c>
      <c r="AG554" s="26">
        <f>IF(Tabla_Consulta_desde_Reporte_de_Valorización_de_Instrumentos[[#This Row],[PORTAFOLIO]]="IN-FONDO2",Tabla_Consulta_desde_Reporte_de_Valorización_de_Instrumentos[[#This Row],[Inv MM$]],0)</f>
        <v>0</v>
      </c>
      <c r="AH554" s="26">
        <f>IF(Tabla_Consulta_desde_Reporte_de_Valorización_de_Instrumentos[[#This Row],[PORTAFOLIO]]="IN-FONDO3",Tabla_Consulta_desde_Reporte_de_Valorización_de_Instrumentos[[#This Row],[Inv MM$]],0)</f>
        <v>0</v>
      </c>
      <c r="AI55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4" s="26">
        <f>IFERROR(IFERROR(INDEX('BD(MSCI)'!$T:$T,MATCH(Tabla_Consulta_desde_Reporte_de_Valorización_de_Instrumentos[[#This Row],[CODIGO_ISIN]],'BD(MSCI)'!$C:$C,0),1),INDEX('BD(MSCI)'!$T:$T,MATCH(Tabla_Consulta_desde_Reporte_de_Valorización_de_Instrumentos[[#This Row],[CODIGO_SBS]],'BD(MSCI)'!$C:$C,0),1)),0)</f>
        <v>0</v>
      </c>
      <c r="AK554" s="26">
        <f>Tabla_Consulta_desde_Reporte_de_Valorización_de_Instrumentos[[#This Row],[C02-H]]*Tabla_Consulta_desde_Reporte_de_Valorización_de_Instrumentos[[#This Row],[Inv MM$]]</f>
        <v>0</v>
      </c>
      <c r="AL554" s="26">
        <f>Tabla_Consulta_desde_Reporte_de_Valorización_de_Instrumentos[[#This Row],[C02-H]]*Tabla_Consulta_desde_Reporte_de_Valorización_de_Instrumentos[[#This Row],[Weight]]</f>
        <v>0</v>
      </c>
      <c r="AM554" s="26" t="e">
        <f>INDEX(Parametria!G:G,MATCH(Tabla_Consulta_desde_Reporte_de_Valorización_de_Instrumentos[[#This Row],[CODIGO_SBS]],Parametria!C:C,0))</f>
        <v>#N/A</v>
      </c>
      <c r="AN554" s="26" t="e">
        <f>INDEX(Parametria!F:F,MATCH(Tabla_Consulta_desde_Reporte_de_Valorización_de_Instrumentos[[#This Row],[CODIGO_SBS]],Parametria!C:C,0))</f>
        <v>#N/A</v>
      </c>
      <c r="AO554" s="26" t="e">
        <f>+INDEX(Parametria!J:J,MATCH(Tabla_Consulta_desde_Reporte_de_Valorización_de_Instrumentos[[#This Row],[CODIGO_SBS]],Parametria!C:C,0))</f>
        <v>#N/A</v>
      </c>
      <c r="AP554" s="26">
        <f>Tabla_Consulta_desde_Reporte_de_Valorización_de_Instrumentos[[#This Row],[Huella]]/$AU$4</f>
        <v>0</v>
      </c>
      <c r="AQ554" s="26" t="e">
        <f>IFERROR(INDEX('BD(MSCI)'!W:W,MATCH(Tabla_Consulta_desde_Reporte_de_Valorización_de_Instrumentos[[#This Row],[CODIGO_ISIN]],'BD(MSCI)'!C:C,0)),IF(Tabla_Consulta_desde_Reporte_de_Valorización_de_Instrumentos[[#This Row],[Rank_rt]]="Cash","Cash","Cuestionario Integra"))</f>
        <v>#N/A</v>
      </c>
      <c r="AR554" s="26" t="str">
        <f>IFERROR(INDEX('BD(MSCI)'!X:X,MATCH(Tabla_Consulta_desde_Reporte_de_Valorización_de_Instrumentos[[#This Row],[CODIGO_ISIN]],'BD(MSCI)'!C:C,0)),"Cuestionario Integra")</f>
        <v>Cuestionario Integra</v>
      </c>
    </row>
    <row r="555" spans="2:44" hidden="1" x14ac:dyDescent="0.25">
      <c r="B555" s="14" t="s">
        <v>6390</v>
      </c>
      <c r="C555" t="s">
        <v>833</v>
      </c>
      <c r="D555" t="s">
        <v>9</v>
      </c>
      <c r="E555" t="s">
        <v>834</v>
      </c>
      <c r="F555" t="s">
        <v>6522</v>
      </c>
      <c r="G555" t="e">
        <f>INDEX(Parametria!H:H,MATCH(Tabla_Consulta_desde_Reporte_de_Valorización_de_Instrumentos[[#This Row],[CODIGO_SBS]],Parametria!C:C,0),1)</f>
        <v>#N/A</v>
      </c>
      <c r="H555" t="s">
        <v>90</v>
      </c>
      <c r="I555" t="s">
        <v>835</v>
      </c>
      <c r="J555" t="s">
        <v>248</v>
      </c>
      <c r="K555" t="s">
        <v>90</v>
      </c>
      <c r="L555">
        <v>1</v>
      </c>
      <c r="M555" s="5">
        <v>76989000</v>
      </c>
      <c r="N555">
        <v>76989000</v>
      </c>
      <c r="O555">
        <v>0</v>
      </c>
      <c r="P555" s="15">
        <v>46178</v>
      </c>
      <c r="Q555">
        <v>156</v>
      </c>
      <c r="R555">
        <v>1</v>
      </c>
      <c r="S555" t="s">
        <v>155</v>
      </c>
      <c r="T555">
        <v>76979250</v>
      </c>
      <c r="U555" s="5">
        <v>76979250</v>
      </c>
      <c r="V555" t="s">
        <v>192</v>
      </c>
      <c r="W555">
        <v>4565854000</v>
      </c>
      <c r="X555">
        <v>3638173000</v>
      </c>
      <c r="Y555">
        <v>927681000</v>
      </c>
      <c r="Z555">
        <v>0</v>
      </c>
      <c r="AA555" t="str">
        <f>+MID(Tabla_Consulta_desde_Reporte_de_Valorización_de_Instrumentos[[#This Row],[CODIGO_SBS]],7,1)</f>
        <v>1</v>
      </c>
      <c r="AB555">
        <f>INDEX('Cálculo Caja'!F:F,MATCH(Tabla_Consulta_desde_Reporte_de_Valorización_de_Instrumentos[[#This Row],[PORTAFOLIO]],'Cálculo Caja'!A:A,0),1)</f>
        <v>2847839359.3764262</v>
      </c>
      <c r="AC555" s="17">
        <f>Tabla_Consulta_desde_Reporte_de_Valorización_de_Instrumentos[[#This Row],[VALOR_VECTOR_LOCAL]]/Tabla_Consulta_desde_Reporte_de_Valorización_de_Instrumentos[[#This Row],[Patrimonio]]</f>
        <v>2.7034179349518437E-2</v>
      </c>
      <c r="AD555" s="4">
        <f>(Tabla_Consulta_desde_Reporte_de_Valorización_de_Instrumentos[[#This Row],[VALOR_VECTOR_LOCAL]]/INDEX('Tipo de Cambio'!$D:$D,MATCH("2",'Tipo de Cambio'!$E:$E,0),1))/1000000</f>
        <v>22.907256984736229</v>
      </c>
      <c r="AE555">
        <f>IF(Tabla_Consulta_desde_Reporte_de_Valorización_de_Instrumentos[[#This Row],[PORTAFOLIO]]="IN-FONDO0",Tabla_Consulta_desde_Reporte_de_Valorización_de_Instrumentos[[#This Row],[Inv MM$]],0)</f>
        <v>22.907256984736229</v>
      </c>
      <c r="AF555" s="26">
        <f>IF(Tabla_Consulta_desde_Reporte_de_Valorización_de_Instrumentos[[#This Row],[PORTAFOLIO]]="IN-FONDO1",Tabla_Consulta_desde_Reporte_de_Valorización_de_Instrumentos[[#This Row],[Inv MM$]],0)</f>
        <v>0</v>
      </c>
      <c r="AG555" s="26">
        <f>IF(Tabla_Consulta_desde_Reporte_de_Valorización_de_Instrumentos[[#This Row],[PORTAFOLIO]]="IN-FONDO2",Tabla_Consulta_desde_Reporte_de_Valorización_de_Instrumentos[[#This Row],[Inv MM$]],0)</f>
        <v>0</v>
      </c>
      <c r="AH555" s="26">
        <f>IF(Tabla_Consulta_desde_Reporte_de_Valorización_de_Instrumentos[[#This Row],[PORTAFOLIO]]="IN-FONDO3",Tabla_Consulta_desde_Reporte_de_Valorización_de_Instrumentos[[#This Row],[Inv MM$]],0)</f>
        <v>0</v>
      </c>
      <c r="AI55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5" s="26">
        <f>IFERROR(IFERROR(INDEX('BD(MSCI)'!$T:$T,MATCH(Tabla_Consulta_desde_Reporte_de_Valorización_de_Instrumentos[[#This Row],[CODIGO_ISIN]],'BD(MSCI)'!$C:$C,0),1),INDEX('BD(MSCI)'!$T:$T,MATCH(Tabla_Consulta_desde_Reporte_de_Valorización_de_Instrumentos[[#This Row],[CODIGO_SBS]],'BD(MSCI)'!$C:$C,0),1)),0)</f>
        <v>0</v>
      </c>
      <c r="AK555" s="26">
        <f>Tabla_Consulta_desde_Reporte_de_Valorización_de_Instrumentos[[#This Row],[C02-H]]*Tabla_Consulta_desde_Reporte_de_Valorización_de_Instrumentos[[#This Row],[Inv MM$]]</f>
        <v>0</v>
      </c>
      <c r="AL555" s="26">
        <f>Tabla_Consulta_desde_Reporte_de_Valorización_de_Instrumentos[[#This Row],[C02-H]]*Tabla_Consulta_desde_Reporte_de_Valorización_de_Instrumentos[[#This Row],[Weight]]</f>
        <v>0</v>
      </c>
      <c r="AM555" s="26" t="e">
        <f>INDEX(Parametria!G:G,MATCH(Tabla_Consulta_desde_Reporte_de_Valorización_de_Instrumentos[[#This Row],[CODIGO_SBS]],Parametria!C:C,0))</f>
        <v>#N/A</v>
      </c>
      <c r="AN555" s="26" t="e">
        <f>INDEX(Parametria!F:F,MATCH(Tabla_Consulta_desde_Reporte_de_Valorización_de_Instrumentos[[#This Row],[CODIGO_SBS]],Parametria!C:C,0))</f>
        <v>#N/A</v>
      </c>
      <c r="AO555" s="26" t="e">
        <f>+INDEX(Parametria!J:J,MATCH(Tabla_Consulta_desde_Reporte_de_Valorización_de_Instrumentos[[#This Row],[CODIGO_SBS]],Parametria!C:C,0))</f>
        <v>#N/A</v>
      </c>
      <c r="AP555" s="26">
        <f>Tabla_Consulta_desde_Reporte_de_Valorización_de_Instrumentos[[#This Row],[Huella]]/$AU$4</f>
        <v>0</v>
      </c>
      <c r="AQ555" s="26" t="e">
        <f>IFERROR(INDEX('BD(MSCI)'!W:W,MATCH(Tabla_Consulta_desde_Reporte_de_Valorización_de_Instrumentos[[#This Row],[CODIGO_ISIN]],'BD(MSCI)'!C:C,0)),IF(Tabla_Consulta_desde_Reporte_de_Valorización_de_Instrumentos[[#This Row],[Rank_rt]]="Cash","Cash","Cuestionario Integra"))</f>
        <v>#N/A</v>
      </c>
      <c r="AR555" s="26" t="str">
        <f>IFERROR(INDEX('BD(MSCI)'!X:X,MATCH(Tabla_Consulta_desde_Reporte_de_Valorización_de_Instrumentos[[#This Row],[CODIGO_ISIN]],'BD(MSCI)'!C:C,0)),"Cuestionario Integra")</f>
        <v>Cuestionario Integra</v>
      </c>
    </row>
    <row r="556" spans="2:44" hidden="1" x14ac:dyDescent="0.25">
      <c r="B556" s="14" t="s">
        <v>6390</v>
      </c>
      <c r="C556" t="s">
        <v>833</v>
      </c>
      <c r="D556" t="s">
        <v>9</v>
      </c>
      <c r="E556" t="s">
        <v>834</v>
      </c>
      <c r="F556" t="s">
        <v>6523</v>
      </c>
      <c r="G556" t="e">
        <f>INDEX(Parametria!H:H,MATCH(Tabla_Consulta_desde_Reporte_de_Valorización_de_Instrumentos[[#This Row],[CODIGO_SBS]],Parametria!C:C,0),1)</f>
        <v>#N/A</v>
      </c>
      <c r="H556" t="s">
        <v>90</v>
      </c>
      <c r="I556" t="s">
        <v>835</v>
      </c>
      <c r="J556" t="s">
        <v>248</v>
      </c>
      <c r="K556" t="s">
        <v>90</v>
      </c>
      <c r="L556">
        <v>1</v>
      </c>
      <c r="M556" s="5">
        <v>25602556.074999999</v>
      </c>
      <c r="N556">
        <v>25602556.074999999</v>
      </c>
      <c r="O556">
        <v>0</v>
      </c>
      <c r="P556" s="15">
        <v>46195</v>
      </c>
      <c r="Q556">
        <v>173</v>
      </c>
      <c r="R556">
        <v>1</v>
      </c>
      <c r="S556" t="s">
        <v>155</v>
      </c>
      <c r="T556">
        <v>25599333.850000001</v>
      </c>
      <c r="U556" s="5">
        <v>25599333.850000001</v>
      </c>
      <c r="V556" t="s">
        <v>192</v>
      </c>
      <c r="W556">
        <v>4565854000</v>
      </c>
      <c r="X556">
        <v>3638173000</v>
      </c>
      <c r="Y556">
        <v>927681000</v>
      </c>
      <c r="Z556">
        <v>0</v>
      </c>
      <c r="AA556" t="str">
        <f>+MID(Tabla_Consulta_desde_Reporte_de_Valorización_de_Instrumentos[[#This Row],[CODIGO_SBS]],7,1)</f>
        <v>1</v>
      </c>
      <c r="AB556">
        <f>INDEX('Cálculo Caja'!F:F,MATCH(Tabla_Consulta_desde_Reporte_de_Valorización_de_Instrumentos[[#This Row],[PORTAFOLIO]],'Cálculo Caja'!A:A,0),1)</f>
        <v>2847839359.3764262</v>
      </c>
      <c r="AC556" s="17">
        <f>Tabla_Consulta_desde_Reporte_de_Valorización_de_Instrumentos[[#This Row],[VALOR_VECTOR_LOCAL]]/Tabla_Consulta_desde_Reporte_de_Valorización_de_Instrumentos[[#This Row],[Patrimonio]]</f>
        <v>8.9901686310726574E-3</v>
      </c>
      <c r="AD556" s="4">
        <f>(Tabla_Consulta_desde_Reporte_de_Valorización_de_Instrumentos[[#This Row],[VALOR_VECTOR_LOCAL]]/INDEX('Tipo de Cambio'!$D:$D,MATCH("2",'Tipo de Cambio'!$E:$E,0),1))/1000000</f>
        <v>7.6177678821149097</v>
      </c>
      <c r="AE556">
        <f>IF(Tabla_Consulta_desde_Reporte_de_Valorización_de_Instrumentos[[#This Row],[PORTAFOLIO]]="IN-FONDO0",Tabla_Consulta_desde_Reporte_de_Valorización_de_Instrumentos[[#This Row],[Inv MM$]],0)</f>
        <v>7.6177678821149097</v>
      </c>
      <c r="AF556" s="26">
        <f>IF(Tabla_Consulta_desde_Reporte_de_Valorización_de_Instrumentos[[#This Row],[PORTAFOLIO]]="IN-FONDO1",Tabla_Consulta_desde_Reporte_de_Valorización_de_Instrumentos[[#This Row],[Inv MM$]],0)</f>
        <v>0</v>
      </c>
      <c r="AG556" s="26">
        <f>IF(Tabla_Consulta_desde_Reporte_de_Valorización_de_Instrumentos[[#This Row],[PORTAFOLIO]]="IN-FONDO2",Tabla_Consulta_desde_Reporte_de_Valorización_de_Instrumentos[[#This Row],[Inv MM$]],0)</f>
        <v>0</v>
      </c>
      <c r="AH556" s="26">
        <f>IF(Tabla_Consulta_desde_Reporte_de_Valorización_de_Instrumentos[[#This Row],[PORTAFOLIO]]="IN-FONDO3",Tabla_Consulta_desde_Reporte_de_Valorización_de_Instrumentos[[#This Row],[Inv MM$]],0)</f>
        <v>0</v>
      </c>
      <c r="AI55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6" s="26">
        <f>IFERROR(IFERROR(INDEX('BD(MSCI)'!$T:$T,MATCH(Tabla_Consulta_desde_Reporte_de_Valorización_de_Instrumentos[[#This Row],[CODIGO_ISIN]],'BD(MSCI)'!$C:$C,0),1),INDEX('BD(MSCI)'!$T:$T,MATCH(Tabla_Consulta_desde_Reporte_de_Valorización_de_Instrumentos[[#This Row],[CODIGO_SBS]],'BD(MSCI)'!$C:$C,0),1)),0)</f>
        <v>0</v>
      </c>
      <c r="AK556" s="26">
        <f>Tabla_Consulta_desde_Reporte_de_Valorización_de_Instrumentos[[#This Row],[C02-H]]*Tabla_Consulta_desde_Reporte_de_Valorización_de_Instrumentos[[#This Row],[Inv MM$]]</f>
        <v>0</v>
      </c>
      <c r="AL556" s="26">
        <f>Tabla_Consulta_desde_Reporte_de_Valorización_de_Instrumentos[[#This Row],[C02-H]]*Tabla_Consulta_desde_Reporte_de_Valorización_de_Instrumentos[[#This Row],[Weight]]</f>
        <v>0</v>
      </c>
      <c r="AM556" s="26" t="e">
        <f>INDEX(Parametria!G:G,MATCH(Tabla_Consulta_desde_Reporte_de_Valorización_de_Instrumentos[[#This Row],[CODIGO_SBS]],Parametria!C:C,0))</f>
        <v>#N/A</v>
      </c>
      <c r="AN556" s="26" t="e">
        <f>INDEX(Parametria!F:F,MATCH(Tabla_Consulta_desde_Reporte_de_Valorización_de_Instrumentos[[#This Row],[CODIGO_SBS]],Parametria!C:C,0))</f>
        <v>#N/A</v>
      </c>
      <c r="AO556" s="26" t="e">
        <f>+INDEX(Parametria!J:J,MATCH(Tabla_Consulta_desde_Reporte_de_Valorización_de_Instrumentos[[#This Row],[CODIGO_SBS]],Parametria!C:C,0))</f>
        <v>#N/A</v>
      </c>
      <c r="AP556" s="26">
        <f>Tabla_Consulta_desde_Reporte_de_Valorización_de_Instrumentos[[#This Row],[Huella]]/$AU$4</f>
        <v>0</v>
      </c>
      <c r="AQ556" s="26" t="e">
        <f>IFERROR(INDEX('BD(MSCI)'!W:W,MATCH(Tabla_Consulta_desde_Reporte_de_Valorización_de_Instrumentos[[#This Row],[CODIGO_ISIN]],'BD(MSCI)'!C:C,0)),IF(Tabla_Consulta_desde_Reporte_de_Valorización_de_Instrumentos[[#This Row],[Rank_rt]]="Cash","Cash","Cuestionario Integra"))</f>
        <v>#N/A</v>
      </c>
      <c r="AR556" s="26" t="str">
        <f>IFERROR(INDEX('BD(MSCI)'!X:X,MATCH(Tabla_Consulta_desde_Reporte_de_Valorización_de_Instrumentos[[#This Row],[CODIGO_ISIN]],'BD(MSCI)'!C:C,0)),"Cuestionario Integra")</f>
        <v>Cuestionario Integra</v>
      </c>
    </row>
    <row r="557" spans="2:44" hidden="1" x14ac:dyDescent="0.25">
      <c r="B557" s="14" t="s">
        <v>6390</v>
      </c>
      <c r="C557" t="s">
        <v>833</v>
      </c>
      <c r="D557" t="s">
        <v>9</v>
      </c>
      <c r="E557" t="s">
        <v>834</v>
      </c>
      <c r="F557" t="s">
        <v>6524</v>
      </c>
      <c r="G557" t="e">
        <f>INDEX(Parametria!H:H,MATCH(Tabla_Consulta_desde_Reporte_de_Valorización_de_Instrumentos[[#This Row],[CODIGO_SBS]],Parametria!C:C,0),1)</f>
        <v>#N/A</v>
      </c>
      <c r="H557" t="s">
        <v>90</v>
      </c>
      <c r="I557" t="s">
        <v>835</v>
      </c>
      <c r="J557" t="s">
        <v>248</v>
      </c>
      <c r="K557" t="s">
        <v>90</v>
      </c>
      <c r="L557">
        <v>1</v>
      </c>
      <c r="M557" s="5">
        <v>40900277</v>
      </c>
      <c r="N557">
        <v>40900277</v>
      </c>
      <c r="O557">
        <v>0</v>
      </c>
      <c r="P557" s="15">
        <v>46206</v>
      </c>
      <c r="Q557">
        <v>184</v>
      </c>
      <c r="R557">
        <v>1</v>
      </c>
      <c r="S557" t="s">
        <v>155</v>
      </c>
      <c r="T557">
        <v>40895132.560000002</v>
      </c>
      <c r="U557" s="5">
        <v>40895132.560000002</v>
      </c>
      <c r="V557" t="s">
        <v>192</v>
      </c>
      <c r="W557">
        <v>4565854000</v>
      </c>
      <c r="X557">
        <v>3638173000</v>
      </c>
      <c r="Y557">
        <v>927681000</v>
      </c>
      <c r="Z557">
        <v>0</v>
      </c>
      <c r="AA557" t="str">
        <f>+MID(Tabla_Consulta_desde_Reporte_de_Valorización_de_Instrumentos[[#This Row],[CODIGO_SBS]],7,1)</f>
        <v>1</v>
      </c>
      <c r="AB557">
        <f>INDEX('Cálculo Caja'!F:F,MATCH(Tabla_Consulta_desde_Reporte_de_Valorización_de_Instrumentos[[#This Row],[PORTAFOLIO]],'Cálculo Caja'!A:A,0),1)</f>
        <v>2847839359.3764262</v>
      </c>
      <c r="AC557" s="17">
        <f>Tabla_Consulta_desde_Reporte_de_Valorización_de_Instrumentos[[#This Row],[VALOR_VECTOR_LOCAL]]/Tabla_Consulta_desde_Reporte_de_Valorización_de_Instrumentos[[#This Row],[Patrimonio]]</f>
        <v>1.4361862394147008E-2</v>
      </c>
      <c r="AD557" s="4">
        <f>(Tabla_Consulta_desde_Reporte_de_Valorización_de_Instrumentos[[#This Row],[VALOR_VECTOR_LOCAL]]/INDEX('Tipo de Cambio'!$D:$D,MATCH("2",'Tipo de Cambio'!$E:$E,0),1))/1000000</f>
        <v>12.169441816180191</v>
      </c>
      <c r="AE557">
        <f>IF(Tabla_Consulta_desde_Reporte_de_Valorización_de_Instrumentos[[#This Row],[PORTAFOLIO]]="IN-FONDO0",Tabla_Consulta_desde_Reporte_de_Valorización_de_Instrumentos[[#This Row],[Inv MM$]],0)</f>
        <v>12.169441816180191</v>
      </c>
      <c r="AF557" s="26">
        <f>IF(Tabla_Consulta_desde_Reporte_de_Valorización_de_Instrumentos[[#This Row],[PORTAFOLIO]]="IN-FONDO1",Tabla_Consulta_desde_Reporte_de_Valorización_de_Instrumentos[[#This Row],[Inv MM$]],0)</f>
        <v>0</v>
      </c>
      <c r="AG557" s="26">
        <f>IF(Tabla_Consulta_desde_Reporte_de_Valorización_de_Instrumentos[[#This Row],[PORTAFOLIO]]="IN-FONDO2",Tabla_Consulta_desde_Reporte_de_Valorización_de_Instrumentos[[#This Row],[Inv MM$]],0)</f>
        <v>0</v>
      </c>
      <c r="AH557" s="26">
        <f>IF(Tabla_Consulta_desde_Reporte_de_Valorización_de_Instrumentos[[#This Row],[PORTAFOLIO]]="IN-FONDO3",Tabla_Consulta_desde_Reporte_de_Valorización_de_Instrumentos[[#This Row],[Inv MM$]],0)</f>
        <v>0</v>
      </c>
      <c r="AI55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7" s="26">
        <f>IFERROR(IFERROR(INDEX('BD(MSCI)'!$T:$T,MATCH(Tabla_Consulta_desde_Reporte_de_Valorización_de_Instrumentos[[#This Row],[CODIGO_ISIN]],'BD(MSCI)'!$C:$C,0),1),INDEX('BD(MSCI)'!$T:$T,MATCH(Tabla_Consulta_desde_Reporte_de_Valorización_de_Instrumentos[[#This Row],[CODIGO_SBS]],'BD(MSCI)'!$C:$C,0),1)),0)</f>
        <v>0</v>
      </c>
      <c r="AK557" s="26">
        <f>Tabla_Consulta_desde_Reporte_de_Valorización_de_Instrumentos[[#This Row],[C02-H]]*Tabla_Consulta_desde_Reporte_de_Valorización_de_Instrumentos[[#This Row],[Inv MM$]]</f>
        <v>0</v>
      </c>
      <c r="AL557" s="26">
        <f>Tabla_Consulta_desde_Reporte_de_Valorización_de_Instrumentos[[#This Row],[C02-H]]*Tabla_Consulta_desde_Reporte_de_Valorización_de_Instrumentos[[#This Row],[Weight]]</f>
        <v>0</v>
      </c>
      <c r="AM557" s="26" t="e">
        <f>INDEX(Parametria!G:G,MATCH(Tabla_Consulta_desde_Reporte_de_Valorización_de_Instrumentos[[#This Row],[CODIGO_SBS]],Parametria!C:C,0))</f>
        <v>#N/A</v>
      </c>
      <c r="AN557" s="26" t="e">
        <f>INDEX(Parametria!F:F,MATCH(Tabla_Consulta_desde_Reporte_de_Valorización_de_Instrumentos[[#This Row],[CODIGO_SBS]],Parametria!C:C,0))</f>
        <v>#N/A</v>
      </c>
      <c r="AO557" s="26" t="e">
        <f>+INDEX(Parametria!J:J,MATCH(Tabla_Consulta_desde_Reporte_de_Valorización_de_Instrumentos[[#This Row],[CODIGO_SBS]],Parametria!C:C,0))</f>
        <v>#N/A</v>
      </c>
      <c r="AP557" s="26">
        <f>Tabla_Consulta_desde_Reporte_de_Valorización_de_Instrumentos[[#This Row],[Huella]]/$AU$4</f>
        <v>0</v>
      </c>
      <c r="AQ557" s="26" t="e">
        <f>IFERROR(INDEX('BD(MSCI)'!W:W,MATCH(Tabla_Consulta_desde_Reporte_de_Valorización_de_Instrumentos[[#This Row],[CODIGO_ISIN]],'BD(MSCI)'!C:C,0)),IF(Tabla_Consulta_desde_Reporte_de_Valorización_de_Instrumentos[[#This Row],[Rank_rt]]="Cash","Cash","Cuestionario Integra"))</f>
        <v>#N/A</v>
      </c>
      <c r="AR557" s="26" t="str">
        <f>IFERROR(INDEX('BD(MSCI)'!X:X,MATCH(Tabla_Consulta_desde_Reporte_de_Valorización_de_Instrumentos[[#This Row],[CODIGO_ISIN]],'BD(MSCI)'!C:C,0)),"Cuestionario Integra")</f>
        <v>Cuestionario Integra</v>
      </c>
    </row>
    <row r="558" spans="2:44" hidden="1" x14ac:dyDescent="0.25">
      <c r="B558" s="14" t="s">
        <v>6390</v>
      </c>
      <c r="C558" t="s">
        <v>833</v>
      </c>
      <c r="D558" t="s">
        <v>9</v>
      </c>
      <c r="E558" t="s">
        <v>834</v>
      </c>
      <c r="F558" t="s">
        <v>6525</v>
      </c>
      <c r="G558" t="e">
        <f>INDEX(Parametria!H:H,MATCH(Tabla_Consulta_desde_Reporte_de_Valorización_de_Instrumentos[[#This Row],[CODIGO_SBS]],Parametria!C:C,0),1)</f>
        <v>#N/A</v>
      </c>
      <c r="H558" t="s">
        <v>90</v>
      </c>
      <c r="I558" t="s">
        <v>835</v>
      </c>
      <c r="J558" t="s">
        <v>245</v>
      </c>
      <c r="K558" t="s">
        <v>90</v>
      </c>
      <c r="L558">
        <v>1</v>
      </c>
      <c r="M558" s="5">
        <v>15335674.710000001</v>
      </c>
      <c r="N558">
        <v>15335674.710000001</v>
      </c>
      <c r="O558">
        <v>0</v>
      </c>
      <c r="P558" s="15">
        <v>46206</v>
      </c>
      <c r="Q558">
        <v>184</v>
      </c>
      <c r="R558">
        <v>1</v>
      </c>
      <c r="S558" t="s">
        <v>155</v>
      </c>
      <c r="T558">
        <v>15333745.545</v>
      </c>
      <c r="U558" s="5">
        <v>15333745.545</v>
      </c>
      <c r="V558" t="s">
        <v>192</v>
      </c>
      <c r="W558">
        <v>4565854000</v>
      </c>
      <c r="X558">
        <v>3638173000</v>
      </c>
      <c r="Y558">
        <v>927681000</v>
      </c>
      <c r="Z558">
        <v>0</v>
      </c>
      <c r="AA558" t="str">
        <f>+MID(Tabla_Consulta_desde_Reporte_de_Valorización_de_Instrumentos[[#This Row],[CODIGO_SBS]],7,1)</f>
        <v>1</v>
      </c>
      <c r="AB558">
        <f>INDEX('Cálculo Caja'!F:F,MATCH(Tabla_Consulta_desde_Reporte_de_Valorización_de_Instrumentos[[#This Row],[PORTAFOLIO]],'Cálculo Caja'!A:A,0),1)</f>
        <v>2847839359.3764262</v>
      </c>
      <c r="AC558" s="17">
        <f>Tabla_Consulta_desde_Reporte_de_Valorización_de_Instrumentos[[#This Row],[VALOR_VECTOR_LOCAL]]/Tabla_Consulta_desde_Reporte_de_Valorización_de_Instrumentos[[#This Row],[Patrimonio]]</f>
        <v>5.3850209842446865E-3</v>
      </c>
      <c r="AD558" s="4">
        <f>(Tabla_Consulta_desde_Reporte_de_Valorización_de_Instrumentos[[#This Row],[VALOR_VECTOR_LOCAL]]/INDEX('Tipo de Cambio'!$D:$D,MATCH("2",'Tipo de Cambio'!$E:$E,0),1))/1000000</f>
        <v>4.562966678568241</v>
      </c>
      <c r="AE558">
        <f>IF(Tabla_Consulta_desde_Reporte_de_Valorización_de_Instrumentos[[#This Row],[PORTAFOLIO]]="IN-FONDO0",Tabla_Consulta_desde_Reporte_de_Valorización_de_Instrumentos[[#This Row],[Inv MM$]],0)</f>
        <v>4.562966678568241</v>
      </c>
      <c r="AF558" s="26">
        <f>IF(Tabla_Consulta_desde_Reporte_de_Valorización_de_Instrumentos[[#This Row],[PORTAFOLIO]]="IN-FONDO1",Tabla_Consulta_desde_Reporte_de_Valorización_de_Instrumentos[[#This Row],[Inv MM$]],0)</f>
        <v>0</v>
      </c>
      <c r="AG558" s="26">
        <f>IF(Tabla_Consulta_desde_Reporte_de_Valorización_de_Instrumentos[[#This Row],[PORTAFOLIO]]="IN-FONDO2",Tabla_Consulta_desde_Reporte_de_Valorización_de_Instrumentos[[#This Row],[Inv MM$]],0)</f>
        <v>0</v>
      </c>
      <c r="AH558" s="26">
        <f>IF(Tabla_Consulta_desde_Reporte_de_Valorización_de_Instrumentos[[#This Row],[PORTAFOLIO]]="IN-FONDO3",Tabla_Consulta_desde_Reporte_de_Valorización_de_Instrumentos[[#This Row],[Inv MM$]],0)</f>
        <v>0</v>
      </c>
      <c r="AI55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8" s="26">
        <f>IFERROR(IFERROR(INDEX('BD(MSCI)'!$T:$T,MATCH(Tabla_Consulta_desde_Reporte_de_Valorización_de_Instrumentos[[#This Row],[CODIGO_ISIN]],'BD(MSCI)'!$C:$C,0),1),INDEX('BD(MSCI)'!$T:$T,MATCH(Tabla_Consulta_desde_Reporte_de_Valorización_de_Instrumentos[[#This Row],[CODIGO_SBS]],'BD(MSCI)'!$C:$C,0),1)),0)</f>
        <v>0</v>
      </c>
      <c r="AK558" s="26">
        <f>Tabla_Consulta_desde_Reporte_de_Valorización_de_Instrumentos[[#This Row],[C02-H]]*Tabla_Consulta_desde_Reporte_de_Valorización_de_Instrumentos[[#This Row],[Inv MM$]]</f>
        <v>0</v>
      </c>
      <c r="AL558" s="26">
        <f>Tabla_Consulta_desde_Reporte_de_Valorización_de_Instrumentos[[#This Row],[C02-H]]*Tabla_Consulta_desde_Reporte_de_Valorización_de_Instrumentos[[#This Row],[Weight]]</f>
        <v>0</v>
      </c>
      <c r="AM558" s="26" t="e">
        <f>INDEX(Parametria!G:G,MATCH(Tabla_Consulta_desde_Reporte_de_Valorización_de_Instrumentos[[#This Row],[CODIGO_SBS]],Parametria!C:C,0))</f>
        <v>#N/A</v>
      </c>
      <c r="AN558" s="26" t="e">
        <f>INDEX(Parametria!F:F,MATCH(Tabla_Consulta_desde_Reporte_de_Valorización_de_Instrumentos[[#This Row],[CODIGO_SBS]],Parametria!C:C,0))</f>
        <v>#N/A</v>
      </c>
      <c r="AO558" s="26" t="e">
        <f>+INDEX(Parametria!J:J,MATCH(Tabla_Consulta_desde_Reporte_de_Valorización_de_Instrumentos[[#This Row],[CODIGO_SBS]],Parametria!C:C,0))</f>
        <v>#N/A</v>
      </c>
      <c r="AP558" s="26">
        <f>Tabla_Consulta_desde_Reporte_de_Valorización_de_Instrumentos[[#This Row],[Huella]]/$AU$4</f>
        <v>0</v>
      </c>
      <c r="AQ558" s="26" t="e">
        <f>IFERROR(INDEX('BD(MSCI)'!W:W,MATCH(Tabla_Consulta_desde_Reporte_de_Valorización_de_Instrumentos[[#This Row],[CODIGO_ISIN]],'BD(MSCI)'!C:C,0)),IF(Tabla_Consulta_desde_Reporte_de_Valorización_de_Instrumentos[[#This Row],[Rank_rt]]="Cash","Cash","Cuestionario Integra"))</f>
        <v>#N/A</v>
      </c>
      <c r="AR558" s="26" t="str">
        <f>IFERROR(INDEX('BD(MSCI)'!X:X,MATCH(Tabla_Consulta_desde_Reporte_de_Valorización_de_Instrumentos[[#This Row],[CODIGO_ISIN]],'BD(MSCI)'!C:C,0)),"Cuestionario Integra")</f>
        <v>Cuestionario Integra</v>
      </c>
    </row>
    <row r="559" spans="2:44" hidden="1" x14ac:dyDescent="0.25">
      <c r="B559" s="14" t="s">
        <v>6390</v>
      </c>
      <c r="C559" t="s">
        <v>833</v>
      </c>
      <c r="D559" t="s">
        <v>9</v>
      </c>
      <c r="E559" t="s">
        <v>834</v>
      </c>
      <c r="F559" t="s">
        <v>6526</v>
      </c>
      <c r="G559" t="e">
        <f>INDEX(Parametria!H:H,MATCH(Tabla_Consulta_desde_Reporte_de_Valorización_de_Instrumentos[[#This Row],[CODIGO_SBS]],Parametria!C:C,0),1)</f>
        <v>#N/A</v>
      </c>
      <c r="H559" t="s">
        <v>90</v>
      </c>
      <c r="I559" t="s">
        <v>835</v>
      </c>
      <c r="J559" t="s">
        <v>4860</v>
      </c>
      <c r="K559" t="s">
        <v>90</v>
      </c>
      <c r="L559">
        <v>1</v>
      </c>
      <c r="M559" s="5">
        <v>20448533.719999999</v>
      </c>
      <c r="N559">
        <v>20448533.719999999</v>
      </c>
      <c r="O559">
        <v>0</v>
      </c>
      <c r="P559" s="15">
        <v>46206</v>
      </c>
      <c r="Q559">
        <v>184</v>
      </c>
      <c r="R559">
        <v>1</v>
      </c>
      <c r="S559" t="s">
        <v>155</v>
      </c>
      <c r="T559">
        <v>20445955.940000001</v>
      </c>
      <c r="U559" s="5">
        <v>20445955.940000001</v>
      </c>
      <c r="V559" t="s">
        <v>192</v>
      </c>
      <c r="W559">
        <v>4565854000</v>
      </c>
      <c r="X559">
        <v>3638173000</v>
      </c>
      <c r="Y559">
        <v>927681000</v>
      </c>
      <c r="Z559">
        <v>0</v>
      </c>
      <c r="AA559" t="str">
        <f>+MID(Tabla_Consulta_desde_Reporte_de_Valorización_de_Instrumentos[[#This Row],[CODIGO_SBS]],7,1)</f>
        <v>1</v>
      </c>
      <c r="AB559">
        <f>INDEX('Cálculo Caja'!F:F,MATCH(Tabla_Consulta_desde_Reporte_de_Valorización_de_Instrumentos[[#This Row],[PORTAFOLIO]],'Cálculo Caja'!A:A,0),1)</f>
        <v>2847839359.3764262</v>
      </c>
      <c r="AC559" s="17">
        <f>Tabla_Consulta_desde_Reporte_de_Valorización_de_Instrumentos[[#This Row],[VALOR_VECTOR_LOCAL]]/Tabla_Consulta_desde_Reporte_de_Valorización_de_Instrumentos[[#This Row],[Patrimonio]]</f>
        <v>7.1803676891654053E-3</v>
      </c>
      <c r="AD559" s="4">
        <f>(Tabla_Consulta_desde_Reporte_de_Valorización_de_Instrumentos[[#This Row],[VALOR_VECTOR_LOCAL]]/INDEX('Tipo de Cambio'!$D:$D,MATCH("2",'Tipo de Cambio'!$E:$E,0),1))/1000000</f>
        <v>6.0842434228926772</v>
      </c>
      <c r="AE559">
        <f>IF(Tabla_Consulta_desde_Reporte_de_Valorización_de_Instrumentos[[#This Row],[PORTAFOLIO]]="IN-FONDO0",Tabla_Consulta_desde_Reporte_de_Valorización_de_Instrumentos[[#This Row],[Inv MM$]],0)</f>
        <v>6.0842434228926772</v>
      </c>
      <c r="AF559" s="26">
        <f>IF(Tabla_Consulta_desde_Reporte_de_Valorización_de_Instrumentos[[#This Row],[PORTAFOLIO]]="IN-FONDO1",Tabla_Consulta_desde_Reporte_de_Valorización_de_Instrumentos[[#This Row],[Inv MM$]],0)</f>
        <v>0</v>
      </c>
      <c r="AG559" s="26">
        <f>IF(Tabla_Consulta_desde_Reporte_de_Valorización_de_Instrumentos[[#This Row],[PORTAFOLIO]]="IN-FONDO2",Tabla_Consulta_desde_Reporte_de_Valorización_de_Instrumentos[[#This Row],[Inv MM$]],0)</f>
        <v>0</v>
      </c>
      <c r="AH559" s="26">
        <f>IF(Tabla_Consulta_desde_Reporte_de_Valorización_de_Instrumentos[[#This Row],[PORTAFOLIO]]="IN-FONDO3",Tabla_Consulta_desde_Reporte_de_Valorización_de_Instrumentos[[#This Row],[Inv MM$]],0)</f>
        <v>0</v>
      </c>
      <c r="AI55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9" s="26">
        <f>IFERROR(IFERROR(INDEX('BD(MSCI)'!$T:$T,MATCH(Tabla_Consulta_desde_Reporte_de_Valorización_de_Instrumentos[[#This Row],[CODIGO_ISIN]],'BD(MSCI)'!$C:$C,0),1),INDEX('BD(MSCI)'!$T:$T,MATCH(Tabla_Consulta_desde_Reporte_de_Valorización_de_Instrumentos[[#This Row],[CODIGO_SBS]],'BD(MSCI)'!$C:$C,0),1)),0)</f>
        <v>0</v>
      </c>
      <c r="AK559" s="26">
        <f>Tabla_Consulta_desde_Reporte_de_Valorización_de_Instrumentos[[#This Row],[C02-H]]*Tabla_Consulta_desde_Reporte_de_Valorización_de_Instrumentos[[#This Row],[Inv MM$]]</f>
        <v>0</v>
      </c>
      <c r="AL559" s="26">
        <f>Tabla_Consulta_desde_Reporte_de_Valorización_de_Instrumentos[[#This Row],[C02-H]]*Tabla_Consulta_desde_Reporte_de_Valorización_de_Instrumentos[[#This Row],[Weight]]</f>
        <v>0</v>
      </c>
      <c r="AM559" s="26" t="e">
        <f>INDEX(Parametria!G:G,MATCH(Tabla_Consulta_desde_Reporte_de_Valorización_de_Instrumentos[[#This Row],[CODIGO_SBS]],Parametria!C:C,0))</f>
        <v>#N/A</v>
      </c>
      <c r="AN559" s="26" t="e">
        <f>INDEX(Parametria!F:F,MATCH(Tabla_Consulta_desde_Reporte_de_Valorización_de_Instrumentos[[#This Row],[CODIGO_SBS]],Parametria!C:C,0))</f>
        <v>#N/A</v>
      </c>
      <c r="AO559" s="26" t="e">
        <f>+INDEX(Parametria!J:J,MATCH(Tabla_Consulta_desde_Reporte_de_Valorización_de_Instrumentos[[#This Row],[CODIGO_SBS]],Parametria!C:C,0))</f>
        <v>#N/A</v>
      </c>
      <c r="AP559" s="26">
        <f>Tabla_Consulta_desde_Reporte_de_Valorización_de_Instrumentos[[#This Row],[Huella]]/$AU$4</f>
        <v>0</v>
      </c>
      <c r="AQ559" s="26" t="e">
        <f>IFERROR(INDEX('BD(MSCI)'!W:W,MATCH(Tabla_Consulta_desde_Reporte_de_Valorización_de_Instrumentos[[#This Row],[CODIGO_ISIN]],'BD(MSCI)'!C:C,0)),IF(Tabla_Consulta_desde_Reporte_de_Valorización_de_Instrumentos[[#This Row],[Rank_rt]]="Cash","Cash","Cuestionario Integra"))</f>
        <v>#N/A</v>
      </c>
      <c r="AR559" s="26" t="str">
        <f>IFERROR(INDEX('BD(MSCI)'!X:X,MATCH(Tabla_Consulta_desde_Reporte_de_Valorización_de_Instrumentos[[#This Row],[CODIGO_ISIN]],'BD(MSCI)'!C:C,0)),"Cuestionario Integra")</f>
        <v>Cuestionario Integra</v>
      </c>
    </row>
    <row r="560" spans="2:44" hidden="1" x14ac:dyDescent="0.25">
      <c r="B560" s="14" t="s">
        <v>6390</v>
      </c>
      <c r="C560" t="s">
        <v>833</v>
      </c>
      <c r="D560" t="s">
        <v>9</v>
      </c>
      <c r="E560" t="s">
        <v>834</v>
      </c>
      <c r="F560" t="s">
        <v>5878</v>
      </c>
      <c r="G560">
        <f>INDEX(Parametria!H:H,MATCH(Tabla_Consulta_desde_Reporte_de_Valorización_de_Instrumentos[[#This Row],[CODIGO_SBS]],Parametria!C:C,0),1)</f>
        <v>0</v>
      </c>
      <c r="H560" t="s">
        <v>90</v>
      </c>
      <c r="I560" t="s">
        <v>835</v>
      </c>
      <c r="J560" t="s">
        <v>243</v>
      </c>
      <c r="K560" t="s">
        <v>90</v>
      </c>
      <c r="L560">
        <v>1</v>
      </c>
      <c r="M560" s="5">
        <v>38292067.269000001</v>
      </c>
      <c r="N560">
        <v>38292067.269000001</v>
      </c>
      <c r="O560">
        <v>0</v>
      </c>
      <c r="P560" s="15">
        <v>46093</v>
      </c>
      <c r="Q560">
        <v>71</v>
      </c>
      <c r="R560">
        <v>1</v>
      </c>
      <c r="S560" t="s">
        <v>155</v>
      </c>
      <c r="T560">
        <v>38287596.447999999</v>
      </c>
      <c r="U560" s="5">
        <v>38287596.447999999</v>
      </c>
      <c r="V560" t="s">
        <v>192</v>
      </c>
      <c r="W560">
        <v>4565854000</v>
      </c>
      <c r="X560">
        <v>3638173000</v>
      </c>
      <c r="Y560">
        <v>927681000</v>
      </c>
      <c r="Z560">
        <v>0</v>
      </c>
      <c r="AA560" t="str">
        <f>+MID(Tabla_Consulta_desde_Reporte_de_Valorización_de_Instrumentos[[#This Row],[CODIGO_SBS]],7,1)</f>
        <v>1</v>
      </c>
      <c r="AB560">
        <f>INDEX('Cálculo Caja'!F:F,MATCH(Tabla_Consulta_desde_Reporte_de_Valorización_de_Instrumentos[[#This Row],[PORTAFOLIO]],'Cálculo Caja'!A:A,0),1)</f>
        <v>2847839359.3764262</v>
      </c>
      <c r="AC560" s="17">
        <f>Tabla_Consulta_desde_Reporte_de_Valorización_de_Instrumentos[[#This Row],[VALOR_VECTOR_LOCAL]]/Tabla_Consulta_desde_Reporte_de_Valorización_de_Instrumentos[[#This Row],[Patrimonio]]</f>
        <v>1.3446006756990878E-2</v>
      </c>
      <c r="AD560" s="4">
        <f>(Tabla_Consulta_desde_Reporte_de_Valorización_de_Instrumentos[[#This Row],[VALOR_VECTOR_LOCAL]]/INDEX('Tipo de Cambio'!$D:$D,MATCH("2",'Tipo de Cambio'!$E:$E,0),1))/1000000</f>
        <v>11.393396789252879</v>
      </c>
      <c r="AE560">
        <f>IF(Tabla_Consulta_desde_Reporte_de_Valorización_de_Instrumentos[[#This Row],[PORTAFOLIO]]="IN-FONDO0",Tabla_Consulta_desde_Reporte_de_Valorización_de_Instrumentos[[#This Row],[Inv MM$]],0)</f>
        <v>11.393396789252879</v>
      </c>
      <c r="AF560" s="26">
        <f>IF(Tabla_Consulta_desde_Reporte_de_Valorización_de_Instrumentos[[#This Row],[PORTAFOLIO]]="IN-FONDO1",Tabla_Consulta_desde_Reporte_de_Valorización_de_Instrumentos[[#This Row],[Inv MM$]],0)</f>
        <v>0</v>
      </c>
      <c r="AG560" s="26">
        <f>IF(Tabla_Consulta_desde_Reporte_de_Valorización_de_Instrumentos[[#This Row],[PORTAFOLIO]]="IN-FONDO2",Tabla_Consulta_desde_Reporte_de_Valorización_de_Instrumentos[[#This Row],[Inv MM$]],0)</f>
        <v>0</v>
      </c>
      <c r="AH560" s="26">
        <f>IF(Tabla_Consulta_desde_Reporte_de_Valorización_de_Instrumentos[[#This Row],[PORTAFOLIO]]="IN-FONDO3",Tabla_Consulta_desde_Reporte_de_Valorización_de_Instrumentos[[#This Row],[Inv MM$]],0)</f>
        <v>0</v>
      </c>
      <c r="AI56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0" s="26">
        <f>IFERROR(IFERROR(INDEX('BD(MSCI)'!$T:$T,MATCH(Tabla_Consulta_desde_Reporte_de_Valorización_de_Instrumentos[[#This Row],[CODIGO_ISIN]],'BD(MSCI)'!$C:$C,0),1),INDEX('BD(MSCI)'!$T:$T,MATCH(Tabla_Consulta_desde_Reporte_de_Valorización_de_Instrumentos[[#This Row],[CODIGO_SBS]],'BD(MSCI)'!$C:$C,0),1)),0)</f>
        <v>0</v>
      </c>
      <c r="AK560" s="26">
        <f>Tabla_Consulta_desde_Reporte_de_Valorización_de_Instrumentos[[#This Row],[C02-H]]*Tabla_Consulta_desde_Reporte_de_Valorización_de_Instrumentos[[#This Row],[Inv MM$]]</f>
        <v>0</v>
      </c>
      <c r="AL560" s="26">
        <f>Tabla_Consulta_desde_Reporte_de_Valorización_de_Instrumentos[[#This Row],[C02-H]]*Tabla_Consulta_desde_Reporte_de_Valorización_de_Instrumentos[[#This Row],[Weight]]</f>
        <v>0</v>
      </c>
      <c r="AM560" s="26">
        <f>INDEX(Parametria!G:G,MATCH(Tabla_Consulta_desde_Reporte_de_Valorización_de_Instrumentos[[#This Row],[CODIGO_SBS]],Parametria!C:C,0))</f>
        <v>0</v>
      </c>
      <c r="AN560" s="26" t="str">
        <f>INDEX(Parametria!F:F,MATCH(Tabla_Consulta_desde_Reporte_de_Valorización_de_Instrumentos[[#This Row],[CODIGO_SBS]],Parametria!C:C,0))</f>
        <v>Cash</v>
      </c>
      <c r="AO560" s="26" t="str">
        <f>+INDEX(Parametria!J:J,MATCH(Tabla_Consulta_desde_Reporte_de_Valorización_de_Instrumentos[[#This Row],[CODIGO_SBS]],Parametria!C:C,0))</f>
        <v>Cash</v>
      </c>
      <c r="AP560" s="26">
        <f>Tabla_Consulta_desde_Reporte_de_Valorización_de_Instrumentos[[#This Row],[Huella]]/$AU$4</f>
        <v>0</v>
      </c>
      <c r="AQ560" s="26" t="str">
        <f>IFERROR(INDEX('BD(MSCI)'!W:W,MATCH(Tabla_Consulta_desde_Reporte_de_Valorización_de_Instrumentos[[#This Row],[CODIGO_ISIN]],'BD(MSCI)'!C:C,0)),IF(Tabla_Consulta_desde_Reporte_de_Valorización_de_Instrumentos[[#This Row],[Rank_rt]]="Cash","Cash","Cuestionario Integra"))</f>
        <v>Cash</v>
      </c>
      <c r="AR560" s="26" t="str">
        <f>IFERROR(INDEX('BD(MSCI)'!X:X,MATCH(Tabla_Consulta_desde_Reporte_de_Valorización_de_Instrumentos[[#This Row],[CODIGO_ISIN]],'BD(MSCI)'!C:C,0)),"Cuestionario Integra")</f>
        <v>Cuestionario Integra</v>
      </c>
    </row>
    <row r="561" spans="2:44" hidden="1" x14ac:dyDescent="0.25">
      <c r="B561" s="14" t="s">
        <v>6390</v>
      </c>
      <c r="C561" t="s">
        <v>833</v>
      </c>
      <c r="D561" t="s">
        <v>9</v>
      </c>
      <c r="E561" t="s">
        <v>834</v>
      </c>
      <c r="F561" t="s">
        <v>5986</v>
      </c>
      <c r="G561" t="e">
        <f>INDEX(Parametria!H:H,MATCH(Tabla_Consulta_desde_Reporte_de_Valorización_de_Instrumentos[[#This Row],[CODIGO_SBS]],Parametria!C:C,0),1)</f>
        <v>#N/A</v>
      </c>
      <c r="H561" t="s">
        <v>90</v>
      </c>
      <c r="I561" t="s">
        <v>835</v>
      </c>
      <c r="J561" t="s">
        <v>243</v>
      </c>
      <c r="K561" t="s">
        <v>90</v>
      </c>
      <c r="L561">
        <v>1</v>
      </c>
      <c r="M561" s="5">
        <v>25850667.399999999</v>
      </c>
      <c r="N561">
        <v>25850667.399999999</v>
      </c>
      <c r="O561">
        <v>0</v>
      </c>
      <c r="P561" s="15">
        <v>46118</v>
      </c>
      <c r="Q561">
        <v>96</v>
      </c>
      <c r="R561">
        <v>1</v>
      </c>
      <c r="S561" t="s">
        <v>155</v>
      </c>
      <c r="T561">
        <v>25847445.175000001</v>
      </c>
      <c r="U561" s="5">
        <v>25847445.175000001</v>
      </c>
      <c r="V561" t="s">
        <v>192</v>
      </c>
      <c r="W561">
        <v>4565854000</v>
      </c>
      <c r="X561">
        <v>3638173000</v>
      </c>
      <c r="Y561">
        <v>927681000</v>
      </c>
      <c r="Z561">
        <v>0</v>
      </c>
      <c r="AA561" t="str">
        <f>+MID(Tabla_Consulta_desde_Reporte_de_Valorización_de_Instrumentos[[#This Row],[CODIGO_SBS]],7,1)</f>
        <v>1</v>
      </c>
      <c r="AB561">
        <f>INDEX('Cálculo Caja'!F:F,MATCH(Tabla_Consulta_desde_Reporte_de_Valorización_de_Instrumentos[[#This Row],[PORTAFOLIO]],'Cálculo Caja'!A:A,0),1)</f>
        <v>2847839359.3764262</v>
      </c>
      <c r="AC561" s="17">
        <f>Tabla_Consulta_desde_Reporte_de_Valorización_de_Instrumentos[[#This Row],[VALOR_VECTOR_LOCAL]]/Tabla_Consulta_desde_Reporte_de_Valorización_de_Instrumentos[[#This Row],[Patrimonio]]</f>
        <v>9.077291285720681E-3</v>
      </c>
      <c r="AD561" s="4">
        <f>(Tabla_Consulta_desde_Reporte_de_Valorización_de_Instrumentos[[#This Row],[VALOR_VECTOR_LOCAL]]/INDEX('Tipo de Cambio'!$D:$D,MATCH("2",'Tipo de Cambio'!$E:$E,0),1))/1000000</f>
        <v>7.6915907643785886</v>
      </c>
      <c r="AE561">
        <f>IF(Tabla_Consulta_desde_Reporte_de_Valorización_de_Instrumentos[[#This Row],[PORTAFOLIO]]="IN-FONDO0",Tabla_Consulta_desde_Reporte_de_Valorización_de_Instrumentos[[#This Row],[Inv MM$]],0)</f>
        <v>7.6915907643785886</v>
      </c>
      <c r="AF561" s="26">
        <f>IF(Tabla_Consulta_desde_Reporte_de_Valorización_de_Instrumentos[[#This Row],[PORTAFOLIO]]="IN-FONDO1",Tabla_Consulta_desde_Reporte_de_Valorización_de_Instrumentos[[#This Row],[Inv MM$]],0)</f>
        <v>0</v>
      </c>
      <c r="AG561" s="26">
        <f>IF(Tabla_Consulta_desde_Reporte_de_Valorización_de_Instrumentos[[#This Row],[PORTAFOLIO]]="IN-FONDO2",Tabla_Consulta_desde_Reporte_de_Valorización_de_Instrumentos[[#This Row],[Inv MM$]],0)</f>
        <v>0</v>
      </c>
      <c r="AH561" s="26">
        <f>IF(Tabla_Consulta_desde_Reporte_de_Valorización_de_Instrumentos[[#This Row],[PORTAFOLIO]]="IN-FONDO3",Tabla_Consulta_desde_Reporte_de_Valorización_de_Instrumentos[[#This Row],[Inv MM$]],0)</f>
        <v>0</v>
      </c>
      <c r="AI56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1" s="26">
        <f>IFERROR(IFERROR(INDEX('BD(MSCI)'!$T:$T,MATCH(Tabla_Consulta_desde_Reporte_de_Valorización_de_Instrumentos[[#This Row],[CODIGO_ISIN]],'BD(MSCI)'!$C:$C,0),1),INDEX('BD(MSCI)'!$T:$T,MATCH(Tabla_Consulta_desde_Reporte_de_Valorización_de_Instrumentos[[#This Row],[CODIGO_SBS]],'BD(MSCI)'!$C:$C,0),1)),0)</f>
        <v>0</v>
      </c>
      <c r="AK561" s="26">
        <f>Tabla_Consulta_desde_Reporte_de_Valorización_de_Instrumentos[[#This Row],[C02-H]]*Tabla_Consulta_desde_Reporte_de_Valorización_de_Instrumentos[[#This Row],[Inv MM$]]</f>
        <v>0</v>
      </c>
      <c r="AL561" s="26">
        <f>Tabla_Consulta_desde_Reporte_de_Valorización_de_Instrumentos[[#This Row],[C02-H]]*Tabla_Consulta_desde_Reporte_de_Valorización_de_Instrumentos[[#This Row],[Weight]]</f>
        <v>0</v>
      </c>
      <c r="AM561" s="26" t="e">
        <f>INDEX(Parametria!G:G,MATCH(Tabla_Consulta_desde_Reporte_de_Valorización_de_Instrumentos[[#This Row],[CODIGO_SBS]],Parametria!C:C,0))</f>
        <v>#N/A</v>
      </c>
      <c r="AN561" s="26" t="e">
        <f>INDEX(Parametria!F:F,MATCH(Tabla_Consulta_desde_Reporte_de_Valorización_de_Instrumentos[[#This Row],[CODIGO_SBS]],Parametria!C:C,0))</f>
        <v>#N/A</v>
      </c>
      <c r="AO561" s="26" t="e">
        <f>+INDEX(Parametria!J:J,MATCH(Tabla_Consulta_desde_Reporte_de_Valorización_de_Instrumentos[[#This Row],[CODIGO_SBS]],Parametria!C:C,0))</f>
        <v>#N/A</v>
      </c>
      <c r="AP561" s="26">
        <f>Tabla_Consulta_desde_Reporte_de_Valorización_de_Instrumentos[[#This Row],[Huella]]/$AU$4</f>
        <v>0</v>
      </c>
      <c r="AQ561" s="26" t="e">
        <f>IFERROR(INDEX('BD(MSCI)'!W:W,MATCH(Tabla_Consulta_desde_Reporte_de_Valorización_de_Instrumentos[[#This Row],[CODIGO_ISIN]],'BD(MSCI)'!C:C,0)),IF(Tabla_Consulta_desde_Reporte_de_Valorización_de_Instrumentos[[#This Row],[Rank_rt]]="Cash","Cash","Cuestionario Integra"))</f>
        <v>#N/A</v>
      </c>
      <c r="AR561" s="26" t="str">
        <f>IFERROR(INDEX('BD(MSCI)'!X:X,MATCH(Tabla_Consulta_desde_Reporte_de_Valorización_de_Instrumentos[[#This Row],[CODIGO_ISIN]],'BD(MSCI)'!C:C,0)),"Cuestionario Integra")</f>
        <v>Cuestionario Integra</v>
      </c>
    </row>
    <row r="562" spans="2:44" hidden="1" x14ac:dyDescent="0.25">
      <c r="B562" s="14" t="s">
        <v>6390</v>
      </c>
      <c r="C562" t="s">
        <v>833</v>
      </c>
      <c r="D562" t="s">
        <v>9</v>
      </c>
      <c r="E562" t="s">
        <v>834</v>
      </c>
      <c r="F562" t="s">
        <v>5987</v>
      </c>
      <c r="G562" t="e">
        <f>INDEX(Parametria!H:H,MATCH(Tabla_Consulta_desde_Reporte_de_Valorización_de_Instrumentos[[#This Row],[CODIGO_SBS]],Parametria!C:C,0),1)</f>
        <v>#N/A</v>
      </c>
      <c r="H562" t="s">
        <v>90</v>
      </c>
      <c r="I562" t="s">
        <v>835</v>
      </c>
      <c r="J562" t="s">
        <v>248</v>
      </c>
      <c r="K562" t="s">
        <v>90</v>
      </c>
      <c r="L562">
        <v>1</v>
      </c>
      <c r="M562" s="5">
        <v>31022665.800000001</v>
      </c>
      <c r="N562">
        <v>31022665.800000001</v>
      </c>
      <c r="O562">
        <v>0</v>
      </c>
      <c r="P562" s="15">
        <v>46122</v>
      </c>
      <c r="Q562">
        <v>100</v>
      </c>
      <c r="R562">
        <v>1</v>
      </c>
      <c r="S562" t="s">
        <v>155</v>
      </c>
      <c r="T562">
        <v>31018732.469999999</v>
      </c>
      <c r="U562" s="5">
        <v>31018732.469999999</v>
      </c>
      <c r="V562" t="s">
        <v>192</v>
      </c>
      <c r="W562">
        <v>4565854000</v>
      </c>
      <c r="X562">
        <v>3638173000</v>
      </c>
      <c r="Y562">
        <v>927681000</v>
      </c>
      <c r="Z562">
        <v>0</v>
      </c>
      <c r="AA562" t="str">
        <f>+MID(Tabla_Consulta_desde_Reporte_de_Valorización_de_Instrumentos[[#This Row],[CODIGO_SBS]],7,1)</f>
        <v>1</v>
      </c>
      <c r="AB562">
        <f>INDEX('Cálculo Caja'!F:F,MATCH(Tabla_Consulta_desde_Reporte_de_Valorización_de_Instrumentos[[#This Row],[PORTAFOLIO]],'Cálculo Caja'!A:A,0),1)</f>
        <v>2847839359.3764262</v>
      </c>
      <c r="AC562" s="17">
        <f>Tabla_Consulta_desde_Reporte_de_Valorización_de_Instrumentos[[#This Row],[VALOR_VECTOR_LOCAL]]/Tabla_Consulta_desde_Reporte_de_Valorización_de_Instrumentos[[#This Row],[Patrimonio]]</f>
        <v>1.0893404397217419E-2</v>
      </c>
      <c r="AD562" s="4">
        <f>(Tabla_Consulta_desde_Reporte_de_Valorización_de_Instrumentos[[#This Row],[VALOR_VECTOR_LOCAL]]/INDEX('Tipo de Cambio'!$D:$D,MATCH("2",'Tipo de Cambio'!$E:$E,0),1))/1000000</f>
        <v>9.2304638043381235</v>
      </c>
      <c r="AE562">
        <f>IF(Tabla_Consulta_desde_Reporte_de_Valorización_de_Instrumentos[[#This Row],[PORTAFOLIO]]="IN-FONDO0",Tabla_Consulta_desde_Reporte_de_Valorización_de_Instrumentos[[#This Row],[Inv MM$]],0)</f>
        <v>9.2304638043381235</v>
      </c>
      <c r="AF562" s="26">
        <f>IF(Tabla_Consulta_desde_Reporte_de_Valorización_de_Instrumentos[[#This Row],[PORTAFOLIO]]="IN-FONDO1",Tabla_Consulta_desde_Reporte_de_Valorización_de_Instrumentos[[#This Row],[Inv MM$]],0)</f>
        <v>0</v>
      </c>
      <c r="AG562" s="26">
        <f>IF(Tabla_Consulta_desde_Reporte_de_Valorización_de_Instrumentos[[#This Row],[PORTAFOLIO]]="IN-FONDO2",Tabla_Consulta_desde_Reporte_de_Valorización_de_Instrumentos[[#This Row],[Inv MM$]],0)</f>
        <v>0</v>
      </c>
      <c r="AH562" s="26">
        <f>IF(Tabla_Consulta_desde_Reporte_de_Valorización_de_Instrumentos[[#This Row],[PORTAFOLIO]]="IN-FONDO3",Tabla_Consulta_desde_Reporte_de_Valorización_de_Instrumentos[[#This Row],[Inv MM$]],0)</f>
        <v>0</v>
      </c>
      <c r="AI56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2" s="26">
        <f>IFERROR(IFERROR(INDEX('BD(MSCI)'!$T:$T,MATCH(Tabla_Consulta_desde_Reporte_de_Valorización_de_Instrumentos[[#This Row],[CODIGO_ISIN]],'BD(MSCI)'!$C:$C,0),1),INDEX('BD(MSCI)'!$T:$T,MATCH(Tabla_Consulta_desde_Reporte_de_Valorización_de_Instrumentos[[#This Row],[CODIGO_SBS]],'BD(MSCI)'!$C:$C,0),1)),0)</f>
        <v>0</v>
      </c>
      <c r="AK562" s="26">
        <f>Tabla_Consulta_desde_Reporte_de_Valorización_de_Instrumentos[[#This Row],[C02-H]]*Tabla_Consulta_desde_Reporte_de_Valorización_de_Instrumentos[[#This Row],[Inv MM$]]</f>
        <v>0</v>
      </c>
      <c r="AL562" s="26">
        <f>Tabla_Consulta_desde_Reporte_de_Valorización_de_Instrumentos[[#This Row],[C02-H]]*Tabla_Consulta_desde_Reporte_de_Valorización_de_Instrumentos[[#This Row],[Weight]]</f>
        <v>0</v>
      </c>
      <c r="AM562" s="26" t="e">
        <f>INDEX(Parametria!G:G,MATCH(Tabla_Consulta_desde_Reporte_de_Valorización_de_Instrumentos[[#This Row],[CODIGO_SBS]],Parametria!C:C,0))</f>
        <v>#N/A</v>
      </c>
      <c r="AN562" s="26" t="e">
        <f>INDEX(Parametria!F:F,MATCH(Tabla_Consulta_desde_Reporte_de_Valorización_de_Instrumentos[[#This Row],[CODIGO_SBS]],Parametria!C:C,0))</f>
        <v>#N/A</v>
      </c>
      <c r="AO562" s="26" t="e">
        <f>+INDEX(Parametria!J:J,MATCH(Tabla_Consulta_desde_Reporte_de_Valorización_de_Instrumentos[[#This Row],[CODIGO_SBS]],Parametria!C:C,0))</f>
        <v>#N/A</v>
      </c>
      <c r="AP562" s="26">
        <f>Tabla_Consulta_desde_Reporte_de_Valorización_de_Instrumentos[[#This Row],[Huella]]/$AU$4</f>
        <v>0</v>
      </c>
      <c r="AQ562" s="26" t="e">
        <f>IFERROR(INDEX('BD(MSCI)'!W:W,MATCH(Tabla_Consulta_desde_Reporte_de_Valorización_de_Instrumentos[[#This Row],[CODIGO_ISIN]],'BD(MSCI)'!C:C,0)),IF(Tabla_Consulta_desde_Reporte_de_Valorización_de_Instrumentos[[#This Row],[Rank_rt]]="Cash","Cash","Cuestionario Integra"))</f>
        <v>#N/A</v>
      </c>
      <c r="AR562" s="26" t="str">
        <f>IFERROR(INDEX('BD(MSCI)'!X:X,MATCH(Tabla_Consulta_desde_Reporte_de_Valorización_de_Instrumentos[[#This Row],[CODIGO_ISIN]],'BD(MSCI)'!C:C,0)),"Cuestionario Integra")</f>
        <v>Cuestionario Integra</v>
      </c>
    </row>
    <row r="563" spans="2:44" hidden="1" x14ac:dyDescent="0.25">
      <c r="B563" s="14" t="s">
        <v>6390</v>
      </c>
      <c r="C563" t="s">
        <v>833</v>
      </c>
      <c r="D563" t="s">
        <v>9</v>
      </c>
      <c r="E563" t="s">
        <v>834</v>
      </c>
      <c r="F563" t="s">
        <v>5988</v>
      </c>
      <c r="G563" t="e">
        <f>INDEX(Parametria!H:H,MATCH(Tabla_Consulta_desde_Reporte_de_Valorización_de_Instrumentos[[#This Row],[CODIGO_SBS]],Parametria!C:C,0),1)</f>
        <v>#N/A</v>
      </c>
      <c r="H563" t="s">
        <v>90</v>
      </c>
      <c r="I563" t="s">
        <v>835</v>
      </c>
      <c r="J563" t="s">
        <v>248</v>
      </c>
      <c r="K563" t="s">
        <v>90</v>
      </c>
      <c r="L563">
        <v>1</v>
      </c>
      <c r="M563" s="5">
        <v>16546775.936000001</v>
      </c>
      <c r="N563">
        <v>16546775.936000001</v>
      </c>
      <c r="O563">
        <v>0</v>
      </c>
      <c r="P563" s="15">
        <v>46122</v>
      </c>
      <c r="Q563">
        <v>100</v>
      </c>
      <c r="R563">
        <v>1</v>
      </c>
      <c r="S563" t="s">
        <v>155</v>
      </c>
      <c r="T563">
        <v>16544664.832</v>
      </c>
      <c r="U563" s="5">
        <v>16544664.832</v>
      </c>
      <c r="V563" t="s">
        <v>192</v>
      </c>
      <c r="W563">
        <v>4565854000</v>
      </c>
      <c r="X563">
        <v>3638173000</v>
      </c>
      <c r="Y563">
        <v>927681000</v>
      </c>
      <c r="Z563">
        <v>0</v>
      </c>
      <c r="AA563" t="str">
        <f>+MID(Tabla_Consulta_desde_Reporte_de_Valorización_de_Instrumentos[[#This Row],[CODIGO_SBS]],7,1)</f>
        <v>1</v>
      </c>
      <c r="AB563">
        <f>INDEX('Cálculo Caja'!F:F,MATCH(Tabla_Consulta_desde_Reporte_de_Valorización_de_Instrumentos[[#This Row],[PORTAFOLIO]],'Cálculo Caja'!A:A,0),1)</f>
        <v>2847839359.3764262</v>
      </c>
      <c r="AC563" s="17">
        <f>Tabla_Consulta_desde_Reporte_de_Valorización_de_Instrumentos[[#This Row],[VALOR_VECTOR_LOCAL]]/Tabla_Consulta_desde_Reporte_de_Valorización_de_Instrumentos[[#This Row],[Patrimonio]]</f>
        <v>5.8102911884830282E-3</v>
      </c>
      <c r="AD563" s="4">
        <f>(Tabla_Consulta_desde_Reporte_de_Valorización_de_Instrumentos[[#This Row],[VALOR_VECTOR_LOCAL]]/INDEX('Tipo de Cambio'!$D:$D,MATCH("2",'Tipo de Cambio'!$E:$E,0),1))/1000000</f>
        <v>4.9233169496265878</v>
      </c>
      <c r="AE563">
        <f>IF(Tabla_Consulta_desde_Reporte_de_Valorización_de_Instrumentos[[#This Row],[PORTAFOLIO]]="IN-FONDO0",Tabla_Consulta_desde_Reporte_de_Valorización_de_Instrumentos[[#This Row],[Inv MM$]],0)</f>
        <v>4.9233169496265878</v>
      </c>
      <c r="AF563" s="26">
        <f>IF(Tabla_Consulta_desde_Reporte_de_Valorización_de_Instrumentos[[#This Row],[PORTAFOLIO]]="IN-FONDO1",Tabla_Consulta_desde_Reporte_de_Valorización_de_Instrumentos[[#This Row],[Inv MM$]],0)</f>
        <v>0</v>
      </c>
      <c r="AG563" s="26">
        <f>IF(Tabla_Consulta_desde_Reporte_de_Valorización_de_Instrumentos[[#This Row],[PORTAFOLIO]]="IN-FONDO2",Tabla_Consulta_desde_Reporte_de_Valorización_de_Instrumentos[[#This Row],[Inv MM$]],0)</f>
        <v>0</v>
      </c>
      <c r="AH563" s="26">
        <f>IF(Tabla_Consulta_desde_Reporte_de_Valorización_de_Instrumentos[[#This Row],[PORTAFOLIO]]="IN-FONDO3",Tabla_Consulta_desde_Reporte_de_Valorización_de_Instrumentos[[#This Row],[Inv MM$]],0)</f>
        <v>0</v>
      </c>
      <c r="AI56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3" s="26">
        <f>IFERROR(IFERROR(INDEX('BD(MSCI)'!$T:$T,MATCH(Tabla_Consulta_desde_Reporte_de_Valorización_de_Instrumentos[[#This Row],[CODIGO_ISIN]],'BD(MSCI)'!$C:$C,0),1),INDEX('BD(MSCI)'!$T:$T,MATCH(Tabla_Consulta_desde_Reporte_de_Valorización_de_Instrumentos[[#This Row],[CODIGO_SBS]],'BD(MSCI)'!$C:$C,0),1)),0)</f>
        <v>0</v>
      </c>
      <c r="AK563" s="26">
        <f>Tabla_Consulta_desde_Reporte_de_Valorización_de_Instrumentos[[#This Row],[C02-H]]*Tabla_Consulta_desde_Reporte_de_Valorización_de_Instrumentos[[#This Row],[Inv MM$]]</f>
        <v>0</v>
      </c>
      <c r="AL563" s="26">
        <f>Tabla_Consulta_desde_Reporte_de_Valorización_de_Instrumentos[[#This Row],[C02-H]]*Tabla_Consulta_desde_Reporte_de_Valorización_de_Instrumentos[[#This Row],[Weight]]</f>
        <v>0</v>
      </c>
      <c r="AM563" s="26" t="e">
        <f>INDEX(Parametria!G:G,MATCH(Tabla_Consulta_desde_Reporte_de_Valorización_de_Instrumentos[[#This Row],[CODIGO_SBS]],Parametria!C:C,0))</f>
        <v>#N/A</v>
      </c>
      <c r="AN563" s="26" t="e">
        <f>INDEX(Parametria!F:F,MATCH(Tabla_Consulta_desde_Reporte_de_Valorización_de_Instrumentos[[#This Row],[CODIGO_SBS]],Parametria!C:C,0))</f>
        <v>#N/A</v>
      </c>
      <c r="AO563" s="26" t="e">
        <f>+INDEX(Parametria!J:J,MATCH(Tabla_Consulta_desde_Reporte_de_Valorización_de_Instrumentos[[#This Row],[CODIGO_SBS]],Parametria!C:C,0))</f>
        <v>#N/A</v>
      </c>
      <c r="AP563" s="26">
        <f>Tabla_Consulta_desde_Reporte_de_Valorización_de_Instrumentos[[#This Row],[Huella]]/$AU$4</f>
        <v>0</v>
      </c>
      <c r="AQ563" s="26" t="e">
        <f>IFERROR(INDEX('BD(MSCI)'!W:W,MATCH(Tabla_Consulta_desde_Reporte_de_Valorización_de_Instrumentos[[#This Row],[CODIGO_ISIN]],'BD(MSCI)'!C:C,0)),IF(Tabla_Consulta_desde_Reporte_de_Valorización_de_Instrumentos[[#This Row],[Rank_rt]]="Cash","Cash","Cuestionario Integra"))</f>
        <v>#N/A</v>
      </c>
      <c r="AR563" s="26" t="str">
        <f>IFERROR(INDEX('BD(MSCI)'!X:X,MATCH(Tabla_Consulta_desde_Reporte_de_Valorización_de_Instrumentos[[#This Row],[CODIGO_ISIN]],'BD(MSCI)'!C:C,0)),"Cuestionario Integra")</f>
        <v>Cuestionario Integra</v>
      </c>
    </row>
    <row r="564" spans="2:44" hidden="1" x14ac:dyDescent="0.25">
      <c r="B564" s="14" t="s">
        <v>6390</v>
      </c>
      <c r="C564" t="s">
        <v>833</v>
      </c>
      <c r="D564" t="s">
        <v>9</v>
      </c>
      <c r="E564" t="s">
        <v>834</v>
      </c>
      <c r="F564" t="s">
        <v>5989</v>
      </c>
      <c r="G564" t="e">
        <f>INDEX(Parametria!H:H,MATCH(Tabla_Consulta_desde_Reporte_de_Valorización_de_Instrumentos[[#This Row],[CODIGO_SBS]],Parametria!C:C,0),1)</f>
        <v>#N/A</v>
      </c>
      <c r="H564" t="s">
        <v>90</v>
      </c>
      <c r="I564" t="s">
        <v>835</v>
      </c>
      <c r="J564" t="s">
        <v>243</v>
      </c>
      <c r="K564" t="s">
        <v>90</v>
      </c>
      <c r="L564">
        <v>1</v>
      </c>
      <c r="M564" s="5">
        <v>72133838.840000004</v>
      </c>
      <c r="N564">
        <v>72133838.840000004</v>
      </c>
      <c r="O564">
        <v>0</v>
      </c>
      <c r="P564" s="15">
        <v>46146</v>
      </c>
      <c r="Q564">
        <v>124</v>
      </c>
      <c r="R564">
        <v>1</v>
      </c>
      <c r="S564" t="s">
        <v>155</v>
      </c>
      <c r="T564">
        <v>72124797.150000006</v>
      </c>
      <c r="U564" s="5">
        <v>72124797.150000006</v>
      </c>
      <c r="V564" t="s">
        <v>192</v>
      </c>
      <c r="W564">
        <v>4565854000</v>
      </c>
      <c r="X564">
        <v>3638173000</v>
      </c>
      <c r="Y564">
        <v>927681000</v>
      </c>
      <c r="Z564">
        <v>0</v>
      </c>
      <c r="AA564" t="str">
        <f>+MID(Tabla_Consulta_desde_Reporte_de_Valorización_de_Instrumentos[[#This Row],[CODIGO_SBS]],7,1)</f>
        <v>1</v>
      </c>
      <c r="AB564">
        <f>INDEX('Cálculo Caja'!F:F,MATCH(Tabla_Consulta_desde_Reporte_de_Valorización_de_Instrumentos[[#This Row],[PORTAFOLIO]],'Cálculo Caja'!A:A,0),1)</f>
        <v>2847839359.3764262</v>
      </c>
      <c r="AC564" s="17">
        <f>Tabla_Consulta_desde_Reporte_de_Valorización_de_Instrumentos[[#This Row],[VALOR_VECTOR_LOCAL]]/Tabla_Consulta_desde_Reporte_de_Valorización_de_Instrumentos[[#This Row],[Patrimonio]]</f>
        <v>2.5329321544244231E-2</v>
      </c>
      <c r="AD564" s="4">
        <f>(Tabla_Consulta_desde_Reporte_de_Valorización_de_Instrumentos[[#This Row],[VALOR_VECTOR_LOCAL]]/INDEX('Tipo de Cambio'!$D:$D,MATCH("2",'Tipo de Cambio'!$E:$E,0),1))/1000000</f>
        <v>21.462655491088697</v>
      </c>
      <c r="AE564">
        <f>IF(Tabla_Consulta_desde_Reporte_de_Valorización_de_Instrumentos[[#This Row],[PORTAFOLIO]]="IN-FONDO0",Tabla_Consulta_desde_Reporte_de_Valorización_de_Instrumentos[[#This Row],[Inv MM$]],0)</f>
        <v>21.462655491088697</v>
      </c>
      <c r="AF564" s="26">
        <f>IF(Tabla_Consulta_desde_Reporte_de_Valorización_de_Instrumentos[[#This Row],[PORTAFOLIO]]="IN-FONDO1",Tabla_Consulta_desde_Reporte_de_Valorización_de_Instrumentos[[#This Row],[Inv MM$]],0)</f>
        <v>0</v>
      </c>
      <c r="AG564" s="26">
        <f>IF(Tabla_Consulta_desde_Reporte_de_Valorización_de_Instrumentos[[#This Row],[PORTAFOLIO]]="IN-FONDO2",Tabla_Consulta_desde_Reporte_de_Valorización_de_Instrumentos[[#This Row],[Inv MM$]],0)</f>
        <v>0</v>
      </c>
      <c r="AH564" s="26">
        <f>IF(Tabla_Consulta_desde_Reporte_de_Valorización_de_Instrumentos[[#This Row],[PORTAFOLIO]]="IN-FONDO3",Tabla_Consulta_desde_Reporte_de_Valorización_de_Instrumentos[[#This Row],[Inv MM$]],0)</f>
        <v>0</v>
      </c>
      <c r="AI56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4" s="26">
        <f>IFERROR(IFERROR(INDEX('BD(MSCI)'!$T:$T,MATCH(Tabla_Consulta_desde_Reporte_de_Valorización_de_Instrumentos[[#This Row],[CODIGO_ISIN]],'BD(MSCI)'!$C:$C,0),1),INDEX('BD(MSCI)'!$T:$T,MATCH(Tabla_Consulta_desde_Reporte_de_Valorización_de_Instrumentos[[#This Row],[CODIGO_SBS]],'BD(MSCI)'!$C:$C,0),1)),0)</f>
        <v>0</v>
      </c>
      <c r="AK564" s="26">
        <f>Tabla_Consulta_desde_Reporte_de_Valorización_de_Instrumentos[[#This Row],[C02-H]]*Tabla_Consulta_desde_Reporte_de_Valorización_de_Instrumentos[[#This Row],[Inv MM$]]</f>
        <v>0</v>
      </c>
      <c r="AL564" s="26">
        <f>Tabla_Consulta_desde_Reporte_de_Valorización_de_Instrumentos[[#This Row],[C02-H]]*Tabla_Consulta_desde_Reporte_de_Valorización_de_Instrumentos[[#This Row],[Weight]]</f>
        <v>0</v>
      </c>
      <c r="AM564" s="26" t="e">
        <f>INDEX(Parametria!G:G,MATCH(Tabla_Consulta_desde_Reporte_de_Valorización_de_Instrumentos[[#This Row],[CODIGO_SBS]],Parametria!C:C,0))</f>
        <v>#N/A</v>
      </c>
      <c r="AN564" s="26" t="e">
        <f>INDEX(Parametria!F:F,MATCH(Tabla_Consulta_desde_Reporte_de_Valorización_de_Instrumentos[[#This Row],[CODIGO_SBS]],Parametria!C:C,0))</f>
        <v>#N/A</v>
      </c>
      <c r="AO564" s="26" t="e">
        <f>+INDEX(Parametria!J:J,MATCH(Tabla_Consulta_desde_Reporte_de_Valorización_de_Instrumentos[[#This Row],[CODIGO_SBS]],Parametria!C:C,0))</f>
        <v>#N/A</v>
      </c>
      <c r="AP564" s="26">
        <f>Tabla_Consulta_desde_Reporte_de_Valorización_de_Instrumentos[[#This Row],[Huella]]/$AU$4</f>
        <v>0</v>
      </c>
      <c r="AQ564" s="26" t="e">
        <f>IFERROR(INDEX('BD(MSCI)'!W:W,MATCH(Tabla_Consulta_desde_Reporte_de_Valorización_de_Instrumentos[[#This Row],[CODIGO_ISIN]],'BD(MSCI)'!C:C,0)),IF(Tabla_Consulta_desde_Reporte_de_Valorización_de_Instrumentos[[#This Row],[Rank_rt]]="Cash","Cash","Cuestionario Integra"))</f>
        <v>#N/A</v>
      </c>
      <c r="AR564" s="26" t="str">
        <f>IFERROR(INDEX('BD(MSCI)'!X:X,MATCH(Tabla_Consulta_desde_Reporte_de_Valorización_de_Instrumentos[[#This Row],[CODIGO_ISIN]],'BD(MSCI)'!C:C,0)),"Cuestionario Integra")</f>
        <v>Cuestionario Integra</v>
      </c>
    </row>
    <row r="565" spans="2:44" hidden="1" x14ac:dyDescent="0.25">
      <c r="B565" s="14" t="s">
        <v>6390</v>
      </c>
      <c r="C565" t="s">
        <v>833</v>
      </c>
      <c r="D565" t="s">
        <v>9</v>
      </c>
      <c r="E565" t="s">
        <v>834</v>
      </c>
      <c r="F565" t="s">
        <v>5990</v>
      </c>
      <c r="G565" t="e">
        <f>INDEX(Parametria!H:H,MATCH(Tabla_Consulta_desde_Reporte_de_Valorización_de_Instrumentos[[#This Row],[CODIGO_SBS]],Parametria!C:C,0),1)</f>
        <v>#N/A</v>
      </c>
      <c r="H565" t="s">
        <v>90</v>
      </c>
      <c r="I565" t="s">
        <v>835</v>
      </c>
      <c r="J565" t="s">
        <v>243</v>
      </c>
      <c r="K565" t="s">
        <v>90</v>
      </c>
      <c r="L565">
        <v>1</v>
      </c>
      <c r="M565" s="5">
        <v>31924970.311999999</v>
      </c>
      <c r="N565">
        <v>31924970.311999999</v>
      </c>
      <c r="O565">
        <v>0</v>
      </c>
      <c r="P565" s="15">
        <v>46150</v>
      </c>
      <c r="Q565">
        <v>128</v>
      </c>
      <c r="R565">
        <v>1</v>
      </c>
      <c r="S565" t="s">
        <v>155</v>
      </c>
      <c r="T565">
        <v>31920983.370999999</v>
      </c>
      <c r="U565" s="5">
        <v>31920983.370999999</v>
      </c>
      <c r="V565" t="s">
        <v>192</v>
      </c>
      <c r="W565">
        <v>4565854000</v>
      </c>
      <c r="X565">
        <v>3638173000</v>
      </c>
      <c r="Y565">
        <v>927681000</v>
      </c>
      <c r="Z565">
        <v>0</v>
      </c>
      <c r="AA565" t="str">
        <f>+MID(Tabla_Consulta_desde_Reporte_de_Valorización_de_Instrumentos[[#This Row],[CODIGO_SBS]],7,1)</f>
        <v>1</v>
      </c>
      <c r="AB565">
        <f>INDEX('Cálculo Caja'!F:F,MATCH(Tabla_Consulta_desde_Reporte_de_Valorización_de_Instrumentos[[#This Row],[PORTAFOLIO]],'Cálculo Caja'!A:A,0),1)</f>
        <v>2847839359.3764262</v>
      </c>
      <c r="AC565" s="17">
        <f>Tabla_Consulta_desde_Reporte_de_Valorización_de_Instrumentos[[#This Row],[VALOR_VECTOR_LOCAL]]/Tabla_Consulta_desde_Reporte_de_Valorización_de_Instrumentos[[#This Row],[Patrimonio]]</f>
        <v>1.1210242672883912E-2</v>
      </c>
      <c r="AD565" s="4">
        <f>(Tabla_Consulta_desde_Reporte_de_Valorización_de_Instrumentos[[#This Row],[VALOR_VECTOR_LOCAL]]/INDEX('Tipo de Cambio'!$D:$D,MATCH("2",'Tipo de Cambio'!$E:$E,0),1))/1000000</f>
        <v>9.4989349019607854</v>
      </c>
      <c r="AE565">
        <f>IF(Tabla_Consulta_desde_Reporte_de_Valorización_de_Instrumentos[[#This Row],[PORTAFOLIO]]="IN-FONDO0",Tabla_Consulta_desde_Reporte_de_Valorización_de_Instrumentos[[#This Row],[Inv MM$]],0)</f>
        <v>9.4989349019607854</v>
      </c>
      <c r="AF565" s="26">
        <f>IF(Tabla_Consulta_desde_Reporte_de_Valorización_de_Instrumentos[[#This Row],[PORTAFOLIO]]="IN-FONDO1",Tabla_Consulta_desde_Reporte_de_Valorización_de_Instrumentos[[#This Row],[Inv MM$]],0)</f>
        <v>0</v>
      </c>
      <c r="AG565" s="26">
        <f>IF(Tabla_Consulta_desde_Reporte_de_Valorización_de_Instrumentos[[#This Row],[PORTAFOLIO]]="IN-FONDO2",Tabla_Consulta_desde_Reporte_de_Valorización_de_Instrumentos[[#This Row],[Inv MM$]],0)</f>
        <v>0</v>
      </c>
      <c r="AH565" s="26">
        <f>IF(Tabla_Consulta_desde_Reporte_de_Valorización_de_Instrumentos[[#This Row],[PORTAFOLIO]]="IN-FONDO3",Tabla_Consulta_desde_Reporte_de_Valorización_de_Instrumentos[[#This Row],[Inv MM$]],0)</f>
        <v>0</v>
      </c>
      <c r="AI56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5" s="26">
        <f>IFERROR(IFERROR(INDEX('BD(MSCI)'!$T:$T,MATCH(Tabla_Consulta_desde_Reporte_de_Valorización_de_Instrumentos[[#This Row],[CODIGO_ISIN]],'BD(MSCI)'!$C:$C,0),1),INDEX('BD(MSCI)'!$T:$T,MATCH(Tabla_Consulta_desde_Reporte_de_Valorización_de_Instrumentos[[#This Row],[CODIGO_SBS]],'BD(MSCI)'!$C:$C,0),1)),0)</f>
        <v>0</v>
      </c>
      <c r="AK565" s="26">
        <f>Tabla_Consulta_desde_Reporte_de_Valorización_de_Instrumentos[[#This Row],[C02-H]]*Tabla_Consulta_desde_Reporte_de_Valorización_de_Instrumentos[[#This Row],[Inv MM$]]</f>
        <v>0</v>
      </c>
      <c r="AL565" s="26">
        <f>Tabla_Consulta_desde_Reporte_de_Valorización_de_Instrumentos[[#This Row],[C02-H]]*Tabla_Consulta_desde_Reporte_de_Valorización_de_Instrumentos[[#This Row],[Weight]]</f>
        <v>0</v>
      </c>
      <c r="AM565" s="26" t="e">
        <f>INDEX(Parametria!G:G,MATCH(Tabla_Consulta_desde_Reporte_de_Valorización_de_Instrumentos[[#This Row],[CODIGO_SBS]],Parametria!C:C,0))</f>
        <v>#N/A</v>
      </c>
      <c r="AN565" s="26" t="e">
        <f>INDEX(Parametria!F:F,MATCH(Tabla_Consulta_desde_Reporte_de_Valorización_de_Instrumentos[[#This Row],[CODIGO_SBS]],Parametria!C:C,0))</f>
        <v>#N/A</v>
      </c>
      <c r="AO565" s="26" t="e">
        <f>+INDEX(Parametria!J:J,MATCH(Tabla_Consulta_desde_Reporte_de_Valorización_de_Instrumentos[[#This Row],[CODIGO_SBS]],Parametria!C:C,0))</f>
        <v>#N/A</v>
      </c>
      <c r="AP565" s="26">
        <f>Tabla_Consulta_desde_Reporte_de_Valorización_de_Instrumentos[[#This Row],[Huella]]/$AU$4</f>
        <v>0</v>
      </c>
      <c r="AQ565" s="26" t="e">
        <f>IFERROR(INDEX('BD(MSCI)'!W:W,MATCH(Tabla_Consulta_desde_Reporte_de_Valorización_de_Instrumentos[[#This Row],[CODIGO_ISIN]],'BD(MSCI)'!C:C,0)),IF(Tabla_Consulta_desde_Reporte_de_Valorización_de_Instrumentos[[#This Row],[Rank_rt]]="Cash","Cash","Cuestionario Integra"))</f>
        <v>#N/A</v>
      </c>
      <c r="AR565" s="26" t="str">
        <f>IFERROR(INDEX('BD(MSCI)'!X:X,MATCH(Tabla_Consulta_desde_Reporte_de_Valorización_de_Instrumentos[[#This Row],[CODIGO_ISIN]],'BD(MSCI)'!C:C,0)),"Cuestionario Integra")</f>
        <v>Cuestionario Integra</v>
      </c>
    </row>
    <row r="566" spans="2:44" hidden="1" x14ac:dyDescent="0.25">
      <c r="B566" s="14" t="s">
        <v>6390</v>
      </c>
      <c r="C566" t="s">
        <v>833</v>
      </c>
      <c r="D566" t="s">
        <v>9</v>
      </c>
      <c r="E566" t="s">
        <v>834</v>
      </c>
      <c r="F566" t="s">
        <v>5884</v>
      </c>
      <c r="G566">
        <f>INDEX(Parametria!H:H,MATCH(Tabla_Consulta_desde_Reporte_de_Valorización_de_Instrumentos[[#This Row],[CODIGO_SBS]],Parametria!C:C,0),1)</f>
        <v>0</v>
      </c>
      <c r="H566" t="s">
        <v>90</v>
      </c>
      <c r="I566" t="s">
        <v>835</v>
      </c>
      <c r="J566" t="s">
        <v>246</v>
      </c>
      <c r="K566" t="s">
        <v>90</v>
      </c>
      <c r="L566">
        <v>1</v>
      </c>
      <c r="M566" s="5">
        <v>33194576.704</v>
      </c>
      <c r="N566">
        <v>33194576.704</v>
      </c>
      <c r="O566">
        <v>0</v>
      </c>
      <c r="P566" s="15">
        <v>46080</v>
      </c>
      <c r="Q566">
        <v>58</v>
      </c>
      <c r="R566">
        <v>1</v>
      </c>
      <c r="S566" t="s">
        <v>155</v>
      </c>
      <c r="T566">
        <v>33190621.151999999</v>
      </c>
      <c r="U566" s="5">
        <v>33190621.151999999</v>
      </c>
      <c r="V566" t="s">
        <v>192</v>
      </c>
      <c r="W566">
        <v>4565854000</v>
      </c>
      <c r="X566">
        <v>3638173000</v>
      </c>
      <c r="Y566">
        <v>927681000</v>
      </c>
      <c r="Z566">
        <v>0</v>
      </c>
      <c r="AA566" t="str">
        <f>+MID(Tabla_Consulta_desde_Reporte_de_Valorización_de_Instrumentos[[#This Row],[CODIGO_SBS]],7,1)</f>
        <v>1</v>
      </c>
      <c r="AB566">
        <f>INDEX('Cálculo Caja'!F:F,MATCH(Tabla_Consulta_desde_Reporte_de_Valorización_de_Instrumentos[[#This Row],[PORTAFOLIO]],'Cálculo Caja'!A:A,0),1)</f>
        <v>2847839359.3764262</v>
      </c>
      <c r="AC566" s="17">
        <f>Tabla_Consulta_desde_Reporte_de_Valorización_de_Instrumentos[[#This Row],[VALOR_VECTOR_LOCAL]]/Tabla_Consulta_desde_Reporte_de_Valorización_de_Instrumentos[[#This Row],[Patrimonio]]</f>
        <v>1.1656056580125506E-2</v>
      </c>
      <c r="AD566" s="4">
        <f>(Tabla_Consulta_desde_Reporte_de_Valorización_de_Instrumentos[[#This Row],[VALOR_VECTOR_LOCAL]]/INDEX('Tipo de Cambio'!$D:$D,MATCH("2",'Tipo de Cambio'!$E:$E,0),1))/1000000</f>
        <v>9.8766927620577807</v>
      </c>
      <c r="AE566">
        <f>IF(Tabla_Consulta_desde_Reporte_de_Valorización_de_Instrumentos[[#This Row],[PORTAFOLIO]]="IN-FONDO0",Tabla_Consulta_desde_Reporte_de_Valorización_de_Instrumentos[[#This Row],[Inv MM$]],0)</f>
        <v>9.8766927620577807</v>
      </c>
      <c r="AF566" s="26">
        <f>IF(Tabla_Consulta_desde_Reporte_de_Valorización_de_Instrumentos[[#This Row],[PORTAFOLIO]]="IN-FONDO1",Tabla_Consulta_desde_Reporte_de_Valorización_de_Instrumentos[[#This Row],[Inv MM$]],0)</f>
        <v>0</v>
      </c>
      <c r="AG566" s="26">
        <f>IF(Tabla_Consulta_desde_Reporte_de_Valorización_de_Instrumentos[[#This Row],[PORTAFOLIO]]="IN-FONDO2",Tabla_Consulta_desde_Reporte_de_Valorización_de_Instrumentos[[#This Row],[Inv MM$]],0)</f>
        <v>0</v>
      </c>
      <c r="AH566" s="26">
        <f>IF(Tabla_Consulta_desde_Reporte_de_Valorización_de_Instrumentos[[#This Row],[PORTAFOLIO]]="IN-FONDO3",Tabla_Consulta_desde_Reporte_de_Valorización_de_Instrumentos[[#This Row],[Inv MM$]],0)</f>
        <v>0</v>
      </c>
      <c r="AI56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6" s="26">
        <f>IFERROR(IFERROR(INDEX('BD(MSCI)'!$T:$T,MATCH(Tabla_Consulta_desde_Reporte_de_Valorización_de_Instrumentos[[#This Row],[CODIGO_ISIN]],'BD(MSCI)'!$C:$C,0),1),INDEX('BD(MSCI)'!$T:$T,MATCH(Tabla_Consulta_desde_Reporte_de_Valorización_de_Instrumentos[[#This Row],[CODIGO_SBS]],'BD(MSCI)'!$C:$C,0),1)),0)</f>
        <v>0</v>
      </c>
      <c r="AK566" s="26">
        <f>Tabla_Consulta_desde_Reporte_de_Valorización_de_Instrumentos[[#This Row],[C02-H]]*Tabla_Consulta_desde_Reporte_de_Valorización_de_Instrumentos[[#This Row],[Inv MM$]]</f>
        <v>0</v>
      </c>
      <c r="AL566" s="26">
        <f>Tabla_Consulta_desde_Reporte_de_Valorización_de_Instrumentos[[#This Row],[C02-H]]*Tabla_Consulta_desde_Reporte_de_Valorización_de_Instrumentos[[#This Row],[Weight]]</f>
        <v>0</v>
      </c>
      <c r="AM566" s="26">
        <f>INDEX(Parametria!G:G,MATCH(Tabla_Consulta_desde_Reporte_de_Valorización_de_Instrumentos[[#This Row],[CODIGO_SBS]],Parametria!C:C,0))</f>
        <v>0</v>
      </c>
      <c r="AN566" s="26" t="str">
        <f>INDEX(Parametria!F:F,MATCH(Tabla_Consulta_desde_Reporte_de_Valorización_de_Instrumentos[[#This Row],[CODIGO_SBS]],Parametria!C:C,0))</f>
        <v>Cash</v>
      </c>
      <c r="AO566" s="26" t="str">
        <f>+INDEX(Parametria!J:J,MATCH(Tabla_Consulta_desde_Reporte_de_Valorización_de_Instrumentos[[#This Row],[CODIGO_SBS]],Parametria!C:C,0))</f>
        <v>Cash</v>
      </c>
      <c r="AP566" s="26">
        <f>Tabla_Consulta_desde_Reporte_de_Valorización_de_Instrumentos[[#This Row],[Huella]]/$AU$4</f>
        <v>0</v>
      </c>
      <c r="AQ566" s="26" t="str">
        <f>IFERROR(INDEX('BD(MSCI)'!W:W,MATCH(Tabla_Consulta_desde_Reporte_de_Valorización_de_Instrumentos[[#This Row],[CODIGO_ISIN]],'BD(MSCI)'!C:C,0)),IF(Tabla_Consulta_desde_Reporte_de_Valorización_de_Instrumentos[[#This Row],[Rank_rt]]="Cash","Cash","Cuestionario Integra"))</f>
        <v>Cash</v>
      </c>
      <c r="AR566" s="26" t="str">
        <f>IFERROR(INDEX('BD(MSCI)'!X:X,MATCH(Tabla_Consulta_desde_Reporte_de_Valorización_de_Instrumentos[[#This Row],[CODIGO_ISIN]],'BD(MSCI)'!C:C,0)),"Cuestionario Integra")</f>
        <v>Cuestionario Integra</v>
      </c>
    </row>
    <row r="567" spans="2:44" hidden="1" x14ac:dyDescent="0.25">
      <c r="B567" s="14" t="s">
        <v>6390</v>
      </c>
      <c r="C567" t="s">
        <v>833</v>
      </c>
      <c r="D567" t="s">
        <v>9</v>
      </c>
      <c r="E567" t="s">
        <v>834</v>
      </c>
      <c r="F567" t="s">
        <v>5883</v>
      </c>
      <c r="G567">
        <f>INDEX(Parametria!H:H,MATCH(Tabla_Consulta_desde_Reporte_de_Valorización_de_Instrumentos[[#This Row],[CODIGO_SBS]],Parametria!C:C,0),1)</f>
        <v>0</v>
      </c>
      <c r="H567" t="s">
        <v>90</v>
      </c>
      <c r="I567" t="s">
        <v>835</v>
      </c>
      <c r="J567" t="s">
        <v>245</v>
      </c>
      <c r="K567" t="s">
        <v>90</v>
      </c>
      <c r="L567">
        <v>1</v>
      </c>
      <c r="M567" s="5">
        <v>8297303.2960000001</v>
      </c>
      <c r="N567">
        <v>8297303.2960000001</v>
      </c>
      <c r="O567">
        <v>0</v>
      </c>
      <c r="P567" s="15">
        <v>46080</v>
      </c>
      <c r="Q567">
        <v>58</v>
      </c>
      <c r="R567">
        <v>1</v>
      </c>
      <c r="S567" t="s">
        <v>155</v>
      </c>
      <c r="T567">
        <v>8296318.8480000002</v>
      </c>
      <c r="U567" s="5">
        <v>8296318.8480000002</v>
      </c>
      <c r="V567" t="s">
        <v>192</v>
      </c>
      <c r="W567">
        <v>4565854000</v>
      </c>
      <c r="X567">
        <v>3638173000</v>
      </c>
      <c r="Y567">
        <v>927681000</v>
      </c>
      <c r="Z567">
        <v>0</v>
      </c>
      <c r="AA567" t="str">
        <f>+MID(Tabla_Consulta_desde_Reporte_de_Valorización_de_Instrumentos[[#This Row],[CODIGO_SBS]],7,1)</f>
        <v>1</v>
      </c>
      <c r="AB567">
        <f>INDEX('Cálculo Caja'!F:F,MATCH(Tabla_Consulta_desde_Reporte_de_Valorización_de_Instrumentos[[#This Row],[PORTAFOLIO]],'Cálculo Caja'!A:A,0),1)</f>
        <v>2847839359.3764262</v>
      </c>
      <c r="AC567" s="17">
        <f>Tabla_Consulta_desde_Reporte_de_Valorización_de_Instrumentos[[#This Row],[VALOR_VECTOR_LOCAL]]/Tabla_Consulta_desde_Reporte_de_Valorización_de_Instrumentos[[#This Row],[Patrimonio]]</f>
        <v>2.9135433038669743E-3</v>
      </c>
      <c r="AD567" s="4">
        <f>(Tabla_Consulta_desde_Reporte_de_Valorización_de_Instrumentos[[#This Row],[VALOR_VECTOR_LOCAL]]/INDEX('Tipo de Cambio'!$D:$D,MATCH("2",'Tipo de Cambio'!$E:$E,0),1))/1000000</f>
        <v>2.4687742259513819</v>
      </c>
      <c r="AE567">
        <f>IF(Tabla_Consulta_desde_Reporte_de_Valorización_de_Instrumentos[[#This Row],[PORTAFOLIO]]="IN-FONDO0",Tabla_Consulta_desde_Reporte_de_Valorización_de_Instrumentos[[#This Row],[Inv MM$]],0)</f>
        <v>2.4687742259513819</v>
      </c>
      <c r="AF567" s="26">
        <f>IF(Tabla_Consulta_desde_Reporte_de_Valorización_de_Instrumentos[[#This Row],[PORTAFOLIO]]="IN-FONDO1",Tabla_Consulta_desde_Reporte_de_Valorización_de_Instrumentos[[#This Row],[Inv MM$]],0)</f>
        <v>0</v>
      </c>
      <c r="AG567" s="26">
        <f>IF(Tabla_Consulta_desde_Reporte_de_Valorización_de_Instrumentos[[#This Row],[PORTAFOLIO]]="IN-FONDO2",Tabla_Consulta_desde_Reporte_de_Valorización_de_Instrumentos[[#This Row],[Inv MM$]],0)</f>
        <v>0</v>
      </c>
      <c r="AH567" s="26">
        <f>IF(Tabla_Consulta_desde_Reporte_de_Valorización_de_Instrumentos[[#This Row],[PORTAFOLIO]]="IN-FONDO3",Tabla_Consulta_desde_Reporte_de_Valorización_de_Instrumentos[[#This Row],[Inv MM$]],0)</f>
        <v>0</v>
      </c>
      <c r="AI56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7" s="26">
        <f>IFERROR(IFERROR(INDEX('BD(MSCI)'!$T:$T,MATCH(Tabla_Consulta_desde_Reporte_de_Valorización_de_Instrumentos[[#This Row],[CODIGO_ISIN]],'BD(MSCI)'!$C:$C,0),1),INDEX('BD(MSCI)'!$T:$T,MATCH(Tabla_Consulta_desde_Reporte_de_Valorización_de_Instrumentos[[#This Row],[CODIGO_SBS]],'BD(MSCI)'!$C:$C,0),1)),0)</f>
        <v>0</v>
      </c>
      <c r="AK567" s="26">
        <f>Tabla_Consulta_desde_Reporte_de_Valorización_de_Instrumentos[[#This Row],[C02-H]]*Tabla_Consulta_desde_Reporte_de_Valorización_de_Instrumentos[[#This Row],[Inv MM$]]</f>
        <v>0</v>
      </c>
      <c r="AL567" s="26">
        <f>Tabla_Consulta_desde_Reporte_de_Valorización_de_Instrumentos[[#This Row],[C02-H]]*Tabla_Consulta_desde_Reporte_de_Valorización_de_Instrumentos[[#This Row],[Weight]]</f>
        <v>0</v>
      </c>
      <c r="AM567" s="26">
        <f>INDEX(Parametria!G:G,MATCH(Tabla_Consulta_desde_Reporte_de_Valorización_de_Instrumentos[[#This Row],[CODIGO_SBS]],Parametria!C:C,0))</f>
        <v>0</v>
      </c>
      <c r="AN567" s="26" t="str">
        <f>INDEX(Parametria!F:F,MATCH(Tabla_Consulta_desde_Reporte_de_Valorización_de_Instrumentos[[#This Row],[CODIGO_SBS]],Parametria!C:C,0))</f>
        <v>Cash</v>
      </c>
      <c r="AO567" s="26" t="str">
        <f>+INDEX(Parametria!J:J,MATCH(Tabla_Consulta_desde_Reporte_de_Valorización_de_Instrumentos[[#This Row],[CODIGO_SBS]],Parametria!C:C,0))</f>
        <v>Cash</v>
      </c>
      <c r="AP567" s="26">
        <f>Tabla_Consulta_desde_Reporte_de_Valorización_de_Instrumentos[[#This Row],[Huella]]/$AU$4</f>
        <v>0</v>
      </c>
      <c r="AQ567" s="26" t="str">
        <f>IFERROR(INDEX('BD(MSCI)'!W:W,MATCH(Tabla_Consulta_desde_Reporte_de_Valorización_de_Instrumentos[[#This Row],[CODIGO_ISIN]],'BD(MSCI)'!C:C,0)),IF(Tabla_Consulta_desde_Reporte_de_Valorización_de_Instrumentos[[#This Row],[Rank_rt]]="Cash","Cash","Cuestionario Integra"))</f>
        <v>Cash</v>
      </c>
      <c r="AR567" s="26" t="str">
        <f>IFERROR(INDEX('BD(MSCI)'!X:X,MATCH(Tabla_Consulta_desde_Reporte_de_Valorización_de_Instrumentos[[#This Row],[CODIGO_ISIN]],'BD(MSCI)'!C:C,0)),"Cuestionario Integra")</f>
        <v>Cuestionario Integra</v>
      </c>
    </row>
    <row r="568" spans="2:44" hidden="1" x14ac:dyDescent="0.25">
      <c r="B568" s="14" t="s">
        <v>6390</v>
      </c>
      <c r="C568" t="s">
        <v>833</v>
      </c>
      <c r="D568" t="s">
        <v>9</v>
      </c>
      <c r="E568" t="s">
        <v>834</v>
      </c>
      <c r="F568" t="s">
        <v>5882</v>
      </c>
      <c r="G568">
        <f>INDEX(Parametria!H:H,MATCH(Tabla_Consulta_desde_Reporte_de_Valorización_de_Instrumentos[[#This Row],[CODIGO_SBS]],Parametria!C:C,0),1)</f>
        <v>0</v>
      </c>
      <c r="H568" t="s">
        <v>90</v>
      </c>
      <c r="I568" t="s">
        <v>835</v>
      </c>
      <c r="J568" t="s">
        <v>373</v>
      </c>
      <c r="K568" t="s">
        <v>90</v>
      </c>
      <c r="L568">
        <v>1</v>
      </c>
      <c r="M568" s="5">
        <v>6221250</v>
      </c>
      <c r="N568">
        <v>6221250</v>
      </c>
      <c r="O568">
        <v>0</v>
      </c>
      <c r="P568" s="15">
        <v>46087</v>
      </c>
      <c r="Q568">
        <v>65</v>
      </c>
      <c r="R568">
        <v>1</v>
      </c>
      <c r="S568" t="s">
        <v>155</v>
      </c>
      <c r="T568">
        <v>6220500</v>
      </c>
      <c r="U568" s="5">
        <v>6220500</v>
      </c>
      <c r="V568" t="s">
        <v>192</v>
      </c>
      <c r="W568">
        <v>4565854000</v>
      </c>
      <c r="X568">
        <v>3638173000</v>
      </c>
      <c r="Y568">
        <v>927681000</v>
      </c>
      <c r="Z568">
        <v>0</v>
      </c>
      <c r="AA568" t="str">
        <f>+MID(Tabla_Consulta_desde_Reporte_de_Valorización_de_Instrumentos[[#This Row],[CODIGO_SBS]],7,1)</f>
        <v>1</v>
      </c>
      <c r="AB568">
        <f>INDEX('Cálculo Caja'!F:F,MATCH(Tabla_Consulta_desde_Reporte_de_Valorización_de_Instrumentos[[#This Row],[PORTAFOLIO]],'Cálculo Caja'!A:A,0),1)</f>
        <v>2847839359.3764262</v>
      </c>
      <c r="AC568" s="17">
        <f>Tabla_Consulta_desde_Reporte_de_Valorización_de_Instrumentos[[#This Row],[VALOR_VECTOR_LOCAL]]/Tabla_Consulta_desde_Reporte_de_Valorización_de_Instrumentos[[#This Row],[Patrimonio]]</f>
        <v>2.1845508875058981E-3</v>
      </c>
      <c r="AD568" s="4">
        <f>(Tabla_Consulta_desde_Reporte_de_Valorización_de_Instrumentos[[#This Row],[VALOR_VECTOR_LOCAL]]/INDEX('Tipo de Cambio'!$D:$D,MATCH("2",'Tipo de Cambio'!$E:$E,0),1))/1000000</f>
        <v>1.8510666785682408</v>
      </c>
      <c r="AE568">
        <f>IF(Tabla_Consulta_desde_Reporte_de_Valorización_de_Instrumentos[[#This Row],[PORTAFOLIO]]="IN-FONDO0",Tabla_Consulta_desde_Reporte_de_Valorización_de_Instrumentos[[#This Row],[Inv MM$]],0)</f>
        <v>1.8510666785682408</v>
      </c>
      <c r="AF568" s="26">
        <f>IF(Tabla_Consulta_desde_Reporte_de_Valorización_de_Instrumentos[[#This Row],[PORTAFOLIO]]="IN-FONDO1",Tabla_Consulta_desde_Reporte_de_Valorización_de_Instrumentos[[#This Row],[Inv MM$]],0)</f>
        <v>0</v>
      </c>
      <c r="AG568" s="26">
        <f>IF(Tabla_Consulta_desde_Reporte_de_Valorización_de_Instrumentos[[#This Row],[PORTAFOLIO]]="IN-FONDO2",Tabla_Consulta_desde_Reporte_de_Valorización_de_Instrumentos[[#This Row],[Inv MM$]],0)</f>
        <v>0</v>
      </c>
      <c r="AH568" s="26">
        <f>IF(Tabla_Consulta_desde_Reporte_de_Valorización_de_Instrumentos[[#This Row],[PORTAFOLIO]]="IN-FONDO3",Tabla_Consulta_desde_Reporte_de_Valorización_de_Instrumentos[[#This Row],[Inv MM$]],0)</f>
        <v>0</v>
      </c>
      <c r="AI56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8" s="26">
        <f>IFERROR(IFERROR(INDEX('BD(MSCI)'!$T:$T,MATCH(Tabla_Consulta_desde_Reporte_de_Valorización_de_Instrumentos[[#This Row],[CODIGO_ISIN]],'BD(MSCI)'!$C:$C,0),1),INDEX('BD(MSCI)'!$T:$T,MATCH(Tabla_Consulta_desde_Reporte_de_Valorización_de_Instrumentos[[#This Row],[CODIGO_SBS]],'BD(MSCI)'!$C:$C,0),1)),0)</f>
        <v>0</v>
      </c>
      <c r="AK568" s="26">
        <f>Tabla_Consulta_desde_Reporte_de_Valorización_de_Instrumentos[[#This Row],[C02-H]]*Tabla_Consulta_desde_Reporte_de_Valorización_de_Instrumentos[[#This Row],[Inv MM$]]</f>
        <v>0</v>
      </c>
      <c r="AL568" s="26">
        <f>Tabla_Consulta_desde_Reporte_de_Valorización_de_Instrumentos[[#This Row],[C02-H]]*Tabla_Consulta_desde_Reporte_de_Valorización_de_Instrumentos[[#This Row],[Weight]]</f>
        <v>0</v>
      </c>
      <c r="AM568" s="26">
        <f>INDEX(Parametria!G:G,MATCH(Tabla_Consulta_desde_Reporte_de_Valorización_de_Instrumentos[[#This Row],[CODIGO_SBS]],Parametria!C:C,0))</f>
        <v>0</v>
      </c>
      <c r="AN568" s="26" t="str">
        <f>INDEX(Parametria!F:F,MATCH(Tabla_Consulta_desde_Reporte_de_Valorización_de_Instrumentos[[#This Row],[CODIGO_SBS]],Parametria!C:C,0))</f>
        <v>Cash</v>
      </c>
      <c r="AO568" s="26" t="str">
        <f>+INDEX(Parametria!J:J,MATCH(Tabla_Consulta_desde_Reporte_de_Valorización_de_Instrumentos[[#This Row],[CODIGO_SBS]],Parametria!C:C,0))</f>
        <v>Cash</v>
      </c>
      <c r="AP568" s="26">
        <f>Tabla_Consulta_desde_Reporte_de_Valorización_de_Instrumentos[[#This Row],[Huella]]/$AU$4</f>
        <v>0</v>
      </c>
      <c r="AQ568" s="26" t="str">
        <f>IFERROR(INDEX('BD(MSCI)'!W:W,MATCH(Tabla_Consulta_desde_Reporte_de_Valorización_de_Instrumentos[[#This Row],[CODIGO_ISIN]],'BD(MSCI)'!C:C,0)),IF(Tabla_Consulta_desde_Reporte_de_Valorización_de_Instrumentos[[#This Row],[Rank_rt]]="Cash","Cash","Cuestionario Integra"))</f>
        <v>Cash</v>
      </c>
      <c r="AR568" s="26" t="str">
        <f>IFERROR(INDEX('BD(MSCI)'!X:X,MATCH(Tabla_Consulta_desde_Reporte_de_Valorización_de_Instrumentos[[#This Row],[CODIGO_ISIN]],'BD(MSCI)'!C:C,0)),"Cuestionario Integra")</f>
        <v>Cuestionario Integra</v>
      </c>
    </row>
    <row r="569" spans="2:44" hidden="1" x14ac:dyDescent="0.25">
      <c r="B569" s="14" t="s">
        <v>6390</v>
      </c>
      <c r="C569" t="s">
        <v>833</v>
      </c>
      <c r="D569" t="s">
        <v>9</v>
      </c>
      <c r="E569" t="s">
        <v>834</v>
      </c>
      <c r="F569" t="s">
        <v>5881</v>
      </c>
      <c r="G569">
        <f>INDEX(Parametria!H:H,MATCH(Tabla_Consulta_desde_Reporte_de_Valorización_de_Instrumentos[[#This Row],[CODIGO_SBS]],Parametria!C:C,0),1)</f>
        <v>0</v>
      </c>
      <c r="H569" t="s">
        <v>90</v>
      </c>
      <c r="I569" t="s">
        <v>835</v>
      </c>
      <c r="J569" t="s">
        <v>243</v>
      </c>
      <c r="K569" t="s">
        <v>90</v>
      </c>
      <c r="L569">
        <v>1</v>
      </c>
      <c r="M569" s="5">
        <v>40406164.109999999</v>
      </c>
      <c r="N569">
        <v>40406164.109999999</v>
      </c>
      <c r="O569">
        <v>0</v>
      </c>
      <c r="P569" s="15">
        <v>46087</v>
      </c>
      <c r="Q569">
        <v>65</v>
      </c>
      <c r="R569">
        <v>1</v>
      </c>
      <c r="S569" t="s">
        <v>155</v>
      </c>
      <c r="T569">
        <v>40401397.452</v>
      </c>
      <c r="U569" s="5">
        <v>40401397.452</v>
      </c>
      <c r="V569" t="s">
        <v>192</v>
      </c>
      <c r="W569">
        <v>4565854000</v>
      </c>
      <c r="X569">
        <v>3638173000</v>
      </c>
      <c r="Y569">
        <v>927681000</v>
      </c>
      <c r="Z569">
        <v>0</v>
      </c>
      <c r="AA569" t="str">
        <f>+MID(Tabla_Consulta_desde_Reporte_de_Valorización_de_Instrumentos[[#This Row],[CODIGO_SBS]],7,1)</f>
        <v>1</v>
      </c>
      <c r="AB569">
        <f>INDEX('Cálculo Caja'!F:F,MATCH(Tabla_Consulta_desde_Reporte_de_Valorización_de_Instrumentos[[#This Row],[PORTAFOLIO]],'Cálculo Caja'!A:A,0),1)</f>
        <v>2847839359.3764262</v>
      </c>
      <c r="AC569" s="17">
        <f>Tabla_Consulta_desde_Reporte_de_Valorización_de_Instrumentos[[#This Row],[VALOR_VECTOR_LOCAL]]/Tabla_Consulta_desde_Reporte_de_Valorización_de_Instrumentos[[#This Row],[Patrimonio]]</f>
        <v>1.4188357913154023E-2</v>
      </c>
      <c r="AD569" s="4">
        <f>(Tabla_Consulta_desde_Reporte_de_Valorización_de_Instrumentos[[#This Row],[VALOR_VECTOR_LOCAL]]/INDEX('Tipo de Cambio'!$D:$D,MATCH("2",'Tipo de Cambio'!$E:$E,0),1))/1000000</f>
        <v>12.022423788270999</v>
      </c>
      <c r="AE569">
        <f>IF(Tabla_Consulta_desde_Reporte_de_Valorización_de_Instrumentos[[#This Row],[PORTAFOLIO]]="IN-FONDO0",Tabla_Consulta_desde_Reporte_de_Valorización_de_Instrumentos[[#This Row],[Inv MM$]],0)</f>
        <v>12.022423788270999</v>
      </c>
      <c r="AF569" s="26">
        <f>IF(Tabla_Consulta_desde_Reporte_de_Valorización_de_Instrumentos[[#This Row],[PORTAFOLIO]]="IN-FONDO1",Tabla_Consulta_desde_Reporte_de_Valorización_de_Instrumentos[[#This Row],[Inv MM$]],0)</f>
        <v>0</v>
      </c>
      <c r="AG569" s="26">
        <f>IF(Tabla_Consulta_desde_Reporte_de_Valorización_de_Instrumentos[[#This Row],[PORTAFOLIO]]="IN-FONDO2",Tabla_Consulta_desde_Reporte_de_Valorización_de_Instrumentos[[#This Row],[Inv MM$]],0)</f>
        <v>0</v>
      </c>
      <c r="AH569" s="26">
        <f>IF(Tabla_Consulta_desde_Reporte_de_Valorización_de_Instrumentos[[#This Row],[PORTAFOLIO]]="IN-FONDO3",Tabla_Consulta_desde_Reporte_de_Valorización_de_Instrumentos[[#This Row],[Inv MM$]],0)</f>
        <v>0</v>
      </c>
      <c r="AI56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9" s="26">
        <f>IFERROR(IFERROR(INDEX('BD(MSCI)'!$T:$T,MATCH(Tabla_Consulta_desde_Reporte_de_Valorización_de_Instrumentos[[#This Row],[CODIGO_ISIN]],'BD(MSCI)'!$C:$C,0),1),INDEX('BD(MSCI)'!$T:$T,MATCH(Tabla_Consulta_desde_Reporte_de_Valorización_de_Instrumentos[[#This Row],[CODIGO_SBS]],'BD(MSCI)'!$C:$C,0),1)),0)</f>
        <v>0</v>
      </c>
      <c r="AK569" s="26">
        <f>Tabla_Consulta_desde_Reporte_de_Valorización_de_Instrumentos[[#This Row],[C02-H]]*Tabla_Consulta_desde_Reporte_de_Valorización_de_Instrumentos[[#This Row],[Inv MM$]]</f>
        <v>0</v>
      </c>
      <c r="AL569" s="26">
        <f>Tabla_Consulta_desde_Reporte_de_Valorización_de_Instrumentos[[#This Row],[C02-H]]*Tabla_Consulta_desde_Reporte_de_Valorización_de_Instrumentos[[#This Row],[Weight]]</f>
        <v>0</v>
      </c>
      <c r="AM569" s="26">
        <f>INDEX(Parametria!G:G,MATCH(Tabla_Consulta_desde_Reporte_de_Valorización_de_Instrumentos[[#This Row],[CODIGO_SBS]],Parametria!C:C,0))</f>
        <v>0</v>
      </c>
      <c r="AN569" s="26" t="str">
        <f>INDEX(Parametria!F:F,MATCH(Tabla_Consulta_desde_Reporte_de_Valorización_de_Instrumentos[[#This Row],[CODIGO_SBS]],Parametria!C:C,0))</f>
        <v>Cash</v>
      </c>
      <c r="AO569" s="26" t="str">
        <f>+INDEX(Parametria!J:J,MATCH(Tabla_Consulta_desde_Reporte_de_Valorización_de_Instrumentos[[#This Row],[CODIGO_SBS]],Parametria!C:C,0))</f>
        <v>Cash</v>
      </c>
      <c r="AP569" s="26">
        <f>Tabla_Consulta_desde_Reporte_de_Valorización_de_Instrumentos[[#This Row],[Huella]]/$AU$4</f>
        <v>0</v>
      </c>
      <c r="AQ569" s="26" t="str">
        <f>IFERROR(INDEX('BD(MSCI)'!W:W,MATCH(Tabla_Consulta_desde_Reporte_de_Valorización_de_Instrumentos[[#This Row],[CODIGO_ISIN]],'BD(MSCI)'!C:C,0)),IF(Tabla_Consulta_desde_Reporte_de_Valorización_de_Instrumentos[[#This Row],[Rank_rt]]="Cash","Cash","Cuestionario Integra"))</f>
        <v>Cash</v>
      </c>
      <c r="AR569" s="26" t="str">
        <f>IFERROR(INDEX('BD(MSCI)'!X:X,MATCH(Tabla_Consulta_desde_Reporte_de_Valorización_de_Instrumentos[[#This Row],[CODIGO_ISIN]],'BD(MSCI)'!C:C,0)),"Cuestionario Integra")</f>
        <v>Cuestionario Integra</v>
      </c>
    </row>
    <row r="570" spans="2:44" hidden="1" x14ac:dyDescent="0.25">
      <c r="B570" s="14" t="s">
        <v>6390</v>
      </c>
      <c r="C570" t="s">
        <v>833</v>
      </c>
      <c r="D570" t="s">
        <v>9</v>
      </c>
      <c r="E570" t="s">
        <v>834</v>
      </c>
      <c r="F570" t="s">
        <v>5880</v>
      </c>
      <c r="G570">
        <f>INDEX(Parametria!H:H,MATCH(Tabla_Consulta_desde_Reporte_de_Valorización_de_Instrumentos[[#This Row],[CODIGO_SBS]],Parametria!C:C,0),1)</f>
        <v>0</v>
      </c>
      <c r="H570" t="s">
        <v>90</v>
      </c>
      <c r="I570" t="s">
        <v>835</v>
      </c>
      <c r="J570" t="s">
        <v>243</v>
      </c>
      <c r="K570" t="s">
        <v>90</v>
      </c>
      <c r="L570">
        <v>1</v>
      </c>
      <c r="M570" s="5">
        <v>27952647.372000001</v>
      </c>
      <c r="N570">
        <v>27952647.372000001</v>
      </c>
      <c r="O570">
        <v>0</v>
      </c>
      <c r="P570" s="15">
        <v>46090</v>
      </c>
      <c r="Q570">
        <v>68</v>
      </c>
      <c r="R570">
        <v>1</v>
      </c>
      <c r="S570" t="s">
        <v>155</v>
      </c>
      <c r="T570">
        <v>27949384.881000001</v>
      </c>
      <c r="U570" s="5">
        <v>27949384.881000001</v>
      </c>
      <c r="V570" t="s">
        <v>192</v>
      </c>
      <c r="W570">
        <v>4565854000</v>
      </c>
      <c r="X570">
        <v>3638173000</v>
      </c>
      <c r="Y570">
        <v>927681000</v>
      </c>
      <c r="Z570">
        <v>0</v>
      </c>
      <c r="AA570" t="str">
        <f>+MID(Tabla_Consulta_desde_Reporte_de_Valorización_de_Instrumentos[[#This Row],[CODIGO_SBS]],7,1)</f>
        <v>1</v>
      </c>
      <c r="AB570">
        <f>INDEX('Cálculo Caja'!F:F,MATCH(Tabla_Consulta_desde_Reporte_de_Valorización_de_Instrumentos[[#This Row],[PORTAFOLIO]],'Cálculo Caja'!A:A,0),1)</f>
        <v>2847839359.3764262</v>
      </c>
      <c r="AC570" s="17">
        <f>Tabla_Consulta_desde_Reporte_de_Valorización_de_Instrumentos[[#This Row],[VALOR_VECTOR_LOCAL]]/Tabla_Consulta_desde_Reporte_de_Valorización_de_Instrumentos[[#This Row],[Patrimonio]]</f>
        <v>9.815387683285836E-3</v>
      </c>
      <c r="AD570" s="4">
        <f>(Tabla_Consulta_desde_Reporte_de_Valorización_de_Instrumentos[[#This Row],[VALOR_VECTOR_LOCAL]]/INDEX('Tipo de Cambio'!$D:$D,MATCH("2",'Tipo de Cambio'!$E:$E,0),1))/1000000</f>
        <v>8.317012518075515</v>
      </c>
      <c r="AE570">
        <f>IF(Tabla_Consulta_desde_Reporte_de_Valorización_de_Instrumentos[[#This Row],[PORTAFOLIO]]="IN-FONDO0",Tabla_Consulta_desde_Reporte_de_Valorización_de_Instrumentos[[#This Row],[Inv MM$]],0)</f>
        <v>8.317012518075515</v>
      </c>
      <c r="AF570" s="26">
        <f>IF(Tabla_Consulta_desde_Reporte_de_Valorización_de_Instrumentos[[#This Row],[PORTAFOLIO]]="IN-FONDO1",Tabla_Consulta_desde_Reporte_de_Valorización_de_Instrumentos[[#This Row],[Inv MM$]],0)</f>
        <v>0</v>
      </c>
      <c r="AG570" s="26">
        <f>IF(Tabla_Consulta_desde_Reporte_de_Valorización_de_Instrumentos[[#This Row],[PORTAFOLIO]]="IN-FONDO2",Tabla_Consulta_desde_Reporte_de_Valorización_de_Instrumentos[[#This Row],[Inv MM$]],0)</f>
        <v>0</v>
      </c>
      <c r="AH570" s="26">
        <f>IF(Tabla_Consulta_desde_Reporte_de_Valorización_de_Instrumentos[[#This Row],[PORTAFOLIO]]="IN-FONDO3",Tabla_Consulta_desde_Reporte_de_Valorización_de_Instrumentos[[#This Row],[Inv MM$]],0)</f>
        <v>0</v>
      </c>
      <c r="AI57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0" s="26">
        <f>IFERROR(IFERROR(INDEX('BD(MSCI)'!$T:$T,MATCH(Tabla_Consulta_desde_Reporte_de_Valorización_de_Instrumentos[[#This Row],[CODIGO_ISIN]],'BD(MSCI)'!$C:$C,0),1),INDEX('BD(MSCI)'!$T:$T,MATCH(Tabla_Consulta_desde_Reporte_de_Valorización_de_Instrumentos[[#This Row],[CODIGO_SBS]],'BD(MSCI)'!$C:$C,0),1)),0)</f>
        <v>0</v>
      </c>
      <c r="AK570" s="26">
        <f>Tabla_Consulta_desde_Reporte_de_Valorización_de_Instrumentos[[#This Row],[C02-H]]*Tabla_Consulta_desde_Reporte_de_Valorización_de_Instrumentos[[#This Row],[Inv MM$]]</f>
        <v>0</v>
      </c>
      <c r="AL570" s="26">
        <f>Tabla_Consulta_desde_Reporte_de_Valorización_de_Instrumentos[[#This Row],[C02-H]]*Tabla_Consulta_desde_Reporte_de_Valorización_de_Instrumentos[[#This Row],[Weight]]</f>
        <v>0</v>
      </c>
      <c r="AM570" s="26">
        <f>INDEX(Parametria!G:G,MATCH(Tabla_Consulta_desde_Reporte_de_Valorización_de_Instrumentos[[#This Row],[CODIGO_SBS]],Parametria!C:C,0))</f>
        <v>0</v>
      </c>
      <c r="AN570" s="26" t="str">
        <f>INDEX(Parametria!F:F,MATCH(Tabla_Consulta_desde_Reporte_de_Valorización_de_Instrumentos[[#This Row],[CODIGO_SBS]],Parametria!C:C,0))</f>
        <v>Cash</v>
      </c>
      <c r="AO570" s="26" t="str">
        <f>+INDEX(Parametria!J:J,MATCH(Tabla_Consulta_desde_Reporte_de_Valorización_de_Instrumentos[[#This Row],[CODIGO_SBS]],Parametria!C:C,0))</f>
        <v>Cash</v>
      </c>
      <c r="AP570" s="26">
        <f>Tabla_Consulta_desde_Reporte_de_Valorización_de_Instrumentos[[#This Row],[Huella]]/$AU$4</f>
        <v>0</v>
      </c>
      <c r="AQ570" s="26" t="str">
        <f>IFERROR(INDEX('BD(MSCI)'!W:W,MATCH(Tabla_Consulta_desde_Reporte_de_Valorización_de_Instrumentos[[#This Row],[CODIGO_ISIN]],'BD(MSCI)'!C:C,0)),IF(Tabla_Consulta_desde_Reporte_de_Valorización_de_Instrumentos[[#This Row],[Rank_rt]]="Cash","Cash","Cuestionario Integra"))</f>
        <v>Cash</v>
      </c>
      <c r="AR570" s="26" t="str">
        <f>IFERROR(INDEX('BD(MSCI)'!X:X,MATCH(Tabla_Consulta_desde_Reporte_de_Valorización_de_Instrumentos[[#This Row],[CODIGO_ISIN]],'BD(MSCI)'!C:C,0)),"Cuestionario Integra")</f>
        <v>Cuestionario Integra</v>
      </c>
    </row>
    <row r="571" spans="2:44" hidden="1" x14ac:dyDescent="0.25">
      <c r="B571" s="14" t="s">
        <v>6390</v>
      </c>
      <c r="C571" t="s">
        <v>833</v>
      </c>
      <c r="D571" t="s">
        <v>9</v>
      </c>
      <c r="E571" t="s">
        <v>834</v>
      </c>
      <c r="F571" t="s">
        <v>5879</v>
      </c>
      <c r="G571">
        <f>INDEX(Parametria!H:H,MATCH(Tabla_Consulta_desde_Reporte_de_Valorización_de_Instrumentos[[#This Row],[CODIGO_SBS]],Parametria!C:C,0),1)</f>
        <v>0</v>
      </c>
      <c r="H571" t="s">
        <v>90</v>
      </c>
      <c r="I571" t="s">
        <v>835</v>
      </c>
      <c r="J571" t="s">
        <v>373</v>
      </c>
      <c r="K571" t="s">
        <v>90</v>
      </c>
      <c r="L571">
        <v>1</v>
      </c>
      <c r="M571" s="5">
        <v>10356888.24</v>
      </c>
      <c r="N571">
        <v>10356888.24</v>
      </c>
      <c r="O571">
        <v>0</v>
      </c>
      <c r="P571" s="15">
        <v>46090</v>
      </c>
      <c r="Q571">
        <v>68</v>
      </c>
      <c r="R571">
        <v>1</v>
      </c>
      <c r="S571" t="s">
        <v>155</v>
      </c>
      <c r="T571">
        <v>10355666.02</v>
      </c>
      <c r="U571" s="5">
        <v>10355666.02</v>
      </c>
      <c r="V571" t="s">
        <v>192</v>
      </c>
      <c r="W571">
        <v>4565854000</v>
      </c>
      <c r="X571">
        <v>3638173000</v>
      </c>
      <c r="Y571">
        <v>927681000</v>
      </c>
      <c r="Z571">
        <v>0</v>
      </c>
      <c r="AA571" t="str">
        <f>+MID(Tabla_Consulta_desde_Reporte_de_Valorización_de_Instrumentos[[#This Row],[CODIGO_SBS]],7,1)</f>
        <v>1</v>
      </c>
      <c r="AB571">
        <f>INDEX('Cálculo Caja'!F:F,MATCH(Tabla_Consulta_desde_Reporte_de_Valorización_de_Instrumentos[[#This Row],[PORTAFOLIO]],'Cálculo Caja'!A:A,0),1)</f>
        <v>2847839359.3764262</v>
      </c>
      <c r="AC571" s="17">
        <f>Tabla_Consulta_desde_Reporte_de_Valorización_de_Instrumentos[[#This Row],[VALOR_VECTOR_LOCAL]]/Tabla_Consulta_desde_Reporte_de_Valorización_de_Instrumentos[[#This Row],[Patrimonio]]</f>
        <v>3.636752967087225E-3</v>
      </c>
      <c r="AD571" s="4">
        <f>(Tabla_Consulta_desde_Reporte_de_Valorización_de_Instrumentos[[#This Row],[VALOR_VECTOR_LOCAL]]/INDEX('Tipo de Cambio'!$D:$D,MATCH("2",'Tipo de Cambio'!$E:$E,0),1))/1000000</f>
        <v>3.0815817905918057</v>
      </c>
      <c r="AE571">
        <f>IF(Tabla_Consulta_desde_Reporte_de_Valorización_de_Instrumentos[[#This Row],[PORTAFOLIO]]="IN-FONDO0",Tabla_Consulta_desde_Reporte_de_Valorización_de_Instrumentos[[#This Row],[Inv MM$]],0)</f>
        <v>3.0815817905918057</v>
      </c>
      <c r="AF571" s="26">
        <f>IF(Tabla_Consulta_desde_Reporte_de_Valorización_de_Instrumentos[[#This Row],[PORTAFOLIO]]="IN-FONDO1",Tabla_Consulta_desde_Reporte_de_Valorización_de_Instrumentos[[#This Row],[Inv MM$]],0)</f>
        <v>0</v>
      </c>
      <c r="AG571" s="26">
        <f>IF(Tabla_Consulta_desde_Reporte_de_Valorización_de_Instrumentos[[#This Row],[PORTAFOLIO]]="IN-FONDO2",Tabla_Consulta_desde_Reporte_de_Valorización_de_Instrumentos[[#This Row],[Inv MM$]],0)</f>
        <v>0</v>
      </c>
      <c r="AH571" s="26">
        <f>IF(Tabla_Consulta_desde_Reporte_de_Valorización_de_Instrumentos[[#This Row],[PORTAFOLIO]]="IN-FONDO3",Tabla_Consulta_desde_Reporte_de_Valorización_de_Instrumentos[[#This Row],[Inv MM$]],0)</f>
        <v>0</v>
      </c>
      <c r="AI57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1" s="26">
        <f>IFERROR(IFERROR(INDEX('BD(MSCI)'!$T:$T,MATCH(Tabla_Consulta_desde_Reporte_de_Valorización_de_Instrumentos[[#This Row],[CODIGO_ISIN]],'BD(MSCI)'!$C:$C,0),1),INDEX('BD(MSCI)'!$T:$T,MATCH(Tabla_Consulta_desde_Reporte_de_Valorización_de_Instrumentos[[#This Row],[CODIGO_SBS]],'BD(MSCI)'!$C:$C,0),1)),0)</f>
        <v>0</v>
      </c>
      <c r="AK571" s="26">
        <f>Tabla_Consulta_desde_Reporte_de_Valorización_de_Instrumentos[[#This Row],[C02-H]]*Tabla_Consulta_desde_Reporte_de_Valorización_de_Instrumentos[[#This Row],[Inv MM$]]</f>
        <v>0</v>
      </c>
      <c r="AL571" s="26">
        <f>Tabla_Consulta_desde_Reporte_de_Valorización_de_Instrumentos[[#This Row],[C02-H]]*Tabla_Consulta_desde_Reporte_de_Valorización_de_Instrumentos[[#This Row],[Weight]]</f>
        <v>0</v>
      </c>
      <c r="AM571" s="26">
        <f>INDEX(Parametria!G:G,MATCH(Tabla_Consulta_desde_Reporte_de_Valorización_de_Instrumentos[[#This Row],[CODIGO_SBS]],Parametria!C:C,0))</f>
        <v>0</v>
      </c>
      <c r="AN571" s="26" t="str">
        <f>INDEX(Parametria!F:F,MATCH(Tabla_Consulta_desde_Reporte_de_Valorización_de_Instrumentos[[#This Row],[CODIGO_SBS]],Parametria!C:C,0))</f>
        <v>Cash</v>
      </c>
      <c r="AO571" s="26" t="str">
        <f>+INDEX(Parametria!J:J,MATCH(Tabla_Consulta_desde_Reporte_de_Valorización_de_Instrumentos[[#This Row],[CODIGO_SBS]],Parametria!C:C,0))</f>
        <v>Cash</v>
      </c>
      <c r="AP571" s="26">
        <f>Tabla_Consulta_desde_Reporte_de_Valorización_de_Instrumentos[[#This Row],[Huella]]/$AU$4</f>
        <v>0</v>
      </c>
      <c r="AQ571" s="26" t="str">
        <f>IFERROR(INDEX('BD(MSCI)'!W:W,MATCH(Tabla_Consulta_desde_Reporte_de_Valorización_de_Instrumentos[[#This Row],[CODIGO_ISIN]],'BD(MSCI)'!C:C,0)),IF(Tabla_Consulta_desde_Reporte_de_Valorización_de_Instrumentos[[#This Row],[Rank_rt]]="Cash","Cash","Cuestionario Integra"))</f>
        <v>Cash</v>
      </c>
      <c r="AR571" s="26" t="str">
        <f>IFERROR(INDEX('BD(MSCI)'!X:X,MATCH(Tabla_Consulta_desde_Reporte_de_Valorización_de_Instrumentos[[#This Row],[CODIGO_ISIN]],'BD(MSCI)'!C:C,0)),"Cuestionario Integra")</f>
        <v>Cuestionario Integra</v>
      </c>
    </row>
    <row r="572" spans="2:44" hidden="1" x14ac:dyDescent="0.25">
      <c r="B572" s="14" t="s">
        <v>6390</v>
      </c>
      <c r="C572" t="s">
        <v>836</v>
      </c>
      <c r="D572" t="s">
        <v>9</v>
      </c>
      <c r="E572" t="s">
        <v>837</v>
      </c>
      <c r="F572" t="s">
        <v>5892</v>
      </c>
      <c r="G572">
        <f>INDEX(Parametria!H:H,MATCH(Tabla_Consulta_desde_Reporte_de_Valorización_de_Instrumentos[[#This Row],[CODIGO_SBS]],Parametria!C:C,0),1)</f>
        <v>0</v>
      </c>
      <c r="H572" t="s">
        <v>5893</v>
      </c>
      <c r="I572" t="s">
        <v>5894</v>
      </c>
      <c r="J572" t="s">
        <v>838</v>
      </c>
      <c r="K572" t="s">
        <v>90</v>
      </c>
      <c r="L572">
        <v>1000</v>
      </c>
      <c r="M572" s="5">
        <v>15436419.86025</v>
      </c>
      <c r="N572">
        <v>15436419.86025</v>
      </c>
      <c r="O572">
        <v>15500</v>
      </c>
      <c r="P572" s="15">
        <v>46055</v>
      </c>
      <c r="Q572">
        <v>33</v>
      </c>
      <c r="R572">
        <v>1</v>
      </c>
      <c r="S572" t="s">
        <v>155</v>
      </c>
      <c r="T572">
        <v>15435549.200449999</v>
      </c>
      <c r="U572" s="5">
        <v>15435549.200449999</v>
      </c>
      <c r="V572" t="s">
        <v>839</v>
      </c>
      <c r="W572">
        <v>4861193000</v>
      </c>
      <c r="X572">
        <v>3966334000</v>
      </c>
      <c r="Y572">
        <v>894859000</v>
      </c>
      <c r="Z572">
        <v>5.6171600000000002E-2</v>
      </c>
      <c r="AA572" t="str">
        <f>+MID(Tabla_Consulta_desde_Reporte_de_Valorización_de_Instrumentos[[#This Row],[CODIGO_SBS]],7,1)</f>
        <v>1</v>
      </c>
      <c r="AB572">
        <f>INDEX('Cálculo Caja'!F:F,MATCH(Tabla_Consulta_desde_Reporte_de_Valorización_de_Instrumentos[[#This Row],[PORTAFOLIO]],'Cálculo Caja'!A:A,0),1)</f>
        <v>2847839359.3764262</v>
      </c>
      <c r="AC572" s="17">
        <f>Tabla_Consulta_desde_Reporte_de_Valorización_de_Instrumentos[[#This Row],[VALOR_VECTOR_LOCAL]]/Tabla_Consulta_desde_Reporte_de_Valorización_de_Instrumentos[[#This Row],[Patrimonio]]</f>
        <v>5.4203969790030636E-3</v>
      </c>
      <c r="AD572" s="4">
        <f>(Tabla_Consulta_desde_Reporte_de_Valorización_de_Instrumentos[[#This Row],[VALOR_VECTOR_LOCAL]]/INDEX('Tipo de Cambio'!$D:$D,MATCH("2",'Tipo de Cambio'!$E:$E,0),1))/1000000</f>
        <v>4.5929423250468622</v>
      </c>
      <c r="AE572">
        <f>IF(Tabla_Consulta_desde_Reporte_de_Valorización_de_Instrumentos[[#This Row],[PORTAFOLIO]]="IN-FONDO0",Tabla_Consulta_desde_Reporte_de_Valorización_de_Instrumentos[[#This Row],[Inv MM$]],0)</f>
        <v>4.5929423250468622</v>
      </c>
      <c r="AF572" s="26">
        <f>IF(Tabla_Consulta_desde_Reporte_de_Valorización_de_Instrumentos[[#This Row],[PORTAFOLIO]]="IN-FONDO1",Tabla_Consulta_desde_Reporte_de_Valorización_de_Instrumentos[[#This Row],[Inv MM$]],0)</f>
        <v>0</v>
      </c>
      <c r="AG572" s="26">
        <f>IF(Tabla_Consulta_desde_Reporte_de_Valorización_de_Instrumentos[[#This Row],[PORTAFOLIO]]="IN-FONDO2",Tabla_Consulta_desde_Reporte_de_Valorización_de_Instrumentos[[#This Row],[Inv MM$]],0)</f>
        <v>0</v>
      </c>
      <c r="AH572" s="26">
        <f>IF(Tabla_Consulta_desde_Reporte_de_Valorización_de_Instrumentos[[#This Row],[PORTAFOLIO]]="IN-FONDO3",Tabla_Consulta_desde_Reporte_de_Valorización_de_Instrumentos[[#This Row],[Inv MM$]],0)</f>
        <v>0</v>
      </c>
      <c r="AI57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2" s="26">
        <f>IFERROR(IFERROR(INDEX('BD(MSCI)'!$T:$T,MATCH(Tabla_Consulta_desde_Reporte_de_Valorización_de_Instrumentos[[#This Row],[CODIGO_ISIN]],'BD(MSCI)'!$C:$C,0),1),INDEX('BD(MSCI)'!$T:$T,MATCH(Tabla_Consulta_desde_Reporte_de_Valorización_de_Instrumentos[[#This Row],[CODIGO_SBS]],'BD(MSCI)'!$C:$C,0),1)),0)</f>
        <v>0</v>
      </c>
      <c r="AK572" s="26">
        <f>Tabla_Consulta_desde_Reporte_de_Valorización_de_Instrumentos[[#This Row],[C02-H]]*Tabla_Consulta_desde_Reporte_de_Valorización_de_Instrumentos[[#This Row],[Inv MM$]]</f>
        <v>0</v>
      </c>
      <c r="AL572" s="26">
        <f>Tabla_Consulta_desde_Reporte_de_Valorización_de_Instrumentos[[#This Row],[C02-H]]*Tabla_Consulta_desde_Reporte_de_Valorización_de_Instrumentos[[#This Row],[Weight]]</f>
        <v>0</v>
      </c>
      <c r="AM572" s="26">
        <f>INDEX(Parametria!G:G,MATCH(Tabla_Consulta_desde_Reporte_de_Valorización_de_Instrumentos[[#This Row],[CODIGO_SBS]],Parametria!C:C,0))</f>
        <v>0</v>
      </c>
      <c r="AN572" s="26" t="str">
        <f>INDEX(Parametria!F:F,MATCH(Tabla_Consulta_desde_Reporte_de_Valorización_de_Instrumentos[[#This Row],[CODIGO_SBS]],Parametria!C:C,0))</f>
        <v>Cash</v>
      </c>
      <c r="AO572" s="26" t="str">
        <f>+INDEX(Parametria!J:J,MATCH(Tabla_Consulta_desde_Reporte_de_Valorización_de_Instrumentos[[#This Row],[CODIGO_SBS]],Parametria!C:C,0))</f>
        <v>Cash</v>
      </c>
      <c r="AP572" s="26">
        <f>Tabla_Consulta_desde_Reporte_de_Valorización_de_Instrumentos[[#This Row],[Huella]]/$AU$4</f>
        <v>0</v>
      </c>
      <c r="AQ572" s="26" t="str">
        <f>IFERROR(INDEX('BD(MSCI)'!W:W,MATCH(Tabla_Consulta_desde_Reporte_de_Valorización_de_Instrumentos[[#This Row],[CODIGO_ISIN]],'BD(MSCI)'!C:C,0)),IF(Tabla_Consulta_desde_Reporte_de_Valorización_de_Instrumentos[[#This Row],[Rank_rt]]="Cash","Cash","Cuestionario Integra"))</f>
        <v>Cash</v>
      </c>
      <c r="AR572" s="26" t="str">
        <f>IFERROR(INDEX('BD(MSCI)'!X:X,MATCH(Tabla_Consulta_desde_Reporte_de_Valorización_de_Instrumentos[[#This Row],[CODIGO_ISIN]],'BD(MSCI)'!C:C,0)),"Cuestionario Integra")</f>
        <v>Cuestionario Integra</v>
      </c>
    </row>
    <row r="573" spans="2:44" hidden="1" x14ac:dyDescent="0.25">
      <c r="B573" s="14" t="s">
        <v>6390</v>
      </c>
      <c r="C573" t="s">
        <v>836</v>
      </c>
      <c r="D573" t="s">
        <v>9</v>
      </c>
      <c r="E573" t="s">
        <v>837</v>
      </c>
      <c r="F573" t="s">
        <v>6527</v>
      </c>
      <c r="G573" t="e">
        <f>INDEX(Parametria!H:H,MATCH(Tabla_Consulta_desde_Reporte_de_Valorización_de_Instrumentos[[#This Row],[CODIGO_SBS]],Parametria!C:C,0),1)</f>
        <v>#N/A</v>
      </c>
      <c r="H573" t="s">
        <v>6528</v>
      </c>
      <c r="I573" t="s">
        <v>6529</v>
      </c>
      <c r="J573" t="s">
        <v>6530</v>
      </c>
      <c r="K573" t="s">
        <v>90</v>
      </c>
      <c r="L573">
        <v>1000</v>
      </c>
      <c r="M573" s="5">
        <v>16849620.126472</v>
      </c>
      <c r="N573">
        <v>16849620.126472</v>
      </c>
      <c r="O573">
        <v>17360</v>
      </c>
      <c r="P573" s="15">
        <v>46265</v>
      </c>
      <c r="Q573">
        <v>243</v>
      </c>
      <c r="R573">
        <v>1</v>
      </c>
      <c r="S573" t="s">
        <v>155</v>
      </c>
      <c r="T573">
        <v>16852262.523320001</v>
      </c>
      <c r="U573" s="5">
        <v>16852262.523320001</v>
      </c>
      <c r="V573" t="s">
        <v>156</v>
      </c>
      <c r="W573">
        <v>0</v>
      </c>
      <c r="X573">
        <v>0</v>
      </c>
      <c r="Y573">
        <v>0</v>
      </c>
      <c r="Z573">
        <v>-0.15221180000000001</v>
      </c>
      <c r="AA573" t="str">
        <f>+MID(Tabla_Consulta_desde_Reporte_de_Valorización_de_Instrumentos[[#This Row],[CODIGO_SBS]],7,1)</f>
        <v>1</v>
      </c>
      <c r="AB573">
        <f>INDEX('Cálculo Caja'!F:F,MATCH(Tabla_Consulta_desde_Reporte_de_Valorización_de_Instrumentos[[#This Row],[PORTAFOLIO]],'Cálculo Caja'!A:A,0),1)</f>
        <v>2847839359.3764262</v>
      </c>
      <c r="AC573" s="17">
        <f>Tabla_Consulta_desde_Reporte_de_Valorización_de_Instrumentos[[#This Row],[VALOR_VECTOR_LOCAL]]/Tabla_Consulta_desde_Reporte_de_Valorización_de_Instrumentos[[#This Row],[Patrimonio]]</f>
        <v>5.91663292769486E-3</v>
      </c>
      <c r="AD573" s="4">
        <f>(Tabla_Consulta_desde_Reporte_de_Valorización_de_Instrumentos[[#This Row],[VALOR_VECTOR_LOCAL]]/INDEX('Tipo de Cambio'!$D:$D,MATCH("2",'Tipo de Cambio'!$E:$E,0),1))/1000000</f>
        <v>5.0134250130833999</v>
      </c>
      <c r="AE573">
        <f>IF(Tabla_Consulta_desde_Reporte_de_Valorización_de_Instrumentos[[#This Row],[PORTAFOLIO]]="IN-FONDO0",Tabla_Consulta_desde_Reporte_de_Valorización_de_Instrumentos[[#This Row],[Inv MM$]],0)</f>
        <v>5.0134250130833999</v>
      </c>
      <c r="AF573" s="26">
        <f>IF(Tabla_Consulta_desde_Reporte_de_Valorización_de_Instrumentos[[#This Row],[PORTAFOLIO]]="IN-FONDO1",Tabla_Consulta_desde_Reporte_de_Valorización_de_Instrumentos[[#This Row],[Inv MM$]],0)</f>
        <v>0</v>
      </c>
      <c r="AG573" s="26">
        <f>IF(Tabla_Consulta_desde_Reporte_de_Valorización_de_Instrumentos[[#This Row],[PORTAFOLIO]]="IN-FONDO2",Tabla_Consulta_desde_Reporte_de_Valorización_de_Instrumentos[[#This Row],[Inv MM$]],0)</f>
        <v>0</v>
      </c>
      <c r="AH573" s="26">
        <f>IF(Tabla_Consulta_desde_Reporte_de_Valorización_de_Instrumentos[[#This Row],[PORTAFOLIO]]="IN-FONDO3",Tabla_Consulta_desde_Reporte_de_Valorización_de_Instrumentos[[#This Row],[Inv MM$]],0)</f>
        <v>0</v>
      </c>
      <c r="AI57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3" s="26">
        <f>IFERROR(IFERROR(INDEX('BD(MSCI)'!$T:$T,MATCH(Tabla_Consulta_desde_Reporte_de_Valorización_de_Instrumentos[[#This Row],[CODIGO_ISIN]],'BD(MSCI)'!$C:$C,0),1),INDEX('BD(MSCI)'!$T:$T,MATCH(Tabla_Consulta_desde_Reporte_de_Valorización_de_Instrumentos[[#This Row],[CODIGO_SBS]],'BD(MSCI)'!$C:$C,0),1)),0)</f>
        <v>0</v>
      </c>
      <c r="AK573" s="26">
        <f>Tabla_Consulta_desde_Reporte_de_Valorización_de_Instrumentos[[#This Row],[C02-H]]*Tabla_Consulta_desde_Reporte_de_Valorización_de_Instrumentos[[#This Row],[Inv MM$]]</f>
        <v>0</v>
      </c>
      <c r="AL573" s="26">
        <f>Tabla_Consulta_desde_Reporte_de_Valorización_de_Instrumentos[[#This Row],[C02-H]]*Tabla_Consulta_desde_Reporte_de_Valorización_de_Instrumentos[[#This Row],[Weight]]</f>
        <v>0</v>
      </c>
      <c r="AM573" s="26" t="e">
        <f>INDEX(Parametria!G:G,MATCH(Tabla_Consulta_desde_Reporte_de_Valorización_de_Instrumentos[[#This Row],[CODIGO_SBS]],Parametria!C:C,0))</f>
        <v>#N/A</v>
      </c>
      <c r="AN573" s="26" t="e">
        <f>INDEX(Parametria!F:F,MATCH(Tabla_Consulta_desde_Reporte_de_Valorización_de_Instrumentos[[#This Row],[CODIGO_SBS]],Parametria!C:C,0))</f>
        <v>#N/A</v>
      </c>
      <c r="AO573" s="26" t="e">
        <f>+INDEX(Parametria!J:J,MATCH(Tabla_Consulta_desde_Reporte_de_Valorización_de_Instrumentos[[#This Row],[CODIGO_SBS]],Parametria!C:C,0))</f>
        <v>#N/A</v>
      </c>
      <c r="AP573" s="26">
        <f>Tabla_Consulta_desde_Reporte_de_Valorización_de_Instrumentos[[#This Row],[Huella]]/$AU$4</f>
        <v>0</v>
      </c>
      <c r="AQ573" s="26" t="e">
        <f>IFERROR(INDEX('BD(MSCI)'!W:W,MATCH(Tabla_Consulta_desde_Reporte_de_Valorización_de_Instrumentos[[#This Row],[CODIGO_ISIN]],'BD(MSCI)'!C:C,0)),IF(Tabla_Consulta_desde_Reporte_de_Valorización_de_Instrumentos[[#This Row],[Rank_rt]]="Cash","Cash","Cuestionario Integra"))</f>
        <v>#N/A</v>
      </c>
      <c r="AR573" s="26" t="str">
        <f>IFERROR(INDEX('BD(MSCI)'!X:X,MATCH(Tabla_Consulta_desde_Reporte_de_Valorización_de_Instrumentos[[#This Row],[CODIGO_ISIN]],'BD(MSCI)'!C:C,0)),"Cuestionario Integra")</f>
        <v>Cuestionario Integra</v>
      </c>
    </row>
    <row r="574" spans="2:44" hidden="1" x14ac:dyDescent="0.25">
      <c r="B574" s="14" t="s">
        <v>6390</v>
      </c>
      <c r="C574" t="s">
        <v>836</v>
      </c>
      <c r="D574" t="s">
        <v>9</v>
      </c>
      <c r="E574" t="s">
        <v>837</v>
      </c>
      <c r="F574" t="s">
        <v>6531</v>
      </c>
      <c r="G574" t="e">
        <f>INDEX(Parametria!H:H,MATCH(Tabla_Consulta_desde_Reporte_de_Valorización_de_Instrumentos[[#This Row],[CODIGO_SBS]],Parametria!C:C,0),1)</f>
        <v>#N/A</v>
      </c>
      <c r="H574" t="s">
        <v>6532</v>
      </c>
      <c r="I574" t="s">
        <v>6533</v>
      </c>
      <c r="J574" t="s">
        <v>5973</v>
      </c>
      <c r="K574" t="s">
        <v>90</v>
      </c>
      <c r="L574">
        <v>1000</v>
      </c>
      <c r="M574" s="5">
        <v>19315972.780000001</v>
      </c>
      <c r="N574">
        <v>19315972.780000001</v>
      </c>
      <c r="O574">
        <v>20000</v>
      </c>
      <c r="P574" s="15">
        <v>46304</v>
      </c>
      <c r="Q574">
        <v>282</v>
      </c>
      <c r="R574">
        <v>1</v>
      </c>
      <c r="S574" t="s">
        <v>155</v>
      </c>
      <c r="T574">
        <v>19319096.372000001</v>
      </c>
      <c r="U574" s="5">
        <v>19319096.372000001</v>
      </c>
      <c r="V574" t="s">
        <v>6534</v>
      </c>
      <c r="W574">
        <v>1515962000</v>
      </c>
      <c r="X574">
        <v>930226000</v>
      </c>
      <c r="Y574">
        <v>585736000</v>
      </c>
      <c r="Z574">
        <v>-0.1561796</v>
      </c>
      <c r="AA574" t="str">
        <f>+MID(Tabla_Consulta_desde_Reporte_de_Valorización_de_Instrumentos[[#This Row],[CODIGO_SBS]],7,1)</f>
        <v>1</v>
      </c>
      <c r="AB574">
        <f>INDEX('Cálculo Caja'!F:F,MATCH(Tabla_Consulta_desde_Reporte_de_Valorización_de_Instrumentos[[#This Row],[PORTAFOLIO]],'Cálculo Caja'!A:A,0),1)</f>
        <v>2847839359.3764262</v>
      </c>
      <c r="AC574" s="17">
        <f>Tabla_Consulta_desde_Reporte_de_Valorización_de_Instrumentos[[#This Row],[VALOR_VECTOR_LOCAL]]/Tabla_Consulta_desde_Reporte_de_Valorización_de_Instrumentos[[#This Row],[Patrimonio]]</f>
        <v>6.7826763881195535E-3</v>
      </c>
      <c r="AD574" s="4">
        <f>(Tabla_Consulta_desde_Reporte_de_Valorización_de_Instrumentos[[#This Row],[VALOR_VECTOR_LOCAL]]/INDEX('Tipo de Cambio'!$D:$D,MATCH("2",'Tipo de Cambio'!$E:$E,0),1))/1000000</f>
        <v>5.7472619774465183</v>
      </c>
      <c r="AE574">
        <f>IF(Tabla_Consulta_desde_Reporte_de_Valorización_de_Instrumentos[[#This Row],[PORTAFOLIO]]="IN-FONDO0",Tabla_Consulta_desde_Reporte_de_Valorización_de_Instrumentos[[#This Row],[Inv MM$]],0)</f>
        <v>5.7472619774465183</v>
      </c>
      <c r="AF574" s="26">
        <f>IF(Tabla_Consulta_desde_Reporte_de_Valorización_de_Instrumentos[[#This Row],[PORTAFOLIO]]="IN-FONDO1",Tabla_Consulta_desde_Reporte_de_Valorización_de_Instrumentos[[#This Row],[Inv MM$]],0)</f>
        <v>0</v>
      </c>
      <c r="AG574" s="26">
        <f>IF(Tabla_Consulta_desde_Reporte_de_Valorización_de_Instrumentos[[#This Row],[PORTAFOLIO]]="IN-FONDO2",Tabla_Consulta_desde_Reporte_de_Valorización_de_Instrumentos[[#This Row],[Inv MM$]],0)</f>
        <v>0</v>
      </c>
      <c r="AH574" s="26">
        <f>IF(Tabla_Consulta_desde_Reporte_de_Valorización_de_Instrumentos[[#This Row],[PORTAFOLIO]]="IN-FONDO3",Tabla_Consulta_desde_Reporte_de_Valorización_de_Instrumentos[[#This Row],[Inv MM$]],0)</f>
        <v>0</v>
      </c>
      <c r="AI57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4" s="26">
        <f>IFERROR(IFERROR(INDEX('BD(MSCI)'!$T:$T,MATCH(Tabla_Consulta_desde_Reporte_de_Valorización_de_Instrumentos[[#This Row],[CODIGO_ISIN]],'BD(MSCI)'!$C:$C,0),1),INDEX('BD(MSCI)'!$T:$T,MATCH(Tabla_Consulta_desde_Reporte_de_Valorización_de_Instrumentos[[#This Row],[CODIGO_SBS]],'BD(MSCI)'!$C:$C,0),1)),0)</f>
        <v>0</v>
      </c>
      <c r="AK574" s="26">
        <f>Tabla_Consulta_desde_Reporte_de_Valorización_de_Instrumentos[[#This Row],[C02-H]]*Tabla_Consulta_desde_Reporte_de_Valorización_de_Instrumentos[[#This Row],[Inv MM$]]</f>
        <v>0</v>
      </c>
      <c r="AL574" s="26">
        <f>Tabla_Consulta_desde_Reporte_de_Valorización_de_Instrumentos[[#This Row],[C02-H]]*Tabla_Consulta_desde_Reporte_de_Valorización_de_Instrumentos[[#This Row],[Weight]]</f>
        <v>0</v>
      </c>
      <c r="AM574" s="26" t="e">
        <f>INDEX(Parametria!G:G,MATCH(Tabla_Consulta_desde_Reporte_de_Valorización_de_Instrumentos[[#This Row],[CODIGO_SBS]],Parametria!C:C,0))</f>
        <v>#N/A</v>
      </c>
      <c r="AN574" s="26" t="e">
        <f>INDEX(Parametria!F:F,MATCH(Tabla_Consulta_desde_Reporte_de_Valorización_de_Instrumentos[[#This Row],[CODIGO_SBS]],Parametria!C:C,0))</f>
        <v>#N/A</v>
      </c>
      <c r="AO574" s="26" t="e">
        <f>+INDEX(Parametria!J:J,MATCH(Tabla_Consulta_desde_Reporte_de_Valorización_de_Instrumentos[[#This Row],[CODIGO_SBS]],Parametria!C:C,0))</f>
        <v>#N/A</v>
      </c>
      <c r="AP574" s="26">
        <f>Tabla_Consulta_desde_Reporte_de_Valorización_de_Instrumentos[[#This Row],[Huella]]/$AU$4</f>
        <v>0</v>
      </c>
      <c r="AQ574" s="26" t="e">
        <f>IFERROR(INDEX('BD(MSCI)'!W:W,MATCH(Tabla_Consulta_desde_Reporte_de_Valorización_de_Instrumentos[[#This Row],[CODIGO_ISIN]],'BD(MSCI)'!C:C,0)),IF(Tabla_Consulta_desde_Reporte_de_Valorización_de_Instrumentos[[#This Row],[Rank_rt]]="Cash","Cash","Cuestionario Integra"))</f>
        <v>#N/A</v>
      </c>
      <c r="AR574" s="26" t="str">
        <f>IFERROR(INDEX('BD(MSCI)'!X:X,MATCH(Tabla_Consulta_desde_Reporte_de_Valorización_de_Instrumentos[[#This Row],[CODIGO_ISIN]],'BD(MSCI)'!C:C,0)),"Cuestionario Integra")</f>
        <v>Cuestionario Integra</v>
      </c>
    </row>
    <row r="575" spans="2:44" hidden="1" x14ac:dyDescent="0.25">
      <c r="B575" s="14" t="s">
        <v>6390</v>
      </c>
      <c r="C575" t="s">
        <v>836</v>
      </c>
      <c r="D575" t="s">
        <v>9</v>
      </c>
      <c r="E575" t="s">
        <v>837</v>
      </c>
      <c r="F575" t="s">
        <v>6535</v>
      </c>
      <c r="G575" t="e">
        <f>INDEX(Parametria!H:H,MATCH(Tabla_Consulta_desde_Reporte_de_Valorización_de_Instrumentos[[#This Row],[CODIGO_SBS]],Parametria!C:C,0),1)</f>
        <v>#N/A</v>
      </c>
      <c r="H575" t="s">
        <v>6536</v>
      </c>
      <c r="I575" t="s">
        <v>6537</v>
      </c>
      <c r="J575" t="s">
        <v>5973</v>
      </c>
      <c r="K575" t="s">
        <v>90</v>
      </c>
      <c r="L575">
        <v>1000</v>
      </c>
      <c r="M575" s="5">
        <v>31900398.9036396</v>
      </c>
      <c r="N575">
        <v>31900398.9036396</v>
      </c>
      <c r="O575">
        <v>32524</v>
      </c>
      <c r="P575" s="15">
        <v>46178</v>
      </c>
      <c r="Q575">
        <v>156</v>
      </c>
      <c r="R575">
        <v>1</v>
      </c>
      <c r="S575" t="s">
        <v>155</v>
      </c>
      <c r="T575">
        <v>31903837.718198001</v>
      </c>
      <c r="U575" s="5">
        <v>31903837.718198001</v>
      </c>
      <c r="V575" t="s">
        <v>6534</v>
      </c>
      <c r="W575">
        <v>1515962000</v>
      </c>
      <c r="X575">
        <v>930226000</v>
      </c>
      <c r="Y575">
        <v>585736000</v>
      </c>
      <c r="Z575">
        <v>-0.1057316</v>
      </c>
      <c r="AA575" t="str">
        <f>+MID(Tabla_Consulta_desde_Reporte_de_Valorización_de_Instrumentos[[#This Row],[CODIGO_SBS]],7,1)</f>
        <v>1</v>
      </c>
      <c r="AB575">
        <f>INDEX('Cálculo Caja'!F:F,MATCH(Tabla_Consulta_desde_Reporte_de_Valorización_de_Instrumentos[[#This Row],[PORTAFOLIO]],'Cálculo Caja'!A:A,0),1)</f>
        <v>2847839359.3764262</v>
      </c>
      <c r="AC575" s="17">
        <f>Tabla_Consulta_desde_Reporte_de_Valorización_de_Instrumentos[[#This Row],[VALOR_VECTOR_LOCAL]]/Tabla_Consulta_desde_Reporte_de_Valorización_de_Instrumentos[[#This Row],[Patrimonio]]</f>
        <v>1.1201614584968947E-2</v>
      </c>
      <c r="AD575" s="4">
        <f>(Tabla_Consulta_desde_Reporte_de_Valorización_de_Instrumentos[[#This Row],[VALOR_VECTOR_LOCAL]]/INDEX('Tipo de Cambio'!$D:$D,MATCH("2",'Tipo de Cambio'!$E:$E,0),1))/1000000</f>
        <v>9.4916239410989913</v>
      </c>
      <c r="AE575">
        <f>IF(Tabla_Consulta_desde_Reporte_de_Valorización_de_Instrumentos[[#This Row],[PORTAFOLIO]]="IN-FONDO0",Tabla_Consulta_desde_Reporte_de_Valorización_de_Instrumentos[[#This Row],[Inv MM$]],0)</f>
        <v>9.4916239410989913</v>
      </c>
      <c r="AF575" s="26">
        <f>IF(Tabla_Consulta_desde_Reporte_de_Valorización_de_Instrumentos[[#This Row],[PORTAFOLIO]]="IN-FONDO1",Tabla_Consulta_desde_Reporte_de_Valorización_de_Instrumentos[[#This Row],[Inv MM$]],0)</f>
        <v>0</v>
      </c>
      <c r="AG575" s="26">
        <f>IF(Tabla_Consulta_desde_Reporte_de_Valorización_de_Instrumentos[[#This Row],[PORTAFOLIO]]="IN-FONDO2",Tabla_Consulta_desde_Reporte_de_Valorización_de_Instrumentos[[#This Row],[Inv MM$]],0)</f>
        <v>0</v>
      </c>
      <c r="AH575" s="26">
        <f>IF(Tabla_Consulta_desde_Reporte_de_Valorización_de_Instrumentos[[#This Row],[PORTAFOLIO]]="IN-FONDO3",Tabla_Consulta_desde_Reporte_de_Valorización_de_Instrumentos[[#This Row],[Inv MM$]],0)</f>
        <v>0</v>
      </c>
      <c r="AI57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5" s="26">
        <f>IFERROR(IFERROR(INDEX('BD(MSCI)'!$T:$T,MATCH(Tabla_Consulta_desde_Reporte_de_Valorización_de_Instrumentos[[#This Row],[CODIGO_ISIN]],'BD(MSCI)'!$C:$C,0),1),INDEX('BD(MSCI)'!$T:$T,MATCH(Tabla_Consulta_desde_Reporte_de_Valorización_de_Instrumentos[[#This Row],[CODIGO_SBS]],'BD(MSCI)'!$C:$C,0),1)),0)</f>
        <v>0</v>
      </c>
      <c r="AK575" s="26">
        <f>Tabla_Consulta_desde_Reporte_de_Valorización_de_Instrumentos[[#This Row],[C02-H]]*Tabla_Consulta_desde_Reporte_de_Valorización_de_Instrumentos[[#This Row],[Inv MM$]]</f>
        <v>0</v>
      </c>
      <c r="AL575" s="26">
        <f>Tabla_Consulta_desde_Reporte_de_Valorización_de_Instrumentos[[#This Row],[C02-H]]*Tabla_Consulta_desde_Reporte_de_Valorización_de_Instrumentos[[#This Row],[Weight]]</f>
        <v>0</v>
      </c>
      <c r="AM575" s="26" t="e">
        <f>INDEX(Parametria!G:G,MATCH(Tabla_Consulta_desde_Reporte_de_Valorización_de_Instrumentos[[#This Row],[CODIGO_SBS]],Parametria!C:C,0))</f>
        <v>#N/A</v>
      </c>
      <c r="AN575" s="26" t="e">
        <f>INDEX(Parametria!F:F,MATCH(Tabla_Consulta_desde_Reporte_de_Valorización_de_Instrumentos[[#This Row],[CODIGO_SBS]],Parametria!C:C,0))</f>
        <v>#N/A</v>
      </c>
      <c r="AO575" s="26" t="e">
        <f>+INDEX(Parametria!J:J,MATCH(Tabla_Consulta_desde_Reporte_de_Valorización_de_Instrumentos[[#This Row],[CODIGO_SBS]],Parametria!C:C,0))</f>
        <v>#N/A</v>
      </c>
      <c r="AP575" s="26">
        <f>Tabla_Consulta_desde_Reporte_de_Valorización_de_Instrumentos[[#This Row],[Huella]]/$AU$4</f>
        <v>0</v>
      </c>
      <c r="AQ575" s="26" t="e">
        <f>IFERROR(INDEX('BD(MSCI)'!W:W,MATCH(Tabla_Consulta_desde_Reporte_de_Valorización_de_Instrumentos[[#This Row],[CODIGO_ISIN]],'BD(MSCI)'!C:C,0)),IF(Tabla_Consulta_desde_Reporte_de_Valorización_de_Instrumentos[[#This Row],[Rank_rt]]="Cash","Cash","Cuestionario Integra"))</f>
        <v>#N/A</v>
      </c>
      <c r="AR575" s="26" t="str">
        <f>IFERROR(INDEX('BD(MSCI)'!X:X,MATCH(Tabla_Consulta_desde_Reporte_de_Valorización_de_Instrumentos[[#This Row],[CODIGO_ISIN]],'BD(MSCI)'!C:C,0)),"Cuestionario Integra")</f>
        <v>Cuestionario Integra</v>
      </c>
    </row>
    <row r="576" spans="2:44" hidden="1" x14ac:dyDescent="0.25">
      <c r="B576" s="14" t="s">
        <v>6390</v>
      </c>
      <c r="C576" t="s">
        <v>836</v>
      </c>
      <c r="D576" t="s">
        <v>9</v>
      </c>
      <c r="E576" t="s">
        <v>837</v>
      </c>
      <c r="F576" t="s">
        <v>5991</v>
      </c>
      <c r="G576" t="e">
        <f>INDEX(Parametria!H:H,MATCH(Tabla_Consulta_desde_Reporte_de_Valorización_de_Instrumentos[[#This Row],[CODIGO_SBS]],Parametria!C:C,0),1)</f>
        <v>#N/A</v>
      </c>
      <c r="H576" t="s">
        <v>5992</v>
      </c>
      <c r="I576" t="s">
        <v>5993</v>
      </c>
      <c r="J576" t="s">
        <v>232</v>
      </c>
      <c r="K576" t="s">
        <v>90</v>
      </c>
      <c r="L576">
        <v>1000</v>
      </c>
      <c r="M576" s="5">
        <v>32783830.480696499</v>
      </c>
      <c r="N576">
        <v>32783830.480696499</v>
      </c>
      <c r="O576">
        <v>33185</v>
      </c>
      <c r="P576" s="15">
        <v>46121</v>
      </c>
      <c r="Q576">
        <v>99</v>
      </c>
      <c r="R576">
        <v>1</v>
      </c>
      <c r="S576" t="s">
        <v>155</v>
      </c>
      <c r="T576">
        <v>32785420.218077</v>
      </c>
      <c r="U576" s="5">
        <v>32785420.218077</v>
      </c>
      <c r="V576" t="s">
        <v>233</v>
      </c>
      <c r="W576">
        <v>22149047000</v>
      </c>
      <c r="X576">
        <v>20355021000</v>
      </c>
      <c r="Y576">
        <v>1794026000</v>
      </c>
      <c r="Z576">
        <v>-4.7905299999999998E-2</v>
      </c>
      <c r="AA576" t="str">
        <f>+MID(Tabla_Consulta_desde_Reporte_de_Valorización_de_Instrumentos[[#This Row],[CODIGO_SBS]],7,1)</f>
        <v>1</v>
      </c>
      <c r="AB576">
        <f>INDEX('Cálculo Caja'!F:F,MATCH(Tabla_Consulta_desde_Reporte_de_Valorización_de_Instrumentos[[#This Row],[PORTAFOLIO]],'Cálculo Caja'!A:A,0),1)</f>
        <v>2847839359.3764262</v>
      </c>
      <c r="AC576" s="17">
        <f>Tabla_Consulta_desde_Reporte_de_Valorización_de_Instrumentos[[#This Row],[VALOR_VECTOR_LOCAL]]/Tabla_Consulta_desde_Reporte_de_Valorización_de_Instrumentos[[#This Row],[Patrimonio]]</f>
        <v>1.151182575406043E-2</v>
      </c>
      <c r="AD576" s="4">
        <f>(Tabla_Consulta_desde_Reporte_de_Valorización_de_Instrumentos[[#This Row],[VALOR_VECTOR_LOCAL]]/INDEX('Tipo de Cambio'!$D:$D,MATCH("2",'Tipo de Cambio'!$E:$E,0),1))/1000000</f>
        <v>9.7544795979340364</v>
      </c>
      <c r="AE576">
        <f>IF(Tabla_Consulta_desde_Reporte_de_Valorización_de_Instrumentos[[#This Row],[PORTAFOLIO]]="IN-FONDO0",Tabla_Consulta_desde_Reporte_de_Valorización_de_Instrumentos[[#This Row],[Inv MM$]],0)</f>
        <v>9.7544795979340364</v>
      </c>
      <c r="AF576" s="26">
        <f>IF(Tabla_Consulta_desde_Reporte_de_Valorización_de_Instrumentos[[#This Row],[PORTAFOLIO]]="IN-FONDO1",Tabla_Consulta_desde_Reporte_de_Valorización_de_Instrumentos[[#This Row],[Inv MM$]],0)</f>
        <v>0</v>
      </c>
      <c r="AG576" s="26">
        <f>IF(Tabla_Consulta_desde_Reporte_de_Valorización_de_Instrumentos[[#This Row],[PORTAFOLIO]]="IN-FONDO2",Tabla_Consulta_desde_Reporte_de_Valorización_de_Instrumentos[[#This Row],[Inv MM$]],0)</f>
        <v>0</v>
      </c>
      <c r="AH576" s="26">
        <f>IF(Tabla_Consulta_desde_Reporte_de_Valorización_de_Instrumentos[[#This Row],[PORTAFOLIO]]="IN-FONDO3",Tabla_Consulta_desde_Reporte_de_Valorización_de_Instrumentos[[#This Row],[Inv MM$]],0)</f>
        <v>0</v>
      </c>
      <c r="AI57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6" s="26">
        <f>IFERROR(IFERROR(INDEX('BD(MSCI)'!$T:$T,MATCH(Tabla_Consulta_desde_Reporte_de_Valorización_de_Instrumentos[[#This Row],[CODIGO_ISIN]],'BD(MSCI)'!$C:$C,0),1),INDEX('BD(MSCI)'!$T:$T,MATCH(Tabla_Consulta_desde_Reporte_de_Valorización_de_Instrumentos[[#This Row],[CODIGO_SBS]],'BD(MSCI)'!$C:$C,0),1)),0)</f>
        <v>0</v>
      </c>
      <c r="AK576" s="26">
        <f>Tabla_Consulta_desde_Reporte_de_Valorización_de_Instrumentos[[#This Row],[C02-H]]*Tabla_Consulta_desde_Reporte_de_Valorización_de_Instrumentos[[#This Row],[Inv MM$]]</f>
        <v>0</v>
      </c>
      <c r="AL576" s="26">
        <f>Tabla_Consulta_desde_Reporte_de_Valorización_de_Instrumentos[[#This Row],[C02-H]]*Tabla_Consulta_desde_Reporte_de_Valorización_de_Instrumentos[[#This Row],[Weight]]</f>
        <v>0</v>
      </c>
      <c r="AM576" s="26" t="e">
        <f>INDEX(Parametria!G:G,MATCH(Tabla_Consulta_desde_Reporte_de_Valorización_de_Instrumentos[[#This Row],[CODIGO_SBS]],Parametria!C:C,0))</f>
        <v>#N/A</v>
      </c>
      <c r="AN576" s="26" t="e">
        <f>INDEX(Parametria!F:F,MATCH(Tabla_Consulta_desde_Reporte_de_Valorización_de_Instrumentos[[#This Row],[CODIGO_SBS]],Parametria!C:C,0))</f>
        <v>#N/A</v>
      </c>
      <c r="AO576" s="26" t="e">
        <f>+INDEX(Parametria!J:J,MATCH(Tabla_Consulta_desde_Reporte_de_Valorización_de_Instrumentos[[#This Row],[CODIGO_SBS]],Parametria!C:C,0))</f>
        <v>#N/A</v>
      </c>
      <c r="AP576" s="26">
        <f>Tabla_Consulta_desde_Reporte_de_Valorización_de_Instrumentos[[#This Row],[Huella]]/$AU$4</f>
        <v>0</v>
      </c>
      <c r="AQ576" s="26" t="e">
        <f>IFERROR(INDEX('BD(MSCI)'!W:W,MATCH(Tabla_Consulta_desde_Reporte_de_Valorización_de_Instrumentos[[#This Row],[CODIGO_ISIN]],'BD(MSCI)'!C:C,0)),IF(Tabla_Consulta_desde_Reporte_de_Valorización_de_Instrumentos[[#This Row],[Rank_rt]]="Cash","Cash","Cuestionario Integra"))</f>
        <v>#N/A</v>
      </c>
      <c r="AR576" s="26" t="str">
        <f>IFERROR(INDEX('BD(MSCI)'!X:X,MATCH(Tabla_Consulta_desde_Reporte_de_Valorización_de_Instrumentos[[#This Row],[CODIGO_ISIN]],'BD(MSCI)'!C:C,0)),"Cuestionario Integra")</f>
        <v>Cuestionario Integra</v>
      </c>
    </row>
    <row r="577" spans="2:44" hidden="1" x14ac:dyDescent="0.25">
      <c r="B577" s="14" t="s">
        <v>6390</v>
      </c>
      <c r="C577" t="s">
        <v>836</v>
      </c>
      <c r="D577" t="s">
        <v>9</v>
      </c>
      <c r="E577" t="s">
        <v>837</v>
      </c>
      <c r="F577" t="s">
        <v>6538</v>
      </c>
      <c r="G577" t="e">
        <f>INDEX(Parametria!H:H,MATCH(Tabla_Consulta_desde_Reporte_de_Valorización_de_Instrumentos[[#This Row],[CODIGO_SBS]],Parametria!C:C,0),1)</f>
        <v>#N/A</v>
      </c>
      <c r="H577" t="s">
        <v>6539</v>
      </c>
      <c r="I577" t="s">
        <v>6540</v>
      </c>
      <c r="J577" t="s">
        <v>232</v>
      </c>
      <c r="K577" t="s">
        <v>90</v>
      </c>
      <c r="L577">
        <v>1000</v>
      </c>
      <c r="M577" s="5">
        <v>36686560.331480302</v>
      </c>
      <c r="N577">
        <v>36686560.331480302</v>
      </c>
      <c r="O577">
        <v>38201</v>
      </c>
      <c r="P577" s="15">
        <v>46356</v>
      </c>
      <c r="Q577">
        <v>334</v>
      </c>
      <c r="R577">
        <v>1</v>
      </c>
      <c r="S577" t="s">
        <v>155</v>
      </c>
      <c r="T577">
        <v>36692358.242414102</v>
      </c>
      <c r="U577" s="5">
        <v>36692358.242414102</v>
      </c>
      <c r="V577" t="s">
        <v>233</v>
      </c>
      <c r="W577">
        <v>22149047000</v>
      </c>
      <c r="X577">
        <v>20355021000</v>
      </c>
      <c r="Y577">
        <v>1794026000</v>
      </c>
      <c r="Z577">
        <v>-0.15177379999999999</v>
      </c>
      <c r="AA577" t="str">
        <f>+MID(Tabla_Consulta_desde_Reporte_de_Valorización_de_Instrumentos[[#This Row],[CODIGO_SBS]],7,1)</f>
        <v>1</v>
      </c>
      <c r="AB577">
        <f>INDEX('Cálculo Caja'!F:F,MATCH(Tabla_Consulta_desde_Reporte_de_Valorización_de_Instrumentos[[#This Row],[PORTAFOLIO]],'Cálculo Caja'!A:A,0),1)</f>
        <v>2847839359.3764262</v>
      </c>
      <c r="AC577" s="17">
        <f>Tabla_Consulta_desde_Reporte_de_Valorización_de_Instrumentos[[#This Row],[VALOR_VECTOR_LOCAL]]/Tabla_Consulta_desde_Reporte_de_Valorización_de_Instrumentos[[#This Row],[Patrimonio]]</f>
        <v>1.2882243589579902E-2</v>
      </c>
      <c r="AD577" s="4">
        <f>(Tabla_Consulta_desde_Reporte_de_Valorización_de_Instrumentos[[#This Row],[VALOR_VECTOR_LOCAL]]/INDEX('Tipo de Cambio'!$D:$D,MATCH("2",'Tipo de Cambio'!$E:$E,0),1))/1000000</f>
        <v>10.915695299318726</v>
      </c>
      <c r="AE577">
        <f>IF(Tabla_Consulta_desde_Reporte_de_Valorización_de_Instrumentos[[#This Row],[PORTAFOLIO]]="IN-FONDO0",Tabla_Consulta_desde_Reporte_de_Valorización_de_Instrumentos[[#This Row],[Inv MM$]],0)</f>
        <v>10.915695299318726</v>
      </c>
      <c r="AF577" s="26">
        <f>IF(Tabla_Consulta_desde_Reporte_de_Valorización_de_Instrumentos[[#This Row],[PORTAFOLIO]]="IN-FONDO1",Tabla_Consulta_desde_Reporte_de_Valorización_de_Instrumentos[[#This Row],[Inv MM$]],0)</f>
        <v>0</v>
      </c>
      <c r="AG577" s="26">
        <f>IF(Tabla_Consulta_desde_Reporte_de_Valorización_de_Instrumentos[[#This Row],[PORTAFOLIO]]="IN-FONDO2",Tabla_Consulta_desde_Reporte_de_Valorización_de_Instrumentos[[#This Row],[Inv MM$]],0)</f>
        <v>0</v>
      </c>
      <c r="AH577" s="26">
        <f>IF(Tabla_Consulta_desde_Reporte_de_Valorización_de_Instrumentos[[#This Row],[PORTAFOLIO]]="IN-FONDO3",Tabla_Consulta_desde_Reporte_de_Valorización_de_Instrumentos[[#This Row],[Inv MM$]],0)</f>
        <v>0</v>
      </c>
      <c r="AI57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7" s="26">
        <f>IFERROR(IFERROR(INDEX('BD(MSCI)'!$T:$T,MATCH(Tabla_Consulta_desde_Reporte_de_Valorización_de_Instrumentos[[#This Row],[CODIGO_ISIN]],'BD(MSCI)'!$C:$C,0),1),INDEX('BD(MSCI)'!$T:$T,MATCH(Tabla_Consulta_desde_Reporte_de_Valorización_de_Instrumentos[[#This Row],[CODIGO_SBS]],'BD(MSCI)'!$C:$C,0),1)),0)</f>
        <v>0</v>
      </c>
      <c r="AK577" s="26">
        <f>Tabla_Consulta_desde_Reporte_de_Valorización_de_Instrumentos[[#This Row],[C02-H]]*Tabla_Consulta_desde_Reporte_de_Valorización_de_Instrumentos[[#This Row],[Inv MM$]]</f>
        <v>0</v>
      </c>
      <c r="AL577" s="26">
        <f>Tabla_Consulta_desde_Reporte_de_Valorización_de_Instrumentos[[#This Row],[C02-H]]*Tabla_Consulta_desde_Reporte_de_Valorización_de_Instrumentos[[#This Row],[Weight]]</f>
        <v>0</v>
      </c>
      <c r="AM577" s="26" t="e">
        <f>INDEX(Parametria!G:G,MATCH(Tabla_Consulta_desde_Reporte_de_Valorización_de_Instrumentos[[#This Row],[CODIGO_SBS]],Parametria!C:C,0))</f>
        <v>#N/A</v>
      </c>
      <c r="AN577" s="26" t="e">
        <f>INDEX(Parametria!F:F,MATCH(Tabla_Consulta_desde_Reporte_de_Valorización_de_Instrumentos[[#This Row],[CODIGO_SBS]],Parametria!C:C,0))</f>
        <v>#N/A</v>
      </c>
      <c r="AO577" s="26" t="e">
        <f>+INDEX(Parametria!J:J,MATCH(Tabla_Consulta_desde_Reporte_de_Valorización_de_Instrumentos[[#This Row],[CODIGO_SBS]],Parametria!C:C,0))</f>
        <v>#N/A</v>
      </c>
      <c r="AP577" s="26">
        <f>Tabla_Consulta_desde_Reporte_de_Valorización_de_Instrumentos[[#This Row],[Huella]]/$AU$4</f>
        <v>0</v>
      </c>
      <c r="AQ577" s="26" t="e">
        <f>IFERROR(INDEX('BD(MSCI)'!W:W,MATCH(Tabla_Consulta_desde_Reporte_de_Valorización_de_Instrumentos[[#This Row],[CODIGO_ISIN]],'BD(MSCI)'!C:C,0)),IF(Tabla_Consulta_desde_Reporte_de_Valorización_de_Instrumentos[[#This Row],[Rank_rt]]="Cash","Cash","Cuestionario Integra"))</f>
        <v>#N/A</v>
      </c>
      <c r="AR577" s="26" t="str">
        <f>IFERROR(INDEX('BD(MSCI)'!X:X,MATCH(Tabla_Consulta_desde_Reporte_de_Valorización_de_Instrumentos[[#This Row],[CODIGO_ISIN]],'BD(MSCI)'!C:C,0)),"Cuestionario Integra")</f>
        <v>Cuestionario Integra</v>
      </c>
    </row>
    <row r="578" spans="2:44" hidden="1" x14ac:dyDescent="0.25">
      <c r="B578" s="14" t="s">
        <v>6390</v>
      </c>
      <c r="C578" t="s">
        <v>836</v>
      </c>
      <c r="D578" t="s">
        <v>9</v>
      </c>
      <c r="E578" t="s">
        <v>837</v>
      </c>
      <c r="F578" t="s">
        <v>6541</v>
      </c>
      <c r="G578" t="e">
        <f>INDEX(Parametria!H:H,MATCH(Tabla_Consulta_desde_Reporte_de_Valorización_de_Instrumentos[[#This Row],[CODIGO_SBS]],Parametria!C:C,0),1)</f>
        <v>#N/A</v>
      </c>
      <c r="H578" t="s">
        <v>6542</v>
      </c>
      <c r="I578" t="s">
        <v>6543</v>
      </c>
      <c r="J578" t="s">
        <v>232</v>
      </c>
      <c r="K578" t="s">
        <v>90</v>
      </c>
      <c r="L578">
        <v>1000</v>
      </c>
      <c r="M578" s="5">
        <v>24477332.859999999</v>
      </c>
      <c r="N578">
        <v>24477332.859999999</v>
      </c>
      <c r="O578">
        <v>25000</v>
      </c>
      <c r="P578" s="15">
        <v>46195</v>
      </c>
      <c r="Q578">
        <v>173</v>
      </c>
      <c r="R578">
        <v>1</v>
      </c>
      <c r="S578" t="s">
        <v>155</v>
      </c>
      <c r="T578">
        <v>24480351.585000001</v>
      </c>
      <c r="U578" s="5">
        <v>24480351.585000001</v>
      </c>
      <c r="V578" t="s">
        <v>233</v>
      </c>
      <c r="W578">
        <v>22149047000</v>
      </c>
      <c r="X578">
        <v>20355021000</v>
      </c>
      <c r="Y578">
        <v>1794026000</v>
      </c>
      <c r="Z578">
        <v>-0.120749</v>
      </c>
      <c r="AA578" t="str">
        <f>+MID(Tabla_Consulta_desde_Reporte_de_Valorización_de_Instrumentos[[#This Row],[CODIGO_SBS]],7,1)</f>
        <v>1</v>
      </c>
      <c r="AB578">
        <f>INDEX('Cálculo Caja'!F:F,MATCH(Tabla_Consulta_desde_Reporte_de_Valorización_de_Instrumentos[[#This Row],[PORTAFOLIO]],'Cálculo Caja'!A:A,0),1)</f>
        <v>2847839359.3764262</v>
      </c>
      <c r="AC578" s="17">
        <f>Tabla_Consulta_desde_Reporte_de_Valorización_de_Instrumentos[[#This Row],[VALOR_VECTOR_LOCAL]]/Tabla_Consulta_desde_Reporte_de_Valorización_de_Instrumentos[[#This Row],[Patrimonio]]</f>
        <v>8.595053923743665E-3</v>
      </c>
      <c r="AD578" s="4">
        <f>(Tabla_Consulta_desde_Reporte_de_Valorización_de_Instrumentos[[#This Row],[VALOR_VECTOR_LOCAL]]/INDEX('Tipo de Cambio'!$D:$D,MATCH("2",'Tipo de Cambio'!$E:$E,0),1))/1000000</f>
        <v>7.2829696985926384</v>
      </c>
      <c r="AE578">
        <f>IF(Tabla_Consulta_desde_Reporte_de_Valorización_de_Instrumentos[[#This Row],[PORTAFOLIO]]="IN-FONDO0",Tabla_Consulta_desde_Reporte_de_Valorización_de_Instrumentos[[#This Row],[Inv MM$]],0)</f>
        <v>7.2829696985926384</v>
      </c>
      <c r="AF578" s="26">
        <f>IF(Tabla_Consulta_desde_Reporte_de_Valorización_de_Instrumentos[[#This Row],[PORTAFOLIO]]="IN-FONDO1",Tabla_Consulta_desde_Reporte_de_Valorización_de_Instrumentos[[#This Row],[Inv MM$]],0)</f>
        <v>0</v>
      </c>
      <c r="AG578" s="26">
        <f>IF(Tabla_Consulta_desde_Reporte_de_Valorización_de_Instrumentos[[#This Row],[PORTAFOLIO]]="IN-FONDO2",Tabla_Consulta_desde_Reporte_de_Valorización_de_Instrumentos[[#This Row],[Inv MM$]],0)</f>
        <v>0</v>
      </c>
      <c r="AH578" s="26">
        <f>IF(Tabla_Consulta_desde_Reporte_de_Valorización_de_Instrumentos[[#This Row],[PORTAFOLIO]]="IN-FONDO3",Tabla_Consulta_desde_Reporte_de_Valorización_de_Instrumentos[[#This Row],[Inv MM$]],0)</f>
        <v>0</v>
      </c>
      <c r="AI57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8" s="26">
        <f>IFERROR(IFERROR(INDEX('BD(MSCI)'!$T:$T,MATCH(Tabla_Consulta_desde_Reporte_de_Valorización_de_Instrumentos[[#This Row],[CODIGO_ISIN]],'BD(MSCI)'!$C:$C,0),1),INDEX('BD(MSCI)'!$T:$T,MATCH(Tabla_Consulta_desde_Reporte_de_Valorización_de_Instrumentos[[#This Row],[CODIGO_SBS]],'BD(MSCI)'!$C:$C,0),1)),0)</f>
        <v>0</v>
      </c>
      <c r="AK578" s="26">
        <f>Tabla_Consulta_desde_Reporte_de_Valorización_de_Instrumentos[[#This Row],[C02-H]]*Tabla_Consulta_desde_Reporte_de_Valorización_de_Instrumentos[[#This Row],[Inv MM$]]</f>
        <v>0</v>
      </c>
      <c r="AL578" s="26">
        <f>Tabla_Consulta_desde_Reporte_de_Valorización_de_Instrumentos[[#This Row],[C02-H]]*Tabla_Consulta_desde_Reporte_de_Valorización_de_Instrumentos[[#This Row],[Weight]]</f>
        <v>0</v>
      </c>
      <c r="AM578" s="26" t="e">
        <f>INDEX(Parametria!G:G,MATCH(Tabla_Consulta_desde_Reporte_de_Valorización_de_Instrumentos[[#This Row],[CODIGO_SBS]],Parametria!C:C,0))</f>
        <v>#N/A</v>
      </c>
      <c r="AN578" s="26" t="e">
        <f>INDEX(Parametria!F:F,MATCH(Tabla_Consulta_desde_Reporte_de_Valorización_de_Instrumentos[[#This Row],[CODIGO_SBS]],Parametria!C:C,0))</f>
        <v>#N/A</v>
      </c>
      <c r="AO578" s="26" t="e">
        <f>+INDEX(Parametria!J:J,MATCH(Tabla_Consulta_desde_Reporte_de_Valorización_de_Instrumentos[[#This Row],[CODIGO_SBS]],Parametria!C:C,0))</f>
        <v>#N/A</v>
      </c>
      <c r="AP578" s="26">
        <f>Tabla_Consulta_desde_Reporte_de_Valorización_de_Instrumentos[[#This Row],[Huella]]/$AU$4</f>
        <v>0</v>
      </c>
      <c r="AQ578" s="26" t="e">
        <f>IFERROR(INDEX('BD(MSCI)'!W:W,MATCH(Tabla_Consulta_desde_Reporte_de_Valorización_de_Instrumentos[[#This Row],[CODIGO_ISIN]],'BD(MSCI)'!C:C,0)),IF(Tabla_Consulta_desde_Reporte_de_Valorización_de_Instrumentos[[#This Row],[Rank_rt]]="Cash","Cash","Cuestionario Integra"))</f>
        <v>#N/A</v>
      </c>
      <c r="AR578" s="26" t="str">
        <f>IFERROR(INDEX('BD(MSCI)'!X:X,MATCH(Tabla_Consulta_desde_Reporte_de_Valorización_de_Instrumentos[[#This Row],[CODIGO_ISIN]],'BD(MSCI)'!C:C,0)),"Cuestionario Integra")</f>
        <v>Cuestionario Integra</v>
      </c>
    </row>
    <row r="579" spans="2:44" hidden="1" x14ac:dyDescent="0.25">
      <c r="B579" s="14" t="s">
        <v>6390</v>
      </c>
      <c r="C579" t="s">
        <v>836</v>
      </c>
      <c r="D579" t="s">
        <v>9</v>
      </c>
      <c r="E579" t="s">
        <v>837</v>
      </c>
      <c r="F579" t="s">
        <v>6544</v>
      </c>
      <c r="G579" t="e">
        <f>INDEX(Parametria!H:H,MATCH(Tabla_Consulta_desde_Reporte_de_Valorización_de_Instrumentos[[#This Row],[CODIGO_SBS]],Parametria!C:C,0),1)</f>
        <v>#N/A</v>
      </c>
      <c r="H579" t="s">
        <v>6545</v>
      </c>
      <c r="I579" t="s">
        <v>6546</v>
      </c>
      <c r="J579" t="s">
        <v>232</v>
      </c>
      <c r="K579" t="s">
        <v>90</v>
      </c>
      <c r="L579">
        <v>1000</v>
      </c>
      <c r="M579" s="5">
        <v>12156456.65625</v>
      </c>
      <c r="N579">
        <v>12156456.65625</v>
      </c>
      <c r="O579">
        <v>12500</v>
      </c>
      <c r="P579" s="15">
        <v>46251</v>
      </c>
      <c r="Q579">
        <v>229</v>
      </c>
      <c r="R579">
        <v>1</v>
      </c>
      <c r="S579" t="s">
        <v>155</v>
      </c>
      <c r="T579">
        <v>12158325.914999999</v>
      </c>
      <c r="U579" s="5">
        <v>12158325.914999999</v>
      </c>
      <c r="V579" t="s">
        <v>233</v>
      </c>
      <c r="W579">
        <v>22149047000</v>
      </c>
      <c r="X579">
        <v>20355021000</v>
      </c>
      <c r="Y579">
        <v>1794026000</v>
      </c>
      <c r="Z579">
        <v>-0.1495407</v>
      </c>
      <c r="AA579" t="str">
        <f>+MID(Tabla_Consulta_desde_Reporte_de_Valorización_de_Instrumentos[[#This Row],[CODIGO_SBS]],7,1)</f>
        <v>1</v>
      </c>
      <c r="AB579">
        <f>INDEX('Cálculo Caja'!F:F,MATCH(Tabla_Consulta_desde_Reporte_de_Valorización_de_Instrumentos[[#This Row],[PORTAFOLIO]],'Cálculo Caja'!A:A,0),1)</f>
        <v>2847839359.3764262</v>
      </c>
      <c r="AC579" s="17">
        <f>Tabla_Consulta_desde_Reporte_de_Valorización_de_Instrumentos[[#This Row],[VALOR_VECTOR_LOCAL]]/Tabla_Consulta_desde_Reporte_de_Valorización_de_Instrumentos[[#This Row],[Patrimonio]]</f>
        <v>4.268659542268502E-3</v>
      </c>
      <c r="AD579" s="4">
        <f>(Tabla_Consulta_desde_Reporte_de_Valorización_de_Instrumentos[[#This Row],[VALOR_VECTOR_LOCAL]]/INDEX('Tipo de Cambio'!$D:$D,MATCH("2",'Tipo de Cambio'!$E:$E,0),1))/1000000</f>
        <v>3.6170242066857092</v>
      </c>
      <c r="AE579">
        <f>IF(Tabla_Consulta_desde_Reporte_de_Valorización_de_Instrumentos[[#This Row],[PORTAFOLIO]]="IN-FONDO0",Tabla_Consulta_desde_Reporte_de_Valorización_de_Instrumentos[[#This Row],[Inv MM$]],0)</f>
        <v>3.6170242066857092</v>
      </c>
      <c r="AF579" s="26">
        <f>IF(Tabla_Consulta_desde_Reporte_de_Valorización_de_Instrumentos[[#This Row],[PORTAFOLIO]]="IN-FONDO1",Tabla_Consulta_desde_Reporte_de_Valorización_de_Instrumentos[[#This Row],[Inv MM$]],0)</f>
        <v>0</v>
      </c>
      <c r="AG579" s="26">
        <f>IF(Tabla_Consulta_desde_Reporte_de_Valorización_de_Instrumentos[[#This Row],[PORTAFOLIO]]="IN-FONDO2",Tabla_Consulta_desde_Reporte_de_Valorización_de_Instrumentos[[#This Row],[Inv MM$]],0)</f>
        <v>0</v>
      </c>
      <c r="AH579" s="26">
        <f>IF(Tabla_Consulta_desde_Reporte_de_Valorización_de_Instrumentos[[#This Row],[PORTAFOLIO]]="IN-FONDO3",Tabla_Consulta_desde_Reporte_de_Valorización_de_Instrumentos[[#This Row],[Inv MM$]],0)</f>
        <v>0</v>
      </c>
      <c r="AI57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9" s="26">
        <f>IFERROR(IFERROR(INDEX('BD(MSCI)'!$T:$T,MATCH(Tabla_Consulta_desde_Reporte_de_Valorización_de_Instrumentos[[#This Row],[CODIGO_ISIN]],'BD(MSCI)'!$C:$C,0),1),INDEX('BD(MSCI)'!$T:$T,MATCH(Tabla_Consulta_desde_Reporte_de_Valorización_de_Instrumentos[[#This Row],[CODIGO_SBS]],'BD(MSCI)'!$C:$C,0),1)),0)</f>
        <v>0</v>
      </c>
      <c r="AK579" s="26">
        <f>Tabla_Consulta_desde_Reporte_de_Valorización_de_Instrumentos[[#This Row],[C02-H]]*Tabla_Consulta_desde_Reporte_de_Valorización_de_Instrumentos[[#This Row],[Inv MM$]]</f>
        <v>0</v>
      </c>
      <c r="AL579" s="26">
        <f>Tabla_Consulta_desde_Reporte_de_Valorización_de_Instrumentos[[#This Row],[C02-H]]*Tabla_Consulta_desde_Reporte_de_Valorización_de_Instrumentos[[#This Row],[Weight]]</f>
        <v>0</v>
      </c>
      <c r="AM579" s="26" t="e">
        <f>INDEX(Parametria!G:G,MATCH(Tabla_Consulta_desde_Reporte_de_Valorización_de_Instrumentos[[#This Row],[CODIGO_SBS]],Parametria!C:C,0))</f>
        <v>#N/A</v>
      </c>
      <c r="AN579" s="26" t="e">
        <f>INDEX(Parametria!F:F,MATCH(Tabla_Consulta_desde_Reporte_de_Valorización_de_Instrumentos[[#This Row],[CODIGO_SBS]],Parametria!C:C,0))</f>
        <v>#N/A</v>
      </c>
      <c r="AO579" s="26" t="e">
        <f>+INDEX(Parametria!J:J,MATCH(Tabla_Consulta_desde_Reporte_de_Valorización_de_Instrumentos[[#This Row],[CODIGO_SBS]],Parametria!C:C,0))</f>
        <v>#N/A</v>
      </c>
      <c r="AP579" s="26">
        <f>Tabla_Consulta_desde_Reporte_de_Valorización_de_Instrumentos[[#This Row],[Huella]]/$AU$4</f>
        <v>0</v>
      </c>
      <c r="AQ579" s="26" t="e">
        <f>IFERROR(INDEX('BD(MSCI)'!W:W,MATCH(Tabla_Consulta_desde_Reporte_de_Valorización_de_Instrumentos[[#This Row],[CODIGO_ISIN]],'BD(MSCI)'!C:C,0)),IF(Tabla_Consulta_desde_Reporte_de_Valorización_de_Instrumentos[[#This Row],[Rank_rt]]="Cash","Cash","Cuestionario Integra"))</f>
        <v>#N/A</v>
      </c>
      <c r="AR579" s="26" t="str">
        <f>IFERROR(INDEX('BD(MSCI)'!X:X,MATCH(Tabla_Consulta_desde_Reporte_de_Valorización_de_Instrumentos[[#This Row],[CODIGO_ISIN]],'BD(MSCI)'!C:C,0)),"Cuestionario Integra")</f>
        <v>Cuestionario Integra</v>
      </c>
    </row>
    <row r="580" spans="2:44" hidden="1" x14ac:dyDescent="0.25">
      <c r="B580" s="14" t="s">
        <v>6390</v>
      </c>
      <c r="C580" t="s">
        <v>836</v>
      </c>
      <c r="D580" t="s">
        <v>9</v>
      </c>
      <c r="E580" t="s">
        <v>837</v>
      </c>
      <c r="F580" t="s">
        <v>5895</v>
      </c>
      <c r="G580">
        <f>INDEX(Parametria!H:H,MATCH(Tabla_Consulta_desde_Reporte_de_Valorización_de_Instrumentos[[#This Row],[CODIGO_SBS]],Parametria!C:C,0),1)</f>
        <v>0</v>
      </c>
      <c r="H580" t="s">
        <v>5896</v>
      </c>
      <c r="I580" t="s">
        <v>5897</v>
      </c>
      <c r="J580" t="s">
        <v>232</v>
      </c>
      <c r="K580" t="s">
        <v>90</v>
      </c>
      <c r="L580">
        <v>1000</v>
      </c>
      <c r="M580" s="5">
        <v>12481419.535</v>
      </c>
      <c r="N580">
        <v>12481419.535</v>
      </c>
      <c r="O580">
        <v>12500</v>
      </c>
      <c r="P580" s="15">
        <v>46034</v>
      </c>
      <c r="Q580">
        <v>12</v>
      </c>
      <c r="R580">
        <v>1</v>
      </c>
      <c r="S580" t="s">
        <v>155</v>
      </c>
      <c r="T580">
        <v>12480213.502499999</v>
      </c>
      <c r="U580" s="5">
        <v>12480213.502499999</v>
      </c>
      <c r="V580" t="s">
        <v>233</v>
      </c>
      <c r="W580">
        <v>22149047000</v>
      </c>
      <c r="X580">
        <v>20355021000</v>
      </c>
      <c r="Y580">
        <v>1794026000</v>
      </c>
      <c r="Z580">
        <v>9.6482600000000002E-2</v>
      </c>
      <c r="AA580" t="str">
        <f>+MID(Tabla_Consulta_desde_Reporte_de_Valorización_de_Instrumentos[[#This Row],[CODIGO_SBS]],7,1)</f>
        <v>1</v>
      </c>
      <c r="AB580">
        <f>INDEX('Cálculo Caja'!F:F,MATCH(Tabla_Consulta_desde_Reporte_de_Valorización_de_Instrumentos[[#This Row],[PORTAFOLIO]],'Cálculo Caja'!A:A,0),1)</f>
        <v>2847839359.3764262</v>
      </c>
      <c r="AC580" s="17">
        <f>Tabla_Consulta_desde_Reporte_de_Valorización_de_Instrumentos[[#This Row],[VALOR_VECTOR_LOCAL]]/Tabla_Consulta_desde_Reporte_de_Valorización_de_Instrumentos[[#This Row],[Patrimonio]]</f>
        <v>4.3827681129222753E-3</v>
      </c>
      <c r="AD580" s="4">
        <f>(Tabla_Consulta_desde_Reporte_de_Valorización_de_Instrumentos[[#This Row],[VALOR_VECTOR_LOCAL]]/INDEX('Tipo de Cambio'!$D:$D,MATCH("2",'Tipo de Cambio'!$E:$E,0),1))/1000000</f>
        <v>3.7137134502662978</v>
      </c>
      <c r="AE580">
        <f>IF(Tabla_Consulta_desde_Reporte_de_Valorización_de_Instrumentos[[#This Row],[PORTAFOLIO]]="IN-FONDO0",Tabla_Consulta_desde_Reporte_de_Valorización_de_Instrumentos[[#This Row],[Inv MM$]],0)</f>
        <v>3.7137134502662978</v>
      </c>
      <c r="AF580" s="26">
        <f>IF(Tabla_Consulta_desde_Reporte_de_Valorización_de_Instrumentos[[#This Row],[PORTAFOLIO]]="IN-FONDO1",Tabla_Consulta_desde_Reporte_de_Valorización_de_Instrumentos[[#This Row],[Inv MM$]],0)</f>
        <v>0</v>
      </c>
      <c r="AG580" s="26">
        <f>IF(Tabla_Consulta_desde_Reporte_de_Valorización_de_Instrumentos[[#This Row],[PORTAFOLIO]]="IN-FONDO2",Tabla_Consulta_desde_Reporte_de_Valorización_de_Instrumentos[[#This Row],[Inv MM$]],0)</f>
        <v>0</v>
      </c>
      <c r="AH580" s="26">
        <f>IF(Tabla_Consulta_desde_Reporte_de_Valorización_de_Instrumentos[[#This Row],[PORTAFOLIO]]="IN-FONDO3",Tabla_Consulta_desde_Reporte_de_Valorización_de_Instrumentos[[#This Row],[Inv MM$]],0)</f>
        <v>0</v>
      </c>
      <c r="AI58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0" s="26">
        <f>IFERROR(IFERROR(INDEX('BD(MSCI)'!$T:$T,MATCH(Tabla_Consulta_desde_Reporte_de_Valorización_de_Instrumentos[[#This Row],[CODIGO_ISIN]],'BD(MSCI)'!$C:$C,0),1),INDEX('BD(MSCI)'!$T:$T,MATCH(Tabla_Consulta_desde_Reporte_de_Valorización_de_Instrumentos[[#This Row],[CODIGO_SBS]],'BD(MSCI)'!$C:$C,0),1)),0)</f>
        <v>0</v>
      </c>
      <c r="AK580" s="26">
        <f>Tabla_Consulta_desde_Reporte_de_Valorización_de_Instrumentos[[#This Row],[C02-H]]*Tabla_Consulta_desde_Reporte_de_Valorización_de_Instrumentos[[#This Row],[Inv MM$]]</f>
        <v>0</v>
      </c>
      <c r="AL580" s="26">
        <f>Tabla_Consulta_desde_Reporte_de_Valorización_de_Instrumentos[[#This Row],[C02-H]]*Tabla_Consulta_desde_Reporte_de_Valorización_de_Instrumentos[[#This Row],[Weight]]</f>
        <v>0</v>
      </c>
      <c r="AM580" s="26">
        <f>INDEX(Parametria!G:G,MATCH(Tabla_Consulta_desde_Reporte_de_Valorización_de_Instrumentos[[#This Row],[CODIGO_SBS]],Parametria!C:C,0))</f>
        <v>0</v>
      </c>
      <c r="AN580" s="26" t="str">
        <f>INDEX(Parametria!F:F,MATCH(Tabla_Consulta_desde_Reporte_de_Valorización_de_Instrumentos[[#This Row],[CODIGO_SBS]],Parametria!C:C,0))</f>
        <v>Cash</v>
      </c>
      <c r="AO580" s="26" t="str">
        <f>+INDEX(Parametria!J:J,MATCH(Tabla_Consulta_desde_Reporte_de_Valorización_de_Instrumentos[[#This Row],[CODIGO_SBS]],Parametria!C:C,0))</f>
        <v>Cash</v>
      </c>
      <c r="AP580" s="26">
        <f>Tabla_Consulta_desde_Reporte_de_Valorización_de_Instrumentos[[#This Row],[Huella]]/$AU$4</f>
        <v>0</v>
      </c>
      <c r="AQ580" s="26" t="str">
        <f>IFERROR(INDEX('BD(MSCI)'!W:W,MATCH(Tabla_Consulta_desde_Reporte_de_Valorización_de_Instrumentos[[#This Row],[CODIGO_ISIN]],'BD(MSCI)'!C:C,0)),IF(Tabla_Consulta_desde_Reporte_de_Valorización_de_Instrumentos[[#This Row],[Rank_rt]]="Cash","Cash","Cuestionario Integra"))</f>
        <v>Cash</v>
      </c>
      <c r="AR580" s="26" t="str">
        <f>IFERROR(INDEX('BD(MSCI)'!X:X,MATCH(Tabla_Consulta_desde_Reporte_de_Valorización_de_Instrumentos[[#This Row],[CODIGO_ISIN]],'BD(MSCI)'!C:C,0)),"Cuestionario Integra")</f>
        <v>Cuestionario Integra</v>
      </c>
    </row>
    <row r="581" spans="2:44" hidden="1" x14ac:dyDescent="0.25">
      <c r="B581" s="14" t="s">
        <v>6390</v>
      </c>
      <c r="C581" t="s">
        <v>836</v>
      </c>
      <c r="D581" t="s">
        <v>9</v>
      </c>
      <c r="E581" t="s">
        <v>837</v>
      </c>
      <c r="F581" t="s">
        <v>5898</v>
      </c>
      <c r="G581">
        <f>INDEX(Parametria!H:H,MATCH(Tabla_Consulta_desde_Reporte_de_Valorización_de_Instrumentos[[#This Row],[CODIGO_SBS]],Parametria!C:C,0),1)</f>
        <v>0</v>
      </c>
      <c r="H581" t="s">
        <v>5899</v>
      </c>
      <c r="I581" t="s">
        <v>5900</v>
      </c>
      <c r="J581" t="s">
        <v>239</v>
      </c>
      <c r="K581" t="s">
        <v>90</v>
      </c>
      <c r="L581">
        <v>1000</v>
      </c>
      <c r="M581" s="5">
        <v>13632111.0102826</v>
      </c>
      <c r="N581">
        <v>13632111.0102826</v>
      </c>
      <c r="O581">
        <v>13651</v>
      </c>
      <c r="P581" s="15">
        <v>46033</v>
      </c>
      <c r="Q581">
        <v>11</v>
      </c>
      <c r="R581">
        <v>1</v>
      </c>
      <c r="S581" t="s">
        <v>155</v>
      </c>
      <c r="T581">
        <v>13630739.536630699</v>
      </c>
      <c r="U581" s="5">
        <v>13630739.536630699</v>
      </c>
      <c r="V581" t="s">
        <v>240</v>
      </c>
      <c r="W581">
        <v>2798873000</v>
      </c>
      <c r="X581">
        <v>2084426000</v>
      </c>
      <c r="Y581">
        <v>714447000</v>
      </c>
      <c r="Z581">
        <v>0.1004669</v>
      </c>
      <c r="AA581" t="str">
        <f>+MID(Tabla_Consulta_desde_Reporte_de_Valorización_de_Instrumentos[[#This Row],[CODIGO_SBS]],7,1)</f>
        <v>1</v>
      </c>
      <c r="AB581">
        <f>INDEX('Cálculo Caja'!F:F,MATCH(Tabla_Consulta_desde_Reporte_de_Valorización_de_Instrumentos[[#This Row],[PORTAFOLIO]],'Cálculo Caja'!A:A,0),1)</f>
        <v>2847839359.3764262</v>
      </c>
      <c r="AC581" s="17">
        <f>Tabla_Consulta_desde_Reporte_de_Valorización_de_Instrumentos[[#This Row],[VALOR_VECTOR_LOCAL]]/Tabla_Consulta_desde_Reporte_de_Valorización_de_Instrumentos[[#This Row],[Patrimonio]]</f>
        <v>4.786825831800969E-3</v>
      </c>
      <c r="AD581" s="4">
        <f>(Tabla_Consulta_desde_Reporte_de_Valorización_de_Instrumentos[[#This Row],[VALOR_VECTOR_LOCAL]]/INDEX('Tipo de Cambio'!$D:$D,MATCH("2",'Tipo de Cambio'!$E:$E,0),1))/1000000</f>
        <v>4.0560894433879611</v>
      </c>
      <c r="AE581">
        <f>IF(Tabla_Consulta_desde_Reporte_de_Valorización_de_Instrumentos[[#This Row],[PORTAFOLIO]]="IN-FONDO0",Tabla_Consulta_desde_Reporte_de_Valorización_de_Instrumentos[[#This Row],[Inv MM$]],0)</f>
        <v>4.0560894433879611</v>
      </c>
      <c r="AF581" s="26">
        <f>IF(Tabla_Consulta_desde_Reporte_de_Valorización_de_Instrumentos[[#This Row],[PORTAFOLIO]]="IN-FONDO1",Tabla_Consulta_desde_Reporte_de_Valorización_de_Instrumentos[[#This Row],[Inv MM$]],0)</f>
        <v>0</v>
      </c>
      <c r="AG581" s="26">
        <f>IF(Tabla_Consulta_desde_Reporte_de_Valorización_de_Instrumentos[[#This Row],[PORTAFOLIO]]="IN-FONDO2",Tabla_Consulta_desde_Reporte_de_Valorización_de_Instrumentos[[#This Row],[Inv MM$]],0)</f>
        <v>0</v>
      </c>
      <c r="AH581" s="26">
        <f>IF(Tabla_Consulta_desde_Reporte_de_Valorización_de_Instrumentos[[#This Row],[PORTAFOLIO]]="IN-FONDO3",Tabla_Consulta_desde_Reporte_de_Valorización_de_Instrumentos[[#This Row],[Inv MM$]],0)</f>
        <v>0</v>
      </c>
      <c r="AI58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1" s="26">
        <f>IFERROR(IFERROR(INDEX('BD(MSCI)'!$T:$T,MATCH(Tabla_Consulta_desde_Reporte_de_Valorización_de_Instrumentos[[#This Row],[CODIGO_ISIN]],'BD(MSCI)'!$C:$C,0),1),INDEX('BD(MSCI)'!$T:$T,MATCH(Tabla_Consulta_desde_Reporte_de_Valorización_de_Instrumentos[[#This Row],[CODIGO_SBS]],'BD(MSCI)'!$C:$C,0),1)),0)</f>
        <v>0</v>
      </c>
      <c r="AK581" s="26">
        <f>Tabla_Consulta_desde_Reporte_de_Valorización_de_Instrumentos[[#This Row],[C02-H]]*Tabla_Consulta_desde_Reporte_de_Valorización_de_Instrumentos[[#This Row],[Inv MM$]]</f>
        <v>0</v>
      </c>
      <c r="AL581" s="26">
        <f>Tabla_Consulta_desde_Reporte_de_Valorización_de_Instrumentos[[#This Row],[C02-H]]*Tabla_Consulta_desde_Reporte_de_Valorización_de_Instrumentos[[#This Row],[Weight]]</f>
        <v>0</v>
      </c>
      <c r="AM581" s="26">
        <f>INDEX(Parametria!G:G,MATCH(Tabla_Consulta_desde_Reporte_de_Valorización_de_Instrumentos[[#This Row],[CODIGO_SBS]],Parametria!C:C,0))</f>
        <v>0</v>
      </c>
      <c r="AN581" s="26" t="str">
        <f>INDEX(Parametria!F:F,MATCH(Tabla_Consulta_desde_Reporte_de_Valorización_de_Instrumentos[[#This Row],[CODIGO_SBS]],Parametria!C:C,0))</f>
        <v>Cash</v>
      </c>
      <c r="AO581" s="26" t="str">
        <f>+INDEX(Parametria!J:J,MATCH(Tabla_Consulta_desde_Reporte_de_Valorización_de_Instrumentos[[#This Row],[CODIGO_SBS]],Parametria!C:C,0))</f>
        <v>Cash</v>
      </c>
      <c r="AP581" s="26">
        <f>Tabla_Consulta_desde_Reporte_de_Valorización_de_Instrumentos[[#This Row],[Huella]]/$AU$4</f>
        <v>0</v>
      </c>
      <c r="AQ581" s="26" t="str">
        <f>IFERROR(INDEX('BD(MSCI)'!W:W,MATCH(Tabla_Consulta_desde_Reporte_de_Valorización_de_Instrumentos[[#This Row],[CODIGO_ISIN]],'BD(MSCI)'!C:C,0)),IF(Tabla_Consulta_desde_Reporte_de_Valorización_de_Instrumentos[[#This Row],[Rank_rt]]="Cash","Cash","Cuestionario Integra"))</f>
        <v>Cash</v>
      </c>
      <c r="AR581" s="26" t="str">
        <f>IFERROR(INDEX('BD(MSCI)'!X:X,MATCH(Tabla_Consulta_desde_Reporte_de_Valorización_de_Instrumentos[[#This Row],[CODIGO_ISIN]],'BD(MSCI)'!C:C,0)),"Cuestionario Integra")</f>
        <v>Cuestionario Integra</v>
      </c>
    </row>
    <row r="582" spans="2:44" hidden="1" x14ac:dyDescent="0.25">
      <c r="B582" s="14" t="s">
        <v>6390</v>
      </c>
      <c r="C582" t="s">
        <v>836</v>
      </c>
      <c r="D582" t="s">
        <v>9</v>
      </c>
      <c r="E582" t="s">
        <v>837</v>
      </c>
      <c r="F582" t="s">
        <v>6547</v>
      </c>
      <c r="G582" t="e">
        <f>INDEX(Parametria!H:H,MATCH(Tabla_Consulta_desde_Reporte_de_Valorización_de_Instrumentos[[#This Row],[CODIGO_SBS]],Parametria!C:C,0),1)</f>
        <v>#N/A</v>
      </c>
      <c r="H582" t="s">
        <v>6548</v>
      </c>
      <c r="I582" t="s">
        <v>6549</v>
      </c>
      <c r="J582" t="s">
        <v>239</v>
      </c>
      <c r="K582" t="s">
        <v>90</v>
      </c>
      <c r="L582">
        <v>1000</v>
      </c>
      <c r="M582" s="5">
        <v>25025440.83571</v>
      </c>
      <c r="N582">
        <v>25025440.83571</v>
      </c>
      <c r="O582">
        <v>25900</v>
      </c>
      <c r="P582" s="15">
        <v>46300</v>
      </c>
      <c r="Q582">
        <v>278</v>
      </c>
      <c r="R582">
        <v>1</v>
      </c>
      <c r="S582" t="s">
        <v>155</v>
      </c>
      <c r="T582">
        <v>25029479.541850001</v>
      </c>
      <c r="U582" s="5">
        <v>25029479.541850001</v>
      </c>
      <c r="V582" t="s">
        <v>240</v>
      </c>
      <c r="W582">
        <v>2798873000</v>
      </c>
      <c r="X582">
        <v>2084426000</v>
      </c>
      <c r="Y582">
        <v>714447000</v>
      </c>
      <c r="Z582">
        <v>-0.15593460000000001</v>
      </c>
      <c r="AA582" t="str">
        <f>+MID(Tabla_Consulta_desde_Reporte_de_Valorización_de_Instrumentos[[#This Row],[CODIGO_SBS]],7,1)</f>
        <v>1</v>
      </c>
      <c r="AB582">
        <f>INDEX('Cálculo Caja'!F:F,MATCH(Tabla_Consulta_desde_Reporte_de_Valorización_de_Instrumentos[[#This Row],[PORTAFOLIO]],'Cálculo Caja'!A:A,0),1)</f>
        <v>2847839359.3764262</v>
      </c>
      <c r="AC582" s="17">
        <f>Tabla_Consulta_desde_Reporte_de_Valorización_de_Instrumentos[[#This Row],[VALOR_VECTOR_LOCAL]]/Tabla_Consulta_desde_Reporte_de_Valorización_de_Instrumentos[[#This Row],[Patrimonio]]</f>
        <v>8.7875184228051635E-3</v>
      </c>
      <c r="AD582" s="4">
        <f>(Tabla_Consulta_desde_Reporte_de_Valorización_de_Instrumentos[[#This Row],[VALOR_VECTOR_LOCAL]]/INDEX('Tipo de Cambio'!$D:$D,MATCH("2",'Tipo de Cambio'!$E:$E,0),1))/1000000</f>
        <v>7.4460533891844447</v>
      </c>
      <c r="AE582">
        <f>IF(Tabla_Consulta_desde_Reporte_de_Valorización_de_Instrumentos[[#This Row],[PORTAFOLIO]]="IN-FONDO0",Tabla_Consulta_desde_Reporte_de_Valorización_de_Instrumentos[[#This Row],[Inv MM$]],0)</f>
        <v>7.4460533891844447</v>
      </c>
      <c r="AF582" s="26">
        <f>IF(Tabla_Consulta_desde_Reporte_de_Valorización_de_Instrumentos[[#This Row],[PORTAFOLIO]]="IN-FONDO1",Tabla_Consulta_desde_Reporte_de_Valorización_de_Instrumentos[[#This Row],[Inv MM$]],0)</f>
        <v>0</v>
      </c>
      <c r="AG582" s="26">
        <f>IF(Tabla_Consulta_desde_Reporte_de_Valorización_de_Instrumentos[[#This Row],[PORTAFOLIO]]="IN-FONDO2",Tabla_Consulta_desde_Reporte_de_Valorización_de_Instrumentos[[#This Row],[Inv MM$]],0)</f>
        <v>0</v>
      </c>
      <c r="AH582" s="26">
        <f>IF(Tabla_Consulta_desde_Reporte_de_Valorización_de_Instrumentos[[#This Row],[PORTAFOLIO]]="IN-FONDO3",Tabla_Consulta_desde_Reporte_de_Valorización_de_Instrumentos[[#This Row],[Inv MM$]],0)</f>
        <v>0</v>
      </c>
      <c r="AI58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2" s="26">
        <f>IFERROR(IFERROR(INDEX('BD(MSCI)'!$T:$T,MATCH(Tabla_Consulta_desde_Reporte_de_Valorización_de_Instrumentos[[#This Row],[CODIGO_ISIN]],'BD(MSCI)'!$C:$C,0),1),INDEX('BD(MSCI)'!$T:$T,MATCH(Tabla_Consulta_desde_Reporte_de_Valorización_de_Instrumentos[[#This Row],[CODIGO_SBS]],'BD(MSCI)'!$C:$C,0),1)),0)</f>
        <v>0</v>
      </c>
      <c r="AK582" s="26">
        <f>Tabla_Consulta_desde_Reporte_de_Valorización_de_Instrumentos[[#This Row],[C02-H]]*Tabla_Consulta_desde_Reporte_de_Valorización_de_Instrumentos[[#This Row],[Inv MM$]]</f>
        <v>0</v>
      </c>
      <c r="AL582" s="26">
        <f>Tabla_Consulta_desde_Reporte_de_Valorización_de_Instrumentos[[#This Row],[C02-H]]*Tabla_Consulta_desde_Reporte_de_Valorización_de_Instrumentos[[#This Row],[Weight]]</f>
        <v>0</v>
      </c>
      <c r="AM582" s="26" t="e">
        <f>INDEX(Parametria!G:G,MATCH(Tabla_Consulta_desde_Reporte_de_Valorización_de_Instrumentos[[#This Row],[CODIGO_SBS]],Parametria!C:C,0))</f>
        <v>#N/A</v>
      </c>
      <c r="AN582" s="26" t="e">
        <f>INDEX(Parametria!F:F,MATCH(Tabla_Consulta_desde_Reporte_de_Valorización_de_Instrumentos[[#This Row],[CODIGO_SBS]],Parametria!C:C,0))</f>
        <v>#N/A</v>
      </c>
      <c r="AO582" s="26" t="e">
        <f>+INDEX(Parametria!J:J,MATCH(Tabla_Consulta_desde_Reporte_de_Valorización_de_Instrumentos[[#This Row],[CODIGO_SBS]],Parametria!C:C,0))</f>
        <v>#N/A</v>
      </c>
      <c r="AP582" s="26">
        <f>Tabla_Consulta_desde_Reporte_de_Valorización_de_Instrumentos[[#This Row],[Huella]]/$AU$4</f>
        <v>0</v>
      </c>
      <c r="AQ582" s="26" t="e">
        <f>IFERROR(INDEX('BD(MSCI)'!W:W,MATCH(Tabla_Consulta_desde_Reporte_de_Valorización_de_Instrumentos[[#This Row],[CODIGO_ISIN]],'BD(MSCI)'!C:C,0)),IF(Tabla_Consulta_desde_Reporte_de_Valorización_de_Instrumentos[[#This Row],[Rank_rt]]="Cash","Cash","Cuestionario Integra"))</f>
        <v>#N/A</v>
      </c>
      <c r="AR582" s="26" t="str">
        <f>IFERROR(INDEX('BD(MSCI)'!X:X,MATCH(Tabla_Consulta_desde_Reporte_de_Valorización_de_Instrumentos[[#This Row],[CODIGO_ISIN]],'BD(MSCI)'!C:C,0)),"Cuestionario Integra")</f>
        <v>Cuestionario Integra</v>
      </c>
    </row>
    <row r="583" spans="2:44" hidden="1" x14ac:dyDescent="0.25">
      <c r="B583" s="14" t="s">
        <v>6390</v>
      </c>
      <c r="C583" t="s">
        <v>836</v>
      </c>
      <c r="D583" t="s">
        <v>9</v>
      </c>
      <c r="E583" t="s">
        <v>837</v>
      </c>
      <c r="F583" t="s">
        <v>6550</v>
      </c>
      <c r="G583" t="e">
        <f>INDEX(Parametria!H:H,MATCH(Tabla_Consulta_desde_Reporte_de_Valorización_de_Instrumentos[[#This Row],[CODIGO_SBS]],Parametria!C:C,0),1)</f>
        <v>#N/A</v>
      </c>
      <c r="H583" t="s">
        <v>6551</v>
      </c>
      <c r="I583" t="s">
        <v>6552</v>
      </c>
      <c r="J583" t="s">
        <v>239</v>
      </c>
      <c r="K583" t="s">
        <v>90</v>
      </c>
      <c r="L583">
        <v>1000</v>
      </c>
      <c r="M583" s="5">
        <v>26875645.395500001</v>
      </c>
      <c r="N583">
        <v>26875645.395500001</v>
      </c>
      <c r="O583">
        <v>27500</v>
      </c>
      <c r="P583" s="15">
        <v>46207</v>
      </c>
      <c r="Q583">
        <v>185</v>
      </c>
      <c r="R583">
        <v>1</v>
      </c>
      <c r="S583" t="s">
        <v>155</v>
      </c>
      <c r="T583">
        <v>26879121.796999998</v>
      </c>
      <c r="U583" s="5">
        <v>26879121.796999998</v>
      </c>
      <c r="V583" t="s">
        <v>240</v>
      </c>
      <c r="W583">
        <v>2798873000</v>
      </c>
      <c r="X583">
        <v>2084426000</v>
      </c>
      <c r="Y583">
        <v>714447000</v>
      </c>
      <c r="Z583">
        <v>-0.12641459999999999</v>
      </c>
      <c r="AA583" t="str">
        <f>+MID(Tabla_Consulta_desde_Reporte_de_Valorización_de_Instrumentos[[#This Row],[CODIGO_SBS]],7,1)</f>
        <v>1</v>
      </c>
      <c r="AB583">
        <f>INDEX('Cálculo Caja'!F:F,MATCH(Tabla_Consulta_desde_Reporte_de_Valorización_de_Instrumentos[[#This Row],[PORTAFOLIO]],'Cálculo Caja'!A:A,0),1)</f>
        <v>2847839359.3764262</v>
      </c>
      <c r="AC583" s="17">
        <f>Tabla_Consulta_desde_Reporte_de_Valorización_de_Instrumentos[[#This Row],[VALOR_VECTOR_LOCAL]]/Tabla_Consulta_desde_Reporte_de_Valorización_de_Instrumentos[[#This Row],[Patrimonio]]</f>
        <v>9.4372055456754395E-3</v>
      </c>
      <c r="AD583" s="4">
        <f>(Tabla_Consulta_desde_Reporte_de_Valorización_de_Instrumentos[[#This Row],[VALOR_VECTOR_LOCAL]]/INDEX('Tipo de Cambio'!$D:$D,MATCH("2",'Tipo de Cambio'!$E:$E,0),1))/1000000</f>
        <v>7.996562050492428</v>
      </c>
      <c r="AE583">
        <f>IF(Tabla_Consulta_desde_Reporte_de_Valorización_de_Instrumentos[[#This Row],[PORTAFOLIO]]="IN-FONDO0",Tabla_Consulta_desde_Reporte_de_Valorización_de_Instrumentos[[#This Row],[Inv MM$]],0)</f>
        <v>7.996562050492428</v>
      </c>
      <c r="AF583" s="26">
        <f>IF(Tabla_Consulta_desde_Reporte_de_Valorización_de_Instrumentos[[#This Row],[PORTAFOLIO]]="IN-FONDO1",Tabla_Consulta_desde_Reporte_de_Valorización_de_Instrumentos[[#This Row],[Inv MM$]],0)</f>
        <v>0</v>
      </c>
      <c r="AG583" s="26">
        <f>IF(Tabla_Consulta_desde_Reporte_de_Valorización_de_Instrumentos[[#This Row],[PORTAFOLIO]]="IN-FONDO2",Tabla_Consulta_desde_Reporte_de_Valorización_de_Instrumentos[[#This Row],[Inv MM$]],0)</f>
        <v>0</v>
      </c>
      <c r="AH583" s="26">
        <f>IF(Tabla_Consulta_desde_Reporte_de_Valorización_de_Instrumentos[[#This Row],[PORTAFOLIO]]="IN-FONDO3",Tabla_Consulta_desde_Reporte_de_Valorización_de_Instrumentos[[#This Row],[Inv MM$]],0)</f>
        <v>0</v>
      </c>
      <c r="AI58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3" s="26">
        <f>IFERROR(IFERROR(INDEX('BD(MSCI)'!$T:$T,MATCH(Tabla_Consulta_desde_Reporte_de_Valorización_de_Instrumentos[[#This Row],[CODIGO_ISIN]],'BD(MSCI)'!$C:$C,0),1),INDEX('BD(MSCI)'!$T:$T,MATCH(Tabla_Consulta_desde_Reporte_de_Valorización_de_Instrumentos[[#This Row],[CODIGO_SBS]],'BD(MSCI)'!$C:$C,0),1)),0)</f>
        <v>0</v>
      </c>
      <c r="AK583" s="26">
        <f>Tabla_Consulta_desde_Reporte_de_Valorización_de_Instrumentos[[#This Row],[C02-H]]*Tabla_Consulta_desde_Reporte_de_Valorización_de_Instrumentos[[#This Row],[Inv MM$]]</f>
        <v>0</v>
      </c>
      <c r="AL583" s="26">
        <f>Tabla_Consulta_desde_Reporte_de_Valorización_de_Instrumentos[[#This Row],[C02-H]]*Tabla_Consulta_desde_Reporte_de_Valorización_de_Instrumentos[[#This Row],[Weight]]</f>
        <v>0</v>
      </c>
      <c r="AM583" s="26" t="e">
        <f>INDEX(Parametria!G:G,MATCH(Tabla_Consulta_desde_Reporte_de_Valorización_de_Instrumentos[[#This Row],[CODIGO_SBS]],Parametria!C:C,0))</f>
        <v>#N/A</v>
      </c>
      <c r="AN583" s="26" t="e">
        <f>INDEX(Parametria!F:F,MATCH(Tabla_Consulta_desde_Reporte_de_Valorización_de_Instrumentos[[#This Row],[CODIGO_SBS]],Parametria!C:C,0))</f>
        <v>#N/A</v>
      </c>
      <c r="AO583" s="26" t="e">
        <f>+INDEX(Parametria!J:J,MATCH(Tabla_Consulta_desde_Reporte_de_Valorización_de_Instrumentos[[#This Row],[CODIGO_SBS]],Parametria!C:C,0))</f>
        <v>#N/A</v>
      </c>
      <c r="AP583" s="26">
        <f>Tabla_Consulta_desde_Reporte_de_Valorización_de_Instrumentos[[#This Row],[Huella]]/$AU$4</f>
        <v>0</v>
      </c>
      <c r="AQ583" s="26" t="e">
        <f>IFERROR(INDEX('BD(MSCI)'!W:W,MATCH(Tabla_Consulta_desde_Reporte_de_Valorización_de_Instrumentos[[#This Row],[CODIGO_ISIN]],'BD(MSCI)'!C:C,0)),IF(Tabla_Consulta_desde_Reporte_de_Valorización_de_Instrumentos[[#This Row],[Rank_rt]]="Cash","Cash","Cuestionario Integra"))</f>
        <v>#N/A</v>
      </c>
      <c r="AR583" s="26" t="str">
        <f>IFERROR(INDEX('BD(MSCI)'!X:X,MATCH(Tabla_Consulta_desde_Reporte_de_Valorización_de_Instrumentos[[#This Row],[CODIGO_ISIN]],'BD(MSCI)'!C:C,0)),"Cuestionario Integra")</f>
        <v>Cuestionario Integra</v>
      </c>
    </row>
    <row r="584" spans="2:44" hidden="1" x14ac:dyDescent="0.25">
      <c r="B584" s="14" t="s">
        <v>6390</v>
      </c>
      <c r="C584" t="s">
        <v>836</v>
      </c>
      <c r="D584" t="s">
        <v>9</v>
      </c>
      <c r="E584" t="s">
        <v>837</v>
      </c>
      <c r="F584" t="s">
        <v>6553</v>
      </c>
      <c r="G584" t="e">
        <f>INDEX(Parametria!H:H,MATCH(Tabla_Consulta_desde_Reporte_de_Valorización_de_Instrumentos[[#This Row],[CODIGO_SBS]],Parametria!C:C,0),1)</f>
        <v>#N/A</v>
      </c>
      <c r="H584" t="s">
        <v>6554</v>
      </c>
      <c r="I584" t="s">
        <v>6555</v>
      </c>
      <c r="J584" t="s">
        <v>241</v>
      </c>
      <c r="K584" t="s">
        <v>90</v>
      </c>
      <c r="L584">
        <v>5000</v>
      </c>
      <c r="M584" s="5">
        <v>30263109.413400002</v>
      </c>
      <c r="N584">
        <v>30263109.413400002</v>
      </c>
      <c r="O584">
        <v>6000</v>
      </c>
      <c r="P584" s="15">
        <v>46318</v>
      </c>
      <c r="Q584">
        <v>296</v>
      </c>
      <c r="R584">
        <v>1</v>
      </c>
      <c r="S584" t="s">
        <v>155</v>
      </c>
      <c r="T584">
        <v>30268103.920200001</v>
      </c>
      <c r="U584" s="5">
        <v>30268103.920200001</v>
      </c>
      <c r="V584" t="s">
        <v>242</v>
      </c>
      <c r="W584">
        <v>11067773000</v>
      </c>
      <c r="X584">
        <v>8906334000</v>
      </c>
      <c r="Y584">
        <v>2161439000</v>
      </c>
      <c r="Z584">
        <v>-0.83241779999999999</v>
      </c>
      <c r="AA584" t="str">
        <f>+MID(Tabla_Consulta_desde_Reporte_de_Valorización_de_Instrumentos[[#This Row],[CODIGO_SBS]],7,1)</f>
        <v>1</v>
      </c>
      <c r="AB584">
        <f>INDEX('Cálculo Caja'!F:F,MATCH(Tabla_Consulta_desde_Reporte_de_Valorización_de_Instrumentos[[#This Row],[PORTAFOLIO]],'Cálculo Caja'!A:A,0),1)</f>
        <v>2847839359.3764262</v>
      </c>
      <c r="AC584" s="17">
        <f>Tabla_Consulta_desde_Reporte_de_Valorización_de_Instrumentos[[#This Row],[VALOR_VECTOR_LOCAL]]/Tabla_Consulta_desde_Reporte_de_Valorización_de_Instrumentos[[#This Row],[Patrimonio]]</f>
        <v>1.0626691183882833E-2</v>
      </c>
      <c r="AD584" s="4">
        <f>(Tabla_Consulta_desde_Reporte_de_Valorización_de_Instrumentos[[#This Row],[VALOR_VECTOR_LOCAL]]/INDEX('Tipo de Cambio'!$D:$D,MATCH("2",'Tipo de Cambio'!$E:$E,0),1))/1000000</f>
        <v>9.0044658911005993</v>
      </c>
      <c r="AE584">
        <f>IF(Tabla_Consulta_desde_Reporte_de_Valorización_de_Instrumentos[[#This Row],[PORTAFOLIO]]="IN-FONDO0",Tabla_Consulta_desde_Reporte_de_Valorización_de_Instrumentos[[#This Row],[Inv MM$]],0)</f>
        <v>9.0044658911005993</v>
      </c>
      <c r="AF584" s="26">
        <f>IF(Tabla_Consulta_desde_Reporte_de_Valorización_de_Instrumentos[[#This Row],[PORTAFOLIO]]="IN-FONDO1",Tabla_Consulta_desde_Reporte_de_Valorización_de_Instrumentos[[#This Row],[Inv MM$]],0)</f>
        <v>0</v>
      </c>
      <c r="AG584" s="26">
        <f>IF(Tabla_Consulta_desde_Reporte_de_Valorización_de_Instrumentos[[#This Row],[PORTAFOLIO]]="IN-FONDO2",Tabla_Consulta_desde_Reporte_de_Valorización_de_Instrumentos[[#This Row],[Inv MM$]],0)</f>
        <v>0</v>
      </c>
      <c r="AH584" s="26">
        <f>IF(Tabla_Consulta_desde_Reporte_de_Valorización_de_Instrumentos[[#This Row],[PORTAFOLIO]]="IN-FONDO3",Tabla_Consulta_desde_Reporte_de_Valorización_de_Instrumentos[[#This Row],[Inv MM$]],0)</f>
        <v>0</v>
      </c>
      <c r="AI58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4" s="26">
        <f>IFERROR(IFERROR(INDEX('BD(MSCI)'!$T:$T,MATCH(Tabla_Consulta_desde_Reporte_de_Valorización_de_Instrumentos[[#This Row],[CODIGO_ISIN]],'BD(MSCI)'!$C:$C,0),1),INDEX('BD(MSCI)'!$T:$T,MATCH(Tabla_Consulta_desde_Reporte_de_Valorización_de_Instrumentos[[#This Row],[CODIGO_SBS]],'BD(MSCI)'!$C:$C,0),1)),0)</f>
        <v>0</v>
      </c>
      <c r="AK584" s="26">
        <f>Tabla_Consulta_desde_Reporte_de_Valorización_de_Instrumentos[[#This Row],[C02-H]]*Tabla_Consulta_desde_Reporte_de_Valorización_de_Instrumentos[[#This Row],[Inv MM$]]</f>
        <v>0</v>
      </c>
      <c r="AL584" s="26">
        <f>Tabla_Consulta_desde_Reporte_de_Valorización_de_Instrumentos[[#This Row],[C02-H]]*Tabla_Consulta_desde_Reporte_de_Valorización_de_Instrumentos[[#This Row],[Weight]]</f>
        <v>0</v>
      </c>
      <c r="AM584" s="26" t="e">
        <f>INDEX(Parametria!G:G,MATCH(Tabla_Consulta_desde_Reporte_de_Valorización_de_Instrumentos[[#This Row],[CODIGO_SBS]],Parametria!C:C,0))</f>
        <v>#N/A</v>
      </c>
      <c r="AN584" s="26" t="e">
        <f>INDEX(Parametria!F:F,MATCH(Tabla_Consulta_desde_Reporte_de_Valorización_de_Instrumentos[[#This Row],[CODIGO_SBS]],Parametria!C:C,0))</f>
        <v>#N/A</v>
      </c>
      <c r="AO584" s="26" t="e">
        <f>+INDEX(Parametria!J:J,MATCH(Tabla_Consulta_desde_Reporte_de_Valorización_de_Instrumentos[[#This Row],[CODIGO_SBS]],Parametria!C:C,0))</f>
        <v>#N/A</v>
      </c>
      <c r="AP584" s="26">
        <f>Tabla_Consulta_desde_Reporte_de_Valorización_de_Instrumentos[[#This Row],[Huella]]/$AU$4</f>
        <v>0</v>
      </c>
      <c r="AQ584" s="26" t="e">
        <f>IFERROR(INDEX('BD(MSCI)'!W:W,MATCH(Tabla_Consulta_desde_Reporte_de_Valorización_de_Instrumentos[[#This Row],[CODIGO_ISIN]],'BD(MSCI)'!C:C,0)),IF(Tabla_Consulta_desde_Reporte_de_Valorización_de_Instrumentos[[#This Row],[Rank_rt]]="Cash","Cash","Cuestionario Integra"))</f>
        <v>#N/A</v>
      </c>
      <c r="AR584" s="26" t="str">
        <f>IFERROR(INDEX('BD(MSCI)'!X:X,MATCH(Tabla_Consulta_desde_Reporte_de_Valorización_de_Instrumentos[[#This Row],[CODIGO_ISIN]],'BD(MSCI)'!C:C,0)),"Cuestionario Integra")</f>
        <v>Cuestionario Integra</v>
      </c>
    </row>
    <row r="585" spans="2:44" hidden="1" x14ac:dyDescent="0.25">
      <c r="B585" s="14" t="s">
        <v>6390</v>
      </c>
      <c r="C585" t="s">
        <v>836</v>
      </c>
      <c r="D585" t="s">
        <v>9</v>
      </c>
      <c r="E585" t="s">
        <v>837</v>
      </c>
      <c r="F585" t="s">
        <v>6556</v>
      </c>
      <c r="G585" t="e">
        <f>INDEX(Parametria!H:H,MATCH(Tabla_Consulta_desde_Reporte_de_Valorización_de_Instrumentos[[#This Row],[CODIGO_SBS]],Parametria!C:C,0),1)</f>
        <v>#N/A</v>
      </c>
      <c r="H585" t="s">
        <v>6557</v>
      </c>
      <c r="I585" t="s">
        <v>6558</v>
      </c>
      <c r="J585" t="s">
        <v>241</v>
      </c>
      <c r="K585" t="s">
        <v>90</v>
      </c>
      <c r="L585">
        <v>5000</v>
      </c>
      <c r="M585" s="5">
        <v>14526426.3573</v>
      </c>
      <c r="N585">
        <v>14526426.3573</v>
      </c>
      <c r="O585">
        <v>2900</v>
      </c>
      <c r="P585" s="15">
        <v>46367</v>
      </c>
      <c r="Q585">
        <v>345</v>
      </c>
      <c r="R585">
        <v>1</v>
      </c>
      <c r="S585" t="s">
        <v>155</v>
      </c>
      <c r="T585">
        <v>14528695.46607</v>
      </c>
      <c r="U585" s="5">
        <v>14528695.46607</v>
      </c>
      <c r="V585" t="s">
        <v>242</v>
      </c>
      <c r="W585">
        <v>11067773000</v>
      </c>
      <c r="X585">
        <v>8906334000</v>
      </c>
      <c r="Y585">
        <v>2161439000</v>
      </c>
      <c r="Z585">
        <v>-0.78245129999999996</v>
      </c>
      <c r="AA585" t="str">
        <f>+MID(Tabla_Consulta_desde_Reporte_de_Valorización_de_Instrumentos[[#This Row],[CODIGO_SBS]],7,1)</f>
        <v>1</v>
      </c>
      <c r="AB585">
        <f>INDEX('Cálculo Caja'!F:F,MATCH(Tabla_Consulta_desde_Reporte_de_Valorización_de_Instrumentos[[#This Row],[PORTAFOLIO]],'Cálculo Caja'!A:A,0),1)</f>
        <v>2847839359.3764262</v>
      </c>
      <c r="AC585" s="17">
        <f>Tabla_Consulta_desde_Reporte_de_Valorización_de_Instrumentos[[#This Row],[VALOR_VECTOR_LOCAL]]/Tabla_Consulta_desde_Reporte_de_Valorización_de_Instrumentos[[#This Row],[Patrimonio]]</f>
        <v>5.1008587648991421E-3</v>
      </c>
      <c r="AD585" s="4">
        <f>(Tabla_Consulta_desde_Reporte_de_Valorización_de_Instrumentos[[#This Row],[VALOR_VECTOR_LOCAL]]/INDEX('Tipo de Cambio'!$D:$D,MATCH("2",'Tipo de Cambio'!$E:$E,0),1))/1000000</f>
        <v>4.322183450058021</v>
      </c>
      <c r="AE585">
        <f>IF(Tabla_Consulta_desde_Reporte_de_Valorización_de_Instrumentos[[#This Row],[PORTAFOLIO]]="IN-FONDO0",Tabla_Consulta_desde_Reporte_de_Valorización_de_Instrumentos[[#This Row],[Inv MM$]],0)</f>
        <v>4.322183450058021</v>
      </c>
      <c r="AF585" s="26">
        <f>IF(Tabla_Consulta_desde_Reporte_de_Valorización_de_Instrumentos[[#This Row],[PORTAFOLIO]]="IN-FONDO1",Tabla_Consulta_desde_Reporte_de_Valorización_de_Instrumentos[[#This Row],[Inv MM$]],0)</f>
        <v>0</v>
      </c>
      <c r="AG585" s="26">
        <f>IF(Tabla_Consulta_desde_Reporte_de_Valorización_de_Instrumentos[[#This Row],[PORTAFOLIO]]="IN-FONDO2",Tabla_Consulta_desde_Reporte_de_Valorización_de_Instrumentos[[#This Row],[Inv MM$]],0)</f>
        <v>0</v>
      </c>
      <c r="AH585" s="26">
        <f>IF(Tabla_Consulta_desde_Reporte_de_Valorización_de_Instrumentos[[#This Row],[PORTAFOLIO]]="IN-FONDO3",Tabla_Consulta_desde_Reporte_de_Valorización_de_Instrumentos[[#This Row],[Inv MM$]],0)</f>
        <v>0</v>
      </c>
      <c r="AI58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5" s="26">
        <f>IFERROR(IFERROR(INDEX('BD(MSCI)'!$T:$T,MATCH(Tabla_Consulta_desde_Reporte_de_Valorización_de_Instrumentos[[#This Row],[CODIGO_ISIN]],'BD(MSCI)'!$C:$C,0),1),INDEX('BD(MSCI)'!$T:$T,MATCH(Tabla_Consulta_desde_Reporte_de_Valorización_de_Instrumentos[[#This Row],[CODIGO_SBS]],'BD(MSCI)'!$C:$C,0),1)),0)</f>
        <v>0</v>
      </c>
      <c r="AK585" s="26">
        <f>Tabla_Consulta_desde_Reporte_de_Valorización_de_Instrumentos[[#This Row],[C02-H]]*Tabla_Consulta_desde_Reporte_de_Valorización_de_Instrumentos[[#This Row],[Inv MM$]]</f>
        <v>0</v>
      </c>
      <c r="AL585" s="26">
        <f>Tabla_Consulta_desde_Reporte_de_Valorización_de_Instrumentos[[#This Row],[C02-H]]*Tabla_Consulta_desde_Reporte_de_Valorización_de_Instrumentos[[#This Row],[Weight]]</f>
        <v>0</v>
      </c>
      <c r="AM585" s="26" t="e">
        <f>INDEX(Parametria!G:G,MATCH(Tabla_Consulta_desde_Reporte_de_Valorización_de_Instrumentos[[#This Row],[CODIGO_SBS]],Parametria!C:C,0))</f>
        <v>#N/A</v>
      </c>
      <c r="AN585" s="26" t="e">
        <f>INDEX(Parametria!F:F,MATCH(Tabla_Consulta_desde_Reporte_de_Valorización_de_Instrumentos[[#This Row],[CODIGO_SBS]],Parametria!C:C,0))</f>
        <v>#N/A</v>
      </c>
      <c r="AO585" s="26" t="e">
        <f>+INDEX(Parametria!J:J,MATCH(Tabla_Consulta_desde_Reporte_de_Valorización_de_Instrumentos[[#This Row],[CODIGO_SBS]],Parametria!C:C,0))</f>
        <v>#N/A</v>
      </c>
      <c r="AP585" s="26">
        <f>Tabla_Consulta_desde_Reporte_de_Valorización_de_Instrumentos[[#This Row],[Huella]]/$AU$4</f>
        <v>0</v>
      </c>
      <c r="AQ585" s="26" t="e">
        <f>IFERROR(INDEX('BD(MSCI)'!W:W,MATCH(Tabla_Consulta_desde_Reporte_de_Valorización_de_Instrumentos[[#This Row],[CODIGO_ISIN]],'BD(MSCI)'!C:C,0)),IF(Tabla_Consulta_desde_Reporte_de_Valorización_de_Instrumentos[[#This Row],[Rank_rt]]="Cash","Cash","Cuestionario Integra"))</f>
        <v>#N/A</v>
      </c>
      <c r="AR585" s="26" t="str">
        <f>IFERROR(INDEX('BD(MSCI)'!X:X,MATCH(Tabla_Consulta_desde_Reporte_de_Valorización_de_Instrumentos[[#This Row],[CODIGO_ISIN]],'BD(MSCI)'!C:C,0)),"Cuestionario Integra")</f>
        <v>Cuestionario Integra</v>
      </c>
    </row>
    <row r="586" spans="2:44" hidden="1" x14ac:dyDescent="0.25">
      <c r="B586" s="14" t="s">
        <v>6390</v>
      </c>
      <c r="C586" t="s">
        <v>836</v>
      </c>
      <c r="D586" t="s">
        <v>9</v>
      </c>
      <c r="E586" t="s">
        <v>837</v>
      </c>
      <c r="F586" t="s">
        <v>6559</v>
      </c>
      <c r="G586" t="e">
        <f>INDEX(Parametria!H:H,MATCH(Tabla_Consulta_desde_Reporte_de_Valorización_de_Instrumentos[[#This Row],[CODIGO_SBS]],Parametria!C:C,0),1)</f>
        <v>#N/A</v>
      </c>
      <c r="H586" t="s">
        <v>6560</v>
      </c>
      <c r="I586" t="s">
        <v>6561</v>
      </c>
      <c r="J586" t="s">
        <v>4860</v>
      </c>
      <c r="K586" t="s">
        <v>90</v>
      </c>
      <c r="L586">
        <v>1000</v>
      </c>
      <c r="M586" s="5">
        <v>14224266.916313</v>
      </c>
      <c r="N586">
        <v>14224266.916313</v>
      </c>
      <c r="O586">
        <v>14545</v>
      </c>
      <c r="P586" s="15">
        <v>46201</v>
      </c>
      <c r="Q586">
        <v>179</v>
      </c>
      <c r="R586">
        <v>1</v>
      </c>
      <c r="S586" t="s">
        <v>155</v>
      </c>
      <c r="T586">
        <v>14226043.558972999</v>
      </c>
      <c r="U586" s="5">
        <v>14226043.558972999</v>
      </c>
      <c r="V586" t="s">
        <v>5026</v>
      </c>
      <c r="W586">
        <v>5500285000</v>
      </c>
      <c r="X586">
        <v>4741468000</v>
      </c>
      <c r="Y586">
        <v>758817000</v>
      </c>
      <c r="Z586">
        <v>-0.12214800000000001</v>
      </c>
      <c r="AA586" t="str">
        <f>+MID(Tabla_Consulta_desde_Reporte_de_Valorización_de_Instrumentos[[#This Row],[CODIGO_SBS]],7,1)</f>
        <v>1</v>
      </c>
      <c r="AB586">
        <f>INDEX('Cálculo Caja'!F:F,MATCH(Tabla_Consulta_desde_Reporte_de_Valorización_de_Instrumentos[[#This Row],[PORTAFOLIO]],'Cálculo Caja'!A:A,0),1)</f>
        <v>2847839359.3764262</v>
      </c>
      <c r="AC586" s="17">
        <f>Tabla_Consulta_desde_Reporte_de_Valorización_de_Instrumentos[[#This Row],[VALOR_VECTOR_LOCAL]]/Tabla_Consulta_desde_Reporte_de_Valorización_de_Instrumentos[[#This Row],[Patrimonio]]</f>
        <v>4.9947574709507487E-3</v>
      </c>
      <c r="AD586" s="4">
        <f>(Tabla_Consulta_desde_Reporte_de_Valorización_de_Instrumentos[[#This Row],[VALOR_VECTOR_LOCAL]]/INDEX('Tipo de Cambio'!$D:$D,MATCH("2",'Tipo de Cambio'!$E:$E,0),1))/1000000</f>
        <v>4.2322791265175992</v>
      </c>
      <c r="AE586">
        <f>IF(Tabla_Consulta_desde_Reporte_de_Valorización_de_Instrumentos[[#This Row],[PORTAFOLIO]]="IN-FONDO0",Tabla_Consulta_desde_Reporte_de_Valorización_de_Instrumentos[[#This Row],[Inv MM$]],0)</f>
        <v>4.2322791265175992</v>
      </c>
      <c r="AF586" s="26">
        <f>IF(Tabla_Consulta_desde_Reporte_de_Valorización_de_Instrumentos[[#This Row],[PORTAFOLIO]]="IN-FONDO1",Tabla_Consulta_desde_Reporte_de_Valorización_de_Instrumentos[[#This Row],[Inv MM$]],0)</f>
        <v>0</v>
      </c>
      <c r="AG586" s="26">
        <f>IF(Tabla_Consulta_desde_Reporte_de_Valorización_de_Instrumentos[[#This Row],[PORTAFOLIO]]="IN-FONDO2",Tabla_Consulta_desde_Reporte_de_Valorización_de_Instrumentos[[#This Row],[Inv MM$]],0)</f>
        <v>0</v>
      </c>
      <c r="AH586" s="26">
        <f>IF(Tabla_Consulta_desde_Reporte_de_Valorización_de_Instrumentos[[#This Row],[PORTAFOLIO]]="IN-FONDO3",Tabla_Consulta_desde_Reporte_de_Valorización_de_Instrumentos[[#This Row],[Inv MM$]],0)</f>
        <v>0</v>
      </c>
      <c r="AI58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6" s="26">
        <f>IFERROR(IFERROR(INDEX('BD(MSCI)'!$T:$T,MATCH(Tabla_Consulta_desde_Reporte_de_Valorización_de_Instrumentos[[#This Row],[CODIGO_ISIN]],'BD(MSCI)'!$C:$C,0),1),INDEX('BD(MSCI)'!$T:$T,MATCH(Tabla_Consulta_desde_Reporte_de_Valorización_de_Instrumentos[[#This Row],[CODIGO_SBS]],'BD(MSCI)'!$C:$C,0),1)),0)</f>
        <v>0</v>
      </c>
      <c r="AK586" s="26">
        <f>Tabla_Consulta_desde_Reporte_de_Valorización_de_Instrumentos[[#This Row],[C02-H]]*Tabla_Consulta_desde_Reporte_de_Valorización_de_Instrumentos[[#This Row],[Inv MM$]]</f>
        <v>0</v>
      </c>
      <c r="AL586" s="26">
        <f>Tabla_Consulta_desde_Reporte_de_Valorización_de_Instrumentos[[#This Row],[C02-H]]*Tabla_Consulta_desde_Reporte_de_Valorización_de_Instrumentos[[#This Row],[Weight]]</f>
        <v>0</v>
      </c>
      <c r="AM586" s="26" t="e">
        <f>INDEX(Parametria!G:G,MATCH(Tabla_Consulta_desde_Reporte_de_Valorización_de_Instrumentos[[#This Row],[CODIGO_SBS]],Parametria!C:C,0))</f>
        <v>#N/A</v>
      </c>
      <c r="AN586" s="26" t="e">
        <f>INDEX(Parametria!F:F,MATCH(Tabla_Consulta_desde_Reporte_de_Valorización_de_Instrumentos[[#This Row],[CODIGO_SBS]],Parametria!C:C,0))</f>
        <v>#N/A</v>
      </c>
      <c r="AO586" s="26" t="e">
        <f>+INDEX(Parametria!J:J,MATCH(Tabla_Consulta_desde_Reporte_de_Valorización_de_Instrumentos[[#This Row],[CODIGO_SBS]],Parametria!C:C,0))</f>
        <v>#N/A</v>
      </c>
      <c r="AP586" s="26">
        <f>Tabla_Consulta_desde_Reporte_de_Valorización_de_Instrumentos[[#This Row],[Huella]]/$AU$4</f>
        <v>0</v>
      </c>
      <c r="AQ586" s="26" t="e">
        <f>IFERROR(INDEX('BD(MSCI)'!W:W,MATCH(Tabla_Consulta_desde_Reporte_de_Valorización_de_Instrumentos[[#This Row],[CODIGO_ISIN]],'BD(MSCI)'!C:C,0)),IF(Tabla_Consulta_desde_Reporte_de_Valorización_de_Instrumentos[[#This Row],[Rank_rt]]="Cash","Cash","Cuestionario Integra"))</f>
        <v>#N/A</v>
      </c>
      <c r="AR586" s="26" t="str">
        <f>IFERROR(INDEX('BD(MSCI)'!X:X,MATCH(Tabla_Consulta_desde_Reporte_de_Valorización_de_Instrumentos[[#This Row],[CODIGO_ISIN]],'BD(MSCI)'!C:C,0)),"Cuestionario Integra")</f>
        <v>Cuestionario Integra</v>
      </c>
    </row>
    <row r="587" spans="2:44" hidden="1" x14ac:dyDescent="0.25">
      <c r="B587" s="14" t="s">
        <v>6390</v>
      </c>
      <c r="C587" t="s">
        <v>836</v>
      </c>
      <c r="D587" t="s">
        <v>9</v>
      </c>
      <c r="E587" t="s">
        <v>837</v>
      </c>
      <c r="F587" t="s">
        <v>5994</v>
      </c>
      <c r="G587" t="e">
        <f>INDEX(Parametria!H:H,MATCH(Tabla_Consulta_desde_Reporte_de_Valorización_de_Instrumentos[[#This Row],[CODIGO_SBS]],Parametria!C:C,0),1)</f>
        <v>#N/A</v>
      </c>
      <c r="H587" t="s">
        <v>5995</v>
      </c>
      <c r="I587" t="s">
        <v>5996</v>
      </c>
      <c r="J587" t="s">
        <v>4860</v>
      </c>
      <c r="K587" t="s">
        <v>90</v>
      </c>
      <c r="L587">
        <v>1000</v>
      </c>
      <c r="M587" s="5">
        <v>11348674.171331599</v>
      </c>
      <c r="N587">
        <v>11348674.171331599</v>
      </c>
      <c r="O587">
        <v>11476</v>
      </c>
      <c r="P587" s="15">
        <v>46111</v>
      </c>
      <c r="Q587">
        <v>89</v>
      </c>
      <c r="R587">
        <v>1</v>
      </c>
      <c r="S587" t="s">
        <v>155</v>
      </c>
      <c r="T587">
        <v>11349043.822472399</v>
      </c>
      <c r="U587" s="5">
        <v>11349043.822472399</v>
      </c>
      <c r="V587" t="s">
        <v>5026</v>
      </c>
      <c r="W587">
        <v>5500285000</v>
      </c>
      <c r="X587">
        <v>4741468000</v>
      </c>
      <c r="Y587">
        <v>758817000</v>
      </c>
      <c r="Z587">
        <v>-3.2210799999999998E-2</v>
      </c>
      <c r="AA587" t="str">
        <f>+MID(Tabla_Consulta_desde_Reporte_de_Valorización_de_Instrumentos[[#This Row],[CODIGO_SBS]],7,1)</f>
        <v>1</v>
      </c>
      <c r="AB587">
        <f>INDEX('Cálculo Caja'!F:F,MATCH(Tabla_Consulta_desde_Reporte_de_Valorización_de_Instrumentos[[#This Row],[PORTAFOLIO]],'Cálculo Caja'!A:A,0),1)</f>
        <v>2847839359.3764262</v>
      </c>
      <c r="AC587" s="17">
        <f>Tabla_Consulta_desde_Reporte_de_Valorización_de_Instrumentos[[#This Row],[VALOR_VECTOR_LOCAL]]/Tabla_Consulta_desde_Reporte_de_Valorización_de_Instrumentos[[#This Row],[Patrimonio]]</f>
        <v>3.9850120527221552E-3</v>
      </c>
      <c r="AD587" s="4">
        <f>(Tabla_Consulta_desde_Reporte_de_Valorización_de_Instrumentos[[#This Row],[VALOR_VECTOR_LOCAL]]/INDEX('Tipo de Cambio'!$D:$D,MATCH("2",'Tipo de Cambio'!$E:$E,0),1))/1000000</f>
        <v>3.3766771315217943</v>
      </c>
      <c r="AE587">
        <f>IF(Tabla_Consulta_desde_Reporte_de_Valorización_de_Instrumentos[[#This Row],[PORTAFOLIO]]="IN-FONDO0",Tabla_Consulta_desde_Reporte_de_Valorización_de_Instrumentos[[#This Row],[Inv MM$]],0)</f>
        <v>3.3766771315217943</v>
      </c>
      <c r="AF587" s="26">
        <f>IF(Tabla_Consulta_desde_Reporte_de_Valorización_de_Instrumentos[[#This Row],[PORTAFOLIO]]="IN-FONDO1",Tabla_Consulta_desde_Reporte_de_Valorización_de_Instrumentos[[#This Row],[Inv MM$]],0)</f>
        <v>0</v>
      </c>
      <c r="AG587" s="26">
        <f>IF(Tabla_Consulta_desde_Reporte_de_Valorización_de_Instrumentos[[#This Row],[PORTAFOLIO]]="IN-FONDO2",Tabla_Consulta_desde_Reporte_de_Valorización_de_Instrumentos[[#This Row],[Inv MM$]],0)</f>
        <v>0</v>
      </c>
      <c r="AH587" s="26">
        <f>IF(Tabla_Consulta_desde_Reporte_de_Valorización_de_Instrumentos[[#This Row],[PORTAFOLIO]]="IN-FONDO3",Tabla_Consulta_desde_Reporte_de_Valorización_de_Instrumentos[[#This Row],[Inv MM$]],0)</f>
        <v>0</v>
      </c>
      <c r="AI58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7" s="26">
        <f>IFERROR(IFERROR(INDEX('BD(MSCI)'!$T:$T,MATCH(Tabla_Consulta_desde_Reporte_de_Valorización_de_Instrumentos[[#This Row],[CODIGO_ISIN]],'BD(MSCI)'!$C:$C,0),1),INDEX('BD(MSCI)'!$T:$T,MATCH(Tabla_Consulta_desde_Reporte_de_Valorización_de_Instrumentos[[#This Row],[CODIGO_SBS]],'BD(MSCI)'!$C:$C,0),1)),0)</f>
        <v>0</v>
      </c>
      <c r="AK587" s="26">
        <f>Tabla_Consulta_desde_Reporte_de_Valorización_de_Instrumentos[[#This Row],[C02-H]]*Tabla_Consulta_desde_Reporte_de_Valorización_de_Instrumentos[[#This Row],[Inv MM$]]</f>
        <v>0</v>
      </c>
      <c r="AL587" s="26">
        <f>Tabla_Consulta_desde_Reporte_de_Valorización_de_Instrumentos[[#This Row],[C02-H]]*Tabla_Consulta_desde_Reporte_de_Valorización_de_Instrumentos[[#This Row],[Weight]]</f>
        <v>0</v>
      </c>
      <c r="AM587" s="26" t="e">
        <f>INDEX(Parametria!G:G,MATCH(Tabla_Consulta_desde_Reporte_de_Valorización_de_Instrumentos[[#This Row],[CODIGO_SBS]],Parametria!C:C,0))</f>
        <v>#N/A</v>
      </c>
      <c r="AN587" s="26" t="e">
        <f>INDEX(Parametria!F:F,MATCH(Tabla_Consulta_desde_Reporte_de_Valorización_de_Instrumentos[[#This Row],[CODIGO_SBS]],Parametria!C:C,0))</f>
        <v>#N/A</v>
      </c>
      <c r="AO587" s="26" t="e">
        <f>+INDEX(Parametria!J:J,MATCH(Tabla_Consulta_desde_Reporte_de_Valorización_de_Instrumentos[[#This Row],[CODIGO_SBS]],Parametria!C:C,0))</f>
        <v>#N/A</v>
      </c>
      <c r="AP587" s="26">
        <f>Tabla_Consulta_desde_Reporte_de_Valorización_de_Instrumentos[[#This Row],[Huella]]/$AU$4</f>
        <v>0</v>
      </c>
      <c r="AQ587" s="26" t="e">
        <f>IFERROR(INDEX('BD(MSCI)'!W:W,MATCH(Tabla_Consulta_desde_Reporte_de_Valorización_de_Instrumentos[[#This Row],[CODIGO_ISIN]],'BD(MSCI)'!C:C,0)),IF(Tabla_Consulta_desde_Reporte_de_Valorización_de_Instrumentos[[#This Row],[Rank_rt]]="Cash","Cash","Cuestionario Integra"))</f>
        <v>#N/A</v>
      </c>
      <c r="AR587" s="26" t="str">
        <f>IFERROR(INDEX('BD(MSCI)'!X:X,MATCH(Tabla_Consulta_desde_Reporte_de_Valorización_de_Instrumentos[[#This Row],[CODIGO_ISIN]],'BD(MSCI)'!C:C,0)),"Cuestionario Integra")</f>
        <v>Cuestionario Integra</v>
      </c>
    </row>
    <row r="588" spans="2:44" hidden="1" x14ac:dyDescent="0.25">
      <c r="B588" s="14" t="s">
        <v>6390</v>
      </c>
      <c r="C588" t="s">
        <v>836</v>
      </c>
      <c r="D588" t="s">
        <v>9</v>
      </c>
      <c r="E588" t="s">
        <v>837</v>
      </c>
      <c r="F588" t="s">
        <v>6562</v>
      </c>
      <c r="G588" t="e">
        <f>INDEX(Parametria!H:H,MATCH(Tabla_Consulta_desde_Reporte_de_Valorización_de_Instrumentos[[#This Row],[CODIGO_SBS]],Parametria!C:C,0),1)</f>
        <v>#N/A</v>
      </c>
      <c r="H588" t="s">
        <v>6563</v>
      </c>
      <c r="I588" t="s">
        <v>6564</v>
      </c>
      <c r="J588" t="s">
        <v>4860</v>
      </c>
      <c r="K588" t="s">
        <v>90</v>
      </c>
      <c r="L588">
        <v>1000</v>
      </c>
      <c r="M588" s="5">
        <v>27993078.697378799</v>
      </c>
      <c r="N588">
        <v>27993078.697378799</v>
      </c>
      <c r="O588">
        <v>28939</v>
      </c>
      <c r="P588" s="15">
        <v>46290</v>
      </c>
      <c r="Q588">
        <v>268</v>
      </c>
      <c r="R588">
        <v>1</v>
      </c>
      <c r="S588" t="s">
        <v>155</v>
      </c>
      <c r="T588">
        <v>27997560.523717299</v>
      </c>
      <c r="U588" s="5">
        <v>27997560.523717299</v>
      </c>
      <c r="V588" t="s">
        <v>5026</v>
      </c>
      <c r="W588">
        <v>5500285000</v>
      </c>
      <c r="X588">
        <v>4741468000</v>
      </c>
      <c r="Y588">
        <v>758817000</v>
      </c>
      <c r="Z588">
        <v>-0.1548715</v>
      </c>
      <c r="AA588" t="str">
        <f>+MID(Tabla_Consulta_desde_Reporte_de_Valorización_de_Instrumentos[[#This Row],[CODIGO_SBS]],7,1)</f>
        <v>1</v>
      </c>
      <c r="AB588">
        <f>INDEX('Cálculo Caja'!F:F,MATCH(Tabla_Consulta_desde_Reporte_de_Valorización_de_Instrumentos[[#This Row],[PORTAFOLIO]],'Cálculo Caja'!A:A,0),1)</f>
        <v>2847839359.3764262</v>
      </c>
      <c r="AC588" s="17">
        <f>Tabla_Consulta_desde_Reporte_de_Valorización_de_Instrumentos[[#This Row],[VALOR_VECTOR_LOCAL]]/Tabla_Consulta_desde_Reporte_de_Valorización_de_Instrumentos[[#This Row],[Patrimonio]]</f>
        <v>9.8295848764125057E-3</v>
      </c>
      <c r="AD588" s="4">
        <f>(Tabla_Consulta_desde_Reporte_de_Valorización_de_Instrumentos[[#This Row],[VALOR_VECTOR_LOCAL]]/INDEX('Tipo de Cambio'!$D:$D,MATCH("2",'Tipo de Cambio'!$E:$E,0),1))/1000000</f>
        <v>8.3290424283313396</v>
      </c>
      <c r="AE588">
        <f>IF(Tabla_Consulta_desde_Reporte_de_Valorización_de_Instrumentos[[#This Row],[PORTAFOLIO]]="IN-FONDO0",Tabla_Consulta_desde_Reporte_de_Valorización_de_Instrumentos[[#This Row],[Inv MM$]],0)</f>
        <v>8.3290424283313396</v>
      </c>
      <c r="AF588" s="26">
        <f>IF(Tabla_Consulta_desde_Reporte_de_Valorización_de_Instrumentos[[#This Row],[PORTAFOLIO]]="IN-FONDO1",Tabla_Consulta_desde_Reporte_de_Valorización_de_Instrumentos[[#This Row],[Inv MM$]],0)</f>
        <v>0</v>
      </c>
      <c r="AG588" s="26">
        <f>IF(Tabla_Consulta_desde_Reporte_de_Valorización_de_Instrumentos[[#This Row],[PORTAFOLIO]]="IN-FONDO2",Tabla_Consulta_desde_Reporte_de_Valorización_de_Instrumentos[[#This Row],[Inv MM$]],0)</f>
        <v>0</v>
      </c>
      <c r="AH588" s="26">
        <f>IF(Tabla_Consulta_desde_Reporte_de_Valorización_de_Instrumentos[[#This Row],[PORTAFOLIO]]="IN-FONDO3",Tabla_Consulta_desde_Reporte_de_Valorización_de_Instrumentos[[#This Row],[Inv MM$]],0)</f>
        <v>0</v>
      </c>
      <c r="AI58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8" s="26">
        <f>IFERROR(IFERROR(INDEX('BD(MSCI)'!$T:$T,MATCH(Tabla_Consulta_desde_Reporte_de_Valorización_de_Instrumentos[[#This Row],[CODIGO_ISIN]],'BD(MSCI)'!$C:$C,0),1),INDEX('BD(MSCI)'!$T:$T,MATCH(Tabla_Consulta_desde_Reporte_de_Valorización_de_Instrumentos[[#This Row],[CODIGO_SBS]],'BD(MSCI)'!$C:$C,0),1)),0)</f>
        <v>0</v>
      </c>
      <c r="AK588" s="26">
        <f>Tabla_Consulta_desde_Reporte_de_Valorización_de_Instrumentos[[#This Row],[C02-H]]*Tabla_Consulta_desde_Reporte_de_Valorización_de_Instrumentos[[#This Row],[Inv MM$]]</f>
        <v>0</v>
      </c>
      <c r="AL588" s="26">
        <f>Tabla_Consulta_desde_Reporte_de_Valorización_de_Instrumentos[[#This Row],[C02-H]]*Tabla_Consulta_desde_Reporte_de_Valorización_de_Instrumentos[[#This Row],[Weight]]</f>
        <v>0</v>
      </c>
      <c r="AM588" s="26" t="e">
        <f>INDEX(Parametria!G:G,MATCH(Tabla_Consulta_desde_Reporte_de_Valorización_de_Instrumentos[[#This Row],[CODIGO_SBS]],Parametria!C:C,0))</f>
        <v>#N/A</v>
      </c>
      <c r="AN588" s="26" t="e">
        <f>INDEX(Parametria!F:F,MATCH(Tabla_Consulta_desde_Reporte_de_Valorización_de_Instrumentos[[#This Row],[CODIGO_SBS]],Parametria!C:C,0))</f>
        <v>#N/A</v>
      </c>
      <c r="AO588" s="26" t="e">
        <f>+INDEX(Parametria!J:J,MATCH(Tabla_Consulta_desde_Reporte_de_Valorización_de_Instrumentos[[#This Row],[CODIGO_SBS]],Parametria!C:C,0))</f>
        <v>#N/A</v>
      </c>
      <c r="AP588" s="26">
        <f>Tabla_Consulta_desde_Reporte_de_Valorización_de_Instrumentos[[#This Row],[Huella]]/$AU$4</f>
        <v>0</v>
      </c>
      <c r="AQ588" s="26" t="e">
        <f>IFERROR(INDEX('BD(MSCI)'!W:W,MATCH(Tabla_Consulta_desde_Reporte_de_Valorización_de_Instrumentos[[#This Row],[CODIGO_ISIN]],'BD(MSCI)'!C:C,0)),IF(Tabla_Consulta_desde_Reporte_de_Valorización_de_Instrumentos[[#This Row],[Rank_rt]]="Cash","Cash","Cuestionario Integra"))</f>
        <v>#N/A</v>
      </c>
      <c r="AR588" s="26" t="str">
        <f>IFERROR(INDEX('BD(MSCI)'!X:X,MATCH(Tabla_Consulta_desde_Reporte_de_Valorización_de_Instrumentos[[#This Row],[CODIGO_ISIN]],'BD(MSCI)'!C:C,0)),"Cuestionario Integra")</f>
        <v>Cuestionario Integra</v>
      </c>
    </row>
    <row r="589" spans="2:44" hidden="1" x14ac:dyDescent="0.25">
      <c r="B589" s="14" t="s">
        <v>6390</v>
      </c>
      <c r="C589" t="s">
        <v>836</v>
      </c>
      <c r="D589" t="s">
        <v>9</v>
      </c>
      <c r="E589" t="s">
        <v>837</v>
      </c>
      <c r="F589" t="s">
        <v>6565</v>
      </c>
      <c r="G589" t="e">
        <f>INDEX(Parametria!H:H,MATCH(Tabla_Consulta_desde_Reporte_de_Valorización_de_Instrumentos[[#This Row],[CODIGO_SBS]],Parametria!C:C,0),1)</f>
        <v>#N/A</v>
      </c>
      <c r="H589" t="s">
        <v>6566</v>
      </c>
      <c r="I589" t="s">
        <v>6567</v>
      </c>
      <c r="J589" t="s">
        <v>245</v>
      </c>
      <c r="K589" t="s">
        <v>90</v>
      </c>
      <c r="L589">
        <v>1000</v>
      </c>
      <c r="M589" s="5">
        <v>26884989.422499999</v>
      </c>
      <c r="N589">
        <v>26884989.422499999</v>
      </c>
      <c r="O589">
        <v>27500</v>
      </c>
      <c r="P589" s="15">
        <v>46206</v>
      </c>
      <c r="Q589">
        <v>184</v>
      </c>
      <c r="R589">
        <v>1</v>
      </c>
      <c r="S589" t="s">
        <v>155</v>
      </c>
      <c r="T589">
        <v>26888485.2995</v>
      </c>
      <c r="U589" s="5">
        <v>26888485.2995</v>
      </c>
      <c r="V589" t="s">
        <v>227</v>
      </c>
      <c r="W589">
        <v>71698610000</v>
      </c>
      <c r="X589">
        <v>64045988000</v>
      </c>
      <c r="Y589">
        <v>7652622000</v>
      </c>
      <c r="Z589">
        <v>-0.12712280000000001</v>
      </c>
      <c r="AA589" t="str">
        <f>+MID(Tabla_Consulta_desde_Reporte_de_Valorización_de_Instrumentos[[#This Row],[CODIGO_SBS]],7,1)</f>
        <v>1</v>
      </c>
      <c r="AB589">
        <f>INDEX('Cálculo Caja'!F:F,MATCH(Tabla_Consulta_desde_Reporte_de_Valorización_de_Instrumentos[[#This Row],[PORTAFOLIO]],'Cálculo Caja'!A:A,0),1)</f>
        <v>2847839359.3764262</v>
      </c>
      <c r="AC589" s="17">
        <f>Tabla_Consulta_desde_Reporte_de_Valorización_de_Instrumentos[[#This Row],[VALOR_VECTOR_LOCAL]]/Tabla_Consulta_desde_Reporte_de_Valorización_de_Instrumentos[[#This Row],[Patrimonio]]</f>
        <v>9.4404866391013149E-3</v>
      </c>
      <c r="AD589" s="4">
        <f>(Tabla_Consulta_desde_Reporte_de_Valorización_de_Instrumentos[[#This Row],[VALOR_VECTOR_LOCAL]]/INDEX('Tipo de Cambio'!$D:$D,MATCH("2",'Tipo de Cambio'!$E:$E,0),1))/1000000</f>
        <v>7.9993422662084557</v>
      </c>
      <c r="AE589">
        <f>IF(Tabla_Consulta_desde_Reporte_de_Valorización_de_Instrumentos[[#This Row],[PORTAFOLIO]]="IN-FONDO0",Tabla_Consulta_desde_Reporte_de_Valorización_de_Instrumentos[[#This Row],[Inv MM$]],0)</f>
        <v>7.9993422662084557</v>
      </c>
      <c r="AF589" s="26">
        <f>IF(Tabla_Consulta_desde_Reporte_de_Valorización_de_Instrumentos[[#This Row],[PORTAFOLIO]]="IN-FONDO1",Tabla_Consulta_desde_Reporte_de_Valorización_de_Instrumentos[[#This Row],[Inv MM$]],0)</f>
        <v>0</v>
      </c>
      <c r="AG589" s="26">
        <f>IF(Tabla_Consulta_desde_Reporte_de_Valorización_de_Instrumentos[[#This Row],[PORTAFOLIO]]="IN-FONDO2",Tabla_Consulta_desde_Reporte_de_Valorización_de_Instrumentos[[#This Row],[Inv MM$]],0)</f>
        <v>0</v>
      </c>
      <c r="AH589" s="26">
        <f>IF(Tabla_Consulta_desde_Reporte_de_Valorización_de_Instrumentos[[#This Row],[PORTAFOLIO]]="IN-FONDO3",Tabla_Consulta_desde_Reporte_de_Valorización_de_Instrumentos[[#This Row],[Inv MM$]],0)</f>
        <v>0</v>
      </c>
      <c r="AI58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9" s="26">
        <f>IFERROR(IFERROR(INDEX('BD(MSCI)'!$T:$T,MATCH(Tabla_Consulta_desde_Reporte_de_Valorización_de_Instrumentos[[#This Row],[CODIGO_ISIN]],'BD(MSCI)'!$C:$C,0),1),INDEX('BD(MSCI)'!$T:$T,MATCH(Tabla_Consulta_desde_Reporte_de_Valorización_de_Instrumentos[[#This Row],[CODIGO_SBS]],'BD(MSCI)'!$C:$C,0),1)),0)</f>
        <v>0</v>
      </c>
      <c r="AK589" s="26">
        <f>Tabla_Consulta_desde_Reporte_de_Valorización_de_Instrumentos[[#This Row],[C02-H]]*Tabla_Consulta_desde_Reporte_de_Valorización_de_Instrumentos[[#This Row],[Inv MM$]]</f>
        <v>0</v>
      </c>
      <c r="AL589" s="26">
        <f>Tabla_Consulta_desde_Reporte_de_Valorización_de_Instrumentos[[#This Row],[C02-H]]*Tabla_Consulta_desde_Reporte_de_Valorización_de_Instrumentos[[#This Row],[Weight]]</f>
        <v>0</v>
      </c>
      <c r="AM589" s="26" t="e">
        <f>INDEX(Parametria!G:G,MATCH(Tabla_Consulta_desde_Reporte_de_Valorización_de_Instrumentos[[#This Row],[CODIGO_SBS]],Parametria!C:C,0))</f>
        <v>#N/A</v>
      </c>
      <c r="AN589" s="26" t="e">
        <f>INDEX(Parametria!F:F,MATCH(Tabla_Consulta_desde_Reporte_de_Valorización_de_Instrumentos[[#This Row],[CODIGO_SBS]],Parametria!C:C,0))</f>
        <v>#N/A</v>
      </c>
      <c r="AO589" s="26" t="e">
        <f>+INDEX(Parametria!J:J,MATCH(Tabla_Consulta_desde_Reporte_de_Valorización_de_Instrumentos[[#This Row],[CODIGO_SBS]],Parametria!C:C,0))</f>
        <v>#N/A</v>
      </c>
      <c r="AP589" s="26">
        <f>Tabla_Consulta_desde_Reporte_de_Valorización_de_Instrumentos[[#This Row],[Huella]]/$AU$4</f>
        <v>0</v>
      </c>
      <c r="AQ589" s="26" t="e">
        <f>IFERROR(INDEX('BD(MSCI)'!W:W,MATCH(Tabla_Consulta_desde_Reporte_de_Valorización_de_Instrumentos[[#This Row],[CODIGO_ISIN]],'BD(MSCI)'!C:C,0)),IF(Tabla_Consulta_desde_Reporte_de_Valorización_de_Instrumentos[[#This Row],[Rank_rt]]="Cash","Cash","Cuestionario Integra"))</f>
        <v>#N/A</v>
      </c>
      <c r="AR589" s="26" t="str">
        <f>IFERROR(INDEX('BD(MSCI)'!X:X,MATCH(Tabla_Consulta_desde_Reporte_de_Valorización_de_Instrumentos[[#This Row],[CODIGO_ISIN]],'BD(MSCI)'!C:C,0)),"Cuestionario Integra")</f>
        <v>Cuestionario Integra</v>
      </c>
    </row>
    <row r="590" spans="2:44" hidden="1" x14ac:dyDescent="0.25">
      <c r="B590" s="14" t="s">
        <v>6390</v>
      </c>
      <c r="C590" t="s">
        <v>836</v>
      </c>
      <c r="D590" t="s">
        <v>9</v>
      </c>
      <c r="E590" t="s">
        <v>837</v>
      </c>
      <c r="F590" t="s">
        <v>6568</v>
      </c>
      <c r="G590" t="e">
        <f>INDEX(Parametria!H:H,MATCH(Tabla_Consulta_desde_Reporte_de_Valorización_de_Instrumentos[[#This Row],[CODIGO_SBS]],Parametria!C:C,0),1)</f>
        <v>#N/A</v>
      </c>
      <c r="H590" t="s">
        <v>6569</v>
      </c>
      <c r="I590" t="s">
        <v>6570</v>
      </c>
      <c r="J590" t="s">
        <v>245</v>
      </c>
      <c r="K590" t="s">
        <v>90</v>
      </c>
      <c r="L590">
        <v>1000</v>
      </c>
      <c r="M590" s="5">
        <v>14540643.855</v>
      </c>
      <c r="N590">
        <v>14540643.855</v>
      </c>
      <c r="O590">
        <v>15000</v>
      </c>
      <c r="P590" s="15">
        <v>46276</v>
      </c>
      <c r="Q590">
        <v>254</v>
      </c>
      <c r="R590">
        <v>1</v>
      </c>
      <c r="S590" t="s">
        <v>155</v>
      </c>
      <c r="T590">
        <v>14542966.0725</v>
      </c>
      <c r="U590" s="5">
        <v>14542966.0725</v>
      </c>
      <c r="V590" t="s">
        <v>227</v>
      </c>
      <c r="W590">
        <v>71698610000</v>
      </c>
      <c r="X590">
        <v>64045988000</v>
      </c>
      <c r="Y590">
        <v>7652622000</v>
      </c>
      <c r="Z590">
        <v>-0.15481449999999999</v>
      </c>
      <c r="AA590" t="str">
        <f>+MID(Tabla_Consulta_desde_Reporte_de_Valorización_de_Instrumentos[[#This Row],[CODIGO_SBS]],7,1)</f>
        <v>1</v>
      </c>
      <c r="AB590">
        <f>INDEX('Cálculo Caja'!F:F,MATCH(Tabla_Consulta_desde_Reporte_de_Valorización_de_Instrumentos[[#This Row],[PORTAFOLIO]],'Cálculo Caja'!A:A,0),1)</f>
        <v>2847839359.3764262</v>
      </c>
      <c r="AC590" s="17">
        <f>Tabla_Consulta_desde_Reporte_de_Valorización_de_Instrumentos[[#This Row],[VALOR_VECTOR_LOCAL]]/Tabla_Consulta_desde_Reporte_de_Valorización_de_Instrumentos[[#This Row],[Patrimonio]]</f>
        <v>5.1058511454044496E-3</v>
      </c>
      <c r="AD590" s="4">
        <f>(Tabla_Consulta_desde_Reporte_de_Valorización_de_Instrumentos[[#This Row],[VALOR_VECTOR_LOCAL]]/INDEX('Tipo de Cambio'!$D:$D,MATCH("2",'Tipo de Cambio'!$E:$E,0),1))/1000000</f>
        <v>4.3264137150763187</v>
      </c>
      <c r="AE590">
        <f>IF(Tabla_Consulta_desde_Reporte_de_Valorización_de_Instrumentos[[#This Row],[PORTAFOLIO]]="IN-FONDO0",Tabla_Consulta_desde_Reporte_de_Valorización_de_Instrumentos[[#This Row],[Inv MM$]],0)</f>
        <v>4.3264137150763187</v>
      </c>
      <c r="AF590" s="26">
        <f>IF(Tabla_Consulta_desde_Reporte_de_Valorización_de_Instrumentos[[#This Row],[PORTAFOLIO]]="IN-FONDO1",Tabla_Consulta_desde_Reporte_de_Valorización_de_Instrumentos[[#This Row],[Inv MM$]],0)</f>
        <v>0</v>
      </c>
      <c r="AG590" s="26">
        <f>IF(Tabla_Consulta_desde_Reporte_de_Valorización_de_Instrumentos[[#This Row],[PORTAFOLIO]]="IN-FONDO2",Tabla_Consulta_desde_Reporte_de_Valorización_de_Instrumentos[[#This Row],[Inv MM$]],0)</f>
        <v>0</v>
      </c>
      <c r="AH590" s="26">
        <f>IF(Tabla_Consulta_desde_Reporte_de_Valorización_de_Instrumentos[[#This Row],[PORTAFOLIO]]="IN-FONDO3",Tabla_Consulta_desde_Reporte_de_Valorización_de_Instrumentos[[#This Row],[Inv MM$]],0)</f>
        <v>0</v>
      </c>
      <c r="AI59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0" s="26">
        <f>IFERROR(IFERROR(INDEX('BD(MSCI)'!$T:$T,MATCH(Tabla_Consulta_desde_Reporte_de_Valorización_de_Instrumentos[[#This Row],[CODIGO_ISIN]],'BD(MSCI)'!$C:$C,0),1),INDEX('BD(MSCI)'!$T:$T,MATCH(Tabla_Consulta_desde_Reporte_de_Valorización_de_Instrumentos[[#This Row],[CODIGO_SBS]],'BD(MSCI)'!$C:$C,0),1)),0)</f>
        <v>0</v>
      </c>
      <c r="AK590" s="26">
        <f>Tabla_Consulta_desde_Reporte_de_Valorización_de_Instrumentos[[#This Row],[C02-H]]*Tabla_Consulta_desde_Reporte_de_Valorización_de_Instrumentos[[#This Row],[Inv MM$]]</f>
        <v>0</v>
      </c>
      <c r="AL590" s="26">
        <f>Tabla_Consulta_desde_Reporte_de_Valorización_de_Instrumentos[[#This Row],[C02-H]]*Tabla_Consulta_desde_Reporte_de_Valorización_de_Instrumentos[[#This Row],[Weight]]</f>
        <v>0</v>
      </c>
      <c r="AM590" s="26" t="e">
        <f>INDEX(Parametria!G:G,MATCH(Tabla_Consulta_desde_Reporte_de_Valorización_de_Instrumentos[[#This Row],[CODIGO_SBS]],Parametria!C:C,0))</f>
        <v>#N/A</v>
      </c>
      <c r="AN590" s="26" t="e">
        <f>INDEX(Parametria!F:F,MATCH(Tabla_Consulta_desde_Reporte_de_Valorización_de_Instrumentos[[#This Row],[CODIGO_SBS]],Parametria!C:C,0))</f>
        <v>#N/A</v>
      </c>
      <c r="AO590" s="26" t="e">
        <f>+INDEX(Parametria!J:J,MATCH(Tabla_Consulta_desde_Reporte_de_Valorización_de_Instrumentos[[#This Row],[CODIGO_SBS]],Parametria!C:C,0))</f>
        <v>#N/A</v>
      </c>
      <c r="AP590" s="26">
        <f>Tabla_Consulta_desde_Reporte_de_Valorización_de_Instrumentos[[#This Row],[Huella]]/$AU$4</f>
        <v>0</v>
      </c>
      <c r="AQ590" s="26" t="e">
        <f>IFERROR(INDEX('BD(MSCI)'!W:W,MATCH(Tabla_Consulta_desde_Reporte_de_Valorización_de_Instrumentos[[#This Row],[CODIGO_ISIN]],'BD(MSCI)'!C:C,0)),IF(Tabla_Consulta_desde_Reporte_de_Valorización_de_Instrumentos[[#This Row],[Rank_rt]]="Cash","Cash","Cuestionario Integra"))</f>
        <v>#N/A</v>
      </c>
      <c r="AR590" s="26" t="str">
        <f>IFERROR(INDEX('BD(MSCI)'!X:X,MATCH(Tabla_Consulta_desde_Reporte_de_Valorización_de_Instrumentos[[#This Row],[CODIGO_ISIN]],'BD(MSCI)'!C:C,0)),"Cuestionario Integra")</f>
        <v>Cuestionario Integra</v>
      </c>
    </row>
    <row r="591" spans="2:44" hidden="1" x14ac:dyDescent="0.25">
      <c r="B591" s="14" t="s">
        <v>6390</v>
      </c>
      <c r="C591" t="s">
        <v>836</v>
      </c>
      <c r="D591" t="s">
        <v>9</v>
      </c>
      <c r="E591" t="s">
        <v>837</v>
      </c>
      <c r="F591" t="s">
        <v>6571</v>
      </c>
      <c r="G591" t="e">
        <f>INDEX(Parametria!H:H,MATCH(Tabla_Consulta_desde_Reporte_de_Valorización_de_Instrumentos[[#This Row],[CODIGO_SBS]],Parametria!C:C,0),1)</f>
        <v>#N/A</v>
      </c>
      <c r="H591" t="s">
        <v>6572</v>
      </c>
      <c r="I591" t="s">
        <v>6573</v>
      </c>
      <c r="J591" t="s">
        <v>246</v>
      </c>
      <c r="K591" t="s">
        <v>90</v>
      </c>
      <c r="L591">
        <v>1000</v>
      </c>
      <c r="M591" s="5">
        <v>19578969.704</v>
      </c>
      <c r="N591">
        <v>19578969.704</v>
      </c>
      <c r="O591">
        <v>20000</v>
      </c>
      <c r="P591" s="15">
        <v>46194</v>
      </c>
      <c r="Q591">
        <v>172</v>
      </c>
      <c r="R591">
        <v>1</v>
      </c>
      <c r="S591" t="s">
        <v>155</v>
      </c>
      <c r="T591">
        <v>19581336.57</v>
      </c>
      <c r="U591" s="5">
        <v>19581336.57</v>
      </c>
      <c r="V591" t="s">
        <v>228</v>
      </c>
      <c r="W591">
        <v>16665664000</v>
      </c>
      <c r="X591">
        <v>14137867000</v>
      </c>
      <c r="Y591">
        <v>2527797000</v>
      </c>
      <c r="Z591">
        <v>-0.1183433</v>
      </c>
      <c r="AA591" t="str">
        <f>+MID(Tabla_Consulta_desde_Reporte_de_Valorización_de_Instrumentos[[#This Row],[CODIGO_SBS]],7,1)</f>
        <v>1</v>
      </c>
      <c r="AB591">
        <f>INDEX('Cálculo Caja'!F:F,MATCH(Tabla_Consulta_desde_Reporte_de_Valorización_de_Instrumentos[[#This Row],[PORTAFOLIO]],'Cálculo Caja'!A:A,0),1)</f>
        <v>2847839359.3764262</v>
      </c>
      <c r="AC591" s="17">
        <f>Tabla_Consulta_desde_Reporte_de_Valorización_de_Instrumentos[[#This Row],[VALOR_VECTOR_LOCAL]]/Tabla_Consulta_desde_Reporte_de_Valorización_de_Instrumentos[[#This Row],[Patrimonio]]</f>
        <v>6.8750260226360122E-3</v>
      </c>
      <c r="AD591" s="4">
        <f>(Tabla_Consulta_desde_Reporte_de_Valorización_de_Instrumentos[[#This Row],[VALOR_VECTOR_LOCAL]]/INDEX('Tipo de Cambio'!$D:$D,MATCH("2",'Tipo de Cambio'!$E:$E,0),1))/1000000</f>
        <v>5.8255139111547498</v>
      </c>
      <c r="AE591">
        <f>IF(Tabla_Consulta_desde_Reporte_de_Valorización_de_Instrumentos[[#This Row],[PORTAFOLIO]]="IN-FONDO0",Tabla_Consulta_desde_Reporte_de_Valorización_de_Instrumentos[[#This Row],[Inv MM$]],0)</f>
        <v>5.8255139111547498</v>
      </c>
      <c r="AF591" s="26">
        <f>IF(Tabla_Consulta_desde_Reporte_de_Valorización_de_Instrumentos[[#This Row],[PORTAFOLIO]]="IN-FONDO1",Tabla_Consulta_desde_Reporte_de_Valorización_de_Instrumentos[[#This Row],[Inv MM$]],0)</f>
        <v>0</v>
      </c>
      <c r="AG591" s="26">
        <f>IF(Tabla_Consulta_desde_Reporte_de_Valorización_de_Instrumentos[[#This Row],[PORTAFOLIO]]="IN-FONDO2",Tabla_Consulta_desde_Reporte_de_Valorización_de_Instrumentos[[#This Row],[Inv MM$]],0)</f>
        <v>0</v>
      </c>
      <c r="AH591" s="26">
        <f>IF(Tabla_Consulta_desde_Reporte_de_Valorización_de_Instrumentos[[#This Row],[PORTAFOLIO]]="IN-FONDO3",Tabla_Consulta_desde_Reporte_de_Valorización_de_Instrumentos[[#This Row],[Inv MM$]],0)</f>
        <v>0</v>
      </c>
      <c r="AI59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1" s="26">
        <f>IFERROR(IFERROR(INDEX('BD(MSCI)'!$T:$T,MATCH(Tabla_Consulta_desde_Reporte_de_Valorización_de_Instrumentos[[#This Row],[CODIGO_ISIN]],'BD(MSCI)'!$C:$C,0),1),INDEX('BD(MSCI)'!$T:$T,MATCH(Tabla_Consulta_desde_Reporte_de_Valorización_de_Instrumentos[[#This Row],[CODIGO_SBS]],'BD(MSCI)'!$C:$C,0),1)),0)</f>
        <v>0</v>
      </c>
      <c r="AK591" s="26">
        <f>Tabla_Consulta_desde_Reporte_de_Valorización_de_Instrumentos[[#This Row],[C02-H]]*Tabla_Consulta_desde_Reporte_de_Valorización_de_Instrumentos[[#This Row],[Inv MM$]]</f>
        <v>0</v>
      </c>
      <c r="AL591" s="26">
        <f>Tabla_Consulta_desde_Reporte_de_Valorización_de_Instrumentos[[#This Row],[C02-H]]*Tabla_Consulta_desde_Reporte_de_Valorización_de_Instrumentos[[#This Row],[Weight]]</f>
        <v>0</v>
      </c>
      <c r="AM591" s="26" t="e">
        <f>INDEX(Parametria!G:G,MATCH(Tabla_Consulta_desde_Reporte_de_Valorización_de_Instrumentos[[#This Row],[CODIGO_SBS]],Parametria!C:C,0))</f>
        <v>#N/A</v>
      </c>
      <c r="AN591" s="26" t="e">
        <f>INDEX(Parametria!F:F,MATCH(Tabla_Consulta_desde_Reporte_de_Valorización_de_Instrumentos[[#This Row],[CODIGO_SBS]],Parametria!C:C,0))</f>
        <v>#N/A</v>
      </c>
      <c r="AO591" s="26" t="e">
        <f>+INDEX(Parametria!J:J,MATCH(Tabla_Consulta_desde_Reporte_de_Valorización_de_Instrumentos[[#This Row],[CODIGO_SBS]],Parametria!C:C,0))</f>
        <v>#N/A</v>
      </c>
      <c r="AP591" s="26">
        <f>Tabla_Consulta_desde_Reporte_de_Valorización_de_Instrumentos[[#This Row],[Huella]]/$AU$4</f>
        <v>0</v>
      </c>
      <c r="AQ591" s="26" t="e">
        <f>IFERROR(INDEX('BD(MSCI)'!W:W,MATCH(Tabla_Consulta_desde_Reporte_de_Valorización_de_Instrumentos[[#This Row],[CODIGO_ISIN]],'BD(MSCI)'!C:C,0)),IF(Tabla_Consulta_desde_Reporte_de_Valorización_de_Instrumentos[[#This Row],[Rank_rt]]="Cash","Cash","Cuestionario Integra"))</f>
        <v>#N/A</v>
      </c>
      <c r="AR591" s="26" t="str">
        <f>IFERROR(INDEX('BD(MSCI)'!X:X,MATCH(Tabla_Consulta_desde_Reporte_de_Valorización_de_Instrumentos[[#This Row],[CODIGO_ISIN]],'BD(MSCI)'!C:C,0)),"Cuestionario Integra")</f>
        <v>Cuestionario Integra</v>
      </c>
    </row>
    <row r="592" spans="2:44" hidden="1" x14ac:dyDescent="0.25">
      <c r="B592" s="14" t="s">
        <v>6390</v>
      </c>
      <c r="C592" t="s">
        <v>840</v>
      </c>
      <c r="D592" t="s">
        <v>11</v>
      </c>
      <c r="E592" t="s">
        <v>841</v>
      </c>
      <c r="F592" t="s">
        <v>6574</v>
      </c>
      <c r="G592">
        <f>INDEX(Parametria!H:H,MATCH(Tabla_Consulta_desde_Reporte_de_Valorización_de_Instrumentos[[#This Row],[CODIGO_SBS]],Parametria!C:C,0),1)</f>
        <v>0</v>
      </c>
      <c r="H592" t="s">
        <v>90</v>
      </c>
      <c r="I592" t="s">
        <v>842</v>
      </c>
      <c r="J592" t="s">
        <v>4652</v>
      </c>
      <c r="K592" t="s">
        <v>50</v>
      </c>
      <c r="L592">
        <v>1</v>
      </c>
      <c r="M592" s="5">
        <v>0</v>
      </c>
      <c r="N592">
        <v>0</v>
      </c>
      <c r="O592">
        <v>0</v>
      </c>
      <c r="P592" s="15">
        <v>46022</v>
      </c>
      <c r="Q592">
        <v>0</v>
      </c>
      <c r="R592">
        <v>3.3609</v>
      </c>
      <c r="S592" t="s">
        <v>155</v>
      </c>
      <c r="T592">
        <v>3532707.5786859998</v>
      </c>
      <c r="U592" s="5">
        <v>1050588.1100000001</v>
      </c>
      <c r="V592" t="s">
        <v>156</v>
      </c>
      <c r="W592">
        <v>0</v>
      </c>
      <c r="X592">
        <v>0</v>
      </c>
      <c r="Y592">
        <v>0</v>
      </c>
      <c r="Z592">
        <v>0</v>
      </c>
      <c r="AA592" t="str">
        <f>+MID(Tabla_Consulta_desde_Reporte_de_Valorización_de_Instrumentos[[#This Row],[CODIGO_SBS]],7,1)</f>
        <v>2</v>
      </c>
      <c r="AB592">
        <f>INDEX('Cálculo Caja'!F:F,MATCH(Tabla_Consulta_desde_Reporte_de_Valorización_de_Instrumentos[[#This Row],[PORTAFOLIO]],'Cálculo Caja'!A:A,0),1)</f>
        <v>3164069580.822104</v>
      </c>
      <c r="AC592" s="17">
        <f>Tabla_Consulta_desde_Reporte_de_Valorización_de_Instrumentos[[#This Row],[VALOR_VECTOR_LOCAL]]/Tabla_Consulta_desde_Reporte_de_Valorización_de_Instrumentos[[#This Row],[Patrimonio]]</f>
        <v>0</v>
      </c>
      <c r="AD592" s="4">
        <f>(Tabla_Consulta_desde_Reporte_de_Valorización_de_Instrumentos[[#This Row],[VALOR_VECTOR_LOCAL]]/INDEX('Tipo de Cambio'!$D:$D,MATCH("2",'Tipo de Cambio'!$E:$E,0),1))/1000000</f>
        <v>0</v>
      </c>
      <c r="AE592">
        <f>IF(Tabla_Consulta_desde_Reporte_de_Valorización_de_Instrumentos[[#This Row],[PORTAFOLIO]]="IN-FONDO0",Tabla_Consulta_desde_Reporte_de_Valorización_de_Instrumentos[[#This Row],[Inv MM$]],0)</f>
        <v>0</v>
      </c>
      <c r="AF592" s="26">
        <f>IF(Tabla_Consulta_desde_Reporte_de_Valorización_de_Instrumentos[[#This Row],[PORTAFOLIO]]="IN-FONDO1",Tabla_Consulta_desde_Reporte_de_Valorización_de_Instrumentos[[#This Row],[Inv MM$]],0)</f>
        <v>0</v>
      </c>
      <c r="AG592" s="26">
        <f>IF(Tabla_Consulta_desde_Reporte_de_Valorización_de_Instrumentos[[#This Row],[PORTAFOLIO]]="IN-FONDO2",Tabla_Consulta_desde_Reporte_de_Valorización_de_Instrumentos[[#This Row],[Inv MM$]],0)</f>
        <v>0</v>
      </c>
      <c r="AH592" s="26">
        <f>IF(Tabla_Consulta_desde_Reporte_de_Valorización_de_Instrumentos[[#This Row],[PORTAFOLIO]]="IN-FONDO3",Tabla_Consulta_desde_Reporte_de_Valorización_de_Instrumentos[[#This Row],[Inv MM$]],0)</f>
        <v>0</v>
      </c>
      <c r="AI59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2" s="26">
        <f>IFERROR(IFERROR(INDEX('BD(MSCI)'!$T:$T,MATCH(Tabla_Consulta_desde_Reporte_de_Valorización_de_Instrumentos[[#This Row],[CODIGO_ISIN]],'BD(MSCI)'!$C:$C,0),1),INDEX('BD(MSCI)'!$T:$T,MATCH(Tabla_Consulta_desde_Reporte_de_Valorización_de_Instrumentos[[#This Row],[CODIGO_SBS]],'BD(MSCI)'!$C:$C,0),1)),0)</f>
        <v>0</v>
      </c>
      <c r="AK592" s="26">
        <f>Tabla_Consulta_desde_Reporte_de_Valorización_de_Instrumentos[[#This Row],[C02-H]]*Tabla_Consulta_desde_Reporte_de_Valorización_de_Instrumentos[[#This Row],[Inv MM$]]</f>
        <v>0</v>
      </c>
      <c r="AL592" s="26">
        <f>Tabla_Consulta_desde_Reporte_de_Valorización_de_Instrumentos[[#This Row],[C02-H]]*Tabla_Consulta_desde_Reporte_de_Valorización_de_Instrumentos[[#This Row],[Weight]]</f>
        <v>0</v>
      </c>
      <c r="AM592" s="26">
        <f>INDEX(Parametria!G:G,MATCH(Tabla_Consulta_desde_Reporte_de_Valorización_de_Instrumentos[[#This Row],[CODIGO_SBS]],Parametria!C:C,0))</f>
        <v>0</v>
      </c>
      <c r="AN592" s="26" t="str">
        <f>INDEX(Parametria!F:F,MATCH(Tabla_Consulta_desde_Reporte_de_Valorización_de_Instrumentos[[#This Row],[CODIGO_SBS]],Parametria!C:C,0))</f>
        <v>Cash</v>
      </c>
      <c r="AO592" s="26" t="str">
        <f>+INDEX(Parametria!J:J,MATCH(Tabla_Consulta_desde_Reporte_de_Valorización_de_Instrumentos[[#This Row],[CODIGO_SBS]],Parametria!C:C,0))</f>
        <v>Cash</v>
      </c>
      <c r="AP592" s="26">
        <f>Tabla_Consulta_desde_Reporte_de_Valorización_de_Instrumentos[[#This Row],[Huella]]/$AU$4</f>
        <v>0</v>
      </c>
      <c r="AQ592" s="26" t="str">
        <f>IFERROR(INDEX('BD(MSCI)'!W:W,MATCH(Tabla_Consulta_desde_Reporte_de_Valorización_de_Instrumentos[[#This Row],[CODIGO_ISIN]],'BD(MSCI)'!C:C,0)),IF(Tabla_Consulta_desde_Reporte_de_Valorización_de_Instrumentos[[#This Row],[Rank_rt]]="Cash","Cash","Cuestionario Integra"))</f>
        <v>Cash</v>
      </c>
      <c r="AR592" s="26" t="str">
        <f>IFERROR(INDEX('BD(MSCI)'!X:X,MATCH(Tabla_Consulta_desde_Reporte_de_Valorización_de_Instrumentos[[#This Row],[CODIGO_ISIN]],'BD(MSCI)'!C:C,0)),"Cuestionario Integra")</f>
        <v>Cuestionario Integra</v>
      </c>
    </row>
    <row r="593" spans="2:44" hidden="1" x14ac:dyDescent="0.25">
      <c r="B593" s="14" t="s">
        <v>6390</v>
      </c>
      <c r="C593" t="s">
        <v>840</v>
      </c>
      <c r="D593" t="s">
        <v>11</v>
      </c>
      <c r="E593" t="s">
        <v>841</v>
      </c>
      <c r="F593" t="s">
        <v>6575</v>
      </c>
      <c r="G593">
        <f>INDEX(Parametria!H:H,MATCH(Tabla_Consulta_desde_Reporte_de_Valorización_de_Instrumentos[[#This Row],[CODIGO_SBS]],Parametria!C:C,0),1)</f>
        <v>0</v>
      </c>
      <c r="H593" t="s">
        <v>90</v>
      </c>
      <c r="I593" t="s">
        <v>842</v>
      </c>
      <c r="J593" t="s">
        <v>4652</v>
      </c>
      <c r="K593" t="s">
        <v>50</v>
      </c>
      <c r="L593">
        <v>1</v>
      </c>
      <c r="M593" s="5">
        <v>0</v>
      </c>
      <c r="N593">
        <v>0</v>
      </c>
      <c r="O593">
        <v>0</v>
      </c>
      <c r="P593" s="15">
        <v>46022</v>
      </c>
      <c r="Q593">
        <v>0</v>
      </c>
      <c r="R593">
        <v>3.3609</v>
      </c>
      <c r="S593" t="s">
        <v>155</v>
      </c>
      <c r="T593">
        <v>67430.587685999999</v>
      </c>
      <c r="U593" s="5">
        <v>20053.11</v>
      </c>
      <c r="V593" t="s">
        <v>156</v>
      </c>
      <c r="W593">
        <v>0</v>
      </c>
      <c r="X593">
        <v>0</v>
      </c>
      <c r="Y593">
        <v>0</v>
      </c>
      <c r="Z593">
        <v>0</v>
      </c>
      <c r="AA593" t="str">
        <f>+MID(Tabla_Consulta_desde_Reporte_de_Valorización_de_Instrumentos[[#This Row],[CODIGO_SBS]],7,1)</f>
        <v>2</v>
      </c>
      <c r="AB593">
        <f>INDEX('Cálculo Caja'!F:F,MATCH(Tabla_Consulta_desde_Reporte_de_Valorización_de_Instrumentos[[#This Row],[PORTAFOLIO]],'Cálculo Caja'!A:A,0),1)</f>
        <v>3164069580.822104</v>
      </c>
      <c r="AC593" s="17">
        <f>Tabla_Consulta_desde_Reporte_de_Valorización_de_Instrumentos[[#This Row],[VALOR_VECTOR_LOCAL]]/Tabla_Consulta_desde_Reporte_de_Valorización_de_Instrumentos[[#This Row],[Patrimonio]]</f>
        <v>0</v>
      </c>
      <c r="AD593" s="4">
        <f>(Tabla_Consulta_desde_Reporte_de_Valorización_de_Instrumentos[[#This Row],[VALOR_VECTOR_LOCAL]]/INDEX('Tipo de Cambio'!$D:$D,MATCH("2",'Tipo de Cambio'!$E:$E,0),1))/1000000</f>
        <v>0</v>
      </c>
      <c r="AE593">
        <f>IF(Tabla_Consulta_desde_Reporte_de_Valorización_de_Instrumentos[[#This Row],[PORTAFOLIO]]="IN-FONDO0",Tabla_Consulta_desde_Reporte_de_Valorización_de_Instrumentos[[#This Row],[Inv MM$]],0)</f>
        <v>0</v>
      </c>
      <c r="AF593" s="26">
        <f>IF(Tabla_Consulta_desde_Reporte_de_Valorización_de_Instrumentos[[#This Row],[PORTAFOLIO]]="IN-FONDO1",Tabla_Consulta_desde_Reporte_de_Valorización_de_Instrumentos[[#This Row],[Inv MM$]],0)</f>
        <v>0</v>
      </c>
      <c r="AG593" s="26">
        <f>IF(Tabla_Consulta_desde_Reporte_de_Valorización_de_Instrumentos[[#This Row],[PORTAFOLIO]]="IN-FONDO2",Tabla_Consulta_desde_Reporte_de_Valorización_de_Instrumentos[[#This Row],[Inv MM$]],0)</f>
        <v>0</v>
      </c>
      <c r="AH593" s="26">
        <f>IF(Tabla_Consulta_desde_Reporte_de_Valorización_de_Instrumentos[[#This Row],[PORTAFOLIO]]="IN-FONDO3",Tabla_Consulta_desde_Reporte_de_Valorización_de_Instrumentos[[#This Row],[Inv MM$]],0)</f>
        <v>0</v>
      </c>
      <c r="AI59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3" s="26">
        <f>IFERROR(IFERROR(INDEX('BD(MSCI)'!$T:$T,MATCH(Tabla_Consulta_desde_Reporte_de_Valorización_de_Instrumentos[[#This Row],[CODIGO_ISIN]],'BD(MSCI)'!$C:$C,0),1),INDEX('BD(MSCI)'!$T:$T,MATCH(Tabla_Consulta_desde_Reporte_de_Valorización_de_Instrumentos[[#This Row],[CODIGO_SBS]],'BD(MSCI)'!$C:$C,0),1)),0)</f>
        <v>0</v>
      </c>
      <c r="AK593" s="26">
        <f>Tabla_Consulta_desde_Reporte_de_Valorización_de_Instrumentos[[#This Row],[C02-H]]*Tabla_Consulta_desde_Reporte_de_Valorización_de_Instrumentos[[#This Row],[Inv MM$]]</f>
        <v>0</v>
      </c>
      <c r="AL593" s="26">
        <f>Tabla_Consulta_desde_Reporte_de_Valorización_de_Instrumentos[[#This Row],[C02-H]]*Tabla_Consulta_desde_Reporte_de_Valorización_de_Instrumentos[[#This Row],[Weight]]</f>
        <v>0</v>
      </c>
      <c r="AM593" s="26">
        <f>INDEX(Parametria!G:G,MATCH(Tabla_Consulta_desde_Reporte_de_Valorización_de_Instrumentos[[#This Row],[CODIGO_SBS]],Parametria!C:C,0))</f>
        <v>0</v>
      </c>
      <c r="AN593" s="26" t="str">
        <f>INDEX(Parametria!F:F,MATCH(Tabla_Consulta_desde_Reporte_de_Valorización_de_Instrumentos[[#This Row],[CODIGO_SBS]],Parametria!C:C,0))</f>
        <v>Cash</v>
      </c>
      <c r="AO593" s="26" t="str">
        <f>+INDEX(Parametria!J:J,MATCH(Tabla_Consulta_desde_Reporte_de_Valorización_de_Instrumentos[[#This Row],[CODIGO_SBS]],Parametria!C:C,0))</f>
        <v>Cash</v>
      </c>
      <c r="AP593" s="26">
        <f>Tabla_Consulta_desde_Reporte_de_Valorización_de_Instrumentos[[#This Row],[Huella]]/$AU$4</f>
        <v>0</v>
      </c>
      <c r="AQ593" s="26" t="str">
        <f>IFERROR(INDEX('BD(MSCI)'!W:W,MATCH(Tabla_Consulta_desde_Reporte_de_Valorización_de_Instrumentos[[#This Row],[CODIGO_ISIN]],'BD(MSCI)'!C:C,0)),IF(Tabla_Consulta_desde_Reporte_de_Valorización_de_Instrumentos[[#This Row],[Rank_rt]]="Cash","Cash","Cuestionario Integra"))</f>
        <v>Cash</v>
      </c>
      <c r="AR593" s="26" t="str">
        <f>IFERROR(INDEX('BD(MSCI)'!X:X,MATCH(Tabla_Consulta_desde_Reporte_de_Valorización_de_Instrumentos[[#This Row],[CODIGO_ISIN]],'BD(MSCI)'!C:C,0)),"Cuestionario Integra")</f>
        <v>Cuestionario Integra</v>
      </c>
    </row>
    <row r="594" spans="2:44" hidden="1" x14ac:dyDescent="0.25">
      <c r="B594" s="14" t="s">
        <v>6390</v>
      </c>
      <c r="C594" t="s">
        <v>840</v>
      </c>
      <c r="D594" t="s">
        <v>11</v>
      </c>
      <c r="E594" t="s">
        <v>841</v>
      </c>
      <c r="F594" t="s">
        <v>6576</v>
      </c>
      <c r="G594">
        <f>INDEX(Parametria!H:H,MATCH(Tabla_Consulta_desde_Reporte_de_Valorización_de_Instrumentos[[#This Row],[CODIGO_SBS]],Parametria!C:C,0),1)</f>
        <v>0</v>
      </c>
      <c r="H594" t="s">
        <v>90</v>
      </c>
      <c r="I594" t="s">
        <v>842</v>
      </c>
      <c r="J594" t="s">
        <v>5372</v>
      </c>
      <c r="K594" t="s">
        <v>50</v>
      </c>
      <c r="L594">
        <v>1</v>
      </c>
      <c r="M594" s="5">
        <v>0</v>
      </c>
      <c r="N594">
        <v>0</v>
      </c>
      <c r="O594">
        <v>0</v>
      </c>
      <c r="P594" s="15">
        <v>46022</v>
      </c>
      <c r="Q594">
        <v>0</v>
      </c>
      <c r="R594">
        <v>3.3609</v>
      </c>
      <c r="S594" t="s">
        <v>155</v>
      </c>
      <c r="T594">
        <v>8974928.3295540009</v>
      </c>
      <c r="U594" s="5">
        <v>2669044.29</v>
      </c>
      <c r="V594" t="s">
        <v>156</v>
      </c>
      <c r="W594">
        <v>0</v>
      </c>
      <c r="X594">
        <v>0</v>
      </c>
      <c r="Y594">
        <v>0</v>
      </c>
      <c r="Z594">
        <v>0</v>
      </c>
      <c r="AA594" t="str">
        <f>+MID(Tabla_Consulta_desde_Reporte_de_Valorización_de_Instrumentos[[#This Row],[CODIGO_SBS]],7,1)</f>
        <v>2</v>
      </c>
      <c r="AB594">
        <f>INDEX('Cálculo Caja'!F:F,MATCH(Tabla_Consulta_desde_Reporte_de_Valorización_de_Instrumentos[[#This Row],[PORTAFOLIO]],'Cálculo Caja'!A:A,0),1)</f>
        <v>3164069580.822104</v>
      </c>
      <c r="AC594" s="17">
        <f>Tabla_Consulta_desde_Reporte_de_Valorización_de_Instrumentos[[#This Row],[VALOR_VECTOR_LOCAL]]/Tabla_Consulta_desde_Reporte_de_Valorización_de_Instrumentos[[#This Row],[Patrimonio]]</f>
        <v>0</v>
      </c>
      <c r="AD594" s="4">
        <f>(Tabla_Consulta_desde_Reporte_de_Valorización_de_Instrumentos[[#This Row],[VALOR_VECTOR_LOCAL]]/INDEX('Tipo de Cambio'!$D:$D,MATCH("2",'Tipo de Cambio'!$E:$E,0),1))/1000000</f>
        <v>0</v>
      </c>
      <c r="AE594">
        <f>IF(Tabla_Consulta_desde_Reporte_de_Valorización_de_Instrumentos[[#This Row],[PORTAFOLIO]]="IN-FONDO0",Tabla_Consulta_desde_Reporte_de_Valorización_de_Instrumentos[[#This Row],[Inv MM$]],0)</f>
        <v>0</v>
      </c>
      <c r="AF594" s="26">
        <f>IF(Tabla_Consulta_desde_Reporte_de_Valorización_de_Instrumentos[[#This Row],[PORTAFOLIO]]="IN-FONDO1",Tabla_Consulta_desde_Reporte_de_Valorización_de_Instrumentos[[#This Row],[Inv MM$]],0)</f>
        <v>0</v>
      </c>
      <c r="AG594" s="26">
        <f>IF(Tabla_Consulta_desde_Reporte_de_Valorización_de_Instrumentos[[#This Row],[PORTAFOLIO]]="IN-FONDO2",Tabla_Consulta_desde_Reporte_de_Valorización_de_Instrumentos[[#This Row],[Inv MM$]],0)</f>
        <v>0</v>
      </c>
      <c r="AH594" s="26">
        <f>IF(Tabla_Consulta_desde_Reporte_de_Valorización_de_Instrumentos[[#This Row],[PORTAFOLIO]]="IN-FONDO3",Tabla_Consulta_desde_Reporte_de_Valorización_de_Instrumentos[[#This Row],[Inv MM$]],0)</f>
        <v>0</v>
      </c>
      <c r="AI59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4" s="26">
        <f>IFERROR(IFERROR(INDEX('BD(MSCI)'!$T:$T,MATCH(Tabla_Consulta_desde_Reporte_de_Valorización_de_Instrumentos[[#This Row],[CODIGO_ISIN]],'BD(MSCI)'!$C:$C,0),1),INDEX('BD(MSCI)'!$T:$T,MATCH(Tabla_Consulta_desde_Reporte_de_Valorización_de_Instrumentos[[#This Row],[CODIGO_SBS]],'BD(MSCI)'!$C:$C,0),1)),0)</f>
        <v>0</v>
      </c>
      <c r="AK594" s="26">
        <f>Tabla_Consulta_desde_Reporte_de_Valorización_de_Instrumentos[[#This Row],[C02-H]]*Tabla_Consulta_desde_Reporte_de_Valorización_de_Instrumentos[[#This Row],[Inv MM$]]</f>
        <v>0</v>
      </c>
      <c r="AL594" s="26">
        <f>Tabla_Consulta_desde_Reporte_de_Valorización_de_Instrumentos[[#This Row],[C02-H]]*Tabla_Consulta_desde_Reporte_de_Valorización_de_Instrumentos[[#This Row],[Weight]]</f>
        <v>0</v>
      </c>
      <c r="AM594" s="26">
        <f>INDEX(Parametria!G:G,MATCH(Tabla_Consulta_desde_Reporte_de_Valorización_de_Instrumentos[[#This Row],[CODIGO_SBS]],Parametria!C:C,0))</f>
        <v>0</v>
      </c>
      <c r="AN594" s="26" t="str">
        <f>INDEX(Parametria!F:F,MATCH(Tabla_Consulta_desde_Reporte_de_Valorización_de_Instrumentos[[#This Row],[CODIGO_SBS]],Parametria!C:C,0))</f>
        <v>Cash</v>
      </c>
      <c r="AO594" s="26" t="str">
        <f>+INDEX(Parametria!J:J,MATCH(Tabla_Consulta_desde_Reporte_de_Valorización_de_Instrumentos[[#This Row],[CODIGO_SBS]],Parametria!C:C,0))</f>
        <v>Cash</v>
      </c>
      <c r="AP594" s="26">
        <f>Tabla_Consulta_desde_Reporte_de_Valorización_de_Instrumentos[[#This Row],[Huella]]/$AU$4</f>
        <v>0</v>
      </c>
      <c r="AQ594" s="26" t="str">
        <f>IFERROR(INDEX('BD(MSCI)'!W:W,MATCH(Tabla_Consulta_desde_Reporte_de_Valorización_de_Instrumentos[[#This Row],[CODIGO_ISIN]],'BD(MSCI)'!C:C,0)),IF(Tabla_Consulta_desde_Reporte_de_Valorización_de_Instrumentos[[#This Row],[Rank_rt]]="Cash","Cash","Cuestionario Integra"))</f>
        <v>Cash</v>
      </c>
      <c r="AR594" s="26" t="str">
        <f>IFERROR(INDEX('BD(MSCI)'!X:X,MATCH(Tabla_Consulta_desde_Reporte_de_Valorización_de_Instrumentos[[#This Row],[CODIGO_ISIN]],'BD(MSCI)'!C:C,0)),"Cuestionario Integra")</f>
        <v>Cuestionario Integra</v>
      </c>
    </row>
    <row r="595" spans="2:44" hidden="1" x14ac:dyDescent="0.25">
      <c r="B595" s="14" t="s">
        <v>6390</v>
      </c>
      <c r="C595" t="s">
        <v>840</v>
      </c>
      <c r="D595" t="s">
        <v>11</v>
      </c>
      <c r="E595" t="s">
        <v>841</v>
      </c>
      <c r="F595" t="s">
        <v>6577</v>
      </c>
      <c r="G595">
        <f>INDEX(Parametria!H:H,MATCH(Tabla_Consulta_desde_Reporte_de_Valorización_de_Instrumentos[[#This Row],[CODIGO_SBS]],Parametria!C:C,0),1)</f>
        <v>0</v>
      </c>
      <c r="H595" t="s">
        <v>90</v>
      </c>
      <c r="I595" t="s">
        <v>842</v>
      </c>
      <c r="J595" t="s">
        <v>4653</v>
      </c>
      <c r="K595" t="s">
        <v>50</v>
      </c>
      <c r="L595">
        <v>1</v>
      </c>
      <c r="M595" s="5">
        <v>0</v>
      </c>
      <c r="N595">
        <v>0</v>
      </c>
      <c r="O595">
        <v>0</v>
      </c>
      <c r="P595" s="15">
        <v>46022</v>
      </c>
      <c r="Q595">
        <v>0</v>
      </c>
      <c r="R595">
        <v>3.3609</v>
      </c>
      <c r="S595" t="s">
        <v>155</v>
      </c>
      <c r="T595">
        <v>4922165.4062480005</v>
      </c>
      <c r="U595" s="5">
        <v>1463797.48</v>
      </c>
      <c r="V595" t="s">
        <v>156</v>
      </c>
      <c r="W595">
        <v>0</v>
      </c>
      <c r="X595">
        <v>0</v>
      </c>
      <c r="Y595">
        <v>0</v>
      </c>
      <c r="Z595">
        <v>0</v>
      </c>
      <c r="AA595" t="str">
        <f>+MID(Tabla_Consulta_desde_Reporte_de_Valorización_de_Instrumentos[[#This Row],[CODIGO_SBS]],7,1)</f>
        <v>2</v>
      </c>
      <c r="AB595">
        <f>INDEX('Cálculo Caja'!F:F,MATCH(Tabla_Consulta_desde_Reporte_de_Valorización_de_Instrumentos[[#This Row],[PORTAFOLIO]],'Cálculo Caja'!A:A,0),1)</f>
        <v>3164069580.822104</v>
      </c>
      <c r="AC595" s="17">
        <f>Tabla_Consulta_desde_Reporte_de_Valorización_de_Instrumentos[[#This Row],[VALOR_VECTOR_LOCAL]]/Tabla_Consulta_desde_Reporte_de_Valorización_de_Instrumentos[[#This Row],[Patrimonio]]</f>
        <v>0</v>
      </c>
      <c r="AD595" s="4">
        <f>(Tabla_Consulta_desde_Reporte_de_Valorización_de_Instrumentos[[#This Row],[VALOR_VECTOR_LOCAL]]/INDEX('Tipo de Cambio'!$D:$D,MATCH("2",'Tipo de Cambio'!$E:$E,0),1))/1000000</f>
        <v>0</v>
      </c>
      <c r="AE595">
        <f>IF(Tabla_Consulta_desde_Reporte_de_Valorización_de_Instrumentos[[#This Row],[PORTAFOLIO]]="IN-FONDO0",Tabla_Consulta_desde_Reporte_de_Valorización_de_Instrumentos[[#This Row],[Inv MM$]],0)</f>
        <v>0</v>
      </c>
      <c r="AF595" s="26">
        <f>IF(Tabla_Consulta_desde_Reporte_de_Valorización_de_Instrumentos[[#This Row],[PORTAFOLIO]]="IN-FONDO1",Tabla_Consulta_desde_Reporte_de_Valorización_de_Instrumentos[[#This Row],[Inv MM$]],0)</f>
        <v>0</v>
      </c>
      <c r="AG595" s="26">
        <f>IF(Tabla_Consulta_desde_Reporte_de_Valorización_de_Instrumentos[[#This Row],[PORTAFOLIO]]="IN-FONDO2",Tabla_Consulta_desde_Reporte_de_Valorización_de_Instrumentos[[#This Row],[Inv MM$]],0)</f>
        <v>0</v>
      </c>
      <c r="AH595" s="26">
        <f>IF(Tabla_Consulta_desde_Reporte_de_Valorización_de_Instrumentos[[#This Row],[PORTAFOLIO]]="IN-FONDO3",Tabla_Consulta_desde_Reporte_de_Valorización_de_Instrumentos[[#This Row],[Inv MM$]],0)</f>
        <v>0</v>
      </c>
      <c r="AI59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5" s="26">
        <f>IFERROR(IFERROR(INDEX('BD(MSCI)'!$T:$T,MATCH(Tabla_Consulta_desde_Reporte_de_Valorización_de_Instrumentos[[#This Row],[CODIGO_ISIN]],'BD(MSCI)'!$C:$C,0),1),INDEX('BD(MSCI)'!$T:$T,MATCH(Tabla_Consulta_desde_Reporte_de_Valorización_de_Instrumentos[[#This Row],[CODIGO_SBS]],'BD(MSCI)'!$C:$C,0),1)),0)</f>
        <v>0</v>
      </c>
      <c r="AK595" s="26">
        <f>Tabla_Consulta_desde_Reporte_de_Valorización_de_Instrumentos[[#This Row],[C02-H]]*Tabla_Consulta_desde_Reporte_de_Valorización_de_Instrumentos[[#This Row],[Inv MM$]]</f>
        <v>0</v>
      </c>
      <c r="AL595" s="26">
        <f>Tabla_Consulta_desde_Reporte_de_Valorización_de_Instrumentos[[#This Row],[C02-H]]*Tabla_Consulta_desde_Reporte_de_Valorización_de_Instrumentos[[#This Row],[Weight]]</f>
        <v>0</v>
      </c>
      <c r="AM595" s="26">
        <f>INDEX(Parametria!G:G,MATCH(Tabla_Consulta_desde_Reporte_de_Valorización_de_Instrumentos[[#This Row],[CODIGO_SBS]],Parametria!C:C,0))</f>
        <v>0</v>
      </c>
      <c r="AN595" s="26" t="str">
        <f>INDEX(Parametria!F:F,MATCH(Tabla_Consulta_desde_Reporte_de_Valorización_de_Instrumentos[[#This Row],[CODIGO_SBS]],Parametria!C:C,0))</f>
        <v>Cash</v>
      </c>
      <c r="AO595" s="26" t="str">
        <f>+INDEX(Parametria!J:J,MATCH(Tabla_Consulta_desde_Reporte_de_Valorización_de_Instrumentos[[#This Row],[CODIGO_SBS]],Parametria!C:C,0))</f>
        <v>Cash</v>
      </c>
      <c r="AP595" s="26">
        <f>Tabla_Consulta_desde_Reporte_de_Valorización_de_Instrumentos[[#This Row],[Huella]]/$AU$4</f>
        <v>0</v>
      </c>
      <c r="AQ595" s="26" t="str">
        <f>IFERROR(INDEX('BD(MSCI)'!W:W,MATCH(Tabla_Consulta_desde_Reporte_de_Valorización_de_Instrumentos[[#This Row],[CODIGO_ISIN]],'BD(MSCI)'!C:C,0)),IF(Tabla_Consulta_desde_Reporte_de_Valorización_de_Instrumentos[[#This Row],[Rank_rt]]="Cash","Cash","Cuestionario Integra"))</f>
        <v>Cash</v>
      </c>
      <c r="AR595" s="26" t="str">
        <f>IFERROR(INDEX('BD(MSCI)'!X:X,MATCH(Tabla_Consulta_desde_Reporte_de_Valorización_de_Instrumentos[[#This Row],[CODIGO_ISIN]],'BD(MSCI)'!C:C,0)),"Cuestionario Integra")</f>
        <v>Cuestionario Integra</v>
      </c>
    </row>
    <row r="596" spans="2:44" hidden="1" x14ac:dyDescent="0.25">
      <c r="B596" s="14" t="s">
        <v>6390</v>
      </c>
      <c r="C596" t="s">
        <v>840</v>
      </c>
      <c r="D596" t="s">
        <v>11</v>
      </c>
      <c r="E596" t="s">
        <v>841</v>
      </c>
      <c r="F596" t="s">
        <v>6578</v>
      </c>
      <c r="G596">
        <f>INDEX(Parametria!H:H,MATCH(Tabla_Consulta_desde_Reporte_de_Valorización_de_Instrumentos[[#This Row],[CODIGO_SBS]],Parametria!C:C,0),1)</f>
        <v>0</v>
      </c>
      <c r="H596" t="s">
        <v>90</v>
      </c>
      <c r="I596" t="s">
        <v>842</v>
      </c>
      <c r="J596" t="s">
        <v>4653</v>
      </c>
      <c r="K596" t="s">
        <v>50</v>
      </c>
      <c r="L596">
        <v>1</v>
      </c>
      <c r="M596" s="5">
        <v>0</v>
      </c>
      <c r="N596">
        <v>0</v>
      </c>
      <c r="O596">
        <v>0</v>
      </c>
      <c r="P596" s="15">
        <v>46022</v>
      </c>
      <c r="Q596">
        <v>0</v>
      </c>
      <c r="R596">
        <v>3.3609</v>
      </c>
      <c r="S596" t="s">
        <v>155</v>
      </c>
      <c r="T596">
        <v>3270386.2769160001</v>
      </c>
      <c r="U596" s="5">
        <v>972576.66</v>
      </c>
      <c r="V596" t="s">
        <v>156</v>
      </c>
      <c r="W596">
        <v>0</v>
      </c>
      <c r="X596">
        <v>0</v>
      </c>
      <c r="Y596">
        <v>0</v>
      </c>
      <c r="Z596">
        <v>0</v>
      </c>
      <c r="AA596" t="str">
        <f>+MID(Tabla_Consulta_desde_Reporte_de_Valorización_de_Instrumentos[[#This Row],[CODIGO_SBS]],7,1)</f>
        <v>2</v>
      </c>
      <c r="AB596">
        <f>INDEX('Cálculo Caja'!F:F,MATCH(Tabla_Consulta_desde_Reporte_de_Valorización_de_Instrumentos[[#This Row],[PORTAFOLIO]],'Cálculo Caja'!A:A,0),1)</f>
        <v>3164069580.822104</v>
      </c>
      <c r="AC596" s="17">
        <f>Tabla_Consulta_desde_Reporte_de_Valorización_de_Instrumentos[[#This Row],[VALOR_VECTOR_LOCAL]]/Tabla_Consulta_desde_Reporte_de_Valorización_de_Instrumentos[[#This Row],[Patrimonio]]</f>
        <v>0</v>
      </c>
      <c r="AD596" s="4">
        <f>(Tabla_Consulta_desde_Reporte_de_Valorización_de_Instrumentos[[#This Row],[VALOR_VECTOR_LOCAL]]/INDEX('Tipo de Cambio'!$D:$D,MATCH("2",'Tipo de Cambio'!$E:$E,0),1))/1000000</f>
        <v>0</v>
      </c>
      <c r="AE596">
        <f>IF(Tabla_Consulta_desde_Reporte_de_Valorización_de_Instrumentos[[#This Row],[PORTAFOLIO]]="IN-FONDO0",Tabla_Consulta_desde_Reporte_de_Valorización_de_Instrumentos[[#This Row],[Inv MM$]],0)</f>
        <v>0</v>
      </c>
      <c r="AF596" s="26">
        <f>IF(Tabla_Consulta_desde_Reporte_de_Valorización_de_Instrumentos[[#This Row],[PORTAFOLIO]]="IN-FONDO1",Tabla_Consulta_desde_Reporte_de_Valorización_de_Instrumentos[[#This Row],[Inv MM$]],0)</f>
        <v>0</v>
      </c>
      <c r="AG596" s="26">
        <f>IF(Tabla_Consulta_desde_Reporte_de_Valorización_de_Instrumentos[[#This Row],[PORTAFOLIO]]="IN-FONDO2",Tabla_Consulta_desde_Reporte_de_Valorización_de_Instrumentos[[#This Row],[Inv MM$]],0)</f>
        <v>0</v>
      </c>
      <c r="AH596" s="26">
        <f>IF(Tabla_Consulta_desde_Reporte_de_Valorización_de_Instrumentos[[#This Row],[PORTAFOLIO]]="IN-FONDO3",Tabla_Consulta_desde_Reporte_de_Valorización_de_Instrumentos[[#This Row],[Inv MM$]],0)</f>
        <v>0</v>
      </c>
      <c r="AI59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6" s="26">
        <f>IFERROR(IFERROR(INDEX('BD(MSCI)'!$T:$T,MATCH(Tabla_Consulta_desde_Reporte_de_Valorización_de_Instrumentos[[#This Row],[CODIGO_ISIN]],'BD(MSCI)'!$C:$C,0),1),INDEX('BD(MSCI)'!$T:$T,MATCH(Tabla_Consulta_desde_Reporte_de_Valorización_de_Instrumentos[[#This Row],[CODIGO_SBS]],'BD(MSCI)'!$C:$C,0),1)),0)</f>
        <v>0</v>
      </c>
      <c r="AK596" s="26">
        <f>Tabla_Consulta_desde_Reporte_de_Valorización_de_Instrumentos[[#This Row],[C02-H]]*Tabla_Consulta_desde_Reporte_de_Valorización_de_Instrumentos[[#This Row],[Inv MM$]]</f>
        <v>0</v>
      </c>
      <c r="AL596" s="26">
        <f>Tabla_Consulta_desde_Reporte_de_Valorización_de_Instrumentos[[#This Row],[C02-H]]*Tabla_Consulta_desde_Reporte_de_Valorización_de_Instrumentos[[#This Row],[Weight]]</f>
        <v>0</v>
      </c>
      <c r="AM596" s="26">
        <f>INDEX(Parametria!G:G,MATCH(Tabla_Consulta_desde_Reporte_de_Valorización_de_Instrumentos[[#This Row],[CODIGO_SBS]],Parametria!C:C,0))</f>
        <v>0</v>
      </c>
      <c r="AN596" s="26" t="str">
        <f>INDEX(Parametria!F:F,MATCH(Tabla_Consulta_desde_Reporte_de_Valorización_de_Instrumentos[[#This Row],[CODIGO_SBS]],Parametria!C:C,0))</f>
        <v>Cash</v>
      </c>
      <c r="AO596" s="26" t="str">
        <f>+INDEX(Parametria!J:J,MATCH(Tabla_Consulta_desde_Reporte_de_Valorización_de_Instrumentos[[#This Row],[CODIGO_SBS]],Parametria!C:C,0))</f>
        <v>Cash</v>
      </c>
      <c r="AP596" s="26">
        <f>Tabla_Consulta_desde_Reporte_de_Valorización_de_Instrumentos[[#This Row],[Huella]]/$AU$4</f>
        <v>0</v>
      </c>
      <c r="AQ596" s="26" t="str">
        <f>IFERROR(INDEX('BD(MSCI)'!W:W,MATCH(Tabla_Consulta_desde_Reporte_de_Valorización_de_Instrumentos[[#This Row],[CODIGO_ISIN]],'BD(MSCI)'!C:C,0)),IF(Tabla_Consulta_desde_Reporte_de_Valorización_de_Instrumentos[[#This Row],[Rank_rt]]="Cash","Cash","Cuestionario Integra"))</f>
        <v>Cash</v>
      </c>
      <c r="AR596" s="26" t="str">
        <f>IFERROR(INDEX('BD(MSCI)'!X:X,MATCH(Tabla_Consulta_desde_Reporte_de_Valorización_de_Instrumentos[[#This Row],[CODIGO_ISIN]],'BD(MSCI)'!C:C,0)),"Cuestionario Integra")</f>
        <v>Cuestionario Integra</v>
      </c>
    </row>
    <row r="597" spans="2:44" hidden="1" x14ac:dyDescent="0.25">
      <c r="B597" s="14" t="s">
        <v>6390</v>
      </c>
      <c r="C597" t="s">
        <v>840</v>
      </c>
      <c r="D597" t="s">
        <v>11</v>
      </c>
      <c r="E597" t="s">
        <v>841</v>
      </c>
      <c r="F597" t="s">
        <v>6579</v>
      </c>
      <c r="G597">
        <f>INDEX(Parametria!H:H,MATCH(Tabla_Consulta_desde_Reporte_de_Valorización_de_Instrumentos[[#This Row],[CODIGO_SBS]],Parametria!C:C,0),1)</f>
        <v>0</v>
      </c>
      <c r="H597" t="s">
        <v>90</v>
      </c>
      <c r="I597" t="s">
        <v>842</v>
      </c>
      <c r="J597" t="s">
        <v>4861</v>
      </c>
      <c r="K597" t="s">
        <v>50</v>
      </c>
      <c r="L597">
        <v>1</v>
      </c>
      <c r="M597" s="5">
        <v>0</v>
      </c>
      <c r="N597">
        <v>0</v>
      </c>
      <c r="O597">
        <v>0</v>
      </c>
      <c r="P597" s="15">
        <v>46022</v>
      </c>
      <c r="Q597">
        <v>0</v>
      </c>
      <c r="R597">
        <v>3.3609</v>
      </c>
      <c r="S597" t="s">
        <v>155</v>
      </c>
      <c r="T597">
        <v>336772.66199599998</v>
      </c>
      <c r="U597" s="5">
        <v>100152.46</v>
      </c>
      <c r="V597" t="s">
        <v>156</v>
      </c>
      <c r="W597">
        <v>0</v>
      </c>
      <c r="X597">
        <v>0</v>
      </c>
      <c r="Y597">
        <v>0</v>
      </c>
      <c r="Z597">
        <v>0</v>
      </c>
      <c r="AA597" t="str">
        <f>+MID(Tabla_Consulta_desde_Reporte_de_Valorización_de_Instrumentos[[#This Row],[CODIGO_SBS]],7,1)</f>
        <v>2</v>
      </c>
      <c r="AB597">
        <f>INDEX('Cálculo Caja'!F:F,MATCH(Tabla_Consulta_desde_Reporte_de_Valorización_de_Instrumentos[[#This Row],[PORTAFOLIO]],'Cálculo Caja'!A:A,0),1)</f>
        <v>3164069580.822104</v>
      </c>
      <c r="AC597" s="17">
        <f>Tabla_Consulta_desde_Reporte_de_Valorización_de_Instrumentos[[#This Row],[VALOR_VECTOR_LOCAL]]/Tabla_Consulta_desde_Reporte_de_Valorización_de_Instrumentos[[#This Row],[Patrimonio]]</f>
        <v>0</v>
      </c>
      <c r="AD597" s="4">
        <f>(Tabla_Consulta_desde_Reporte_de_Valorización_de_Instrumentos[[#This Row],[VALOR_VECTOR_LOCAL]]/INDEX('Tipo de Cambio'!$D:$D,MATCH("2",'Tipo de Cambio'!$E:$E,0),1))/1000000</f>
        <v>0</v>
      </c>
      <c r="AE597">
        <f>IF(Tabla_Consulta_desde_Reporte_de_Valorización_de_Instrumentos[[#This Row],[PORTAFOLIO]]="IN-FONDO0",Tabla_Consulta_desde_Reporte_de_Valorización_de_Instrumentos[[#This Row],[Inv MM$]],0)</f>
        <v>0</v>
      </c>
      <c r="AF597" s="26">
        <f>IF(Tabla_Consulta_desde_Reporte_de_Valorización_de_Instrumentos[[#This Row],[PORTAFOLIO]]="IN-FONDO1",Tabla_Consulta_desde_Reporte_de_Valorización_de_Instrumentos[[#This Row],[Inv MM$]],0)</f>
        <v>0</v>
      </c>
      <c r="AG597" s="26">
        <f>IF(Tabla_Consulta_desde_Reporte_de_Valorización_de_Instrumentos[[#This Row],[PORTAFOLIO]]="IN-FONDO2",Tabla_Consulta_desde_Reporte_de_Valorización_de_Instrumentos[[#This Row],[Inv MM$]],0)</f>
        <v>0</v>
      </c>
      <c r="AH597" s="26">
        <f>IF(Tabla_Consulta_desde_Reporte_de_Valorización_de_Instrumentos[[#This Row],[PORTAFOLIO]]="IN-FONDO3",Tabla_Consulta_desde_Reporte_de_Valorización_de_Instrumentos[[#This Row],[Inv MM$]],0)</f>
        <v>0</v>
      </c>
      <c r="AI59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7" s="26">
        <f>IFERROR(IFERROR(INDEX('BD(MSCI)'!$T:$T,MATCH(Tabla_Consulta_desde_Reporte_de_Valorización_de_Instrumentos[[#This Row],[CODIGO_ISIN]],'BD(MSCI)'!$C:$C,0),1),INDEX('BD(MSCI)'!$T:$T,MATCH(Tabla_Consulta_desde_Reporte_de_Valorización_de_Instrumentos[[#This Row],[CODIGO_SBS]],'BD(MSCI)'!$C:$C,0),1)),0)</f>
        <v>0</v>
      </c>
      <c r="AK597" s="26">
        <f>Tabla_Consulta_desde_Reporte_de_Valorización_de_Instrumentos[[#This Row],[C02-H]]*Tabla_Consulta_desde_Reporte_de_Valorización_de_Instrumentos[[#This Row],[Inv MM$]]</f>
        <v>0</v>
      </c>
      <c r="AL597" s="26">
        <f>Tabla_Consulta_desde_Reporte_de_Valorización_de_Instrumentos[[#This Row],[C02-H]]*Tabla_Consulta_desde_Reporte_de_Valorización_de_Instrumentos[[#This Row],[Weight]]</f>
        <v>0</v>
      </c>
      <c r="AM597" s="26">
        <f>INDEX(Parametria!G:G,MATCH(Tabla_Consulta_desde_Reporte_de_Valorización_de_Instrumentos[[#This Row],[CODIGO_SBS]],Parametria!C:C,0))</f>
        <v>0</v>
      </c>
      <c r="AN597" s="26" t="str">
        <f>INDEX(Parametria!F:F,MATCH(Tabla_Consulta_desde_Reporte_de_Valorización_de_Instrumentos[[#This Row],[CODIGO_SBS]],Parametria!C:C,0))</f>
        <v>Cash</v>
      </c>
      <c r="AO597" s="26" t="str">
        <f>+INDEX(Parametria!J:J,MATCH(Tabla_Consulta_desde_Reporte_de_Valorización_de_Instrumentos[[#This Row],[CODIGO_SBS]],Parametria!C:C,0))</f>
        <v>Cash</v>
      </c>
      <c r="AP597" s="26">
        <f>Tabla_Consulta_desde_Reporte_de_Valorización_de_Instrumentos[[#This Row],[Huella]]/$AU$4</f>
        <v>0</v>
      </c>
      <c r="AQ597" s="26" t="str">
        <f>IFERROR(INDEX('BD(MSCI)'!W:W,MATCH(Tabla_Consulta_desde_Reporte_de_Valorización_de_Instrumentos[[#This Row],[CODIGO_ISIN]],'BD(MSCI)'!C:C,0)),IF(Tabla_Consulta_desde_Reporte_de_Valorización_de_Instrumentos[[#This Row],[Rank_rt]]="Cash","Cash","Cuestionario Integra"))</f>
        <v>Cash</v>
      </c>
      <c r="AR597" s="26" t="str">
        <f>IFERROR(INDEX('BD(MSCI)'!X:X,MATCH(Tabla_Consulta_desde_Reporte_de_Valorización_de_Instrumentos[[#This Row],[CODIGO_ISIN]],'BD(MSCI)'!C:C,0)),"Cuestionario Integra")</f>
        <v>Cuestionario Integra</v>
      </c>
    </row>
    <row r="598" spans="2:44" hidden="1" x14ac:dyDescent="0.25">
      <c r="B598" s="14" t="s">
        <v>6390</v>
      </c>
      <c r="C598" t="s">
        <v>840</v>
      </c>
      <c r="D598" t="s">
        <v>11</v>
      </c>
      <c r="E598" t="s">
        <v>841</v>
      </c>
      <c r="F598" t="s">
        <v>6580</v>
      </c>
      <c r="G598">
        <f>INDEX(Parametria!H:H,MATCH(Tabla_Consulta_desde_Reporte_de_Valorización_de_Instrumentos[[#This Row],[CODIGO_SBS]],Parametria!C:C,0),1)</f>
        <v>0</v>
      </c>
      <c r="H598" t="s">
        <v>90</v>
      </c>
      <c r="I598" t="s">
        <v>842</v>
      </c>
      <c r="J598" t="s">
        <v>4652</v>
      </c>
      <c r="K598" t="s">
        <v>50</v>
      </c>
      <c r="L598">
        <v>1</v>
      </c>
      <c r="M598" s="5">
        <v>0</v>
      </c>
      <c r="N598">
        <v>0</v>
      </c>
      <c r="O598">
        <v>0</v>
      </c>
      <c r="P598" s="15">
        <v>46022</v>
      </c>
      <c r="Q598">
        <v>0</v>
      </c>
      <c r="R598">
        <v>3.3609</v>
      </c>
      <c r="S598" t="s">
        <v>155</v>
      </c>
      <c r="T598">
        <v>19300711.401532002</v>
      </c>
      <c r="U598" s="5">
        <v>5739817.8200000003</v>
      </c>
      <c r="V598" t="s">
        <v>156</v>
      </c>
      <c r="W598">
        <v>0</v>
      </c>
      <c r="X598">
        <v>0</v>
      </c>
      <c r="Y598">
        <v>0</v>
      </c>
      <c r="Z598">
        <v>0</v>
      </c>
      <c r="AA598" t="str">
        <f>+MID(Tabla_Consulta_desde_Reporte_de_Valorización_de_Instrumentos[[#This Row],[CODIGO_SBS]],7,1)</f>
        <v>2</v>
      </c>
      <c r="AB598">
        <f>INDEX('Cálculo Caja'!F:F,MATCH(Tabla_Consulta_desde_Reporte_de_Valorización_de_Instrumentos[[#This Row],[PORTAFOLIO]],'Cálculo Caja'!A:A,0),1)</f>
        <v>3164069580.822104</v>
      </c>
      <c r="AC598" s="17">
        <f>Tabla_Consulta_desde_Reporte_de_Valorización_de_Instrumentos[[#This Row],[VALOR_VECTOR_LOCAL]]/Tabla_Consulta_desde_Reporte_de_Valorización_de_Instrumentos[[#This Row],[Patrimonio]]</f>
        <v>0</v>
      </c>
      <c r="AD598" s="4">
        <f>(Tabla_Consulta_desde_Reporte_de_Valorización_de_Instrumentos[[#This Row],[VALOR_VECTOR_LOCAL]]/INDEX('Tipo de Cambio'!$D:$D,MATCH("2",'Tipo de Cambio'!$E:$E,0),1))/1000000</f>
        <v>0</v>
      </c>
      <c r="AE598">
        <f>IF(Tabla_Consulta_desde_Reporte_de_Valorización_de_Instrumentos[[#This Row],[PORTAFOLIO]]="IN-FONDO0",Tabla_Consulta_desde_Reporte_de_Valorización_de_Instrumentos[[#This Row],[Inv MM$]],0)</f>
        <v>0</v>
      </c>
      <c r="AF598" s="26">
        <f>IF(Tabla_Consulta_desde_Reporte_de_Valorización_de_Instrumentos[[#This Row],[PORTAFOLIO]]="IN-FONDO1",Tabla_Consulta_desde_Reporte_de_Valorización_de_Instrumentos[[#This Row],[Inv MM$]],0)</f>
        <v>0</v>
      </c>
      <c r="AG598" s="26">
        <f>IF(Tabla_Consulta_desde_Reporte_de_Valorización_de_Instrumentos[[#This Row],[PORTAFOLIO]]="IN-FONDO2",Tabla_Consulta_desde_Reporte_de_Valorización_de_Instrumentos[[#This Row],[Inv MM$]],0)</f>
        <v>0</v>
      </c>
      <c r="AH598" s="26">
        <f>IF(Tabla_Consulta_desde_Reporte_de_Valorización_de_Instrumentos[[#This Row],[PORTAFOLIO]]="IN-FONDO3",Tabla_Consulta_desde_Reporte_de_Valorización_de_Instrumentos[[#This Row],[Inv MM$]],0)</f>
        <v>0</v>
      </c>
      <c r="AI59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8" s="26">
        <f>IFERROR(IFERROR(INDEX('BD(MSCI)'!$T:$T,MATCH(Tabla_Consulta_desde_Reporte_de_Valorización_de_Instrumentos[[#This Row],[CODIGO_ISIN]],'BD(MSCI)'!$C:$C,0),1),INDEX('BD(MSCI)'!$T:$T,MATCH(Tabla_Consulta_desde_Reporte_de_Valorización_de_Instrumentos[[#This Row],[CODIGO_SBS]],'BD(MSCI)'!$C:$C,0),1)),0)</f>
        <v>0</v>
      </c>
      <c r="AK598" s="26">
        <f>Tabla_Consulta_desde_Reporte_de_Valorización_de_Instrumentos[[#This Row],[C02-H]]*Tabla_Consulta_desde_Reporte_de_Valorización_de_Instrumentos[[#This Row],[Inv MM$]]</f>
        <v>0</v>
      </c>
      <c r="AL598" s="26">
        <f>Tabla_Consulta_desde_Reporte_de_Valorización_de_Instrumentos[[#This Row],[C02-H]]*Tabla_Consulta_desde_Reporte_de_Valorización_de_Instrumentos[[#This Row],[Weight]]</f>
        <v>0</v>
      </c>
      <c r="AM598" s="26">
        <f>INDEX(Parametria!G:G,MATCH(Tabla_Consulta_desde_Reporte_de_Valorización_de_Instrumentos[[#This Row],[CODIGO_SBS]],Parametria!C:C,0))</f>
        <v>0</v>
      </c>
      <c r="AN598" s="26" t="str">
        <f>INDEX(Parametria!F:F,MATCH(Tabla_Consulta_desde_Reporte_de_Valorización_de_Instrumentos[[#This Row],[CODIGO_SBS]],Parametria!C:C,0))</f>
        <v>Cash</v>
      </c>
      <c r="AO598" s="26" t="str">
        <f>+INDEX(Parametria!J:J,MATCH(Tabla_Consulta_desde_Reporte_de_Valorización_de_Instrumentos[[#This Row],[CODIGO_SBS]],Parametria!C:C,0))</f>
        <v>Cash</v>
      </c>
      <c r="AP598" s="26">
        <f>Tabla_Consulta_desde_Reporte_de_Valorización_de_Instrumentos[[#This Row],[Huella]]/$AU$4</f>
        <v>0</v>
      </c>
      <c r="AQ598" s="26" t="str">
        <f>IFERROR(INDEX('BD(MSCI)'!W:W,MATCH(Tabla_Consulta_desde_Reporte_de_Valorización_de_Instrumentos[[#This Row],[CODIGO_ISIN]],'BD(MSCI)'!C:C,0)),IF(Tabla_Consulta_desde_Reporte_de_Valorización_de_Instrumentos[[#This Row],[Rank_rt]]="Cash","Cash","Cuestionario Integra"))</f>
        <v>Cash</v>
      </c>
      <c r="AR598" s="26" t="str">
        <f>IFERROR(INDEX('BD(MSCI)'!X:X,MATCH(Tabla_Consulta_desde_Reporte_de_Valorización_de_Instrumentos[[#This Row],[CODIGO_ISIN]],'BD(MSCI)'!C:C,0)),"Cuestionario Integra")</f>
        <v>Cuestionario Integra</v>
      </c>
    </row>
    <row r="599" spans="2:44" hidden="1" x14ac:dyDescent="0.25">
      <c r="B599" s="14" t="s">
        <v>6390</v>
      </c>
      <c r="C599" t="s">
        <v>840</v>
      </c>
      <c r="D599" t="s">
        <v>12</v>
      </c>
      <c r="E599" t="s">
        <v>841</v>
      </c>
      <c r="F599" t="s">
        <v>6581</v>
      </c>
      <c r="G599">
        <f>INDEX(Parametria!H:H,MATCH(Tabla_Consulta_desde_Reporte_de_Valorización_de_Instrumentos[[#This Row],[CODIGO_SBS]],Parametria!C:C,0),1)</f>
        <v>0</v>
      </c>
      <c r="H599" t="s">
        <v>90</v>
      </c>
      <c r="I599" t="s">
        <v>842</v>
      </c>
      <c r="J599" t="s">
        <v>4861</v>
      </c>
      <c r="K599" t="s">
        <v>50</v>
      </c>
      <c r="L599">
        <v>1</v>
      </c>
      <c r="M599" s="5">
        <v>0</v>
      </c>
      <c r="N599">
        <v>0</v>
      </c>
      <c r="O599">
        <v>0</v>
      </c>
      <c r="P599" s="15">
        <v>46022</v>
      </c>
      <c r="Q599">
        <v>0</v>
      </c>
      <c r="R599">
        <v>3.3609</v>
      </c>
      <c r="S599" t="s">
        <v>155</v>
      </c>
      <c r="T599">
        <v>1480065.9091459999</v>
      </c>
      <c r="U599" s="5">
        <v>440155.21</v>
      </c>
      <c r="V599" t="s">
        <v>156</v>
      </c>
      <c r="W599">
        <v>0</v>
      </c>
      <c r="X599">
        <v>0</v>
      </c>
      <c r="Y599">
        <v>0</v>
      </c>
      <c r="Z599">
        <v>0</v>
      </c>
      <c r="AA599" t="str">
        <f>+MID(Tabla_Consulta_desde_Reporte_de_Valorización_de_Instrumentos[[#This Row],[CODIGO_SBS]],7,1)</f>
        <v>2</v>
      </c>
      <c r="AB599">
        <f>INDEX('Cálculo Caja'!F:F,MATCH(Tabla_Consulta_desde_Reporte_de_Valorización_de_Instrumentos[[#This Row],[PORTAFOLIO]],'Cálculo Caja'!A:A,0),1)</f>
        <v>7679510866.0565634</v>
      </c>
      <c r="AC599" s="17">
        <f>Tabla_Consulta_desde_Reporte_de_Valorización_de_Instrumentos[[#This Row],[VALOR_VECTOR_LOCAL]]/Tabla_Consulta_desde_Reporte_de_Valorización_de_Instrumentos[[#This Row],[Patrimonio]]</f>
        <v>0</v>
      </c>
      <c r="AD599" s="4">
        <f>(Tabla_Consulta_desde_Reporte_de_Valorización_de_Instrumentos[[#This Row],[VALOR_VECTOR_LOCAL]]/INDEX('Tipo de Cambio'!$D:$D,MATCH("2",'Tipo de Cambio'!$E:$E,0),1))/1000000</f>
        <v>0</v>
      </c>
      <c r="AE599">
        <f>IF(Tabla_Consulta_desde_Reporte_de_Valorización_de_Instrumentos[[#This Row],[PORTAFOLIO]]="IN-FONDO0",Tabla_Consulta_desde_Reporte_de_Valorización_de_Instrumentos[[#This Row],[Inv MM$]],0)</f>
        <v>0</v>
      </c>
      <c r="AF599" s="26">
        <f>IF(Tabla_Consulta_desde_Reporte_de_Valorización_de_Instrumentos[[#This Row],[PORTAFOLIO]]="IN-FONDO1",Tabla_Consulta_desde_Reporte_de_Valorización_de_Instrumentos[[#This Row],[Inv MM$]],0)</f>
        <v>0</v>
      </c>
      <c r="AG599" s="26">
        <f>IF(Tabla_Consulta_desde_Reporte_de_Valorización_de_Instrumentos[[#This Row],[PORTAFOLIO]]="IN-FONDO2",Tabla_Consulta_desde_Reporte_de_Valorización_de_Instrumentos[[#This Row],[Inv MM$]],0)</f>
        <v>0</v>
      </c>
      <c r="AH599" s="26">
        <f>IF(Tabla_Consulta_desde_Reporte_de_Valorización_de_Instrumentos[[#This Row],[PORTAFOLIO]]="IN-FONDO3",Tabla_Consulta_desde_Reporte_de_Valorización_de_Instrumentos[[#This Row],[Inv MM$]],0)</f>
        <v>0</v>
      </c>
      <c r="AI59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9" s="26">
        <f>IFERROR(IFERROR(INDEX('BD(MSCI)'!$T:$T,MATCH(Tabla_Consulta_desde_Reporte_de_Valorización_de_Instrumentos[[#This Row],[CODIGO_ISIN]],'BD(MSCI)'!$C:$C,0),1),INDEX('BD(MSCI)'!$T:$T,MATCH(Tabla_Consulta_desde_Reporte_de_Valorización_de_Instrumentos[[#This Row],[CODIGO_SBS]],'BD(MSCI)'!$C:$C,0),1)),0)</f>
        <v>0</v>
      </c>
      <c r="AK599" s="26">
        <f>Tabla_Consulta_desde_Reporte_de_Valorización_de_Instrumentos[[#This Row],[C02-H]]*Tabla_Consulta_desde_Reporte_de_Valorización_de_Instrumentos[[#This Row],[Inv MM$]]</f>
        <v>0</v>
      </c>
      <c r="AL599" s="26">
        <f>Tabla_Consulta_desde_Reporte_de_Valorización_de_Instrumentos[[#This Row],[C02-H]]*Tabla_Consulta_desde_Reporte_de_Valorización_de_Instrumentos[[#This Row],[Weight]]</f>
        <v>0</v>
      </c>
      <c r="AM599" s="26">
        <f>INDEX(Parametria!G:G,MATCH(Tabla_Consulta_desde_Reporte_de_Valorización_de_Instrumentos[[#This Row],[CODIGO_SBS]],Parametria!C:C,0))</f>
        <v>0</v>
      </c>
      <c r="AN599" s="26" t="str">
        <f>INDEX(Parametria!F:F,MATCH(Tabla_Consulta_desde_Reporte_de_Valorización_de_Instrumentos[[#This Row],[CODIGO_SBS]],Parametria!C:C,0))</f>
        <v>Cash</v>
      </c>
      <c r="AO599" s="26" t="str">
        <f>+INDEX(Parametria!J:J,MATCH(Tabla_Consulta_desde_Reporte_de_Valorización_de_Instrumentos[[#This Row],[CODIGO_SBS]],Parametria!C:C,0))</f>
        <v>Cash</v>
      </c>
      <c r="AP599" s="26">
        <f>Tabla_Consulta_desde_Reporte_de_Valorización_de_Instrumentos[[#This Row],[Huella]]/$AU$4</f>
        <v>0</v>
      </c>
      <c r="AQ599" s="26" t="str">
        <f>IFERROR(INDEX('BD(MSCI)'!W:W,MATCH(Tabla_Consulta_desde_Reporte_de_Valorización_de_Instrumentos[[#This Row],[CODIGO_ISIN]],'BD(MSCI)'!C:C,0)),IF(Tabla_Consulta_desde_Reporte_de_Valorización_de_Instrumentos[[#This Row],[Rank_rt]]="Cash","Cash","Cuestionario Integra"))</f>
        <v>Cash</v>
      </c>
      <c r="AR599" s="26" t="str">
        <f>IFERROR(INDEX('BD(MSCI)'!X:X,MATCH(Tabla_Consulta_desde_Reporte_de_Valorización_de_Instrumentos[[#This Row],[CODIGO_ISIN]],'BD(MSCI)'!C:C,0)),"Cuestionario Integra")</f>
        <v>Cuestionario Integra</v>
      </c>
    </row>
    <row r="600" spans="2:44" hidden="1" x14ac:dyDescent="0.25">
      <c r="B600" s="14" t="s">
        <v>6390</v>
      </c>
      <c r="C600" t="s">
        <v>840</v>
      </c>
      <c r="D600" t="s">
        <v>12</v>
      </c>
      <c r="E600" t="s">
        <v>841</v>
      </c>
      <c r="F600" t="s">
        <v>6582</v>
      </c>
      <c r="G600">
        <f>INDEX(Parametria!H:H,MATCH(Tabla_Consulta_desde_Reporte_de_Valorización_de_Instrumentos[[#This Row],[CODIGO_SBS]],Parametria!C:C,0),1)</f>
        <v>0</v>
      </c>
      <c r="H600" t="s">
        <v>90</v>
      </c>
      <c r="I600" t="s">
        <v>842</v>
      </c>
      <c r="J600" t="s">
        <v>4861</v>
      </c>
      <c r="K600" t="s">
        <v>50</v>
      </c>
      <c r="L600">
        <v>1</v>
      </c>
      <c r="M600" s="5">
        <v>0</v>
      </c>
      <c r="N600">
        <v>0</v>
      </c>
      <c r="O600">
        <v>0</v>
      </c>
      <c r="P600" s="15">
        <v>46022</v>
      </c>
      <c r="Q600">
        <v>0</v>
      </c>
      <c r="R600">
        <v>3.3609</v>
      </c>
      <c r="S600" t="s">
        <v>155</v>
      </c>
      <c r="T600">
        <v>8054688.6138939997</v>
      </c>
      <c r="U600" s="5">
        <v>2395375.19</v>
      </c>
      <c r="V600" t="s">
        <v>156</v>
      </c>
      <c r="W600">
        <v>0</v>
      </c>
      <c r="X600">
        <v>0</v>
      </c>
      <c r="Y600">
        <v>0</v>
      </c>
      <c r="Z600">
        <v>0</v>
      </c>
      <c r="AA600" t="str">
        <f>+MID(Tabla_Consulta_desde_Reporte_de_Valorización_de_Instrumentos[[#This Row],[CODIGO_SBS]],7,1)</f>
        <v>2</v>
      </c>
      <c r="AB600">
        <f>INDEX('Cálculo Caja'!F:F,MATCH(Tabla_Consulta_desde_Reporte_de_Valorización_de_Instrumentos[[#This Row],[PORTAFOLIO]],'Cálculo Caja'!A:A,0),1)</f>
        <v>7679510866.0565634</v>
      </c>
      <c r="AC600" s="17">
        <f>Tabla_Consulta_desde_Reporte_de_Valorización_de_Instrumentos[[#This Row],[VALOR_VECTOR_LOCAL]]/Tabla_Consulta_desde_Reporte_de_Valorización_de_Instrumentos[[#This Row],[Patrimonio]]</f>
        <v>0</v>
      </c>
      <c r="AD600" s="4">
        <f>(Tabla_Consulta_desde_Reporte_de_Valorización_de_Instrumentos[[#This Row],[VALOR_VECTOR_LOCAL]]/INDEX('Tipo de Cambio'!$D:$D,MATCH("2",'Tipo de Cambio'!$E:$E,0),1))/1000000</f>
        <v>0</v>
      </c>
      <c r="AE600">
        <f>IF(Tabla_Consulta_desde_Reporte_de_Valorización_de_Instrumentos[[#This Row],[PORTAFOLIO]]="IN-FONDO0",Tabla_Consulta_desde_Reporte_de_Valorización_de_Instrumentos[[#This Row],[Inv MM$]],0)</f>
        <v>0</v>
      </c>
      <c r="AF600" s="26">
        <f>IF(Tabla_Consulta_desde_Reporte_de_Valorización_de_Instrumentos[[#This Row],[PORTAFOLIO]]="IN-FONDO1",Tabla_Consulta_desde_Reporte_de_Valorización_de_Instrumentos[[#This Row],[Inv MM$]],0)</f>
        <v>0</v>
      </c>
      <c r="AG600" s="26">
        <f>IF(Tabla_Consulta_desde_Reporte_de_Valorización_de_Instrumentos[[#This Row],[PORTAFOLIO]]="IN-FONDO2",Tabla_Consulta_desde_Reporte_de_Valorización_de_Instrumentos[[#This Row],[Inv MM$]],0)</f>
        <v>0</v>
      </c>
      <c r="AH600" s="26">
        <f>IF(Tabla_Consulta_desde_Reporte_de_Valorización_de_Instrumentos[[#This Row],[PORTAFOLIO]]="IN-FONDO3",Tabla_Consulta_desde_Reporte_de_Valorización_de_Instrumentos[[#This Row],[Inv MM$]],0)</f>
        <v>0</v>
      </c>
      <c r="AI60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00" s="26">
        <f>IFERROR(IFERROR(INDEX('BD(MSCI)'!$T:$T,MATCH(Tabla_Consulta_desde_Reporte_de_Valorización_de_Instrumentos[[#This Row],[CODIGO_ISIN]],'BD(MSCI)'!$C:$C,0),1),INDEX('BD(MSCI)'!$T:$T,MATCH(Tabla_Consulta_desde_Reporte_de_Valorización_de_Instrumentos[[#This Row],[CODIGO_SBS]],'BD(MSCI)'!$C:$C,0),1)),0)</f>
        <v>0</v>
      </c>
      <c r="AK600" s="26">
        <f>Tabla_Consulta_desde_Reporte_de_Valorización_de_Instrumentos[[#This Row],[C02-H]]*Tabla_Consulta_desde_Reporte_de_Valorización_de_Instrumentos[[#This Row],[Inv MM$]]</f>
        <v>0</v>
      </c>
      <c r="AL600" s="26">
        <f>Tabla_Consulta_desde_Reporte_de_Valorización_de_Instrumentos[[#This Row],[C02-H]]*Tabla_Consulta_desde_Reporte_de_Valorización_de_Instrumentos[[#This Row],[Weight]]</f>
        <v>0</v>
      </c>
      <c r="AM600" s="26">
        <f>INDEX(Parametria!G:G,MATCH(Tabla_Consulta_desde_Reporte_de_Valorización_de_Instrumentos[[#This Row],[CODIGO_SBS]],Parametria!C:C,0))</f>
        <v>0</v>
      </c>
      <c r="AN600" s="26" t="str">
        <f>INDEX(Parametria!F:F,MATCH(Tabla_Consulta_desde_Reporte_de_Valorización_de_Instrumentos[[#This Row],[CODIGO_SBS]],Parametria!C:C,0))</f>
        <v>Cash</v>
      </c>
      <c r="AO600" s="26" t="str">
        <f>+INDEX(Parametria!J:J,MATCH(Tabla_Consulta_desde_Reporte_de_Valorización_de_Instrumentos[[#This Row],[CODIGO_SBS]],Parametria!C:C,0))</f>
        <v>Cash</v>
      </c>
      <c r="AP600" s="26">
        <f>Tabla_Consulta_desde_Reporte_de_Valorización_de_Instrumentos[[#This Row],[Huella]]/$AU$4</f>
        <v>0</v>
      </c>
      <c r="AQ600" s="26" t="str">
        <f>IFERROR(INDEX('BD(MSCI)'!W:W,MATCH(Tabla_Consulta_desde_Reporte_de_Valorización_de_Instrumentos[[#This Row],[CODIGO_ISIN]],'BD(MSCI)'!C:C,0)),IF(Tabla_Consulta_desde_Reporte_de_Valorización_de_Instrumentos[[#This Row],[Rank_rt]]="Cash","Cash","Cuestionario Integra"))</f>
        <v>Cash</v>
      </c>
      <c r="AR600" s="26" t="str">
        <f>IFERROR(INDEX('BD(MSCI)'!X:X,MATCH(Tabla_Consulta_desde_Reporte_de_Valorización_de_Instrumentos[[#This Row],[CODIGO_ISIN]],'BD(MSCI)'!C:C,0)),"Cuestionario Integra")</f>
        <v>Cuestionario Integra</v>
      </c>
    </row>
    <row r="601" spans="2:44" hidden="1" x14ac:dyDescent="0.25">
      <c r="B601" s="14" t="s">
        <v>6390</v>
      </c>
      <c r="C601" t="s">
        <v>840</v>
      </c>
      <c r="D601" t="s">
        <v>12</v>
      </c>
      <c r="E601" t="s">
        <v>841</v>
      </c>
      <c r="F601" t="s">
        <v>6583</v>
      </c>
      <c r="G601">
        <f>INDEX(Parametria!H:H,MATCH(Tabla_Consulta_desde_Reporte_de_Valorización_de_Instrumentos[[#This Row],[CODIGO_SBS]],Parametria!C:C,0),1)</f>
        <v>0</v>
      </c>
      <c r="H601" t="s">
        <v>90</v>
      </c>
      <c r="I601" t="s">
        <v>842</v>
      </c>
      <c r="J601" t="s">
        <v>4652</v>
      </c>
      <c r="K601" t="s">
        <v>50</v>
      </c>
      <c r="L601">
        <v>1</v>
      </c>
      <c r="M601" s="5">
        <v>0</v>
      </c>
      <c r="N601">
        <v>0</v>
      </c>
      <c r="O601">
        <v>0</v>
      </c>
      <c r="P601" s="15">
        <v>46022</v>
      </c>
      <c r="Q601">
        <v>0</v>
      </c>
      <c r="R601">
        <v>3.3609</v>
      </c>
      <c r="S601" t="s">
        <v>155</v>
      </c>
      <c r="T601">
        <v>2633037.6269979998</v>
      </c>
      <c r="U601" s="5">
        <v>783036.23</v>
      </c>
      <c r="V601" t="s">
        <v>156</v>
      </c>
      <c r="W601">
        <v>0</v>
      </c>
      <c r="X601">
        <v>0</v>
      </c>
      <c r="Y601">
        <v>0</v>
      </c>
      <c r="Z601">
        <v>0</v>
      </c>
      <c r="AA601" t="str">
        <f>+MID(Tabla_Consulta_desde_Reporte_de_Valorización_de_Instrumentos[[#This Row],[CODIGO_SBS]],7,1)</f>
        <v>2</v>
      </c>
      <c r="AB601">
        <f>INDEX('Cálculo Caja'!F:F,MATCH(Tabla_Consulta_desde_Reporte_de_Valorización_de_Instrumentos[[#This Row],[PORTAFOLIO]],'Cálculo Caja'!A:A,0),1)</f>
        <v>7679510866.0565634</v>
      </c>
      <c r="AC601" s="17">
        <f>Tabla_Consulta_desde_Reporte_de_Valorización_de_Instrumentos[[#This Row],[VALOR_VECTOR_LOCAL]]/Tabla_Consulta_desde_Reporte_de_Valorización_de_Instrumentos[[#This Row],[Patrimonio]]</f>
        <v>0</v>
      </c>
      <c r="AD601" s="4">
        <f>(Tabla_Consulta_desde_Reporte_de_Valorización_de_Instrumentos[[#This Row],[VALOR_VECTOR_LOCAL]]/INDEX('Tipo de Cambio'!$D:$D,MATCH("2",'Tipo de Cambio'!$E:$E,0),1))/1000000</f>
        <v>0</v>
      </c>
      <c r="AE601">
        <f>IF(Tabla_Consulta_desde_Reporte_de_Valorización_de_Instrumentos[[#This Row],[PORTAFOLIO]]="IN-FONDO0",Tabla_Consulta_desde_Reporte_de_Valorización_de_Instrumentos[[#This Row],[Inv MM$]],0)</f>
        <v>0</v>
      </c>
      <c r="AF601" s="26">
        <f>IF(Tabla_Consulta_desde_Reporte_de_Valorización_de_Instrumentos[[#This Row],[PORTAFOLIO]]="IN-FONDO1",Tabla_Consulta_desde_Reporte_de_Valorización_de_Instrumentos[[#This Row],[Inv MM$]],0)</f>
        <v>0</v>
      </c>
      <c r="AG601" s="26">
        <f>IF(Tabla_Consulta_desde_Reporte_de_Valorización_de_Instrumentos[[#This Row],[PORTAFOLIO]]="IN-FONDO2",Tabla_Consulta_desde_Reporte_de_Valorización_de_Instrumentos[[#This Row],[Inv MM$]],0)</f>
        <v>0</v>
      </c>
      <c r="AH601" s="26">
        <f>IF(Tabla_Consulta_desde_Reporte_de_Valorización_de_Instrumentos[[#This Row],[PORTAFOLIO]]="IN-FONDO3",Tabla_Consulta_desde_Reporte_de_Valorización_de_Instrumentos[[#This Row],[Inv MM$]],0)</f>
        <v>0</v>
      </c>
      <c r="AI60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01" s="26">
        <f>IFERROR(IFERROR(INDEX('BD(MSCI)'!$T:$T,MATCH(Tabla_Consulta_desde_Reporte_de_Valorización_de_Instrumentos[[#This Row],[CODIGO_ISIN]],'BD(MSCI)'!$C:$C,0),1),INDEX('BD(MSCI)'!$T:$T,MATCH(Tabla_Consulta_desde_Reporte_de_Valorización_de_Instrumentos[[#This Row],[CODIGO_SBS]],'BD(MSCI)'!$C:$C,0),1)),0)</f>
        <v>0</v>
      </c>
      <c r="AK601" s="26">
        <f>Tabla_Consulta_desde_Reporte_de_Valorización_de_Instrumentos[[#This Row],[C02-H]]*Tabla_Consulta_desde_Reporte_de_Valorización_de_Instrumentos[[#This Row],[Inv MM$]]</f>
        <v>0</v>
      </c>
      <c r="AL601" s="26">
        <f>Tabla_Consulta_desde_Reporte_de_Valorización_de_Instrumentos[[#This Row],[C02-H]]*Tabla_Consulta_desde_Reporte_de_Valorización_de_Instrumentos[[#This Row],[Weight]]</f>
        <v>0</v>
      </c>
      <c r="AM601" s="26">
        <f>INDEX(Parametria!G:G,MATCH(Tabla_Consulta_desde_Reporte_de_Valorización_de_Instrumentos[[#This Row],[CODIGO_SBS]],Parametria!C:C,0))</f>
        <v>0</v>
      </c>
      <c r="AN601" s="26" t="str">
        <f>INDEX(Parametria!F:F,MATCH(Tabla_Consulta_desde_Reporte_de_Valorización_de_Instrumentos[[#This Row],[CODIGO_SBS]],Parametria!C:C,0))</f>
        <v>Cash</v>
      </c>
      <c r="AO601" s="26" t="str">
        <f>+INDEX(Parametria!J:J,MATCH(Tabla_Consulta_desde_Reporte_de_Valorización_de_Instrumentos[[#This Row],[CODIGO_SBS]],Parametria!C:C,0))</f>
        <v>Cash</v>
      </c>
      <c r="AP601" s="26">
        <f>Tabla_Consulta_desde_Reporte_de_Valorización_de_Instrumentos[[#This Row],[Huella]]/$AU$4</f>
        <v>0</v>
      </c>
      <c r="AQ601" s="26" t="str">
        <f>IFERROR(INDEX('BD(MSCI)'!W:W,MATCH(Tabla_Consulta_desde_Reporte_de_Valorización_de_Instrumentos[[#This Row],[CODIGO_ISIN]],'BD(MSCI)'!C:C,0)),IF(Tabla_Consulta_desde_Reporte_de_Valorización_de_Instrumentos[[#This Row],[Rank_rt]]="Cash","Cash","Cuestionario Integra"))</f>
        <v>Cash</v>
      </c>
      <c r="AR601" s="26" t="str">
        <f>IFERROR(INDEX('BD(MSCI)'!X:X,MATCH(Tabla_Consulta_desde_Reporte_de_Valorización_de_Instrumentos[[#This Row],[CODIGO_ISIN]],'BD(MSCI)'!C:C,0)),"Cuestionario Integra")</f>
        <v>Cuestionario Integra</v>
      </c>
    </row>
    <row r="602" spans="2:44" hidden="1" x14ac:dyDescent="0.25">
      <c r="B602" s="14" t="s">
        <v>6390</v>
      </c>
      <c r="C602" t="s">
        <v>840</v>
      </c>
      <c r="D602" t="s">
        <v>12</v>
      </c>
      <c r="E602" t="s">
        <v>841</v>
      </c>
      <c r="F602" t="s">
        <v>6584</v>
      </c>
      <c r="G602">
        <f>INDEX(Parametria!H:H,MATCH(Tabla_Consulta_desde_Reporte_de_Valorización_de_Instrumentos[[#This Row],[CODIGO_SBS]],Parametria!C:C,0),1)</f>
        <v>0</v>
      </c>
      <c r="H602" t="s">
        <v>90</v>
      </c>
      <c r="I602" t="s">
        <v>842</v>
      </c>
      <c r="J602" t="s">
        <v>4652</v>
      </c>
      <c r="K602" t="s">
        <v>50</v>
      </c>
      <c r="L602">
        <v>1</v>
      </c>
      <c r="M602" s="5">
        <v>0</v>
      </c>
      <c r="N602">
        <v>0</v>
      </c>
      <c r="O602">
        <v>0</v>
      </c>
      <c r="P602" s="15">
        <v>46022</v>
      </c>
      <c r="Q602">
        <v>0</v>
      </c>
      <c r="R602">
        <v>3.3609</v>
      </c>
      <c r="S602" t="s">
        <v>155</v>
      </c>
      <c r="T602">
        <v>13135313.485176001</v>
      </c>
      <c r="U602" s="5">
        <v>3906296.76</v>
      </c>
      <c r="V602" t="s">
        <v>156</v>
      </c>
      <c r="W602">
        <v>0</v>
      </c>
      <c r="X602">
        <v>0</v>
      </c>
      <c r="Y602">
        <v>0</v>
      </c>
      <c r="Z602">
        <v>0</v>
      </c>
      <c r="AA602" t="str">
        <f>+MID(Tabla_Consulta_desde_Reporte_de_Valorización_de_Instrumentos[[#This Row],[CODIGO_SBS]],7,1)</f>
        <v>2</v>
      </c>
      <c r="AB602">
        <f>INDEX('Cálculo Caja'!F:F,MATCH(Tabla_Consulta_desde_Reporte_de_Valorización_de_Instrumentos[[#This Row],[PORTAFOLIO]],'Cálculo Caja'!A:A,0),1)</f>
        <v>7679510866.0565634</v>
      </c>
      <c r="AC602" s="17">
        <f>Tabla_Consulta_desde_Reporte_de_Valorización_de_Instrumentos[[#This Row],[VALOR_VECTOR_LOCAL]]/Tabla_Consulta_desde_Reporte_de_Valorización_de_Instrumentos[[#This Row],[Patrimonio]]</f>
        <v>0</v>
      </c>
      <c r="AD602" s="4">
        <f>(Tabla_Consulta_desde_Reporte_de_Valorización_de_Instrumentos[[#This Row],[VALOR_VECTOR_LOCAL]]/INDEX('Tipo de Cambio'!$D:$D,MATCH("2",'Tipo de Cambio'!$E:$E,0),1))/1000000</f>
        <v>0</v>
      </c>
      <c r="AE602">
        <f>IF(Tabla_Consulta_desde_Reporte_de_Valorización_de_Instrumentos[[#This Row],[PORTAFOLIO]]="IN-FONDO0",Tabla_Consulta_desde_Reporte_de_Valorización_de_Instrumentos[[#This Row],[Inv MM$]],0)</f>
        <v>0</v>
      </c>
      <c r="AF602" s="26">
        <f>IF(Tabla_Consulta_desde_Reporte_de_Valorización_de_Instrumentos[[#This Row],[PORTAFOLIO]]="IN-FONDO1",Tabla_Consulta_desde_Reporte_de_Valorización_de_Instrumentos[[#This Row],[Inv MM$]],0)</f>
        <v>0</v>
      </c>
      <c r="AG602" s="26">
        <f>IF(Tabla_Consulta_desde_Reporte_de_Valorización_de_Instrumentos[[#This Row],[PORTAFOLIO]]="IN-FONDO2",Tabla_Consulta_desde_Reporte_de_Valorización_de_Instrumentos[[#This Row],[Inv MM$]],0)</f>
        <v>0</v>
      </c>
      <c r="AH602" s="26">
        <f>IF(Tabla_Consulta_desde_Reporte_de_Valorización_de_Instrumentos[[#This Row],[PORTAFOLIO]]="IN-FONDO3",Tabla_Consulta_desde_Reporte_de_Valorización_de_Instrumentos[[#This Row],[Inv MM$]],0)</f>
        <v>0</v>
      </c>
      <c r="AI60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02" s="26">
        <f>IFERROR(IFERROR(INDEX('BD(MSCI)'!$T:$T,MATCH(Tabla_Consulta_desde_Reporte_de_Valorización_de_Instrumentos[[#This Row],[CODIGO_ISIN]],'BD(MSCI)'!$C:$C,0),1),INDEX('BD(MSCI)'!$T:$T,MATCH(Tabla_Consulta_desde_Reporte_de_Valorización_de_Instrumentos[[#This Row],[CODIGO_SBS]],'BD(MSCI)'!$C:$C,0),1)),0)</f>
        <v>0</v>
      </c>
      <c r="AK602" s="26">
        <f>Tabla_Consulta_desde_Reporte_de_Valorización_de_Instrumentos[[#This Row],[C02-H]]*Tabla_Consulta_desde_Reporte_de_Valorización_de_Instrumentos[[#This Row],[Inv MM$]]</f>
        <v>0</v>
      </c>
      <c r="AL602" s="26">
        <f>Tabla_Consulta_desde_Reporte_de_Valorización_de_Instrumentos[[#This Row],[C02-H]]*Tabla_Consulta_desde_Reporte_de_Valorización_de_Instrumentos[[#This Row],[Weight]]</f>
        <v>0</v>
      </c>
      <c r="AM602" s="26">
        <f>INDEX(Parametria!G:G,MATCH(Tabla_Consulta_desde_Reporte_de_Valorización_de_Instrumentos[[#This Row],[CODIGO_SBS]],Parametria!C:C,0))</f>
        <v>0</v>
      </c>
      <c r="AN602" s="26" t="str">
        <f>INDEX(Parametria!F:F,MATCH(Tabla_Consulta_desde_Reporte_de_Valorización_de_Instrumentos[[#This Row],[CODIGO_SBS]],Parametria!C:C,0))</f>
        <v>Cash</v>
      </c>
      <c r="AO602" s="26" t="str">
        <f>+INDEX(Parametria!J:J,MATCH(Tabla_Consulta_desde_Reporte_de_Valorización_de_Instrumentos[[#This Row],[CODIGO_SBS]],Parametria!C:C,0))</f>
        <v>Cash</v>
      </c>
      <c r="AP602" s="26">
        <f>Tabla_Consulta_desde_Reporte_de_Valorización_de_Instrumentos[[#This Row],[Huella]]/$AU$4</f>
        <v>0</v>
      </c>
      <c r="AQ602" s="26" t="str">
        <f>IFERROR(INDEX('BD(MSCI)'!W:W,MATCH(Tabla_Consulta_desde_Reporte_de_Valorización_de_Instrumentos[[#This Row],[CODIGO_ISIN]],'BD(MSCI)'!C:C,0)),IF(Tabla_Consulta_desde_Reporte_de_Valorización_de_Instrumentos[[#This Row],[Rank_rt]]="Cash","Cash","Cuestionario Integra"))</f>
        <v>Cash</v>
      </c>
      <c r="AR602" s="26" t="str">
        <f>IFERROR(INDEX('BD(MSCI)'!X:X,MATCH(Tabla_Consulta_desde_Reporte_de_Valorización_de_Instrumentos[[#This Row],[CODIGO_ISIN]],'BD(MSCI)'!C:C,0)),"Cuestionario Integra")</f>
        <v>Cuestionario Integra</v>
      </c>
    </row>
    <row r="603" spans="2:44" hidden="1" x14ac:dyDescent="0.25">
      <c r="B603" s="14" t="s">
        <v>6390</v>
      </c>
      <c r="C603" t="s">
        <v>840</v>
      </c>
      <c r="D603" t="s">
        <v>12</v>
      </c>
      <c r="E603" t="s">
        <v>841</v>
      </c>
      <c r="F603" t="s">
        <v>6585</v>
      </c>
      <c r="G603">
        <f>INDEX(Parametria!H:H,MATCH(Tabla_Consulta_desde_Reporte_de_Valorización_de_Instrumentos[[#This Row],[CODIGO_SBS]],Parametria!C:C,0),1)</f>
        <v>0</v>
      </c>
      <c r="H603" t="s">
        <v>90</v>
      </c>
      <c r="I603" t="s">
        <v>842</v>
      </c>
      <c r="J603" t="s">
        <v>4652</v>
      </c>
      <c r="K603" t="s">
        <v>50</v>
      </c>
      <c r="L603">
        <v>1</v>
      </c>
      <c r="M603" s="5">
        <v>0</v>
      </c>
      <c r="N603">
        <v>0</v>
      </c>
      <c r="O603">
        <v>0</v>
      </c>
      <c r="P603" s="15">
        <v>46022</v>
      </c>
      <c r="Q603">
        <v>0</v>
      </c>
      <c r="R603">
        <v>3.3609</v>
      </c>
      <c r="S603" t="s">
        <v>155</v>
      </c>
      <c r="T603">
        <v>31454325.720311999</v>
      </c>
      <c r="U603" s="5">
        <v>9354168.1199999992</v>
      </c>
      <c r="V603" t="s">
        <v>156</v>
      </c>
      <c r="W603">
        <v>0</v>
      </c>
      <c r="X603">
        <v>0</v>
      </c>
      <c r="Y603">
        <v>0</v>
      </c>
      <c r="Z603">
        <v>0</v>
      </c>
      <c r="AA603" t="str">
        <f>+MID(Tabla_Consulta_desde_Reporte_de_Valorización_de_Instrumentos[[#This Row],[CODIGO_SBS]],7,1)</f>
        <v>2</v>
      </c>
      <c r="AB603">
        <f>INDEX('Cálculo Caja'!F:F,MATCH(Tabla_Consulta_desde_Reporte_de_Valorización_de_Instrumentos[[#This Row],[PORTAFOLIO]],'Cálculo Caja'!A:A,0),1)</f>
        <v>7679510866.0565634</v>
      </c>
      <c r="AC603" s="17">
        <f>Tabla_Consulta_desde_Reporte_de_Valorización_de_Instrumentos[[#This Row],[VALOR_VECTOR_LOCAL]]/Tabla_Consulta_desde_Reporte_de_Valorización_de_Instrumentos[[#This Row],[Patrimonio]]</f>
        <v>0</v>
      </c>
      <c r="AD603" s="4">
        <f>(Tabla_Consulta_desde_Reporte_de_Valorización_de_Instrumentos[[#This Row],[VALOR_VECTOR_LOCAL]]/INDEX('Tipo de Cambio'!$D:$D,MATCH("2",'Tipo de Cambio'!$E:$E,0),1))/1000000</f>
        <v>0</v>
      </c>
      <c r="AE603">
        <f>IF(Tabla_Consulta_desde_Reporte_de_Valorización_de_Instrumentos[[#This Row],[PORTAFOLIO]]="IN-FONDO0",Tabla_Consulta_desde_Reporte_de_Valorización_de_Instrumentos[[#This Row],[Inv MM$]],0)</f>
        <v>0</v>
      </c>
      <c r="AF603" s="26">
        <f>IF(Tabla_Consulta_desde_Reporte_de_Valorización_de_Instrumentos[[#This Row],[PORTAFOLIO]]="IN-FONDO1",Tabla_Consulta_desde_Reporte_de_Valorización_de_Instrumentos[[#This Row],[Inv MM$]],0)</f>
        <v>0</v>
      </c>
      <c r="AG603" s="26">
        <f>IF(Tabla_Consulta_desde_Reporte_de_Valorización_de_Instrumentos[[#This Row],[PORTAFOLIO]]="IN-FONDO2",Tabla_Consulta_desde_Reporte_de_Valorización_de_Instrumentos[[#This Row],[Inv MM$]],0)</f>
        <v>0</v>
      </c>
      <c r="AH603" s="26">
        <f>IF(Tabla_Consulta_desde_Reporte_de_Valorización_de_Instrumentos[[#This Row],[PORTAFOLIO]]="IN-FONDO3",Tabla_Consulta_desde_Reporte_de_Valorización_de_Instrumentos[[#This Row],[Inv MM$]],0)</f>
        <v>0</v>
      </c>
      <c r="AI60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03" s="26">
        <f>IFERROR(IFERROR(INDEX('BD(MSCI)'!$T:$T,MATCH(Tabla_Consulta_desde_Reporte_de_Valorización_de_Instrumentos[[#This Row],[CODIGO_ISIN]],'BD(MSCI)'!$C:$C,0),1),INDEX('BD(MSCI)'!$T:$T,MATCH(Tabla_Consulta_desde_Reporte_de_Valorización_de_Instrumentos[[#This Row],[CODIGO_SBS]],'BD(MSCI)'!$C:$C,0),1)),0)</f>
        <v>0</v>
      </c>
      <c r="AK603" s="26">
        <f>Tabla_Consulta_desde_Reporte_de_Valorización_de_Instrumentos[[#This Row],[C02-H]]*Tabla_Consulta_desde_Reporte_de_Valorización_de_Instrumentos[[#This Row],[Inv MM$]]</f>
        <v>0</v>
      </c>
      <c r="AL603" s="26">
        <f>Tabla_Consulta_desde_Reporte_de_Valorización_de_Instrumentos[[#This Row],[C02-H]]*Tabla_Consulta_desde_Reporte_de_Valorización_de_Instrumentos[[#This Row],[Weight]]</f>
        <v>0</v>
      </c>
      <c r="AM603" s="26">
        <f>INDEX(Parametria!G:G,MATCH(Tabla_Consulta_desde_Reporte_de_Valorización_de_Instrumentos[[#This Row],[CODIGO_SBS]],Parametria!C:C,0))</f>
        <v>0</v>
      </c>
      <c r="AN603" s="26" t="str">
        <f>INDEX(Parametria!F:F,MATCH(Tabla_Consulta_desde_Reporte_de_Valorización_de_Instrumentos[[#This Row],[CODIGO_SBS]],Parametria!C:C,0))</f>
        <v>Cash</v>
      </c>
      <c r="AO603" s="26" t="str">
        <f>+INDEX(Parametria!J:J,MATCH(Tabla_Consulta_desde_Reporte_de_Valorización_de_Instrumentos[[#This Row],[CODIGO_SBS]],Parametria!C:C,0))</f>
        <v>Cash</v>
      </c>
      <c r="AP603" s="26">
        <f>Tabla_Consulta_desde_Reporte_de_Valorización_de_Instrumentos[[#This Row],[Huella]]/$AU$4</f>
        <v>0</v>
      </c>
      <c r="AQ603" s="26" t="str">
        <f>IFERROR(INDEX('BD(MSCI)'!W:W,MATCH(Tabla_Consulta_desde_Reporte_de_Valorización_de_Instrumentos[[#This Row],[CODIGO_ISIN]],'BD(MSCI)'!C:C,0)),IF(Tabla_Consulta_desde_Reporte_de_Valorización_de_Instrumentos[[#This Row],[Rank_rt]]="Cash","Cash","Cuestionario Integra"))</f>
        <v>Cash</v>
      </c>
      <c r="AR603" s="26" t="str">
        <f>IFERROR(INDEX('BD(MSCI)'!X:X,MATCH(Tabla_Consulta_desde_Reporte_de_Valorización_de_Instrumentos[[#This Row],[CODIGO_ISIN]],'BD(MSCI)'!C:C,0)),"Cuestionario Integra")</f>
        <v>Cuestionario Integra</v>
      </c>
    </row>
    <row r="604" spans="2:44" hidden="1" x14ac:dyDescent="0.25">
      <c r="B604" s="14" t="s">
        <v>6390</v>
      </c>
      <c r="C604" t="s">
        <v>840</v>
      </c>
      <c r="D604" t="s">
        <v>12</v>
      </c>
      <c r="E604" t="s">
        <v>841</v>
      </c>
      <c r="F604" t="s">
        <v>6586</v>
      </c>
      <c r="G604">
        <f>INDEX(Parametria!H:H,MATCH(Tabla_Consulta_desde_Reporte_de_Valorización_de_Instrumentos[[#This Row],[CODIGO_SBS]],Parametria!C:C,0),1)</f>
        <v>0</v>
      </c>
      <c r="H604" t="s">
        <v>90</v>
      </c>
      <c r="I604" t="s">
        <v>842</v>
      </c>
      <c r="J604" t="s">
        <v>5903</v>
      </c>
      <c r="K604" t="s">
        <v>50</v>
      </c>
      <c r="L604">
        <v>1</v>
      </c>
      <c r="M604" s="5">
        <v>0</v>
      </c>
      <c r="N604">
        <v>0</v>
      </c>
      <c r="O604">
        <v>0</v>
      </c>
      <c r="P604" s="15">
        <v>46022</v>
      </c>
      <c r="Q604">
        <v>0</v>
      </c>
      <c r="R604">
        <v>3.3609</v>
      </c>
      <c r="S604" t="s">
        <v>155</v>
      </c>
      <c r="T604">
        <v>69397285.939927995</v>
      </c>
      <c r="U604" s="5">
        <v>20637984.280000001</v>
      </c>
      <c r="V604" t="s">
        <v>156</v>
      </c>
      <c r="W604">
        <v>0</v>
      </c>
      <c r="X604">
        <v>0</v>
      </c>
      <c r="Y604">
        <v>0</v>
      </c>
      <c r="Z604">
        <v>0</v>
      </c>
      <c r="AA604" t="str">
        <f>+MID(Tabla_Consulta_desde_Reporte_de_Valorización_de_Instrumentos[[#This Row],[CODIGO_SBS]],7,1)</f>
        <v>2</v>
      </c>
      <c r="AB604">
        <f>INDEX('Cálculo Caja'!F:F,MATCH(Tabla_Consulta_desde_Reporte_de_Valorización_de_Instrumentos[[#This Row],[PORTAFOLIO]],'Cálculo Caja'!A:A,0),1)</f>
        <v>7679510866.0565634</v>
      </c>
      <c r="AC604" s="17">
        <f>Tabla_Consulta_desde_Reporte_de_Valorización_de_Instrumentos[[#This Row],[VALOR_VECTOR_LOCAL]]/Tabla_Consulta_desde_Reporte_de_Valorización_de_Instrumentos[[#This Row],[Patrimonio]]</f>
        <v>0</v>
      </c>
      <c r="AD604" s="4">
        <f>(Tabla_Consulta_desde_Reporte_de_Valorización_de_Instrumentos[[#This Row],[VALOR_VECTOR_LOCAL]]/INDEX('Tipo de Cambio'!$D:$D,MATCH("2",'Tipo de Cambio'!$E:$E,0),1))/1000000</f>
        <v>0</v>
      </c>
      <c r="AE604">
        <f>IF(Tabla_Consulta_desde_Reporte_de_Valorización_de_Instrumentos[[#This Row],[PORTAFOLIO]]="IN-FONDO0",Tabla_Consulta_desde_Reporte_de_Valorización_de_Instrumentos[[#This Row],[Inv MM$]],0)</f>
        <v>0</v>
      </c>
      <c r="AF604" s="26">
        <f>IF(Tabla_Consulta_desde_Reporte_de_Valorización_de_Instrumentos[[#This Row],[PORTAFOLIO]]="IN-FONDO1",Tabla_Consulta_desde_Reporte_de_Valorización_de_Instrumentos[[#This Row],[Inv MM$]],0)</f>
        <v>0</v>
      </c>
      <c r="AG604" s="26">
        <f>IF(Tabla_Consulta_desde_Reporte_de_Valorización_de_Instrumentos[[#This Row],[PORTAFOLIO]]="IN-FONDO2",Tabla_Consulta_desde_Reporte_de_Valorización_de_Instrumentos[[#This Row],[Inv MM$]],0)</f>
        <v>0</v>
      </c>
      <c r="AH604" s="26">
        <f>IF(Tabla_Consulta_desde_Reporte_de_Valorización_de_Instrumentos[[#This Row],[PORTAFOLIO]]="IN-FONDO3",Tabla_Consulta_desde_Reporte_de_Valorización_de_Instrumentos[[#This Row],[Inv MM$]],0)</f>
        <v>0</v>
      </c>
      <c r="AI60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04" s="26">
        <f>IFERROR(IFERROR(INDEX('BD(MSCI)'!$T:$T,MATCH(Tabla_Consulta_desde_Reporte_de_Valorización_de_Instrumentos[[#This Row],[CODIGO_ISIN]],'BD(MSCI)'!$C:$C,0),1),INDEX('BD(MSCI)'!$T:$T,MATCH(Tabla_Consulta_desde_Reporte_de_Valorización_de_Instrumentos[[#This Row],[CODIGO_SBS]],'BD(MSCI)'!$C:$C,0),1)),0)</f>
        <v>0</v>
      </c>
      <c r="AK604" s="26">
        <f>Tabla_Consulta_desde_Reporte_de_Valorización_de_Instrumentos[[#This Row],[C02-H]]*Tabla_Consulta_desde_Reporte_de_Valorización_de_Instrumentos[[#This Row],[Inv MM$]]</f>
        <v>0</v>
      </c>
      <c r="AL604" s="26">
        <f>Tabla_Consulta_desde_Reporte_de_Valorización_de_Instrumentos[[#This Row],[C02-H]]*Tabla_Consulta_desde_Reporte_de_Valorización_de_Instrumentos[[#This Row],[Weight]]</f>
        <v>0</v>
      </c>
      <c r="AM604" s="26">
        <f>INDEX(Parametria!G:G,MATCH(Tabla_Consulta_desde_Reporte_de_Valorización_de_Instrumentos[[#This Row],[CODIGO_SBS]],Parametria!C:C,0))</f>
        <v>0</v>
      </c>
      <c r="AN604" s="26" t="str">
        <f>INDEX(Parametria!F:F,MATCH(Tabla_Consulta_desde_Reporte_de_Valorización_de_Instrumentos[[#This Row],[CODIGO_SBS]],Parametria!C:C,0))</f>
        <v>Cash</v>
      </c>
      <c r="AO604" s="26" t="str">
        <f>+INDEX(Parametria!J:J,MATCH(Tabla_Consulta_desde_Reporte_de_Valorización_de_Instrumentos[[#This Row],[CODIGO_SBS]],Parametria!C:C,0))</f>
        <v>Cash</v>
      </c>
      <c r="AP604" s="26">
        <f>Tabla_Consulta_desde_Reporte_de_Valorización_de_Instrumentos[[#This Row],[Huella]]/$AU$4</f>
        <v>0</v>
      </c>
      <c r="AQ604" s="26" t="str">
        <f>IFERROR(INDEX('BD(MSCI)'!W:W,MATCH(Tabla_Consulta_desde_Reporte_de_Valorización_de_Instrumentos[[#This Row],[CODIGO_ISIN]],'BD(MSCI)'!C:C,0)),IF(Tabla_Consulta_desde_Reporte_de_Valorización_de_Instrumentos[[#This Row],[Rank_rt]]="Cash","Cash","Cuestionario Integra"))</f>
        <v>Cash</v>
      </c>
      <c r="AR604" s="26" t="str">
        <f>IFERROR(INDEX('BD(MSCI)'!X:X,MATCH(Tabla_Consulta_desde_Reporte_de_Valorización_de_Instrumentos[[#This Row],[CODIGO_ISIN]],'BD(MSCI)'!C:C,0)),"Cuestionario Integra")</f>
        <v>Cuestionario Integra</v>
      </c>
    </row>
    <row r="605" spans="2:44" hidden="1" x14ac:dyDescent="0.25">
      <c r="B605" s="14" t="s">
        <v>6390</v>
      </c>
      <c r="C605" t="s">
        <v>840</v>
      </c>
      <c r="D605" t="s">
        <v>12</v>
      </c>
      <c r="E605" t="s">
        <v>841</v>
      </c>
      <c r="F605" t="s">
        <v>6587</v>
      </c>
      <c r="G605">
        <f>INDEX(Parametria!H:H,MATCH(Tabla_Consulta_desde_Reporte_de_Valorización_de_Instrumentos[[#This Row],[CODIGO_SBS]],Parametria!C:C,0),1)</f>
        <v>0</v>
      </c>
      <c r="H605" t="s">
        <v>90</v>
      </c>
      <c r="I605" t="s">
        <v>842</v>
      </c>
      <c r="J605" t="s">
        <v>4653</v>
      </c>
      <c r="K605" t="s">
        <v>50</v>
      </c>
      <c r="L605">
        <v>1</v>
      </c>
      <c r="M605" s="5">
        <v>0</v>
      </c>
      <c r="N605">
        <v>0</v>
      </c>
      <c r="O605">
        <v>0</v>
      </c>
      <c r="P605" s="15">
        <v>46022</v>
      </c>
      <c r="Q605">
        <v>0</v>
      </c>
      <c r="R605">
        <v>3.3609</v>
      </c>
      <c r="S605" t="s">
        <v>155</v>
      </c>
      <c r="T605">
        <v>1751324.2955700001</v>
      </c>
      <c r="U605" s="5">
        <v>520824.45</v>
      </c>
      <c r="V605" t="s">
        <v>156</v>
      </c>
      <c r="W605">
        <v>0</v>
      </c>
      <c r="X605">
        <v>0</v>
      </c>
      <c r="Y605">
        <v>0</v>
      </c>
      <c r="Z605">
        <v>0</v>
      </c>
      <c r="AA605" t="str">
        <f>+MID(Tabla_Consulta_desde_Reporte_de_Valorización_de_Instrumentos[[#This Row],[CODIGO_SBS]],7,1)</f>
        <v>2</v>
      </c>
      <c r="AB605">
        <f>INDEX('Cálculo Caja'!F:F,MATCH(Tabla_Consulta_desde_Reporte_de_Valorización_de_Instrumentos[[#This Row],[PORTAFOLIO]],'Cálculo Caja'!A:A,0),1)</f>
        <v>7679510866.0565634</v>
      </c>
      <c r="AC605" s="17">
        <f>Tabla_Consulta_desde_Reporte_de_Valorización_de_Instrumentos[[#This Row],[VALOR_VECTOR_LOCAL]]/Tabla_Consulta_desde_Reporte_de_Valorización_de_Instrumentos[[#This Row],[Patrimonio]]</f>
        <v>0</v>
      </c>
      <c r="AD605" s="4">
        <f>(Tabla_Consulta_desde_Reporte_de_Valorización_de_Instrumentos[[#This Row],[VALOR_VECTOR_LOCAL]]/INDEX('Tipo de Cambio'!$D:$D,MATCH("2",'Tipo de Cambio'!$E:$E,0),1))/1000000</f>
        <v>0</v>
      </c>
      <c r="AE605">
        <f>IF(Tabla_Consulta_desde_Reporte_de_Valorización_de_Instrumentos[[#This Row],[PORTAFOLIO]]="IN-FONDO0",Tabla_Consulta_desde_Reporte_de_Valorización_de_Instrumentos[[#This Row],[Inv MM$]],0)</f>
        <v>0</v>
      </c>
      <c r="AF605" s="26">
        <f>IF(Tabla_Consulta_desde_Reporte_de_Valorización_de_Instrumentos[[#This Row],[PORTAFOLIO]]="IN-FONDO1",Tabla_Consulta_desde_Reporte_de_Valorización_de_Instrumentos[[#This Row],[Inv MM$]],0)</f>
        <v>0</v>
      </c>
      <c r="AG605" s="26">
        <f>IF(Tabla_Consulta_desde_Reporte_de_Valorización_de_Instrumentos[[#This Row],[PORTAFOLIO]]="IN-FONDO2",Tabla_Consulta_desde_Reporte_de_Valorización_de_Instrumentos[[#This Row],[Inv MM$]],0)</f>
        <v>0</v>
      </c>
      <c r="AH605" s="26">
        <f>IF(Tabla_Consulta_desde_Reporte_de_Valorización_de_Instrumentos[[#This Row],[PORTAFOLIO]]="IN-FONDO3",Tabla_Consulta_desde_Reporte_de_Valorización_de_Instrumentos[[#This Row],[Inv MM$]],0)</f>
        <v>0</v>
      </c>
      <c r="AI60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05" s="26">
        <f>IFERROR(IFERROR(INDEX('BD(MSCI)'!$T:$T,MATCH(Tabla_Consulta_desde_Reporte_de_Valorización_de_Instrumentos[[#This Row],[CODIGO_ISIN]],'BD(MSCI)'!$C:$C,0),1),INDEX('BD(MSCI)'!$T:$T,MATCH(Tabla_Consulta_desde_Reporte_de_Valorización_de_Instrumentos[[#This Row],[CODIGO_SBS]],'BD(MSCI)'!$C:$C,0),1)),0)</f>
        <v>0</v>
      </c>
      <c r="AK605" s="26">
        <f>Tabla_Consulta_desde_Reporte_de_Valorización_de_Instrumentos[[#This Row],[C02-H]]*Tabla_Consulta_desde_Reporte_de_Valorización_de_Instrumentos[[#This Row],[Inv MM$]]</f>
        <v>0</v>
      </c>
      <c r="AL605" s="26">
        <f>Tabla_Consulta_desde_Reporte_de_Valorización_de_Instrumentos[[#This Row],[C02-H]]*Tabla_Consulta_desde_Reporte_de_Valorización_de_Instrumentos[[#This Row],[Weight]]</f>
        <v>0</v>
      </c>
      <c r="AM605" s="26">
        <f>INDEX(Parametria!G:G,MATCH(Tabla_Consulta_desde_Reporte_de_Valorización_de_Instrumentos[[#This Row],[CODIGO_SBS]],Parametria!C:C,0))</f>
        <v>0</v>
      </c>
      <c r="AN605" s="26" t="str">
        <f>INDEX(Parametria!F:F,MATCH(Tabla_Consulta_desde_Reporte_de_Valorización_de_Instrumentos[[#This Row],[CODIGO_SBS]],Parametria!C:C,0))</f>
        <v>Cash</v>
      </c>
      <c r="AO605" s="26" t="str">
        <f>+INDEX(Parametria!J:J,MATCH(Tabla_Consulta_desde_Reporte_de_Valorización_de_Instrumentos[[#This Row],[CODIGO_SBS]],Parametria!C:C,0))</f>
        <v>Cash</v>
      </c>
      <c r="AP605" s="26">
        <f>Tabla_Consulta_desde_Reporte_de_Valorización_de_Instrumentos[[#This Row],[Huella]]/$AU$4</f>
        <v>0</v>
      </c>
      <c r="AQ605" s="26" t="str">
        <f>IFERROR(INDEX('BD(MSCI)'!W:W,MATCH(Tabla_Consulta_desde_Reporte_de_Valorización_de_Instrumentos[[#This Row],[CODIGO_ISIN]],'BD(MSCI)'!C:C,0)),IF(Tabla_Consulta_desde_Reporte_de_Valorización_de_Instrumentos[[#This Row],[Rank_rt]]="Cash","Cash","Cuestionario Integra"))</f>
        <v>Cash</v>
      </c>
      <c r="AR605" s="26" t="str">
        <f>IFERROR(INDEX('BD(MSCI)'!X:X,MATCH(Tabla_Consulta_desde_Reporte_de_Valorización_de_Instrumentos[[#This Row],[CODIGO_ISIN]],'BD(MSCI)'!C:C,0)),"Cuestionario Integra")</f>
        <v>Cuestionario Integra</v>
      </c>
    </row>
    <row r="606" spans="2:44" hidden="1" x14ac:dyDescent="0.25">
      <c r="B606" s="14" t="s">
        <v>6390</v>
      </c>
      <c r="C606" t="s">
        <v>840</v>
      </c>
      <c r="D606" t="s">
        <v>12</v>
      </c>
      <c r="E606" t="s">
        <v>841</v>
      </c>
      <c r="F606" t="s">
        <v>6588</v>
      </c>
      <c r="G606">
        <f>INDEX(Parametria!H:H,MATCH(Tabla_Consulta_desde_Reporte_de_Valorización_de_Instrumentos[[#This Row],[CODIGO_SBS]],Parametria!C:C,0),1)</f>
        <v>0</v>
      </c>
      <c r="H606" t="s">
        <v>90</v>
      </c>
      <c r="I606" t="s">
        <v>842</v>
      </c>
      <c r="J606" t="s">
        <v>4861</v>
      </c>
      <c r="K606" t="s">
        <v>50</v>
      </c>
      <c r="L606">
        <v>1</v>
      </c>
      <c r="M606" s="5">
        <v>0</v>
      </c>
      <c r="N606">
        <v>0</v>
      </c>
      <c r="O606">
        <v>0</v>
      </c>
      <c r="P606" s="15">
        <v>46022</v>
      </c>
      <c r="Q606">
        <v>0</v>
      </c>
      <c r="R606">
        <v>3.3609</v>
      </c>
      <c r="S606" t="s">
        <v>155</v>
      </c>
      <c r="T606">
        <v>4886040.5573100001</v>
      </c>
      <c r="U606" s="5">
        <v>1453054.35</v>
      </c>
      <c r="V606" t="s">
        <v>156</v>
      </c>
      <c r="W606">
        <v>0</v>
      </c>
      <c r="X606">
        <v>0</v>
      </c>
      <c r="Y606">
        <v>0</v>
      </c>
      <c r="Z606">
        <v>0</v>
      </c>
      <c r="AA606" t="str">
        <f>+MID(Tabla_Consulta_desde_Reporte_de_Valorización_de_Instrumentos[[#This Row],[CODIGO_SBS]],7,1)</f>
        <v>2</v>
      </c>
      <c r="AB606">
        <f>INDEX('Cálculo Caja'!F:F,MATCH(Tabla_Consulta_desde_Reporte_de_Valorización_de_Instrumentos[[#This Row],[PORTAFOLIO]],'Cálculo Caja'!A:A,0),1)</f>
        <v>7679510866.0565634</v>
      </c>
      <c r="AC606" s="17">
        <f>Tabla_Consulta_desde_Reporte_de_Valorización_de_Instrumentos[[#This Row],[VALOR_VECTOR_LOCAL]]/Tabla_Consulta_desde_Reporte_de_Valorización_de_Instrumentos[[#This Row],[Patrimonio]]</f>
        <v>0</v>
      </c>
      <c r="AD606" s="4">
        <f>(Tabla_Consulta_desde_Reporte_de_Valorización_de_Instrumentos[[#This Row],[VALOR_VECTOR_LOCAL]]/INDEX('Tipo de Cambio'!$D:$D,MATCH("2",'Tipo de Cambio'!$E:$E,0),1))/1000000</f>
        <v>0</v>
      </c>
      <c r="AE606">
        <f>IF(Tabla_Consulta_desde_Reporte_de_Valorización_de_Instrumentos[[#This Row],[PORTAFOLIO]]="IN-FONDO0",Tabla_Consulta_desde_Reporte_de_Valorización_de_Instrumentos[[#This Row],[Inv MM$]],0)</f>
        <v>0</v>
      </c>
      <c r="AF606" s="26">
        <f>IF(Tabla_Consulta_desde_Reporte_de_Valorización_de_Instrumentos[[#This Row],[PORTAFOLIO]]="IN-FONDO1",Tabla_Consulta_desde_Reporte_de_Valorización_de_Instrumentos[[#This Row],[Inv MM$]],0)</f>
        <v>0</v>
      </c>
      <c r="AG606" s="26">
        <f>IF(Tabla_Consulta_desde_Reporte_de_Valorización_de_Instrumentos[[#This Row],[PORTAFOLIO]]="IN-FONDO2",Tabla_Consulta_desde_Reporte_de_Valorización_de_Instrumentos[[#This Row],[Inv MM$]],0)</f>
        <v>0</v>
      </c>
      <c r="AH606" s="26">
        <f>IF(Tabla_Consulta_desde_Reporte_de_Valorización_de_Instrumentos[[#This Row],[PORTAFOLIO]]="IN-FONDO3",Tabla_Consulta_desde_Reporte_de_Valorización_de_Instrumentos[[#This Row],[Inv MM$]],0)</f>
        <v>0</v>
      </c>
      <c r="AI60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06" s="26">
        <f>IFERROR(IFERROR(INDEX('BD(MSCI)'!$T:$T,MATCH(Tabla_Consulta_desde_Reporte_de_Valorización_de_Instrumentos[[#This Row],[CODIGO_ISIN]],'BD(MSCI)'!$C:$C,0),1),INDEX('BD(MSCI)'!$T:$T,MATCH(Tabla_Consulta_desde_Reporte_de_Valorización_de_Instrumentos[[#This Row],[CODIGO_SBS]],'BD(MSCI)'!$C:$C,0),1)),0)</f>
        <v>0</v>
      </c>
      <c r="AK606" s="26">
        <f>Tabla_Consulta_desde_Reporte_de_Valorización_de_Instrumentos[[#This Row],[C02-H]]*Tabla_Consulta_desde_Reporte_de_Valorización_de_Instrumentos[[#This Row],[Inv MM$]]</f>
        <v>0</v>
      </c>
      <c r="AL606" s="26">
        <f>Tabla_Consulta_desde_Reporte_de_Valorización_de_Instrumentos[[#This Row],[C02-H]]*Tabla_Consulta_desde_Reporte_de_Valorización_de_Instrumentos[[#This Row],[Weight]]</f>
        <v>0</v>
      </c>
      <c r="AM606" s="26">
        <f>INDEX(Parametria!G:G,MATCH(Tabla_Consulta_desde_Reporte_de_Valorización_de_Instrumentos[[#This Row],[CODIGO_SBS]],Parametria!C:C,0))</f>
        <v>0</v>
      </c>
      <c r="AN606" s="26" t="str">
        <f>INDEX(Parametria!F:F,MATCH(Tabla_Consulta_desde_Reporte_de_Valorización_de_Instrumentos[[#This Row],[CODIGO_SBS]],Parametria!C:C,0))</f>
        <v>Cash</v>
      </c>
      <c r="AO606" s="26" t="str">
        <f>+INDEX(Parametria!J:J,MATCH(Tabla_Consulta_desde_Reporte_de_Valorización_de_Instrumentos[[#This Row],[CODIGO_SBS]],Parametria!C:C,0))</f>
        <v>Cash</v>
      </c>
      <c r="AP606" s="26">
        <f>Tabla_Consulta_desde_Reporte_de_Valorización_de_Instrumentos[[#This Row],[Huella]]/$AU$4</f>
        <v>0</v>
      </c>
      <c r="AQ606" s="26" t="str">
        <f>IFERROR(INDEX('BD(MSCI)'!W:W,MATCH(Tabla_Consulta_desde_Reporte_de_Valorización_de_Instrumentos[[#This Row],[CODIGO_ISIN]],'BD(MSCI)'!C:C,0)),IF(Tabla_Consulta_desde_Reporte_de_Valorización_de_Instrumentos[[#This Row],[Rank_rt]]="Cash","Cash","Cuestionario Integra"))</f>
        <v>Cash</v>
      </c>
      <c r="AR606" s="26" t="str">
        <f>IFERROR(INDEX('BD(MSCI)'!X:X,MATCH(Tabla_Consulta_desde_Reporte_de_Valorización_de_Instrumentos[[#This Row],[CODIGO_ISIN]],'BD(MSCI)'!C:C,0)),"Cuestionario Integra")</f>
        <v>Cuestionario Integra</v>
      </c>
    </row>
    <row r="607" spans="2:44" hidden="1" x14ac:dyDescent="0.25">
      <c r="B607" s="14" t="s">
        <v>6390</v>
      </c>
      <c r="C607" t="s">
        <v>840</v>
      </c>
      <c r="D607" t="s">
        <v>12</v>
      </c>
      <c r="E607" t="s">
        <v>841</v>
      </c>
      <c r="F607" t="s">
        <v>6589</v>
      </c>
      <c r="G607">
        <f>INDEX(Parametria!H:H,MATCH(Tabla_Consulta_desde_Reporte_de_Valorización_de_Instrumentos[[#This Row],[CODIGO_SBS]],Parametria!C:C,0),1)</f>
        <v>0</v>
      </c>
      <c r="H607" t="s">
        <v>90</v>
      </c>
      <c r="I607" t="s">
        <v>842</v>
      </c>
      <c r="J607" t="s">
        <v>4861</v>
      </c>
      <c r="K607" t="s">
        <v>50</v>
      </c>
      <c r="L607">
        <v>1</v>
      </c>
      <c r="M607" s="5">
        <v>0</v>
      </c>
      <c r="N607">
        <v>0</v>
      </c>
      <c r="O607">
        <v>0</v>
      </c>
      <c r="P607" s="15">
        <v>46022</v>
      </c>
      <c r="Q607">
        <v>0</v>
      </c>
      <c r="R607">
        <v>3.3609</v>
      </c>
      <c r="S607" t="s">
        <v>155</v>
      </c>
      <c r="T607">
        <v>2764656.5161979999</v>
      </c>
      <c r="U607" s="5">
        <v>822178.23</v>
      </c>
      <c r="V607" t="s">
        <v>156</v>
      </c>
      <c r="W607">
        <v>0</v>
      </c>
      <c r="X607">
        <v>0</v>
      </c>
      <c r="Y607">
        <v>0</v>
      </c>
      <c r="Z607">
        <v>0</v>
      </c>
      <c r="AA607" t="str">
        <f>+MID(Tabla_Consulta_desde_Reporte_de_Valorización_de_Instrumentos[[#This Row],[CODIGO_SBS]],7,1)</f>
        <v>2</v>
      </c>
      <c r="AB607">
        <f>INDEX('Cálculo Caja'!F:F,MATCH(Tabla_Consulta_desde_Reporte_de_Valorización_de_Instrumentos[[#This Row],[PORTAFOLIO]],'Cálculo Caja'!A:A,0),1)</f>
        <v>7679510866.0565634</v>
      </c>
      <c r="AC607" s="17">
        <f>Tabla_Consulta_desde_Reporte_de_Valorización_de_Instrumentos[[#This Row],[VALOR_VECTOR_LOCAL]]/Tabla_Consulta_desde_Reporte_de_Valorización_de_Instrumentos[[#This Row],[Patrimonio]]</f>
        <v>0</v>
      </c>
      <c r="AD607" s="4">
        <f>(Tabla_Consulta_desde_Reporte_de_Valorización_de_Instrumentos[[#This Row],[VALOR_VECTOR_LOCAL]]/INDEX('Tipo de Cambio'!$D:$D,MATCH("2",'Tipo de Cambio'!$E:$E,0),1))/1000000</f>
        <v>0</v>
      </c>
      <c r="AE607">
        <f>IF(Tabla_Consulta_desde_Reporte_de_Valorización_de_Instrumentos[[#This Row],[PORTAFOLIO]]="IN-FONDO0",Tabla_Consulta_desde_Reporte_de_Valorización_de_Instrumentos[[#This Row],[Inv MM$]],0)</f>
        <v>0</v>
      </c>
      <c r="AF607" s="26">
        <f>IF(Tabla_Consulta_desde_Reporte_de_Valorización_de_Instrumentos[[#This Row],[PORTAFOLIO]]="IN-FONDO1",Tabla_Consulta_desde_Reporte_de_Valorización_de_Instrumentos[[#This Row],[Inv MM$]],0)</f>
        <v>0</v>
      </c>
      <c r="AG607" s="26">
        <f>IF(Tabla_Consulta_desde_Reporte_de_Valorización_de_Instrumentos[[#This Row],[PORTAFOLIO]]="IN-FONDO2",Tabla_Consulta_desde_Reporte_de_Valorización_de_Instrumentos[[#This Row],[Inv MM$]],0)</f>
        <v>0</v>
      </c>
      <c r="AH607" s="26">
        <f>IF(Tabla_Consulta_desde_Reporte_de_Valorización_de_Instrumentos[[#This Row],[PORTAFOLIO]]="IN-FONDO3",Tabla_Consulta_desde_Reporte_de_Valorización_de_Instrumentos[[#This Row],[Inv MM$]],0)</f>
        <v>0</v>
      </c>
      <c r="AI60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07" s="26">
        <f>IFERROR(IFERROR(INDEX('BD(MSCI)'!$T:$T,MATCH(Tabla_Consulta_desde_Reporte_de_Valorización_de_Instrumentos[[#This Row],[CODIGO_ISIN]],'BD(MSCI)'!$C:$C,0),1),INDEX('BD(MSCI)'!$T:$T,MATCH(Tabla_Consulta_desde_Reporte_de_Valorización_de_Instrumentos[[#This Row],[CODIGO_SBS]],'BD(MSCI)'!$C:$C,0),1)),0)</f>
        <v>0</v>
      </c>
      <c r="AK607" s="26">
        <f>Tabla_Consulta_desde_Reporte_de_Valorización_de_Instrumentos[[#This Row],[C02-H]]*Tabla_Consulta_desde_Reporte_de_Valorización_de_Instrumentos[[#This Row],[Inv MM$]]</f>
        <v>0</v>
      </c>
      <c r="AL607" s="26">
        <f>Tabla_Consulta_desde_Reporte_de_Valorización_de_Instrumentos[[#This Row],[C02-H]]*Tabla_Consulta_desde_Reporte_de_Valorización_de_Instrumentos[[#This Row],[Weight]]</f>
        <v>0</v>
      </c>
      <c r="AM607" s="26">
        <f>INDEX(Parametria!G:G,MATCH(Tabla_Consulta_desde_Reporte_de_Valorización_de_Instrumentos[[#This Row],[CODIGO_SBS]],Parametria!C:C,0))</f>
        <v>0</v>
      </c>
      <c r="AN607" s="26" t="str">
        <f>INDEX(Parametria!F:F,MATCH(Tabla_Consulta_desde_Reporte_de_Valorización_de_Instrumentos[[#This Row],[CODIGO_SBS]],Parametria!C:C,0))</f>
        <v>Cash</v>
      </c>
      <c r="AO607" s="26" t="str">
        <f>+INDEX(Parametria!J:J,MATCH(Tabla_Consulta_desde_Reporte_de_Valorización_de_Instrumentos[[#This Row],[CODIGO_SBS]],Parametria!C:C,0))</f>
        <v>Cash</v>
      </c>
      <c r="AP607" s="26">
        <f>Tabla_Consulta_desde_Reporte_de_Valorización_de_Instrumentos[[#This Row],[Huella]]/$AU$4</f>
        <v>0</v>
      </c>
      <c r="AQ607" s="26" t="str">
        <f>IFERROR(INDEX('BD(MSCI)'!W:W,MATCH(Tabla_Consulta_desde_Reporte_de_Valorización_de_Instrumentos[[#This Row],[CODIGO_ISIN]],'BD(MSCI)'!C:C,0)),IF(Tabla_Consulta_desde_Reporte_de_Valorización_de_Instrumentos[[#This Row],[Rank_rt]]="Cash","Cash","Cuestionario Integra"))</f>
        <v>Cash</v>
      </c>
      <c r="AR607" s="26" t="str">
        <f>IFERROR(INDEX('BD(MSCI)'!X:X,MATCH(Tabla_Consulta_desde_Reporte_de_Valorización_de_Instrumentos[[#This Row],[CODIGO_ISIN]],'BD(MSCI)'!C:C,0)),"Cuestionario Integra")</f>
        <v>Cuestionario Integra</v>
      </c>
    </row>
    <row r="608" spans="2:44" hidden="1" x14ac:dyDescent="0.25">
      <c r="B608" s="14" t="s">
        <v>6390</v>
      </c>
      <c r="C608" t="s">
        <v>840</v>
      </c>
      <c r="D608" t="s">
        <v>10</v>
      </c>
      <c r="E608" t="s">
        <v>841</v>
      </c>
      <c r="F608" t="s">
        <v>6590</v>
      </c>
      <c r="G608">
        <f>INDEX(Parametria!H:H,MATCH(Tabla_Consulta_desde_Reporte_de_Valorización_de_Instrumentos[[#This Row],[CODIGO_SBS]],Parametria!C:C,0),1)</f>
        <v>0</v>
      </c>
      <c r="H608" t="s">
        <v>90</v>
      </c>
      <c r="I608" t="s">
        <v>842</v>
      </c>
      <c r="J608" t="s">
        <v>4652</v>
      </c>
      <c r="K608" t="s">
        <v>50</v>
      </c>
      <c r="L608">
        <v>1</v>
      </c>
      <c r="M608" s="5">
        <v>0</v>
      </c>
      <c r="N608">
        <v>0</v>
      </c>
      <c r="O608">
        <v>0</v>
      </c>
      <c r="P608" s="15">
        <v>46022</v>
      </c>
      <c r="Q608">
        <v>0</v>
      </c>
      <c r="R608">
        <v>3.3609</v>
      </c>
      <c r="S608" t="s">
        <v>155</v>
      </c>
      <c r="T608">
        <v>10706410.292409999</v>
      </c>
      <c r="U608" s="5">
        <v>3183967.85</v>
      </c>
      <c r="V608" t="s">
        <v>156</v>
      </c>
      <c r="W608">
        <v>0</v>
      </c>
      <c r="X608">
        <v>0</v>
      </c>
      <c r="Y608">
        <v>0</v>
      </c>
      <c r="Z608">
        <v>0</v>
      </c>
      <c r="AA608" t="str">
        <f>+MID(Tabla_Consulta_desde_Reporte_de_Valorización_de_Instrumentos[[#This Row],[CODIGO_SBS]],7,1)</f>
        <v>2</v>
      </c>
      <c r="AB608">
        <f>INDEX('Cálculo Caja'!F:F,MATCH(Tabla_Consulta_desde_Reporte_de_Valorización_de_Instrumentos[[#This Row],[PORTAFOLIO]],'Cálculo Caja'!A:A,0),1)</f>
        <v>26256910350.436607</v>
      </c>
      <c r="AC608" s="17">
        <f>Tabla_Consulta_desde_Reporte_de_Valorización_de_Instrumentos[[#This Row],[VALOR_VECTOR_LOCAL]]/Tabla_Consulta_desde_Reporte_de_Valorización_de_Instrumentos[[#This Row],[Patrimonio]]</f>
        <v>0</v>
      </c>
      <c r="AD608" s="4">
        <f>(Tabla_Consulta_desde_Reporte_de_Valorización_de_Instrumentos[[#This Row],[VALOR_VECTOR_LOCAL]]/INDEX('Tipo de Cambio'!$D:$D,MATCH("2",'Tipo de Cambio'!$E:$E,0),1))/1000000</f>
        <v>0</v>
      </c>
      <c r="AE608">
        <f>IF(Tabla_Consulta_desde_Reporte_de_Valorización_de_Instrumentos[[#This Row],[PORTAFOLIO]]="IN-FONDO0",Tabla_Consulta_desde_Reporte_de_Valorización_de_Instrumentos[[#This Row],[Inv MM$]],0)</f>
        <v>0</v>
      </c>
      <c r="AF608" s="26">
        <f>IF(Tabla_Consulta_desde_Reporte_de_Valorización_de_Instrumentos[[#This Row],[PORTAFOLIO]]="IN-FONDO1",Tabla_Consulta_desde_Reporte_de_Valorización_de_Instrumentos[[#This Row],[Inv MM$]],0)</f>
        <v>0</v>
      </c>
      <c r="AG608" s="26">
        <f>IF(Tabla_Consulta_desde_Reporte_de_Valorización_de_Instrumentos[[#This Row],[PORTAFOLIO]]="IN-FONDO2",Tabla_Consulta_desde_Reporte_de_Valorización_de_Instrumentos[[#This Row],[Inv MM$]],0)</f>
        <v>0</v>
      </c>
      <c r="AH608" s="26">
        <f>IF(Tabla_Consulta_desde_Reporte_de_Valorización_de_Instrumentos[[#This Row],[PORTAFOLIO]]="IN-FONDO3",Tabla_Consulta_desde_Reporte_de_Valorización_de_Instrumentos[[#This Row],[Inv MM$]],0)</f>
        <v>0</v>
      </c>
      <c r="AI60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08" s="26">
        <f>IFERROR(IFERROR(INDEX('BD(MSCI)'!$T:$T,MATCH(Tabla_Consulta_desde_Reporte_de_Valorización_de_Instrumentos[[#This Row],[CODIGO_ISIN]],'BD(MSCI)'!$C:$C,0),1),INDEX('BD(MSCI)'!$T:$T,MATCH(Tabla_Consulta_desde_Reporte_de_Valorización_de_Instrumentos[[#This Row],[CODIGO_SBS]],'BD(MSCI)'!$C:$C,0),1)),0)</f>
        <v>0</v>
      </c>
      <c r="AK608" s="26">
        <f>Tabla_Consulta_desde_Reporte_de_Valorización_de_Instrumentos[[#This Row],[C02-H]]*Tabla_Consulta_desde_Reporte_de_Valorización_de_Instrumentos[[#This Row],[Inv MM$]]</f>
        <v>0</v>
      </c>
      <c r="AL608" s="26">
        <f>Tabla_Consulta_desde_Reporte_de_Valorización_de_Instrumentos[[#This Row],[C02-H]]*Tabla_Consulta_desde_Reporte_de_Valorización_de_Instrumentos[[#This Row],[Weight]]</f>
        <v>0</v>
      </c>
      <c r="AM608" s="26">
        <f>INDEX(Parametria!G:G,MATCH(Tabla_Consulta_desde_Reporte_de_Valorización_de_Instrumentos[[#This Row],[CODIGO_SBS]],Parametria!C:C,0))</f>
        <v>0</v>
      </c>
      <c r="AN608" s="26" t="str">
        <f>INDEX(Parametria!F:F,MATCH(Tabla_Consulta_desde_Reporte_de_Valorización_de_Instrumentos[[#This Row],[CODIGO_SBS]],Parametria!C:C,0))</f>
        <v>Cash</v>
      </c>
      <c r="AO608" s="26" t="str">
        <f>+INDEX(Parametria!J:J,MATCH(Tabla_Consulta_desde_Reporte_de_Valorización_de_Instrumentos[[#This Row],[CODIGO_SBS]],Parametria!C:C,0))</f>
        <v>Cash</v>
      </c>
      <c r="AP608" s="26">
        <f>Tabla_Consulta_desde_Reporte_de_Valorización_de_Instrumentos[[#This Row],[Huella]]/$AU$4</f>
        <v>0</v>
      </c>
      <c r="AQ608" s="26" t="str">
        <f>IFERROR(INDEX('BD(MSCI)'!W:W,MATCH(Tabla_Consulta_desde_Reporte_de_Valorización_de_Instrumentos[[#This Row],[CODIGO_ISIN]],'BD(MSCI)'!C:C,0)),IF(Tabla_Consulta_desde_Reporte_de_Valorización_de_Instrumentos[[#This Row],[Rank_rt]]="Cash","Cash","Cuestionario Integra"))</f>
        <v>Cash</v>
      </c>
      <c r="AR608" s="26" t="str">
        <f>IFERROR(INDEX('BD(MSCI)'!X:X,MATCH(Tabla_Consulta_desde_Reporte_de_Valorización_de_Instrumentos[[#This Row],[CODIGO_ISIN]],'BD(MSCI)'!C:C,0)),"Cuestionario Integra")</f>
        <v>Cuestionario Integra</v>
      </c>
    </row>
    <row r="609" spans="2:44" hidden="1" x14ac:dyDescent="0.25">
      <c r="B609" s="14" t="s">
        <v>6390</v>
      </c>
      <c r="C609" t="s">
        <v>840</v>
      </c>
      <c r="D609" t="s">
        <v>10</v>
      </c>
      <c r="E609" t="s">
        <v>841</v>
      </c>
      <c r="F609" t="s">
        <v>6591</v>
      </c>
      <c r="G609">
        <f>INDEX(Parametria!H:H,MATCH(Tabla_Consulta_desde_Reporte_de_Valorización_de_Instrumentos[[#This Row],[CODIGO_SBS]],Parametria!C:C,0),1)</f>
        <v>0</v>
      </c>
      <c r="H609" t="s">
        <v>90</v>
      </c>
      <c r="I609" t="s">
        <v>842</v>
      </c>
      <c r="J609" t="s">
        <v>4652</v>
      </c>
      <c r="K609" t="s">
        <v>50</v>
      </c>
      <c r="L609">
        <v>1</v>
      </c>
      <c r="M609" s="5">
        <v>0</v>
      </c>
      <c r="N609">
        <v>0</v>
      </c>
      <c r="O609">
        <v>0</v>
      </c>
      <c r="P609" s="15">
        <v>46022</v>
      </c>
      <c r="Q609">
        <v>0</v>
      </c>
      <c r="R609">
        <v>3.3609</v>
      </c>
      <c r="S609" t="s">
        <v>155</v>
      </c>
      <c r="T609">
        <v>8826215.2933680005</v>
      </c>
      <c r="U609" s="5">
        <v>2624818.6800000002</v>
      </c>
      <c r="V609" t="s">
        <v>156</v>
      </c>
      <c r="W609">
        <v>0</v>
      </c>
      <c r="X609">
        <v>0</v>
      </c>
      <c r="Y609">
        <v>0</v>
      </c>
      <c r="Z609">
        <v>0</v>
      </c>
      <c r="AA609" t="str">
        <f>+MID(Tabla_Consulta_desde_Reporte_de_Valorización_de_Instrumentos[[#This Row],[CODIGO_SBS]],7,1)</f>
        <v>2</v>
      </c>
      <c r="AB609">
        <f>INDEX('Cálculo Caja'!F:F,MATCH(Tabla_Consulta_desde_Reporte_de_Valorización_de_Instrumentos[[#This Row],[PORTAFOLIO]],'Cálculo Caja'!A:A,0),1)</f>
        <v>26256910350.436607</v>
      </c>
      <c r="AC609" s="17">
        <f>Tabla_Consulta_desde_Reporte_de_Valorización_de_Instrumentos[[#This Row],[VALOR_VECTOR_LOCAL]]/Tabla_Consulta_desde_Reporte_de_Valorización_de_Instrumentos[[#This Row],[Patrimonio]]</f>
        <v>0</v>
      </c>
      <c r="AD609" s="4">
        <f>(Tabla_Consulta_desde_Reporte_de_Valorización_de_Instrumentos[[#This Row],[VALOR_VECTOR_LOCAL]]/INDEX('Tipo de Cambio'!$D:$D,MATCH("2",'Tipo de Cambio'!$E:$E,0),1))/1000000</f>
        <v>0</v>
      </c>
      <c r="AE609">
        <f>IF(Tabla_Consulta_desde_Reporte_de_Valorización_de_Instrumentos[[#This Row],[PORTAFOLIO]]="IN-FONDO0",Tabla_Consulta_desde_Reporte_de_Valorización_de_Instrumentos[[#This Row],[Inv MM$]],0)</f>
        <v>0</v>
      </c>
      <c r="AF609" s="26">
        <f>IF(Tabla_Consulta_desde_Reporte_de_Valorización_de_Instrumentos[[#This Row],[PORTAFOLIO]]="IN-FONDO1",Tabla_Consulta_desde_Reporte_de_Valorización_de_Instrumentos[[#This Row],[Inv MM$]],0)</f>
        <v>0</v>
      </c>
      <c r="AG609" s="26">
        <f>IF(Tabla_Consulta_desde_Reporte_de_Valorización_de_Instrumentos[[#This Row],[PORTAFOLIO]]="IN-FONDO2",Tabla_Consulta_desde_Reporte_de_Valorización_de_Instrumentos[[#This Row],[Inv MM$]],0)</f>
        <v>0</v>
      </c>
      <c r="AH609" s="26">
        <f>IF(Tabla_Consulta_desde_Reporte_de_Valorización_de_Instrumentos[[#This Row],[PORTAFOLIO]]="IN-FONDO3",Tabla_Consulta_desde_Reporte_de_Valorización_de_Instrumentos[[#This Row],[Inv MM$]],0)</f>
        <v>0</v>
      </c>
      <c r="AI60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09" s="26">
        <f>IFERROR(IFERROR(INDEX('BD(MSCI)'!$T:$T,MATCH(Tabla_Consulta_desde_Reporte_de_Valorización_de_Instrumentos[[#This Row],[CODIGO_ISIN]],'BD(MSCI)'!$C:$C,0),1),INDEX('BD(MSCI)'!$T:$T,MATCH(Tabla_Consulta_desde_Reporte_de_Valorización_de_Instrumentos[[#This Row],[CODIGO_SBS]],'BD(MSCI)'!$C:$C,0),1)),0)</f>
        <v>0</v>
      </c>
      <c r="AK609" s="26">
        <f>Tabla_Consulta_desde_Reporte_de_Valorización_de_Instrumentos[[#This Row],[C02-H]]*Tabla_Consulta_desde_Reporte_de_Valorización_de_Instrumentos[[#This Row],[Inv MM$]]</f>
        <v>0</v>
      </c>
      <c r="AL609" s="26">
        <f>Tabla_Consulta_desde_Reporte_de_Valorización_de_Instrumentos[[#This Row],[C02-H]]*Tabla_Consulta_desde_Reporte_de_Valorización_de_Instrumentos[[#This Row],[Weight]]</f>
        <v>0</v>
      </c>
      <c r="AM609" s="26">
        <f>INDEX(Parametria!G:G,MATCH(Tabla_Consulta_desde_Reporte_de_Valorización_de_Instrumentos[[#This Row],[CODIGO_SBS]],Parametria!C:C,0))</f>
        <v>0</v>
      </c>
      <c r="AN609" s="26" t="str">
        <f>INDEX(Parametria!F:F,MATCH(Tabla_Consulta_desde_Reporte_de_Valorización_de_Instrumentos[[#This Row],[CODIGO_SBS]],Parametria!C:C,0))</f>
        <v>Cash</v>
      </c>
      <c r="AO609" s="26" t="str">
        <f>+INDEX(Parametria!J:J,MATCH(Tabla_Consulta_desde_Reporte_de_Valorización_de_Instrumentos[[#This Row],[CODIGO_SBS]],Parametria!C:C,0))</f>
        <v>Cash</v>
      </c>
      <c r="AP609" s="26">
        <f>Tabla_Consulta_desde_Reporte_de_Valorización_de_Instrumentos[[#This Row],[Huella]]/$AU$4</f>
        <v>0</v>
      </c>
      <c r="AQ609" s="26" t="str">
        <f>IFERROR(INDEX('BD(MSCI)'!W:W,MATCH(Tabla_Consulta_desde_Reporte_de_Valorización_de_Instrumentos[[#This Row],[CODIGO_ISIN]],'BD(MSCI)'!C:C,0)),IF(Tabla_Consulta_desde_Reporte_de_Valorización_de_Instrumentos[[#This Row],[Rank_rt]]="Cash","Cash","Cuestionario Integra"))</f>
        <v>Cash</v>
      </c>
      <c r="AR609" s="26" t="str">
        <f>IFERROR(INDEX('BD(MSCI)'!X:X,MATCH(Tabla_Consulta_desde_Reporte_de_Valorización_de_Instrumentos[[#This Row],[CODIGO_ISIN]],'BD(MSCI)'!C:C,0)),"Cuestionario Integra")</f>
        <v>Cuestionario Integra</v>
      </c>
    </row>
    <row r="610" spans="2:44" hidden="1" x14ac:dyDescent="0.25">
      <c r="B610" s="14" t="s">
        <v>6390</v>
      </c>
      <c r="C610" t="s">
        <v>840</v>
      </c>
      <c r="D610" t="s">
        <v>10</v>
      </c>
      <c r="E610" t="s">
        <v>841</v>
      </c>
      <c r="F610" t="s">
        <v>6592</v>
      </c>
      <c r="G610">
        <f>INDEX(Parametria!H:H,MATCH(Tabla_Consulta_desde_Reporte_de_Valorización_de_Instrumentos[[#This Row],[CODIGO_SBS]],Parametria!C:C,0),1)</f>
        <v>0</v>
      </c>
      <c r="H610" t="s">
        <v>90</v>
      </c>
      <c r="I610" t="s">
        <v>842</v>
      </c>
      <c r="J610" t="s">
        <v>5372</v>
      </c>
      <c r="K610" t="s">
        <v>50</v>
      </c>
      <c r="L610">
        <v>1</v>
      </c>
      <c r="M610" s="5">
        <v>0</v>
      </c>
      <c r="N610">
        <v>0</v>
      </c>
      <c r="O610">
        <v>0</v>
      </c>
      <c r="P610" s="15">
        <v>46022</v>
      </c>
      <c r="Q610">
        <v>0</v>
      </c>
      <c r="R610">
        <v>3.3609</v>
      </c>
      <c r="S610" t="s">
        <v>155</v>
      </c>
      <c r="T610">
        <v>8384495.582738</v>
      </c>
      <c r="U610" s="5">
        <v>2493456.13</v>
      </c>
      <c r="V610" t="s">
        <v>156</v>
      </c>
      <c r="W610">
        <v>0</v>
      </c>
      <c r="X610">
        <v>0</v>
      </c>
      <c r="Y610">
        <v>0</v>
      </c>
      <c r="Z610">
        <v>0</v>
      </c>
      <c r="AA610" t="str">
        <f>+MID(Tabla_Consulta_desde_Reporte_de_Valorización_de_Instrumentos[[#This Row],[CODIGO_SBS]],7,1)</f>
        <v>2</v>
      </c>
      <c r="AB610">
        <f>INDEX('Cálculo Caja'!F:F,MATCH(Tabla_Consulta_desde_Reporte_de_Valorización_de_Instrumentos[[#This Row],[PORTAFOLIO]],'Cálculo Caja'!A:A,0),1)</f>
        <v>26256910350.436607</v>
      </c>
      <c r="AC610" s="17">
        <f>Tabla_Consulta_desde_Reporte_de_Valorización_de_Instrumentos[[#This Row],[VALOR_VECTOR_LOCAL]]/Tabla_Consulta_desde_Reporte_de_Valorización_de_Instrumentos[[#This Row],[Patrimonio]]</f>
        <v>0</v>
      </c>
      <c r="AD610" s="4">
        <f>(Tabla_Consulta_desde_Reporte_de_Valorización_de_Instrumentos[[#This Row],[VALOR_VECTOR_LOCAL]]/INDEX('Tipo de Cambio'!$D:$D,MATCH("2",'Tipo de Cambio'!$E:$E,0),1))/1000000</f>
        <v>0</v>
      </c>
      <c r="AE610">
        <f>IF(Tabla_Consulta_desde_Reporte_de_Valorización_de_Instrumentos[[#This Row],[PORTAFOLIO]]="IN-FONDO0",Tabla_Consulta_desde_Reporte_de_Valorización_de_Instrumentos[[#This Row],[Inv MM$]],0)</f>
        <v>0</v>
      </c>
      <c r="AF610" s="26">
        <f>IF(Tabla_Consulta_desde_Reporte_de_Valorización_de_Instrumentos[[#This Row],[PORTAFOLIO]]="IN-FONDO1",Tabla_Consulta_desde_Reporte_de_Valorización_de_Instrumentos[[#This Row],[Inv MM$]],0)</f>
        <v>0</v>
      </c>
      <c r="AG610" s="26">
        <f>IF(Tabla_Consulta_desde_Reporte_de_Valorización_de_Instrumentos[[#This Row],[PORTAFOLIO]]="IN-FONDO2",Tabla_Consulta_desde_Reporte_de_Valorización_de_Instrumentos[[#This Row],[Inv MM$]],0)</f>
        <v>0</v>
      </c>
      <c r="AH610" s="26">
        <f>IF(Tabla_Consulta_desde_Reporte_de_Valorización_de_Instrumentos[[#This Row],[PORTAFOLIO]]="IN-FONDO3",Tabla_Consulta_desde_Reporte_de_Valorización_de_Instrumentos[[#This Row],[Inv MM$]],0)</f>
        <v>0</v>
      </c>
      <c r="AI61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10" s="26">
        <f>IFERROR(IFERROR(INDEX('BD(MSCI)'!$T:$T,MATCH(Tabla_Consulta_desde_Reporte_de_Valorización_de_Instrumentos[[#This Row],[CODIGO_ISIN]],'BD(MSCI)'!$C:$C,0),1),INDEX('BD(MSCI)'!$T:$T,MATCH(Tabla_Consulta_desde_Reporte_de_Valorización_de_Instrumentos[[#This Row],[CODIGO_SBS]],'BD(MSCI)'!$C:$C,0),1)),0)</f>
        <v>0</v>
      </c>
      <c r="AK610" s="26">
        <f>Tabla_Consulta_desde_Reporte_de_Valorización_de_Instrumentos[[#This Row],[C02-H]]*Tabla_Consulta_desde_Reporte_de_Valorización_de_Instrumentos[[#This Row],[Inv MM$]]</f>
        <v>0</v>
      </c>
      <c r="AL610" s="26">
        <f>Tabla_Consulta_desde_Reporte_de_Valorización_de_Instrumentos[[#This Row],[C02-H]]*Tabla_Consulta_desde_Reporte_de_Valorización_de_Instrumentos[[#This Row],[Weight]]</f>
        <v>0</v>
      </c>
      <c r="AM610" s="26">
        <f>INDEX(Parametria!G:G,MATCH(Tabla_Consulta_desde_Reporte_de_Valorización_de_Instrumentos[[#This Row],[CODIGO_SBS]],Parametria!C:C,0))</f>
        <v>0</v>
      </c>
      <c r="AN610" s="26" t="str">
        <f>INDEX(Parametria!F:F,MATCH(Tabla_Consulta_desde_Reporte_de_Valorización_de_Instrumentos[[#This Row],[CODIGO_SBS]],Parametria!C:C,0))</f>
        <v>Cash</v>
      </c>
      <c r="AO610" s="26" t="str">
        <f>+INDEX(Parametria!J:J,MATCH(Tabla_Consulta_desde_Reporte_de_Valorización_de_Instrumentos[[#This Row],[CODIGO_SBS]],Parametria!C:C,0))</f>
        <v>Cash</v>
      </c>
      <c r="AP610" s="26">
        <f>Tabla_Consulta_desde_Reporte_de_Valorización_de_Instrumentos[[#This Row],[Huella]]/$AU$4</f>
        <v>0</v>
      </c>
      <c r="AQ610" s="26" t="str">
        <f>IFERROR(INDEX('BD(MSCI)'!W:W,MATCH(Tabla_Consulta_desde_Reporte_de_Valorización_de_Instrumentos[[#This Row],[CODIGO_ISIN]],'BD(MSCI)'!C:C,0)),IF(Tabla_Consulta_desde_Reporte_de_Valorización_de_Instrumentos[[#This Row],[Rank_rt]]="Cash","Cash","Cuestionario Integra"))</f>
        <v>Cash</v>
      </c>
      <c r="AR610" s="26" t="str">
        <f>IFERROR(INDEX('BD(MSCI)'!X:X,MATCH(Tabla_Consulta_desde_Reporte_de_Valorización_de_Instrumentos[[#This Row],[CODIGO_ISIN]],'BD(MSCI)'!C:C,0)),"Cuestionario Integra")</f>
        <v>Cuestionario Integra</v>
      </c>
    </row>
    <row r="611" spans="2:44" hidden="1" x14ac:dyDescent="0.25">
      <c r="B611" s="14" t="s">
        <v>6390</v>
      </c>
      <c r="C611" t="s">
        <v>840</v>
      </c>
      <c r="D611" t="s">
        <v>10</v>
      </c>
      <c r="E611" t="s">
        <v>841</v>
      </c>
      <c r="F611" t="s">
        <v>6593</v>
      </c>
      <c r="G611">
        <f>INDEX(Parametria!H:H,MATCH(Tabla_Consulta_desde_Reporte_de_Valorización_de_Instrumentos[[#This Row],[CODIGO_SBS]],Parametria!C:C,0),1)</f>
        <v>0</v>
      </c>
      <c r="H611" t="s">
        <v>90</v>
      </c>
      <c r="I611" t="s">
        <v>842</v>
      </c>
      <c r="J611" t="s">
        <v>4653</v>
      </c>
      <c r="K611" t="s">
        <v>50</v>
      </c>
      <c r="L611">
        <v>1</v>
      </c>
      <c r="M611" s="5">
        <v>0</v>
      </c>
      <c r="N611">
        <v>0</v>
      </c>
      <c r="O611">
        <v>0</v>
      </c>
      <c r="P611" s="15">
        <v>46022</v>
      </c>
      <c r="Q611">
        <v>0</v>
      </c>
      <c r="R611">
        <v>3.3609</v>
      </c>
      <c r="S611" t="s">
        <v>155</v>
      </c>
      <c r="T611">
        <v>2501349.5354900002</v>
      </c>
      <c r="U611" s="5">
        <v>743873.65</v>
      </c>
      <c r="V611" t="s">
        <v>156</v>
      </c>
      <c r="W611">
        <v>0</v>
      </c>
      <c r="X611">
        <v>0</v>
      </c>
      <c r="Y611">
        <v>0</v>
      </c>
      <c r="Z611">
        <v>0</v>
      </c>
      <c r="AA611" t="str">
        <f>+MID(Tabla_Consulta_desde_Reporte_de_Valorización_de_Instrumentos[[#This Row],[CODIGO_SBS]],7,1)</f>
        <v>2</v>
      </c>
      <c r="AB611">
        <f>INDEX('Cálculo Caja'!F:F,MATCH(Tabla_Consulta_desde_Reporte_de_Valorización_de_Instrumentos[[#This Row],[PORTAFOLIO]],'Cálculo Caja'!A:A,0),1)</f>
        <v>26256910350.436607</v>
      </c>
      <c r="AC611" s="17">
        <f>Tabla_Consulta_desde_Reporte_de_Valorización_de_Instrumentos[[#This Row],[VALOR_VECTOR_LOCAL]]/Tabla_Consulta_desde_Reporte_de_Valorización_de_Instrumentos[[#This Row],[Patrimonio]]</f>
        <v>0</v>
      </c>
      <c r="AD611" s="4">
        <f>(Tabla_Consulta_desde_Reporte_de_Valorización_de_Instrumentos[[#This Row],[VALOR_VECTOR_LOCAL]]/INDEX('Tipo de Cambio'!$D:$D,MATCH("2",'Tipo de Cambio'!$E:$E,0),1))/1000000</f>
        <v>0</v>
      </c>
      <c r="AE611">
        <f>IF(Tabla_Consulta_desde_Reporte_de_Valorización_de_Instrumentos[[#This Row],[PORTAFOLIO]]="IN-FONDO0",Tabla_Consulta_desde_Reporte_de_Valorización_de_Instrumentos[[#This Row],[Inv MM$]],0)</f>
        <v>0</v>
      </c>
      <c r="AF611" s="26">
        <f>IF(Tabla_Consulta_desde_Reporte_de_Valorización_de_Instrumentos[[#This Row],[PORTAFOLIO]]="IN-FONDO1",Tabla_Consulta_desde_Reporte_de_Valorización_de_Instrumentos[[#This Row],[Inv MM$]],0)</f>
        <v>0</v>
      </c>
      <c r="AG611" s="26">
        <f>IF(Tabla_Consulta_desde_Reporte_de_Valorización_de_Instrumentos[[#This Row],[PORTAFOLIO]]="IN-FONDO2",Tabla_Consulta_desde_Reporte_de_Valorización_de_Instrumentos[[#This Row],[Inv MM$]],0)</f>
        <v>0</v>
      </c>
      <c r="AH611" s="26">
        <f>IF(Tabla_Consulta_desde_Reporte_de_Valorización_de_Instrumentos[[#This Row],[PORTAFOLIO]]="IN-FONDO3",Tabla_Consulta_desde_Reporte_de_Valorización_de_Instrumentos[[#This Row],[Inv MM$]],0)</f>
        <v>0</v>
      </c>
      <c r="AI61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11" s="26">
        <f>IFERROR(IFERROR(INDEX('BD(MSCI)'!$T:$T,MATCH(Tabla_Consulta_desde_Reporte_de_Valorización_de_Instrumentos[[#This Row],[CODIGO_ISIN]],'BD(MSCI)'!$C:$C,0),1),INDEX('BD(MSCI)'!$T:$T,MATCH(Tabla_Consulta_desde_Reporte_de_Valorización_de_Instrumentos[[#This Row],[CODIGO_SBS]],'BD(MSCI)'!$C:$C,0),1)),0)</f>
        <v>0</v>
      </c>
      <c r="AK611" s="26">
        <f>Tabla_Consulta_desde_Reporte_de_Valorización_de_Instrumentos[[#This Row],[C02-H]]*Tabla_Consulta_desde_Reporte_de_Valorización_de_Instrumentos[[#This Row],[Inv MM$]]</f>
        <v>0</v>
      </c>
      <c r="AL611" s="26">
        <f>Tabla_Consulta_desde_Reporte_de_Valorización_de_Instrumentos[[#This Row],[C02-H]]*Tabla_Consulta_desde_Reporte_de_Valorización_de_Instrumentos[[#This Row],[Weight]]</f>
        <v>0</v>
      </c>
      <c r="AM611" s="26">
        <f>INDEX(Parametria!G:G,MATCH(Tabla_Consulta_desde_Reporte_de_Valorización_de_Instrumentos[[#This Row],[CODIGO_SBS]],Parametria!C:C,0))</f>
        <v>0</v>
      </c>
      <c r="AN611" s="26" t="str">
        <f>INDEX(Parametria!F:F,MATCH(Tabla_Consulta_desde_Reporte_de_Valorización_de_Instrumentos[[#This Row],[CODIGO_SBS]],Parametria!C:C,0))</f>
        <v>Cash</v>
      </c>
      <c r="AO611" s="26" t="str">
        <f>+INDEX(Parametria!J:J,MATCH(Tabla_Consulta_desde_Reporte_de_Valorización_de_Instrumentos[[#This Row],[CODIGO_SBS]],Parametria!C:C,0))</f>
        <v>Cash</v>
      </c>
      <c r="AP611" s="26">
        <f>Tabla_Consulta_desde_Reporte_de_Valorización_de_Instrumentos[[#This Row],[Huella]]/$AU$4</f>
        <v>0</v>
      </c>
      <c r="AQ611" s="26" t="str">
        <f>IFERROR(INDEX('BD(MSCI)'!W:W,MATCH(Tabla_Consulta_desde_Reporte_de_Valorización_de_Instrumentos[[#This Row],[CODIGO_ISIN]],'BD(MSCI)'!C:C,0)),IF(Tabla_Consulta_desde_Reporte_de_Valorización_de_Instrumentos[[#This Row],[Rank_rt]]="Cash","Cash","Cuestionario Integra"))</f>
        <v>Cash</v>
      </c>
      <c r="AR611" s="26" t="str">
        <f>IFERROR(INDEX('BD(MSCI)'!X:X,MATCH(Tabla_Consulta_desde_Reporte_de_Valorización_de_Instrumentos[[#This Row],[CODIGO_ISIN]],'BD(MSCI)'!C:C,0)),"Cuestionario Integra")</f>
        <v>Cuestionario Integra</v>
      </c>
    </row>
    <row r="612" spans="2:44" hidden="1" x14ac:dyDescent="0.25">
      <c r="B612" s="14" t="s">
        <v>6390</v>
      </c>
      <c r="C612" t="s">
        <v>840</v>
      </c>
      <c r="D612" t="s">
        <v>10</v>
      </c>
      <c r="E612" t="s">
        <v>841</v>
      </c>
      <c r="F612" t="s">
        <v>6594</v>
      </c>
      <c r="G612">
        <f>INDEX(Parametria!H:H,MATCH(Tabla_Consulta_desde_Reporte_de_Valorización_de_Instrumentos[[#This Row],[CODIGO_SBS]],Parametria!C:C,0),1)</f>
        <v>0</v>
      </c>
      <c r="H612" t="s">
        <v>90</v>
      </c>
      <c r="I612" t="s">
        <v>842</v>
      </c>
      <c r="J612" t="s">
        <v>4653</v>
      </c>
      <c r="K612" t="s">
        <v>50</v>
      </c>
      <c r="L612">
        <v>1</v>
      </c>
      <c r="M612" s="5">
        <v>0</v>
      </c>
      <c r="N612">
        <v>0</v>
      </c>
      <c r="O612">
        <v>0</v>
      </c>
      <c r="P612" s="15">
        <v>46022</v>
      </c>
      <c r="Q612">
        <v>0</v>
      </c>
      <c r="R612">
        <v>3.3609</v>
      </c>
      <c r="S612" t="s">
        <v>155</v>
      </c>
      <c r="T612">
        <v>30883126.742862001</v>
      </c>
      <c r="U612" s="5">
        <v>9184299.8699999992</v>
      </c>
      <c r="V612" t="s">
        <v>156</v>
      </c>
      <c r="W612">
        <v>0</v>
      </c>
      <c r="X612">
        <v>0</v>
      </c>
      <c r="Y612">
        <v>0</v>
      </c>
      <c r="Z612">
        <v>0</v>
      </c>
      <c r="AA612" t="str">
        <f>+MID(Tabla_Consulta_desde_Reporte_de_Valorización_de_Instrumentos[[#This Row],[CODIGO_SBS]],7,1)</f>
        <v>2</v>
      </c>
      <c r="AB612">
        <f>INDEX('Cálculo Caja'!F:F,MATCH(Tabla_Consulta_desde_Reporte_de_Valorización_de_Instrumentos[[#This Row],[PORTAFOLIO]],'Cálculo Caja'!A:A,0),1)</f>
        <v>26256910350.436607</v>
      </c>
      <c r="AC612" s="17">
        <f>Tabla_Consulta_desde_Reporte_de_Valorización_de_Instrumentos[[#This Row],[VALOR_VECTOR_LOCAL]]/Tabla_Consulta_desde_Reporte_de_Valorización_de_Instrumentos[[#This Row],[Patrimonio]]</f>
        <v>0</v>
      </c>
      <c r="AD612" s="4">
        <f>(Tabla_Consulta_desde_Reporte_de_Valorización_de_Instrumentos[[#This Row],[VALOR_VECTOR_LOCAL]]/INDEX('Tipo de Cambio'!$D:$D,MATCH("2",'Tipo de Cambio'!$E:$E,0),1))/1000000</f>
        <v>0</v>
      </c>
      <c r="AE612">
        <f>IF(Tabla_Consulta_desde_Reporte_de_Valorización_de_Instrumentos[[#This Row],[PORTAFOLIO]]="IN-FONDO0",Tabla_Consulta_desde_Reporte_de_Valorización_de_Instrumentos[[#This Row],[Inv MM$]],0)</f>
        <v>0</v>
      </c>
      <c r="AF612" s="26">
        <f>IF(Tabla_Consulta_desde_Reporte_de_Valorización_de_Instrumentos[[#This Row],[PORTAFOLIO]]="IN-FONDO1",Tabla_Consulta_desde_Reporte_de_Valorización_de_Instrumentos[[#This Row],[Inv MM$]],0)</f>
        <v>0</v>
      </c>
      <c r="AG612" s="26">
        <f>IF(Tabla_Consulta_desde_Reporte_de_Valorización_de_Instrumentos[[#This Row],[PORTAFOLIO]]="IN-FONDO2",Tabla_Consulta_desde_Reporte_de_Valorización_de_Instrumentos[[#This Row],[Inv MM$]],0)</f>
        <v>0</v>
      </c>
      <c r="AH612" s="26">
        <f>IF(Tabla_Consulta_desde_Reporte_de_Valorización_de_Instrumentos[[#This Row],[PORTAFOLIO]]="IN-FONDO3",Tabla_Consulta_desde_Reporte_de_Valorización_de_Instrumentos[[#This Row],[Inv MM$]],0)</f>
        <v>0</v>
      </c>
      <c r="AI61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12" s="26">
        <f>IFERROR(IFERROR(INDEX('BD(MSCI)'!$T:$T,MATCH(Tabla_Consulta_desde_Reporte_de_Valorización_de_Instrumentos[[#This Row],[CODIGO_ISIN]],'BD(MSCI)'!$C:$C,0),1),INDEX('BD(MSCI)'!$T:$T,MATCH(Tabla_Consulta_desde_Reporte_de_Valorización_de_Instrumentos[[#This Row],[CODIGO_SBS]],'BD(MSCI)'!$C:$C,0),1)),0)</f>
        <v>0</v>
      </c>
      <c r="AK612" s="26">
        <f>Tabla_Consulta_desde_Reporte_de_Valorización_de_Instrumentos[[#This Row],[C02-H]]*Tabla_Consulta_desde_Reporte_de_Valorización_de_Instrumentos[[#This Row],[Inv MM$]]</f>
        <v>0</v>
      </c>
      <c r="AL612" s="26">
        <f>Tabla_Consulta_desde_Reporte_de_Valorización_de_Instrumentos[[#This Row],[C02-H]]*Tabla_Consulta_desde_Reporte_de_Valorización_de_Instrumentos[[#This Row],[Weight]]</f>
        <v>0</v>
      </c>
      <c r="AM612" s="26">
        <f>INDEX(Parametria!G:G,MATCH(Tabla_Consulta_desde_Reporte_de_Valorización_de_Instrumentos[[#This Row],[CODIGO_SBS]],Parametria!C:C,0))</f>
        <v>0</v>
      </c>
      <c r="AN612" s="26" t="str">
        <f>INDEX(Parametria!F:F,MATCH(Tabla_Consulta_desde_Reporte_de_Valorización_de_Instrumentos[[#This Row],[CODIGO_SBS]],Parametria!C:C,0))</f>
        <v>Cash</v>
      </c>
      <c r="AO612" s="26" t="str">
        <f>+INDEX(Parametria!J:J,MATCH(Tabla_Consulta_desde_Reporte_de_Valorización_de_Instrumentos[[#This Row],[CODIGO_SBS]],Parametria!C:C,0))</f>
        <v>Cash</v>
      </c>
      <c r="AP612" s="26">
        <f>Tabla_Consulta_desde_Reporte_de_Valorización_de_Instrumentos[[#This Row],[Huella]]/$AU$4</f>
        <v>0</v>
      </c>
      <c r="AQ612" s="26" t="str">
        <f>IFERROR(INDEX('BD(MSCI)'!W:W,MATCH(Tabla_Consulta_desde_Reporte_de_Valorización_de_Instrumentos[[#This Row],[CODIGO_ISIN]],'BD(MSCI)'!C:C,0)),IF(Tabla_Consulta_desde_Reporte_de_Valorización_de_Instrumentos[[#This Row],[Rank_rt]]="Cash","Cash","Cuestionario Integra"))</f>
        <v>Cash</v>
      </c>
      <c r="AR612" s="26" t="str">
        <f>IFERROR(INDEX('BD(MSCI)'!X:X,MATCH(Tabla_Consulta_desde_Reporte_de_Valorización_de_Instrumentos[[#This Row],[CODIGO_ISIN]],'BD(MSCI)'!C:C,0)),"Cuestionario Integra")</f>
        <v>Cuestionario Integra</v>
      </c>
    </row>
    <row r="613" spans="2:44" hidden="1" x14ac:dyDescent="0.25">
      <c r="B613" s="14" t="s">
        <v>6390</v>
      </c>
      <c r="C613" t="s">
        <v>840</v>
      </c>
      <c r="D613" t="s">
        <v>10</v>
      </c>
      <c r="E613" t="s">
        <v>841</v>
      </c>
      <c r="F613" t="s">
        <v>6595</v>
      </c>
      <c r="G613">
        <f>INDEX(Parametria!H:H,MATCH(Tabla_Consulta_desde_Reporte_de_Valorización_de_Instrumentos[[#This Row],[CODIGO_SBS]],Parametria!C:C,0),1)</f>
        <v>0</v>
      </c>
      <c r="H613" t="s">
        <v>90</v>
      </c>
      <c r="I613" t="s">
        <v>842</v>
      </c>
      <c r="J613" t="s">
        <v>4861</v>
      </c>
      <c r="K613" t="s">
        <v>50</v>
      </c>
      <c r="L613">
        <v>1</v>
      </c>
      <c r="M613" s="5">
        <v>0</v>
      </c>
      <c r="N613">
        <v>0</v>
      </c>
      <c r="O613">
        <v>0</v>
      </c>
      <c r="P613" s="15">
        <v>46022</v>
      </c>
      <c r="Q613">
        <v>0</v>
      </c>
      <c r="R613">
        <v>3.3609</v>
      </c>
      <c r="S613" t="s">
        <v>155</v>
      </c>
      <c r="T613">
        <v>18512626.035496</v>
      </c>
      <c r="U613" s="5">
        <v>5505449.96</v>
      </c>
      <c r="V613" t="s">
        <v>156</v>
      </c>
      <c r="W613">
        <v>0</v>
      </c>
      <c r="X613">
        <v>0</v>
      </c>
      <c r="Y613">
        <v>0</v>
      </c>
      <c r="Z613">
        <v>0</v>
      </c>
      <c r="AA613" t="str">
        <f>+MID(Tabla_Consulta_desde_Reporte_de_Valorización_de_Instrumentos[[#This Row],[CODIGO_SBS]],7,1)</f>
        <v>2</v>
      </c>
      <c r="AB613">
        <f>INDEX('Cálculo Caja'!F:F,MATCH(Tabla_Consulta_desde_Reporte_de_Valorización_de_Instrumentos[[#This Row],[PORTAFOLIO]],'Cálculo Caja'!A:A,0),1)</f>
        <v>26256910350.436607</v>
      </c>
      <c r="AC613" s="17">
        <f>Tabla_Consulta_desde_Reporte_de_Valorización_de_Instrumentos[[#This Row],[VALOR_VECTOR_LOCAL]]/Tabla_Consulta_desde_Reporte_de_Valorización_de_Instrumentos[[#This Row],[Patrimonio]]</f>
        <v>0</v>
      </c>
      <c r="AD613" s="4">
        <f>(Tabla_Consulta_desde_Reporte_de_Valorización_de_Instrumentos[[#This Row],[VALOR_VECTOR_LOCAL]]/INDEX('Tipo de Cambio'!$D:$D,MATCH("2",'Tipo de Cambio'!$E:$E,0),1))/1000000</f>
        <v>0</v>
      </c>
      <c r="AE613">
        <f>IF(Tabla_Consulta_desde_Reporte_de_Valorización_de_Instrumentos[[#This Row],[PORTAFOLIO]]="IN-FONDO0",Tabla_Consulta_desde_Reporte_de_Valorización_de_Instrumentos[[#This Row],[Inv MM$]],0)</f>
        <v>0</v>
      </c>
      <c r="AF613" s="26">
        <f>IF(Tabla_Consulta_desde_Reporte_de_Valorización_de_Instrumentos[[#This Row],[PORTAFOLIO]]="IN-FONDO1",Tabla_Consulta_desde_Reporte_de_Valorización_de_Instrumentos[[#This Row],[Inv MM$]],0)</f>
        <v>0</v>
      </c>
      <c r="AG613" s="26">
        <f>IF(Tabla_Consulta_desde_Reporte_de_Valorización_de_Instrumentos[[#This Row],[PORTAFOLIO]]="IN-FONDO2",Tabla_Consulta_desde_Reporte_de_Valorización_de_Instrumentos[[#This Row],[Inv MM$]],0)</f>
        <v>0</v>
      </c>
      <c r="AH613" s="26">
        <f>IF(Tabla_Consulta_desde_Reporte_de_Valorización_de_Instrumentos[[#This Row],[PORTAFOLIO]]="IN-FONDO3",Tabla_Consulta_desde_Reporte_de_Valorización_de_Instrumentos[[#This Row],[Inv MM$]],0)</f>
        <v>0</v>
      </c>
      <c r="AI61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13" s="26">
        <f>IFERROR(IFERROR(INDEX('BD(MSCI)'!$T:$T,MATCH(Tabla_Consulta_desde_Reporte_de_Valorización_de_Instrumentos[[#This Row],[CODIGO_ISIN]],'BD(MSCI)'!$C:$C,0),1),INDEX('BD(MSCI)'!$T:$T,MATCH(Tabla_Consulta_desde_Reporte_de_Valorización_de_Instrumentos[[#This Row],[CODIGO_SBS]],'BD(MSCI)'!$C:$C,0),1)),0)</f>
        <v>0</v>
      </c>
      <c r="AK613" s="26">
        <f>Tabla_Consulta_desde_Reporte_de_Valorización_de_Instrumentos[[#This Row],[C02-H]]*Tabla_Consulta_desde_Reporte_de_Valorización_de_Instrumentos[[#This Row],[Inv MM$]]</f>
        <v>0</v>
      </c>
      <c r="AL613" s="26">
        <f>Tabla_Consulta_desde_Reporte_de_Valorización_de_Instrumentos[[#This Row],[C02-H]]*Tabla_Consulta_desde_Reporte_de_Valorización_de_Instrumentos[[#This Row],[Weight]]</f>
        <v>0</v>
      </c>
      <c r="AM613" s="26">
        <f>INDEX(Parametria!G:G,MATCH(Tabla_Consulta_desde_Reporte_de_Valorización_de_Instrumentos[[#This Row],[CODIGO_SBS]],Parametria!C:C,0))</f>
        <v>0</v>
      </c>
      <c r="AN613" s="26" t="str">
        <f>INDEX(Parametria!F:F,MATCH(Tabla_Consulta_desde_Reporte_de_Valorización_de_Instrumentos[[#This Row],[CODIGO_SBS]],Parametria!C:C,0))</f>
        <v>Cash</v>
      </c>
      <c r="AO613" s="26" t="str">
        <f>+INDEX(Parametria!J:J,MATCH(Tabla_Consulta_desde_Reporte_de_Valorización_de_Instrumentos[[#This Row],[CODIGO_SBS]],Parametria!C:C,0))</f>
        <v>Cash</v>
      </c>
      <c r="AP613" s="26">
        <f>Tabla_Consulta_desde_Reporte_de_Valorización_de_Instrumentos[[#This Row],[Huella]]/$AU$4</f>
        <v>0</v>
      </c>
      <c r="AQ613" s="26" t="str">
        <f>IFERROR(INDEX('BD(MSCI)'!W:W,MATCH(Tabla_Consulta_desde_Reporte_de_Valorización_de_Instrumentos[[#This Row],[CODIGO_ISIN]],'BD(MSCI)'!C:C,0)),IF(Tabla_Consulta_desde_Reporte_de_Valorización_de_Instrumentos[[#This Row],[Rank_rt]]="Cash","Cash","Cuestionario Integra"))</f>
        <v>Cash</v>
      </c>
      <c r="AR613" s="26" t="str">
        <f>IFERROR(INDEX('BD(MSCI)'!X:X,MATCH(Tabla_Consulta_desde_Reporte_de_Valorización_de_Instrumentos[[#This Row],[CODIGO_ISIN]],'BD(MSCI)'!C:C,0)),"Cuestionario Integra")</f>
        <v>Cuestionario Integra</v>
      </c>
    </row>
    <row r="614" spans="2:44" hidden="1" x14ac:dyDescent="0.25">
      <c r="B614" s="14" t="s">
        <v>6390</v>
      </c>
      <c r="C614" t="s">
        <v>840</v>
      </c>
      <c r="D614" t="s">
        <v>10</v>
      </c>
      <c r="E614" t="s">
        <v>841</v>
      </c>
      <c r="F614" t="s">
        <v>6596</v>
      </c>
      <c r="G614">
        <f>INDEX(Parametria!H:H,MATCH(Tabla_Consulta_desde_Reporte_de_Valorización_de_Instrumentos[[#This Row],[CODIGO_SBS]],Parametria!C:C,0),1)</f>
        <v>0</v>
      </c>
      <c r="H614" t="s">
        <v>90</v>
      </c>
      <c r="I614" t="s">
        <v>842</v>
      </c>
      <c r="J614" t="s">
        <v>4861</v>
      </c>
      <c r="K614" t="s">
        <v>50</v>
      </c>
      <c r="L614">
        <v>1</v>
      </c>
      <c r="M614" s="5">
        <v>0</v>
      </c>
      <c r="N614">
        <v>0</v>
      </c>
      <c r="O614">
        <v>0</v>
      </c>
      <c r="P614" s="15">
        <v>46022</v>
      </c>
      <c r="Q614">
        <v>0</v>
      </c>
      <c r="R614">
        <v>3.3609</v>
      </c>
      <c r="S614" t="s">
        <v>155</v>
      </c>
      <c r="T614">
        <v>104988.7785</v>
      </c>
      <c r="U614" s="5">
        <v>31222.5</v>
      </c>
      <c r="V614" t="s">
        <v>156</v>
      </c>
      <c r="W614">
        <v>0</v>
      </c>
      <c r="X614">
        <v>0</v>
      </c>
      <c r="Y614">
        <v>0</v>
      </c>
      <c r="Z614">
        <v>0</v>
      </c>
      <c r="AA614" t="str">
        <f>+MID(Tabla_Consulta_desde_Reporte_de_Valorización_de_Instrumentos[[#This Row],[CODIGO_SBS]],7,1)</f>
        <v>2</v>
      </c>
      <c r="AB614">
        <f>INDEX('Cálculo Caja'!F:F,MATCH(Tabla_Consulta_desde_Reporte_de_Valorización_de_Instrumentos[[#This Row],[PORTAFOLIO]],'Cálculo Caja'!A:A,0),1)</f>
        <v>26256910350.436607</v>
      </c>
      <c r="AC614" s="17">
        <f>Tabla_Consulta_desde_Reporte_de_Valorización_de_Instrumentos[[#This Row],[VALOR_VECTOR_LOCAL]]/Tabla_Consulta_desde_Reporte_de_Valorización_de_Instrumentos[[#This Row],[Patrimonio]]</f>
        <v>0</v>
      </c>
      <c r="AD614" s="4">
        <f>(Tabla_Consulta_desde_Reporte_de_Valorización_de_Instrumentos[[#This Row],[VALOR_VECTOR_LOCAL]]/INDEX('Tipo de Cambio'!$D:$D,MATCH("2",'Tipo de Cambio'!$E:$E,0),1))/1000000</f>
        <v>0</v>
      </c>
      <c r="AE614">
        <f>IF(Tabla_Consulta_desde_Reporte_de_Valorización_de_Instrumentos[[#This Row],[PORTAFOLIO]]="IN-FONDO0",Tabla_Consulta_desde_Reporte_de_Valorización_de_Instrumentos[[#This Row],[Inv MM$]],0)</f>
        <v>0</v>
      </c>
      <c r="AF614" s="26">
        <f>IF(Tabla_Consulta_desde_Reporte_de_Valorización_de_Instrumentos[[#This Row],[PORTAFOLIO]]="IN-FONDO1",Tabla_Consulta_desde_Reporte_de_Valorización_de_Instrumentos[[#This Row],[Inv MM$]],0)</f>
        <v>0</v>
      </c>
      <c r="AG614" s="26">
        <f>IF(Tabla_Consulta_desde_Reporte_de_Valorización_de_Instrumentos[[#This Row],[PORTAFOLIO]]="IN-FONDO2",Tabla_Consulta_desde_Reporte_de_Valorización_de_Instrumentos[[#This Row],[Inv MM$]],0)</f>
        <v>0</v>
      </c>
      <c r="AH614" s="26">
        <f>IF(Tabla_Consulta_desde_Reporte_de_Valorización_de_Instrumentos[[#This Row],[PORTAFOLIO]]="IN-FONDO3",Tabla_Consulta_desde_Reporte_de_Valorización_de_Instrumentos[[#This Row],[Inv MM$]],0)</f>
        <v>0</v>
      </c>
      <c r="AI61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14" s="26">
        <f>IFERROR(IFERROR(INDEX('BD(MSCI)'!$T:$T,MATCH(Tabla_Consulta_desde_Reporte_de_Valorización_de_Instrumentos[[#This Row],[CODIGO_ISIN]],'BD(MSCI)'!$C:$C,0),1),INDEX('BD(MSCI)'!$T:$T,MATCH(Tabla_Consulta_desde_Reporte_de_Valorización_de_Instrumentos[[#This Row],[CODIGO_SBS]],'BD(MSCI)'!$C:$C,0),1)),0)</f>
        <v>0</v>
      </c>
      <c r="AK614" s="26">
        <f>Tabla_Consulta_desde_Reporte_de_Valorización_de_Instrumentos[[#This Row],[C02-H]]*Tabla_Consulta_desde_Reporte_de_Valorización_de_Instrumentos[[#This Row],[Inv MM$]]</f>
        <v>0</v>
      </c>
      <c r="AL614" s="26">
        <f>Tabla_Consulta_desde_Reporte_de_Valorización_de_Instrumentos[[#This Row],[C02-H]]*Tabla_Consulta_desde_Reporte_de_Valorización_de_Instrumentos[[#This Row],[Weight]]</f>
        <v>0</v>
      </c>
      <c r="AM614" s="26">
        <f>INDEX(Parametria!G:G,MATCH(Tabla_Consulta_desde_Reporte_de_Valorización_de_Instrumentos[[#This Row],[CODIGO_SBS]],Parametria!C:C,0))</f>
        <v>0</v>
      </c>
      <c r="AN614" s="26" t="str">
        <f>INDEX(Parametria!F:F,MATCH(Tabla_Consulta_desde_Reporte_de_Valorización_de_Instrumentos[[#This Row],[CODIGO_SBS]],Parametria!C:C,0))</f>
        <v>Cash</v>
      </c>
      <c r="AO614" s="26" t="str">
        <f>+INDEX(Parametria!J:J,MATCH(Tabla_Consulta_desde_Reporte_de_Valorización_de_Instrumentos[[#This Row],[CODIGO_SBS]],Parametria!C:C,0))</f>
        <v>Cash</v>
      </c>
      <c r="AP614" s="26">
        <f>Tabla_Consulta_desde_Reporte_de_Valorización_de_Instrumentos[[#This Row],[Huella]]/$AU$4</f>
        <v>0</v>
      </c>
      <c r="AQ614" s="26" t="str">
        <f>IFERROR(INDEX('BD(MSCI)'!W:W,MATCH(Tabla_Consulta_desde_Reporte_de_Valorización_de_Instrumentos[[#This Row],[CODIGO_ISIN]],'BD(MSCI)'!C:C,0)),IF(Tabla_Consulta_desde_Reporte_de_Valorización_de_Instrumentos[[#This Row],[Rank_rt]]="Cash","Cash","Cuestionario Integra"))</f>
        <v>Cash</v>
      </c>
      <c r="AR614" s="26" t="str">
        <f>IFERROR(INDEX('BD(MSCI)'!X:X,MATCH(Tabla_Consulta_desde_Reporte_de_Valorización_de_Instrumentos[[#This Row],[CODIGO_ISIN]],'BD(MSCI)'!C:C,0)),"Cuestionario Integra")</f>
        <v>Cuestionario Integra</v>
      </c>
    </row>
    <row r="615" spans="2:44" hidden="1" x14ac:dyDescent="0.25">
      <c r="B615" s="14" t="s">
        <v>6390</v>
      </c>
      <c r="C615" t="s">
        <v>840</v>
      </c>
      <c r="D615" t="s">
        <v>10</v>
      </c>
      <c r="E615" t="s">
        <v>841</v>
      </c>
      <c r="F615" t="s">
        <v>6597</v>
      </c>
      <c r="G615">
        <f>INDEX(Parametria!H:H,MATCH(Tabla_Consulta_desde_Reporte_de_Valorización_de_Instrumentos[[#This Row],[CODIGO_SBS]],Parametria!C:C,0),1)</f>
        <v>0</v>
      </c>
      <c r="H615" t="s">
        <v>90</v>
      </c>
      <c r="I615" t="s">
        <v>842</v>
      </c>
      <c r="J615" t="s">
        <v>4861</v>
      </c>
      <c r="K615" t="s">
        <v>50</v>
      </c>
      <c r="L615">
        <v>1</v>
      </c>
      <c r="M615" s="5">
        <v>0</v>
      </c>
      <c r="N615">
        <v>0</v>
      </c>
      <c r="O615">
        <v>0</v>
      </c>
      <c r="P615" s="15">
        <v>46022</v>
      </c>
      <c r="Q615">
        <v>0</v>
      </c>
      <c r="R615">
        <v>3.3609</v>
      </c>
      <c r="S615" t="s">
        <v>155</v>
      </c>
      <c r="T615">
        <v>32702686.968818001</v>
      </c>
      <c r="U615" s="5">
        <v>9725416.9299999997</v>
      </c>
      <c r="V615" t="s">
        <v>156</v>
      </c>
      <c r="W615">
        <v>0</v>
      </c>
      <c r="X615">
        <v>0</v>
      </c>
      <c r="Y615">
        <v>0</v>
      </c>
      <c r="Z615">
        <v>0</v>
      </c>
      <c r="AA615" t="str">
        <f>+MID(Tabla_Consulta_desde_Reporte_de_Valorización_de_Instrumentos[[#This Row],[CODIGO_SBS]],7,1)</f>
        <v>2</v>
      </c>
      <c r="AB615">
        <f>INDEX('Cálculo Caja'!F:F,MATCH(Tabla_Consulta_desde_Reporte_de_Valorización_de_Instrumentos[[#This Row],[PORTAFOLIO]],'Cálculo Caja'!A:A,0),1)</f>
        <v>26256910350.436607</v>
      </c>
      <c r="AC615" s="17">
        <f>Tabla_Consulta_desde_Reporte_de_Valorización_de_Instrumentos[[#This Row],[VALOR_VECTOR_LOCAL]]/Tabla_Consulta_desde_Reporte_de_Valorización_de_Instrumentos[[#This Row],[Patrimonio]]</f>
        <v>0</v>
      </c>
      <c r="AD615" s="4">
        <f>(Tabla_Consulta_desde_Reporte_de_Valorización_de_Instrumentos[[#This Row],[VALOR_VECTOR_LOCAL]]/INDEX('Tipo de Cambio'!$D:$D,MATCH("2",'Tipo de Cambio'!$E:$E,0),1))/1000000</f>
        <v>0</v>
      </c>
      <c r="AE615">
        <f>IF(Tabla_Consulta_desde_Reporte_de_Valorización_de_Instrumentos[[#This Row],[PORTAFOLIO]]="IN-FONDO0",Tabla_Consulta_desde_Reporte_de_Valorización_de_Instrumentos[[#This Row],[Inv MM$]],0)</f>
        <v>0</v>
      </c>
      <c r="AF615" s="26">
        <f>IF(Tabla_Consulta_desde_Reporte_de_Valorización_de_Instrumentos[[#This Row],[PORTAFOLIO]]="IN-FONDO1",Tabla_Consulta_desde_Reporte_de_Valorización_de_Instrumentos[[#This Row],[Inv MM$]],0)</f>
        <v>0</v>
      </c>
      <c r="AG615" s="26">
        <f>IF(Tabla_Consulta_desde_Reporte_de_Valorización_de_Instrumentos[[#This Row],[PORTAFOLIO]]="IN-FONDO2",Tabla_Consulta_desde_Reporte_de_Valorización_de_Instrumentos[[#This Row],[Inv MM$]],0)</f>
        <v>0</v>
      </c>
      <c r="AH615" s="26">
        <f>IF(Tabla_Consulta_desde_Reporte_de_Valorización_de_Instrumentos[[#This Row],[PORTAFOLIO]]="IN-FONDO3",Tabla_Consulta_desde_Reporte_de_Valorización_de_Instrumentos[[#This Row],[Inv MM$]],0)</f>
        <v>0</v>
      </c>
      <c r="AI61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15" s="26">
        <f>IFERROR(IFERROR(INDEX('BD(MSCI)'!$T:$T,MATCH(Tabla_Consulta_desde_Reporte_de_Valorización_de_Instrumentos[[#This Row],[CODIGO_ISIN]],'BD(MSCI)'!$C:$C,0),1),INDEX('BD(MSCI)'!$T:$T,MATCH(Tabla_Consulta_desde_Reporte_de_Valorización_de_Instrumentos[[#This Row],[CODIGO_SBS]],'BD(MSCI)'!$C:$C,0),1)),0)</f>
        <v>0</v>
      </c>
      <c r="AK615" s="26">
        <f>Tabla_Consulta_desde_Reporte_de_Valorización_de_Instrumentos[[#This Row],[C02-H]]*Tabla_Consulta_desde_Reporte_de_Valorización_de_Instrumentos[[#This Row],[Inv MM$]]</f>
        <v>0</v>
      </c>
      <c r="AL615" s="26">
        <f>Tabla_Consulta_desde_Reporte_de_Valorización_de_Instrumentos[[#This Row],[C02-H]]*Tabla_Consulta_desde_Reporte_de_Valorización_de_Instrumentos[[#This Row],[Weight]]</f>
        <v>0</v>
      </c>
      <c r="AM615" s="26">
        <f>INDEX(Parametria!G:G,MATCH(Tabla_Consulta_desde_Reporte_de_Valorización_de_Instrumentos[[#This Row],[CODIGO_SBS]],Parametria!C:C,0))</f>
        <v>0</v>
      </c>
      <c r="AN615" s="26" t="str">
        <f>INDEX(Parametria!F:F,MATCH(Tabla_Consulta_desde_Reporte_de_Valorización_de_Instrumentos[[#This Row],[CODIGO_SBS]],Parametria!C:C,0))</f>
        <v>Cash</v>
      </c>
      <c r="AO615" s="26" t="str">
        <f>+INDEX(Parametria!J:J,MATCH(Tabla_Consulta_desde_Reporte_de_Valorización_de_Instrumentos[[#This Row],[CODIGO_SBS]],Parametria!C:C,0))</f>
        <v>Cash</v>
      </c>
      <c r="AP615" s="26">
        <f>Tabla_Consulta_desde_Reporte_de_Valorización_de_Instrumentos[[#This Row],[Huella]]/$AU$4</f>
        <v>0</v>
      </c>
      <c r="AQ615" s="26" t="str">
        <f>IFERROR(INDEX('BD(MSCI)'!W:W,MATCH(Tabla_Consulta_desde_Reporte_de_Valorización_de_Instrumentos[[#This Row],[CODIGO_ISIN]],'BD(MSCI)'!C:C,0)),IF(Tabla_Consulta_desde_Reporte_de_Valorización_de_Instrumentos[[#This Row],[Rank_rt]]="Cash","Cash","Cuestionario Integra"))</f>
        <v>Cash</v>
      </c>
      <c r="AR615" s="26" t="str">
        <f>IFERROR(INDEX('BD(MSCI)'!X:X,MATCH(Tabla_Consulta_desde_Reporte_de_Valorización_de_Instrumentos[[#This Row],[CODIGO_ISIN]],'BD(MSCI)'!C:C,0)),"Cuestionario Integra")</f>
        <v>Cuestionario Integra</v>
      </c>
    </row>
    <row r="616" spans="2:44" hidden="1" x14ac:dyDescent="0.25">
      <c r="B616" s="14" t="s">
        <v>6390</v>
      </c>
      <c r="C616" t="s">
        <v>840</v>
      </c>
      <c r="D616" t="s">
        <v>10</v>
      </c>
      <c r="E616" t="s">
        <v>841</v>
      </c>
      <c r="F616" t="s">
        <v>6598</v>
      </c>
      <c r="G616">
        <f>INDEX(Parametria!H:H,MATCH(Tabla_Consulta_desde_Reporte_de_Valorización_de_Instrumentos[[#This Row],[CODIGO_SBS]],Parametria!C:C,0),1)</f>
        <v>0</v>
      </c>
      <c r="H616" t="s">
        <v>90</v>
      </c>
      <c r="I616" t="s">
        <v>842</v>
      </c>
      <c r="J616" t="s">
        <v>4652</v>
      </c>
      <c r="K616" t="s">
        <v>50</v>
      </c>
      <c r="L616">
        <v>1</v>
      </c>
      <c r="M616" s="5">
        <v>0</v>
      </c>
      <c r="N616">
        <v>0</v>
      </c>
      <c r="O616">
        <v>0</v>
      </c>
      <c r="P616" s="15">
        <v>46022</v>
      </c>
      <c r="Q616">
        <v>0</v>
      </c>
      <c r="R616">
        <v>3.3609</v>
      </c>
      <c r="S616" t="s">
        <v>155</v>
      </c>
      <c r="T616">
        <v>27649723.786664002</v>
      </c>
      <c r="U616" s="5">
        <v>8222721.6399999997</v>
      </c>
      <c r="V616" t="s">
        <v>156</v>
      </c>
      <c r="W616">
        <v>0</v>
      </c>
      <c r="X616">
        <v>0</v>
      </c>
      <c r="Y616">
        <v>0</v>
      </c>
      <c r="Z616">
        <v>0</v>
      </c>
      <c r="AA616" t="str">
        <f>+MID(Tabla_Consulta_desde_Reporte_de_Valorización_de_Instrumentos[[#This Row],[CODIGO_SBS]],7,1)</f>
        <v>2</v>
      </c>
      <c r="AB616">
        <f>INDEX('Cálculo Caja'!F:F,MATCH(Tabla_Consulta_desde_Reporte_de_Valorización_de_Instrumentos[[#This Row],[PORTAFOLIO]],'Cálculo Caja'!A:A,0),1)</f>
        <v>26256910350.436607</v>
      </c>
      <c r="AC616" s="17">
        <f>Tabla_Consulta_desde_Reporte_de_Valorización_de_Instrumentos[[#This Row],[VALOR_VECTOR_LOCAL]]/Tabla_Consulta_desde_Reporte_de_Valorización_de_Instrumentos[[#This Row],[Patrimonio]]</f>
        <v>0</v>
      </c>
      <c r="AD616" s="4">
        <f>(Tabla_Consulta_desde_Reporte_de_Valorización_de_Instrumentos[[#This Row],[VALOR_VECTOR_LOCAL]]/INDEX('Tipo de Cambio'!$D:$D,MATCH("2",'Tipo de Cambio'!$E:$E,0),1))/1000000</f>
        <v>0</v>
      </c>
      <c r="AE616">
        <f>IF(Tabla_Consulta_desde_Reporte_de_Valorización_de_Instrumentos[[#This Row],[PORTAFOLIO]]="IN-FONDO0",Tabla_Consulta_desde_Reporte_de_Valorización_de_Instrumentos[[#This Row],[Inv MM$]],0)</f>
        <v>0</v>
      </c>
      <c r="AF616" s="26">
        <f>IF(Tabla_Consulta_desde_Reporte_de_Valorización_de_Instrumentos[[#This Row],[PORTAFOLIO]]="IN-FONDO1",Tabla_Consulta_desde_Reporte_de_Valorización_de_Instrumentos[[#This Row],[Inv MM$]],0)</f>
        <v>0</v>
      </c>
      <c r="AG616" s="26">
        <f>IF(Tabla_Consulta_desde_Reporte_de_Valorización_de_Instrumentos[[#This Row],[PORTAFOLIO]]="IN-FONDO2",Tabla_Consulta_desde_Reporte_de_Valorización_de_Instrumentos[[#This Row],[Inv MM$]],0)</f>
        <v>0</v>
      </c>
      <c r="AH616" s="26">
        <f>IF(Tabla_Consulta_desde_Reporte_de_Valorización_de_Instrumentos[[#This Row],[PORTAFOLIO]]="IN-FONDO3",Tabla_Consulta_desde_Reporte_de_Valorización_de_Instrumentos[[#This Row],[Inv MM$]],0)</f>
        <v>0</v>
      </c>
      <c r="AI61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16" s="26">
        <f>IFERROR(IFERROR(INDEX('BD(MSCI)'!$T:$T,MATCH(Tabla_Consulta_desde_Reporte_de_Valorización_de_Instrumentos[[#This Row],[CODIGO_ISIN]],'BD(MSCI)'!$C:$C,0),1),INDEX('BD(MSCI)'!$T:$T,MATCH(Tabla_Consulta_desde_Reporte_de_Valorización_de_Instrumentos[[#This Row],[CODIGO_SBS]],'BD(MSCI)'!$C:$C,0),1)),0)</f>
        <v>0</v>
      </c>
      <c r="AK616" s="26">
        <f>Tabla_Consulta_desde_Reporte_de_Valorización_de_Instrumentos[[#This Row],[C02-H]]*Tabla_Consulta_desde_Reporte_de_Valorización_de_Instrumentos[[#This Row],[Inv MM$]]</f>
        <v>0</v>
      </c>
      <c r="AL616" s="26">
        <f>Tabla_Consulta_desde_Reporte_de_Valorización_de_Instrumentos[[#This Row],[C02-H]]*Tabla_Consulta_desde_Reporte_de_Valorización_de_Instrumentos[[#This Row],[Weight]]</f>
        <v>0</v>
      </c>
      <c r="AM616" s="26">
        <f>INDEX(Parametria!G:G,MATCH(Tabla_Consulta_desde_Reporte_de_Valorización_de_Instrumentos[[#This Row],[CODIGO_SBS]],Parametria!C:C,0))</f>
        <v>0</v>
      </c>
      <c r="AN616" s="26" t="str">
        <f>INDEX(Parametria!F:F,MATCH(Tabla_Consulta_desde_Reporte_de_Valorización_de_Instrumentos[[#This Row],[CODIGO_SBS]],Parametria!C:C,0))</f>
        <v>Cash</v>
      </c>
      <c r="AO616" s="26" t="str">
        <f>+INDEX(Parametria!J:J,MATCH(Tabla_Consulta_desde_Reporte_de_Valorización_de_Instrumentos[[#This Row],[CODIGO_SBS]],Parametria!C:C,0))</f>
        <v>Cash</v>
      </c>
      <c r="AP616" s="26">
        <f>Tabla_Consulta_desde_Reporte_de_Valorización_de_Instrumentos[[#This Row],[Huella]]/$AU$4</f>
        <v>0</v>
      </c>
      <c r="AQ616" s="26" t="str">
        <f>IFERROR(INDEX('BD(MSCI)'!W:W,MATCH(Tabla_Consulta_desde_Reporte_de_Valorización_de_Instrumentos[[#This Row],[CODIGO_ISIN]],'BD(MSCI)'!C:C,0)),IF(Tabla_Consulta_desde_Reporte_de_Valorización_de_Instrumentos[[#This Row],[Rank_rt]]="Cash","Cash","Cuestionario Integra"))</f>
        <v>Cash</v>
      </c>
      <c r="AR616" s="26" t="str">
        <f>IFERROR(INDEX('BD(MSCI)'!X:X,MATCH(Tabla_Consulta_desde_Reporte_de_Valorización_de_Instrumentos[[#This Row],[CODIGO_ISIN]],'BD(MSCI)'!C:C,0)),"Cuestionario Integra")</f>
        <v>Cuestionario Integra</v>
      </c>
    </row>
    <row r="617" spans="2:44" hidden="1" x14ac:dyDescent="0.25">
      <c r="B617" s="14" t="s">
        <v>6390</v>
      </c>
      <c r="C617" t="s">
        <v>840</v>
      </c>
      <c r="D617" t="s">
        <v>10</v>
      </c>
      <c r="E617" t="s">
        <v>841</v>
      </c>
      <c r="F617" t="s">
        <v>6599</v>
      </c>
      <c r="G617">
        <f>INDEX(Parametria!H:H,MATCH(Tabla_Consulta_desde_Reporte_de_Valorización_de_Instrumentos[[#This Row],[CODIGO_SBS]],Parametria!C:C,0),1)</f>
        <v>0</v>
      </c>
      <c r="H617" t="s">
        <v>90</v>
      </c>
      <c r="I617" t="s">
        <v>842</v>
      </c>
      <c r="J617" t="s">
        <v>4653</v>
      </c>
      <c r="K617" t="s">
        <v>50</v>
      </c>
      <c r="L617">
        <v>1</v>
      </c>
      <c r="M617" s="5">
        <v>0</v>
      </c>
      <c r="N617">
        <v>0</v>
      </c>
      <c r="O617">
        <v>0</v>
      </c>
      <c r="P617" s="15">
        <v>46022</v>
      </c>
      <c r="Q617">
        <v>0</v>
      </c>
      <c r="R617">
        <v>3.3609</v>
      </c>
      <c r="S617" t="s">
        <v>155</v>
      </c>
      <c r="T617">
        <v>2092561.817846</v>
      </c>
      <c r="U617" s="5">
        <v>622304.71</v>
      </c>
      <c r="V617" t="s">
        <v>156</v>
      </c>
      <c r="W617">
        <v>0</v>
      </c>
      <c r="X617">
        <v>0</v>
      </c>
      <c r="Y617">
        <v>0</v>
      </c>
      <c r="Z617">
        <v>0</v>
      </c>
      <c r="AA617" t="str">
        <f>+MID(Tabla_Consulta_desde_Reporte_de_Valorización_de_Instrumentos[[#This Row],[CODIGO_SBS]],7,1)</f>
        <v>2</v>
      </c>
      <c r="AB617">
        <f>INDEX('Cálculo Caja'!F:F,MATCH(Tabla_Consulta_desde_Reporte_de_Valorización_de_Instrumentos[[#This Row],[PORTAFOLIO]],'Cálculo Caja'!A:A,0),1)</f>
        <v>26256910350.436607</v>
      </c>
      <c r="AC617" s="17">
        <f>Tabla_Consulta_desde_Reporte_de_Valorización_de_Instrumentos[[#This Row],[VALOR_VECTOR_LOCAL]]/Tabla_Consulta_desde_Reporte_de_Valorización_de_Instrumentos[[#This Row],[Patrimonio]]</f>
        <v>0</v>
      </c>
      <c r="AD617" s="4">
        <f>(Tabla_Consulta_desde_Reporte_de_Valorización_de_Instrumentos[[#This Row],[VALOR_VECTOR_LOCAL]]/INDEX('Tipo de Cambio'!$D:$D,MATCH("2",'Tipo de Cambio'!$E:$E,0),1))/1000000</f>
        <v>0</v>
      </c>
      <c r="AE617">
        <f>IF(Tabla_Consulta_desde_Reporte_de_Valorización_de_Instrumentos[[#This Row],[PORTAFOLIO]]="IN-FONDO0",Tabla_Consulta_desde_Reporte_de_Valorización_de_Instrumentos[[#This Row],[Inv MM$]],0)</f>
        <v>0</v>
      </c>
      <c r="AF617" s="26">
        <f>IF(Tabla_Consulta_desde_Reporte_de_Valorización_de_Instrumentos[[#This Row],[PORTAFOLIO]]="IN-FONDO1",Tabla_Consulta_desde_Reporte_de_Valorización_de_Instrumentos[[#This Row],[Inv MM$]],0)</f>
        <v>0</v>
      </c>
      <c r="AG617" s="26">
        <f>IF(Tabla_Consulta_desde_Reporte_de_Valorización_de_Instrumentos[[#This Row],[PORTAFOLIO]]="IN-FONDO2",Tabla_Consulta_desde_Reporte_de_Valorización_de_Instrumentos[[#This Row],[Inv MM$]],0)</f>
        <v>0</v>
      </c>
      <c r="AH617" s="26">
        <f>IF(Tabla_Consulta_desde_Reporte_de_Valorización_de_Instrumentos[[#This Row],[PORTAFOLIO]]="IN-FONDO3",Tabla_Consulta_desde_Reporte_de_Valorización_de_Instrumentos[[#This Row],[Inv MM$]],0)</f>
        <v>0</v>
      </c>
      <c r="AI61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17" s="26">
        <f>IFERROR(IFERROR(INDEX('BD(MSCI)'!$T:$T,MATCH(Tabla_Consulta_desde_Reporte_de_Valorización_de_Instrumentos[[#This Row],[CODIGO_ISIN]],'BD(MSCI)'!$C:$C,0),1),INDEX('BD(MSCI)'!$T:$T,MATCH(Tabla_Consulta_desde_Reporte_de_Valorización_de_Instrumentos[[#This Row],[CODIGO_SBS]],'BD(MSCI)'!$C:$C,0),1)),0)</f>
        <v>0</v>
      </c>
      <c r="AK617" s="26">
        <f>Tabla_Consulta_desde_Reporte_de_Valorización_de_Instrumentos[[#This Row],[C02-H]]*Tabla_Consulta_desde_Reporte_de_Valorización_de_Instrumentos[[#This Row],[Inv MM$]]</f>
        <v>0</v>
      </c>
      <c r="AL617" s="26">
        <f>Tabla_Consulta_desde_Reporte_de_Valorización_de_Instrumentos[[#This Row],[C02-H]]*Tabla_Consulta_desde_Reporte_de_Valorización_de_Instrumentos[[#This Row],[Weight]]</f>
        <v>0</v>
      </c>
      <c r="AM617" s="26">
        <f>INDEX(Parametria!G:G,MATCH(Tabla_Consulta_desde_Reporte_de_Valorización_de_Instrumentos[[#This Row],[CODIGO_SBS]],Parametria!C:C,0))</f>
        <v>0</v>
      </c>
      <c r="AN617" s="26" t="str">
        <f>INDEX(Parametria!F:F,MATCH(Tabla_Consulta_desde_Reporte_de_Valorización_de_Instrumentos[[#This Row],[CODIGO_SBS]],Parametria!C:C,0))</f>
        <v>Cash</v>
      </c>
      <c r="AO617" s="26" t="str">
        <f>+INDEX(Parametria!J:J,MATCH(Tabla_Consulta_desde_Reporte_de_Valorización_de_Instrumentos[[#This Row],[CODIGO_SBS]],Parametria!C:C,0))</f>
        <v>Cash</v>
      </c>
      <c r="AP617" s="26">
        <f>Tabla_Consulta_desde_Reporte_de_Valorización_de_Instrumentos[[#This Row],[Huella]]/$AU$4</f>
        <v>0</v>
      </c>
      <c r="AQ617" s="26" t="str">
        <f>IFERROR(INDEX('BD(MSCI)'!W:W,MATCH(Tabla_Consulta_desde_Reporte_de_Valorización_de_Instrumentos[[#This Row],[CODIGO_ISIN]],'BD(MSCI)'!C:C,0)),IF(Tabla_Consulta_desde_Reporte_de_Valorización_de_Instrumentos[[#This Row],[Rank_rt]]="Cash","Cash","Cuestionario Integra"))</f>
        <v>Cash</v>
      </c>
      <c r="AR617" s="26" t="str">
        <f>IFERROR(INDEX('BD(MSCI)'!X:X,MATCH(Tabla_Consulta_desde_Reporte_de_Valorización_de_Instrumentos[[#This Row],[CODIGO_ISIN]],'BD(MSCI)'!C:C,0)),"Cuestionario Integra")</f>
        <v>Cuestionario Integra</v>
      </c>
    </row>
    <row r="618" spans="2:44" hidden="1" x14ac:dyDescent="0.25">
      <c r="B618" s="14" t="s">
        <v>6390</v>
      </c>
      <c r="C618" t="s">
        <v>840</v>
      </c>
      <c r="D618" t="s">
        <v>11</v>
      </c>
      <c r="E618" t="s">
        <v>841</v>
      </c>
      <c r="F618" t="s">
        <v>6600</v>
      </c>
      <c r="G618">
        <f>INDEX(Parametria!H:H,MATCH(Tabla_Consulta_desde_Reporte_de_Valorización_de_Instrumentos[[#This Row],[CODIGO_SBS]],Parametria!C:C,0),1)</f>
        <v>0</v>
      </c>
      <c r="H618" t="s">
        <v>90</v>
      </c>
      <c r="I618" t="s">
        <v>842</v>
      </c>
      <c r="J618" t="s">
        <v>5372</v>
      </c>
      <c r="K618" t="s">
        <v>50</v>
      </c>
      <c r="L618">
        <v>1</v>
      </c>
      <c r="M618" s="5">
        <v>7301702.3229839997</v>
      </c>
      <c r="N618">
        <v>2172543.7599999998</v>
      </c>
      <c r="O618">
        <v>0</v>
      </c>
      <c r="P618" s="15">
        <v>46024</v>
      </c>
      <c r="Q618">
        <v>2</v>
      </c>
      <c r="R618">
        <v>3.3609</v>
      </c>
      <c r="S618" t="s">
        <v>155</v>
      </c>
      <c r="U618" s="5"/>
      <c r="V618" t="s">
        <v>156</v>
      </c>
      <c r="W618">
        <v>0</v>
      </c>
      <c r="X618">
        <v>0</v>
      </c>
      <c r="Y618">
        <v>0</v>
      </c>
      <c r="Z618">
        <v>0</v>
      </c>
      <c r="AA618" t="str">
        <f>+MID(Tabla_Consulta_desde_Reporte_de_Valorización_de_Instrumentos[[#This Row],[CODIGO_SBS]],7,1)</f>
        <v>2</v>
      </c>
      <c r="AB618">
        <f>INDEX('Cálculo Caja'!F:F,MATCH(Tabla_Consulta_desde_Reporte_de_Valorización_de_Instrumentos[[#This Row],[PORTAFOLIO]],'Cálculo Caja'!A:A,0),1)</f>
        <v>3164069580.822104</v>
      </c>
      <c r="AC618" s="17">
        <f>Tabla_Consulta_desde_Reporte_de_Valorización_de_Instrumentos[[#This Row],[VALOR_VECTOR_LOCAL]]/Tabla_Consulta_desde_Reporte_de_Valorización_de_Instrumentos[[#This Row],[Patrimonio]]</f>
        <v>2.3076933475928286E-3</v>
      </c>
      <c r="AD618" s="4">
        <f>(Tabla_Consulta_desde_Reporte_de_Valorización_de_Instrumentos[[#This Row],[VALOR_VECTOR_LOCAL]]/INDEX('Tipo de Cambio'!$D:$D,MATCH("2",'Tipo de Cambio'!$E:$E,0),1))/1000000</f>
        <v>2.1725437599999999</v>
      </c>
      <c r="AE618">
        <f>IF(Tabla_Consulta_desde_Reporte_de_Valorización_de_Instrumentos[[#This Row],[PORTAFOLIO]]="IN-FONDO0",Tabla_Consulta_desde_Reporte_de_Valorización_de_Instrumentos[[#This Row],[Inv MM$]],0)</f>
        <v>0</v>
      </c>
      <c r="AF618" s="26">
        <f>IF(Tabla_Consulta_desde_Reporte_de_Valorización_de_Instrumentos[[#This Row],[PORTAFOLIO]]="IN-FONDO1",Tabla_Consulta_desde_Reporte_de_Valorización_de_Instrumentos[[#This Row],[Inv MM$]],0)</f>
        <v>0</v>
      </c>
      <c r="AG618" s="26">
        <f>IF(Tabla_Consulta_desde_Reporte_de_Valorización_de_Instrumentos[[#This Row],[PORTAFOLIO]]="IN-FONDO2",Tabla_Consulta_desde_Reporte_de_Valorización_de_Instrumentos[[#This Row],[Inv MM$]],0)</f>
        <v>0</v>
      </c>
      <c r="AH618" s="26">
        <f>IF(Tabla_Consulta_desde_Reporte_de_Valorización_de_Instrumentos[[#This Row],[PORTAFOLIO]]="IN-FONDO3",Tabla_Consulta_desde_Reporte_de_Valorización_de_Instrumentos[[#This Row],[Inv MM$]],0)</f>
        <v>2.1725437599999999</v>
      </c>
      <c r="AI61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2.1725437599999999</v>
      </c>
      <c r="AJ618" s="26">
        <f>IFERROR(IFERROR(INDEX('BD(MSCI)'!$T:$T,MATCH(Tabla_Consulta_desde_Reporte_de_Valorización_de_Instrumentos[[#This Row],[CODIGO_ISIN]],'BD(MSCI)'!$C:$C,0),1),INDEX('BD(MSCI)'!$T:$T,MATCH(Tabla_Consulta_desde_Reporte_de_Valorización_de_Instrumentos[[#This Row],[CODIGO_SBS]],'BD(MSCI)'!$C:$C,0),1)),0)</f>
        <v>0</v>
      </c>
      <c r="AK618" s="26">
        <f>Tabla_Consulta_desde_Reporte_de_Valorización_de_Instrumentos[[#This Row],[C02-H]]*Tabla_Consulta_desde_Reporte_de_Valorización_de_Instrumentos[[#This Row],[Inv MM$]]</f>
        <v>0</v>
      </c>
      <c r="AL618" s="26">
        <f>Tabla_Consulta_desde_Reporte_de_Valorización_de_Instrumentos[[#This Row],[C02-H]]*Tabla_Consulta_desde_Reporte_de_Valorización_de_Instrumentos[[#This Row],[Weight]]</f>
        <v>0</v>
      </c>
      <c r="AM618" s="26">
        <f>INDEX(Parametria!G:G,MATCH(Tabla_Consulta_desde_Reporte_de_Valorización_de_Instrumentos[[#This Row],[CODIGO_SBS]],Parametria!C:C,0))</f>
        <v>0</v>
      </c>
      <c r="AN618" s="26" t="str">
        <f>INDEX(Parametria!F:F,MATCH(Tabla_Consulta_desde_Reporte_de_Valorización_de_Instrumentos[[#This Row],[CODIGO_SBS]],Parametria!C:C,0))</f>
        <v>Cash</v>
      </c>
      <c r="AO618" s="26" t="str">
        <f>+INDEX(Parametria!J:J,MATCH(Tabla_Consulta_desde_Reporte_de_Valorización_de_Instrumentos[[#This Row],[CODIGO_SBS]],Parametria!C:C,0))</f>
        <v>Cash</v>
      </c>
      <c r="AP618" s="26">
        <f>Tabla_Consulta_desde_Reporte_de_Valorización_de_Instrumentos[[#This Row],[Huella]]/$AU$4</f>
        <v>0</v>
      </c>
      <c r="AQ618" s="26" t="str">
        <f>IFERROR(INDEX('BD(MSCI)'!W:W,MATCH(Tabla_Consulta_desde_Reporte_de_Valorización_de_Instrumentos[[#This Row],[CODIGO_ISIN]],'BD(MSCI)'!C:C,0)),IF(Tabla_Consulta_desde_Reporte_de_Valorización_de_Instrumentos[[#This Row],[Rank_rt]]="Cash","Cash","Cuestionario Integra"))</f>
        <v>Cash</v>
      </c>
      <c r="AR618" s="26" t="str">
        <f>IFERROR(INDEX('BD(MSCI)'!X:X,MATCH(Tabla_Consulta_desde_Reporte_de_Valorización_de_Instrumentos[[#This Row],[CODIGO_ISIN]],'BD(MSCI)'!C:C,0)),"Cuestionario Integra")</f>
        <v>Cuestionario Integra</v>
      </c>
    </row>
    <row r="619" spans="2:44" hidden="1" x14ac:dyDescent="0.25">
      <c r="B619" s="14" t="s">
        <v>6390</v>
      </c>
      <c r="C619" t="s">
        <v>840</v>
      </c>
      <c r="D619" t="s">
        <v>10</v>
      </c>
      <c r="E619" t="s">
        <v>841</v>
      </c>
      <c r="F619" t="s">
        <v>6601</v>
      </c>
      <c r="G619">
        <f>INDEX(Parametria!H:H,MATCH(Tabla_Consulta_desde_Reporte_de_Valorización_de_Instrumentos[[#This Row],[CODIGO_SBS]],Parametria!C:C,0),1)</f>
        <v>0</v>
      </c>
      <c r="H619" t="s">
        <v>90</v>
      </c>
      <c r="I619" t="s">
        <v>842</v>
      </c>
      <c r="J619" t="s">
        <v>4861</v>
      </c>
      <c r="K619" t="s">
        <v>50</v>
      </c>
      <c r="L619">
        <v>1</v>
      </c>
      <c r="M619" s="5">
        <v>2487066</v>
      </c>
      <c r="N619">
        <v>740000</v>
      </c>
      <c r="O619">
        <v>0</v>
      </c>
      <c r="P619" s="15">
        <v>46024</v>
      </c>
      <c r="Q619">
        <v>2</v>
      </c>
      <c r="R619">
        <v>3.3609</v>
      </c>
      <c r="S619" t="s">
        <v>155</v>
      </c>
      <c r="U619" s="5"/>
      <c r="V619" t="s">
        <v>156</v>
      </c>
      <c r="W619">
        <v>0</v>
      </c>
      <c r="X619">
        <v>0</v>
      </c>
      <c r="Y619">
        <v>0</v>
      </c>
      <c r="Z619">
        <v>0</v>
      </c>
      <c r="AA619" t="str">
        <f>+MID(Tabla_Consulta_desde_Reporte_de_Valorización_de_Instrumentos[[#This Row],[CODIGO_SBS]],7,1)</f>
        <v>2</v>
      </c>
      <c r="AB619">
        <f>INDEX('Cálculo Caja'!F:F,MATCH(Tabla_Consulta_desde_Reporte_de_Valorización_de_Instrumentos[[#This Row],[PORTAFOLIO]],'Cálculo Caja'!A:A,0),1)</f>
        <v>26256910350.436607</v>
      </c>
      <c r="AC619" s="17">
        <f>Tabla_Consulta_desde_Reporte_de_Valorización_de_Instrumentos[[#This Row],[VALOR_VECTOR_LOCAL]]/Tabla_Consulta_desde_Reporte_de_Valorización_de_Instrumentos[[#This Row],[Patrimonio]]</f>
        <v>9.4720436136868036E-5</v>
      </c>
      <c r="AD619" s="4">
        <f>(Tabla_Consulta_desde_Reporte_de_Valorización_de_Instrumentos[[#This Row],[VALOR_VECTOR_LOCAL]]/INDEX('Tipo de Cambio'!$D:$D,MATCH("2",'Tipo de Cambio'!$E:$E,0),1))/1000000</f>
        <v>0.74</v>
      </c>
      <c r="AE619">
        <f>IF(Tabla_Consulta_desde_Reporte_de_Valorización_de_Instrumentos[[#This Row],[PORTAFOLIO]]="IN-FONDO0",Tabla_Consulta_desde_Reporte_de_Valorización_de_Instrumentos[[#This Row],[Inv MM$]],0)</f>
        <v>0</v>
      </c>
      <c r="AF619" s="26">
        <f>IF(Tabla_Consulta_desde_Reporte_de_Valorización_de_Instrumentos[[#This Row],[PORTAFOLIO]]="IN-FONDO1",Tabla_Consulta_desde_Reporte_de_Valorización_de_Instrumentos[[#This Row],[Inv MM$]],0)</f>
        <v>0</v>
      </c>
      <c r="AG619" s="26">
        <f>IF(Tabla_Consulta_desde_Reporte_de_Valorización_de_Instrumentos[[#This Row],[PORTAFOLIO]]="IN-FONDO2",Tabla_Consulta_desde_Reporte_de_Valorización_de_Instrumentos[[#This Row],[Inv MM$]],0)</f>
        <v>0.74</v>
      </c>
      <c r="AH619" s="26">
        <f>IF(Tabla_Consulta_desde_Reporte_de_Valorización_de_Instrumentos[[#This Row],[PORTAFOLIO]]="IN-FONDO3",Tabla_Consulta_desde_Reporte_de_Valorización_de_Instrumentos[[#This Row],[Inv MM$]],0)</f>
        <v>0</v>
      </c>
      <c r="AI61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0.74</v>
      </c>
      <c r="AJ619" s="26">
        <f>IFERROR(IFERROR(INDEX('BD(MSCI)'!$T:$T,MATCH(Tabla_Consulta_desde_Reporte_de_Valorización_de_Instrumentos[[#This Row],[CODIGO_ISIN]],'BD(MSCI)'!$C:$C,0),1),INDEX('BD(MSCI)'!$T:$T,MATCH(Tabla_Consulta_desde_Reporte_de_Valorización_de_Instrumentos[[#This Row],[CODIGO_SBS]],'BD(MSCI)'!$C:$C,0),1)),0)</f>
        <v>0</v>
      </c>
      <c r="AK619" s="26">
        <f>Tabla_Consulta_desde_Reporte_de_Valorización_de_Instrumentos[[#This Row],[C02-H]]*Tabla_Consulta_desde_Reporte_de_Valorización_de_Instrumentos[[#This Row],[Inv MM$]]</f>
        <v>0</v>
      </c>
      <c r="AL619" s="26">
        <f>Tabla_Consulta_desde_Reporte_de_Valorización_de_Instrumentos[[#This Row],[C02-H]]*Tabla_Consulta_desde_Reporte_de_Valorización_de_Instrumentos[[#This Row],[Weight]]</f>
        <v>0</v>
      </c>
      <c r="AM619" s="26">
        <f>INDEX(Parametria!G:G,MATCH(Tabla_Consulta_desde_Reporte_de_Valorización_de_Instrumentos[[#This Row],[CODIGO_SBS]],Parametria!C:C,0))</f>
        <v>0</v>
      </c>
      <c r="AN619" s="26" t="str">
        <f>INDEX(Parametria!F:F,MATCH(Tabla_Consulta_desde_Reporte_de_Valorización_de_Instrumentos[[#This Row],[CODIGO_SBS]],Parametria!C:C,0))</f>
        <v>Cash</v>
      </c>
      <c r="AO619" s="26" t="str">
        <f>+INDEX(Parametria!J:J,MATCH(Tabla_Consulta_desde_Reporte_de_Valorización_de_Instrumentos[[#This Row],[CODIGO_SBS]],Parametria!C:C,0))</f>
        <v>Cash</v>
      </c>
      <c r="AP619" s="26">
        <f>Tabla_Consulta_desde_Reporte_de_Valorización_de_Instrumentos[[#This Row],[Huella]]/$AU$4</f>
        <v>0</v>
      </c>
      <c r="AQ619" s="26" t="str">
        <f>IFERROR(INDEX('BD(MSCI)'!W:W,MATCH(Tabla_Consulta_desde_Reporte_de_Valorización_de_Instrumentos[[#This Row],[CODIGO_ISIN]],'BD(MSCI)'!C:C,0)),IF(Tabla_Consulta_desde_Reporte_de_Valorización_de_Instrumentos[[#This Row],[Rank_rt]]="Cash","Cash","Cuestionario Integra"))</f>
        <v>Cash</v>
      </c>
      <c r="AR619" s="26" t="str">
        <f>IFERROR(INDEX('BD(MSCI)'!X:X,MATCH(Tabla_Consulta_desde_Reporte_de_Valorización_de_Instrumentos[[#This Row],[CODIGO_ISIN]],'BD(MSCI)'!C:C,0)),"Cuestionario Integra")</f>
        <v>Cuestionario Integra</v>
      </c>
    </row>
    <row r="620" spans="2:44" hidden="1" x14ac:dyDescent="0.25">
      <c r="B620" s="14" t="s">
        <v>6390</v>
      </c>
      <c r="C620" t="s">
        <v>840</v>
      </c>
      <c r="D620" t="s">
        <v>10</v>
      </c>
      <c r="E620" t="s">
        <v>841</v>
      </c>
      <c r="F620" t="s">
        <v>6602</v>
      </c>
      <c r="G620">
        <f>INDEX(Parametria!H:H,MATCH(Tabla_Consulta_desde_Reporte_de_Valorización_de_Instrumentos[[#This Row],[CODIGO_SBS]],Parametria!C:C,0),1)</f>
        <v>0</v>
      </c>
      <c r="H620" t="s">
        <v>90</v>
      </c>
      <c r="I620" t="s">
        <v>842</v>
      </c>
      <c r="J620" t="s">
        <v>4653</v>
      </c>
      <c r="K620" t="s">
        <v>50</v>
      </c>
      <c r="L620">
        <v>1</v>
      </c>
      <c r="M620" s="5">
        <v>59315418.263072997</v>
      </c>
      <c r="N620">
        <v>17648670.969999999</v>
      </c>
      <c r="O620">
        <v>0</v>
      </c>
      <c r="P620" s="15">
        <v>46024</v>
      </c>
      <c r="Q620">
        <v>2</v>
      </c>
      <c r="R620">
        <v>3.3609</v>
      </c>
      <c r="S620" t="s">
        <v>155</v>
      </c>
      <c r="U620" s="5"/>
      <c r="V620" t="s">
        <v>156</v>
      </c>
      <c r="W620">
        <v>0</v>
      </c>
      <c r="X620">
        <v>0</v>
      </c>
      <c r="Y620">
        <v>0</v>
      </c>
      <c r="Z620">
        <v>0</v>
      </c>
      <c r="AA620" t="str">
        <f>+MID(Tabla_Consulta_desde_Reporte_de_Valorización_de_Instrumentos[[#This Row],[CODIGO_SBS]],7,1)</f>
        <v>2</v>
      </c>
      <c r="AB620">
        <f>INDEX('Cálculo Caja'!F:F,MATCH(Tabla_Consulta_desde_Reporte_de_Valorización_de_Instrumentos[[#This Row],[PORTAFOLIO]],'Cálculo Caja'!A:A,0),1)</f>
        <v>26256910350.436607</v>
      </c>
      <c r="AC620" s="17">
        <f>Tabla_Consulta_desde_Reporte_de_Valorización_de_Instrumentos[[#This Row],[VALOR_VECTOR_LOCAL]]/Tabla_Consulta_desde_Reporte_de_Valorización_de_Instrumentos[[#This Row],[Patrimonio]]</f>
        <v>2.259040285830381E-3</v>
      </c>
      <c r="AD620" s="4">
        <f>(Tabla_Consulta_desde_Reporte_de_Valorización_de_Instrumentos[[#This Row],[VALOR_VECTOR_LOCAL]]/INDEX('Tipo de Cambio'!$D:$D,MATCH("2",'Tipo de Cambio'!$E:$E,0),1))/1000000</f>
        <v>17.648670969999998</v>
      </c>
      <c r="AE620">
        <f>IF(Tabla_Consulta_desde_Reporte_de_Valorización_de_Instrumentos[[#This Row],[PORTAFOLIO]]="IN-FONDO0",Tabla_Consulta_desde_Reporte_de_Valorización_de_Instrumentos[[#This Row],[Inv MM$]],0)</f>
        <v>0</v>
      </c>
      <c r="AF620" s="26">
        <f>IF(Tabla_Consulta_desde_Reporte_de_Valorización_de_Instrumentos[[#This Row],[PORTAFOLIO]]="IN-FONDO1",Tabla_Consulta_desde_Reporte_de_Valorización_de_Instrumentos[[#This Row],[Inv MM$]],0)</f>
        <v>0</v>
      </c>
      <c r="AG620" s="26">
        <f>IF(Tabla_Consulta_desde_Reporte_de_Valorización_de_Instrumentos[[#This Row],[PORTAFOLIO]]="IN-FONDO2",Tabla_Consulta_desde_Reporte_de_Valorización_de_Instrumentos[[#This Row],[Inv MM$]],0)</f>
        <v>17.648670969999998</v>
      </c>
      <c r="AH620" s="26">
        <f>IF(Tabla_Consulta_desde_Reporte_de_Valorización_de_Instrumentos[[#This Row],[PORTAFOLIO]]="IN-FONDO3",Tabla_Consulta_desde_Reporte_de_Valorización_de_Instrumentos[[#This Row],[Inv MM$]],0)</f>
        <v>0</v>
      </c>
      <c r="AI62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17.648670969999998</v>
      </c>
      <c r="AJ620" s="26">
        <f>IFERROR(IFERROR(INDEX('BD(MSCI)'!$T:$T,MATCH(Tabla_Consulta_desde_Reporte_de_Valorización_de_Instrumentos[[#This Row],[CODIGO_ISIN]],'BD(MSCI)'!$C:$C,0),1),INDEX('BD(MSCI)'!$T:$T,MATCH(Tabla_Consulta_desde_Reporte_de_Valorización_de_Instrumentos[[#This Row],[CODIGO_SBS]],'BD(MSCI)'!$C:$C,0),1)),0)</f>
        <v>0</v>
      </c>
      <c r="AK620" s="26">
        <f>Tabla_Consulta_desde_Reporte_de_Valorización_de_Instrumentos[[#This Row],[C02-H]]*Tabla_Consulta_desde_Reporte_de_Valorización_de_Instrumentos[[#This Row],[Inv MM$]]</f>
        <v>0</v>
      </c>
      <c r="AL620" s="26">
        <f>Tabla_Consulta_desde_Reporte_de_Valorización_de_Instrumentos[[#This Row],[C02-H]]*Tabla_Consulta_desde_Reporte_de_Valorización_de_Instrumentos[[#This Row],[Weight]]</f>
        <v>0</v>
      </c>
      <c r="AM620" s="26">
        <f>INDEX(Parametria!G:G,MATCH(Tabla_Consulta_desde_Reporte_de_Valorización_de_Instrumentos[[#This Row],[CODIGO_SBS]],Parametria!C:C,0))</f>
        <v>0</v>
      </c>
      <c r="AN620" s="26" t="str">
        <f>INDEX(Parametria!F:F,MATCH(Tabla_Consulta_desde_Reporte_de_Valorización_de_Instrumentos[[#This Row],[CODIGO_SBS]],Parametria!C:C,0))</f>
        <v>Cash</v>
      </c>
      <c r="AO620" s="26" t="str">
        <f>+INDEX(Parametria!J:J,MATCH(Tabla_Consulta_desde_Reporte_de_Valorización_de_Instrumentos[[#This Row],[CODIGO_SBS]],Parametria!C:C,0))</f>
        <v>Cash</v>
      </c>
      <c r="AP620" s="26">
        <f>Tabla_Consulta_desde_Reporte_de_Valorización_de_Instrumentos[[#This Row],[Huella]]/$AU$4</f>
        <v>0</v>
      </c>
      <c r="AQ620" s="26" t="str">
        <f>IFERROR(INDEX('BD(MSCI)'!W:W,MATCH(Tabla_Consulta_desde_Reporte_de_Valorización_de_Instrumentos[[#This Row],[CODIGO_ISIN]],'BD(MSCI)'!C:C,0)),IF(Tabla_Consulta_desde_Reporte_de_Valorización_de_Instrumentos[[#This Row],[Rank_rt]]="Cash","Cash","Cuestionario Integra"))</f>
        <v>Cash</v>
      </c>
      <c r="AR620" s="26" t="str">
        <f>IFERROR(INDEX('BD(MSCI)'!X:X,MATCH(Tabla_Consulta_desde_Reporte_de_Valorización_de_Instrumentos[[#This Row],[CODIGO_ISIN]],'BD(MSCI)'!C:C,0)),"Cuestionario Integra")</f>
        <v>Cuestionario Integra</v>
      </c>
    </row>
    <row r="621" spans="2:44" hidden="1" x14ac:dyDescent="0.25">
      <c r="B621" s="14" t="s">
        <v>6390</v>
      </c>
      <c r="C621" t="s">
        <v>840</v>
      </c>
      <c r="D621" t="s">
        <v>11</v>
      </c>
      <c r="E621" t="s">
        <v>841</v>
      </c>
      <c r="F621" t="s">
        <v>6603</v>
      </c>
      <c r="G621">
        <f>INDEX(Parametria!H:H,MATCH(Tabla_Consulta_desde_Reporte_de_Valorización_de_Instrumentos[[#This Row],[CODIGO_SBS]],Parametria!C:C,0),1)</f>
        <v>0</v>
      </c>
      <c r="H621" t="s">
        <v>90</v>
      </c>
      <c r="I621" t="s">
        <v>842</v>
      </c>
      <c r="J621" t="s">
        <v>4652</v>
      </c>
      <c r="K621" t="s">
        <v>50</v>
      </c>
      <c r="L621">
        <v>1</v>
      </c>
      <c r="M621" s="5">
        <v>3260073</v>
      </c>
      <c r="N621">
        <v>970000</v>
      </c>
      <c r="O621">
        <v>0</v>
      </c>
      <c r="P621" s="15">
        <v>46024</v>
      </c>
      <c r="Q621">
        <v>2</v>
      </c>
      <c r="R621">
        <v>3.3609</v>
      </c>
      <c r="S621" t="s">
        <v>155</v>
      </c>
      <c r="U621" s="5"/>
      <c r="V621" t="s">
        <v>156</v>
      </c>
      <c r="W621">
        <v>0</v>
      </c>
      <c r="X621">
        <v>0</v>
      </c>
      <c r="Y621">
        <v>0</v>
      </c>
      <c r="Z621">
        <v>0</v>
      </c>
      <c r="AA621" t="str">
        <f>+MID(Tabla_Consulta_desde_Reporte_de_Valorización_de_Instrumentos[[#This Row],[CODIGO_SBS]],7,1)</f>
        <v>2</v>
      </c>
      <c r="AB621">
        <f>INDEX('Cálculo Caja'!F:F,MATCH(Tabla_Consulta_desde_Reporte_de_Valorización_de_Instrumentos[[#This Row],[PORTAFOLIO]],'Cálculo Caja'!A:A,0),1)</f>
        <v>3164069580.822104</v>
      </c>
      <c r="AC621" s="17">
        <f>Tabla_Consulta_desde_Reporte_de_Valorización_de_Instrumentos[[#This Row],[VALOR_VECTOR_LOCAL]]/Tabla_Consulta_desde_Reporte_de_Valorización_de_Instrumentos[[#This Row],[Patrimonio]]</f>
        <v>1.0303417534683139E-3</v>
      </c>
      <c r="AD621" s="4">
        <f>(Tabla_Consulta_desde_Reporte_de_Valorización_de_Instrumentos[[#This Row],[VALOR_VECTOR_LOCAL]]/INDEX('Tipo de Cambio'!$D:$D,MATCH("2",'Tipo de Cambio'!$E:$E,0),1))/1000000</f>
        <v>0.97</v>
      </c>
      <c r="AE621">
        <f>IF(Tabla_Consulta_desde_Reporte_de_Valorización_de_Instrumentos[[#This Row],[PORTAFOLIO]]="IN-FONDO0",Tabla_Consulta_desde_Reporte_de_Valorización_de_Instrumentos[[#This Row],[Inv MM$]],0)</f>
        <v>0</v>
      </c>
      <c r="AF621" s="26">
        <f>IF(Tabla_Consulta_desde_Reporte_de_Valorización_de_Instrumentos[[#This Row],[PORTAFOLIO]]="IN-FONDO1",Tabla_Consulta_desde_Reporte_de_Valorización_de_Instrumentos[[#This Row],[Inv MM$]],0)</f>
        <v>0</v>
      </c>
      <c r="AG621" s="26">
        <f>IF(Tabla_Consulta_desde_Reporte_de_Valorización_de_Instrumentos[[#This Row],[PORTAFOLIO]]="IN-FONDO2",Tabla_Consulta_desde_Reporte_de_Valorización_de_Instrumentos[[#This Row],[Inv MM$]],0)</f>
        <v>0</v>
      </c>
      <c r="AH621" s="26">
        <f>IF(Tabla_Consulta_desde_Reporte_de_Valorización_de_Instrumentos[[#This Row],[PORTAFOLIO]]="IN-FONDO3",Tabla_Consulta_desde_Reporte_de_Valorización_de_Instrumentos[[#This Row],[Inv MM$]],0)</f>
        <v>0.97</v>
      </c>
      <c r="AI62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0.97</v>
      </c>
      <c r="AJ621" s="26">
        <f>IFERROR(IFERROR(INDEX('BD(MSCI)'!$T:$T,MATCH(Tabla_Consulta_desde_Reporte_de_Valorización_de_Instrumentos[[#This Row],[CODIGO_ISIN]],'BD(MSCI)'!$C:$C,0),1),INDEX('BD(MSCI)'!$T:$T,MATCH(Tabla_Consulta_desde_Reporte_de_Valorización_de_Instrumentos[[#This Row],[CODIGO_SBS]],'BD(MSCI)'!$C:$C,0),1)),0)</f>
        <v>0</v>
      </c>
      <c r="AK621" s="26">
        <f>Tabla_Consulta_desde_Reporte_de_Valorización_de_Instrumentos[[#This Row],[C02-H]]*Tabla_Consulta_desde_Reporte_de_Valorización_de_Instrumentos[[#This Row],[Inv MM$]]</f>
        <v>0</v>
      </c>
      <c r="AL621" s="26">
        <f>Tabla_Consulta_desde_Reporte_de_Valorización_de_Instrumentos[[#This Row],[C02-H]]*Tabla_Consulta_desde_Reporte_de_Valorización_de_Instrumentos[[#This Row],[Weight]]</f>
        <v>0</v>
      </c>
      <c r="AM621" s="26">
        <f>INDEX(Parametria!G:G,MATCH(Tabla_Consulta_desde_Reporte_de_Valorización_de_Instrumentos[[#This Row],[CODIGO_SBS]],Parametria!C:C,0))</f>
        <v>0</v>
      </c>
      <c r="AN621" s="26" t="str">
        <f>INDEX(Parametria!F:F,MATCH(Tabla_Consulta_desde_Reporte_de_Valorización_de_Instrumentos[[#This Row],[CODIGO_SBS]],Parametria!C:C,0))</f>
        <v>Cash</v>
      </c>
      <c r="AO621" s="26" t="str">
        <f>+INDEX(Parametria!J:J,MATCH(Tabla_Consulta_desde_Reporte_de_Valorización_de_Instrumentos[[#This Row],[CODIGO_SBS]],Parametria!C:C,0))</f>
        <v>Cash</v>
      </c>
      <c r="AP621" s="26">
        <f>Tabla_Consulta_desde_Reporte_de_Valorización_de_Instrumentos[[#This Row],[Huella]]/$AU$4</f>
        <v>0</v>
      </c>
      <c r="AQ621" s="26" t="str">
        <f>IFERROR(INDEX('BD(MSCI)'!W:W,MATCH(Tabla_Consulta_desde_Reporte_de_Valorización_de_Instrumentos[[#This Row],[CODIGO_ISIN]],'BD(MSCI)'!C:C,0)),IF(Tabla_Consulta_desde_Reporte_de_Valorización_de_Instrumentos[[#This Row],[Rank_rt]]="Cash","Cash","Cuestionario Integra"))</f>
        <v>Cash</v>
      </c>
      <c r="AR621" s="26" t="str">
        <f>IFERROR(INDEX('BD(MSCI)'!X:X,MATCH(Tabla_Consulta_desde_Reporte_de_Valorización_de_Instrumentos[[#This Row],[CODIGO_ISIN]],'BD(MSCI)'!C:C,0)),"Cuestionario Integra")</f>
        <v>Cuestionario Integra</v>
      </c>
    </row>
    <row r="622" spans="2:44" hidden="1" x14ac:dyDescent="0.25">
      <c r="B622" s="14" t="s">
        <v>6390</v>
      </c>
      <c r="C622" t="s">
        <v>840</v>
      </c>
      <c r="D622" t="s">
        <v>12</v>
      </c>
      <c r="E622" t="s">
        <v>841</v>
      </c>
      <c r="F622" t="s">
        <v>6604</v>
      </c>
      <c r="G622">
        <f>INDEX(Parametria!H:H,MATCH(Tabla_Consulta_desde_Reporte_de_Valorización_de_Instrumentos[[#This Row],[CODIGO_SBS]],Parametria!C:C,0),1)</f>
        <v>0</v>
      </c>
      <c r="H622" t="s">
        <v>90</v>
      </c>
      <c r="I622" t="s">
        <v>842</v>
      </c>
      <c r="J622" t="s">
        <v>4653</v>
      </c>
      <c r="K622" t="s">
        <v>50</v>
      </c>
      <c r="L622">
        <v>1</v>
      </c>
      <c r="M622" s="5">
        <v>2755938</v>
      </c>
      <c r="N622">
        <v>820000</v>
      </c>
      <c r="O622">
        <v>0</v>
      </c>
      <c r="P622" s="15">
        <v>46024</v>
      </c>
      <c r="Q622">
        <v>2</v>
      </c>
      <c r="R622">
        <v>3.3609</v>
      </c>
      <c r="S622" t="s">
        <v>155</v>
      </c>
      <c r="U622" s="5"/>
      <c r="V622" t="s">
        <v>156</v>
      </c>
      <c r="W622">
        <v>0</v>
      </c>
      <c r="X622">
        <v>0</v>
      </c>
      <c r="Y622">
        <v>0</v>
      </c>
      <c r="Z622">
        <v>0</v>
      </c>
      <c r="AA622" t="str">
        <f>+MID(Tabla_Consulta_desde_Reporte_de_Valorización_de_Instrumentos[[#This Row],[CODIGO_SBS]],7,1)</f>
        <v>2</v>
      </c>
      <c r="AB622">
        <f>INDEX('Cálculo Caja'!F:F,MATCH(Tabla_Consulta_desde_Reporte_de_Valorización_de_Instrumentos[[#This Row],[PORTAFOLIO]],'Cálculo Caja'!A:A,0),1)</f>
        <v>7679510866.0565634</v>
      </c>
      <c r="AC622" s="17">
        <f>Tabla_Consulta_desde_Reporte_de_Valorización_de_Instrumentos[[#This Row],[VALOR_VECTOR_LOCAL]]/Tabla_Consulta_desde_Reporte_de_Valorización_de_Instrumentos[[#This Row],[Patrimonio]]</f>
        <v>3.5886894986778982E-4</v>
      </c>
      <c r="AD622" s="4">
        <f>(Tabla_Consulta_desde_Reporte_de_Valorización_de_Instrumentos[[#This Row],[VALOR_VECTOR_LOCAL]]/INDEX('Tipo de Cambio'!$D:$D,MATCH("2",'Tipo de Cambio'!$E:$E,0),1))/1000000</f>
        <v>0.82</v>
      </c>
      <c r="AE622">
        <f>IF(Tabla_Consulta_desde_Reporte_de_Valorización_de_Instrumentos[[#This Row],[PORTAFOLIO]]="IN-FONDO0",Tabla_Consulta_desde_Reporte_de_Valorización_de_Instrumentos[[#This Row],[Inv MM$]],0)</f>
        <v>0</v>
      </c>
      <c r="AF622" s="26">
        <f>IF(Tabla_Consulta_desde_Reporte_de_Valorización_de_Instrumentos[[#This Row],[PORTAFOLIO]]="IN-FONDO1",Tabla_Consulta_desde_Reporte_de_Valorización_de_Instrumentos[[#This Row],[Inv MM$]],0)</f>
        <v>0.82</v>
      </c>
      <c r="AG622" s="26">
        <f>IF(Tabla_Consulta_desde_Reporte_de_Valorización_de_Instrumentos[[#This Row],[PORTAFOLIO]]="IN-FONDO2",Tabla_Consulta_desde_Reporte_de_Valorización_de_Instrumentos[[#This Row],[Inv MM$]],0)</f>
        <v>0</v>
      </c>
      <c r="AH622" s="26">
        <f>IF(Tabla_Consulta_desde_Reporte_de_Valorización_de_Instrumentos[[#This Row],[PORTAFOLIO]]="IN-FONDO3",Tabla_Consulta_desde_Reporte_de_Valorización_de_Instrumentos[[#This Row],[Inv MM$]],0)</f>
        <v>0</v>
      </c>
      <c r="AI62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0.82</v>
      </c>
      <c r="AJ622" s="26">
        <f>IFERROR(IFERROR(INDEX('BD(MSCI)'!$T:$T,MATCH(Tabla_Consulta_desde_Reporte_de_Valorización_de_Instrumentos[[#This Row],[CODIGO_ISIN]],'BD(MSCI)'!$C:$C,0),1),INDEX('BD(MSCI)'!$T:$T,MATCH(Tabla_Consulta_desde_Reporte_de_Valorización_de_Instrumentos[[#This Row],[CODIGO_SBS]],'BD(MSCI)'!$C:$C,0),1)),0)</f>
        <v>0</v>
      </c>
      <c r="AK622" s="26">
        <f>Tabla_Consulta_desde_Reporte_de_Valorización_de_Instrumentos[[#This Row],[C02-H]]*Tabla_Consulta_desde_Reporte_de_Valorización_de_Instrumentos[[#This Row],[Inv MM$]]</f>
        <v>0</v>
      </c>
      <c r="AL622" s="26">
        <f>Tabla_Consulta_desde_Reporte_de_Valorización_de_Instrumentos[[#This Row],[C02-H]]*Tabla_Consulta_desde_Reporte_de_Valorización_de_Instrumentos[[#This Row],[Weight]]</f>
        <v>0</v>
      </c>
      <c r="AM622" s="26">
        <f>INDEX(Parametria!G:G,MATCH(Tabla_Consulta_desde_Reporte_de_Valorización_de_Instrumentos[[#This Row],[CODIGO_SBS]],Parametria!C:C,0))</f>
        <v>0</v>
      </c>
      <c r="AN622" s="26" t="str">
        <f>INDEX(Parametria!F:F,MATCH(Tabla_Consulta_desde_Reporte_de_Valorización_de_Instrumentos[[#This Row],[CODIGO_SBS]],Parametria!C:C,0))</f>
        <v>Cash</v>
      </c>
      <c r="AO622" s="26" t="str">
        <f>+INDEX(Parametria!J:J,MATCH(Tabla_Consulta_desde_Reporte_de_Valorización_de_Instrumentos[[#This Row],[CODIGO_SBS]],Parametria!C:C,0))</f>
        <v>Cash</v>
      </c>
      <c r="AP622" s="26">
        <f>Tabla_Consulta_desde_Reporte_de_Valorización_de_Instrumentos[[#This Row],[Huella]]/$AU$4</f>
        <v>0</v>
      </c>
      <c r="AQ622" s="26" t="str">
        <f>IFERROR(INDEX('BD(MSCI)'!W:W,MATCH(Tabla_Consulta_desde_Reporte_de_Valorización_de_Instrumentos[[#This Row],[CODIGO_ISIN]],'BD(MSCI)'!C:C,0)),IF(Tabla_Consulta_desde_Reporte_de_Valorización_de_Instrumentos[[#This Row],[Rank_rt]]="Cash","Cash","Cuestionario Integra"))</f>
        <v>Cash</v>
      </c>
      <c r="AR622" s="26" t="str">
        <f>IFERROR(INDEX('BD(MSCI)'!X:X,MATCH(Tabla_Consulta_desde_Reporte_de_Valorización_de_Instrumentos[[#This Row],[CODIGO_ISIN]],'BD(MSCI)'!C:C,0)),"Cuestionario Integra")</f>
        <v>Cuestionario Integra</v>
      </c>
    </row>
    <row r="623" spans="2:44" hidden="1" x14ac:dyDescent="0.25">
      <c r="B623" s="14" t="s">
        <v>6390</v>
      </c>
      <c r="C623" t="s">
        <v>840</v>
      </c>
      <c r="D623" t="s">
        <v>12</v>
      </c>
      <c r="E623" t="s">
        <v>841</v>
      </c>
      <c r="F623" t="s">
        <v>6605</v>
      </c>
      <c r="G623">
        <f>INDEX(Parametria!H:H,MATCH(Tabla_Consulta_desde_Reporte_de_Valorización_de_Instrumentos[[#This Row],[CODIGO_SBS]],Parametria!C:C,0),1)</f>
        <v>0</v>
      </c>
      <c r="H623" t="s">
        <v>90</v>
      </c>
      <c r="I623" t="s">
        <v>842</v>
      </c>
      <c r="J623" t="s">
        <v>4652</v>
      </c>
      <c r="K623" t="s">
        <v>50</v>
      </c>
      <c r="L623">
        <v>1</v>
      </c>
      <c r="M623" s="5">
        <v>2621502</v>
      </c>
      <c r="N623">
        <v>780000</v>
      </c>
      <c r="O623">
        <v>0</v>
      </c>
      <c r="P623" s="15">
        <v>46024</v>
      </c>
      <c r="Q623">
        <v>2</v>
      </c>
      <c r="R623">
        <v>3.3609</v>
      </c>
      <c r="S623" t="s">
        <v>155</v>
      </c>
      <c r="U623" s="5"/>
      <c r="V623" t="s">
        <v>156</v>
      </c>
      <c r="W623">
        <v>0</v>
      </c>
      <c r="X623">
        <v>0</v>
      </c>
      <c r="Y623">
        <v>0</v>
      </c>
      <c r="Z623">
        <v>0</v>
      </c>
      <c r="AA623" t="str">
        <f>+MID(Tabla_Consulta_desde_Reporte_de_Valorización_de_Instrumentos[[#This Row],[CODIGO_SBS]],7,1)</f>
        <v>2</v>
      </c>
      <c r="AB623">
        <f>INDEX('Cálculo Caja'!F:F,MATCH(Tabla_Consulta_desde_Reporte_de_Valorización_de_Instrumentos[[#This Row],[PORTAFOLIO]],'Cálculo Caja'!A:A,0),1)</f>
        <v>7679510866.0565634</v>
      </c>
      <c r="AC623" s="17">
        <f>Tabla_Consulta_desde_Reporte_de_Valorización_de_Instrumentos[[#This Row],[VALOR_VECTOR_LOCAL]]/Tabla_Consulta_desde_Reporte_de_Valorización_de_Instrumentos[[#This Row],[Patrimonio]]</f>
        <v>3.4136314743521472E-4</v>
      </c>
      <c r="AD623" s="4">
        <f>(Tabla_Consulta_desde_Reporte_de_Valorización_de_Instrumentos[[#This Row],[VALOR_VECTOR_LOCAL]]/INDEX('Tipo de Cambio'!$D:$D,MATCH("2",'Tipo de Cambio'!$E:$E,0),1))/1000000</f>
        <v>0.78</v>
      </c>
      <c r="AE623">
        <f>IF(Tabla_Consulta_desde_Reporte_de_Valorización_de_Instrumentos[[#This Row],[PORTAFOLIO]]="IN-FONDO0",Tabla_Consulta_desde_Reporte_de_Valorización_de_Instrumentos[[#This Row],[Inv MM$]],0)</f>
        <v>0</v>
      </c>
      <c r="AF623" s="26">
        <f>IF(Tabla_Consulta_desde_Reporte_de_Valorización_de_Instrumentos[[#This Row],[PORTAFOLIO]]="IN-FONDO1",Tabla_Consulta_desde_Reporte_de_Valorización_de_Instrumentos[[#This Row],[Inv MM$]],0)</f>
        <v>0.78</v>
      </c>
      <c r="AG623" s="26">
        <f>IF(Tabla_Consulta_desde_Reporte_de_Valorización_de_Instrumentos[[#This Row],[PORTAFOLIO]]="IN-FONDO2",Tabla_Consulta_desde_Reporte_de_Valorización_de_Instrumentos[[#This Row],[Inv MM$]],0)</f>
        <v>0</v>
      </c>
      <c r="AH623" s="26">
        <f>IF(Tabla_Consulta_desde_Reporte_de_Valorización_de_Instrumentos[[#This Row],[PORTAFOLIO]]="IN-FONDO3",Tabla_Consulta_desde_Reporte_de_Valorización_de_Instrumentos[[#This Row],[Inv MM$]],0)</f>
        <v>0</v>
      </c>
      <c r="AI62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0.78</v>
      </c>
      <c r="AJ623" s="26">
        <f>IFERROR(IFERROR(INDEX('BD(MSCI)'!$T:$T,MATCH(Tabla_Consulta_desde_Reporte_de_Valorización_de_Instrumentos[[#This Row],[CODIGO_ISIN]],'BD(MSCI)'!$C:$C,0),1),INDEX('BD(MSCI)'!$T:$T,MATCH(Tabla_Consulta_desde_Reporte_de_Valorización_de_Instrumentos[[#This Row],[CODIGO_SBS]],'BD(MSCI)'!$C:$C,0),1)),0)</f>
        <v>0</v>
      </c>
      <c r="AK623" s="26">
        <f>Tabla_Consulta_desde_Reporte_de_Valorización_de_Instrumentos[[#This Row],[C02-H]]*Tabla_Consulta_desde_Reporte_de_Valorización_de_Instrumentos[[#This Row],[Inv MM$]]</f>
        <v>0</v>
      </c>
      <c r="AL623" s="26">
        <f>Tabla_Consulta_desde_Reporte_de_Valorización_de_Instrumentos[[#This Row],[C02-H]]*Tabla_Consulta_desde_Reporte_de_Valorización_de_Instrumentos[[#This Row],[Weight]]</f>
        <v>0</v>
      </c>
      <c r="AM623" s="26">
        <f>INDEX(Parametria!G:G,MATCH(Tabla_Consulta_desde_Reporte_de_Valorización_de_Instrumentos[[#This Row],[CODIGO_SBS]],Parametria!C:C,0))</f>
        <v>0</v>
      </c>
      <c r="AN623" s="26" t="str">
        <f>INDEX(Parametria!F:F,MATCH(Tabla_Consulta_desde_Reporte_de_Valorización_de_Instrumentos[[#This Row],[CODIGO_SBS]],Parametria!C:C,0))</f>
        <v>Cash</v>
      </c>
      <c r="AO623" s="26" t="str">
        <f>+INDEX(Parametria!J:J,MATCH(Tabla_Consulta_desde_Reporte_de_Valorización_de_Instrumentos[[#This Row],[CODIGO_SBS]],Parametria!C:C,0))</f>
        <v>Cash</v>
      </c>
      <c r="AP623" s="26">
        <f>Tabla_Consulta_desde_Reporte_de_Valorización_de_Instrumentos[[#This Row],[Huella]]/$AU$4</f>
        <v>0</v>
      </c>
      <c r="AQ623" s="26" t="str">
        <f>IFERROR(INDEX('BD(MSCI)'!W:W,MATCH(Tabla_Consulta_desde_Reporte_de_Valorización_de_Instrumentos[[#This Row],[CODIGO_ISIN]],'BD(MSCI)'!C:C,0)),IF(Tabla_Consulta_desde_Reporte_de_Valorización_de_Instrumentos[[#This Row],[Rank_rt]]="Cash","Cash","Cuestionario Integra"))</f>
        <v>Cash</v>
      </c>
      <c r="AR623" s="26" t="str">
        <f>IFERROR(INDEX('BD(MSCI)'!X:X,MATCH(Tabla_Consulta_desde_Reporte_de_Valorización_de_Instrumentos[[#This Row],[CODIGO_ISIN]],'BD(MSCI)'!C:C,0)),"Cuestionario Integra")</f>
        <v>Cuestionario Integra</v>
      </c>
    </row>
    <row r="624" spans="2:44" hidden="1" x14ac:dyDescent="0.25">
      <c r="B624" s="14" t="s">
        <v>6390</v>
      </c>
      <c r="C624" t="s">
        <v>840</v>
      </c>
      <c r="D624" t="s">
        <v>11</v>
      </c>
      <c r="E624" t="s">
        <v>841</v>
      </c>
      <c r="F624" t="s">
        <v>6606</v>
      </c>
      <c r="G624">
        <f>INDEX(Parametria!H:H,MATCH(Tabla_Consulta_desde_Reporte_de_Valorización_de_Instrumentos[[#This Row],[CODIGO_SBS]],Parametria!C:C,0),1)</f>
        <v>0</v>
      </c>
      <c r="H624" t="s">
        <v>90</v>
      </c>
      <c r="I624" t="s">
        <v>842</v>
      </c>
      <c r="J624" t="s">
        <v>4653</v>
      </c>
      <c r="K624" t="s">
        <v>50</v>
      </c>
      <c r="L624">
        <v>1</v>
      </c>
      <c r="M624" s="5">
        <v>67218</v>
      </c>
      <c r="N624">
        <v>20000</v>
      </c>
      <c r="O624">
        <v>0</v>
      </c>
      <c r="P624" s="15">
        <v>46024</v>
      </c>
      <c r="Q624">
        <v>2</v>
      </c>
      <c r="R624">
        <v>3.3609</v>
      </c>
      <c r="S624" t="s">
        <v>155</v>
      </c>
      <c r="U624" s="5"/>
      <c r="V624" t="s">
        <v>156</v>
      </c>
      <c r="W624">
        <v>0</v>
      </c>
      <c r="X624">
        <v>0</v>
      </c>
      <c r="Y624">
        <v>0</v>
      </c>
      <c r="Z624">
        <v>0</v>
      </c>
      <c r="AA624" t="str">
        <f>+MID(Tabla_Consulta_desde_Reporte_de_Valorización_de_Instrumentos[[#This Row],[CODIGO_SBS]],7,1)</f>
        <v>2</v>
      </c>
      <c r="AB624">
        <f>INDEX('Cálculo Caja'!F:F,MATCH(Tabla_Consulta_desde_Reporte_de_Valorización_de_Instrumentos[[#This Row],[PORTAFOLIO]],'Cálculo Caja'!A:A,0),1)</f>
        <v>3164069580.822104</v>
      </c>
      <c r="AC624" s="17">
        <f>Tabla_Consulta_desde_Reporte_de_Valorización_de_Instrumentos[[#This Row],[VALOR_VECTOR_LOCAL]]/Tabla_Consulta_desde_Reporte_de_Valorización_de_Instrumentos[[#This Row],[Patrimonio]]</f>
        <v>2.1244159865326064E-5</v>
      </c>
      <c r="AD624" s="4">
        <f>(Tabla_Consulta_desde_Reporte_de_Valorización_de_Instrumentos[[#This Row],[VALOR_VECTOR_LOCAL]]/INDEX('Tipo de Cambio'!$D:$D,MATCH("2",'Tipo de Cambio'!$E:$E,0),1))/1000000</f>
        <v>0.02</v>
      </c>
      <c r="AE624">
        <f>IF(Tabla_Consulta_desde_Reporte_de_Valorización_de_Instrumentos[[#This Row],[PORTAFOLIO]]="IN-FONDO0",Tabla_Consulta_desde_Reporte_de_Valorización_de_Instrumentos[[#This Row],[Inv MM$]],0)</f>
        <v>0</v>
      </c>
      <c r="AF624" s="26">
        <f>IF(Tabla_Consulta_desde_Reporte_de_Valorización_de_Instrumentos[[#This Row],[PORTAFOLIO]]="IN-FONDO1",Tabla_Consulta_desde_Reporte_de_Valorización_de_Instrumentos[[#This Row],[Inv MM$]],0)</f>
        <v>0</v>
      </c>
      <c r="AG624" s="26">
        <f>IF(Tabla_Consulta_desde_Reporte_de_Valorización_de_Instrumentos[[#This Row],[PORTAFOLIO]]="IN-FONDO2",Tabla_Consulta_desde_Reporte_de_Valorización_de_Instrumentos[[#This Row],[Inv MM$]],0)</f>
        <v>0</v>
      </c>
      <c r="AH624" s="26">
        <f>IF(Tabla_Consulta_desde_Reporte_de_Valorización_de_Instrumentos[[#This Row],[PORTAFOLIO]]="IN-FONDO3",Tabla_Consulta_desde_Reporte_de_Valorización_de_Instrumentos[[#This Row],[Inv MM$]],0)</f>
        <v>0.02</v>
      </c>
      <c r="AI62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0.02</v>
      </c>
      <c r="AJ624" s="26">
        <f>IFERROR(IFERROR(INDEX('BD(MSCI)'!$T:$T,MATCH(Tabla_Consulta_desde_Reporte_de_Valorización_de_Instrumentos[[#This Row],[CODIGO_ISIN]],'BD(MSCI)'!$C:$C,0),1),INDEX('BD(MSCI)'!$T:$T,MATCH(Tabla_Consulta_desde_Reporte_de_Valorización_de_Instrumentos[[#This Row],[CODIGO_SBS]],'BD(MSCI)'!$C:$C,0),1)),0)</f>
        <v>0</v>
      </c>
      <c r="AK624" s="26">
        <f>Tabla_Consulta_desde_Reporte_de_Valorización_de_Instrumentos[[#This Row],[C02-H]]*Tabla_Consulta_desde_Reporte_de_Valorización_de_Instrumentos[[#This Row],[Inv MM$]]</f>
        <v>0</v>
      </c>
      <c r="AL624" s="26">
        <f>Tabla_Consulta_desde_Reporte_de_Valorización_de_Instrumentos[[#This Row],[C02-H]]*Tabla_Consulta_desde_Reporte_de_Valorización_de_Instrumentos[[#This Row],[Weight]]</f>
        <v>0</v>
      </c>
      <c r="AM624" s="26">
        <f>INDEX(Parametria!G:G,MATCH(Tabla_Consulta_desde_Reporte_de_Valorización_de_Instrumentos[[#This Row],[CODIGO_SBS]],Parametria!C:C,0))</f>
        <v>0</v>
      </c>
      <c r="AN624" s="26" t="str">
        <f>INDEX(Parametria!F:F,MATCH(Tabla_Consulta_desde_Reporte_de_Valorización_de_Instrumentos[[#This Row],[CODIGO_SBS]],Parametria!C:C,0))</f>
        <v>Cash</v>
      </c>
      <c r="AO624" s="26" t="str">
        <f>+INDEX(Parametria!J:J,MATCH(Tabla_Consulta_desde_Reporte_de_Valorización_de_Instrumentos[[#This Row],[CODIGO_SBS]],Parametria!C:C,0))</f>
        <v>Cash</v>
      </c>
      <c r="AP624" s="26">
        <f>Tabla_Consulta_desde_Reporte_de_Valorización_de_Instrumentos[[#This Row],[Huella]]/$AU$4</f>
        <v>0</v>
      </c>
      <c r="AQ624" s="26" t="str">
        <f>IFERROR(INDEX('BD(MSCI)'!W:W,MATCH(Tabla_Consulta_desde_Reporte_de_Valorización_de_Instrumentos[[#This Row],[CODIGO_ISIN]],'BD(MSCI)'!C:C,0)),IF(Tabla_Consulta_desde_Reporte_de_Valorización_de_Instrumentos[[#This Row],[Rank_rt]]="Cash","Cash","Cuestionario Integra"))</f>
        <v>Cash</v>
      </c>
      <c r="AR624" s="26" t="str">
        <f>IFERROR(INDEX('BD(MSCI)'!X:X,MATCH(Tabla_Consulta_desde_Reporte_de_Valorización_de_Instrumentos[[#This Row],[CODIGO_ISIN]],'BD(MSCI)'!C:C,0)),"Cuestionario Integra")</f>
        <v>Cuestionario Integra</v>
      </c>
    </row>
    <row r="625" spans="2:44" hidden="1" x14ac:dyDescent="0.25">
      <c r="B625" s="14" t="s">
        <v>6390</v>
      </c>
      <c r="C625" t="s">
        <v>840</v>
      </c>
      <c r="D625" t="s">
        <v>10</v>
      </c>
      <c r="E625" t="s">
        <v>841</v>
      </c>
      <c r="F625" t="s">
        <v>6607</v>
      </c>
      <c r="G625">
        <f>INDEX(Parametria!H:H,MATCH(Tabla_Consulta_desde_Reporte_de_Valorización_de_Instrumentos[[#This Row],[CODIGO_SBS]],Parametria!C:C,0),1)</f>
        <v>0</v>
      </c>
      <c r="H625" t="s">
        <v>90</v>
      </c>
      <c r="I625" t="s">
        <v>842</v>
      </c>
      <c r="J625" t="s">
        <v>4652</v>
      </c>
      <c r="K625" t="s">
        <v>50</v>
      </c>
      <c r="L625">
        <v>1</v>
      </c>
      <c r="M625" s="5">
        <v>18451341</v>
      </c>
      <c r="N625">
        <v>5490000</v>
      </c>
      <c r="O625">
        <v>0</v>
      </c>
      <c r="P625" s="15">
        <v>46024</v>
      </c>
      <c r="Q625">
        <v>2</v>
      </c>
      <c r="R625">
        <v>3.3609</v>
      </c>
      <c r="S625" t="s">
        <v>155</v>
      </c>
      <c r="U625" s="5"/>
      <c r="V625" t="s">
        <v>156</v>
      </c>
      <c r="W625">
        <v>0</v>
      </c>
      <c r="X625">
        <v>0</v>
      </c>
      <c r="Y625">
        <v>0</v>
      </c>
      <c r="Z625">
        <v>0</v>
      </c>
      <c r="AA625" t="str">
        <f>+MID(Tabla_Consulta_desde_Reporte_de_Valorización_de_Instrumentos[[#This Row],[CODIGO_SBS]],7,1)</f>
        <v>2</v>
      </c>
      <c r="AB625">
        <f>INDEX('Cálculo Caja'!F:F,MATCH(Tabla_Consulta_desde_Reporte_de_Valorización_de_Instrumentos[[#This Row],[PORTAFOLIO]],'Cálculo Caja'!A:A,0),1)</f>
        <v>26256910350.436607</v>
      </c>
      <c r="AC625" s="17">
        <f>Tabla_Consulta_desde_Reporte_de_Valorización_de_Instrumentos[[#This Row],[VALOR_VECTOR_LOCAL]]/Tabla_Consulta_desde_Reporte_de_Valorización_de_Instrumentos[[#This Row],[Patrimonio]]</f>
        <v>7.0272323566406155E-4</v>
      </c>
      <c r="AD625" s="4">
        <f>(Tabla_Consulta_desde_Reporte_de_Valorización_de_Instrumentos[[#This Row],[VALOR_VECTOR_LOCAL]]/INDEX('Tipo de Cambio'!$D:$D,MATCH("2",'Tipo de Cambio'!$E:$E,0),1))/1000000</f>
        <v>5.49</v>
      </c>
      <c r="AE625">
        <f>IF(Tabla_Consulta_desde_Reporte_de_Valorización_de_Instrumentos[[#This Row],[PORTAFOLIO]]="IN-FONDO0",Tabla_Consulta_desde_Reporte_de_Valorización_de_Instrumentos[[#This Row],[Inv MM$]],0)</f>
        <v>0</v>
      </c>
      <c r="AF625" s="26">
        <f>IF(Tabla_Consulta_desde_Reporte_de_Valorización_de_Instrumentos[[#This Row],[PORTAFOLIO]]="IN-FONDO1",Tabla_Consulta_desde_Reporte_de_Valorización_de_Instrumentos[[#This Row],[Inv MM$]],0)</f>
        <v>0</v>
      </c>
      <c r="AG625" s="26">
        <f>IF(Tabla_Consulta_desde_Reporte_de_Valorización_de_Instrumentos[[#This Row],[PORTAFOLIO]]="IN-FONDO2",Tabla_Consulta_desde_Reporte_de_Valorización_de_Instrumentos[[#This Row],[Inv MM$]],0)</f>
        <v>5.49</v>
      </c>
      <c r="AH625" s="26">
        <f>IF(Tabla_Consulta_desde_Reporte_de_Valorización_de_Instrumentos[[#This Row],[PORTAFOLIO]]="IN-FONDO3",Tabla_Consulta_desde_Reporte_de_Valorización_de_Instrumentos[[#This Row],[Inv MM$]],0)</f>
        <v>0</v>
      </c>
      <c r="AI62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5.49</v>
      </c>
      <c r="AJ625" s="26">
        <f>IFERROR(IFERROR(INDEX('BD(MSCI)'!$T:$T,MATCH(Tabla_Consulta_desde_Reporte_de_Valorización_de_Instrumentos[[#This Row],[CODIGO_ISIN]],'BD(MSCI)'!$C:$C,0),1),INDEX('BD(MSCI)'!$T:$T,MATCH(Tabla_Consulta_desde_Reporte_de_Valorización_de_Instrumentos[[#This Row],[CODIGO_SBS]],'BD(MSCI)'!$C:$C,0),1)),0)</f>
        <v>0</v>
      </c>
      <c r="AK625" s="26">
        <f>Tabla_Consulta_desde_Reporte_de_Valorización_de_Instrumentos[[#This Row],[C02-H]]*Tabla_Consulta_desde_Reporte_de_Valorización_de_Instrumentos[[#This Row],[Inv MM$]]</f>
        <v>0</v>
      </c>
      <c r="AL625" s="26">
        <f>Tabla_Consulta_desde_Reporte_de_Valorización_de_Instrumentos[[#This Row],[C02-H]]*Tabla_Consulta_desde_Reporte_de_Valorización_de_Instrumentos[[#This Row],[Weight]]</f>
        <v>0</v>
      </c>
      <c r="AM625" s="26">
        <f>INDEX(Parametria!G:G,MATCH(Tabla_Consulta_desde_Reporte_de_Valorización_de_Instrumentos[[#This Row],[CODIGO_SBS]],Parametria!C:C,0))</f>
        <v>0</v>
      </c>
      <c r="AN625" s="26" t="str">
        <f>INDEX(Parametria!F:F,MATCH(Tabla_Consulta_desde_Reporte_de_Valorización_de_Instrumentos[[#This Row],[CODIGO_SBS]],Parametria!C:C,0))</f>
        <v>Cash</v>
      </c>
      <c r="AO625" s="26" t="str">
        <f>+INDEX(Parametria!J:J,MATCH(Tabla_Consulta_desde_Reporte_de_Valorización_de_Instrumentos[[#This Row],[CODIGO_SBS]],Parametria!C:C,0))</f>
        <v>Cash</v>
      </c>
      <c r="AP625" s="26">
        <f>Tabla_Consulta_desde_Reporte_de_Valorización_de_Instrumentos[[#This Row],[Huella]]/$AU$4</f>
        <v>0</v>
      </c>
      <c r="AQ625" s="26" t="str">
        <f>IFERROR(INDEX('BD(MSCI)'!W:W,MATCH(Tabla_Consulta_desde_Reporte_de_Valorización_de_Instrumentos[[#This Row],[CODIGO_ISIN]],'BD(MSCI)'!C:C,0)),IF(Tabla_Consulta_desde_Reporte_de_Valorización_de_Instrumentos[[#This Row],[Rank_rt]]="Cash","Cash","Cuestionario Integra"))</f>
        <v>Cash</v>
      </c>
      <c r="AR625" s="26" t="str">
        <f>IFERROR(INDEX('BD(MSCI)'!X:X,MATCH(Tabla_Consulta_desde_Reporte_de_Valorización_de_Instrumentos[[#This Row],[CODIGO_ISIN]],'BD(MSCI)'!C:C,0)),"Cuestionario Integra")</f>
        <v>Cuestionario Integra</v>
      </c>
    </row>
    <row r="626" spans="2:44" hidden="1" x14ac:dyDescent="0.25">
      <c r="B626" s="14" t="s">
        <v>6390</v>
      </c>
      <c r="C626" t="s">
        <v>840</v>
      </c>
      <c r="D626" t="s">
        <v>10</v>
      </c>
      <c r="E626" t="s">
        <v>841</v>
      </c>
      <c r="F626" t="s">
        <v>6608</v>
      </c>
      <c r="G626">
        <f>INDEX(Parametria!H:H,MATCH(Tabla_Consulta_desde_Reporte_de_Valorización_de_Instrumentos[[#This Row],[CODIGO_SBS]],Parametria!C:C,0),1)</f>
        <v>0</v>
      </c>
      <c r="H626" t="s">
        <v>90</v>
      </c>
      <c r="I626" t="s">
        <v>842</v>
      </c>
      <c r="J626" t="s">
        <v>4652</v>
      </c>
      <c r="K626" t="s">
        <v>50</v>
      </c>
      <c r="L626">
        <v>1</v>
      </c>
      <c r="M626" s="5">
        <v>3764208</v>
      </c>
      <c r="N626">
        <v>1120000</v>
      </c>
      <c r="O626">
        <v>0</v>
      </c>
      <c r="P626" s="15">
        <v>46024</v>
      </c>
      <c r="Q626">
        <v>2</v>
      </c>
      <c r="R626">
        <v>3.3609</v>
      </c>
      <c r="S626" t="s">
        <v>155</v>
      </c>
      <c r="U626" s="5"/>
      <c r="V626" t="s">
        <v>156</v>
      </c>
      <c r="W626">
        <v>0</v>
      </c>
      <c r="X626">
        <v>0</v>
      </c>
      <c r="Y626">
        <v>0</v>
      </c>
      <c r="Z626">
        <v>0</v>
      </c>
      <c r="AA626" t="str">
        <f>+MID(Tabla_Consulta_desde_Reporte_de_Valorización_de_Instrumentos[[#This Row],[CODIGO_SBS]],7,1)</f>
        <v>2</v>
      </c>
      <c r="AB626">
        <f>INDEX('Cálculo Caja'!F:F,MATCH(Tabla_Consulta_desde_Reporte_de_Valorización_de_Instrumentos[[#This Row],[PORTAFOLIO]],'Cálculo Caja'!A:A,0),1)</f>
        <v>26256910350.436607</v>
      </c>
      <c r="AC626" s="17">
        <f>Tabla_Consulta_desde_Reporte_de_Valorización_de_Instrumentos[[#This Row],[VALOR_VECTOR_LOCAL]]/Tabla_Consulta_desde_Reporte_de_Valorización_de_Instrumentos[[#This Row],[Patrimonio]]</f>
        <v>1.4336066009904352E-4</v>
      </c>
      <c r="AD626" s="4">
        <f>(Tabla_Consulta_desde_Reporte_de_Valorización_de_Instrumentos[[#This Row],[VALOR_VECTOR_LOCAL]]/INDEX('Tipo de Cambio'!$D:$D,MATCH("2",'Tipo de Cambio'!$E:$E,0),1))/1000000</f>
        <v>1.1200000000000001</v>
      </c>
      <c r="AE626">
        <f>IF(Tabla_Consulta_desde_Reporte_de_Valorización_de_Instrumentos[[#This Row],[PORTAFOLIO]]="IN-FONDO0",Tabla_Consulta_desde_Reporte_de_Valorización_de_Instrumentos[[#This Row],[Inv MM$]],0)</f>
        <v>0</v>
      </c>
      <c r="AF626" s="26">
        <f>IF(Tabla_Consulta_desde_Reporte_de_Valorización_de_Instrumentos[[#This Row],[PORTAFOLIO]]="IN-FONDO1",Tabla_Consulta_desde_Reporte_de_Valorización_de_Instrumentos[[#This Row],[Inv MM$]],0)</f>
        <v>0</v>
      </c>
      <c r="AG626" s="26">
        <f>IF(Tabla_Consulta_desde_Reporte_de_Valorización_de_Instrumentos[[#This Row],[PORTAFOLIO]]="IN-FONDO2",Tabla_Consulta_desde_Reporte_de_Valorización_de_Instrumentos[[#This Row],[Inv MM$]],0)</f>
        <v>1.1200000000000001</v>
      </c>
      <c r="AH626" s="26">
        <f>IF(Tabla_Consulta_desde_Reporte_de_Valorización_de_Instrumentos[[#This Row],[PORTAFOLIO]]="IN-FONDO3",Tabla_Consulta_desde_Reporte_de_Valorización_de_Instrumentos[[#This Row],[Inv MM$]],0)</f>
        <v>0</v>
      </c>
      <c r="AI62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1.1200000000000001</v>
      </c>
      <c r="AJ626" s="26">
        <f>IFERROR(IFERROR(INDEX('BD(MSCI)'!$T:$T,MATCH(Tabla_Consulta_desde_Reporte_de_Valorización_de_Instrumentos[[#This Row],[CODIGO_ISIN]],'BD(MSCI)'!$C:$C,0),1),INDEX('BD(MSCI)'!$T:$T,MATCH(Tabla_Consulta_desde_Reporte_de_Valorización_de_Instrumentos[[#This Row],[CODIGO_SBS]],'BD(MSCI)'!$C:$C,0),1)),0)</f>
        <v>0</v>
      </c>
      <c r="AK626" s="26">
        <f>Tabla_Consulta_desde_Reporte_de_Valorización_de_Instrumentos[[#This Row],[C02-H]]*Tabla_Consulta_desde_Reporte_de_Valorización_de_Instrumentos[[#This Row],[Inv MM$]]</f>
        <v>0</v>
      </c>
      <c r="AL626" s="26">
        <f>Tabla_Consulta_desde_Reporte_de_Valorización_de_Instrumentos[[#This Row],[C02-H]]*Tabla_Consulta_desde_Reporte_de_Valorización_de_Instrumentos[[#This Row],[Weight]]</f>
        <v>0</v>
      </c>
      <c r="AM626" s="26">
        <f>INDEX(Parametria!G:G,MATCH(Tabla_Consulta_desde_Reporte_de_Valorización_de_Instrumentos[[#This Row],[CODIGO_SBS]],Parametria!C:C,0))</f>
        <v>0</v>
      </c>
      <c r="AN626" s="26" t="str">
        <f>INDEX(Parametria!F:F,MATCH(Tabla_Consulta_desde_Reporte_de_Valorización_de_Instrumentos[[#This Row],[CODIGO_SBS]],Parametria!C:C,0))</f>
        <v>Cash</v>
      </c>
      <c r="AO626" s="26" t="str">
        <f>+INDEX(Parametria!J:J,MATCH(Tabla_Consulta_desde_Reporte_de_Valorización_de_Instrumentos[[#This Row],[CODIGO_SBS]],Parametria!C:C,0))</f>
        <v>Cash</v>
      </c>
      <c r="AP626" s="26">
        <f>Tabla_Consulta_desde_Reporte_de_Valorización_de_Instrumentos[[#This Row],[Huella]]/$AU$4</f>
        <v>0</v>
      </c>
      <c r="AQ626" s="26" t="str">
        <f>IFERROR(INDEX('BD(MSCI)'!W:W,MATCH(Tabla_Consulta_desde_Reporte_de_Valorización_de_Instrumentos[[#This Row],[CODIGO_ISIN]],'BD(MSCI)'!C:C,0)),IF(Tabla_Consulta_desde_Reporte_de_Valorización_de_Instrumentos[[#This Row],[Rank_rt]]="Cash","Cash","Cuestionario Integra"))</f>
        <v>Cash</v>
      </c>
      <c r="AR626" s="26" t="str">
        <f>IFERROR(INDEX('BD(MSCI)'!X:X,MATCH(Tabla_Consulta_desde_Reporte_de_Valorización_de_Instrumentos[[#This Row],[CODIGO_ISIN]],'BD(MSCI)'!C:C,0)),"Cuestionario Integra")</f>
        <v>Cuestionario Integra</v>
      </c>
    </row>
    <row r="627" spans="2:44" hidden="1" x14ac:dyDescent="0.25">
      <c r="B627" s="14" t="s">
        <v>6390</v>
      </c>
      <c r="C627" t="s">
        <v>840</v>
      </c>
      <c r="D627" t="s">
        <v>10</v>
      </c>
      <c r="E627" t="s">
        <v>841</v>
      </c>
      <c r="F627" t="s">
        <v>6609</v>
      </c>
      <c r="G627">
        <f>INDEX(Parametria!H:H,MATCH(Tabla_Consulta_desde_Reporte_de_Valorización_de_Instrumentos[[#This Row],[CODIGO_SBS]],Parametria!C:C,0),1)</f>
        <v>0</v>
      </c>
      <c r="H627" t="s">
        <v>90</v>
      </c>
      <c r="I627" t="s">
        <v>842</v>
      </c>
      <c r="J627" t="s">
        <v>4652</v>
      </c>
      <c r="K627" t="s">
        <v>50</v>
      </c>
      <c r="L627">
        <v>1</v>
      </c>
      <c r="M627" s="5">
        <v>35759976</v>
      </c>
      <c r="N627">
        <v>10640000</v>
      </c>
      <c r="O627">
        <v>0</v>
      </c>
      <c r="P627" s="15">
        <v>46024</v>
      </c>
      <c r="Q627">
        <v>2</v>
      </c>
      <c r="R627">
        <v>3.3609</v>
      </c>
      <c r="S627" t="s">
        <v>155</v>
      </c>
      <c r="U627" s="5"/>
      <c r="V627" t="s">
        <v>156</v>
      </c>
      <c r="W627">
        <v>0</v>
      </c>
      <c r="X627">
        <v>0</v>
      </c>
      <c r="Y627">
        <v>0</v>
      </c>
      <c r="Z627">
        <v>0</v>
      </c>
      <c r="AA627" t="str">
        <f>+MID(Tabla_Consulta_desde_Reporte_de_Valorización_de_Instrumentos[[#This Row],[CODIGO_SBS]],7,1)</f>
        <v>2</v>
      </c>
      <c r="AB627">
        <f>INDEX('Cálculo Caja'!F:F,MATCH(Tabla_Consulta_desde_Reporte_de_Valorización_de_Instrumentos[[#This Row],[PORTAFOLIO]],'Cálculo Caja'!A:A,0),1)</f>
        <v>26256910350.436607</v>
      </c>
      <c r="AC627" s="17">
        <f>Tabla_Consulta_desde_Reporte_de_Valorización_de_Instrumentos[[#This Row],[VALOR_VECTOR_LOCAL]]/Tabla_Consulta_desde_Reporte_de_Valorización_de_Instrumentos[[#This Row],[Patrimonio]]</f>
        <v>1.3619262709409134E-3</v>
      </c>
      <c r="AD627" s="4">
        <f>(Tabla_Consulta_desde_Reporte_de_Valorización_de_Instrumentos[[#This Row],[VALOR_VECTOR_LOCAL]]/INDEX('Tipo de Cambio'!$D:$D,MATCH("2",'Tipo de Cambio'!$E:$E,0),1))/1000000</f>
        <v>10.64</v>
      </c>
      <c r="AE627">
        <f>IF(Tabla_Consulta_desde_Reporte_de_Valorización_de_Instrumentos[[#This Row],[PORTAFOLIO]]="IN-FONDO0",Tabla_Consulta_desde_Reporte_de_Valorización_de_Instrumentos[[#This Row],[Inv MM$]],0)</f>
        <v>0</v>
      </c>
      <c r="AF627" s="26">
        <f>IF(Tabla_Consulta_desde_Reporte_de_Valorización_de_Instrumentos[[#This Row],[PORTAFOLIO]]="IN-FONDO1",Tabla_Consulta_desde_Reporte_de_Valorización_de_Instrumentos[[#This Row],[Inv MM$]],0)</f>
        <v>0</v>
      </c>
      <c r="AG627" s="26">
        <f>IF(Tabla_Consulta_desde_Reporte_de_Valorización_de_Instrumentos[[#This Row],[PORTAFOLIO]]="IN-FONDO2",Tabla_Consulta_desde_Reporte_de_Valorización_de_Instrumentos[[#This Row],[Inv MM$]],0)</f>
        <v>10.64</v>
      </c>
      <c r="AH627" s="26">
        <f>IF(Tabla_Consulta_desde_Reporte_de_Valorización_de_Instrumentos[[#This Row],[PORTAFOLIO]]="IN-FONDO3",Tabla_Consulta_desde_Reporte_de_Valorización_de_Instrumentos[[#This Row],[Inv MM$]],0)</f>
        <v>0</v>
      </c>
      <c r="AI62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10.64</v>
      </c>
      <c r="AJ627" s="26">
        <f>IFERROR(IFERROR(INDEX('BD(MSCI)'!$T:$T,MATCH(Tabla_Consulta_desde_Reporte_de_Valorización_de_Instrumentos[[#This Row],[CODIGO_ISIN]],'BD(MSCI)'!$C:$C,0),1),INDEX('BD(MSCI)'!$T:$T,MATCH(Tabla_Consulta_desde_Reporte_de_Valorización_de_Instrumentos[[#This Row],[CODIGO_SBS]],'BD(MSCI)'!$C:$C,0),1)),0)</f>
        <v>0</v>
      </c>
      <c r="AK627" s="26">
        <f>Tabla_Consulta_desde_Reporte_de_Valorización_de_Instrumentos[[#This Row],[C02-H]]*Tabla_Consulta_desde_Reporte_de_Valorización_de_Instrumentos[[#This Row],[Inv MM$]]</f>
        <v>0</v>
      </c>
      <c r="AL627" s="26">
        <f>Tabla_Consulta_desde_Reporte_de_Valorización_de_Instrumentos[[#This Row],[C02-H]]*Tabla_Consulta_desde_Reporte_de_Valorización_de_Instrumentos[[#This Row],[Weight]]</f>
        <v>0</v>
      </c>
      <c r="AM627" s="26">
        <f>INDEX(Parametria!G:G,MATCH(Tabla_Consulta_desde_Reporte_de_Valorización_de_Instrumentos[[#This Row],[CODIGO_SBS]],Parametria!C:C,0))</f>
        <v>0</v>
      </c>
      <c r="AN627" s="26" t="str">
        <f>INDEX(Parametria!F:F,MATCH(Tabla_Consulta_desde_Reporte_de_Valorización_de_Instrumentos[[#This Row],[CODIGO_SBS]],Parametria!C:C,0))</f>
        <v>Cash</v>
      </c>
      <c r="AO627" s="26" t="str">
        <f>+INDEX(Parametria!J:J,MATCH(Tabla_Consulta_desde_Reporte_de_Valorización_de_Instrumentos[[#This Row],[CODIGO_SBS]],Parametria!C:C,0))</f>
        <v>Cash</v>
      </c>
      <c r="AP627" s="26">
        <f>Tabla_Consulta_desde_Reporte_de_Valorización_de_Instrumentos[[#This Row],[Huella]]/$AU$4</f>
        <v>0</v>
      </c>
      <c r="AQ627" s="26" t="str">
        <f>IFERROR(INDEX('BD(MSCI)'!W:W,MATCH(Tabla_Consulta_desde_Reporte_de_Valorización_de_Instrumentos[[#This Row],[CODIGO_ISIN]],'BD(MSCI)'!C:C,0)),IF(Tabla_Consulta_desde_Reporte_de_Valorización_de_Instrumentos[[#This Row],[Rank_rt]]="Cash","Cash","Cuestionario Integra"))</f>
        <v>Cash</v>
      </c>
      <c r="AR627" s="26" t="str">
        <f>IFERROR(INDEX('BD(MSCI)'!X:X,MATCH(Tabla_Consulta_desde_Reporte_de_Valorización_de_Instrumentos[[#This Row],[CODIGO_ISIN]],'BD(MSCI)'!C:C,0)),"Cuestionario Integra")</f>
        <v>Cuestionario Integra</v>
      </c>
    </row>
    <row r="628" spans="2:44" hidden="1" x14ac:dyDescent="0.25">
      <c r="B628" s="14" t="s">
        <v>6390</v>
      </c>
      <c r="C628" t="s">
        <v>840</v>
      </c>
      <c r="D628" t="s">
        <v>12</v>
      </c>
      <c r="E628" t="s">
        <v>841</v>
      </c>
      <c r="F628" t="s">
        <v>6610</v>
      </c>
      <c r="G628">
        <f>INDEX(Parametria!H:H,MATCH(Tabla_Consulta_desde_Reporte_de_Valorización_de_Instrumentos[[#This Row],[CODIGO_SBS]],Parametria!C:C,0),1)</f>
        <v>0</v>
      </c>
      <c r="H628" t="s">
        <v>90</v>
      </c>
      <c r="I628" t="s">
        <v>842</v>
      </c>
      <c r="J628" t="s">
        <v>4861</v>
      </c>
      <c r="K628" t="s">
        <v>50</v>
      </c>
      <c r="L628">
        <v>1</v>
      </c>
      <c r="M628" s="5">
        <v>8032551</v>
      </c>
      <c r="N628">
        <v>2390000</v>
      </c>
      <c r="O628">
        <v>0</v>
      </c>
      <c r="P628" s="15">
        <v>46024</v>
      </c>
      <c r="Q628">
        <v>2</v>
      </c>
      <c r="R628">
        <v>3.3609</v>
      </c>
      <c r="S628" t="s">
        <v>155</v>
      </c>
      <c r="U628" s="5"/>
      <c r="V628" t="s">
        <v>156</v>
      </c>
      <c r="W628">
        <v>0</v>
      </c>
      <c r="X628">
        <v>0</v>
      </c>
      <c r="Y628">
        <v>0</v>
      </c>
      <c r="Z628">
        <v>0</v>
      </c>
      <c r="AA628" t="str">
        <f>+MID(Tabla_Consulta_desde_Reporte_de_Valorización_de_Instrumentos[[#This Row],[CODIGO_SBS]],7,1)</f>
        <v>2</v>
      </c>
      <c r="AB628">
        <f>INDEX('Cálculo Caja'!F:F,MATCH(Tabla_Consulta_desde_Reporte_de_Valorización_de_Instrumentos[[#This Row],[PORTAFOLIO]],'Cálculo Caja'!A:A,0),1)</f>
        <v>7679510866.0565634</v>
      </c>
      <c r="AC628" s="17">
        <f>Tabla_Consulta_desde_Reporte_de_Valorización_de_Instrumentos[[#This Row],[VALOR_VECTOR_LOCAL]]/Tabla_Consulta_desde_Reporte_de_Valorización_de_Instrumentos[[#This Row],[Patrimonio]]</f>
        <v>1.0459716953463631E-3</v>
      </c>
      <c r="AD628" s="4">
        <f>(Tabla_Consulta_desde_Reporte_de_Valorización_de_Instrumentos[[#This Row],[VALOR_VECTOR_LOCAL]]/INDEX('Tipo de Cambio'!$D:$D,MATCH("2",'Tipo de Cambio'!$E:$E,0),1))/1000000</f>
        <v>2.39</v>
      </c>
      <c r="AE628">
        <f>IF(Tabla_Consulta_desde_Reporte_de_Valorización_de_Instrumentos[[#This Row],[PORTAFOLIO]]="IN-FONDO0",Tabla_Consulta_desde_Reporte_de_Valorización_de_Instrumentos[[#This Row],[Inv MM$]],0)</f>
        <v>0</v>
      </c>
      <c r="AF628" s="26">
        <f>IF(Tabla_Consulta_desde_Reporte_de_Valorización_de_Instrumentos[[#This Row],[PORTAFOLIO]]="IN-FONDO1",Tabla_Consulta_desde_Reporte_de_Valorización_de_Instrumentos[[#This Row],[Inv MM$]],0)</f>
        <v>2.39</v>
      </c>
      <c r="AG628" s="26">
        <f>IF(Tabla_Consulta_desde_Reporte_de_Valorización_de_Instrumentos[[#This Row],[PORTAFOLIO]]="IN-FONDO2",Tabla_Consulta_desde_Reporte_de_Valorización_de_Instrumentos[[#This Row],[Inv MM$]],0)</f>
        <v>0</v>
      </c>
      <c r="AH628" s="26">
        <f>IF(Tabla_Consulta_desde_Reporte_de_Valorización_de_Instrumentos[[#This Row],[PORTAFOLIO]]="IN-FONDO3",Tabla_Consulta_desde_Reporte_de_Valorización_de_Instrumentos[[#This Row],[Inv MM$]],0)</f>
        <v>0</v>
      </c>
      <c r="AI62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2.39</v>
      </c>
      <c r="AJ628" s="26">
        <f>IFERROR(IFERROR(INDEX('BD(MSCI)'!$T:$T,MATCH(Tabla_Consulta_desde_Reporte_de_Valorización_de_Instrumentos[[#This Row],[CODIGO_ISIN]],'BD(MSCI)'!$C:$C,0),1),INDEX('BD(MSCI)'!$T:$T,MATCH(Tabla_Consulta_desde_Reporte_de_Valorización_de_Instrumentos[[#This Row],[CODIGO_SBS]],'BD(MSCI)'!$C:$C,0),1)),0)</f>
        <v>0</v>
      </c>
      <c r="AK628" s="26">
        <f>Tabla_Consulta_desde_Reporte_de_Valorización_de_Instrumentos[[#This Row],[C02-H]]*Tabla_Consulta_desde_Reporte_de_Valorización_de_Instrumentos[[#This Row],[Inv MM$]]</f>
        <v>0</v>
      </c>
      <c r="AL628" s="26">
        <f>Tabla_Consulta_desde_Reporte_de_Valorización_de_Instrumentos[[#This Row],[C02-H]]*Tabla_Consulta_desde_Reporte_de_Valorización_de_Instrumentos[[#This Row],[Weight]]</f>
        <v>0</v>
      </c>
      <c r="AM628" s="26">
        <f>INDEX(Parametria!G:G,MATCH(Tabla_Consulta_desde_Reporte_de_Valorización_de_Instrumentos[[#This Row],[CODIGO_SBS]],Parametria!C:C,0))</f>
        <v>0</v>
      </c>
      <c r="AN628" s="26" t="str">
        <f>INDEX(Parametria!F:F,MATCH(Tabla_Consulta_desde_Reporte_de_Valorización_de_Instrumentos[[#This Row],[CODIGO_SBS]],Parametria!C:C,0))</f>
        <v>Cash</v>
      </c>
      <c r="AO628" s="26" t="str">
        <f>+INDEX(Parametria!J:J,MATCH(Tabla_Consulta_desde_Reporte_de_Valorización_de_Instrumentos[[#This Row],[CODIGO_SBS]],Parametria!C:C,0))</f>
        <v>Cash</v>
      </c>
      <c r="AP628" s="26">
        <f>Tabla_Consulta_desde_Reporte_de_Valorización_de_Instrumentos[[#This Row],[Huella]]/$AU$4</f>
        <v>0</v>
      </c>
      <c r="AQ628" s="26" t="str">
        <f>IFERROR(INDEX('BD(MSCI)'!W:W,MATCH(Tabla_Consulta_desde_Reporte_de_Valorización_de_Instrumentos[[#This Row],[CODIGO_ISIN]],'BD(MSCI)'!C:C,0)),IF(Tabla_Consulta_desde_Reporte_de_Valorización_de_Instrumentos[[#This Row],[Rank_rt]]="Cash","Cash","Cuestionario Integra"))</f>
        <v>Cash</v>
      </c>
      <c r="AR628" s="26" t="str">
        <f>IFERROR(INDEX('BD(MSCI)'!X:X,MATCH(Tabla_Consulta_desde_Reporte_de_Valorización_de_Instrumentos[[#This Row],[CODIGO_ISIN]],'BD(MSCI)'!C:C,0)),"Cuestionario Integra")</f>
        <v>Cuestionario Integra</v>
      </c>
    </row>
    <row r="629" spans="2:44" hidden="1" x14ac:dyDescent="0.25">
      <c r="B629" s="14" t="s">
        <v>6390</v>
      </c>
      <c r="C629" t="s">
        <v>840</v>
      </c>
      <c r="D629" t="s">
        <v>10</v>
      </c>
      <c r="E629" t="s">
        <v>841</v>
      </c>
      <c r="F629" t="s">
        <v>6611</v>
      </c>
      <c r="G629">
        <f>INDEX(Parametria!H:H,MATCH(Tabla_Consulta_desde_Reporte_de_Valorización_de_Instrumentos[[#This Row],[CODIGO_SBS]],Parametria!C:C,0),1)</f>
        <v>0</v>
      </c>
      <c r="H629" t="s">
        <v>90</v>
      </c>
      <c r="I629" t="s">
        <v>842</v>
      </c>
      <c r="J629" t="s">
        <v>4653</v>
      </c>
      <c r="K629" t="s">
        <v>50</v>
      </c>
      <c r="L629">
        <v>1</v>
      </c>
      <c r="M629" s="5">
        <v>31861332</v>
      </c>
      <c r="N629">
        <v>9480000</v>
      </c>
      <c r="O629">
        <v>0</v>
      </c>
      <c r="P629" s="15">
        <v>46024</v>
      </c>
      <c r="Q629">
        <v>2</v>
      </c>
      <c r="R629">
        <v>3.3609</v>
      </c>
      <c r="S629" t="s">
        <v>155</v>
      </c>
      <c r="U629" s="5"/>
      <c r="V629" t="s">
        <v>156</v>
      </c>
      <c r="W629">
        <v>0</v>
      </c>
      <c r="X629">
        <v>0</v>
      </c>
      <c r="Y629">
        <v>0</v>
      </c>
      <c r="Z629">
        <v>0</v>
      </c>
      <c r="AA629" t="str">
        <f>+MID(Tabla_Consulta_desde_Reporte_de_Valorización_de_Instrumentos[[#This Row],[CODIGO_SBS]],7,1)</f>
        <v>2</v>
      </c>
      <c r="AB629">
        <f>INDEX('Cálculo Caja'!F:F,MATCH(Tabla_Consulta_desde_Reporte_de_Valorización_de_Instrumentos[[#This Row],[PORTAFOLIO]],'Cálculo Caja'!A:A,0),1)</f>
        <v>26256910350.436607</v>
      </c>
      <c r="AC629" s="17">
        <f>Tabla_Consulta_desde_Reporte_de_Valorización_de_Instrumentos[[#This Row],[VALOR_VECTOR_LOCAL]]/Tabla_Consulta_desde_Reporte_de_Valorización_de_Instrumentos[[#This Row],[Patrimonio]]</f>
        <v>1.213445587266904E-3</v>
      </c>
      <c r="AD629" s="4">
        <f>(Tabla_Consulta_desde_Reporte_de_Valorización_de_Instrumentos[[#This Row],[VALOR_VECTOR_LOCAL]]/INDEX('Tipo de Cambio'!$D:$D,MATCH("2",'Tipo de Cambio'!$E:$E,0),1))/1000000</f>
        <v>9.48</v>
      </c>
      <c r="AE629">
        <f>IF(Tabla_Consulta_desde_Reporte_de_Valorización_de_Instrumentos[[#This Row],[PORTAFOLIO]]="IN-FONDO0",Tabla_Consulta_desde_Reporte_de_Valorización_de_Instrumentos[[#This Row],[Inv MM$]],0)</f>
        <v>0</v>
      </c>
      <c r="AF629" s="26">
        <f>IF(Tabla_Consulta_desde_Reporte_de_Valorización_de_Instrumentos[[#This Row],[PORTAFOLIO]]="IN-FONDO1",Tabla_Consulta_desde_Reporte_de_Valorización_de_Instrumentos[[#This Row],[Inv MM$]],0)</f>
        <v>0</v>
      </c>
      <c r="AG629" s="26">
        <f>IF(Tabla_Consulta_desde_Reporte_de_Valorización_de_Instrumentos[[#This Row],[PORTAFOLIO]]="IN-FONDO2",Tabla_Consulta_desde_Reporte_de_Valorización_de_Instrumentos[[#This Row],[Inv MM$]],0)</f>
        <v>9.48</v>
      </c>
      <c r="AH629" s="26">
        <f>IF(Tabla_Consulta_desde_Reporte_de_Valorización_de_Instrumentos[[#This Row],[PORTAFOLIO]]="IN-FONDO3",Tabla_Consulta_desde_Reporte_de_Valorización_de_Instrumentos[[#This Row],[Inv MM$]],0)</f>
        <v>0</v>
      </c>
      <c r="AI62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9.48</v>
      </c>
      <c r="AJ629" s="26">
        <f>IFERROR(IFERROR(INDEX('BD(MSCI)'!$T:$T,MATCH(Tabla_Consulta_desde_Reporte_de_Valorización_de_Instrumentos[[#This Row],[CODIGO_ISIN]],'BD(MSCI)'!$C:$C,0),1),INDEX('BD(MSCI)'!$T:$T,MATCH(Tabla_Consulta_desde_Reporte_de_Valorización_de_Instrumentos[[#This Row],[CODIGO_SBS]],'BD(MSCI)'!$C:$C,0),1)),0)</f>
        <v>0</v>
      </c>
      <c r="AK629" s="26">
        <f>Tabla_Consulta_desde_Reporte_de_Valorización_de_Instrumentos[[#This Row],[C02-H]]*Tabla_Consulta_desde_Reporte_de_Valorización_de_Instrumentos[[#This Row],[Inv MM$]]</f>
        <v>0</v>
      </c>
      <c r="AL629" s="26">
        <f>Tabla_Consulta_desde_Reporte_de_Valorización_de_Instrumentos[[#This Row],[C02-H]]*Tabla_Consulta_desde_Reporte_de_Valorización_de_Instrumentos[[#This Row],[Weight]]</f>
        <v>0</v>
      </c>
      <c r="AM629" s="26">
        <f>INDEX(Parametria!G:G,MATCH(Tabla_Consulta_desde_Reporte_de_Valorización_de_Instrumentos[[#This Row],[CODIGO_SBS]],Parametria!C:C,0))</f>
        <v>0</v>
      </c>
      <c r="AN629" s="26" t="str">
        <f>INDEX(Parametria!F:F,MATCH(Tabla_Consulta_desde_Reporte_de_Valorización_de_Instrumentos[[#This Row],[CODIGO_SBS]],Parametria!C:C,0))</f>
        <v>Cash</v>
      </c>
      <c r="AO629" s="26" t="str">
        <f>+INDEX(Parametria!J:J,MATCH(Tabla_Consulta_desde_Reporte_de_Valorización_de_Instrumentos[[#This Row],[CODIGO_SBS]],Parametria!C:C,0))</f>
        <v>Cash</v>
      </c>
      <c r="AP629" s="26">
        <f>Tabla_Consulta_desde_Reporte_de_Valorización_de_Instrumentos[[#This Row],[Huella]]/$AU$4</f>
        <v>0</v>
      </c>
      <c r="AQ629" s="26" t="str">
        <f>IFERROR(INDEX('BD(MSCI)'!W:W,MATCH(Tabla_Consulta_desde_Reporte_de_Valorización_de_Instrumentos[[#This Row],[CODIGO_ISIN]],'BD(MSCI)'!C:C,0)),IF(Tabla_Consulta_desde_Reporte_de_Valorización_de_Instrumentos[[#This Row],[Rank_rt]]="Cash","Cash","Cuestionario Integra"))</f>
        <v>Cash</v>
      </c>
      <c r="AR629" s="26" t="str">
        <f>IFERROR(INDEX('BD(MSCI)'!X:X,MATCH(Tabla_Consulta_desde_Reporte_de_Valorización_de_Instrumentos[[#This Row],[CODIGO_ISIN]],'BD(MSCI)'!C:C,0)),"Cuestionario Integra")</f>
        <v>Cuestionario Integra</v>
      </c>
    </row>
    <row r="630" spans="2:44" hidden="1" x14ac:dyDescent="0.25">
      <c r="B630" s="14" t="s">
        <v>6390</v>
      </c>
      <c r="C630" t="s">
        <v>840</v>
      </c>
      <c r="D630" t="s">
        <v>11</v>
      </c>
      <c r="E630" t="s">
        <v>841</v>
      </c>
      <c r="F630" t="s">
        <v>6612</v>
      </c>
      <c r="G630">
        <f>INDEX(Parametria!H:H,MATCH(Tabla_Consulta_desde_Reporte_de_Valorización_de_Instrumentos[[#This Row],[CODIGO_SBS]],Parametria!C:C,0),1)</f>
        <v>0</v>
      </c>
      <c r="H630" t="s">
        <v>90</v>
      </c>
      <c r="I630" t="s">
        <v>842</v>
      </c>
      <c r="J630" t="s">
        <v>4652</v>
      </c>
      <c r="K630" t="s">
        <v>50</v>
      </c>
      <c r="L630">
        <v>1</v>
      </c>
      <c r="M630" s="5">
        <v>4906914</v>
      </c>
      <c r="N630">
        <v>1460000</v>
      </c>
      <c r="O630">
        <v>0</v>
      </c>
      <c r="P630" s="15">
        <v>46024</v>
      </c>
      <c r="Q630">
        <v>2</v>
      </c>
      <c r="R630">
        <v>3.3609</v>
      </c>
      <c r="S630" t="s">
        <v>155</v>
      </c>
      <c r="U630" s="5"/>
      <c r="V630" t="s">
        <v>156</v>
      </c>
      <c r="W630">
        <v>0</v>
      </c>
      <c r="X630">
        <v>0</v>
      </c>
      <c r="Y630">
        <v>0</v>
      </c>
      <c r="Z630">
        <v>0</v>
      </c>
      <c r="AA630" t="str">
        <f>+MID(Tabla_Consulta_desde_Reporte_de_Valorización_de_Instrumentos[[#This Row],[CODIGO_SBS]],7,1)</f>
        <v>2</v>
      </c>
      <c r="AB630">
        <f>INDEX('Cálculo Caja'!F:F,MATCH(Tabla_Consulta_desde_Reporte_de_Valorización_de_Instrumentos[[#This Row],[PORTAFOLIO]],'Cálculo Caja'!A:A,0),1)</f>
        <v>3164069580.822104</v>
      </c>
      <c r="AC630" s="17">
        <f>Tabla_Consulta_desde_Reporte_de_Valorización_de_Instrumentos[[#This Row],[VALOR_VECTOR_LOCAL]]/Tabla_Consulta_desde_Reporte_de_Valorización_de_Instrumentos[[#This Row],[Patrimonio]]</f>
        <v>1.5508236701688026E-3</v>
      </c>
      <c r="AD630" s="4">
        <f>(Tabla_Consulta_desde_Reporte_de_Valorización_de_Instrumentos[[#This Row],[VALOR_VECTOR_LOCAL]]/INDEX('Tipo de Cambio'!$D:$D,MATCH("2",'Tipo de Cambio'!$E:$E,0),1))/1000000</f>
        <v>1.46</v>
      </c>
      <c r="AE630">
        <f>IF(Tabla_Consulta_desde_Reporte_de_Valorización_de_Instrumentos[[#This Row],[PORTAFOLIO]]="IN-FONDO0",Tabla_Consulta_desde_Reporte_de_Valorización_de_Instrumentos[[#This Row],[Inv MM$]],0)</f>
        <v>0</v>
      </c>
      <c r="AF630" s="26">
        <f>IF(Tabla_Consulta_desde_Reporte_de_Valorización_de_Instrumentos[[#This Row],[PORTAFOLIO]]="IN-FONDO1",Tabla_Consulta_desde_Reporte_de_Valorización_de_Instrumentos[[#This Row],[Inv MM$]],0)</f>
        <v>0</v>
      </c>
      <c r="AG630" s="26">
        <f>IF(Tabla_Consulta_desde_Reporte_de_Valorización_de_Instrumentos[[#This Row],[PORTAFOLIO]]="IN-FONDO2",Tabla_Consulta_desde_Reporte_de_Valorización_de_Instrumentos[[#This Row],[Inv MM$]],0)</f>
        <v>0</v>
      </c>
      <c r="AH630" s="26">
        <f>IF(Tabla_Consulta_desde_Reporte_de_Valorización_de_Instrumentos[[#This Row],[PORTAFOLIO]]="IN-FONDO3",Tabla_Consulta_desde_Reporte_de_Valorización_de_Instrumentos[[#This Row],[Inv MM$]],0)</f>
        <v>1.46</v>
      </c>
      <c r="AI63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1.46</v>
      </c>
      <c r="AJ630" s="26">
        <f>IFERROR(IFERROR(INDEX('BD(MSCI)'!$T:$T,MATCH(Tabla_Consulta_desde_Reporte_de_Valorización_de_Instrumentos[[#This Row],[CODIGO_ISIN]],'BD(MSCI)'!$C:$C,0),1),INDEX('BD(MSCI)'!$T:$T,MATCH(Tabla_Consulta_desde_Reporte_de_Valorización_de_Instrumentos[[#This Row],[CODIGO_SBS]],'BD(MSCI)'!$C:$C,0),1)),0)</f>
        <v>0</v>
      </c>
      <c r="AK630" s="26">
        <f>Tabla_Consulta_desde_Reporte_de_Valorización_de_Instrumentos[[#This Row],[C02-H]]*Tabla_Consulta_desde_Reporte_de_Valorización_de_Instrumentos[[#This Row],[Inv MM$]]</f>
        <v>0</v>
      </c>
      <c r="AL630" s="26">
        <f>Tabla_Consulta_desde_Reporte_de_Valorización_de_Instrumentos[[#This Row],[C02-H]]*Tabla_Consulta_desde_Reporte_de_Valorización_de_Instrumentos[[#This Row],[Weight]]</f>
        <v>0</v>
      </c>
      <c r="AM630" s="26">
        <f>INDEX(Parametria!G:G,MATCH(Tabla_Consulta_desde_Reporte_de_Valorización_de_Instrumentos[[#This Row],[CODIGO_SBS]],Parametria!C:C,0))</f>
        <v>0</v>
      </c>
      <c r="AN630" s="26" t="str">
        <f>INDEX(Parametria!F:F,MATCH(Tabla_Consulta_desde_Reporte_de_Valorización_de_Instrumentos[[#This Row],[CODIGO_SBS]],Parametria!C:C,0))</f>
        <v>Cash</v>
      </c>
      <c r="AO630" s="26" t="str">
        <f>+INDEX(Parametria!J:J,MATCH(Tabla_Consulta_desde_Reporte_de_Valorización_de_Instrumentos[[#This Row],[CODIGO_SBS]],Parametria!C:C,0))</f>
        <v>Cash</v>
      </c>
      <c r="AP630" s="26">
        <f>Tabla_Consulta_desde_Reporte_de_Valorización_de_Instrumentos[[#This Row],[Huella]]/$AU$4</f>
        <v>0</v>
      </c>
      <c r="AQ630" s="26" t="str">
        <f>IFERROR(INDEX('BD(MSCI)'!W:W,MATCH(Tabla_Consulta_desde_Reporte_de_Valorización_de_Instrumentos[[#This Row],[CODIGO_ISIN]],'BD(MSCI)'!C:C,0)),IF(Tabla_Consulta_desde_Reporte_de_Valorización_de_Instrumentos[[#This Row],[Rank_rt]]="Cash","Cash","Cuestionario Integra"))</f>
        <v>Cash</v>
      </c>
      <c r="AR630" s="26" t="str">
        <f>IFERROR(INDEX('BD(MSCI)'!X:X,MATCH(Tabla_Consulta_desde_Reporte_de_Valorización_de_Instrumentos[[#This Row],[CODIGO_ISIN]],'BD(MSCI)'!C:C,0)),"Cuestionario Integra")</f>
        <v>Cuestionario Integra</v>
      </c>
    </row>
    <row r="631" spans="2:44" hidden="1" x14ac:dyDescent="0.25">
      <c r="B631" s="14" t="s">
        <v>6390</v>
      </c>
      <c r="C631" t="s">
        <v>840</v>
      </c>
      <c r="D631" t="s">
        <v>11</v>
      </c>
      <c r="E631" t="s">
        <v>841</v>
      </c>
      <c r="F631" t="s">
        <v>6613</v>
      </c>
      <c r="G631">
        <f>INDEX(Parametria!H:H,MATCH(Tabla_Consulta_desde_Reporte_de_Valorización_de_Instrumentos[[#This Row],[CODIGO_SBS]],Parametria!C:C,0),1)</f>
        <v>0</v>
      </c>
      <c r="H631" t="s">
        <v>90</v>
      </c>
      <c r="I631" t="s">
        <v>842</v>
      </c>
      <c r="J631" t="s">
        <v>4653</v>
      </c>
      <c r="K631" t="s">
        <v>50</v>
      </c>
      <c r="L631">
        <v>1</v>
      </c>
      <c r="M631" s="5">
        <v>3528945</v>
      </c>
      <c r="N631">
        <v>1050000</v>
      </c>
      <c r="O631">
        <v>0</v>
      </c>
      <c r="P631" s="15">
        <v>46024</v>
      </c>
      <c r="Q631">
        <v>2</v>
      </c>
      <c r="R631">
        <v>3.3609</v>
      </c>
      <c r="S631" t="s">
        <v>155</v>
      </c>
      <c r="U631" s="5"/>
      <c r="V631" t="s">
        <v>156</v>
      </c>
      <c r="W631">
        <v>0</v>
      </c>
      <c r="X631">
        <v>0</v>
      </c>
      <c r="Y631">
        <v>0</v>
      </c>
      <c r="Z631">
        <v>0</v>
      </c>
      <c r="AA631" t="str">
        <f>+MID(Tabla_Consulta_desde_Reporte_de_Valorización_de_Instrumentos[[#This Row],[CODIGO_SBS]],7,1)</f>
        <v>2</v>
      </c>
      <c r="AB631">
        <f>INDEX('Cálculo Caja'!F:F,MATCH(Tabla_Consulta_desde_Reporte_de_Valorización_de_Instrumentos[[#This Row],[PORTAFOLIO]],'Cálculo Caja'!A:A,0),1)</f>
        <v>3164069580.822104</v>
      </c>
      <c r="AC631" s="17">
        <f>Tabla_Consulta_desde_Reporte_de_Valorización_de_Instrumentos[[#This Row],[VALOR_VECTOR_LOCAL]]/Tabla_Consulta_desde_Reporte_de_Valorización_de_Instrumentos[[#This Row],[Patrimonio]]</f>
        <v>1.1153183929296182E-3</v>
      </c>
      <c r="AD631" s="4">
        <f>(Tabla_Consulta_desde_Reporte_de_Valorización_de_Instrumentos[[#This Row],[VALOR_VECTOR_LOCAL]]/INDEX('Tipo de Cambio'!$D:$D,MATCH("2",'Tipo de Cambio'!$E:$E,0),1))/1000000</f>
        <v>1.05</v>
      </c>
      <c r="AE631">
        <f>IF(Tabla_Consulta_desde_Reporte_de_Valorización_de_Instrumentos[[#This Row],[PORTAFOLIO]]="IN-FONDO0",Tabla_Consulta_desde_Reporte_de_Valorización_de_Instrumentos[[#This Row],[Inv MM$]],0)</f>
        <v>0</v>
      </c>
      <c r="AF631" s="26">
        <f>IF(Tabla_Consulta_desde_Reporte_de_Valorización_de_Instrumentos[[#This Row],[PORTAFOLIO]]="IN-FONDO1",Tabla_Consulta_desde_Reporte_de_Valorización_de_Instrumentos[[#This Row],[Inv MM$]],0)</f>
        <v>0</v>
      </c>
      <c r="AG631" s="26">
        <f>IF(Tabla_Consulta_desde_Reporte_de_Valorización_de_Instrumentos[[#This Row],[PORTAFOLIO]]="IN-FONDO2",Tabla_Consulta_desde_Reporte_de_Valorización_de_Instrumentos[[#This Row],[Inv MM$]],0)</f>
        <v>0</v>
      </c>
      <c r="AH631" s="26">
        <f>IF(Tabla_Consulta_desde_Reporte_de_Valorización_de_Instrumentos[[#This Row],[PORTAFOLIO]]="IN-FONDO3",Tabla_Consulta_desde_Reporte_de_Valorización_de_Instrumentos[[#This Row],[Inv MM$]],0)</f>
        <v>1.05</v>
      </c>
      <c r="AI63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1.05</v>
      </c>
      <c r="AJ631" s="26">
        <f>IFERROR(IFERROR(INDEX('BD(MSCI)'!$T:$T,MATCH(Tabla_Consulta_desde_Reporte_de_Valorización_de_Instrumentos[[#This Row],[CODIGO_ISIN]],'BD(MSCI)'!$C:$C,0),1),INDEX('BD(MSCI)'!$T:$T,MATCH(Tabla_Consulta_desde_Reporte_de_Valorización_de_Instrumentos[[#This Row],[CODIGO_SBS]],'BD(MSCI)'!$C:$C,0),1)),0)</f>
        <v>0</v>
      </c>
      <c r="AK631" s="26">
        <f>Tabla_Consulta_desde_Reporte_de_Valorización_de_Instrumentos[[#This Row],[C02-H]]*Tabla_Consulta_desde_Reporte_de_Valorización_de_Instrumentos[[#This Row],[Inv MM$]]</f>
        <v>0</v>
      </c>
      <c r="AL631" s="26">
        <f>Tabla_Consulta_desde_Reporte_de_Valorización_de_Instrumentos[[#This Row],[C02-H]]*Tabla_Consulta_desde_Reporte_de_Valorización_de_Instrumentos[[#This Row],[Weight]]</f>
        <v>0</v>
      </c>
      <c r="AM631" s="26">
        <f>INDEX(Parametria!G:G,MATCH(Tabla_Consulta_desde_Reporte_de_Valorización_de_Instrumentos[[#This Row],[CODIGO_SBS]],Parametria!C:C,0))</f>
        <v>0</v>
      </c>
      <c r="AN631" s="26" t="str">
        <f>INDEX(Parametria!F:F,MATCH(Tabla_Consulta_desde_Reporte_de_Valorización_de_Instrumentos[[#This Row],[CODIGO_SBS]],Parametria!C:C,0))</f>
        <v>Cash</v>
      </c>
      <c r="AO631" s="26" t="str">
        <f>+INDEX(Parametria!J:J,MATCH(Tabla_Consulta_desde_Reporte_de_Valorización_de_Instrumentos[[#This Row],[CODIGO_SBS]],Parametria!C:C,0))</f>
        <v>Cash</v>
      </c>
      <c r="AP631" s="26">
        <f>Tabla_Consulta_desde_Reporte_de_Valorización_de_Instrumentos[[#This Row],[Huella]]/$AU$4</f>
        <v>0</v>
      </c>
      <c r="AQ631" s="26" t="str">
        <f>IFERROR(INDEX('BD(MSCI)'!W:W,MATCH(Tabla_Consulta_desde_Reporte_de_Valorización_de_Instrumentos[[#This Row],[CODIGO_ISIN]],'BD(MSCI)'!C:C,0)),IF(Tabla_Consulta_desde_Reporte_de_Valorización_de_Instrumentos[[#This Row],[Rank_rt]]="Cash","Cash","Cuestionario Integra"))</f>
        <v>Cash</v>
      </c>
      <c r="AR631" s="26" t="str">
        <f>IFERROR(INDEX('BD(MSCI)'!X:X,MATCH(Tabla_Consulta_desde_Reporte_de_Valorización_de_Instrumentos[[#This Row],[CODIGO_ISIN]],'BD(MSCI)'!C:C,0)),"Cuestionario Integra")</f>
        <v>Cuestionario Integra</v>
      </c>
    </row>
    <row r="632" spans="2:44" hidden="1" x14ac:dyDescent="0.25">
      <c r="B632" s="14" t="s">
        <v>6390</v>
      </c>
      <c r="C632" t="s">
        <v>840</v>
      </c>
      <c r="D632" t="s">
        <v>10</v>
      </c>
      <c r="E632" t="s">
        <v>841</v>
      </c>
      <c r="F632" t="s">
        <v>6614</v>
      </c>
      <c r="G632">
        <f>INDEX(Parametria!H:H,MATCH(Tabla_Consulta_desde_Reporte_de_Valorización_de_Instrumentos[[#This Row],[CODIGO_SBS]],Parametria!C:C,0),1)</f>
        <v>0</v>
      </c>
      <c r="H632" t="s">
        <v>90</v>
      </c>
      <c r="I632" t="s">
        <v>842</v>
      </c>
      <c r="J632" t="s">
        <v>4652</v>
      </c>
      <c r="K632" t="s">
        <v>50</v>
      </c>
      <c r="L632">
        <v>1</v>
      </c>
      <c r="M632" s="5">
        <v>3528945</v>
      </c>
      <c r="N632">
        <v>1050000</v>
      </c>
      <c r="O632">
        <v>0</v>
      </c>
      <c r="P632" s="15">
        <v>46024</v>
      </c>
      <c r="Q632">
        <v>2</v>
      </c>
      <c r="R632">
        <v>3.3609</v>
      </c>
      <c r="S632" t="s">
        <v>155</v>
      </c>
      <c r="U632" s="5"/>
      <c r="V632" t="s">
        <v>156</v>
      </c>
      <c r="W632">
        <v>0</v>
      </c>
      <c r="X632">
        <v>0</v>
      </c>
      <c r="Y632">
        <v>0</v>
      </c>
      <c r="Z632">
        <v>0</v>
      </c>
      <c r="AA632" t="str">
        <f>+MID(Tabla_Consulta_desde_Reporte_de_Valorización_de_Instrumentos[[#This Row],[CODIGO_SBS]],7,1)</f>
        <v>2</v>
      </c>
      <c r="AB632">
        <f>INDEX('Cálculo Caja'!F:F,MATCH(Tabla_Consulta_desde_Reporte_de_Valorización_de_Instrumentos[[#This Row],[PORTAFOLIO]],'Cálculo Caja'!A:A,0),1)</f>
        <v>26256910350.436607</v>
      </c>
      <c r="AC632" s="17">
        <f>Tabla_Consulta_desde_Reporte_de_Valorización_de_Instrumentos[[#This Row],[VALOR_VECTOR_LOCAL]]/Tabla_Consulta_desde_Reporte_de_Valorización_de_Instrumentos[[#This Row],[Patrimonio]]</f>
        <v>1.3440061884285331E-4</v>
      </c>
      <c r="AD632" s="4">
        <f>(Tabla_Consulta_desde_Reporte_de_Valorización_de_Instrumentos[[#This Row],[VALOR_VECTOR_LOCAL]]/INDEX('Tipo de Cambio'!$D:$D,MATCH("2",'Tipo de Cambio'!$E:$E,0),1))/1000000</f>
        <v>1.05</v>
      </c>
      <c r="AE632">
        <f>IF(Tabla_Consulta_desde_Reporte_de_Valorización_de_Instrumentos[[#This Row],[PORTAFOLIO]]="IN-FONDO0",Tabla_Consulta_desde_Reporte_de_Valorización_de_Instrumentos[[#This Row],[Inv MM$]],0)</f>
        <v>0</v>
      </c>
      <c r="AF632" s="26">
        <f>IF(Tabla_Consulta_desde_Reporte_de_Valorización_de_Instrumentos[[#This Row],[PORTAFOLIO]]="IN-FONDO1",Tabla_Consulta_desde_Reporte_de_Valorización_de_Instrumentos[[#This Row],[Inv MM$]],0)</f>
        <v>0</v>
      </c>
      <c r="AG632" s="26">
        <f>IF(Tabla_Consulta_desde_Reporte_de_Valorización_de_Instrumentos[[#This Row],[PORTAFOLIO]]="IN-FONDO2",Tabla_Consulta_desde_Reporte_de_Valorización_de_Instrumentos[[#This Row],[Inv MM$]],0)</f>
        <v>1.05</v>
      </c>
      <c r="AH632" s="26">
        <f>IF(Tabla_Consulta_desde_Reporte_de_Valorización_de_Instrumentos[[#This Row],[PORTAFOLIO]]="IN-FONDO3",Tabla_Consulta_desde_Reporte_de_Valorización_de_Instrumentos[[#This Row],[Inv MM$]],0)</f>
        <v>0</v>
      </c>
      <c r="AI63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1.05</v>
      </c>
      <c r="AJ632" s="26">
        <f>IFERROR(IFERROR(INDEX('BD(MSCI)'!$T:$T,MATCH(Tabla_Consulta_desde_Reporte_de_Valorización_de_Instrumentos[[#This Row],[CODIGO_ISIN]],'BD(MSCI)'!$C:$C,0),1),INDEX('BD(MSCI)'!$T:$T,MATCH(Tabla_Consulta_desde_Reporte_de_Valorización_de_Instrumentos[[#This Row],[CODIGO_SBS]],'BD(MSCI)'!$C:$C,0),1)),0)</f>
        <v>0</v>
      </c>
      <c r="AK632" s="26">
        <f>Tabla_Consulta_desde_Reporte_de_Valorización_de_Instrumentos[[#This Row],[C02-H]]*Tabla_Consulta_desde_Reporte_de_Valorización_de_Instrumentos[[#This Row],[Inv MM$]]</f>
        <v>0</v>
      </c>
      <c r="AL632" s="26">
        <f>Tabla_Consulta_desde_Reporte_de_Valorización_de_Instrumentos[[#This Row],[C02-H]]*Tabla_Consulta_desde_Reporte_de_Valorización_de_Instrumentos[[#This Row],[Weight]]</f>
        <v>0</v>
      </c>
      <c r="AM632" s="26">
        <f>INDEX(Parametria!G:G,MATCH(Tabla_Consulta_desde_Reporte_de_Valorización_de_Instrumentos[[#This Row],[CODIGO_SBS]],Parametria!C:C,0))</f>
        <v>0</v>
      </c>
      <c r="AN632" s="26" t="str">
        <f>INDEX(Parametria!F:F,MATCH(Tabla_Consulta_desde_Reporte_de_Valorización_de_Instrumentos[[#This Row],[CODIGO_SBS]],Parametria!C:C,0))</f>
        <v>Cash</v>
      </c>
      <c r="AO632" s="26" t="str">
        <f>+INDEX(Parametria!J:J,MATCH(Tabla_Consulta_desde_Reporte_de_Valorización_de_Instrumentos[[#This Row],[CODIGO_SBS]],Parametria!C:C,0))</f>
        <v>Cash</v>
      </c>
      <c r="AP632" s="26">
        <f>Tabla_Consulta_desde_Reporte_de_Valorización_de_Instrumentos[[#This Row],[Huella]]/$AU$4</f>
        <v>0</v>
      </c>
      <c r="AQ632" s="26" t="str">
        <f>IFERROR(INDEX('BD(MSCI)'!W:W,MATCH(Tabla_Consulta_desde_Reporte_de_Valorización_de_Instrumentos[[#This Row],[CODIGO_ISIN]],'BD(MSCI)'!C:C,0)),IF(Tabla_Consulta_desde_Reporte_de_Valorización_de_Instrumentos[[#This Row],[Rank_rt]]="Cash","Cash","Cuestionario Integra"))</f>
        <v>Cash</v>
      </c>
      <c r="AR632" s="26" t="str">
        <f>IFERROR(INDEX('BD(MSCI)'!X:X,MATCH(Tabla_Consulta_desde_Reporte_de_Valorización_de_Instrumentos[[#This Row],[CODIGO_ISIN]],'BD(MSCI)'!C:C,0)),"Cuestionario Integra")</f>
        <v>Cuestionario Integra</v>
      </c>
    </row>
    <row r="633" spans="2:44" hidden="1" x14ac:dyDescent="0.25">
      <c r="B633" s="14" t="s">
        <v>6390</v>
      </c>
      <c r="C633" t="s">
        <v>840</v>
      </c>
      <c r="D633" t="s">
        <v>12</v>
      </c>
      <c r="E633" t="s">
        <v>841</v>
      </c>
      <c r="F633" t="s">
        <v>6615</v>
      </c>
      <c r="G633">
        <f>INDEX(Parametria!H:H,MATCH(Tabla_Consulta_desde_Reporte_de_Valorización_de_Instrumentos[[#This Row],[CODIGO_SBS]],Parametria!C:C,0),1)</f>
        <v>0</v>
      </c>
      <c r="H633" t="s">
        <v>90</v>
      </c>
      <c r="I633" t="s">
        <v>842</v>
      </c>
      <c r="J633" t="s">
        <v>4652</v>
      </c>
      <c r="K633" t="s">
        <v>50</v>
      </c>
      <c r="L633">
        <v>1</v>
      </c>
      <c r="M633" s="5">
        <v>13073901</v>
      </c>
      <c r="N633">
        <v>3890000</v>
      </c>
      <c r="O633">
        <v>0</v>
      </c>
      <c r="P633" s="15">
        <v>46024</v>
      </c>
      <c r="Q633">
        <v>2</v>
      </c>
      <c r="R633">
        <v>3.3609</v>
      </c>
      <c r="S633" t="s">
        <v>155</v>
      </c>
      <c r="U633" s="5"/>
      <c r="V633" t="s">
        <v>156</v>
      </c>
      <c r="W633">
        <v>0</v>
      </c>
      <c r="X633">
        <v>0</v>
      </c>
      <c r="Y633">
        <v>0</v>
      </c>
      <c r="Z633">
        <v>0</v>
      </c>
      <c r="AA633" t="str">
        <f>+MID(Tabla_Consulta_desde_Reporte_de_Valorización_de_Instrumentos[[#This Row],[CODIGO_SBS]],7,1)</f>
        <v>2</v>
      </c>
      <c r="AB633">
        <f>INDEX('Cálculo Caja'!F:F,MATCH(Tabla_Consulta_desde_Reporte_de_Valorización_de_Instrumentos[[#This Row],[PORTAFOLIO]],'Cálculo Caja'!A:A,0),1)</f>
        <v>7679510866.0565634</v>
      </c>
      <c r="AC633" s="17">
        <f>Tabla_Consulta_desde_Reporte_de_Valorización_de_Instrumentos[[#This Row],[VALOR_VECTOR_LOCAL]]/Tabla_Consulta_desde_Reporte_de_Valorización_de_Instrumentos[[#This Row],[Patrimonio]]</f>
        <v>1.7024392865679298E-3</v>
      </c>
      <c r="AD633" s="4">
        <f>(Tabla_Consulta_desde_Reporte_de_Valorización_de_Instrumentos[[#This Row],[VALOR_VECTOR_LOCAL]]/INDEX('Tipo de Cambio'!$D:$D,MATCH("2",'Tipo de Cambio'!$E:$E,0),1))/1000000</f>
        <v>3.89</v>
      </c>
      <c r="AE633">
        <f>IF(Tabla_Consulta_desde_Reporte_de_Valorización_de_Instrumentos[[#This Row],[PORTAFOLIO]]="IN-FONDO0",Tabla_Consulta_desde_Reporte_de_Valorización_de_Instrumentos[[#This Row],[Inv MM$]],0)</f>
        <v>0</v>
      </c>
      <c r="AF633" s="26">
        <f>IF(Tabla_Consulta_desde_Reporte_de_Valorización_de_Instrumentos[[#This Row],[PORTAFOLIO]]="IN-FONDO1",Tabla_Consulta_desde_Reporte_de_Valorización_de_Instrumentos[[#This Row],[Inv MM$]],0)</f>
        <v>3.89</v>
      </c>
      <c r="AG633" s="26">
        <f>IF(Tabla_Consulta_desde_Reporte_de_Valorización_de_Instrumentos[[#This Row],[PORTAFOLIO]]="IN-FONDO2",Tabla_Consulta_desde_Reporte_de_Valorización_de_Instrumentos[[#This Row],[Inv MM$]],0)</f>
        <v>0</v>
      </c>
      <c r="AH633" s="26">
        <f>IF(Tabla_Consulta_desde_Reporte_de_Valorización_de_Instrumentos[[#This Row],[PORTAFOLIO]]="IN-FONDO3",Tabla_Consulta_desde_Reporte_de_Valorización_de_Instrumentos[[#This Row],[Inv MM$]],0)</f>
        <v>0</v>
      </c>
      <c r="AI63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3.89</v>
      </c>
      <c r="AJ633" s="26">
        <f>IFERROR(IFERROR(INDEX('BD(MSCI)'!$T:$T,MATCH(Tabla_Consulta_desde_Reporte_de_Valorización_de_Instrumentos[[#This Row],[CODIGO_ISIN]],'BD(MSCI)'!$C:$C,0),1),INDEX('BD(MSCI)'!$T:$T,MATCH(Tabla_Consulta_desde_Reporte_de_Valorización_de_Instrumentos[[#This Row],[CODIGO_SBS]],'BD(MSCI)'!$C:$C,0),1)),0)</f>
        <v>0</v>
      </c>
      <c r="AK633" s="26">
        <f>Tabla_Consulta_desde_Reporte_de_Valorización_de_Instrumentos[[#This Row],[C02-H]]*Tabla_Consulta_desde_Reporte_de_Valorización_de_Instrumentos[[#This Row],[Inv MM$]]</f>
        <v>0</v>
      </c>
      <c r="AL633" s="26">
        <f>Tabla_Consulta_desde_Reporte_de_Valorización_de_Instrumentos[[#This Row],[C02-H]]*Tabla_Consulta_desde_Reporte_de_Valorización_de_Instrumentos[[#This Row],[Weight]]</f>
        <v>0</v>
      </c>
      <c r="AM633" s="26">
        <f>INDEX(Parametria!G:G,MATCH(Tabla_Consulta_desde_Reporte_de_Valorización_de_Instrumentos[[#This Row],[CODIGO_SBS]],Parametria!C:C,0))</f>
        <v>0</v>
      </c>
      <c r="AN633" s="26" t="str">
        <f>INDEX(Parametria!F:F,MATCH(Tabla_Consulta_desde_Reporte_de_Valorización_de_Instrumentos[[#This Row],[CODIGO_SBS]],Parametria!C:C,0))</f>
        <v>Cash</v>
      </c>
      <c r="AO633" s="26" t="str">
        <f>+INDEX(Parametria!J:J,MATCH(Tabla_Consulta_desde_Reporte_de_Valorización_de_Instrumentos[[#This Row],[CODIGO_SBS]],Parametria!C:C,0))</f>
        <v>Cash</v>
      </c>
      <c r="AP633" s="26">
        <f>Tabla_Consulta_desde_Reporte_de_Valorización_de_Instrumentos[[#This Row],[Huella]]/$AU$4</f>
        <v>0</v>
      </c>
      <c r="AQ633" s="26" t="str">
        <f>IFERROR(INDEX('BD(MSCI)'!W:W,MATCH(Tabla_Consulta_desde_Reporte_de_Valorización_de_Instrumentos[[#This Row],[CODIGO_ISIN]],'BD(MSCI)'!C:C,0)),IF(Tabla_Consulta_desde_Reporte_de_Valorización_de_Instrumentos[[#This Row],[Rank_rt]]="Cash","Cash","Cuestionario Integra"))</f>
        <v>Cash</v>
      </c>
      <c r="AR633" s="26" t="str">
        <f>IFERROR(INDEX('BD(MSCI)'!X:X,MATCH(Tabla_Consulta_desde_Reporte_de_Valorización_de_Instrumentos[[#This Row],[CODIGO_ISIN]],'BD(MSCI)'!C:C,0)),"Cuestionario Integra")</f>
        <v>Cuestionario Integra</v>
      </c>
    </row>
    <row r="634" spans="2:44" hidden="1" x14ac:dyDescent="0.25">
      <c r="B634" s="14" t="s">
        <v>6390</v>
      </c>
      <c r="C634" t="s">
        <v>840</v>
      </c>
      <c r="D634" t="s">
        <v>12</v>
      </c>
      <c r="E634" t="s">
        <v>841</v>
      </c>
      <c r="F634" t="s">
        <v>6616</v>
      </c>
      <c r="G634">
        <f>INDEX(Parametria!H:H,MATCH(Tabla_Consulta_desde_Reporte_de_Valorización_de_Instrumentos[[#This Row],[CODIGO_SBS]],Parametria!C:C,0),1)</f>
        <v>0</v>
      </c>
      <c r="H634" t="s">
        <v>90</v>
      </c>
      <c r="I634" t="s">
        <v>842</v>
      </c>
      <c r="J634" t="s">
        <v>4861</v>
      </c>
      <c r="K634" t="s">
        <v>50</v>
      </c>
      <c r="L634">
        <v>1</v>
      </c>
      <c r="M634" s="5">
        <v>1747668</v>
      </c>
      <c r="N634">
        <v>520000</v>
      </c>
      <c r="O634">
        <v>0</v>
      </c>
      <c r="P634" s="15">
        <v>46024</v>
      </c>
      <c r="Q634">
        <v>2</v>
      </c>
      <c r="R634">
        <v>3.3609</v>
      </c>
      <c r="S634" t="s">
        <v>155</v>
      </c>
      <c r="U634" s="5"/>
      <c r="V634" t="s">
        <v>156</v>
      </c>
      <c r="W634">
        <v>0</v>
      </c>
      <c r="X634">
        <v>0</v>
      </c>
      <c r="Y634">
        <v>0</v>
      </c>
      <c r="Z634">
        <v>0</v>
      </c>
      <c r="AA634" t="str">
        <f>+MID(Tabla_Consulta_desde_Reporte_de_Valorización_de_Instrumentos[[#This Row],[CODIGO_SBS]],7,1)</f>
        <v>2</v>
      </c>
      <c r="AB634">
        <f>INDEX('Cálculo Caja'!F:F,MATCH(Tabla_Consulta_desde_Reporte_de_Valorización_de_Instrumentos[[#This Row],[PORTAFOLIO]],'Cálculo Caja'!A:A,0),1)</f>
        <v>7679510866.0565634</v>
      </c>
      <c r="AC634" s="17">
        <f>Tabla_Consulta_desde_Reporte_de_Valorización_de_Instrumentos[[#This Row],[VALOR_VECTOR_LOCAL]]/Tabla_Consulta_desde_Reporte_de_Valorización_de_Instrumentos[[#This Row],[Patrimonio]]</f>
        <v>2.2757543162347648E-4</v>
      </c>
      <c r="AD634" s="4">
        <f>(Tabla_Consulta_desde_Reporte_de_Valorización_de_Instrumentos[[#This Row],[VALOR_VECTOR_LOCAL]]/INDEX('Tipo de Cambio'!$D:$D,MATCH("2",'Tipo de Cambio'!$E:$E,0),1))/1000000</f>
        <v>0.52</v>
      </c>
      <c r="AE634">
        <f>IF(Tabla_Consulta_desde_Reporte_de_Valorización_de_Instrumentos[[#This Row],[PORTAFOLIO]]="IN-FONDO0",Tabla_Consulta_desde_Reporte_de_Valorización_de_Instrumentos[[#This Row],[Inv MM$]],0)</f>
        <v>0</v>
      </c>
      <c r="AF634" s="26">
        <f>IF(Tabla_Consulta_desde_Reporte_de_Valorización_de_Instrumentos[[#This Row],[PORTAFOLIO]]="IN-FONDO1",Tabla_Consulta_desde_Reporte_de_Valorización_de_Instrumentos[[#This Row],[Inv MM$]],0)</f>
        <v>0.52</v>
      </c>
      <c r="AG634" s="26">
        <f>IF(Tabla_Consulta_desde_Reporte_de_Valorización_de_Instrumentos[[#This Row],[PORTAFOLIO]]="IN-FONDO2",Tabla_Consulta_desde_Reporte_de_Valorización_de_Instrumentos[[#This Row],[Inv MM$]],0)</f>
        <v>0</v>
      </c>
      <c r="AH634" s="26">
        <f>IF(Tabla_Consulta_desde_Reporte_de_Valorización_de_Instrumentos[[#This Row],[PORTAFOLIO]]="IN-FONDO3",Tabla_Consulta_desde_Reporte_de_Valorización_de_Instrumentos[[#This Row],[Inv MM$]],0)</f>
        <v>0</v>
      </c>
      <c r="AI63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0.52</v>
      </c>
      <c r="AJ634" s="26">
        <f>IFERROR(IFERROR(INDEX('BD(MSCI)'!$T:$T,MATCH(Tabla_Consulta_desde_Reporte_de_Valorización_de_Instrumentos[[#This Row],[CODIGO_ISIN]],'BD(MSCI)'!$C:$C,0),1),INDEX('BD(MSCI)'!$T:$T,MATCH(Tabla_Consulta_desde_Reporte_de_Valorización_de_Instrumentos[[#This Row],[CODIGO_SBS]],'BD(MSCI)'!$C:$C,0),1)),0)</f>
        <v>0</v>
      </c>
      <c r="AK634" s="26">
        <f>Tabla_Consulta_desde_Reporte_de_Valorización_de_Instrumentos[[#This Row],[C02-H]]*Tabla_Consulta_desde_Reporte_de_Valorización_de_Instrumentos[[#This Row],[Inv MM$]]</f>
        <v>0</v>
      </c>
      <c r="AL634" s="26">
        <f>Tabla_Consulta_desde_Reporte_de_Valorización_de_Instrumentos[[#This Row],[C02-H]]*Tabla_Consulta_desde_Reporte_de_Valorización_de_Instrumentos[[#This Row],[Weight]]</f>
        <v>0</v>
      </c>
      <c r="AM634" s="26">
        <f>INDEX(Parametria!G:G,MATCH(Tabla_Consulta_desde_Reporte_de_Valorización_de_Instrumentos[[#This Row],[CODIGO_SBS]],Parametria!C:C,0))</f>
        <v>0</v>
      </c>
      <c r="AN634" s="26" t="str">
        <f>INDEX(Parametria!F:F,MATCH(Tabla_Consulta_desde_Reporte_de_Valorización_de_Instrumentos[[#This Row],[CODIGO_SBS]],Parametria!C:C,0))</f>
        <v>Cash</v>
      </c>
      <c r="AO634" s="26" t="str">
        <f>+INDEX(Parametria!J:J,MATCH(Tabla_Consulta_desde_Reporte_de_Valorización_de_Instrumentos[[#This Row],[CODIGO_SBS]],Parametria!C:C,0))</f>
        <v>Cash</v>
      </c>
      <c r="AP634" s="26">
        <f>Tabla_Consulta_desde_Reporte_de_Valorización_de_Instrumentos[[#This Row],[Huella]]/$AU$4</f>
        <v>0</v>
      </c>
      <c r="AQ634" s="26" t="str">
        <f>IFERROR(INDEX('BD(MSCI)'!W:W,MATCH(Tabla_Consulta_desde_Reporte_de_Valorización_de_Instrumentos[[#This Row],[CODIGO_ISIN]],'BD(MSCI)'!C:C,0)),IF(Tabla_Consulta_desde_Reporte_de_Valorización_de_Instrumentos[[#This Row],[Rank_rt]]="Cash","Cash","Cuestionario Integra"))</f>
        <v>Cash</v>
      </c>
      <c r="AR634" s="26" t="str">
        <f>IFERROR(INDEX('BD(MSCI)'!X:X,MATCH(Tabla_Consulta_desde_Reporte_de_Valorización_de_Instrumentos[[#This Row],[CODIGO_ISIN]],'BD(MSCI)'!C:C,0)),"Cuestionario Integra")</f>
        <v>Cuestionario Integra</v>
      </c>
    </row>
    <row r="635" spans="2:44" hidden="1" x14ac:dyDescent="0.25">
      <c r="B635" s="14" t="s">
        <v>6390</v>
      </c>
      <c r="C635" t="s">
        <v>840</v>
      </c>
      <c r="D635" t="s">
        <v>10</v>
      </c>
      <c r="E635" t="s">
        <v>841</v>
      </c>
      <c r="F635" t="s">
        <v>6617</v>
      </c>
      <c r="G635">
        <f>INDEX(Parametria!H:H,MATCH(Tabla_Consulta_desde_Reporte_de_Valorización_de_Instrumentos[[#This Row],[CODIGO_SBS]],Parametria!C:C,0),1)</f>
        <v>0</v>
      </c>
      <c r="H635" t="s">
        <v>90</v>
      </c>
      <c r="I635" t="s">
        <v>842</v>
      </c>
      <c r="J635" t="s">
        <v>4652</v>
      </c>
      <c r="K635" t="s">
        <v>50</v>
      </c>
      <c r="L635">
        <v>1</v>
      </c>
      <c r="M635" s="5">
        <v>12704202</v>
      </c>
      <c r="N635">
        <v>3780000</v>
      </c>
      <c r="O635">
        <v>0</v>
      </c>
      <c r="P635" s="15">
        <v>46024</v>
      </c>
      <c r="Q635">
        <v>2</v>
      </c>
      <c r="R635">
        <v>3.3609</v>
      </c>
      <c r="S635" t="s">
        <v>155</v>
      </c>
      <c r="U635" s="5"/>
      <c r="V635" t="s">
        <v>156</v>
      </c>
      <c r="W635">
        <v>0</v>
      </c>
      <c r="X635">
        <v>0</v>
      </c>
      <c r="Y635">
        <v>0</v>
      </c>
      <c r="Z635">
        <v>0</v>
      </c>
      <c r="AA635" t="str">
        <f>+MID(Tabla_Consulta_desde_Reporte_de_Valorización_de_Instrumentos[[#This Row],[CODIGO_SBS]],7,1)</f>
        <v>2</v>
      </c>
      <c r="AB635">
        <f>INDEX('Cálculo Caja'!F:F,MATCH(Tabla_Consulta_desde_Reporte_de_Valorización_de_Instrumentos[[#This Row],[PORTAFOLIO]],'Cálculo Caja'!A:A,0),1)</f>
        <v>26256910350.436607</v>
      </c>
      <c r="AC635" s="17">
        <f>Tabla_Consulta_desde_Reporte_de_Valorización_de_Instrumentos[[#This Row],[VALOR_VECTOR_LOCAL]]/Tabla_Consulta_desde_Reporte_de_Valorización_de_Instrumentos[[#This Row],[Patrimonio]]</f>
        <v>4.8384222783427185E-4</v>
      </c>
      <c r="AD635" s="4">
        <f>(Tabla_Consulta_desde_Reporte_de_Valorización_de_Instrumentos[[#This Row],[VALOR_VECTOR_LOCAL]]/INDEX('Tipo de Cambio'!$D:$D,MATCH("2",'Tipo de Cambio'!$E:$E,0),1))/1000000</f>
        <v>3.78</v>
      </c>
      <c r="AE635">
        <f>IF(Tabla_Consulta_desde_Reporte_de_Valorización_de_Instrumentos[[#This Row],[PORTAFOLIO]]="IN-FONDO0",Tabla_Consulta_desde_Reporte_de_Valorización_de_Instrumentos[[#This Row],[Inv MM$]],0)</f>
        <v>0</v>
      </c>
      <c r="AF635" s="26">
        <f>IF(Tabla_Consulta_desde_Reporte_de_Valorización_de_Instrumentos[[#This Row],[PORTAFOLIO]]="IN-FONDO1",Tabla_Consulta_desde_Reporte_de_Valorización_de_Instrumentos[[#This Row],[Inv MM$]],0)</f>
        <v>0</v>
      </c>
      <c r="AG635" s="26">
        <f>IF(Tabla_Consulta_desde_Reporte_de_Valorización_de_Instrumentos[[#This Row],[PORTAFOLIO]]="IN-FONDO2",Tabla_Consulta_desde_Reporte_de_Valorización_de_Instrumentos[[#This Row],[Inv MM$]],0)</f>
        <v>3.78</v>
      </c>
      <c r="AH635" s="26">
        <f>IF(Tabla_Consulta_desde_Reporte_de_Valorización_de_Instrumentos[[#This Row],[PORTAFOLIO]]="IN-FONDO3",Tabla_Consulta_desde_Reporte_de_Valorización_de_Instrumentos[[#This Row],[Inv MM$]],0)</f>
        <v>0</v>
      </c>
      <c r="AI63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3.78</v>
      </c>
      <c r="AJ635" s="26">
        <f>IFERROR(IFERROR(INDEX('BD(MSCI)'!$T:$T,MATCH(Tabla_Consulta_desde_Reporte_de_Valorización_de_Instrumentos[[#This Row],[CODIGO_ISIN]],'BD(MSCI)'!$C:$C,0),1),INDEX('BD(MSCI)'!$T:$T,MATCH(Tabla_Consulta_desde_Reporte_de_Valorización_de_Instrumentos[[#This Row],[CODIGO_SBS]],'BD(MSCI)'!$C:$C,0),1)),0)</f>
        <v>0</v>
      </c>
      <c r="AK635" s="26">
        <f>Tabla_Consulta_desde_Reporte_de_Valorización_de_Instrumentos[[#This Row],[C02-H]]*Tabla_Consulta_desde_Reporte_de_Valorización_de_Instrumentos[[#This Row],[Inv MM$]]</f>
        <v>0</v>
      </c>
      <c r="AL635" s="26">
        <f>Tabla_Consulta_desde_Reporte_de_Valorización_de_Instrumentos[[#This Row],[C02-H]]*Tabla_Consulta_desde_Reporte_de_Valorización_de_Instrumentos[[#This Row],[Weight]]</f>
        <v>0</v>
      </c>
      <c r="AM635" s="26">
        <f>INDEX(Parametria!G:G,MATCH(Tabla_Consulta_desde_Reporte_de_Valorización_de_Instrumentos[[#This Row],[CODIGO_SBS]],Parametria!C:C,0))</f>
        <v>0</v>
      </c>
      <c r="AN635" s="26" t="str">
        <f>INDEX(Parametria!F:F,MATCH(Tabla_Consulta_desde_Reporte_de_Valorización_de_Instrumentos[[#This Row],[CODIGO_SBS]],Parametria!C:C,0))</f>
        <v>Cash</v>
      </c>
      <c r="AO635" s="26" t="str">
        <f>+INDEX(Parametria!J:J,MATCH(Tabla_Consulta_desde_Reporte_de_Valorización_de_Instrumentos[[#This Row],[CODIGO_SBS]],Parametria!C:C,0))</f>
        <v>Cash</v>
      </c>
      <c r="AP635" s="26">
        <f>Tabla_Consulta_desde_Reporte_de_Valorización_de_Instrumentos[[#This Row],[Huella]]/$AU$4</f>
        <v>0</v>
      </c>
      <c r="AQ635" s="26" t="str">
        <f>IFERROR(INDEX('BD(MSCI)'!W:W,MATCH(Tabla_Consulta_desde_Reporte_de_Valorización_de_Instrumentos[[#This Row],[CODIGO_ISIN]],'BD(MSCI)'!C:C,0)),IF(Tabla_Consulta_desde_Reporte_de_Valorización_de_Instrumentos[[#This Row],[Rank_rt]]="Cash","Cash","Cuestionario Integra"))</f>
        <v>Cash</v>
      </c>
      <c r="AR635" s="26" t="str">
        <f>IFERROR(INDEX('BD(MSCI)'!X:X,MATCH(Tabla_Consulta_desde_Reporte_de_Valorización_de_Instrumentos[[#This Row],[CODIGO_ISIN]],'BD(MSCI)'!C:C,0)),"Cuestionario Integra")</f>
        <v>Cuestionario Integra</v>
      </c>
    </row>
    <row r="636" spans="2:44" hidden="1" x14ac:dyDescent="0.25">
      <c r="B636" s="14" t="s">
        <v>6390</v>
      </c>
      <c r="C636" t="s">
        <v>840</v>
      </c>
      <c r="D636" t="s">
        <v>12</v>
      </c>
      <c r="E636" t="s">
        <v>841</v>
      </c>
      <c r="F636" t="s">
        <v>6618</v>
      </c>
      <c r="G636">
        <f>INDEX(Parametria!H:H,MATCH(Tabla_Consulta_desde_Reporte_de_Valorización_de_Instrumentos[[#This Row],[CODIGO_SBS]],Parametria!C:C,0),1)</f>
        <v>0</v>
      </c>
      <c r="H636" t="s">
        <v>90</v>
      </c>
      <c r="I636" t="s">
        <v>842</v>
      </c>
      <c r="J636" t="s">
        <v>5711</v>
      </c>
      <c r="K636" t="s">
        <v>50</v>
      </c>
      <c r="L636">
        <v>1</v>
      </c>
      <c r="M636" s="5">
        <v>79559467.456980005</v>
      </c>
      <c r="N636">
        <v>23672072.199999999</v>
      </c>
      <c r="O636">
        <v>0</v>
      </c>
      <c r="P636" s="15">
        <v>46024</v>
      </c>
      <c r="Q636">
        <v>2</v>
      </c>
      <c r="R636">
        <v>3.3609</v>
      </c>
      <c r="S636" t="s">
        <v>155</v>
      </c>
      <c r="U636" s="5"/>
      <c r="V636" t="s">
        <v>156</v>
      </c>
      <c r="W636">
        <v>0</v>
      </c>
      <c r="X636">
        <v>0</v>
      </c>
      <c r="Y636">
        <v>0</v>
      </c>
      <c r="Z636">
        <v>0</v>
      </c>
      <c r="AA636" t="str">
        <f>+MID(Tabla_Consulta_desde_Reporte_de_Valorización_de_Instrumentos[[#This Row],[CODIGO_SBS]],7,1)</f>
        <v>2</v>
      </c>
      <c r="AB636">
        <f>INDEX('Cálculo Caja'!F:F,MATCH(Tabla_Consulta_desde_Reporte_de_Valorización_de_Instrumentos[[#This Row],[PORTAFOLIO]],'Cálculo Caja'!A:A,0),1)</f>
        <v>7679510866.0565634</v>
      </c>
      <c r="AC636" s="17">
        <f>Tabla_Consulta_desde_Reporte_de_Valorización_de_Instrumentos[[#This Row],[VALOR_VECTOR_LOCAL]]/Tabla_Consulta_desde_Reporte_de_Valorización_de_Instrumentos[[#This Row],[Patrimonio]]</f>
        <v>1.0359965477571344E-2</v>
      </c>
      <c r="AD636" s="4">
        <f>(Tabla_Consulta_desde_Reporte_de_Valorización_de_Instrumentos[[#This Row],[VALOR_VECTOR_LOCAL]]/INDEX('Tipo de Cambio'!$D:$D,MATCH("2",'Tipo de Cambio'!$E:$E,0),1))/1000000</f>
        <v>23.672072200000002</v>
      </c>
      <c r="AE636">
        <f>IF(Tabla_Consulta_desde_Reporte_de_Valorización_de_Instrumentos[[#This Row],[PORTAFOLIO]]="IN-FONDO0",Tabla_Consulta_desde_Reporte_de_Valorización_de_Instrumentos[[#This Row],[Inv MM$]],0)</f>
        <v>0</v>
      </c>
      <c r="AF636" s="26">
        <f>IF(Tabla_Consulta_desde_Reporte_de_Valorización_de_Instrumentos[[#This Row],[PORTAFOLIO]]="IN-FONDO1",Tabla_Consulta_desde_Reporte_de_Valorización_de_Instrumentos[[#This Row],[Inv MM$]],0)</f>
        <v>23.672072200000002</v>
      </c>
      <c r="AG636" s="26">
        <f>IF(Tabla_Consulta_desde_Reporte_de_Valorización_de_Instrumentos[[#This Row],[PORTAFOLIO]]="IN-FONDO2",Tabla_Consulta_desde_Reporte_de_Valorización_de_Instrumentos[[#This Row],[Inv MM$]],0)</f>
        <v>0</v>
      </c>
      <c r="AH636" s="26">
        <f>IF(Tabla_Consulta_desde_Reporte_de_Valorización_de_Instrumentos[[#This Row],[PORTAFOLIO]]="IN-FONDO3",Tabla_Consulta_desde_Reporte_de_Valorización_de_Instrumentos[[#This Row],[Inv MM$]],0)</f>
        <v>0</v>
      </c>
      <c r="AI63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23.672072200000002</v>
      </c>
      <c r="AJ636" s="26">
        <f>IFERROR(IFERROR(INDEX('BD(MSCI)'!$T:$T,MATCH(Tabla_Consulta_desde_Reporte_de_Valorización_de_Instrumentos[[#This Row],[CODIGO_ISIN]],'BD(MSCI)'!$C:$C,0),1),INDEX('BD(MSCI)'!$T:$T,MATCH(Tabla_Consulta_desde_Reporte_de_Valorización_de_Instrumentos[[#This Row],[CODIGO_SBS]],'BD(MSCI)'!$C:$C,0),1)),0)</f>
        <v>0</v>
      </c>
      <c r="AK636" s="26">
        <f>Tabla_Consulta_desde_Reporte_de_Valorización_de_Instrumentos[[#This Row],[C02-H]]*Tabla_Consulta_desde_Reporte_de_Valorización_de_Instrumentos[[#This Row],[Inv MM$]]</f>
        <v>0</v>
      </c>
      <c r="AL636" s="26">
        <f>Tabla_Consulta_desde_Reporte_de_Valorización_de_Instrumentos[[#This Row],[C02-H]]*Tabla_Consulta_desde_Reporte_de_Valorización_de_Instrumentos[[#This Row],[Weight]]</f>
        <v>0</v>
      </c>
      <c r="AM636" s="26">
        <f>INDEX(Parametria!G:G,MATCH(Tabla_Consulta_desde_Reporte_de_Valorización_de_Instrumentos[[#This Row],[CODIGO_SBS]],Parametria!C:C,0))</f>
        <v>0</v>
      </c>
      <c r="AN636" s="26" t="str">
        <f>INDEX(Parametria!F:F,MATCH(Tabla_Consulta_desde_Reporte_de_Valorización_de_Instrumentos[[#This Row],[CODIGO_SBS]],Parametria!C:C,0))</f>
        <v>Cash</v>
      </c>
      <c r="AO636" s="26" t="str">
        <f>+INDEX(Parametria!J:J,MATCH(Tabla_Consulta_desde_Reporte_de_Valorización_de_Instrumentos[[#This Row],[CODIGO_SBS]],Parametria!C:C,0))</f>
        <v>Cash</v>
      </c>
      <c r="AP636" s="26">
        <f>Tabla_Consulta_desde_Reporte_de_Valorización_de_Instrumentos[[#This Row],[Huella]]/$AU$4</f>
        <v>0</v>
      </c>
      <c r="AQ636" s="26" t="str">
        <f>IFERROR(INDEX('BD(MSCI)'!W:W,MATCH(Tabla_Consulta_desde_Reporte_de_Valorización_de_Instrumentos[[#This Row],[CODIGO_ISIN]],'BD(MSCI)'!C:C,0)),IF(Tabla_Consulta_desde_Reporte_de_Valorización_de_Instrumentos[[#This Row],[Rank_rt]]="Cash","Cash","Cuestionario Integra"))</f>
        <v>Cash</v>
      </c>
      <c r="AR636" s="26" t="str">
        <f>IFERROR(INDEX('BD(MSCI)'!X:X,MATCH(Tabla_Consulta_desde_Reporte_de_Valorización_de_Instrumentos[[#This Row],[CODIGO_ISIN]],'BD(MSCI)'!C:C,0)),"Cuestionario Integra")</f>
        <v>Cuestionario Integra</v>
      </c>
    </row>
    <row r="637" spans="2:44" hidden="1" x14ac:dyDescent="0.25">
      <c r="B637" s="14" t="s">
        <v>6390</v>
      </c>
      <c r="C637" t="s">
        <v>840</v>
      </c>
      <c r="D637" t="s">
        <v>12</v>
      </c>
      <c r="E637" t="s">
        <v>841</v>
      </c>
      <c r="F637" t="s">
        <v>6619</v>
      </c>
      <c r="G637">
        <f>INDEX(Parametria!H:H,MATCH(Tabla_Consulta_desde_Reporte_de_Valorización_de_Instrumentos[[#This Row],[CODIGO_SBS]],Parametria!C:C,0),1)</f>
        <v>0</v>
      </c>
      <c r="H637" t="s">
        <v>90</v>
      </c>
      <c r="I637" t="s">
        <v>842</v>
      </c>
      <c r="J637" t="s">
        <v>4861</v>
      </c>
      <c r="K637" t="s">
        <v>50</v>
      </c>
      <c r="L637">
        <v>1</v>
      </c>
      <c r="M637" s="5">
        <v>31323588</v>
      </c>
      <c r="N637">
        <v>9320000</v>
      </c>
      <c r="O637">
        <v>0</v>
      </c>
      <c r="P637" s="15">
        <v>46024</v>
      </c>
      <c r="Q637">
        <v>2</v>
      </c>
      <c r="R637">
        <v>3.3609</v>
      </c>
      <c r="S637" t="s">
        <v>155</v>
      </c>
      <c r="U637" s="5"/>
      <c r="V637" t="s">
        <v>156</v>
      </c>
      <c r="W637">
        <v>0</v>
      </c>
      <c r="X637">
        <v>0</v>
      </c>
      <c r="Y637">
        <v>0</v>
      </c>
      <c r="Z637">
        <v>0</v>
      </c>
      <c r="AA637" t="str">
        <f>+MID(Tabla_Consulta_desde_Reporte_de_Valorización_de_Instrumentos[[#This Row],[CODIGO_SBS]],7,1)</f>
        <v>2</v>
      </c>
      <c r="AB637">
        <f>INDEX('Cálculo Caja'!F:F,MATCH(Tabla_Consulta_desde_Reporte_de_Valorización_de_Instrumentos[[#This Row],[PORTAFOLIO]],'Cálculo Caja'!A:A,0),1)</f>
        <v>7679510866.0565634</v>
      </c>
      <c r="AC637" s="17">
        <f>Tabla_Consulta_desde_Reporte_de_Valorización_de_Instrumentos[[#This Row],[VALOR_VECTOR_LOCAL]]/Tabla_Consulta_desde_Reporte_de_Valorización_de_Instrumentos[[#This Row],[Patrimonio]]</f>
        <v>4.078851966790001E-3</v>
      </c>
      <c r="AD637" s="4">
        <f>(Tabla_Consulta_desde_Reporte_de_Valorización_de_Instrumentos[[#This Row],[VALOR_VECTOR_LOCAL]]/INDEX('Tipo de Cambio'!$D:$D,MATCH("2",'Tipo de Cambio'!$E:$E,0),1))/1000000</f>
        <v>9.32</v>
      </c>
      <c r="AE637">
        <f>IF(Tabla_Consulta_desde_Reporte_de_Valorización_de_Instrumentos[[#This Row],[PORTAFOLIO]]="IN-FONDO0",Tabla_Consulta_desde_Reporte_de_Valorización_de_Instrumentos[[#This Row],[Inv MM$]],0)</f>
        <v>0</v>
      </c>
      <c r="AF637" s="26">
        <f>IF(Tabla_Consulta_desde_Reporte_de_Valorización_de_Instrumentos[[#This Row],[PORTAFOLIO]]="IN-FONDO1",Tabla_Consulta_desde_Reporte_de_Valorización_de_Instrumentos[[#This Row],[Inv MM$]],0)</f>
        <v>9.32</v>
      </c>
      <c r="AG637" s="26">
        <f>IF(Tabla_Consulta_desde_Reporte_de_Valorización_de_Instrumentos[[#This Row],[PORTAFOLIO]]="IN-FONDO2",Tabla_Consulta_desde_Reporte_de_Valorización_de_Instrumentos[[#This Row],[Inv MM$]],0)</f>
        <v>0</v>
      </c>
      <c r="AH637" s="26">
        <f>IF(Tabla_Consulta_desde_Reporte_de_Valorización_de_Instrumentos[[#This Row],[PORTAFOLIO]]="IN-FONDO3",Tabla_Consulta_desde_Reporte_de_Valorización_de_Instrumentos[[#This Row],[Inv MM$]],0)</f>
        <v>0</v>
      </c>
      <c r="AI63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9.32</v>
      </c>
      <c r="AJ637" s="26">
        <f>IFERROR(IFERROR(INDEX('BD(MSCI)'!$T:$T,MATCH(Tabla_Consulta_desde_Reporte_de_Valorización_de_Instrumentos[[#This Row],[CODIGO_ISIN]],'BD(MSCI)'!$C:$C,0),1),INDEX('BD(MSCI)'!$T:$T,MATCH(Tabla_Consulta_desde_Reporte_de_Valorización_de_Instrumentos[[#This Row],[CODIGO_SBS]],'BD(MSCI)'!$C:$C,0),1)),0)</f>
        <v>0</v>
      </c>
      <c r="AK637" s="26">
        <f>Tabla_Consulta_desde_Reporte_de_Valorización_de_Instrumentos[[#This Row],[C02-H]]*Tabla_Consulta_desde_Reporte_de_Valorización_de_Instrumentos[[#This Row],[Inv MM$]]</f>
        <v>0</v>
      </c>
      <c r="AL637" s="26">
        <f>Tabla_Consulta_desde_Reporte_de_Valorización_de_Instrumentos[[#This Row],[C02-H]]*Tabla_Consulta_desde_Reporte_de_Valorización_de_Instrumentos[[#This Row],[Weight]]</f>
        <v>0</v>
      </c>
      <c r="AM637" s="26">
        <f>INDEX(Parametria!G:G,MATCH(Tabla_Consulta_desde_Reporte_de_Valorización_de_Instrumentos[[#This Row],[CODIGO_SBS]],Parametria!C:C,0))</f>
        <v>0</v>
      </c>
      <c r="AN637" s="26" t="str">
        <f>INDEX(Parametria!F:F,MATCH(Tabla_Consulta_desde_Reporte_de_Valorización_de_Instrumentos[[#This Row],[CODIGO_SBS]],Parametria!C:C,0))</f>
        <v>Cash</v>
      </c>
      <c r="AO637" s="26" t="str">
        <f>+INDEX(Parametria!J:J,MATCH(Tabla_Consulta_desde_Reporte_de_Valorización_de_Instrumentos[[#This Row],[CODIGO_SBS]],Parametria!C:C,0))</f>
        <v>Cash</v>
      </c>
      <c r="AP637" s="26">
        <f>Tabla_Consulta_desde_Reporte_de_Valorización_de_Instrumentos[[#This Row],[Huella]]/$AU$4</f>
        <v>0</v>
      </c>
      <c r="AQ637" s="26" t="str">
        <f>IFERROR(INDEX('BD(MSCI)'!W:W,MATCH(Tabla_Consulta_desde_Reporte_de_Valorización_de_Instrumentos[[#This Row],[CODIGO_ISIN]],'BD(MSCI)'!C:C,0)),IF(Tabla_Consulta_desde_Reporte_de_Valorización_de_Instrumentos[[#This Row],[Rank_rt]]="Cash","Cash","Cuestionario Integra"))</f>
        <v>Cash</v>
      </c>
      <c r="AR637" s="26" t="str">
        <f>IFERROR(INDEX('BD(MSCI)'!X:X,MATCH(Tabla_Consulta_desde_Reporte_de_Valorización_de_Instrumentos[[#This Row],[CODIGO_ISIN]],'BD(MSCI)'!C:C,0)),"Cuestionario Integra")</f>
        <v>Cuestionario Integra</v>
      </c>
    </row>
    <row r="638" spans="2:44" hidden="1" x14ac:dyDescent="0.25">
      <c r="B638" s="14" t="s">
        <v>6390</v>
      </c>
      <c r="C638" t="s">
        <v>840</v>
      </c>
      <c r="D638" t="s">
        <v>10</v>
      </c>
      <c r="E638" t="s">
        <v>841</v>
      </c>
      <c r="F638" t="s">
        <v>6620</v>
      </c>
      <c r="G638">
        <f>INDEX(Parametria!H:H,MATCH(Tabla_Consulta_desde_Reporte_de_Valorización_de_Instrumentos[[#This Row],[CODIGO_SBS]],Parametria!C:C,0),1)</f>
        <v>0</v>
      </c>
      <c r="H638" t="s">
        <v>90</v>
      </c>
      <c r="I638" t="s">
        <v>842</v>
      </c>
      <c r="J638" t="s">
        <v>4653</v>
      </c>
      <c r="K638" t="s">
        <v>50</v>
      </c>
      <c r="L638">
        <v>1</v>
      </c>
      <c r="M638" s="5">
        <v>20266227</v>
      </c>
      <c r="N638">
        <v>6030000</v>
      </c>
      <c r="O638">
        <v>0</v>
      </c>
      <c r="P638" s="15">
        <v>46024</v>
      </c>
      <c r="Q638">
        <v>2</v>
      </c>
      <c r="R638">
        <v>3.3609</v>
      </c>
      <c r="S638" t="s">
        <v>155</v>
      </c>
      <c r="U638" s="5"/>
      <c r="V638" t="s">
        <v>156</v>
      </c>
      <c r="W638">
        <v>0</v>
      </c>
      <c r="X638">
        <v>0</v>
      </c>
      <c r="Y638">
        <v>0</v>
      </c>
      <c r="Z638">
        <v>0</v>
      </c>
      <c r="AA638" t="str">
        <f>+MID(Tabla_Consulta_desde_Reporte_de_Valorización_de_Instrumentos[[#This Row],[CODIGO_SBS]],7,1)</f>
        <v>2</v>
      </c>
      <c r="AB638">
        <f>INDEX('Cálculo Caja'!F:F,MATCH(Tabla_Consulta_desde_Reporte_de_Valorización_de_Instrumentos[[#This Row],[PORTAFOLIO]],'Cálculo Caja'!A:A,0),1)</f>
        <v>26256910350.436607</v>
      </c>
      <c r="AC638" s="17">
        <f>Tabla_Consulta_desde_Reporte_de_Valorización_de_Instrumentos[[#This Row],[VALOR_VECTOR_LOCAL]]/Tabla_Consulta_desde_Reporte_de_Valorización_de_Instrumentos[[#This Row],[Patrimonio]]</f>
        <v>7.7184355392610033E-4</v>
      </c>
      <c r="AD638" s="4">
        <f>(Tabla_Consulta_desde_Reporte_de_Valorización_de_Instrumentos[[#This Row],[VALOR_VECTOR_LOCAL]]/INDEX('Tipo de Cambio'!$D:$D,MATCH("2",'Tipo de Cambio'!$E:$E,0),1))/1000000</f>
        <v>6.03</v>
      </c>
      <c r="AE638">
        <f>IF(Tabla_Consulta_desde_Reporte_de_Valorización_de_Instrumentos[[#This Row],[PORTAFOLIO]]="IN-FONDO0",Tabla_Consulta_desde_Reporte_de_Valorización_de_Instrumentos[[#This Row],[Inv MM$]],0)</f>
        <v>0</v>
      </c>
      <c r="AF638" s="26">
        <f>IF(Tabla_Consulta_desde_Reporte_de_Valorización_de_Instrumentos[[#This Row],[PORTAFOLIO]]="IN-FONDO1",Tabla_Consulta_desde_Reporte_de_Valorización_de_Instrumentos[[#This Row],[Inv MM$]],0)</f>
        <v>0</v>
      </c>
      <c r="AG638" s="26">
        <f>IF(Tabla_Consulta_desde_Reporte_de_Valorización_de_Instrumentos[[#This Row],[PORTAFOLIO]]="IN-FONDO2",Tabla_Consulta_desde_Reporte_de_Valorización_de_Instrumentos[[#This Row],[Inv MM$]],0)</f>
        <v>6.03</v>
      </c>
      <c r="AH638" s="26">
        <f>IF(Tabla_Consulta_desde_Reporte_de_Valorización_de_Instrumentos[[#This Row],[PORTAFOLIO]]="IN-FONDO3",Tabla_Consulta_desde_Reporte_de_Valorización_de_Instrumentos[[#This Row],[Inv MM$]],0)</f>
        <v>0</v>
      </c>
      <c r="AI63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6.03</v>
      </c>
      <c r="AJ638" s="26">
        <f>IFERROR(IFERROR(INDEX('BD(MSCI)'!$T:$T,MATCH(Tabla_Consulta_desde_Reporte_de_Valorización_de_Instrumentos[[#This Row],[CODIGO_ISIN]],'BD(MSCI)'!$C:$C,0),1),INDEX('BD(MSCI)'!$T:$T,MATCH(Tabla_Consulta_desde_Reporte_de_Valorización_de_Instrumentos[[#This Row],[CODIGO_SBS]],'BD(MSCI)'!$C:$C,0),1)),0)</f>
        <v>0</v>
      </c>
      <c r="AK638" s="26">
        <f>Tabla_Consulta_desde_Reporte_de_Valorización_de_Instrumentos[[#This Row],[C02-H]]*Tabla_Consulta_desde_Reporte_de_Valorización_de_Instrumentos[[#This Row],[Inv MM$]]</f>
        <v>0</v>
      </c>
      <c r="AL638" s="26">
        <f>Tabla_Consulta_desde_Reporte_de_Valorización_de_Instrumentos[[#This Row],[C02-H]]*Tabla_Consulta_desde_Reporte_de_Valorización_de_Instrumentos[[#This Row],[Weight]]</f>
        <v>0</v>
      </c>
      <c r="AM638" s="26">
        <f>INDEX(Parametria!G:G,MATCH(Tabla_Consulta_desde_Reporte_de_Valorización_de_Instrumentos[[#This Row],[CODIGO_SBS]],Parametria!C:C,0))</f>
        <v>0</v>
      </c>
      <c r="AN638" s="26" t="str">
        <f>INDEX(Parametria!F:F,MATCH(Tabla_Consulta_desde_Reporte_de_Valorización_de_Instrumentos[[#This Row],[CODIGO_SBS]],Parametria!C:C,0))</f>
        <v>Cash</v>
      </c>
      <c r="AO638" s="26" t="str">
        <f>+INDEX(Parametria!J:J,MATCH(Tabla_Consulta_desde_Reporte_de_Valorización_de_Instrumentos[[#This Row],[CODIGO_SBS]],Parametria!C:C,0))</f>
        <v>Cash</v>
      </c>
      <c r="AP638" s="26">
        <f>Tabla_Consulta_desde_Reporte_de_Valorización_de_Instrumentos[[#This Row],[Huella]]/$AU$4</f>
        <v>0</v>
      </c>
      <c r="AQ638" s="26" t="str">
        <f>IFERROR(INDEX('BD(MSCI)'!W:W,MATCH(Tabla_Consulta_desde_Reporte_de_Valorización_de_Instrumentos[[#This Row],[CODIGO_ISIN]],'BD(MSCI)'!C:C,0)),IF(Tabla_Consulta_desde_Reporte_de_Valorización_de_Instrumentos[[#This Row],[Rank_rt]]="Cash","Cash","Cuestionario Integra"))</f>
        <v>Cash</v>
      </c>
      <c r="AR638" s="26" t="str">
        <f>IFERROR(INDEX('BD(MSCI)'!X:X,MATCH(Tabla_Consulta_desde_Reporte_de_Valorización_de_Instrumentos[[#This Row],[CODIGO_ISIN]],'BD(MSCI)'!C:C,0)),"Cuestionario Integra")</f>
        <v>Cuestionario Integra</v>
      </c>
    </row>
    <row r="639" spans="2:44" hidden="1" x14ac:dyDescent="0.25">
      <c r="B639" s="14" t="s">
        <v>6390</v>
      </c>
      <c r="C639" t="s">
        <v>840</v>
      </c>
      <c r="D639" t="s">
        <v>10</v>
      </c>
      <c r="E639" t="s">
        <v>841</v>
      </c>
      <c r="F639" t="s">
        <v>6621</v>
      </c>
      <c r="G639">
        <f>INDEX(Parametria!H:H,MATCH(Tabla_Consulta_desde_Reporte_de_Valorización_de_Instrumentos[[#This Row],[CODIGO_SBS]],Parametria!C:C,0),1)</f>
        <v>0</v>
      </c>
      <c r="H639" t="s">
        <v>90</v>
      </c>
      <c r="I639" t="s">
        <v>842</v>
      </c>
      <c r="J639" t="s">
        <v>4653</v>
      </c>
      <c r="K639" t="s">
        <v>50</v>
      </c>
      <c r="L639">
        <v>1</v>
      </c>
      <c r="M639" s="5">
        <v>100827</v>
      </c>
      <c r="N639">
        <v>30000</v>
      </c>
      <c r="O639">
        <v>0</v>
      </c>
      <c r="P639" s="15">
        <v>46024</v>
      </c>
      <c r="Q639">
        <v>2</v>
      </c>
      <c r="R639">
        <v>3.3609</v>
      </c>
      <c r="S639" t="s">
        <v>155</v>
      </c>
      <c r="U639" s="5"/>
      <c r="V639" t="s">
        <v>156</v>
      </c>
      <c r="W639">
        <v>0</v>
      </c>
      <c r="X639">
        <v>0</v>
      </c>
      <c r="Y639">
        <v>0</v>
      </c>
      <c r="Z639">
        <v>0</v>
      </c>
      <c r="AA639" t="str">
        <f>+MID(Tabla_Consulta_desde_Reporte_de_Valorización_de_Instrumentos[[#This Row],[CODIGO_SBS]],7,1)</f>
        <v>2</v>
      </c>
      <c r="AB639">
        <f>INDEX('Cálculo Caja'!F:F,MATCH(Tabla_Consulta_desde_Reporte_de_Valorización_de_Instrumentos[[#This Row],[PORTAFOLIO]],'Cálculo Caja'!A:A,0),1)</f>
        <v>26256910350.436607</v>
      </c>
      <c r="AC639" s="17">
        <f>Tabla_Consulta_desde_Reporte_de_Valorización_de_Instrumentos[[#This Row],[VALOR_VECTOR_LOCAL]]/Tabla_Consulta_desde_Reporte_de_Valorización_de_Instrumentos[[#This Row],[Patrimonio]]</f>
        <v>3.8400176812243796E-6</v>
      </c>
      <c r="AD639" s="4">
        <f>(Tabla_Consulta_desde_Reporte_de_Valorización_de_Instrumentos[[#This Row],[VALOR_VECTOR_LOCAL]]/INDEX('Tipo de Cambio'!$D:$D,MATCH("2",'Tipo de Cambio'!$E:$E,0),1))/1000000</f>
        <v>0.03</v>
      </c>
      <c r="AE639">
        <f>IF(Tabla_Consulta_desde_Reporte_de_Valorización_de_Instrumentos[[#This Row],[PORTAFOLIO]]="IN-FONDO0",Tabla_Consulta_desde_Reporte_de_Valorización_de_Instrumentos[[#This Row],[Inv MM$]],0)</f>
        <v>0</v>
      </c>
      <c r="AF639" s="26">
        <f>IF(Tabla_Consulta_desde_Reporte_de_Valorización_de_Instrumentos[[#This Row],[PORTAFOLIO]]="IN-FONDO1",Tabla_Consulta_desde_Reporte_de_Valorización_de_Instrumentos[[#This Row],[Inv MM$]],0)</f>
        <v>0</v>
      </c>
      <c r="AG639" s="26">
        <f>IF(Tabla_Consulta_desde_Reporte_de_Valorización_de_Instrumentos[[#This Row],[PORTAFOLIO]]="IN-FONDO2",Tabla_Consulta_desde_Reporte_de_Valorización_de_Instrumentos[[#This Row],[Inv MM$]],0)</f>
        <v>0.03</v>
      </c>
      <c r="AH639" s="26">
        <f>IF(Tabla_Consulta_desde_Reporte_de_Valorización_de_Instrumentos[[#This Row],[PORTAFOLIO]]="IN-FONDO3",Tabla_Consulta_desde_Reporte_de_Valorización_de_Instrumentos[[#This Row],[Inv MM$]],0)</f>
        <v>0</v>
      </c>
      <c r="AI63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0.03</v>
      </c>
      <c r="AJ639" s="26">
        <f>IFERROR(IFERROR(INDEX('BD(MSCI)'!$T:$T,MATCH(Tabla_Consulta_desde_Reporte_de_Valorización_de_Instrumentos[[#This Row],[CODIGO_ISIN]],'BD(MSCI)'!$C:$C,0),1),INDEX('BD(MSCI)'!$T:$T,MATCH(Tabla_Consulta_desde_Reporte_de_Valorización_de_Instrumentos[[#This Row],[CODIGO_SBS]],'BD(MSCI)'!$C:$C,0),1)),0)</f>
        <v>0</v>
      </c>
      <c r="AK639" s="26">
        <f>Tabla_Consulta_desde_Reporte_de_Valorización_de_Instrumentos[[#This Row],[C02-H]]*Tabla_Consulta_desde_Reporte_de_Valorización_de_Instrumentos[[#This Row],[Inv MM$]]</f>
        <v>0</v>
      </c>
      <c r="AL639" s="26">
        <f>Tabla_Consulta_desde_Reporte_de_Valorización_de_Instrumentos[[#This Row],[C02-H]]*Tabla_Consulta_desde_Reporte_de_Valorización_de_Instrumentos[[#This Row],[Weight]]</f>
        <v>0</v>
      </c>
      <c r="AM639" s="26">
        <f>INDEX(Parametria!G:G,MATCH(Tabla_Consulta_desde_Reporte_de_Valorización_de_Instrumentos[[#This Row],[CODIGO_SBS]],Parametria!C:C,0))</f>
        <v>0</v>
      </c>
      <c r="AN639" s="26" t="str">
        <f>INDEX(Parametria!F:F,MATCH(Tabla_Consulta_desde_Reporte_de_Valorización_de_Instrumentos[[#This Row],[CODIGO_SBS]],Parametria!C:C,0))</f>
        <v>Cash</v>
      </c>
      <c r="AO639" s="26" t="str">
        <f>+INDEX(Parametria!J:J,MATCH(Tabla_Consulta_desde_Reporte_de_Valorización_de_Instrumentos[[#This Row],[CODIGO_SBS]],Parametria!C:C,0))</f>
        <v>Cash</v>
      </c>
      <c r="AP639" s="26">
        <f>Tabla_Consulta_desde_Reporte_de_Valorización_de_Instrumentos[[#This Row],[Huella]]/$AU$4</f>
        <v>0</v>
      </c>
      <c r="AQ639" s="26" t="str">
        <f>IFERROR(INDEX('BD(MSCI)'!W:W,MATCH(Tabla_Consulta_desde_Reporte_de_Valorización_de_Instrumentos[[#This Row],[CODIGO_ISIN]],'BD(MSCI)'!C:C,0)),IF(Tabla_Consulta_desde_Reporte_de_Valorización_de_Instrumentos[[#This Row],[Rank_rt]]="Cash","Cash","Cuestionario Integra"))</f>
        <v>Cash</v>
      </c>
      <c r="AR639" s="26" t="str">
        <f>IFERROR(INDEX('BD(MSCI)'!X:X,MATCH(Tabla_Consulta_desde_Reporte_de_Valorización_de_Instrumentos[[#This Row],[CODIGO_ISIN]],'BD(MSCI)'!C:C,0)),"Cuestionario Integra")</f>
        <v>Cuestionario Integra</v>
      </c>
    </row>
    <row r="640" spans="2:44" hidden="1" x14ac:dyDescent="0.25">
      <c r="B640" s="14" t="s">
        <v>6390</v>
      </c>
      <c r="C640" t="s">
        <v>840</v>
      </c>
      <c r="D640" t="s">
        <v>12</v>
      </c>
      <c r="E640" t="s">
        <v>841</v>
      </c>
      <c r="F640" t="s">
        <v>6622</v>
      </c>
      <c r="G640">
        <f>INDEX(Parametria!H:H,MATCH(Tabla_Consulta_desde_Reporte_de_Valorización_de_Instrumentos[[#This Row],[CODIGO_SBS]],Parametria!C:C,0),1)</f>
        <v>0</v>
      </c>
      <c r="H640" t="s">
        <v>90</v>
      </c>
      <c r="I640" t="s">
        <v>842</v>
      </c>
      <c r="J640" t="s">
        <v>4653</v>
      </c>
      <c r="K640" t="s">
        <v>50</v>
      </c>
      <c r="L640">
        <v>1</v>
      </c>
      <c r="M640" s="5">
        <v>3226464</v>
      </c>
      <c r="N640">
        <v>960000</v>
      </c>
      <c r="O640">
        <v>0</v>
      </c>
      <c r="P640" s="15">
        <v>46024</v>
      </c>
      <c r="Q640">
        <v>2</v>
      </c>
      <c r="R640">
        <v>3.3609</v>
      </c>
      <c r="S640" t="s">
        <v>155</v>
      </c>
      <c r="U640" s="5"/>
      <c r="V640" t="s">
        <v>156</v>
      </c>
      <c r="W640">
        <v>0</v>
      </c>
      <c r="X640">
        <v>0</v>
      </c>
      <c r="Y640">
        <v>0</v>
      </c>
      <c r="Z640">
        <v>0</v>
      </c>
      <c r="AA640" t="str">
        <f>+MID(Tabla_Consulta_desde_Reporte_de_Valorización_de_Instrumentos[[#This Row],[CODIGO_SBS]],7,1)</f>
        <v>2</v>
      </c>
      <c r="AB640">
        <f>INDEX('Cálculo Caja'!F:F,MATCH(Tabla_Consulta_desde_Reporte_de_Valorización_de_Instrumentos[[#This Row],[PORTAFOLIO]],'Cálculo Caja'!A:A,0),1)</f>
        <v>7679510866.0565634</v>
      </c>
      <c r="AC640" s="17">
        <f>Tabla_Consulta_desde_Reporte_de_Valorización_de_Instrumentos[[#This Row],[VALOR_VECTOR_LOCAL]]/Tabla_Consulta_desde_Reporte_de_Valorización_de_Instrumentos[[#This Row],[Patrimonio]]</f>
        <v>4.201392583818027E-4</v>
      </c>
      <c r="AD640" s="4">
        <f>(Tabla_Consulta_desde_Reporte_de_Valorización_de_Instrumentos[[#This Row],[VALOR_VECTOR_LOCAL]]/INDEX('Tipo de Cambio'!$D:$D,MATCH("2",'Tipo de Cambio'!$E:$E,0),1))/1000000</f>
        <v>0.96</v>
      </c>
      <c r="AE640">
        <f>IF(Tabla_Consulta_desde_Reporte_de_Valorización_de_Instrumentos[[#This Row],[PORTAFOLIO]]="IN-FONDO0",Tabla_Consulta_desde_Reporte_de_Valorización_de_Instrumentos[[#This Row],[Inv MM$]],0)</f>
        <v>0</v>
      </c>
      <c r="AF640" s="26">
        <f>IF(Tabla_Consulta_desde_Reporte_de_Valorización_de_Instrumentos[[#This Row],[PORTAFOLIO]]="IN-FONDO1",Tabla_Consulta_desde_Reporte_de_Valorización_de_Instrumentos[[#This Row],[Inv MM$]],0)</f>
        <v>0.96</v>
      </c>
      <c r="AG640" s="26">
        <f>IF(Tabla_Consulta_desde_Reporte_de_Valorización_de_Instrumentos[[#This Row],[PORTAFOLIO]]="IN-FONDO2",Tabla_Consulta_desde_Reporte_de_Valorización_de_Instrumentos[[#This Row],[Inv MM$]],0)</f>
        <v>0</v>
      </c>
      <c r="AH640" s="26">
        <f>IF(Tabla_Consulta_desde_Reporte_de_Valorización_de_Instrumentos[[#This Row],[PORTAFOLIO]]="IN-FONDO3",Tabla_Consulta_desde_Reporte_de_Valorización_de_Instrumentos[[#This Row],[Inv MM$]],0)</f>
        <v>0</v>
      </c>
      <c r="AI64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0.96</v>
      </c>
      <c r="AJ640" s="26">
        <f>IFERROR(IFERROR(INDEX('BD(MSCI)'!$T:$T,MATCH(Tabla_Consulta_desde_Reporte_de_Valorización_de_Instrumentos[[#This Row],[CODIGO_ISIN]],'BD(MSCI)'!$C:$C,0),1),INDEX('BD(MSCI)'!$T:$T,MATCH(Tabla_Consulta_desde_Reporte_de_Valorización_de_Instrumentos[[#This Row],[CODIGO_SBS]],'BD(MSCI)'!$C:$C,0),1)),0)</f>
        <v>0</v>
      </c>
      <c r="AK640" s="26">
        <f>Tabla_Consulta_desde_Reporte_de_Valorización_de_Instrumentos[[#This Row],[C02-H]]*Tabla_Consulta_desde_Reporte_de_Valorización_de_Instrumentos[[#This Row],[Inv MM$]]</f>
        <v>0</v>
      </c>
      <c r="AL640" s="26">
        <f>Tabla_Consulta_desde_Reporte_de_Valorización_de_Instrumentos[[#This Row],[C02-H]]*Tabla_Consulta_desde_Reporte_de_Valorización_de_Instrumentos[[#This Row],[Weight]]</f>
        <v>0</v>
      </c>
      <c r="AM640" s="26">
        <f>INDEX(Parametria!G:G,MATCH(Tabla_Consulta_desde_Reporte_de_Valorización_de_Instrumentos[[#This Row],[CODIGO_SBS]],Parametria!C:C,0))</f>
        <v>0</v>
      </c>
      <c r="AN640" s="26" t="str">
        <f>INDEX(Parametria!F:F,MATCH(Tabla_Consulta_desde_Reporte_de_Valorización_de_Instrumentos[[#This Row],[CODIGO_SBS]],Parametria!C:C,0))</f>
        <v>Cash</v>
      </c>
      <c r="AO640" s="26" t="str">
        <f>+INDEX(Parametria!J:J,MATCH(Tabla_Consulta_desde_Reporte_de_Valorización_de_Instrumentos[[#This Row],[CODIGO_SBS]],Parametria!C:C,0))</f>
        <v>Cash</v>
      </c>
      <c r="AP640" s="26">
        <f>Tabla_Consulta_desde_Reporte_de_Valorización_de_Instrumentos[[#This Row],[Huella]]/$AU$4</f>
        <v>0</v>
      </c>
      <c r="AQ640" s="26" t="str">
        <f>IFERROR(INDEX('BD(MSCI)'!W:W,MATCH(Tabla_Consulta_desde_Reporte_de_Valorización_de_Instrumentos[[#This Row],[CODIGO_ISIN]],'BD(MSCI)'!C:C,0)),IF(Tabla_Consulta_desde_Reporte_de_Valorización_de_Instrumentos[[#This Row],[Rank_rt]]="Cash","Cash","Cuestionario Integra"))</f>
        <v>Cash</v>
      </c>
      <c r="AR640" s="26" t="str">
        <f>IFERROR(INDEX('BD(MSCI)'!X:X,MATCH(Tabla_Consulta_desde_Reporte_de_Valorización_de_Instrumentos[[#This Row],[CODIGO_ISIN]],'BD(MSCI)'!C:C,0)),"Cuestionario Integra")</f>
        <v>Cuestionario Integra</v>
      </c>
    </row>
    <row r="641" spans="2:44" hidden="1" x14ac:dyDescent="0.25">
      <c r="B641" s="14" t="s">
        <v>6390</v>
      </c>
      <c r="C641" t="s">
        <v>840</v>
      </c>
      <c r="D641" t="s">
        <v>11</v>
      </c>
      <c r="E641" t="s">
        <v>841</v>
      </c>
      <c r="F641" t="s">
        <v>6623</v>
      </c>
      <c r="G641">
        <f>INDEX(Parametria!H:H,MATCH(Tabla_Consulta_desde_Reporte_de_Valorización_de_Instrumentos[[#This Row],[CODIGO_SBS]],Parametria!C:C,0),1)</f>
        <v>0</v>
      </c>
      <c r="H641" t="s">
        <v>90</v>
      </c>
      <c r="I641" t="s">
        <v>842</v>
      </c>
      <c r="J641" t="s">
        <v>4652</v>
      </c>
      <c r="K641" t="s">
        <v>50</v>
      </c>
      <c r="L641">
        <v>1</v>
      </c>
      <c r="M641" s="5">
        <v>336090</v>
      </c>
      <c r="N641">
        <v>100000</v>
      </c>
      <c r="O641">
        <v>0</v>
      </c>
      <c r="P641" s="15">
        <v>46024</v>
      </c>
      <c r="Q641">
        <v>2</v>
      </c>
      <c r="R641">
        <v>3.3609</v>
      </c>
      <c r="S641" t="s">
        <v>155</v>
      </c>
      <c r="U641" s="5"/>
      <c r="V641" t="s">
        <v>156</v>
      </c>
      <c r="W641">
        <v>0</v>
      </c>
      <c r="X641">
        <v>0</v>
      </c>
      <c r="Y641">
        <v>0</v>
      </c>
      <c r="Z641">
        <v>0</v>
      </c>
      <c r="AA641" t="str">
        <f>+MID(Tabla_Consulta_desde_Reporte_de_Valorización_de_Instrumentos[[#This Row],[CODIGO_SBS]],7,1)</f>
        <v>2</v>
      </c>
      <c r="AB641">
        <f>INDEX('Cálculo Caja'!F:F,MATCH(Tabla_Consulta_desde_Reporte_de_Valorización_de_Instrumentos[[#This Row],[PORTAFOLIO]],'Cálculo Caja'!A:A,0),1)</f>
        <v>3164069580.822104</v>
      </c>
      <c r="AC641" s="17">
        <f>Tabla_Consulta_desde_Reporte_de_Valorización_de_Instrumentos[[#This Row],[VALOR_VECTOR_LOCAL]]/Tabla_Consulta_desde_Reporte_de_Valorización_de_Instrumentos[[#This Row],[Patrimonio]]</f>
        <v>1.0622079932663031E-4</v>
      </c>
      <c r="AD641" s="4">
        <f>(Tabla_Consulta_desde_Reporte_de_Valorización_de_Instrumentos[[#This Row],[VALOR_VECTOR_LOCAL]]/INDEX('Tipo de Cambio'!$D:$D,MATCH("2",'Tipo de Cambio'!$E:$E,0),1))/1000000</f>
        <v>0.1</v>
      </c>
      <c r="AE641">
        <f>IF(Tabla_Consulta_desde_Reporte_de_Valorización_de_Instrumentos[[#This Row],[PORTAFOLIO]]="IN-FONDO0",Tabla_Consulta_desde_Reporte_de_Valorización_de_Instrumentos[[#This Row],[Inv MM$]],0)</f>
        <v>0</v>
      </c>
      <c r="AF641" s="26">
        <f>IF(Tabla_Consulta_desde_Reporte_de_Valorización_de_Instrumentos[[#This Row],[PORTAFOLIO]]="IN-FONDO1",Tabla_Consulta_desde_Reporte_de_Valorización_de_Instrumentos[[#This Row],[Inv MM$]],0)</f>
        <v>0</v>
      </c>
      <c r="AG641" s="26">
        <f>IF(Tabla_Consulta_desde_Reporte_de_Valorización_de_Instrumentos[[#This Row],[PORTAFOLIO]]="IN-FONDO2",Tabla_Consulta_desde_Reporte_de_Valorización_de_Instrumentos[[#This Row],[Inv MM$]],0)</f>
        <v>0</v>
      </c>
      <c r="AH641" s="26">
        <f>IF(Tabla_Consulta_desde_Reporte_de_Valorización_de_Instrumentos[[#This Row],[PORTAFOLIO]]="IN-FONDO3",Tabla_Consulta_desde_Reporte_de_Valorización_de_Instrumentos[[#This Row],[Inv MM$]],0)</f>
        <v>0.1</v>
      </c>
      <c r="AI64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0.1</v>
      </c>
      <c r="AJ641" s="26">
        <f>IFERROR(IFERROR(INDEX('BD(MSCI)'!$T:$T,MATCH(Tabla_Consulta_desde_Reporte_de_Valorización_de_Instrumentos[[#This Row],[CODIGO_ISIN]],'BD(MSCI)'!$C:$C,0),1),INDEX('BD(MSCI)'!$T:$T,MATCH(Tabla_Consulta_desde_Reporte_de_Valorización_de_Instrumentos[[#This Row],[CODIGO_SBS]],'BD(MSCI)'!$C:$C,0),1)),0)</f>
        <v>0</v>
      </c>
      <c r="AK641" s="26">
        <f>Tabla_Consulta_desde_Reporte_de_Valorización_de_Instrumentos[[#This Row],[C02-H]]*Tabla_Consulta_desde_Reporte_de_Valorización_de_Instrumentos[[#This Row],[Inv MM$]]</f>
        <v>0</v>
      </c>
      <c r="AL641" s="26">
        <f>Tabla_Consulta_desde_Reporte_de_Valorización_de_Instrumentos[[#This Row],[C02-H]]*Tabla_Consulta_desde_Reporte_de_Valorización_de_Instrumentos[[#This Row],[Weight]]</f>
        <v>0</v>
      </c>
      <c r="AM641" s="26">
        <f>INDEX(Parametria!G:G,MATCH(Tabla_Consulta_desde_Reporte_de_Valorización_de_Instrumentos[[#This Row],[CODIGO_SBS]],Parametria!C:C,0))</f>
        <v>0</v>
      </c>
      <c r="AN641" s="26" t="str">
        <f>INDEX(Parametria!F:F,MATCH(Tabla_Consulta_desde_Reporte_de_Valorización_de_Instrumentos[[#This Row],[CODIGO_SBS]],Parametria!C:C,0))</f>
        <v>Cash</v>
      </c>
      <c r="AO641" s="26" t="str">
        <f>+INDEX(Parametria!J:J,MATCH(Tabla_Consulta_desde_Reporte_de_Valorización_de_Instrumentos[[#This Row],[CODIGO_SBS]],Parametria!C:C,0))</f>
        <v>Cash</v>
      </c>
      <c r="AP641" s="26">
        <f>Tabla_Consulta_desde_Reporte_de_Valorización_de_Instrumentos[[#This Row],[Huella]]/$AU$4</f>
        <v>0</v>
      </c>
      <c r="AQ641" s="26" t="str">
        <f>IFERROR(INDEX('BD(MSCI)'!W:W,MATCH(Tabla_Consulta_desde_Reporte_de_Valorización_de_Instrumentos[[#This Row],[CODIGO_ISIN]],'BD(MSCI)'!C:C,0)),IF(Tabla_Consulta_desde_Reporte_de_Valorización_de_Instrumentos[[#This Row],[Rank_rt]]="Cash","Cash","Cuestionario Integra"))</f>
        <v>Cash</v>
      </c>
      <c r="AR641" s="26" t="str">
        <f>IFERROR(INDEX('BD(MSCI)'!X:X,MATCH(Tabla_Consulta_desde_Reporte_de_Valorización_de_Instrumentos[[#This Row],[CODIGO_ISIN]],'BD(MSCI)'!C:C,0)),"Cuestionario Integra")</f>
        <v>Cuestionario Integra</v>
      </c>
    </row>
    <row r="642" spans="2:44" hidden="1" x14ac:dyDescent="0.25">
      <c r="B642" s="14" t="s">
        <v>6390</v>
      </c>
      <c r="C642" t="s">
        <v>840</v>
      </c>
      <c r="D642" t="s">
        <v>10</v>
      </c>
      <c r="E642" t="s">
        <v>841</v>
      </c>
      <c r="F642" t="s">
        <v>6624</v>
      </c>
      <c r="G642">
        <f>INDEX(Parametria!H:H,MATCH(Tabla_Consulta_desde_Reporte_de_Valorización_de_Instrumentos[[#This Row],[CODIGO_SBS]],Parametria!C:C,0),1)</f>
        <v>0</v>
      </c>
      <c r="H642" t="s">
        <v>90</v>
      </c>
      <c r="I642" t="s">
        <v>842</v>
      </c>
      <c r="J642" t="s">
        <v>4653</v>
      </c>
      <c r="K642" t="s">
        <v>50</v>
      </c>
      <c r="L642">
        <v>1</v>
      </c>
      <c r="M642" s="5">
        <v>8805558</v>
      </c>
      <c r="N642">
        <v>2620000</v>
      </c>
      <c r="O642">
        <v>0</v>
      </c>
      <c r="P642" s="15">
        <v>46024</v>
      </c>
      <c r="Q642">
        <v>2</v>
      </c>
      <c r="R642">
        <v>3.3609</v>
      </c>
      <c r="S642" t="s">
        <v>155</v>
      </c>
      <c r="U642" s="5"/>
      <c r="V642" t="s">
        <v>156</v>
      </c>
      <c r="W642">
        <v>0</v>
      </c>
      <c r="X642">
        <v>0</v>
      </c>
      <c r="Y642">
        <v>0</v>
      </c>
      <c r="Z642">
        <v>0</v>
      </c>
      <c r="AA642" t="str">
        <f>+MID(Tabla_Consulta_desde_Reporte_de_Valorización_de_Instrumentos[[#This Row],[CODIGO_SBS]],7,1)</f>
        <v>2</v>
      </c>
      <c r="AB642">
        <f>INDEX('Cálculo Caja'!F:F,MATCH(Tabla_Consulta_desde_Reporte_de_Valorización_de_Instrumentos[[#This Row],[PORTAFOLIO]],'Cálculo Caja'!A:A,0),1)</f>
        <v>26256910350.436607</v>
      </c>
      <c r="AC642" s="17">
        <f>Tabla_Consulta_desde_Reporte_de_Valorización_de_Instrumentos[[#This Row],[VALOR_VECTOR_LOCAL]]/Tabla_Consulta_desde_Reporte_de_Valorización_de_Instrumentos[[#This Row],[Patrimonio]]</f>
        <v>3.3536154416026248E-4</v>
      </c>
      <c r="AD642" s="4">
        <f>(Tabla_Consulta_desde_Reporte_de_Valorización_de_Instrumentos[[#This Row],[VALOR_VECTOR_LOCAL]]/INDEX('Tipo de Cambio'!$D:$D,MATCH("2",'Tipo de Cambio'!$E:$E,0),1))/1000000</f>
        <v>2.62</v>
      </c>
      <c r="AE642">
        <f>IF(Tabla_Consulta_desde_Reporte_de_Valorización_de_Instrumentos[[#This Row],[PORTAFOLIO]]="IN-FONDO0",Tabla_Consulta_desde_Reporte_de_Valorización_de_Instrumentos[[#This Row],[Inv MM$]],0)</f>
        <v>0</v>
      </c>
      <c r="AF642" s="26">
        <f>IF(Tabla_Consulta_desde_Reporte_de_Valorización_de_Instrumentos[[#This Row],[PORTAFOLIO]]="IN-FONDO1",Tabla_Consulta_desde_Reporte_de_Valorización_de_Instrumentos[[#This Row],[Inv MM$]],0)</f>
        <v>0</v>
      </c>
      <c r="AG642" s="26">
        <f>IF(Tabla_Consulta_desde_Reporte_de_Valorización_de_Instrumentos[[#This Row],[PORTAFOLIO]]="IN-FONDO2",Tabla_Consulta_desde_Reporte_de_Valorización_de_Instrumentos[[#This Row],[Inv MM$]],0)</f>
        <v>2.62</v>
      </c>
      <c r="AH642" s="26">
        <f>IF(Tabla_Consulta_desde_Reporte_de_Valorización_de_Instrumentos[[#This Row],[PORTAFOLIO]]="IN-FONDO3",Tabla_Consulta_desde_Reporte_de_Valorización_de_Instrumentos[[#This Row],[Inv MM$]],0)</f>
        <v>0</v>
      </c>
      <c r="AI64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2.62</v>
      </c>
      <c r="AJ642" s="26">
        <f>IFERROR(IFERROR(INDEX('BD(MSCI)'!$T:$T,MATCH(Tabla_Consulta_desde_Reporte_de_Valorización_de_Instrumentos[[#This Row],[CODIGO_ISIN]],'BD(MSCI)'!$C:$C,0),1),INDEX('BD(MSCI)'!$T:$T,MATCH(Tabla_Consulta_desde_Reporte_de_Valorización_de_Instrumentos[[#This Row],[CODIGO_SBS]],'BD(MSCI)'!$C:$C,0),1)),0)</f>
        <v>0</v>
      </c>
      <c r="AK642" s="26">
        <f>Tabla_Consulta_desde_Reporte_de_Valorización_de_Instrumentos[[#This Row],[C02-H]]*Tabla_Consulta_desde_Reporte_de_Valorización_de_Instrumentos[[#This Row],[Inv MM$]]</f>
        <v>0</v>
      </c>
      <c r="AL642" s="26">
        <f>Tabla_Consulta_desde_Reporte_de_Valorización_de_Instrumentos[[#This Row],[C02-H]]*Tabla_Consulta_desde_Reporte_de_Valorización_de_Instrumentos[[#This Row],[Weight]]</f>
        <v>0</v>
      </c>
      <c r="AM642" s="26">
        <f>INDEX(Parametria!G:G,MATCH(Tabla_Consulta_desde_Reporte_de_Valorización_de_Instrumentos[[#This Row],[CODIGO_SBS]],Parametria!C:C,0))</f>
        <v>0</v>
      </c>
      <c r="AN642" s="26" t="str">
        <f>INDEX(Parametria!F:F,MATCH(Tabla_Consulta_desde_Reporte_de_Valorización_de_Instrumentos[[#This Row],[CODIGO_SBS]],Parametria!C:C,0))</f>
        <v>Cash</v>
      </c>
      <c r="AO642" s="26" t="str">
        <f>+INDEX(Parametria!J:J,MATCH(Tabla_Consulta_desde_Reporte_de_Valorización_de_Instrumentos[[#This Row],[CODIGO_SBS]],Parametria!C:C,0))</f>
        <v>Cash</v>
      </c>
      <c r="AP642" s="26">
        <f>Tabla_Consulta_desde_Reporte_de_Valorización_de_Instrumentos[[#This Row],[Huella]]/$AU$4</f>
        <v>0</v>
      </c>
      <c r="AQ642" s="26" t="str">
        <f>IFERROR(INDEX('BD(MSCI)'!W:W,MATCH(Tabla_Consulta_desde_Reporte_de_Valorización_de_Instrumentos[[#This Row],[CODIGO_ISIN]],'BD(MSCI)'!C:C,0)),IF(Tabla_Consulta_desde_Reporte_de_Valorización_de_Instrumentos[[#This Row],[Rank_rt]]="Cash","Cash","Cuestionario Integra"))</f>
        <v>Cash</v>
      </c>
      <c r="AR642" s="26" t="str">
        <f>IFERROR(INDEX('BD(MSCI)'!X:X,MATCH(Tabla_Consulta_desde_Reporte_de_Valorización_de_Instrumentos[[#This Row],[CODIGO_ISIN]],'BD(MSCI)'!C:C,0)),"Cuestionario Integra")</f>
        <v>Cuestionario Integra</v>
      </c>
    </row>
    <row r="643" spans="2:44" hidden="1" x14ac:dyDescent="0.25">
      <c r="B643" s="14" t="s">
        <v>6390</v>
      </c>
      <c r="C643" t="s">
        <v>840</v>
      </c>
      <c r="D643" t="s">
        <v>12</v>
      </c>
      <c r="E643" t="s">
        <v>841</v>
      </c>
      <c r="F643" t="s">
        <v>6625</v>
      </c>
      <c r="G643">
        <f>INDEX(Parametria!H:H,MATCH(Tabla_Consulta_desde_Reporte_de_Valorización_de_Instrumentos[[#This Row],[CODIGO_SBS]],Parametria!C:C,0),1)</f>
        <v>0</v>
      </c>
      <c r="H643" t="s">
        <v>90</v>
      </c>
      <c r="I643" t="s">
        <v>842</v>
      </c>
      <c r="J643" t="s">
        <v>4861</v>
      </c>
      <c r="K643" t="s">
        <v>50</v>
      </c>
      <c r="L643">
        <v>1</v>
      </c>
      <c r="M643" s="5">
        <v>2554284</v>
      </c>
      <c r="N643">
        <v>760000</v>
      </c>
      <c r="O643">
        <v>0</v>
      </c>
      <c r="P643" s="15">
        <v>46024</v>
      </c>
      <c r="Q643">
        <v>2</v>
      </c>
      <c r="R643">
        <v>3.3609</v>
      </c>
      <c r="S643" t="s">
        <v>155</v>
      </c>
      <c r="U643" s="5"/>
      <c r="V643" t="s">
        <v>156</v>
      </c>
      <c r="W643">
        <v>0</v>
      </c>
      <c r="X643">
        <v>0</v>
      </c>
      <c r="Y643">
        <v>0</v>
      </c>
      <c r="Z643">
        <v>0</v>
      </c>
      <c r="AA643" t="str">
        <f>+MID(Tabla_Consulta_desde_Reporte_de_Valorización_de_Instrumentos[[#This Row],[CODIGO_SBS]],7,1)</f>
        <v>2</v>
      </c>
      <c r="AB643">
        <f>INDEX('Cálculo Caja'!F:F,MATCH(Tabla_Consulta_desde_Reporte_de_Valorización_de_Instrumentos[[#This Row],[PORTAFOLIO]],'Cálculo Caja'!A:A,0),1)</f>
        <v>7679510866.0565634</v>
      </c>
      <c r="AC643" s="17">
        <f>Tabla_Consulta_desde_Reporte_de_Valorización_de_Instrumentos[[#This Row],[VALOR_VECTOR_LOCAL]]/Tabla_Consulta_desde_Reporte_de_Valorización_de_Instrumentos[[#This Row],[Patrimonio]]</f>
        <v>3.3261024621892714E-4</v>
      </c>
      <c r="AD643" s="4">
        <f>(Tabla_Consulta_desde_Reporte_de_Valorización_de_Instrumentos[[#This Row],[VALOR_VECTOR_LOCAL]]/INDEX('Tipo de Cambio'!$D:$D,MATCH("2",'Tipo de Cambio'!$E:$E,0),1))/1000000</f>
        <v>0.76</v>
      </c>
      <c r="AE643">
        <f>IF(Tabla_Consulta_desde_Reporte_de_Valorización_de_Instrumentos[[#This Row],[PORTAFOLIO]]="IN-FONDO0",Tabla_Consulta_desde_Reporte_de_Valorización_de_Instrumentos[[#This Row],[Inv MM$]],0)</f>
        <v>0</v>
      </c>
      <c r="AF643" s="26">
        <f>IF(Tabla_Consulta_desde_Reporte_de_Valorización_de_Instrumentos[[#This Row],[PORTAFOLIO]]="IN-FONDO1",Tabla_Consulta_desde_Reporte_de_Valorización_de_Instrumentos[[#This Row],[Inv MM$]],0)</f>
        <v>0.76</v>
      </c>
      <c r="AG643" s="26">
        <f>IF(Tabla_Consulta_desde_Reporte_de_Valorización_de_Instrumentos[[#This Row],[PORTAFOLIO]]="IN-FONDO2",Tabla_Consulta_desde_Reporte_de_Valorización_de_Instrumentos[[#This Row],[Inv MM$]],0)</f>
        <v>0</v>
      </c>
      <c r="AH643" s="26">
        <f>IF(Tabla_Consulta_desde_Reporte_de_Valorización_de_Instrumentos[[#This Row],[PORTAFOLIO]]="IN-FONDO3",Tabla_Consulta_desde_Reporte_de_Valorización_de_Instrumentos[[#This Row],[Inv MM$]],0)</f>
        <v>0</v>
      </c>
      <c r="AI64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0.76</v>
      </c>
      <c r="AJ643" s="26">
        <f>IFERROR(IFERROR(INDEX('BD(MSCI)'!$T:$T,MATCH(Tabla_Consulta_desde_Reporte_de_Valorización_de_Instrumentos[[#This Row],[CODIGO_ISIN]],'BD(MSCI)'!$C:$C,0),1),INDEX('BD(MSCI)'!$T:$T,MATCH(Tabla_Consulta_desde_Reporte_de_Valorización_de_Instrumentos[[#This Row],[CODIGO_SBS]],'BD(MSCI)'!$C:$C,0),1)),0)</f>
        <v>0</v>
      </c>
      <c r="AK643" s="26">
        <f>Tabla_Consulta_desde_Reporte_de_Valorización_de_Instrumentos[[#This Row],[C02-H]]*Tabla_Consulta_desde_Reporte_de_Valorización_de_Instrumentos[[#This Row],[Inv MM$]]</f>
        <v>0</v>
      </c>
      <c r="AL643" s="26">
        <f>Tabla_Consulta_desde_Reporte_de_Valorización_de_Instrumentos[[#This Row],[C02-H]]*Tabla_Consulta_desde_Reporte_de_Valorización_de_Instrumentos[[#This Row],[Weight]]</f>
        <v>0</v>
      </c>
      <c r="AM643" s="26">
        <f>INDEX(Parametria!G:G,MATCH(Tabla_Consulta_desde_Reporte_de_Valorización_de_Instrumentos[[#This Row],[CODIGO_SBS]],Parametria!C:C,0))</f>
        <v>0</v>
      </c>
      <c r="AN643" s="26" t="str">
        <f>INDEX(Parametria!F:F,MATCH(Tabla_Consulta_desde_Reporte_de_Valorización_de_Instrumentos[[#This Row],[CODIGO_SBS]],Parametria!C:C,0))</f>
        <v>Cash</v>
      </c>
      <c r="AO643" s="26" t="str">
        <f>+INDEX(Parametria!J:J,MATCH(Tabla_Consulta_desde_Reporte_de_Valorización_de_Instrumentos[[#This Row],[CODIGO_SBS]],Parametria!C:C,0))</f>
        <v>Cash</v>
      </c>
      <c r="AP643" s="26">
        <f>Tabla_Consulta_desde_Reporte_de_Valorización_de_Instrumentos[[#This Row],[Huella]]/$AU$4</f>
        <v>0</v>
      </c>
      <c r="AQ643" s="26" t="str">
        <f>IFERROR(INDEX('BD(MSCI)'!W:W,MATCH(Tabla_Consulta_desde_Reporte_de_Valorización_de_Instrumentos[[#This Row],[CODIGO_ISIN]],'BD(MSCI)'!C:C,0)),IF(Tabla_Consulta_desde_Reporte_de_Valorización_de_Instrumentos[[#This Row],[Rank_rt]]="Cash","Cash","Cuestionario Integra"))</f>
        <v>Cash</v>
      </c>
      <c r="AR643" s="26" t="str">
        <f>IFERROR(INDEX('BD(MSCI)'!X:X,MATCH(Tabla_Consulta_desde_Reporte_de_Valorización_de_Instrumentos[[#This Row],[CODIGO_ISIN]],'BD(MSCI)'!C:C,0)),"Cuestionario Integra")</f>
        <v>Cuestionario Integra</v>
      </c>
    </row>
    <row r="644" spans="2:44" hidden="1" x14ac:dyDescent="0.25">
      <c r="B644" s="14" t="s">
        <v>6390</v>
      </c>
      <c r="C644" t="s">
        <v>840</v>
      </c>
      <c r="D644" t="s">
        <v>11</v>
      </c>
      <c r="E644" t="s">
        <v>841</v>
      </c>
      <c r="F644" t="s">
        <v>6626</v>
      </c>
      <c r="G644">
        <f>INDEX(Parametria!H:H,MATCH(Tabla_Consulta_desde_Reporte_de_Valorización_de_Instrumentos[[#This Row],[CODIGO_SBS]],Parametria!C:C,0),1)</f>
        <v>0</v>
      </c>
      <c r="H644" t="s">
        <v>90</v>
      </c>
      <c r="I644" t="s">
        <v>842</v>
      </c>
      <c r="J644" t="s">
        <v>4861</v>
      </c>
      <c r="K644" t="s">
        <v>50</v>
      </c>
      <c r="L644">
        <v>1</v>
      </c>
      <c r="M644" s="5">
        <v>19224348</v>
      </c>
      <c r="N644">
        <v>5720000</v>
      </c>
      <c r="O644">
        <v>0</v>
      </c>
      <c r="P644" s="15">
        <v>46024</v>
      </c>
      <c r="Q644">
        <v>2</v>
      </c>
      <c r="R644">
        <v>3.3609</v>
      </c>
      <c r="S644" t="s">
        <v>155</v>
      </c>
      <c r="U644" s="5"/>
      <c r="V644" t="s">
        <v>156</v>
      </c>
      <c r="W644">
        <v>0</v>
      </c>
      <c r="X644">
        <v>0</v>
      </c>
      <c r="Y644">
        <v>0</v>
      </c>
      <c r="Z644">
        <v>0</v>
      </c>
      <c r="AA644" t="str">
        <f>+MID(Tabla_Consulta_desde_Reporte_de_Valorización_de_Instrumentos[[#This Row],[CODIGO_SBS]],7,1)</f>
        <v>2</v>
      </c>
      <c r="AB644">
        <f>INDEX('Cálculo Caja'!F:F,MATCH(Tabla_Consulta_desde_Reporte_de_Valorización_de_Instrumentos[[#This Row],[PORTAFOLIO]],'Cálculo Caja'!A:A,0),1)</f>
        <v>3164069580.822104</v>
      </c>
      <c r="AC644" s="17">
        <f>Tabla_Consulta_desde_Reporte_de_Valorización_de_Instrumentos[[#This Row],[VALOR_VECTOR_LOCAL]]/Tabla_Consulta_desde_Reporte_de_Valorización_de_Instrumentos[[#This Row],[Patrimonio]]</f>
        <v>6.0758297214832538E-3</v>
      </c>
      <c r="AD644" s="4">
        <f>(Tabla_Consulta_desde_Reporte_de_Valorización_de_Instrumentos[[#This Row],[VALOR_VECTOR_LOCAL]]/INDEX('Tipo de Cambio'!$D:$D,MATCH("2",'Tipo de Cambio'!$E:$E,0),1))/1000000</f>
        <v>5.72</v>
      </c>
      <c r="AE644">
        <f>IF(Tabla_Consulta_desde_Reporte_de_Valorización_de_Instrumentos[[#This Row],[PORTAFOLIO]]="IN-FONDO0",Tabla_Consulta_desde_Reporte_de_Valorización_de_Instrumentos[[#This Row],[Inv MM$]],0)</f>
        <v>0</v>
      </c>
      <c r="AF644" s="26">
        <f>IF(Tabla_Consulta_desde_Reporte_de_Valorización_de_Instrumentos[[#This Row],[PORTAFOLIO]]="IN-FONDO1",Tabla_Consulta_desde_Reporte_de_Valorización_de_Instrumentos[[#This Row],[Inv MM$]],0)</f>
        <v>0</v>
      </c>
      <c r="AG644" s="26">
        <f>IF(Tabla_Consulta_desde_Reporte_de_Valorización_de_Instrumentos[[#This Row],[PORTAFOLIO]]="IN-FONDO2",Tabla_Consulta_desde_Reporte_de_Valorización_de_Instrumentos[[#This Row],[Inv MM$]],0)</f>
        <v>0</v>
      </c>
      <c r="AH644" s="26">
        <f>IF(Tabla_Consulta_desde_Reporte_de_Valorización_de_Instrumentos[[#This Row],[PORTAFOLIO]]="IN-FONDO3",Tabla_Consulta_desde_Reporte_de_Valorización_de_Instrumentos[[#This Row],[Inv MM$]],0)</f>
        <v>5.72</v>
      </c>
      <c r="AI64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5.72</v>
      </c>
      <c r="AJ644" s="26">
        <f>IFERROR(IFERROR(INDEX('BD(MSCI)'!$T:$T,MATCH(Tabla_Consulta_desde_Reporte_de_Valorización_de_Instrumentos[[#This Row],[CODIGO_ISIN]],'BD(MSCI)'!$C:$C,0),1),INDEX('BD(MSCI)'!$T:$T,MATCH(Tabla_Consulta_desde_Reporte_de_Valorización_de_Instrumentos[[#This Row],[CODIGO_SBS]],'BD(MSCI)'!$C:$C,0),1)),0)</f>
        <v>0</v>
      </c>
      <c r="AK644" s="26">
        <f>Tabla_Consulta_desde_Reporte_de_Valorización_de_Instrumentos[[#This Row],[C02-H]]*Tabla_Consulta_desde_Reporte_de_Valorización_de_Instrumentos[[#This Row],[Inv MM$]]</f>
        <v>0</v>
      </c>
      <c r="AL644" s="26">
        <f>Tabla_Consulta_desde_Reporte_de_Valorización_de_Instrumentos[[#This Row],[C02-H]]*Tabla_Consulta_desde_Reporte_de_Valorización_de_Instrumentos[[#This Row],[Weight]]</f>
        <v>0</v>
      </c>
      <c r="AM644" s="26">
        <f>INDEX(Parametria!G:G,MATCH(Tabla_Consulta_desde_Reporte_de_Valorización_de_Instrumentos[[#This Row],[CODIGO_SBS]],Parametria!C:C,0))</f>
        <v>0</v>
      </c>
      <c r="AN644" s="26" t="str">
        <f>INDEX(Parametria!F:F,MATCH(Tabla_Consulta_desde_Reporte_de_Valorización_de_Instrumentos[[#This Row],[CODIGO_SBS]],Parametria!C:C,0))</f>
        <v>Cash</v>
      </c>
      <c r="AO644" s="26" t="str">
        <f>+INDEX(Parametria!J:J,MATCH(Tabla_Consulta_desde_Reporte_de_Valorización_de_Instrumentos[[#This Row],[CODIGO_SBS]],Parametria!C:C,0))</f>
        <v>Cash</v>
      </c>
      <c r="AP644" s="26">
        <f>Tabla_Consulta_desde_Reporte_de_Valorización_de_Instrumentos[[#This Row],[Huella]]/$AU$4</f>
        <v>0</v>
      </c>
      <c r="AQ644" s="26" t="str">
        <f>IFERROR(INDEX('BD(MSCI)'!W:W,MATCH(Tabla_Consulta_desde_Reporte_de_Valorización_de_Instrumentos[[#This Row],[CODIGO_ISIN]],'BD(MSCI)'!C:C,0)),IF(Tabla_Consulta_desde_Reporte_de_Valorización_de_Instrumentos[[#This Row],[Rank_rt]]="Cash","Cash","Cuestionario Integra"))</f>
        <v>Cash</v>
      </c>
      <c r="AR644" s="26" t="str">
        <f>IFERROR(INDEX('BD(MSCI)'!X:X,MATCH(Tabla_Consulta_desde_Reporte_de_Valorización_de_Instrumentos[[#This Row],[CODIGO_ISIN]],'BD(MSCI)'!C:C,0)),"Cuestionario Integra")</f>
        <v>Cuestionario Integra</v>
      </c>
    </row>
    <row r="646" spans="2:44" x14ac:dyDescent="0.25">
      <c r="K646" s="4"/>
      <c r="AA646"/>
      <c r="AI646" s="34"/>
    </row>
    <row r="647" spans="2:44" x14ac:dyDescent="0.25">
      <c r="K647" s="4"/>
      <c r="Z647" s="19"/>
      <c r="AA647" s="18"/>
      <c r="AI647" s="34"/>
    </row>
    <row r="651" spans="2:44" x14ac:dyDescent="0.25">
      <c r="AC651" s="18"/>
    </row>
    <row r="652" spans="2:44" x14ac:dyDescent="0.25">
      <c r="AC652" s="18"/>
    </row>
  </sheetData>
  <phoneticPr fontId="3"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66CD9-B3C9-4197-B909-41014E9CCC11}">
  <sheetPr codeName="Sheet11">
    <tabColor theme="4"/>
  </sheetPr>
  <dimension ref="A1:FR251"/>
  <sheetViews>
    <sheetView topLeftCell="EM39" zoomScaleNormal="100" workbookViewId="0">
      <selection activeCell="EZ92" sqref="EU92:EZ92"/>
    </sheetView>
  </sheetViews>
  <sheetFormatPr defaultColWidth="9.140625" defaultRowHeight="15" x14ac:dyDescent="0.25"/>
  <cols>
    <col min="23" max="23" width="1.5703125" style="49" customWidth="1"/>
    <col min="26" max="26" width="17.85546875" bestFit="1" customWidth="1"/>
    <col min="27" max="27" width="18.28515625" bestFit="1" customWidth="1"/>
    <col min="28" max="28" width="25.42578125" bestFit="1" customWidth="1"/>
    <col min="29" max="29" width="19.28515625" bestFit="1" customWidth="1"/>
    <col min="30" max="30" width="40.42578125" bestFit="1" customWidth="1"/>
    <col min="31" max="31" width="63.42578125" bestFit="1" customWidth="1"/>
    <col min="32" max="32" width="19.28515625" bestFit="1" customWidth="1"/>
    <col min="33" max="33" width="27.7109375" customWidth="1"/>
    <col min="34" max="40" width="40.42578125" bestFit="1" customWidth="1"/>
    <col min="41" max="41" width="3.28515625" customWidth="1"/>
    <col min="42" max="42" width="40.42578125" bestFit="1" customWidth="1"/>
    <col min="43" max="43" width="67.28515625" bestFit="1" customWidth="1"/>
    <col min="44" max="44" width="18.28515625" bestFit="1" customWidth="1"/>
    <col min="45" max="45" width="25.42578125" bestFit="1" customWidth="1"/>
    <col min="46" max="46" width="40.42578125" bestFit="1" customWidth="1"/>
    <col min="47" max="47" width="13" bestFit="1" customWidth="1"/>
    <col min="48" max="50" width="40.42578125" bestFit="1" customWidth="1"/>
    <col min="51" max="51" width="3.7109375" customWidth="1"/>
    <col min="52" max="52" width="75" customWidth="1"/>
    <col min="53" max="53" width="12.140625" customWidth="1"/>
    <col min="54" max="54" width="18.42578125" bestFit="1" customWidth="1"/>
    <col min="55" max="55" width="24.85546875" bestFit="1" customWidth="1"/>
    <col min="57" max="57" width="2.28515625" customWidth="1"/>
    <col min="60" max="60" width="31" bestFit="1" customWidth="1"/>
    <col min="61" max="61" width="18.28515625" bestFit="1" customWidth="1"/>
    <col min="62" max="62" width="25.42578125" bestFit="1" customWidth="1"/>
    <col min="63" max="63" width="19.28515625" bestFit="1" customWidth="1"/>
    <col min="64" max="64" width="15.5703125" bestFit="1" customWidth="1"/>
    <col min="66" max="66" width="60.5703125" bestFit="1" customWidth="1"/>
    <col min="67" max="67" width="18.28515625" bestFit="1" customWidth="1"/>
    <col min="68" max="68" width="25.42578125" bestFit="1" customWidth="1"/>
    <col min="69" max="69" width="19.28515625" bestFit="1" customWidth="1"/>
    <col min="72" max="72" width="58.28515625" bestFit="1" customWidth="1"/>
    <col min="73" max="73" width="18.28515625" bestFit="1" customWidth="1"/>
    <col min="74" max="74" width="25.42578125" bestFit="1" customWidth="1"/>
    <col min="75" max="75" width="19.28515625" bestFit="1" customWidth="1"/>
    <col min="78" max="78" width="57.5703125" bestFit="1" customWidth="1"/>
    <col min="79" max="79" width="18.28515625" bestFit="1" customWidth="1"/>
    <col min="80" max="80" width="25.42578125" bestFit="1" customWidth="1"/>
    <col min="81" max="81" width="19.28515625" bestFit="1" customWidth="1"/>
    <col min="83" max="83" width="14.7109375" bestFit="1" customWidth="1"/>
    <col min="84" max="84" width="23.5703125" bestFit="1" customWidth="1"/>
    <col min="85" max="85" width="18.28515625" bestFit="1" customWidth="1"/>
    <col min="86" max="86" width="25.42578125" bestFit="1" customWidth="1"/>
    <col min="87" max="87" width="19.28515625" bestFit="1" customWidth="1"/>
    <col min="88" max="88" width="14.85546875" bestFit="1" customWidth="1"/>
    <col min="95" max="95" width="25" customWidth="1"/>
    <col min="96" max="96" width="33.7109375" customWidth="1"/>
    <col min="97" max="111" width="20.5703125" customWidth="1"/>
    <col min="112" max="112" width="15.5703125" bestFit="1" customWidth="1"/>
    <col min="113" max="115" width="20.28515625" customWidth="1"/>
    <col min="116" max="116" width="19.85546875" bestFit="1" customWidth="1"/>
    <col min="117" max="117" width="15.5703125" bestFit="1" customWidth="1"/>
    <col min="118" max="118" width="15.5703125" customWidth="1"/>
    <col min="119" max="119" width="17.85546875" bestFit="1" customWidth="1"/>
    <col min="120" max="124" width="15.5703125" customWidth="1"/>
    <col min="125" max="125" width="12.140625" bestFit="1" customWidth="1"/>
    <col min="126" max="126" width="11.7109375" bestFit="1" customWidth="1"/>
    <col min="130" max="130" width="3.28515625" customWidth="1"/>
    <col min="134" max="134" width="67.28515625" bestFit="1" customWidth="1"/>
    <col min="135" max="135" width="18.28515625" bestFit="1" customWidth="1"/>
    <col min="136" max="136" width="19.28515625" bestFit="1" customWidth="1"/>
    <col min="137" max="137" width="22.42578125" bestFit="1" customWidth="1"/>
    <col min="138" max="138" width="16.28515625" bestFit="1" customWidth="1"/>
    <col min="139" max="139" width="55" bestFit="1" customWidth="1"/>
    <col min="140" max="140" width="12.28515625" bestFit="1" customWidth="1"/>
    <col min="141" max="141" width="14.85546875" bestFit="1" customWidth="1"/>
    <col min="142" max="142" width="12.28515625" bestFit="1" customWidth="1"/>
    <col min="144" max="144" width="55" bestFit="1" customWidth="1"/>
    <col min="145" max="145" width="12.28515625" bestFit="1" customWidth="1"/>
    <col min="146" max="146" width="14.85546875" bestFit="1" customWidth="1"/>
    <col min="151" max="151" width="57" bestFit="1" customWidth="1"/>
    <col min="152" max="152" width="11.5703125" bestFit="1" customWidth="1"/>
    <col min="153" max="153" width="9.5703125" bestFit="1" customWidth="1"/>
    <col min="154" max="154" width="11.5703125" bestFit="1" customWidth="1"/>
    <col min="155" max="155" width="16.140625" bestFit="1" customWidth="1"/>
    <col min="156" max="156" width="14.140625" bestFit="1" customWidth="1"/>
    <col min="157" max="157" width="12.140625" customWidth="1"/>
    <col min="159" max="159" width="11.5703125" bestFit="1" customWidth="1"/>
    <col min="165" max="165" width="55" bestFit="1" customWidth="1"/>
    <col min="166" max="166" width="1.5703125" customWidth="1"/>
    <col min="167" max="167" width="15.42578125" bestFit="1" customWidth="1"/>
    <col min="168" max="168" width="12.85546875" bestFit="1" customWidth="1"/>
    <col min="169" max="169" width="1.5703125" customWidth="1"/>
    <col min="170" max="170" width="16.42578125" customWidth="1"/>
    <col min="171" max="171" width="12.85546875" bestFit="1" customWidth="1"/>
    <col min="174" max="174" width="10.85546875" bestFit="1" customWidth="1"/>
    <col min="176" max="177" width="9.140625" customWidth="1"/>
  </cols>
  <sheetData>
    <row r="1" spans="1:42" x14ac:dyDescent="0.25">
      <c r="A1" t="s">
        <v>4870</v>
      </c>
      <c r="Y1" t="s">
        <v>4871</v>
      </c>
      <c r="Z1" s="24" t="s">
        <v>2</v>
      </c>
      <c r="AA1" t="s">
        <v>4713</v>
      </c>
      <c r="AE1" s="24" t="s">
        <v>2</v>
      </c>
      <c r="AF1" t="s">
        <v>4713</v>
      </c>
      <c r="AK1" t="s">
        <v>6633</v>
      </c>
      <c r="AL1" t="s">
        <v>6634</v>
      </c>
      <c r="AM1" t="s">
        <v>6635</v>
      </c>
      <c r="AN1" t="s">
        <v>4796</v>
      </c>
      <c r="AP1" t="s">
        <v>6636</v>
      </c>
    </row>
    <row r="2" spans="1:42" x14ac:dyDescent="0.25">
      <c r="AE2" s="24" t="s">
        <v>2829</v>
      </c>
      <c r="AF2" t="s">
        <v>4873</v>
      </c>
      <c r="AK2" s="232">
        <f>+AK19+AK22+AK21</f>
        <v>0.17800766856163305</v>
      </c>
      <c r="AL2" s="232">
        <f>+AK7+AK13+AK9+AK15</f>
        <v>0.1081689483198293</v>
      </c>
      <c r="AM2" s="232">
        <f>+AK25+AK16+AG22+AK18+AK27+AG33</f>
        <v>0.2517766341508022</v>
      </c>
      <c r="AN2" s="232">
        <f>+AK4+AK10</f>
        <v>0.28395471178600751</v>
      </c>
      <c r="AO2" s="232"/>
      <c r="AP2" s="232">
        <f>+AK31</f>
        <v>1.8611876194370717E-2</v>
      </c>
    </row>
    <row r="3" spans="1:42" x14ac:dyDescent="0.25">
      <c r="Z3" s="24" t="s">
        <v>2821</v>
      </c>
      <c r="AA3" t="s">
        <v>4863</v>
      </c>
      <c r="AD3" s="50"/>
    </row>
    <row r="4" spans="1:42" x14ac:dyDescent="0.25">
      <c r="Z4" s="25" t="s">
        <v>4638</v>
      </c>
      <c r="AA4" s="7">
        <v>2945.2066682089162</v>
      </c>
      <c r="AB4" t="str">
        <f>Z4</f>
        <v>RFLGOB</v>
      </c>
      <c r="AC4" s="51">
        <f>AA4/$AA$16</f>
        <v>0.24426184619635632</v>
      </c>
      <c r="AD4" s="51">
        <f>SUM(AK4:AK6)</f>
        <v>0.24426184619635632</v>
      </c>
      <c r="AE4" s="24" t="s">
        <v>2821</v>
      </c>
      <c r="AF4" t="s">
        <v>4863</v>
      </c>
      <c r="AH4" t="s">
        <v>4638</v>
      </c>
      <c r="AI4" t="s">
        <v>4833</v>
      </c>
      <c r="AJ4">
        <f>GETPIVOTDATA("Inv MM$",$AE$4,"Rank_rt","RFLGOB","Plus_1","SOV")</f>
        <v>2945.2066682089162</v>
      </c>
      <c r="AK4" s="75">
        <f>IFERROR(AJ4/$AA$16,0)</f>
        <v>0.24426184619635632</v>
      </c>
      <c r="AM4" s="9">
        <f>SUM(AK4:AK6)</f>
        <v>0.24426184619635632</v>
      </c>
    </row>
    <row r="5" spans="1:42" x14ac:dyDescent="0.25">
      <c r="Z5" s="25" t="s">
        <v>4637</v>
      </c>
      <c r="AA5" s="7">
        <v>948.2041162719795</v>
      </c>
      <c r="AB5" t="str">
        <f t="shared" ref="AB5:AB12" si="0">Z5</f>
        <v>RFLBU</v>
      </c>
      <c r="AC5" s="51">
        <f t="shared" ref="AC5:AC12" si="1">AA5/$AA$16</f>
        <v>7.8639672560713192E-2</v>
      </c>
      <c r="AD5" s="51">
        <f>AK7+AK9</f>
        <v>7.8639672560713178E-2</v>
      </c>
      <c r="AE5" s="25" t="s">
        <v>4638</v>
      </c>
      <c r="AF5" s="7">
        <v>2945.2066682089162</v>
      </c>
      <c r="AI5" t="s">
        <v>4354</v>
      </c>
      <c r="AJ5">
        <v>0</v>
      </c>
      <c r="AK5" s="75">
        <f t="shared" ref="AK5:AK31" si="2">IFERROR(AJ5/$AA$16,0)</f>
        <v>0</v>
      </c>
      <c r="AL5" s="9" t="s">
        <v>6638</v>
      </c>
      <c r="AM5" s="9">
        <f>SUM(AK7:AK9)</f>
        <v>7.8639672560713178E-2</v>
      </c>
    </row>
    <row r="6" spans="1:42" x14ac:dyDescent="0.25">
      <c r="Z6" s="25" t="s">
        <v>4636</v>
      </c>
      <c r="AA6" s="7">
        <v>339.84324223143705</v>
      </c>
      <c r="AB6" t="str">
        <f t="shared" si="0"/>
        <v>RFIGOB</v>
      </c>
      <c r="AC6" s="51">
        <f t="shared" si="1"/>
        <v>2.8185029818395765E-2</v>
      </c>
      <c r="AD6" s="51">
        <f>AK10+AK12</f>
        <v>3.9692865589651176E-2</v>
      </c>
      <c r="AE6" s="36" t="s">
        <v>4828</v>
      </c>
      <c r="AF6" s="7">
        <v>2945.2066682089162</v>
      </c>
      <c r="AH6" s="109"/>
      <c r="AI6" s="109" t="s">
        <v>1060</v>
      </c>
      <c r="AJ6" s="109">
        <v>0</v>
      </c>
      <c r="AK6" s="75">
        <f t="shared" si="2"/>
        <v>0</v>
      </c>
      <c r="AL6" s="232">
        <f>+AK30</f>
        <v>0.15948016098735712</v>
      </c>
      <c r="AM6" s="9">
        <f>SUM(AK10:AK12)</f>
        <v>3.9692865589651176E-2</v>
      </c>
    </row>
    <row r="7" spans="1:42" x14ac:dyDescent="0.25">
      <c r="Z7" s="25" t="s">
        <v>4635</v>
      </c>
      <c r="AA7" s="7">
        <v>356.05159474319106</v>
      </c>
      <c r="AB7" t="str">
        <f t="shared" si="0"/>
        <v>RFIBU</v>
      </c>
      <c r="AC7" s="51">
        <f t="shared" si="1"/>
        <v>2.9529275759116128E-2</v>
      </c>
      <c r="AD7" s="50">
        <f>AK13</f>
        <v>2.7912581313712062E-2</v>
      </c>
      <c r="AE7" s="25" t="s">
        <v>4637</v>
      </c>
      <c r="AF7" s="7">
        <v>948.20411627197927</v>
      </c>
      <c r="AH7" t="s">
        <v>4637</v>
      </c>
      <c r="AI7" t="s">
        <v>4833</v>
      </c>
      <c r="AJ7">
        <f>GETPIVOTDATA("Inv MM$",$AE$4,"Rank_rt","RFLBU","Plus_1","Portafolio")</f>
        <v>528.98346509136411</v>
      </c>
      <c r="AK7" s="75">
        <f t="shared" si="2"/>
        <v>4.3871446844557044E-2</v>
      </c>
      <c r="AM7" s="9">
        <f>SUM(AK13:AK15)</f>
        <v>2.9529275759116132E-2</v>
      </c>
    </row>
    <row r="8" spans="1:42" x14ac:dyDescent="0.25">
      <c r="Z8" s="25" t="s">
        <v>4634</v>
      </c>
      <c r="AA8" s="7">
        <v>834.56713836298195</v>
      </c>
      <c r="AB8" t="str">
        <f t="shared" si="0"/>
        <v>RFITD</v>
      </c>
      <c r="AC8" s="51">
        <f t="shared" si="1"/>
        <v>6.9215146153163529E-2</v>
      </c>
      <c r="AD8" s="50"/>
      <c r="AE8" s="36" t="s">
        <v>4795</v>
      </c>
      <c r="AF8" s="7">
        <v>528.98346509136411</v>
      </c>
      <c r="AI8" t="s">
        <v>4354</v>
      </c>
      <c r="AJ8" t="e">
        <f>GETPIVOTDATA("Inv MM$",$AE$4,"Rank_rt","RFLBU","Plus_1","Cuestionario Integra")</f>
        <v>#REF!</v>
      </c>
      <c r="AK8" s="75">
        <f t="shared" si="2"/>
        <v>0</v>
      </c>
      <c r="AL8" s="9">
        <f>+AL6+SUM(AK2:AP2)</f>
        <v>1</v>
      </c>
      <c r="AM8" s="9">
        <f>SUM(AK16:AK18)</f>
        <v>5.7707310381908114E-2</v>
      </c>
    </row>
    <row r="9" spans="1:42" x14ac:dyDescent="0.25">
      <c r="Z9" s="25" t="s">
        <v>4633</v>
      </c>
      <c r="AA9" s="7">
        <v>2153.5766436253275</v>
      </c>
      <c r="AB9" t="str">
        <f t="shared" si="0"/>
        <v>RVLBU</v>
      </c>
      <c r="AC9" s="51">
        <f t="shared" si="1"/>
        <v>0.17860770606538673</v>
      </c>
      <c r="AD9" s="50"/>
      <c r="AE9" s="36" t="s">
        <v>4357</v>
      </c>
      <c r="AF9" s="7">
        <v>419.22065118061511</v>
      </c>
      <c r="AH9" s="109"/>
      <c r="AI9" s="109" t="s">
        <v>1060</v>
      </c>
      <c r="AJ9" s="109">
        <f>GETPIVOTDATA("Inv MM$",$AE$4,"Rank_rt","RFLBU","Plus_1","BU")</f>
        <v>419.22065118061511</v>
      </c>
      <c r="AK9" s="75">
        <f t="shared" si="2"/>
        <v>3.4768225716156134E-2</v>
      </c>
      <c r="AL9" t="b">
        <f>+AL8=1</f>
        <v>1</v>
      </c>
      <c r="AM9" s="9">
        <f t="shared" ref="AM9:AM13" si="3">SUM(AK9:AK11)</f>
        <v>7.4461091305807303E-2</v>
      </c>
    </row>
    <row r="10" spans="1:42" x14ac:dyDescent="0.25">
      <c r="Z10" s="25" t="s">
        <v>4632</v>
      </c>
      <c r="AA10" s="7">
        <v>2288.4710276714272</v>
      </c>
      <c r="AB10" t="str">
        <f t="shared" si="0"/>
        <v>RVITD</v>
      </c>
      <c r="AC10" s="51">
        <f t="shared" si="1"/>
        <v>0.18979522361527004</v>
      </c>
      <c r="AD10" s="50"/>
      <c r="AE10" s="25" t="s">
        <v>4636</v>
      </c>
      <c r="AF10" s="7">
        <v>339.8432422314371</v>
      </c>
      <c r="AH10" t="s">
        <v>4636</v>
      </c>
      <c r="AI10" t="s">
        <v>4833</v>
      </c>
      <c r="AJ10">
        <f>GETPIVOTDATA("Inv MM$",$AE$4,"Rank_rt","RFIGOB","Plus_1","SOV")+GETPIVOTDATA("Inv MM$",$AE$4,"Rank_rt","RFIGOB","Plus_1","Portafolio")+GETPIVOTDATA("Inv MM$",$AE$4,"Rank_rt","RFITD","Plus_1","SOV")+GETPIVOTDATA("Inv MM$",$AE$4,"Rank_rt","RFITD","Plus_1","Soberanos")</f>
        <v>478.59988874801491</v>
      </c>
      <c r="AK10" s="75">
        <f t="shared" si="2"/>
        <v>3.9692865589651176E-2</v>
      </c>
      <c r="AL10" s="9">
        <f>100%-AL8</f>
        <v>0</v>
      </c>
      <c r="AM10" s="9">
        <f t="shared" si="3"/>
        <v>3.9692865589651176E-2</v>
      </c>
    </row>
    <row r="11" spans="1:42" x14ac:dyDescent="0.25">
      <c r="Z11" s="25" t="s">
        <v>4353</v>
      </c>
      <c r="AA11" s="7">
        <v>1922.9447451625877</v>
      </c>
      <c r="AB11" t="str">
        <f t="shared" si="0"/>
        <v>ALT</v>
      </c>
      <c r="AC11" s="51">
        <f t="shared" si="1"/>
        <v>0.15948016098735712</v>
      </c>
      <c r="AD11" s="50"/>
      <c r="AE11" s="36" t="s">
        <v>4795</v>
      </c>
      <c r="AF11" s="7">
        <v>32.602175910125979</v>
      </c>
      <c r="AI11" t="s">
        <v>4354</v>
      </c>
      <c r="AJ11">
        <v>0</v>
      </c>
      <c r="AK11" s="75">
        <f t="shared" si="2"/>
        <v>0</v>
      </c>
      <c r="AL11" s="7"/>
      <c r="AM11" s="9">
        <f t="shared" si="3"/>
        <v>2.7912581313712062E-2</v>
      </c>
    </row>
    <row r="12" spans="1:42" x14ac:dyDescent="0.25">
      <c r="Z12" s="25" t="s">
        <v>4360</v>
      </c>
      <c r="AA12" s="7">
        <v>224.41519854504361</v>
      </c>
      <c r="AB12" t="str">
        <f t="shared" si="0"/>
        <v>Cash</v>
      </c>
      <c r="AC12" s="51">
        <f t="shared" si="1"/>
        <v>1.8611960682701358E-2</v>
      </c>
      <c r="AD12" s="50"/>
      <c r="AE12" s="36" t="s">
        <v>4828</v>
      </c>
      <c r="AF12" s="7">
        <v>307.24106632131111</v>
      </c>
      <c r="AH12" s="109"/>
      <c r="AI12" s="109" t="s">
        <v>1060</v>
      </c>
      <c r="AJ12" s="109">
        <v>0</v>
      </c>
      <c r="AK12" s="75">
        <f t="shared" si="2"/>
        <v>0</v>
      </c>
      <c r="AM12" s="9">
        <f>SUM(AK12:AK14)</f>
        <v>2.7912581313712062E-2</v>
      </c>
    </row>
    <row r="13" spans="1:42" x14ac:dyDescent="0.25">
      <c r="Z13" s="25" t="s">
        <v>6637</v>
      </c>
      <c r="AA13" s="7">
        <v>44.300303073599984</v>
      </c>
      <c r="AB13" t="str">
        <f>Z13</f>
        <v>=IF(E802="ALT";LEFT(E802;3);LEFT(E802;3)&amp;F802)</v>
      </c>
      <c r="AC13" s="51">
        <f>(AA13+'Cálculo Caja'!D18/1000000)/$AA$16</f>
        <v>3.6739781615397664E-3</v>
      </c>
      <c r="AD13" s="50"/>
      <c r="AE13" s="25" t="s">
        <v>4635</v>
      </c>
      <c r="AF13" s="7">
        <v>356.05159474319106</v>
      </c>
      <c r="AH13" t="s">
        <v>4635</v>
      </c>
      <c r="AI13" t="s">
        <v>4833</v>
      </c>
      <c r="AJ13">
        <f>GETPIVOTDATA("Inv MM$",$AE$4,"Rank_rt","RFIBU","Plus_1","Portafolio")</f>
        <v>336.55817268319106</v>
      </c>
      <c r="AK13" s="75">
        <f t="shared" si="2"/>
        <v>2.7912581313712062E-2</v>
      </c>
      <c r="AM13" s="9">
        <f t="shared" si="3"/>
        <v>2.9529275759116132E-2</v>
      </c>
    </row>
    <row r="14" spans="1:42" x14ac:dyDescent="0.25">
      <c r="Z14" s="25" t="s">
        <v>4872</v>
      </c>
      <c r="AA14" s="7">
        <v>12057.580677896492</v>
      </c>
      <c r="AB14" t="str">
        <f>Z14</f>
        <v>Grand Total</v>
      </c>
      <c r="AC14" s="51">
        <f>SUM(AC4:AC13)</f>
        <v>1</v>
      </c>
      <c r="AD14" s="50"/>
      <c r="AE14" s="36" t="s">
        <v>4795</v>
      </c>
      <c r="AF14" s="7">
        <v>336.55817268319106</v>
      </c>
      <c r="AI14" t="s">
        <v>4354</v>
      </c>
      <c r="AJ14" t="e">
        <f>GETPIVOTDATA("Inv MM$",$AE$3,"Rank_rt","RFIBU","Plus_1","Cuestionario Integra")</f>
        <v>#REF!</v>
      </c>
      <c r="AK14" s="75">
        <f t="shared" si="2"/>
        <v>0</v>
      </c>
    </row>
    <row r="15" spans="1:42" x14ac:dyDescent="0.25">
      <c r="AC15" s="18"/>
      <c r="AD15" s="50"/>
      <c r="AE15" s="36" t="s">
        <v>4357</v>
      </c>
      <c r="AF15" s="7">
        <v>19.49342206</v>
      </c>
      <c r="AH15" s="109"/>
      <c r="AI15" s="109" t="s">
        <v>1060</v>
      </c>
      <c r="AJ15" s="109">
        <f>+GETPIVOTDATA("Inv MM$",$AE$4,"Rank_rt","RFIBU","Plus_1","BU")</f>
        <v>19.49342206</v>
      </c>
      <c r="AK15" s="75">
        <f t="shared" si="2"/>
        <v>1.616694445404069E-3</v>
      </c>
    </row>
    <row r="16" spans="1:42" x14ac:dyDescent="0.25">
      <c r="AA16" s="7">
        <f>GETPIVOTDATA("Inv MM$",$Z$3)+'Cálculo Caja'!D18/1000000</f>
        <v>12057.579659171715</v>
      </c>
      <c r="AC16" s="18"/>
      <c r="AD16" s="50"/>
      <c r="AE16" s="25" t="s">
        <v>4634</v>
      </c>
      <c r="AF16" s="7">
        <v>834.56713836298195</v>
      </c>
      <c r="AH16" t="s">
        <v>4634</v>
      </c>
      <c r="AI16" t="s">
        <v>4833</v>
      </c>
      <c r="AJ16">
        <f>GETPIVOTDATA("Inv MM$",$AE$4,"Rank_rt","RFITD","Plus_1","Otros ETFs")</f>
        <v>582.40973064399179</v>
      </c>
      <c r="AK16" s="75">
        <f t="shared" si="2"/>
        <v>4.8302374697643084E-2</v>
      </c>
    </row>
    <row r="17" spans="29:38" x14ac:dyDescent="0.25">
      <c r="AC17" s="18"/>
      <c r="AD17" s="50"/>
      <c r="AE17" s="36" t="s">
        <v>4831</v>
      </c>
      <c r="AF17" s="7">
        <v>582.40973064399179</v>
      </c>
      <c r="AI17" t="s">
        <v>4354</v>
      </c>
      <c r="AJ17">
        <v>0</v>
      </c>
      <c r="AK17" s="75">
        <f t="shared" si="2"/>
        <v>0</v>
      </c>
    </row>
    <row r="18" spans="29:38" x14ac:dyDescent="0.25">
      <c r="AC18" s="18"/>
      <c r="AD18" s="50"/>
      <c r="AE18" s="36" t="s">
        <v>4796</v>
      </c>
      <c r="AF18" s="7">
        <v>98.248548999999997</v>
      </c>
      <c r="AH18" s="109"/>
      <c r="AI18" s="109" t="s">
        <v>1060</v>
      </c>
      <c r="AJ18" s="109">
        <f>GETPIVOTDATA("Inv MM$",$AE$4,"Rank_rt","RFITD","Plus_1","TD")</f>
        <v>113.40076120241226</v>
      </c>
      <c r="AK18" s="75">
        <f t="shared" si="2"/>
        <v>9.4049356842650315E-3</v>
      </c>
    </row>
    <row r="19" spans="29:38" x14ac:dyDescent="0.25">
      <c r="AC19" s="18"/>
      <c r="AD19" s="50"/>
      <c r="AE19" s="36" t="s">
        <v>4828</v>
      </c>
      <c r="AF19" s="7">
        <v>40.508097516577848</v>
      </c>
      <c r="AH19" t="s">
        <v>4633</v>
      </c>
      <c r="AI19" t="s">
        <v>4833</v>
      </c>
      <c r="AJ19">
        <f>+GETPIVOTDATA("Inv MM$",$AE$4,"Rank_rt","RVLBU","Plus_1","Portafolio")</f>
        <v>1891.2796020402955</v>
      </c>
      <c r="AK19" s="75">
        <f t="shared" si="2"/>
        <v>0.15685400018084683</v>
      </c>
    </row>
    <row r="20" spans="29:38" x14ac:dyDescent="0.25">
      <c r="AC20" s="18"/>
      <c r="AD20" s="50"/>
      <c r="AE20" s="36" t="s">
        <v>4355</v>
      </c>
      <c r="AF20" s="7">
        <v>113.40076120241226</v>
      </c>
      <c r="AI20" t="s">
        <v>4354</v>
      </c>
      <c r="AJ20" t="e">
        <f>GETPIVOTDATA("Inv MM$",$AE$4,"Rank_rt","RVLBU","Plus_1","Cuestionario Integra")</f>
        <v>#REF!</v>
      </c>
      <c r="AK20" s="75">
        <f t="shared" si="2"/>
        <v>0</v>
      </c>
    </row>
    <row r="21" spans="29:38" x14ac:dyDescent="0.25">
      <c r="AC21" s="18"/>
      <c r="AD21" s="50"/>
      <c r="AE21" s="25" t="s">
        <v>4633</v>
      </c>
      <c r="AF21" s="7">
        <v>2153.5766436253271</v>
      </c>
      <c r="AH21" s="109"/>
      <c r="AI21" s="109" t="s">
        <v>1060</v>
      </c>
      <c r="AJ21" s="109">
        <f>GETPIVOTDATA("Inv MM$",$AE$4,"Rank_rt","RVLBU","Plus_1","BU")</f>
        <v>255.06204158503169</v>
      </c>
      <c r="AK21" s="75">
        <f t="shared" si="2"/>
        <v>2.1153668380786212E-2</v>
      </c>
      <c r="AL21" s="9">
        <f>+AK21</f>
        <v>2.1153668380786212E-2</v>
      </c>
    </row>
    <row r="22" spans="29:38" x14ac:dyDescent="0.25">
      <c r="AC22" s="18"/>
      <c r="AD22" s="50"/>
      <c r="AE22" s="36" t="s">
        <v>4831</v>
      </c>
      <c r="AF22" s="7">
        <v>7.2349999999999994</v>
      </c>
      <c r="AG22">
        <f>IFERROR(AF22/$AA$16,0)</f>
        <v>6.0003750375363482E-4</v>
      </c>
      <c r="AH22" t="s">
        <v>4639</v>
      </c>
      <c r="AI22" t="s">
        <v>4833</v>
      </c>
      <c r="AJ22">
        <v>0</v>
      </c>
      <c r="AK22" s="75">
        <f t="shared" si="2"/>
        <v>0</v>
      </c>
    </row>
    <row r="23" spans="29:38" x14ac:dyDescent="0.25">
      <c r="AC23" s="18"/>
      <c r="AD23" s="50"/>
      <c r="AE23" s="36" t="s">
        <v>4795</v>
      </c>
      <c r="AF23" s="7">
        <v>1891.2796020402955</v>
      </c>
      <c r="AI23" t="s">
        <v>4354</v>
      </c>
      <c r="AJ23">
        <v>0</v>
      </c>
      <c r="AK23" s="75">
        <f t="shared" si="2"/>
        <v>0</v>
      </c>
    </row>
    <row r="24" spans="29:38" x14ac:dyDescent="0.25">
      <c r="AC24" s="18"/>
      <c r="AD24" s="50"/>
      <c r="AE24" s="36" t="s">
        <v>4357</v>
      </c>
      <c r="AF24" s="7">
        <v>255.06204158503169</v>
      </c>
      <c r="AH24" s="109"/>
      <c r="AI24" s="109" t="s">
        <v>1060</v>
      </c>
      <c r="AJ24" s="109" t="e">
        <f>GETPIVOTDATA("Inv MM$",$AE$4,"Rank_rt","RVIBU","Plus_1","BU")</f>
        <v>#REF!</v>
      </c>
      <c r="AK24" s="75">
        <f t="shared" si="2"/>
        <v>0</v>
      </c>
    </row>
    <row r="25" spans="29:38" x14ac:dyDescent="0.25">
      <c r="AC25" s="18"/>
      <c r="AD25" s="50"/>
      <c r="AE25" s="25" t="s">
        <v>4632</v>
      </c>
      <c r="AF25" s="7">
        <v>2288.4710276714272</v>
      </c>
      <c r="AH25" t="s">
        <v>4632</v>
      </c>
      <c r="AI25" t="s">
        <v>4833</v>
      </c>
      <c r="AJ25">
        <f>GETPIVOTDATA("Inv MM$",$AE$3,"Rank_rt","RVITD","Plus_1","Otros ETFs")</f>
        <v>2288.4693650638201</v>
      </c>
      <c r="AK25" s="75">
        <f t="shared" si="2"/>
        <v>0.18979508572626957</v>
      </c>
    </row>
    <row r="26" spans="29:38" x14ac:dyDescent="0.25">
      <c r="AC26" s="18"/>
      <c r="AD26" s="50"/>
      <c r="AE26" s="36" t="s">
        <v>4831</v>
      </c>
      <c r="AF26" s="7">
        <v>2288.4693650638201</v>
      </c>
      <c r="AG26">
        <f t="shared" ref="AG26" si="4">IFERROR(AF26/$AA$16,0)</f>
        <v>0.18979508572626957</v>
      </c>
      <c r="AI26" t="s">
        <v>4354</v>
      </c>
      <c r="AJ26">
        <v>0</v>
      </c>
      <c r="AK26" s="75">
        <f t="shared" si="2"/>
        <v>0</v>
      </c>
    </row>
    <row r="27" spans="29:38" x14ac:dyDescent="0.25">
      <c r="AC27" s="18"/>
      <c r="AD27" s="50"/>
      <c r="AE27" s="36" t="s">
        <v>4355</v>
      </c>
      <c r="AF27" s="7">
        <v>1.6626076071290428E-3</v>
      </c>
      <c r="AH27" s="109"/>
      <c r="AI27" s="109" t="s">
        <v>1060</v>
      </c>
      <c r="AJ27" s="109">
        <f>+GETPIVOTDATA("Inv MM$",$AE$4,"Rank_rt","RVITD","Plus_1","TD")</f>
        <v>1.6626076071290428E-3</v>
      </c>
      <c r="AK27" s="75">
        <f t="shared" si="2"/>
        <v>1.3788900045660192E-7</v>
      </c>
    </row>
    <row r="28" spans="29:38" x14ac:dyDescent="0.25">
      <c r="AC28" s="18"/>
      <c r="AD28" s="50"/>
      <c r="AE28" s="25" t="s">
        <v>4353</v>
      </c>
      <c r="AF28" s="7">
        <v>1922.9447451625877</v>
      </c>
      <c r="AH28" t="s">
        <v>4353</v>
      </c>
      <c r="AI28" t="s">
        <v>4833</v>
      </c>
      <c r="AK28" s="75">
        <f t="shared" si="2"/>
        <v>0</v>
      </c>
    </row>
    <row r="29" spans="29:38" x14ac:dyDescent="0.25">
      <c r="AC29" s="18"/>
      <c r="AD29" s="50"/>
      <c r="AE29" s="36" t="s">
        <v>5550</v>
      </c>
      <c r="AF29" s="7">
        <v>1922.9447451625877</v>
      </c>
      <c r="AI29" t="s">
        <v>4354</v>
      </c>
      <c r="AK29" s="75">
        <f t="shared" si="2"/>
        <v>0</v>
      </c>
    </row>
    <row r="30" spans="29:38" x14ac:dyDescent="0.25">
      <c r="AC30" s="18"/>
      <c r="AD30" s="50"/>
      <c r="AE30" s="25" t="s">
        <v>4360</v>
      </c>
      <c r="AF30" s="7">
        <v>224.41519854504361</v>
      </c>
      <c r="AH30" s="109"/>
      <c r="AI30" s="109" t="s">
        <v>1060</v>
      </c>
      <c r="AJ30" s="109">
        <f>GETPIVOTDATA("Inv MM$",$AE$3,"Rank_rt","ALT")</f>
        <v>1922.9447451625877</v>
      </c>
      <c r="AK30" s="75">
        <f t="shared" si="2"/>
        <v>0.15948016098735712</v>
      </c>
    </row>
    <row r="31" spans="29:38" x14ac:dyDescent="0.25">
      <c r="AC31" s="18"/>
      <c r="AD31" s="50"/>
      <c r="AE31" s="36" t="s">
        <v>4827</v>
      </c>
      <c r="AF31" s="7">
        <v>224.41519854504361</v>
      </c>
      <c r="AH31" t="s">
        <v>4360</v>
      </c>
      <c r="AI31" t="s">
        <v>4360</v>
      </c>
      <c r="AJ31" s="7">
        <f>GETPIVOTDATA("Inv MM$",$AE$3,"Rank_rt","Cash","Plus_1","Cuestionario Integra")+'Cálculo Caja'!D18/1000000</f>
        <v>224.41417982026661</v>
      </c>
      <c r="AK31" s="75">
        <f t="shared" si="2"/>
        <v>1.8611876194370717E-2</v>
      </c>
    </row>
    <row r="32" spans="29:38" x14ac:dyDescent="0.25">
      <c r="AC32" s="18"/>
      <c r="AD32" s="50"/>
      <c r="AE32" s="25" t="s">
        <v>6637</v>
      </c>
      <c r="AF32" s="7">
        <v>44.300303073599984</v>
      </c>
    </row>
    <row r="33" spans="29:154" x14ac:dyDescent="0.25">
      <c r="AC33" s="18"/>
      <c r="AD33" s="50"/>
      <c r="AE33" s="36" t="s">
        <v>4355</v>
      </c>
      <c r="AF33" s="7">
        <v>44.300303073599984</v>
      </c>
      <c r="AG33">
        <f>IFERROR(AF33/$AA$16,0)</f>
        <v>3.6740626498704097E-3</v>
      </c>
      <c r="AK33" s="9">
        <f>+SUM(AK4:AK31)</f>
        <v>0.99572589984637583</v>
      </c>
    </row>
    <row r="34" spans="29:154" x14ac:dyDescent="0.25">
      <c r="AC34" s="18"/>
      <c r="AD34" s="50"/>
      <c r="AE34" s="25" t="s">
        <v>4872</v>
      </c>
      <c r="AF34" s="7">
        <v>12057.580677896489</v>
      </c>
    </row>
    <row r="35" spans="29:154" x14ac:dyDescent="0.25">
      <c r="AC35" s="18"/>
      <c r="AD35" s="50"/>
    </row>
    <row r="36" spans="29:154" x14ac:dyDescent="0.25">
      <c r="AC36" s="18"/>
      <c r="AD36" s="50"/>
    </row>
    <row r="37" spans="29:154" x14ac:dyDescent="0.25">
      <c r="AC37" s="18"/>
      <c r="AD37" s="50"/>
    </row>
    <row r="38" spans="29:154" x14ac:dyDescent="0.25">
      <c r="AC38" s="18"/>
      <c r="AD38" s="50"/>
    </row>
    <row r="39" spans="29:154" x14ac:dyDescent="0.25">
      <c r="AC39" s="18"/>
      <c r="AD39" s="50"/>
      <c r="AE39" s="25"/>
    </row>
    <row r="40" spans="29:154" x14ac:dyDescent="0.25">
      <c r="AC40" s="18"/>
      <c r="AD40" s="50"/>
      <c r="AE40" s="25"/>
    </row>
    <row r="41" spans="29:154" x14ac:dyDescent="0.25">
      <c r="AC41" s="18"/>
      <c r="AD41" s="50"/>
      <c r="AE41" s="25"/>
    </row>
    <row r="42" spans="29:154" x14ac:dyDescent="0.25">
      <c r="AC42" s="18"/>
      <c r="AD42" s="50"/>
      <c r="AE42" s="25"/>
    </row>
    <row r="43" spans="29:154" x14ac:dyDescent="0.25">
      <c r="AC43" s="18"/>
      <c r="AD43" s="50"/>
      <c r="AE43" s="25"/>
    </row>
    <row r="44" spans="29:154" x14ac:dyDescent="0.25">
      <c r="AC44" s="18"/>
      <c r="AD44" s="50"/>
    </row>
    <row r="45" spans="29:154" s="49" customFormat="1" x14ac:dyDescent="0.25">
      <c r="AC45" s="73"/>
      <c r="AD45" s="74"/>
      <c r="AE45"/>
      <c r="AF45"/>
      <c r="ED45"/>
      <c r="EE45"/>
    </row>
    <row r="46" spans="29:154" x14ac:dyDescent="0.25">
      <c r="AC46" s="18"/>
      <c r="AD46" s="50"/>
      <c r="AO46" s="76"/>
      <c r="AQ46" s="24" t="s">
        <v>2</v>
      </c>
      <c r="AR46" t="s">
        <v>4713</v>
      </c>
      <c r="BE46" s="76"/>
      <c r="BH46" s="79"/>
      <c r="DZ46" s="76"/>
      <c r="ED46" s="24" t="s">
        <v>2</v>
      </c>
      <c r="EE46" t="s">
        <v>4713</v>
      </c>
      <c r="ES46" t="s">
        <v>4880</v>
      </c>
      <c r="EU46">
        <v>274.3982815</v>
      </c>
      <c r="EW46" t="s">
        <v>1131</v>
      </c>
      <c r="EX46">
        <v>204.30314809999999</v>
      </c>
    </row>
    <row r="47" spans="29:154" x14ac:dyDescent="0.25">
      <c r="AC47" s="18"/>
      <c r="AD47" s="50"/>
      <c r="AO47" s="76"/>
      <c r="AQ47" s="24" t="s">
        <v>2829</v>
      </c>
      <c r="AR47" t="s">
        <v>4713</v>
      </c>
      <c r="AW47" t="s">
        <v>2829</v>
      </c>
      <c r="AX47" t="s">
        <v>2830</v>
      </c>
      <c r="BE47" s="76"/>
      <c r="BH47" s="129" t="s">
        <v>5657</v>
      </c>
      <c r="DZ47" s="76"/>
      <c r="ED47" s="24" t="s">
        <v>4826</v>
      </c>
      <c r="EE47" t="s">
        <v>4713</v>
      </c>
      <c r="ES47" t="s">
        <v>1431</v>
      </c>
      <c r="EU47">
        <v>172.5413326</v>
      </c>
    </row>
    <row r="48" spans="29:154" x14ac:dyDescent="0.25">
      <c r="AD48" s="50"/>
      <c r="AO48" s="76"/>
      <c r="AQ48" s="24" t="s">
        <v>4826</v>
      </c>
      <c r="AR48" t="s">
        <v>4873</v>
      </c>
      <c r="AV48" s="83" t="s">
        <v>4884</v>
      </c>
      <c r="AW48" s="84">
        <f>+SUM(AW53:AW222)</f>
        <v>694562.85554120131</v>
      </c>
      <c r="AX48" s="84">
        <f>+SUM(AX53:AX222)</f>
        <v>64.389293128833003</v>
      </c>
      <c r="BE48" s="76"/>
      <c r="BH48" s="79"/>
      <c r="DZ48" s="76"/>
      <c r="ED48" s="24" t="s">
        <v>2828</v>
      </c>
      <c r="EE48" t="s">
        <v>4713</v>
      </c>
      <c r="ES48" t="s">
        <v>1459</v>
      </c>
      <c r="EU48">
        <v>170.4198394</v>
      </c>
    </row>
    <row r="49" spans="30:174" x14ac:dyDescent="0.25">
      <c r="AD49" s="108" t="s">
        <v>5654</v>
      </c>
      <c r="AO49" s="76"/>
      <c r="AQ49" s="24" t="s">
        <v>4359</v>
      </c>
      <c r="AR49" t="s">
        <v>4713</v>
      </c>
      <c r="AT49" t="s">
        <v>5656</v>
      </c>
      <c r="BE49" s="76"/>
      <c r="CR49" t="s">
        <v>5662</v>
      </c>
      <c r="DZ49" s="76"/>
      <c r="EM49" s="105"/>
      <c r="EU49" s="259" t="s">
        <v>5137</v>
      </c>
      <c r="EV49" s="259"/>
      <c r="EW49" s="259"/>
      <c r="EX49" s="259"/>
      <c r="EY49" s="259"/>
      <c r="EZ49" s="259"/>
      <c r="FA49" s="259"/>
      <c r="FB49" s="259"/>
      <c r="FC49" s="259"/>
      <c r="FD49" s="259"/>
    </row>
    <row r="50" spans="30:174" x14ac:dyDescent="0.25">
      <c r="AD50" s="50" t="s">
        <v>5765</v>
      </c>
      <c r="AO50" s="76"/>
      <c r="AQ50" s="24" t="s">
        <v>4830</v>
      </c>
      <c r="AR50" t="s">
        <v>4713</v>
      </c>
      <c r="AT50" t="s">
        <v>5549</v>
      </c>
      <c r="BE50" s="76"/>
      <c r="DZ50" s="76"/>
      <c r="ED50" s="24" t="s">
        <v>2821</v>
      </c>
      <c r="EE50" t="s">
        <v>4874</v>
      </c>
      <c r="EF50" t="s">
        <v>4863</v>
      </c>
      <c r="EG50" t="s">
        <v>5147</v>
      </c>
      <c r="EI50" s="268">
        <v>45809</v>
      </c>
      <c r="EJ50" s="268"/>
      <c r="EN50" s="270">
        <v>45992</v>
      </c>
      <c r="EO50" s="271"/>
      <c r="EU50" t="s">
        <v>5138</v>
      </c>
      <c r="EV50" t="s">
        <v>5141</v>
      </c>
      <c r="EW50" t="s">
        <v>5140</v>
      </c>
      <c r="EX50" t="s">
        <v>5139</v>
      </c>
      <c r="EY50" t="s">
        <v>5142</v>
      </c>
      <c r="EZ50" t="s">
        <v>5143</v>
      </c>
      <c r="FA50" t="s">
        <v>4886</v>
      </c>
      <c r="FB50" t="s">
        <v>5144</v>
      </c>
      <c r="FC50" t="s">
        <v>5148</v>
      </c>
      <c r="FR50" s="10"/>
    </row>
    <row r="51" spans="30:174" ht="52.5" x14ac:dyDescent="0.7">
      <c r="AD51" s="50"/>
      <c r="AO51" s="76"/>
      <c r="AV51" s="268">
        <v>45992</v>
      </c>
      <c r="AW51" s="268"/>
      <c r="AX51" s="268"/>
      <c r="AZ51" s="91" t="s">
        <v>4890</v>
      </c>
      <c r="BA51" s="91" t="s">
        <v>4886</v>
      </c>
      <c r="BB51" s="91" t="s">
        <v>4891</v>
      </c>
      <c r="BC51" s="91" t="s">
        <v>4892</v>
      </c>
      <c r="BE51" s="76"/>
      <c r="BH51" s="261" t="s">
        <v>4357</v>
      </c>
      <c r="BI51" s="261"/>
      <c r="BJ51" s="261"/>
      <c r="BK51" s="261"/>
      <c r="BL51" s="261"/>
      <c r="BM51" s="261"/>
      <c r="BN51" s="261"/>
      <c r="BO51" s="261"/>
      <c r="BP51" s="261"/>
      <c r="BQ51" s="261"/>
      <c r="BT51" s="261" t="s">
        <v>4355</v>
      </c>
      <c r="BU51" s="261"/>
      <c r="BV51" s="261"/>
      <c r="BW51" s="261"/>
      <c r="BX51" s="261"/>
      <c r="BY51" s="261"/>
      <c r="BZ51" s="261"/>
      <c r="CA51" s="261"/>
      <c r="CB51" s="261"/>
      <c r="CC51" s="261"/>
      <c r="CF51" s="261" t="s">
        <v>5550</v>
      </c>
      <c r="CG51" s="261"/>
      <c r="CH51" s="261"/>
      <c r="CI51" s="261"/>
      <c r="CJ51" s="261"/>
      <c r="CK51" s="261"/>
      <c r="CL51" s="261"/>
      <c r="CM51" s="261"/>
      <c r="CN51" s="261"/>
      <c r="CO51" s="261"/>
      <c r="CP51" s="134"/>
      <c r="CR51" s="261" t="s">
        <v>5658</v>
      </c>
      <c r="CS51" s="261"/>
      <c r="CT51" s="261"/>
      <c r="CU51" s="261"/>
      <c r="CV51" s="261"/>
      <c r="CW51" s="261"/>
      <c r="CX51" s="261"/>
      <c r="CY51" s="261"/>
      <c r="CZ51" s="261"/>
      <c r="DA51" s="261"/>
      <c r="DB51" s="261"/>
      <c r="DC51" s="261"/>
      <c r="DD51" s="261"/>
      <c r="DE51" s="261"/>
      <c r="DF51" s="261"/>
      <c r="DG51" s="261"/>
      <c r="DH51" s="261"/>
      <c r="DI51" s="261"/>
      <c r="DJ51" s="261"/>
      <c r="DK51" s="261"/>
      <c r="DL51" s="261"/>
      <c r="DM51" s="130"/>
      <c r="DN51" s="262" t="s">
        <v>5669</v>
      </c>
      <c r="DO51" s="262"/>
      <c r="DP51" s="262"/>
      <c r="DQ51" s="262"/>
      <c r="DR51" s="149"/>
      <c r="DS51" s="149"/>
      <c r="DT51" s="130"/>
      <c r="DU51" s="130"/>
      <c r="DV51" s="130"/>
      <c r="DZ51" s="76"/>
      <c r="ED51" s="25" t="s">
        <v>4392</v>
      </c>
      <c r="EE51">
        <v>218.17009387505283</v>
      </c>
      <c r="EF51">
        <v>6.9630659999999702</v>
      </c>
      <c r="EG51">
        <v>31.33247536</v>
      </c>
      <c r="EI51" s="32" t="s">
        <v>4392</v>
      </c>
      <c r="EJ51" s="32">
        <v>204.88880876473405</v>
      </c>
      <c r="EK51" s="32">
        <v>7.0647059999999726</v>
      </c>
      <c r="EL51" s="32">
        <v>29.001745970000002</v>
      </c>
      <c r="EN51" s="32" t="s">
        <v>4392</v>
      </c>
      <c r="EO51" s="32">
        <v>218.17009387505283</v>
      </c>
      <c r="EP51" s="32">
        <v>6.9630659999999702</v>
      </c>
      <c r="EQ51" s="32">
        <v>31.33247536</v>
      </c>
      <c r="EU51" t="str">
        <f>EN51</f>
        <v>AC Capitales - Infraestructura</v>
      </c>
      <c r="EV51" s="18">
        <f>_xlfn.IFNA(INDEX($EJ$51:$EJ$251,MATCH($EU51,$EI$51:$EI$251,0),1),0)</f>
        <v>204.88880876473405</v>
      </c>
      <c r="EW51" s="18">
        <f>_xlfn.IFNA(INDEX($EK$51:$EK$251,MATCH($EU51,$EI$51:$EI$251,0),1),0)</f>
        <v>7.0647059999999726</v>
      </c>
      <c r="EX51" s="18">
        <f>_xlfn.IFNA(INDEX($EO$51:$EO$246,MATCH($EU51,$EN$51:$EN$246,0),1),0)</f>
        <v>218.17009387505283</v>
      </c>
      <c r="EY51" s="18">
        <f>_xlfn.IFNA(INDEX($EP$51:$EP$246,MATCH($EU51,$EN$51:$EN$246,0),1),0)</f>
        <v>6.9630659999999702</v>
      </c>
      <c r="EZ51" s="18">
        <f>_xlfn.IFNA(EX51-EV51,"")</f>
        <v>13.281285110318777</v>
      </c>
      <c r="FA51" s="50">
        <f>EX51/EV51-1</f>
        <v>6.4821915801019481E-2</v>
      </c>
      <c r="FB51" s="50">
        <f>_xlfn.IFNA(EY51/EW51-1,"")</f>
        <v>-1.4387010584729576E-2</v>
      </c>
      <c r="FC51" s="18">
        <f>-(_xlfn.IFNA(INDEX($EL$51:$EL$251,MATCH($EU51,$EI$51:$EI$251,0),1),0)-_xlfn.IFNA(INDEX($EQ$51:$EQ$246,MATCH($EU51,$EN$51:$EN$246,0),1),0))</f>
        <v>2.3307293899999983</v>
      </c>
      <c r="FR51" s="10"/>
    </row>
    <row r="52" spans="30:174" ht="46.5" x14ac:dyDescent="0.7">
      <c r="AD52" s="265">
        <v>45809</v>
      </c>
      <c r="AE52" s="266"/>
      <c r="AF52" s="266"/>
      <c r="AG52" s="266"/>
      <c r="AH52" s="266"/>
      <c r="AI52" s="266"/>
      <c r="AJ52" s="266"/>
      <c r="AK52" s="266"/>
      <c r="AL52" s="266"/>
      <c r="AO52" s="76"/>
      <c r="AQ52" s="24" t="s">
        <v>2821</v>
      </c>
      <c r="AR52" t="s">
        <v>4874</v>
      </c>
      <c r="AS52" t="s">
        <v>4875</v>
      </c>
      <c r="AV52" s="1" t="s">
        <v>4889</v>
      </c>
      <c r="AW52" s="1" t="s">
        <v>2829</v>
      </c>
      <c r="AX52" s="1" t="s">
        <v>2830</v>
      </c>
      <c r="AY52" s="23">
        <v>1</v>
      </c>
      <c r="AZ52" s="177" t="str">
        <f>_xlfn.XLOOKUP(LARGE($AW$53:$AW$192,AY52),$AW$53:$AW$192,$AV$53:$AV$192)</f>
        <v>Cementos Pacasmayo</v>
      </c>
      <c r="BA52" s="86">
        <f>BB52/$AW$48</f>
        <v>0.27156254638349525</v>
      </c>
      <c r="BB52" s="87">
        <f>LARGE($AW$53:$AW$192,AY52)</f>
        <v>188617.25767416038</v>
      </c>
      <c r="BC52" s="88">
        <f>LARGE($AX$53:$AX$192,AY52)</f>
        <v>17.485720401899187</v>
      </c>
      <c r="BE52" s="76"/>
      <c r="BH52" s="261"/>
      <c r="BI52" s="261"/>
      <c r="BJ52" s="261"/>
      <c r="BK52" s="261"/>
      <c r="BL52" s="261"/>
      <c r="BM52" s="261"/>
      <c r="BN52" s="261"/>
      <c r="BO52" s="261"/>
      <c r="BP52" s="261"/>
      <c r="BQ52" s="261"/>
      <c r="BT52" s="261"/>
      <c r="BU52" s="261"/>
      <c r="BV52" s="261"/>
      <c r="BW52" s="261"/>
      <c r="BX52" s="261"/>
      <c r="BY52" s="261"/>
      <c r="BZ52" s="261"/>
      <c r="CA52" s="261"/>
      <c r="CB52" s="261"/>
      <c r="CC52" s="261"/>
      <c r="CF52" s="261"/>
      <c r="CG52" s="261"/>
      <c r="CH52" s="261"/>
      <c r="CI52" s="261"/>
      <c r="CJ52" s="261"/>
      <c r="CK52" s="261"/>
      <c r="CL52" s="261"/>
      <c r="CM52" s="261"/>
      <c r="CN52" s="261"/>
      <c r="CO52" s="261"/>
      <c r="CP52" s="134"/>
      <c r="CR52" s="261"/>
      <c r="CS52" s="261"/>
      <c r="CT52" s="261"/>
      <c r="CU52" s="261"/>
      <c r="CV52" s="261"/>
      <c r="CW52" s="261"/>
      <c r="CX52" s="261"/>
      <c r="CY52" s="261"/>
      <c r="CZ52" s="261"/>
      <c r="DA52" s="261"/>
      <c r="DB52" s="261"/>
      <c r="DC52" s="261"/>
      <c r="DD52" s="261"/>
      <c r="DE52" s="261"/>
      <c r="DF52" s="261"/>
      <c r="DG52" s="261"/>
      <c r="DH52" s="261"/>
      <c r="DI52" s="261"/>
      <c r="DJ52" s="261"/>
      <c r="DK52" s="261"/>
      <c r="DL52" s="261"/>
      <c r="DM52" s="130"/>
      <c r="DN52" s="96"/>
      <c r="DO52" s="97"/>
      <c r="DP52" s="97">
        <v>45809</v>
      </c>
      <c r="DQ52" s="97">
        <v>45992</v>
      </c>
      <c r="DR52" s="97"/>
      <c r="DS52" s="97"/>
      <c r="DT52" s="97">
        <v>45809</v>
      </c>
      <c r="DU52" s="97">
        <v>45992</v>
      </c>
      <c r="DV52" s="130"/>
      <c r="DZ52" s="76"/>
      <c r="ED52" s="25" t="s">
        <v>4393</v>
      </c>
      <c r="EE52">
        <v>685.68694362444603</v>
      </c>
      <c r="EF52">
        <v>21.884225096999998</v>
      </c>
      <c r="EG52">
        <v>31.33247536</v>
      </c>
      <c r="EI52" s="32" t="s">
        <v>4393</v>
      </c>
      <c r="EJ52" s="32">
        <v>628.84753588873286</v>
      </c>
      <c r="EK52" s="32">
        <v>21.683092339999998</v>
      </c>
      <c r="EL52" s="32">
        <v>29.001745970000002</v>
      </c>
      <c r="EN52" s="32" t="s">
        <v>4393</v>
      </c>
      <c r="EO52" s="32">
        <v>685.68694362444603</v>
      </c>
      <c r="EP52" s="32">
        <v>21.884225096999998</v>
      </c>
      <c r="EQ52" s="32">
        <v>31.33247536</v>
      </c>
      <c r="EU52" t="str">
        <f>EN52</f>
        <v>AC Capitales - Infraestructura II</v>
      </c>
      <c r="EV52" s="18">
        <f>_xlfn.IFNA(INDEX($EJ$51:$EJ$251,MATCH($EU52,$EI$51:$EI$251,0),1),0)</f>
        <v>628.84753588873286</v>
      </c>
      <c r="EW52" s="18">
        <f>_xlfn.IFNA(INDEX($EK$51:$EK$251,MATCH($EU52,$EI$51:$EI$251,0),1),0)</f>
        <v>21.683092339999998</v>
      </c>
      <c r="EX52" s="18">
        <f>_xlfn.IFNA(INDEX($EO$51:$EO$246,MATCH($EU52,$EN$51:$EN$246,0),1),0)</f>
        <v>685.68694362444603</v>
      </c>
      <c r="EY52" s="18">
        <f>_xlfn.IFNA(INDEX($EP$51:$EP$246,MATCH($EU52,$EN$51:$EN$246,0),1),0)</f>
        <v>21.884225096999998</v>
      </c>
      <c r="EZ52" s="18">
        <f>_xlfn.IFNA(EX52-EV52,"")</f>
        <v>56.839407735713166</v>
      </c>
      <c r="FA52" s="50">
        <f>EX52/EV52-1</f>
        <v>9.0386627110470519E-2</v>
      </c>
      <c r="FB52" s="50">
        <f>_xlfn.IFNA(EY52/EW52-1,"")</f>
        <v>9.2760180995474784E-3</v>
      </c>
      <c r="FC52" s="18">
        <f>-(_xlfn.IFNA(INDEX($EL$51:$EL$251,MATCH($EU52,$EI$51:$EI$251,0),1),0)-_xlfn.IFNA(INDEX($EQ$51:$EQ$246,MATCH($EU52,$EN$51:$EN$246,0),1),0))</f>
        <v>2.3307293899999983</v>
      </c>
      <c r="FR52" s="10"/>
    </row>
    <row r="53" spans="30:174" ht="47.25" thickBot="1" x14ac:dyDescent="0.75">
      <c r="AE53" t="s">
        <v>2829</v>
      </c>
      <c r="AJ53" t="s">
        <v>2830</v>
      </c>
      <c r="AO53" s="76"/>
      <c r="AQ53" s="25" t="s">
        <v>4607</v>
      </c>
      <c r="AR53">
        <v>347.87074558378174</v>
      </c>
      <c r="AS53">
        <v>3.2249279139591282E-2</v>
      </c>
      <c r="AU53" s="79"/>
      <c r="AV53" s="32" t="s">
        <v>4607</v>
      </c>
      <c r="AW53" s="32">
        <v>347.87074558378174</v>
      </c>
      <c r="AX53" s="32">
        <v>3.2249279139591282E-2</v>
      </c>
      <c r="AY53" s="23">
        <v>2</v>
      </c>
      <c r="AZ53" s="177" t="str">
        <f>_xlfn.XLOOKUP(LARGE($AW$53:$AW$192,AY53),$AW$53:$AW$192,$AV$53:$AV$192)</f>
        <v>Unión Andina de Cementos</v>
      </c>
      <c r="BA53" s="86">
        <f t="shared" ref="BA53:BA57" si="5">BB53/$AW$48</f>
        <v>0.10630134743175083</v>
      </c>
      <c r="BB53" s="87">
        <f>LARGE($AW$53:$AW$192,AY53)</f>
        <v>73832.967420074201</v>
      </c>
      <c r="BC53" s="88">
        <f>LARGE($AX$53:$AX$192,AY53)</f>
        <v>6.844668619772925</v>
      </c>
      <c r="BE53" s="76"/>
      <c r="BH53" s="261"/>
      <c r="BI53" s="261"/>
      <c r="BJ53" s="261"/>
      <c r="BK53" s="261"/>
      <c r="BL53" s="261"/>
      <c r="BM53" s="261"/>
      <c r="BN53" s="261"/>
      <c r="BO53" s="261"/>
      <c r="BP53" s="261"/>
      <c r="BQ53" s="261"/>
      <c r="BT53" s="261"/>
      <c r="BU53" s="261"/>
      <c r="BV53" s="261"/>
      <c r="BW53" s="261"/>
      <c r="BX53" s="261"/>
      <c r="BY53" s="261"/>
      <c r="BZ53" s="261"/>
      <c r="CA53" s="261"/>
      <c r="CB53" s="261"/>
      <c r="CC53" s="261"/>
      <c r="CF53" s="261"/>
      <c r="CG53" s="261"/>
      <c r="CH53" s="261"/>
      <c r="CI53" s="261"/>
      <c r="CJ53" s="261"/>
      <c r="CK53" s="261"/>
      <c r="CL53" s="261"/>
      <c r="CM53" s="261"/>
      <c r="CN53" s="261"/>
      <c r="CO53" s="261"/>
      <c r="CP53" s="134"/>
      <c r="CR53" s="261"/>
      <c r="CS53" s="261"/>
      <c r="CT53" s="261"/>
      <c r="CU53" s="261"/>
      <c r="CV53" s="261"/>
      <c r="CW53" s="261"/>
      <c r="CX53" s="261"/>
      <c r="CY53" s="261"/>
      <c r="CZ53" s="261"/>
      <c r="DA53" s="261"/>
      <c r="DB53" s="261"/>
      <c r="DC53" s="261"/>
      <c r="DD53" s="261"/>
      <c r="DE53" s="261"/>
      <c r="DF53" s="261"/>
      <c r="DG53" s="261"/>
      <c r="DH53" s="261"/>
      <c r="DI53" s="261"/>
      <c r="DJ53" s="261"/>
      <c r="DK53" s="261"/>
      <c r="DL53" s="261"/>
      <c r="DM53" t="s">
        <v>4357</v>
      </c>
      <c r="DN53" t="s">
        <v>4833</v>
      </c>
      <c r="DO53" t="s">
        <v>2829</v>
      </c>
      <c r="DP53" s="10">
        <v>417887.17658550461</v>
      </c>
      <c r="DQ53">
        <f>GETPIVOTDATA("Sum of Huella",$BH$60)</f>
        <v>422210.48119972617</v>
      </c>
      <c r="DT53">
        <v>40.891580994537534</v>
      </c>
      <c r="DU53">
        <f>GETPIVOTDATA("Sum of Intensidad-M",$BH$60)</f>
        <v>39.140927590853813</v>
      </c>
      <c r="DV53" s="130"/>
      <c r="DZ53" s="76"/>
      <c r="ED53" s="25" t="s">
        <v>4406</v>
      </c>
      <c r="EE53">
        <v>232.18420515902747</v>
      </c>
      <c r="EF53">
        <v>7.41033711799997</v>
      </c>
      <c r="EG53">
        <v>31.33247536</v>
      </c>
      <c r="EI53" s="32" t="s">
        <v>4406</v>
      </c>
      <c r="EJ53" s="32">
        <v>271.99234228159946</v>
      </c>
      <c r="EK53" s="32">
        <v>9.3784816460000009</v>
      </c>
      <c r="EL53" s="32">
        <v>29.001745970000002</v>
      </c>
      <c r="EN53" s="32" t="s">
        <v>4406</v>
      </c>
      <c r="EO53" s="32">
        <v>232.18420515902747</v>
      </c>
      <c r="EP53" s="32">
        <v>7.41033711799997</v>
      </c>
      <c r="EQ53" s="32">
        <v>31.33247536</v>
      </c>
      <c r="EU53" t="str">
        <f>EN53</f>
        <v>AC Capitales - Inmobiliario II</v>
      </c>
      <c r="EV53" s="18">
        <f>_xlfn.IFNA(INDEX($EJ$51:$EJ$251,MATCH($EU53,$EI$51:$EI$251,0),1),0)</f>
        <v>271.99234228159946</v>
      </c>
      <c r="EW53" s="18">
        <f>_xlfn.IFNA(INDEX($EK$51:$EK$251,MATCH($EU53,$EI$51:$EI$251,0),1),0)</f>
        <v>9.3784816460000009</v>
      </c>
      <c r="EX53" s="18">
        <f>_xlfn.IFNA(INDEX($EO$51:$EO$246,MATCH($EU53,$EN$51:$EN$246,0),1),0)</f>
        <v>232.18420515902747</v>
      </c>
      <c r="EY53" s="18">
        <f>_xlfn.IFNA(INDEX($EP$51:$EP$246,MATCH($EU53,$EN$51:$EN$246,0),1),0)</f>
        <v>7.41033711799997</v>
      </c>
      <c r="EZ53" s="18">
        <f>_xlfn.IFNA(EX53-EV53,"")</f>
        <v>-39.808137122571992</v>
      </c>
      <c r="FA53" s="50">
        <f>EX53/EV53-1</f>
        <v>-0.14635756576322201</v>
      </c>
      <c r="FB53" s="50">
        <f>_xlfn.IFNA(EY53/EW53-1,"")</f>
        <v>-0.20985748037790963</v>
      </c>
      <c r="FC53" s="18">
        <f>-(_xlfn.IFNA(INDEX($EL$51:$EL$251,MATCH($EU53,$EI$51:$EI$251,0),1),0)-_xlfn.IFNA(INDEX($EQ$51:$EQ$246,MATCH($EU53,$EN$51:$EN$246,0),1),0))</f>
        <v>2.3307293899999983</v>
      </c>
    </row>
    <row r="54" spans="30:174" ht="15" customHeight="1" x14ac:dyDescent="0.25">
      <c r="AD54" s="52" t="s">
        <v>4423</v>
      </c>
      <c r="AE54" s="53">
        <v>4394.1286801600372</v>
      </c>
      <c r="AF54" s="32">
        <v>13.775159999999998</v>
      </c>
      <c r="AG54" s="7"/>
      <c r="AI54" s="52" t="s">
        <v>4423</v>
      </c>
      <c r="AJ54" s="53">
        <v>0.42997937934671049</v>
      </c>
      <c r="AM54" s="72" t="s">
        <v>4516</v>
      </c>
      <c r="AN54" s="58" t="s">
        <v>4878</v>
      </c>
      <c r="AO54" s="76"/>
      <c r="AQ54" s="25" t="s">
        <v>4553</v>
      </c>
      <c r="AR54">
        <v>2.0361022949883973</v>
      </c>
      <c r="AS54">
        <v>1.8875640478951662E-4</v>
      </c>
      <c r="AU54" s="79"/>
      <c r="AV54" s="80" t="s">
        <v>4553</v>
      </c>
      <c r="AW54" s="80">
        <v>2.0361022949883973</v>
      </c>
      <c r="AX54" s="32">
        <v>1.8875640478951662E-4</v>
      </c>
      <c r="AY54" s="23">
        <v>3</v>
      </c>
      <c r="AZ54" s="85" t="str">
        <f>_xlfn.XLOOKUP(LARGE($AW$53:$AW$192,AY54),$AW$53:$AW$192,$AV$53:$AV$192)</f>
        <v>Ecopetrol</v>
      </c>
      <c r="BA54" s="86">
        <f t="shared" si="5"/>
        <v>5.4014239193589608E-2</v>
      </c>
      <c r="BB54" s="87">
        <f>LARGE($AW$53:$AW$192,AY54)</f>
        <v>37516.284214185071</v>
      </c>
      <c r="BC54" s="88">
        <f>LARGE($AX$53:$AX$192,AY54)</f>
        <v>3.4779386805669419</v>
      </c>
      <c r="BE54" s="76"/>
      <c r="BT54" s="24" t="s">
        <v>2</v>
      </c>
      <c r="BU54" t="s">
        <v>4713</v>
      </c>
      <c r="BZ54" s="24" t="s">
        <v>2</v>
      </c>
      <c r="CA54" t="s">
        <v>4713</v>
      </c>
      <c r="DN54" t="s">
        <v>5668</v>
      </c>
      <c r="DO54" t="s">
        <v>2829</v>
      </c>
      <c r="DP54">
        <v>50405.400505086698</v>
      </c>
      <c r="DQ54">
        <f>GETPIVOTDATA("Sum of Huella",$BN$60)</f>
        <v>82234.694905239987</v>
      </c>
      <c r="DT54">
        <v>4.9323277496985316</v>
      </c>
      <c r="DU54">
        <f>GETPIVOTDATA("Sum of Intensidad-M",$BN$60)</f>
        <v>7.6235488744755502</v>
      </c>
      <c r="DZ54" s="76"/>
      <c r="ED54" s="25" t="s">
        <v>4607</v>
      </c>
      <c r="EE54">
        <v>347.87074558378174</v>
      </c>
      <c r="EF54">
        <v>1.3024435801761136</v>
      </c>
      <c r="EG54">
        <v>267.09083670000001</v>
      </c>
      <c r="EI54" s="32" t="s">
        <v>4607</v>
      </c>
      <c r="EJ54" s="32">
        <v>564.47530090385283</v>
      </c>
      <c r="EK54" s="32">
        <v>2.0284880712282085</v>
      </c>
      <c r="EL54" s="32">
        <v>278.27390701000002</v>
      </c>
      <c r="EN54" s="32" t="s">
        <v>4607</v>
      </c>
      <c r="EO54" s="32">
        <v>347.87074558378174</v>
      </c>
      <c r="EP54" s="32">
        <v>1.3024435801761136</v>
      </c>
      <c r="EQ54" s="32">
        <v>267.09083670000001</v>
      </c>
      <c r="EU54" t="str">
        <f>EN54</f>
        <v>Aclara Resources Inc.</v>
      </c>
      <c r="EV54" s="18">
        <f>_xlfn.IFNA(INDEX($EJ$51:$EJ$251,MATCH($EU54,$EI$51:$EI$251,0),1),0)</f>
        <v>564.47530090385283</v>
      </c>
      <c r="EW54" s="18">
        <f>_xlfn.IFNA(INDEX($EK$51:$EK$251,MATCH($EU54,$EI$51:$EI$251,0),1),0)</f>
        <v>2.0284880712282085</v>
      </c>
      <c r="EX54" s="18">
        <f>_xlfn.IFNA(INDEX($EO$51:$EO$246,MATCH($EU54,$EN$51:$EN$246,0),1),0)</f>
        <v>347.87074558378174</v>
      </c>
      <c r="EY54" s="18">
        <f>_xlfn.IFNA(INDEX($EP$51:$EP$246,MATCH($EU54,$EN$51:$EN$246,0),1),0)</f>
        <v>1.3024435801761136</v>
      </c>
      <c r="EZ54" s="18">
        <f>_xlfn.IFNA(EX54-EV54,"")</f>
        <v>-216.60455532007109</v>
      </c>
      <c r="FA54" s="50">
        <f>EX54/EV54-1</f>
        <v>-0.38372725072866454</v>
      </c>
      <c r="FB54" s="50">
        <f>_xlfn.IFNA(EY54/EW54-1,"")</f>
        <v>-0.35792396383799763</v>
      </c>
      <c r="FC54" s="18">
        <f>-(_xlfn.IFNA(INDEX($EL$51:$EL$251,MATCH($EU54,$EI$51:$EI$251,0),1),0)-_xlfn.IFNA(INDEX($EQ$51:$EQ$246,MATCH($EU54,$EN$51:$EN$246,0),1),0))</f>
        <v>-11.183070310000005</v>
      </c>
    </row>
    <row r="55" spans="30:174" ht="15" customHeight="1" x14ac:dyDescent="0.3">
      <c r="AD55" s="52" t="s">
        <v>4422</v>
      </c>
      <c r="AE55" s="53">
        <v>2211.7161762752471</v>
      </c>
      <c r="AF55" s="32">
        <v>48.209488</v>
      </c>
      <c r="AG55" s="7"/>
      <c r="AI55" s="52" t="s">
        <v>4422</v>
      </c>
      <c r="AJ55" s="53">
        <v>0.21642341815335156</v>
      </c>
      <c r="AM55" s="59" t="s">
        <v>4424</v>
      </c>
      <c r="AN55" s="60" t="s">
        <v>4879</v>
      </c>
      <c r="AO55" s="76"/>
      <c r="AQ55" s="25" t="s">
        <v>4486</v>
      </c>
      <c r="AR55">
        <v>2801.3402683809691</v>
      </c>
      <c r="AS55">
        <v>0.25969761880490616</v>
      </c>
      <c r="AU55" s="79"/>
      <c r="AV55" s="80" t="s">
        <v>4486</v>
      </c>
      <c r="AW55" s="80">
        <v>3831.2215660117722</v>
      </c>
      <c r="AX55" s="32">
        <v>0.35517253260429377</v>
      </c>
      <c r="AY55" s="23">
        <v>4</v>
      </c>
      <c r="AZ55" s="85" t="str">
        <f>_xlfn.XLOOKUP(LARGE($AW$53:$AW$192,AY55),$AW$53:$AW$192,$AV$53:$AV$192)</f>
        <v>Minsur</v>
      </c>
      <c r="BA55" s="86">
        <f t="shared" si="5"/>
        <v>5.139086580249233E-2</v>
      </c>
      <c r="BB55" s="87">
        <f>LARGE($AW$53:$AW$192,AY55)</f>
        <v>35694.186500513744</v>
      </c>
      <c r="BC55" s="88">
        <f>LARGE($AX$53:$AX$192,AY55)</f>
        <v>3.3090215223011987</v>
      </c>
      <c r="BE55" s="76"/>
      <c r="BH55" s="24" t="s">
        <v>2</v>
      </c>
      <c r="BI55" t="s">
        <v>4713</v>
      </c>
      <c r="BM55" s="1"/>
      <c r="BN55" s="24" t="s">
        <v>2</v>
      </c>
      <c r="BO55" t="s">
        <v>4713</v>
      </c>
      <c r="BT55" s="24" t="s">
        <v>2829</v>
      </c>
      <c r="BU55" t="s">
        <v>4713</v>
      </c>
      <c r="BZ55" s="24" t="s">
        <v>2829</v>
      </c>
      <c r="CA55" t="s">
        <v>4713</v>
      </c>
      <c r="CF55" s="24" t="s">
        <v>2</v>
      </c>
      <c r="CG55" t="s">
        <v>4713</v>
      </c>
      <c r="CR55" s="264" t="s">
        <v>5659</v>
      </c>
      <c r="CS55" s="264"/>
      <c r="CT55" s="264"/>
      <c r="CW55" s="264" t="s">
        <v>5670</v>
      </c>
      <c r="CX55" s="264"/>
      <c r="CY55" s="264"/>
      <c r="DA55" s="264" t="s">
        <v>5660</v>
      </c>
      <c r="DB55" s="264"/>
      <c r="DC55" s="264"/>
      <c r="DE55" s="264" t="s">
        <v>5661</v>
      </c>
      <c r="DF55" s="264"/>
      <c r="DG55" s="264"/>
      <c r="DI55" s="264" t="s">
        <v>5550</v>
      </c>
      <c r="DJ55" s="264"/>
      <c r="DK55" s="264"/>
      <c r="DP55" s="263" t="s">
        <v>2829</v>
      </c>
      <c r="DQ55" s="263"/>
      <c r="DR55" s="150"/>
      <c r="DS55" s="150"/>
      <c r="DT55" s="263" t="s">
        <v>2830</v>
      </c>
      <c r="DU55" s="263"/>
      <c r="DZ55" s="76"/>
      <c r="ED55" s="25" t="s">
        <v>4553</v>
      </c>
      <c r="EE55">
        <v>2.0361022949883973</v>
      </c>
      <c r="EF55">
        <v>6.1579931893748698E-2</v>
      </c>
      <c r="EG55">
        <v>33.06438043</v>
      </c>
      <c r="EI55" s="32" t="s">
        <v>4553</v>
      </c>
      <c r="EJ55" s="32">
        <v>3.6674600200043512</v>
      </c>
      <c r="EK55" s="32">
        <v>0.11224642987284314</v>
      </c>
      <c r="EL55" s="32">
        <v>32.673288800000002</v>
      </c>
      <c r="EN55" s="32" t="s">
        <v>4553</v>
      </c>
      <c r="EO55" s="32">
        <v>2.0361022949883973</v>
      </c>
      <c r="EP55" s="32">
        <v>6.1579931893748698E-2</v>
      </c>
      <c r="EQ55" s="32">
        <v>33.06438043</v>
      </c>
      <c r="EU55" t="str">
        <f>EN55</f>
        <v>ADP</v>
      </c>
      <c r="EV55" s="18">
        <f>_xlfn.IFNA(INDEX($EJ$51:$EJ$251,MATCH($EU55,$EI$51:$EI$251,0),1),0)</f>
        <v>3.6674600200043512</v>
      </c>
      <c r="EW55" s="18">
        <f>_xlfn.IFNA(INDEX($EK$51:$EK$251,MATCH($EU55,$EI$51:$EI$251,0),1),0)</f>
        <v>0.11224642987284314</v>
      </c>
      <c r="EX55" s="18">
        <f>_xlfn.IFNA(INDEX($EO$51:$EO$246,MATCH($EU55,$EN$51:$EN$246,0),1),0)</f>
        <v>2.0361022949883973</v>
      </c>
      <c r="EY55" s="18">
        <f>_xlfn.IFNA(INDEX($EP$51:$EP$246,MATCH($EU55,$EN$51:$EN$246,0),1),0)</f>
        <v>6.1579931893748698E-2</v>
      </c>
      <c r="EZ55" s="18">
        <f>_xlfn.IFNA(EX55-EV55,"")</f>
        <v>-1.6313577250159539</v>
      </c>
      <c r="FA55" s="50">
        <f>EX55/EV55-1</f>
        <v>-0.44481949799524145</v>
      </c>
      <c r="FB55" s="50">
        <f>_xlfn.IFNA(EY55/EW55-1,"")</f>
        <v>-0.45138627604006032</v>
      </c>
      <c r="FC55" s="18">
        <f>-(_xlfn.IFNA(INDEX($EL$51:$EL$251,MATCH($EU55,$EI$51:$EI$251,0),1),0)-_xlfn.IFNA(INDEX($EQ$51:$EQ$246,MATCH($EU55,$EN$51:$EN$246,0),1),0))</f>
        <v>0.39109162999999825</v>
      </c>
    </row>
    <row r="56" spans="30:174" ht="15" customHeight="1" x14ac:dyDescent="0.25">
      <c r="AD56" s="52" t="s">
        <v>4516</v>
      </c>
      <c r="AE56" s="53">
        <v>358450.12403448788</v>
      </c>
      <c r="AF56" s="32">
        <v>1843.9098638982628</v>
      </c>
      <c r="AG56" s="7"/>
      <c r="AI56" s="52" t="s">
        <v>4516</v>
      </c>
      <c r="AJ56" s="53">
        <v>35.07547754689039</v>
      </c>
      <c r="AM56" s="59" t="s">
        <v>4446</v>
      </c>
      <c r="AN56" s="60" t="s">
        <v>4880</v>
      </c>
      <c r="AO56" s="76"/>
      <c r="AQ56" s="25" t="s">
        <v>5554</v>
      </c>
      <c r="AR56">
        <v>1029.8812976308031</v>
      </c>
      <c r="AS56">
        <v>9.5474913799387606E-2</v>
      </c>
      <c r="AU56" s="79"/>
      <c r="AV56" s="80" t="s">
        <v>4595</v>
      </c>
      <c r="AW56" s="80">
        <v>0.34717172702846177</v>
      </c>
      <c r="AX56" s="32">
        <v>3.2184476781817744E-5</v>
      </c>
      <c r="AY56" s="23">
        <v>5</v>
      </c>
      <c r="AZ56" s="145" t="str">
        <f>_xlfn.XLOOKUP(LARGE($AW$53:$AW$192,AY56),$AW$53:$AW$192,$AV$53:$AV$192)</f>
        <v>State Street - S&amp;P Metals &amp; Mining ETF</v>
      </c>
      <c r="BA56" s="146">
        <f t="shared" ref="BA56" si="6">BB56/$AW$48</f>
        <v>5.0385228369650238E-2</v>
      </c>
      <c r="BB56" s="147">
        <f>LARGE($AW$53:$AW$192,AY56)</f>
        <v>34995.708093519817</v>
      </c>
      <c r="BC56" s="148">
        <f>LARGE($AX$53:$AX$192,AY56)</f>
        <v>3.2442692388566021</v>
      </c>
      <c r="BE56" s="76"/>
      <c r="BH56" s="24" t="s">
        <v>2829</v>
      </c>
      <c r="BI56" t="s">
        <v>4713</v>
      </c>
      <c r="BJ56" s="95"/>
      <c r="BK56" s="95"/>
      <c r="BN56" s="24" t="s">
        <v>2829</v>
      </c>
      <c r="BO56" t="s">
        <v>4713</v>
      </c>
      <c r="BP56" s="95"/>
      <c r="BQ56" s="95"/>
      <c r="BT56" s="24" t="s">
        <v>4359</v>
      </c>
      <c r="BU56" t="s">
        <v>4355</v>
      </c>
      <c r="BZ56" s="24" t="s">
        <v>4359</v>
      </c>
      <c r="CA56" t="s">
        <v>4355</v>
      </c>
      <c r="CF56" s="24" t="s">
        <v>2829</v>
      </c>
      <c r="CG56" t="s">
        <v>4713</v>
      </c>
      <c r="DH56" s="98"/>
      <c r="DI56" s="98"/>
      <c r="DL56" s="98"/>
      <c r="DM56" s="98"/>
      <c r="DN56" t="s">
        <v>4833</v>
      </c>
      <c r="DO56" t="s">
        <v>4894</v>
      </c>
      <c r="DP56" s="137">
        <v>102832.41174163757</v>
      </c>
      <c r="DQ56" s="100">
        <f ca="1">SUMIF($CQ$58:$CQ$81,$DO56,$CS$58:$CS$79)</f>
        <v>209823.78686259827</v>
      </c>
      <c r="DR56" s="100"/>
      <c r="DS56" s="100"/>
      <c r="DT56" s="138">
        <v>10.062476498932281</v>
      </c>
      <c r="DU56" s="100">
        <f ca="1">SUMIF($CQ$58:$CQ$81,$DO56,$CT$58:$CT$79)</f>
        <v>19.451666915257587</v>
      </c>
      <c r="DZ56" s="76"/>
      <c r="ED56" s="25" t="s">
        <v>4486</v>
      </c>
      <c r="EE56">
        <v>2801.3402683809691</v>
      </c>
      <c r="EF56">
        <v>76.539351595108457</v>
      </c>
      <c r="EG56">
        <v>36.6</v>
      </c>
      <c r="EI56" s="32" t="s">
        <v>4595</v>
      </c>
      <c r="EJ56" s="32">
        <v>1.0998234635090292</v>
      </c>
      <c r="EK56" s="32">
        <v>6.8387685E-3</v>
      </c>
      <c r="EL56" s="32">
        <v>160.82185901</v>
      </c>
      <c r="EN56" s="32" t="s">
        <v>4486</v>
      </c>
      <c r="EO56">
        <v>3831.2215660117722</v>
      </c>
      <c r="EP56">
        <v>104.67818486370963</v>
      </c>
      <c r="EQ56" s="32">
        <v>36.6</v>
      </c>
      <c r="EU56" t="str">
        <f>EN56</f>
        <v xml:space="preserve">Alicorp </v>
      </c>
      <c r="EV56" s="18">
        <f>_xlfn.IFNA(INDEX($EJ$51:$EJ$251,MATCH($EU56,$EI$51:$EI$251,0),1),0)</f>
        <v>0</v>
      </c>
      <c r="EW56" s="18">
        <f>_xlfn.IFNA(INDEX($EK$51:$EK$251,MATCH($EU56,$EI$51:$EI$251,0),1),0)</f>
        <v>0</v>
      </c>
      <c r="EX56" s="18">
        <f>_xlfn.IFNA(INDEX($EO$51:$EO$246,MATCH($EU56,$EN$51:$EN$246,0),1),0)</f>
        <v>3831.2215660117722</v>
      </c>
      <c r="EY56" s="18">
        <f>_xlfn.IFNA(INDEX($EP$51:$EP$246,MATCH($EU56,$EN$51:$EN$246,0),1),0)</f>
        <v>104.67818486370963</v>
      </c>
      <c r="EZ56" s="18">
        <f>_xlfn.IFNA(EX56-EV56,"")</f>
        <v>3831.2215660117722</v>
      </c>
      <c r="FA56" s="50" t="e">
        <f>EX56/EV56-1</f>
        <v>#DIV/0!</v>
      </c>
      <c r="FB56" s="50" t="e">
        <f>_xlfn.IFNA(EY56/EW56-1,"")</f>
        <v>#DIV/0!</v>
      </c>
      <c r="FC56" s="18">
        <f>-(_xlfn.IFNA(INDEX($EL$51:$EL$251,MATCH($EU56,$EI$51:$EI$251,0),1),0)-_xlfn.IFNA(INDEX($EQ$51:$EQ$246,MATCH($EU56,$EN$51:$EN$246,0),1),0))</f>
        <v>36.6</v>
      </c>
    </row>
    <row r="57" spans="30:174" ht="15" customHeight="1" x14ac:dyDescent="0.25">
      <c r="AD57" s="52" t="s">
        <v>4446</v>
      </c>
      <c r="AE57" s="53">
        <v>11134.793415603659</v>
      </c>
      <c r="AF57" s="32">
        <v>25.664521594115314</v>
      </c>
      <c r="AG57" s="7"/>
      <c r="AI57" s="52" t="s">
        <v>4446</v>
      </c>
      <c r="AJ57" s="53">
        <v>1.089574728116685</v>
      </c>
      <c r="AM57" s="59" t="s">
        <v>4447</v>
      </c>
      <c r="AN57" s="60" t="s">
        <v>4881</v>
      </c>
      <c r="AO57" s="76"/>
      <c r="AQ57" s="25" t="s">
        <v>4595</v>
      </c>
      <c r="AR57">
        <v>0.34717172702846177</v>
      </c>
      <c r="AS57">
        <v>3.2184476781817744E-5</v>
      </c>
      <c r="AU57" s="79"/>
      <c r="AV57" s="32" t="s">
        <v>4571</v>
      </c>
      <c r="AW57" s="32">
        <v>0.26633936253763324</v>
      </c>
      <c r="AX57" s="32">
        <v>2.4690930632648691E-5</v>
      </c>
      <c r="AZ57" s="85" t="s">
        <v>4877</v>
      </c>
      <c r="BA57" s="86">
        <f t="shared" si="5"/>
        <v>0.51673100118867199</v>
      </c>
      <c r="BB57" s="89">
        <f>AW48-SUM(BB52:BB55)</f>
        <v>358902.1597322679</v>
      </c>
      <c r="BC57" s="90">
        <f>AX48-SUM(BC52:BC55)</f>
        <v>33.271943904292755</v>
      </c>
      <c r="BE57" s="76"/>
      <c r="BH57" s="24" t="s">
        <v>4359</v>
      </c>
      <c r="BI57" t="s">
        <v>4357</v>
      </c>
      <c r="BJ57" s="95"/>
      <c r="BK57" s="95"/>
      <c r="BN57" s="24" t="s">
        <v>4359</v>
      </c>
      <c r="BO57" t="s">
        <v>4357</v>
      </c>
      <c r="BP57" s="95"/>
      <c r="BQ57" s="95"/>
      <c r="BT57" s="24" t="s">
        <v>4826</v>
      </c>
      <c r="BU57" t="s">
        <v>4713</v>
      </c>
      <c r="BZ57" s="24" t="s">
        <v>4826</v>
      </c>
      <c r="CA57" t="s">
        <v>4832</v>
      </c>
      <c r="CF57" s="24" t="s">
        <v>4826</v>
      </c>
      <c r="CG57" t="s">
        <v>4713</v>
      </c>
      <c r="CR57" s="132" t="s">
        <v>2821</v>
      </c>
      <c r="CS57" s="132" t="s">
        <v>4874</v>
      </c>
      <c r="CT57" s="132" t="s">
        <v>4875</v>
      </c>
      <c r="CW57" s="132" t="s">
        <v>2821</v>
      </c>
      <c r="CX57" s="132" t="s">
        <v>4874</v>
      </c>
      <c r="CY57" s="132" t="s">
        <v>4875</v>
      </c>
      <c r="DA57" t="s">
        <v>2821</v>
      </c>
      <c r="DB57" t="s">
        <v>4874</v>
      </c>
      <c r="DC57" t="s">
        <v>4875</v>
      </c>
      <c r="DE57" t="s">
        <v>2821</v>
      </c>
      <c r="DF57" t="s">
        <v>4874</v>
      </c>
      <c r="DG57" t="s">
        <v>4875</v>
      </c>
      <c r="DH57" s="10"/>
      <c r="DI57" t="s">
        <v>2821</v>
      </c>
      <c r="DJ57" t="s">
        <v>4874</v>
      </c>
      <c r="DK57" t="s">
        <v>4875</v>
      </c>
      <c r="DN57" t="s">
        <v>5668</v>
      </c>
      <c r="DO57" t="s">
        <v>4894</v>
      </c>
      <c r="DP57" s="137">
        <v>0</v>
      </c>
      <c r="DQ57" s="100">
        <f>SUMIF($CV$58:$CV$95,$DO57,$CX$58:$CX$95)</f>
        <v>0</v>
      </c>
      <c r="DR57" s="100"/>
      <c r="DS57" s="100"/>
      <c r="DT57" s="138">
        <v>0</v>
      </c>
      <c r="DU57" s="100">
        <f>SUMIF($CV$58:$CV$95,$DO57,$CY$58:$CY$95)</f>
        <v>0</v>
      </c>
      <c r="DZ57" s="76"/>
      <c r="ED57" s="25" t="s">
        <v>5554</v>
      </c>
      <c r="EE57">
        <v>1029.8812976308031</v>
      </c>
      <c r="EF57">
        <v>28.138833268601175</v>
      </c>
      <c r="EG57">
        <v>36.6</v>
      </c>
      <c r="EI57" s="32" t="s">
        <v>4571</v>
      </c>
      <c r="EJ57" s="32">
        <v>0.22443178908911599</v>
      </c>
      <c r="EK57" s="32">
        <v>8.1036051210063454E-3</v>
      </c>
      <c r="EL57" s="32">
        <v>27.695301749999999</v>
      </c>
      <c r="EN57" s="32" t="s">
        <v>4595</v>
      </c>
      <c r="EO57" s="32">
        <v>0.34717172702846183</v>
      </c>
      <c r="EP57" s="32">
        <v>9.6904843199738175E-3</v>
      </c>
      <c r="EQ57" s="32">
        <v>35.826044969999998</v>
      </c>
      <c r="EU57" t="str">
        <f>EN57</f>
        <v>Allianz - China-A</v>
      </c>
      <c r="EV57" s="18">
        <f>_xlfn.IFNA(INDEX($EJ$51:$EJ$251,MATCH($EU57,$EI$51:$EI$251,0),1),0)</f>
        <v>1.0998234635090292</v>
      </c>
      <c r="EW57" s="18">
        <f>_xlfn.IFNA(INDEX($EK$51:$EK$251,MATCH($EU57,$EI$51:$EI$251,0),1),0)</f>
        <v>6.8387685E-3</v>
      </c>
      <c r="EX57" s="18">
        <f>_xlfn.IFNA(INDEX($EO$51:$EO$246,MATCH($EU57,$EN$51:$EN$246,0),1),0)</f>
        <v>0.34717172702846183</v>
      </c>
      <c r="EY57" s="18">
        <f>_xlfn.IFNA(INDEX($EP$51:$EP$246,MATCH($EU57,$EN$51:$EN$246,0),1),0)</f>
        <v>9.6904843199738175E-3</v>
      </c>
      <c r="EZ57" s="18">
        <f>_xlfn.IFNA(EX57-EV57,"")</f>
        <v>-0.75265173648056738</v>
      </c>
      <c r="FA57" s="50">
        <f>EX57/EV57-1</f>
        <v>-0.68433867929967862</v>
      </c>
      <c r="FB57" s="50">
        <f>_xlfn.IFNA(EY57/EW57-1,"")</f>
        <v>0.41699259449619008</v>
      </c>
      <c r="FC57" s="18">
        <f>-(_xlfn.IFNA(INDEX($EL$51:$EL$251,MATCH($EU57,$EI$51:$EI$251,0),1),0)-_xlfn.IFNA(INDEX($EQ$51:$EQ$246,MATCH($EU57,$EN$51:$EN$246,0),1),0))</f>
        <v>-124.99581404</v>
      </c>
    </row>
    <row r="58" spans="30:174" ht="15" customHeight="1" x14ac:dyDescent="0.25">
      <c r="AD58" s="52" t="s">
        <v>2759</v>
      </c>
      <c r="AE58" s="53">
        <v>4010.6759627760111</v>
      </c>
      <c r="AF58" s="32">
        <v>19.80708202798694</v>
      </c>
      <c r="AG58" s="7"/>
      <c r="AI58" s="52" t="s">
        <v>2759</v>
      </c>
      <c r="AJ58" s="53">
        <v>0.39245731901788367</v>
      </c>
      <c r="AM58" s="59" t="s">
        <v>4452</v>
      </c>
      <c r="AN58" s="60" t="s">
        <v>1131</v>
      </c>
      <c r="AO58" s="76"/>
      <c r="AQ58" s="25" t="s">
        <v>4571</v>
      </c>
      <c r="AR58">
        <v>0.26633936253763324</v>
      </c>
      <c r="AS58">
        <v>2.4690930632648691E-5</v>
      </c>
      <c r="AU58" s="79"/>
      <c r="AV58" s="32" t="s">
        <v>4457</v>
      </c>
      <c r="AW58" s="32">
        <v>15.106860923072077</v>
      </c>
      <c r="AX58" s="32">
        <v>1.4004781402746627E-3</v>
      </c>
      <c r="AZ58" s="92" t="s">
        <v>4884</v>
      </c>
      <c r="BA58" s="93">
        <f>SUM(BA52:BA55)+BA57</f>
        <v>1</v>
      </c>
      <c r="BB58" s="94">
        <f>SUM(BB52:BB55)+BB57</f>
        <v>694562.85554120131</v>
      </c>
      <c r="BC58" s="94">
        <f>SUM(BC52:BC55)+BC57</f>
        <v>64.389293128833003</v>
      </c>
      <c r="BE58" s="76"/>
      <c r="BH58" s="24" t="s">
        <v>4826</v>
      </c>
      <c r="BI58" t="s">
        <v>4795</v>
      </c>
      <c r="BJ58" s="95"/>
      <c r="BK58" s="95"/>
      <c r="BN58" s="24" t="s">
        <v>4826</v>
      </c>
      <c r="BO58" t="s">
        <v>4832</v>
      </c>
      <c r="BP58" s="95"/>
      <c r="BQ58" s="95"/>
      <c r="BT58" s="24" t="s">
        <v>4830</v>
      </c>
      <c r="BU58" t="s">
        <v>4713</v>
      </c>
      <c r="BZ58" s="24" t="s">
        <v>4830</v>
      </c>
      <c r="CA58" t="s">
        <v>4713</v>
      </c>
      <c r="CF58" s="24" t="s">
        <v>4830</v>
      </c>
      <c r="CG58" t="s">
        <v>4713</v>
      </c>
      <c r="CQ58" s="135" t="str" cm="1">
        <f t="array" ref="CQ58">INDEX(Parametria!$P:$P,MATCH(CR58,Parametria!$O:$O,0),0)</f>
        <v>Consumer Staples</v>
      </c>
      <c r="CR58" s="132" t="s">
        <v>4629</v>
      </c>
      <c r="CS58" s="132">
        <v>3831.2215660117722</v>
      </c>
      <c r="CT58" s="132">
        <v>0.35517253260429377</v>
      </c>
      <c r="CV58" s="135" t="str" cm="1">
        <f t="array" ref="CV58">INDEX(Parametria!$P:$P,MATCH(Presentacion!CW58,Parametria!$O:$O,0),0)</f>
        <v>Metals</v>
      </c>
      <c r="CW58" s="133" t="s">
        <v>4607</v>
      </c>
      <c r="CX58" s="132">
        <v>347.87074558378174</v>
      </c>
      <c r="CY58" s="132">
        <v>3.2249279139591282E-2</v>
      </c>
      <c r="DA58" t="s">
        <v>155</v>
      </c>
      <c r="DB58">
        <v>247078.06678194282</v>
      </c>
      <c r="DC58">
        <v>27.084071117887376</v>
      </c>
      <c r="DE58" t="s">
        <v>155</v>
      </c>
      <c r="DF58">
        <v>22738.286982821752</v>
      </c>
      <c r="DG58">
        <v>2.4925133572669038</v>
      </c>
      <c r="DI58" t="s">
        <v>428</v>
      </c>
      <c r="DJ58">
        <v>135519.24500974047</v>
      </c>
      <c r="DK58">
        <v>14.855275976096706</v>
      </c>
      <c r="DN58" t="s">
        <v>4833</v>
      </c>
      <c r="DO58" t="s">
        <v>1324</v>
      </c>
      <c r="DP58" s="137">
        <v>82386.011004244385</v>
      </c>
      <c r="DQ58" s="100">
        <f ca="1">SUMIF($CQ$58:$CQ$81,$DO58,$CS$58:$CS$79)</f>
        <v>1491.1735020071608</v>
      </c>
      <c r="DR58" s="100"/>
      <c r="DS58" s="100"/>
      <c r="DT58" s="138">
        <v>8.0617315643032299</v>
      </c>
      <c r="DU58" s="100">
        <f ca="1">SUMIF($CQ$58:$CQ$81,$DO58,$CT$58:$CT$79)</f>
        <v>0.13823890373733341</v>
      </c>
      <c r="DZ58" s="76"/>
      <c r="ED58" s="25" t="s">
        <v>4595</v>
      </c>
      <c r="EE58">
        <v>0.34717172702846183</v>
      </c>
      <c r="EF58">
        <v>9.6904843199738175E-3</v>
      </c>
      <c r="EG58">
        <v>35.826044969999998</v>
      </c>
      <c r="EI58" s="32" t="s">
        <v>4374</v>
      </c>
      <c r="EJ58" s="32">
        <v>2219.4374864663882</v>
      </c>
      <c r="EK58" s="32">
        <v>55.659891074895974</v>
      </c>
      <c r="EL58" s="32">
        <v>39.874987959999999</v>
      </c>
      <c r="EN58" s="32" t="s">
        <v>4571</v>
      </c>
      <c r="EO58" s="32">
        <v>0.26633936253763324</v>
      </c>
      <c r="EP58" s="32">
        <v>8.0840659733999835E-3</v>
      </c>
      <c r="EQ58" s="32">
        <v>32.946213380000003</v>
      </c>
      <c r="EU58" t="str">
        <f>EN58</f>
        <v>Allianz - Euroland Equity Growth</v>
      </c>
      <c r="EV58" s="18">
        <f>_xlfn.IFNA(INDEX($EJ$51:$EJ$251,MATCH($EU58,$EI$51:$EI$251,0),1),0)</f>
        <v>0.22443178908911599</v>
      </c>
      <c r="EW58" s="18">
        <f>_xlfn.IFNA(INDEX($EK$51:$EK$251,MATCH($EU58,$EI$51:$EI$251,0),1),0)</f>
        <v>8.1036051210063454E-3</v>
      </c>
      <c r="EX58" s="18">
        <f>_xlfn.IFNA(INDEX($EO$51:$EO$246,MATCH($EU58,$EN$51:$EN$246,0),1),0)</f>
        <v>0.26633936253763324</v>
      </c>
      <c r="EY58" s="18">
        <f>_xlfn.IFNA(INDEX($EP$51:$EP$246,MATCH($EU58,$EN$51:$EN$246,0),1),0)</f>
        <v>8.0840659733999835E-3</v>
      </c>
      <c r="EZ58" s="18">
        <f>_xlfn.IFNA(EX58-EV58,"")</f>
        <v>4.1907573448517255E-2</v>
      </c>
      <c r="FA58" s="50">
        <f>EX58/EV58-1</f>
        <v>0.18672744007702424</v>
      </c>
      <c r="FB58" s="50">
        <f>_xlfn.IFNA(EY58/EW58-1,"")</f>
        <v>-2.4111672909273851E-3</v>
      </c>
      <c r="FC58" s="18">
        <f>-(_xlfn.IFNA(INDEX($EL$51:$EL$251,MATCH($EU58,$EI$51:$EI$251,0),1),0)-_xlfn.IFNA(INDEX($EQ$51:$EQ$246,MATCH($EU58,$EN$51:$EN$246,0),1),0))</f>
        <v>5.2509116300000045</v>
      </c>
    </row>
    <row r="59" spans="30:174" ht="15" customHeight="1" x14ac:dyDescent="0.25">
      <c r="AD59" s="52" t="s">
        <v>4447</v>
      </c>
      <c r="AE59" s="53">
        <v>8002.5234142958961</v>
      </c>
      <c r="AF59" s="32">
        <v>33.131700199518775</v>
      </c>
      <c r="AG59" s="102"/>
      <c r="AI59" s="52" t="s">
        <v>4447</v>
      </c>
      <c r="AJ59" s="53">
        <v>0.78307220870034855</v>
      </c>
      <c r="AM59" s="59" t="s">
        <v>4421</v>
      </c>
      <c r="AN59" s="60" t="s">
        <v>1123</v>
      </c>
      <c r="AO59" s="76"/>
      <c r="AQ59" s="25" t="s">
        <v>4457</v>
      </c>
      <c r="AR59">
        <v>15.106860923072077</v>
      </c>
      <c r="AS59">
        <v>1.4004781402746627E-3</v>
      </c>
      <c r="AU59" s="79"/>
      <c r="AV59" s="80" t="s">
        <v>4459</v>
      </c>
      <c r="AW59" s="80">
        <v>63.703602467357982</v>
      </c>
      <c r="AX59" s="82">
        <v>5.9056281226516627E-3</v>
      </c>
      <c r="BE59" s="76"/>
      <c r="BH59" s="260"/>
      <c r="BI59" s="260"/>
      <c r="BJ59" s="260"/>
      <c r="BK59" s="95"/>
      <c r="BN59" s="260"/>
      <c r="BO59" s="260"/>
      <c r="BP59" s="260"/>
      <c r="BQ59" s="95"/>
      <c r="CF59" s="24" t="s">
        <v>4359</v>
      </c>
      <c r="CG59" t="s">
        <v>4353</v>
      </c>
      <c r="CQ59" s="135" t="str" cm="1">
        <f t="array" ref="CQ59">INDEX(Parametria!$P:$P,MATCH(CR59,Parametria!$O:$O,0),0)</f>
        <v>Financials</v>
      </c>
      <c r="CR59" s="132" t="s">
        <v>4457</v>
      </c>
      <c r="CS59" s="132">
        <v>15.106860923072077</v>
      </c>
      <c r="CT59" s="132">
        <v>1.4004781402746627E-3</v>
      </c>
      <c r="CV59" s="135" t="str" cm="1">
        <f t="array" ref="CV59">INDEX(Parametria!$P:$P,MATCH(Presentacion!CW59,Parametria!$O:$O,0),0)</f>
        <v>Industrials</v>
      </c>
      <c r="CW59" s="133" t="s">
        <v>4553</v>
      </c>
      <c r="CX59" s="132">
        <v>2.0361022949883973</v>
      </c>
      <c r="CY59" s="132">
        <v>1.8875640478951662E-4</v>
      </c>
      <c r="DA59" t="s">
        <v>4831</v>
      </c>
      <c r="DB59">
        <v>208205.11144732268</v>
      </c>
      <c r="DC59">
        <v>22.82291633163722</v>
      </c>
      <c r="DH59" s="98"/>
      <c r="DM59" s="98"/>
      <c r="DN59" t="s">
        <v>5668</v>
      </c>
      <c r="DO59" t="s">
        <v>1324</v>
      </c>
      <c r="DP59" s="137">
        <v>17171.821094110222</v>
      </c>
      <c r="DQ59" s="100">
        <f>SUMIF($CV$58:$CV$95,$DO59,$CX$58:$CX$95)</f>
        <v>52773.687128000805</v>
      </c>
      <c r="DR59" s="100"/>
      <c r="DS59" s="100"/>
      <c r="DT59" s="138">
        <v>1.6803169669645062</v>
      </c>
      <c r="DU59" s="100">
        <f>SUMIF($CV$58:$CV$95,$DO59,$CY$58:$CY$95)</f>
        <v>4.8923727821960865</v>
      </c>
      <c r="DV59" s="151">
        <f>+DU59</f>
        <v>4.8923727821960865</v>
      </c>
      <c r="DZ59" s="76"/>
      <c r="ED59" s="25" t="s">
        <v>4571</v>
      </c>
      <c r="EE59">
        <v>0.26633936253763324</v>
      </c>
      <c r="EF59">
        <v>8.0840659733999835E-3</v>
      </c>
      <c r="EG59">
        <v>32.946213380000003</v>
      </c>
      <c r="EI59" s="32" t="s">
        <v>4370</v>
      </c>
      <c r="EJ59" s="32">
        <v>63.472710923720463</v>
      </c>
      <c r="EK59" s="32">
        <v>1.5917926041104307</v>
      </c>
      <c r="EL59" s="32">
        <v>39.874987959999999</v>
      </c>
      <c r="EN59" s="32" t="s">
        <v>4374</v>
      </c>
      <c r="EO59" s="32">
        <v>1566.5981201627915</v>
      </c>
      <c r="EP59" s="32">
        <v>39.65252808283546</v>
      </c>
      <c r="EQ59" s="32">
        <v>39.508152340000002</v>
      </c>
      <c r="EU59" t="str">
        <f>EN59</f>
        <v xml:space="preserve">Apax IX </v>
      </c>
      <c r="EV59" s="18">
        <f>_xlfn.IFNA(INDEX($EJ$51:$EJ$251,MATCH($EU59,$EI$51:$EI$251,0),1),0)</f>
        <v>2219.4374864663882</v>
      </c>
      <c r="EW59" s="18">
        <f>_xlfn.IFNA(INDEX($EK$51:$EK$251,MATCH($EU59,$EI$51:$EI$251,0),1),0)</f>
        <v>55.659891074895974</v>
      </c>
      <c r="EX59" s="18">
        <f>_xlfn.IFNA(INDEX($EO$51:$EO$246,MATCH($EU59,$EN$51:$EN$246,0),1),0)</f>
        <v>1566.5981201627915</v>
      </c>
      <c r="EY59" s="18">
        <f>_xlfn.IFNA(INDEX($EP$51:$EP$246,MATCH($EU59,$EN$51:$EN$246,0),1),0)</f>
        <v>39.65252808283546</v>
      </c>
      <c r="EZ59" s="18">
        <f>_xlfn.IFNA(EX59-EV59,"")</f>
        <v>-652.83936630359676</v>
      </c>
      <c r="FA59" s="50">
        <f>EX59/EV59-1</f>
        <v>-0.29414631873366959</v>
      </c>
      <c r="FB59" s="50">
        <f>_xlfn.IFNA(EY59/EW59-1,"")</f>
        <v>-0.2875924239686527</v>
      </c>
      <c r="FC59" s="18">
        <f>-(_xlfn.IFNA(INDEX($EL$51:$EL$251,MATCH($EU59,$EI$51:$EI$251,0),1),0)-_xlfn.IFNA(INDEX($EQ$51:$EQ$246,MATCH($EU59,$EN$51:$EN$246,0),1),0))</f>
        <v>-0.36683561999999625</v>
      </c>
    </row>
    <row r="60" spans="30:174" ht="15" customHeight="1" x14ac:dyDescent="0.25">
      <c r="AD60" s="52" t="s">
        <v>4424</v>
      </c>
      <c r="AE60" s="53">
        <v>35754.026138894318</v>
      </c>
      <c r="AF60" s="32">
        <v>39.433561235845858</v>
      </c>
      <c r="AG60" s="102"/>
      <c r="AI60" s="52" t="s">
        <v>4424</v>
      </c>
      <c r="AJ60" s="53">
        <v>3.4986444611330612</v>
      </c>
      <c r="AM60" s="59" t="s">
        <v>4498</v>
      </c>
      <c r="AN60" s="60" t="s">
        <v>4498</v>
      </c>
      <c r="AO60" s="76"/>
      <c r="AQ60" s="25" t="s">
        <v>4459</v>
      </c>
      <c r="AR60">
        <v>63.703602467357982</v>
      </c>
      <c r="AS60">
        <v>5.9056281226516627E-3</v>
      </c>
      <c r="AU60" s="79"/>
      <c r="AV60" s="80" t="s">
        <v>4531</v>
      </c>
      <c r="AW60" s="80">
        <v>6.5269943772357593</v>
      </c>
      <c r="AX60" s="82">
        <v>6.0508354406399434E-4</v>
      </c>
      <c r="AY60" s="81"/>
      <c r="BE60" s="76"/>
      <c r="BH60" s="24" t="s">
        <v>2821</v>
      </c>
      <c r="BI60" t="s">
        <v>4874</v>
      </c>
      <c r="BJ60" t="s">
        <v>4875</v>
      </c>
      <c r="BK60" t="s">
        <v>4863</v>
      </c>
      <c r="BN60" s="24" t="s">
        <v>2821</v>
      </c>
      <c r="BO60" t="s">
        <v>4874</v>
      </c>
      <c r="BP60" t="s">
        <v>4875</v>
      </c>
      <c r="BQ60" t="s">
        <v>4863</v>
      </c>
      <c r="BT60" s="24" t="s">
        <v>2821</v>
      </c>
      <c r="BU60" t="s">
        <v>4874</v>
      </c>
      <c r="BV60" t="s">
        <v>4875</v>
      </c>
      <c r="BW60" t="s">
        <v>4863</v>
      </c>
      <c r="BZ60" s="24" t="s">
        <v>2821</v>
      </c>
      <c r="CA60" t="s">
        <v>4874</v>
      </c>
      <c r="CB60" t="s">
        <v>4875</v>
      </c>
      <c r="CC60" t="s">
        <v>4863</v>
      </c>
      <c r="CQ60" s="135" t="str" cm="1">
        <f t="array" ref="CQ60">INDEX(Parametria!$P:$P,MATCH(CR60,Parametria!$O:$O,0),0)</f>
        <v>Financials</v>
      </c>
      <c r="CR60" s="132" t="s">
        <v>4459</v>
      </c>
      <c r="CS60" s="132">
        <v>63.703602467357982</v>
      </c>
      <c r="CT60" s="132">
        <v>5.9056281226516627E-3</v>
      </c>
      <c r="CV60" s="135" t="str" cm="1">
        <f t="array" ref="CV60">INDEX(Parametria!$P:$P,MATCH(Presentacion!CW60,Parametria!$O:$O,0),0)</f>
        <v>Financials</v>
      </c>
      <c r="CW60" s="133" t="s">
        <v>4531</v>
      </c>
      <c r="CX60" s="132">
        <v>6.5269943772357593</v>
      </c>
      <c r="CY60" s="132">
        <v>6.0508354406399434E-4</v>
      </c>
      <c r="DA60" t="s">
        <v>4796</v>
      </c>
      <c r="DB60">
        <v>38872.95533462015</v>
      </c>
      <c r="DC60">
        <v>4.2611547862501542</v>
      </c>
      <c r="DH60" s="131"/>
      <c r="DI60" s="131"/>
      <c r="DM60" s="131"/>
      <c r="DN60" t="s">
        <v>4833</v>
      </c>
      <c r="DO60" t="s">
        <v>4877</v>
      </c>
      <c r="DP60" s="137">
        <v>232668.75383962266</v>
      </c>
      <c r="DQ60" s="101">
        <f ca="1">DQ53-(DQ56+DQ58)</f>
        <v>210895.52083512075</v>
      </c>
      <c r="DR60" s="101"/>
      <c r="DS60" s="101"/>
      <c r="DT60" s="138">
        <v>22.767372931302024</v>
      </c>
      <c r="DU60" s="101">
        <f ca="1">DU53-(DU56+DU58)</f>
        <v>19.551021771858892</v>
      </c>
      <c r="DV60" s="151"/>
      <c r="DZ60" s="76"/>
      <c r="ED60" s="25" t="s">
        <v>4374</v>
      </c>
      <c r="EE60">
        <v>1566.5981201627915</v>
      </c>
      <c r="EF60">
        <v>39.65252808283546</v>
      </c>
      <c r="EG60">
        <v>39.508152340000002</v>
      </c>
      <c r="EI60" s="32" t="s">
        <v>4371</v>
      </c>
      <c r="EJ60" s="32">
        <v>5050.0057313256239</v>
      </c>
      <c r="EK60" s="32">
        <v>126.64594999731315</v>
      </c>
      <c r="EL60" s="32">
        <v>39.874987959999999</v>
      </c>
      <c r="EN60" s="32" t="s">
        <v>4370</v>
      </c>
      <c r="EO60" s="32">
        <v>44.958976594590375</v>
      </c>
      <c r="EP60" s="32">
        <v>1.1379670759513523</v>
      </c>
      <c r="EQ60" s="32">
        <v>39.508152340000002</v>
      </c>
      <c r="EU60" t="str">
        <f>EN60</f>
        <v>Apax VIII</v>
      </c>
      <c r="EV60" s="18">
        <f>_xlfn.IFNA(INDEX($EJ$51:$EJ$251,MATCH($EU60,$EI$51:$EI$251,0),1),0)</f>
        <v>63.472710923720463</v>
      </c>
      <c r="EW60" s="18">
        <f>_xlfn.IFNA(INDEX($EK$51:$EK$251,MATCH($EU60,$EI$51:$EI$251,0),1),0)</f>
        <v>1.5917926041104307</v>
      </c>
      <c r="EX60" s="18">
        <f>_xlfn.IFNA(INDEX($EO$51:$EO$246,MATCH($EU60,$EN$51:$EN$246,0),1),0)</f>
        <v>44.958976594590375</v>
      </c>
      <c r="EY60" s="18">
        <f>_xlfn.IFNA(INDEX($EP$51:$EP$246,MATCH($EU60,$EN$51:$EN$246,0),1),0)</f>
        <v>1.1379670759513523</v>
      </c>
      <c r="EZ60" s="18">
        <f>_xlfn.IFNA(EX60-EV60,"")</f>
        <v>-18.513734329130088</v>
      </c>
      <c r="FA60" s="50">
        <f>EX60/EV60-1</f>
        <v>-0.29168022067592669</v>
      </c>
      <c r="FB60" s="50">
        <f>_xlfn.IFNA(EY60/EW60-1,"")</f>
        <v>-0.28510342803904265</v>
      </c>
      <c r="FC60" s="18">
        <f>-(_xlfn.IFNA(INDEX($EL$51:$EL$251,MATCH($EU60,$EI$51:$EI$251,0),1),0)-_xlfn.IFNA(INDEX($EQ$51:$EQ$246,MATCH($EU60,$EN$51:$EN$246,0),1),0))</f>
        <v>-0.36683561999999625</v>
      </c>
    </row>
    <row r="61" spans="30:174" ht="15" customHeight="1" x14ac:dyDescent="0.25">
      <c r="AD61" s="52" t="s">
        <v>4452</v>
      </c>
      <c r="AE61" s="53">
        <v>1261.9011811314699</v>
      </c>
      <c r="AF61" s="32">
        <v>19.087988852199999</v>
      </c>
      <c r="AG61" s="7"/>
      <c r="AI61" s="52" t="s">
        <v>4452</v>
      </c>
      <c r="AJ61" s="53">
        <v>0.12348101891272532</v>
      </c>
      <c r="AM61" s="59" t="s">
        <v>4453</v>
      </c>
      <c r="AN61" s="60" t="s">
        <v>4882</v>
      </c>
      <c r="AO61" s="76"/>
      <c r="AQ61" s="25" t="s">
        <v>4531</v>
      </c>
      <c r="AR61">
        <v>6.5269943772357593</v>
      </c>
      <c r="AS61">
        <v>6.0508354406399434E-4</v>
      </c>
      <c r="AU61" s="79"/>
      <c r="AV61" s="80" t="s">
        <v>2804</v>
      </c>
      <c r="AW61" s="80">
        <v>30.576209526370711</v>
      </c>
      <c r="AX61" s="82">
        <v>2.8345606193236929E-3</v>
      </c>
      <c r="AY61" s="81"/>
      <c r="BB61" s="85" t="str">
        <f>+INDEX($AV$53:$AV$192,MATCH($BB52,$AW$53:$AW$192,0))</f>
        <v>Cementos Pacasmayo</v>
      </c>
      <c r="BC61" s="85" t="str">
        <f>+INDEX($AV$53:$AV$192,MATCH($BC52,$AX$53:$AX$192,0))</f>
        <v>Cementos Pacasmayo</v>
      </c>
      <c r="BE61" s="76"/>
      <c r="BH61" s="25" t="s">
        <v>4486</v>
      </c>
      <c r="BI61">
        <v>2801.3402683809691</v>
      </c>
      <c r="BJ61">
        <v>0.25969761880490616</v>
      </c>
      <c r="BK61">
        <v>76.539351595108457</v>
      </c>
      <c r="BN61" s="25" t="s">
        <v>4607</v>
      </c>
      <c r="BO61" s="7">
        <v>347.87074558378174</v>
      </c>
      <c r="BP61" s="7">
        <v>3.2249279139591282E-2</v>
      </c>
      <c r="BQ61" s="7">
        <v>1.3024435801761136</v>
      </c>
      <c r="BT61" s="25" t="s">
        <v>155</v>
      </c>
      <c r="BU61" s="7">
        <v>52914.747508588865</v>
      </c>
      <c r="BV61" s="7">
        <v>4.9054497530160592</v>
      </c>
      <c r="BW61" s="7">
        <v>582.40973064399157</v>
      </c>
      <c r="BZ61" s="25" t="s">
        <v>155</v>
      </c>
      <c r="CA61" s="7">
        <v>21732.372756596465</v>
      </c>
      <c r="CB61">
        <v>2.014694722940805</v>
      </c>
      <c r="CC61" s="7">
        <v>157.70106427601226</v>
      </c>
      <c r="CF61" s="24" t="s">
        <v>2821</v>
      </c>
      <c r="CG61" t="s">
        <v>4874</v>
      </c>
      <c r="CH61" t="s">
        <v>4875</v>
      </c>
      <c r="CI61" t="s">
        <v>4863</v>
      </c>
      <c r="CQ61" s="135" t="str" cm="1">
        <f t="array" ref="CQ61">INDEX(Parametria!$P:$P,MATCH(CR61,Parametria!$O:$O,0),0)</f>
        <v>Financials</v>
      </c>
      <c r="CR61" s="132" t="s">
        <v>4460</v>
      </c>
      <c r="CS61" s="132">
        <v>33.977646480656141</v>
      </c>
      <c r="CT61" s="132">
        <v>3.1498900662721234E-3</v>
      </c>
      <c r="CV61" s="135" t="str" cm="1">
        <f t="array" ref="CV61">INDEX(Parametria!$P:$P,MATCH(Presentacion!CW61,Parametria!$O:$O,0),0)</f>
        <v>Financials</v>
      </c>
      <c r="CW61" s="133" t="s">
        <v>2804</v>
      </c>
      <c r="CX61" s="132">
        <v>30.576209526370711</v>
      </c>
      <c r="CY61" s="132">
        <v>2.8345606193236929E-3</v>
      </c>
      <c r="DA61" t="s">
        <v>428</v>
      </c>
      <c r="DB61">
        <v>54957.546933934573</v>
      </c>
      <c r="DC61">
        <v>6.0243069286152355</v>
      </c>
      <c r="DH61" s="131"/>
      <c r="DI61" s="131"/>
      <c r="DM61" s="131"/>
      <c r="DN61" t="s">
        <v>5668</v>
      </c>
      <c r="DO61" t="s">
        <v>4877</v>
      </c>
      <c r="DP61" s="137">
        <v>33233.579410976476</v>
      </c>
      <c r="DQ61" s="100">
        <f>DQ54-(DQ57+DQ59)</f>
        <v>29461.007777239181</v>
      </c>
      <c r="DR61" s="100"/>
      <c r="DS61" s="100"/>
      <c r="DT61" s="138">
        <v>3.2520107827340254</v>
      </c>
      <c r="DU61" s="100">
        <f>DU54-(DU57+DU59)</f>
        <v>2.7311760922794637</v>
      </c>
      <c r="DV61" s="151">
        <f>+DU61</f>
        <v>2.7311760922794637</v>
      </c>
      <c r="DZ61" s="76"/>
      <c r="ED61" s="25" t="s">
        <v>4370</v>
      </c>
      <c r="EE61">
        <v>44.958976594590375</v>
      </c>
      <c r="EF61">
        <v>1.1379670759513523</v>
      </c>
      <c r="EG61">
        <v>39.508152340000002</v>
      </c>
      <c r="EI61" s="32" t="s">
        <v>4363</v>
      </c>
      <c r="EJ61" s="32">
        <v>26.724667764124209</v>
      </c>
      <c r="EK61" s="32">
        <v>0.21893799976174438</v>
      </c>
      <c r="EL61" s="32">
        <v>122.06500376</v>
      </c>
      <c r="EN61" s="32" t="s">
        <v>4371</v>
      </c>
      <c r="EO61" s="32">
        <v>5485.381805489772</v>
      </c>
      <c r="EP61" s="32">
        <v>138.84177013097371</v>
      </c>
      <c r="EQ61" s="32">
        <v>39.508152340000002</v>
      </c>
      <c r="EU61" t="str">
        <f>EN61</f>
        <v>Apax X</v>
      </c>
      <c r="EV61" s="18">
        <f>_xlfn.IFNA(INDEX($EJ$51:$EJ$251,MATCH($EU61,$EI$51:$EI$251,0),1),0)</f>
        <v>5050.0057313256239</v>
      </c>
      <c r="EW61" s="18">
        <f>_xlfn.IFNA(INDEX($EK$51:$EK$251,MATCH($EU61,$EI$51:$EI$251,0),1),0)</f>
        <v>126.64594999731315</v>
      </c>
      <c r="EX61" s="18">
        <f>_xlfn.IFNA(INDEX($EO$51:$EO$246,MATCH($EU61,$EN$51:$EN$246,0),1),0)</f>
        <v>5485.381805489772</v>
      </c>
      <c r="EY61" s="18">
        <f>_xlfn.IFNA(INDEX($EP$51:$EP$246,MATCH($EU61,$EN$51:$EN$246,0),1),0)</f>
        <v>138.84177013097371</v>
      </c>
      <c r="EZ61" s="18">
        <f>_xlfn.IFNA(EX61-EV61,"")</f>
        <v>435.37607416414812</v>
      </c>
      <c r="FA61" s="50">
        <f>EX61/EV61-1</f>
        <v>8.6212986148406223E-2</v>
      </c>
      <c r="FB61" s="50">
        <f>_xlfn.IFNA(EY61/EW61-1,"")</f>
        <v>9.6298540410643119E-2</v>
      </c>
      <c r="FC61" s="18">
        <f>-(_xlfn.IFNA(INDEX($EL$51:$EL$251,MATCH($EU61,$EI$51:$EI$251,0),1),0)-_xlfn.IFNA(INDEX($EQ$51:$EQ$246,MATCH($EU61,$EN$51:$EN$246,0),1),0))</f>
        <v>-0.36683561999999625</v>
      </c>
    </row>
    <row r="62" spans="30:174" ht="15" customHeight="1" x14ac:dyDescent="0.25">
      <c r="AD62" s="52" t="s">
        <v>4420</v>
      </c>
      <c r="AE62" s="53">
        <v>970.4152033634258</v>
      </c>
      <c r="AF62" s="32">
        <v>29.297319999999999</v>
      </c>
      <c r="AG62" s="7"/>
      <c r="AI62" s="52" t="s">
        <v>4420</v>
      </c>
      <c r="AJ62" s="53">
        <v>9.4958194723514744E-2</v>
      </c>
      <c r="AM62" s="59" t="s">
        <v>4523</v>
      </c>
      <c r="AN62" s="60"/>
      <c r="AO62" s="76"/>
      <c r="AQ62" s="25" t="s">
        <v>2804</v>
      </c>
      <c r="AR62">
        <v>30.576209526370711</v>
      </c>
      <c r="AS62">
        <v>2.8345606193236929E-3</v>
      </c>
      <c r="AU62" s="79"/>
      <c r="AV62" s="80" t="s">
        <v>4460</v>
      </c>
      <c r="AW62" s="80">
        <v>33.977646480656141</v>
      </c>
      <c r="AX62" s="82">
        <v>3.1498900662721234E-3</v>
      </c>
      <c r="AY62" s="81"/>
      <c r="BB62" s="85" t="str">
        <f>+INDEX($AV$53:$AV$192,MATCH($BB53,$AW$53:$AW$192,0))</f>
        <v>Unión Andina de Cementos</v>
      </c>
      <c r="BC62" s="85" t="str">
        <f>+INDEX($AV$53:$AV$192,MATCH($BC53,$AX$53:$AX$192,0))</f>
        <v>Unión Andina de Cementos</v>
      </c>
      <c r="BE62" s="76"/>
      <c r="BH62" s="25" t="s">
        <v>5554</v>
      </c>
      <c r="BI62">
        <v>1029.8812976308031</v>
      </c>
      <c r="BJ62">
        <v>9.5474913799387606E-2</v>
      </c>
      <c r="BK62">
        <v>28.138833268601179</v>
      </c>
      <c r="BN62" s="25" t="s">
        <v>4553</v>
      </c>
      <c r="BO62" s="7">
        <v>2.0361022949883973</v>
      </c>
      <c r="BP62" s="7">
        <v>1.8875640478951662E-4</v>
      </c>
      <c r="BQ62" s="7">
        <v>6.1579931893748698E-2</v>
      </c>
      <c r="BT62" s="36" t="s">
        <v>4518</v>
      </c>
      <c r="BU62" s="7">
        <v>8.2161611310814422E-4</v>
      </c>
      <c r="BV62" s="7">
        <v>7.6167736763104958E-8</v>
      </c>
      <c r="BW62" s="7">
        <v>3.3747006998125504E-4</v>
      </c>
      <c r="BZ62" s="36" t="s">
        <v>4517</v>
      </c>
      <c r="CA62">
        <v>6456.9160674661534</v>
      </c>
      <c r="CB62">
        <v>0.59858695013627505</v>
      </c>
      <c r="CC62">
        <v>44.300303073599984</v>
      </c>
      <c r="CF62" s="25" t="s">
        <v>428</v>
      </c>
      <c r="CG62" s="7">
        <v>89987.830757081028</v>
      </c>
      <c r="CH62" s="7">
        <v>8.3423015878536066</v>
      </c>
      <c r="CI62" s="7">
        <v>1922.9447451625874</v>
      </c>
      <c r="CQ62" s="135" t="str" cm="1">
        <f t="array" ref="CQ62">INDEX(Parametria!$P:$P,MATCH(CR62,Parametria!$O:$O,0),0)</f>
        <v>Financials</v>
      </c>
      <c r="CR62" s="132" t="s">
        <v>4436</v>
      </c>
      <c r="CS62" s="132">
        <v>70.737775988879861</v>
      </c>
      <c r="CT62" s="132">
        <v>6.5577295950856162E-3</v>
      </c>
      <c r="CV62" s="135" t="str" cm="1">
        <f t="array" ref="CV62">INDEX(Parametria!$P:$P,MATCH(Presentacion!CW62,Parametria!$O:$O,0),0)</f>
        <v>Fondo</v>
      </c>
      <c r="CW62" s="133" t="s">
        <v>4455</v>
      </c>
      <c r="CX62" s="132">
        <v>510.8897225977783</v>
      </c>
      <c r="CY62" s="132">
        <v>4.7361916696832568E-2</v>
      </c>
      <c r="DA62" t="s">
        <v>4831</v>
      </c>
      <c r="DB62">
        <v>54957.546933934573</v>
      </c>
      <c r="DC62">
        <v>6.0243069286152355</v>
      </c>
      <c r="DH62" s="7"/>
      <c r="DI62" s="7"/>
      <c r="DM62" s="131"/>
      <c r="DN62" t="s">
        <v>4833</v>
      </c>
      <c r="DO62" t="s">
        <v>4982</v>
      </c>
      <c r="DP62" s="137">
        <v>44669.733336650439</v>
      </c>
      <c r="DQ62" s="101">
        <f>GETPIVOTDATA("Sum of Huella",$BT$60,"TIPO_RENTA","RENTA FIJA")</f>
        <v>52914.747508588865</v>
      </c>
      <c r="DR62" s="136"/>
      <c r="DS62" s="136"/>
      <c r="DT62" s="138">
        <v>4.3710745892349445</v>
      </c>
      <c r="DU62" s="101">
        <f>GETPIVOTDATA("Sum of Intensidad-M",$BT$60,"TIPO_RENTA","RENTA FIJA")</f>
        <v>4.9054497530160592</v>
      </c>
      <c r="DV62" s="151"/>
      <c r="DZ62" s="76"/>
      <c r="ED62" s="25" t="s">
        <v>4371</v>
      </c>
      <c r="EE62">
        <v>5485.381805489772</v>
      </c>
      <c r="EF62">
        <v>138.84177013097371</v>
      </c>
      <c r="EG62">
        <v>39.508152340000002</v>
      </c>
      <c r="EI62" s="32" t="s">
        <v>4397</v>
      </c>
      <c r="EJ62" s="32">
        <v>734.0778329826536</v>
      </c>
      <c r="EK62" s="32">
        <v>18.409480993926138</v>
      </c>
      <c r="EL62" s="32">
        <v>39.874987959999999</v>
      </c>
      <c r="EN62" s="32" t="s">
        <v>4363</v>
      </c>
      <c r="EO62" s="32">
        <v>9.788684609954915</v>
      </c>
      <c r="EP62" s="32">
        <v>8.0085999950043146E-2</v>
      </c>
      <c r="EQ62" s="32">
        <v>122.2271635</v>
      </c>
      <c r="EU62" t="str">
        <f>EN62</f>
        <v>Apollo Credit Opportunity III</v>
      </c>
      <c r="EV62" s="18">
        <f>_xlfn.IFNA(INDEX($EJ$51:$EJ$251,MATCH($EU62,$EI$51:$EI$251,0),1),0)</f>
        <v>26.724667764124209</v>
      </c>
      <c r="EW62" s="18">
        <f>_xlfn.IFNA(INDEX($EK$51:$EK$251,MATCH($EU62,$EI$51:$EI$251,0),1),0)</f>
        <v>0.21893799976174438</v>
      </c>
      <c r="EX62" s="18">
        <f>_xlfn.IFNA(INDEX($EO$51:$EO$246,MATCH($EU62,$EN$51:$EN$246,0),1),0)</f>
        <v>9.788684609954915</v>
      </c>
      <c r="EY62" s="18">
        <f>_xlfn.IFNA(INDEX($EP$51:$EP$246,MATCH($EU62,$EN$51:$EN$246,0),1),0)</f>
        <v>8.0085999950043146E-2</v>
      </c>
      <c r="EZ62" s="18">
        <f>_xlfn.IFNA(EX62-EV62,"")</f>
        <v>-16.935983154169293</v>
      </c>
      <c r="FA62" s="50">
        <f>EX62/EV62-1</f>
        <v>-0.63372099902789203</v>
      </c>
      <c r="FB62" s="50">
        <f>_xlfn.IFNA(EY62/EW62-1,"")</f>
        <v>-0.63420694426186686</v>
      </c>
      <c r="FC62" s="18">
        <f>-(_xlfn.IFNA(INDEX($EL$51:$EL$251,MATCH($EU62,$EI$51:$EI$251,0),1),0)-_xlfn.IFNA(INDEX($EQ$51:$EQ$246,MATCH($EU62,$EN$51:$EN$246,0),1),0))</f>
        <v>0.16215974000000699</v>
      </c>
    </row>
    <row r="63" spans="30:174" ht="15" customHeight="1" x14ac:dyDescent="0.25">
      <c r="AD63" s="52" t="s">
        <v>5548</v>
      </c>
      <c r="AE63" s="53">
        <v>4388.250212023484</v>
      </c>
      <c r="AF63" s="32"/>
      <c r="AG63" s="7"/>
      <c r="AI63" s="52" t="s">
        <v>5548</v>
      </c>
      <c r="AJ63" s="53">
        <v>0.42940415266018284</v>
      </c>
      <c r="AM63" s="59" t="s">
        <v>4420</v>
      </c>
      <c r="AN63" s="60" t="s">
        <v>4883</v>
      </c>
      <c r="AO63" s="76"/>
      <c r="AQ63" s="25" t="s">
        <v>4460</v>
      </c>
      <c r="AR63">
        <v>33.977646480656141</v>
      </c>
      <c r="AS63">
        <v>3.1498900662721234E-3</v>
      </c>
      <c r="AU63" s="79"/>
      <c r="AV63" s="32" t="s">
        <v>4518</v>
      </c>
      <c r="AW63" s="32">
        <v>8.2161611310814422E-4</v>
      </c>
      <c r="AX63" s="32">
        <v>7.6167736763104958E-8</v>
      </c>
      <c r="AY63" s="81"/>
      <c r="BB63" s="85" t="str">
        <f>+INDEX($AV$53:$AV$192,MATCH($BB54,$AW$53:$AW$192,0))</f>
        <v>Ecopetrol</v>
      </c>
      <c r="BC63" s="85" t="str">
        <f>+INDEX($AV$53:$AV$192,MATCH($BC54,$AX$53:$AX$192,0))</f>
        <v>Ecopetrol</v>
      </c>
      <c r="BE63" s="76"/>
      <c r="BH63" s="25" t="s">
        <v>4457</v>
      </c>
      <c r="BI63" s="7">
        <v>15.106860923072077</v>
      </c>
      <c r="BJ63" s="7">
        <v>1.4004781402746627E-3</v>
      </c>
      <c r="BK63" s="7">
        <v>19.619299900093605</v>
      </c>
      <c r="BN63" s="25" t="s">
        <v>4531</v>
      </c>
      <c r="BO63" s="7">
        <v>6.5269943772357593</v>
      </c>
      <c r="BP63" s="7">
        <v>6.0508354406399434E-4</v>
      </c>
      <c r="BQ63" s="7">
        <v>1.6304342604907018</v>
      </c>
      <c r="BT63" s="36" t="s">
        <v>4448</v>
      </c>
      <c r="BU63" s="7">
        <v>4.5645949921050602E-2</v>
      </c>
      <c r="BV63" s="7">
        <v>4.2315975093721554E-6</v>
      </c>
      <c r="BW63" s="7">
        <v>1.1058E-4</v>
      </c>
      <c r="BZ63" s="36" t="s">
        <v>4428</v>
      </c>
      <c r="CA63">
        <v>11923.363984565696</v>
      </c>
      <c r="CB63">
        <v>1.1053527734156656</v>
      </c>
      <c r="CC63">
        <v>81.80509590863997</v>
      </c>
      <c r="CF63" s="25" t="s">
        <v>4872</v>
      </c>
      <c r="CG63" s="7">
        <v>89987.830757081028</v>
      </c>
      <c r="CH63" s="7">
        <v>8.3423015878536066</v>
      </c>
      <c r="CI63" s="7">
        <v>1922.9447451625874</v>
      </c>
      <c r="CQ63" s="135" t="str" cm="1">
        <f t="array" ref="CQ63">INDEX(Parametria!$P:$P,MATCH(CR63,Parametria!$O:$O,0),0)</f>
        <v>Materials</v>
      </c>
      <c r="CR63" s="132" t="s">
        <v>4484</v>
      </c>
      <c r="CS63" s="132">
        <v>21206.529188437857</v>
      </c>
      <c r="CT63" s="132">
        <v>1.9659465133583995</v>
      </c>
      <c r="CV63" s="135" t="str" cm="1">
        <f t="array" ref="CV63">INDEX(Parametria!$P:$P,MATCH(Presentacion!CW63,Parametria!$O:$O,0),0)</f>
        <v>Consumer Discretionary</v>
      </c>
      <c r="CW63" s="133" t="s">
        <v>2800</v>
      </c>
      <c r="CX63" s="132">
        <v>102.51468149807735</v>
      </c>
      <c r="CY63" s="132">
        <v>9.5036004651375943E-3</v>
      </c>
      <c r="DH63" s="7"/>
      <c r="DI63" s="7"/>
      <c r="DM63" s="131"/>
      <c r="DN63" t="s">
        <v>5668</v>
      </c>
      <c r="DO63" t="s">
        <v>5665</v>
      </c>
      <c r="DP63" s="137">
        <v>36052.688760613491</v>
      </c>
      <c r="DQ63" s="101">
        <f>GETPIVOTDATA("Sum of Huella",$BZ$60,"TIPO_RENTA","RENTA FIJA")</f>
        <v>21732.372756596465</v>
      </c>
      <c r="DR63" s="136"/>
      <c r="DS63" s="136"/>
      <c r="DT63" s="138">
        <v>3.5278695426152442</v>
      </c>
      <c r="DU63" s="101">
        <f>GETPIVOTDATA("Sum of Intensidad-M",$BZ$60,"TIPO_RENTA","RENTA FIJA")</f>
        <v>2.014694722940805</v>
      </c>
      <c r="DV63" s="151">
        <f>+DU63+DU67</f>
        <v>2.0147107642133935</v>
      </c>
      <c r="DZ63" s="76"/>
      <c r="ED63" s="25" t="s">
        <v>4363</v>
      </c>
      <c r="EE63">
        <v>9.788684609954915</v>
      </c>
      <c r="EF63">
        <v>8.0085999950043146E-2</v>
      </c>
      <c r="EG63">
        <v>122.2271635</v>
      </c>
      <c r="EI63" s="32" t="s">
        <v>4388</v>
      </c>
      <c r="EJ63" s="32">
        <v>1135.7218377394283</v>
      </c>
      <c r="EK63" s="32">
        <v>28.482060957076925</v>
      </c>
      <c r="EL63" s="32">
        <v>39.874987959999999</v>
      </c>
      <c r="EN63" s="32" t="s">
        <v>4397</v>
      </c>
      <c r="EO63" s="32">
        <v>626.23894194626394</v>
      </c>
      <c r="EP63" s="32">
        <v>15.850878992187866</v>
      </c>
      <c r="EQ63" s="32">
        <v>39.508152340000002</v>
      </c>
      <c r="EU63" t="str">
        <f>EN63</f>
        <v>ARCM - ARC Fund II</v>
      </c>
      <c r="EV63" s="18">
        <f>_xlfn.IFNA(INDEX($EJ$51:$EJ$251,MATCH($EU63,$EI$51:$EI$251,0),1),0)</f>
        <v>734.0778329826536</v>
      </c>
      <c r="EW63" s="18">
        <f>_xlfn.IFNA(INDEX($EK$51:$EK$251,MATCH($EU63,$EI$51:$EI$251,0),1),0)</f>
        <v>18.409480993926138</v>
      </c>
      <c r="EX63" s="18">
        <f>_xlfn.IFNA(INDEX($EO$51:$EO$246,MATCH($EU63,$EN$51:$EN$246,0),1),0)</f>
        <v>626.23894194626394</v>
      </c>
      <c r="EY63" s="18">
        <f>_xlfn.IFNA(INDEX($EP$51:$EP$246,MATCH($EU63,$EN$51:$EN$246,0),1),0)</f>
        <v>15.850878992187866</v>
      </c>
      <c r="EZ63" s="18">
        <f>_xlfn.IFNA(EX63-EV63,"")</f>
        <v>-107.83889103638967</v>
      </c>
      <c r="FA63" s="50">
        <f>EX63/EV63-1</f>
        <v>-0.14690389246359103</v>
      </c>
      <c r="FB63" s="50">
        <f>_xlfn.IFNA(EY63/EW63-1,"")</f>
        <v>-0.13898284273100558</v>
      </c>
      <c r="FC63" s="18">
        <f>-(_xlfn.IFNA(INDEX($EL$51:$EL$251,MATCH($EU63,$EI$51:$EI$251,0),1),0)-_xlfn.IFNA(INDEX($EQ$51:$EQ$246,MATCH($EU63,$EN$51:$EN$246,0),1),0))</f>
        <v>-0.36683561999999625</v>
      </c>
    </row>
    <row r="64" spans="30:174" ht="15" customHeight="1" x14ac:dyDescent="0.25">
      <c r="AD64" s="52"/>
      <c r="AE64" s="53"/>
      <c r="AF64" s="32"/>
      <c r="AG64" s="7"/>
      <c r="AI64" s="52"/>
      <c r="AJ64" s="53"/>
      <c r="AM64" s="59" t="s">
        <v>4518</v>
      </c>
      <c r="AN64" s="60"/>
      <c r="AO64" s="76"/>
      <c r="AQ64" s="25" t="s">
        <v>4518</v>
      </c>
      <c r="AR64">
        <v>8.2161611310814422E-4</v>
      </c>
      <c r="AS64">
        <v>7.6167736763104958E-8</v>
      </c>
      <c r="AU64" s="79"/>
      <c r="AV64" s="32" t="s">
        <v>4448</v>
      </c>
      <c r="AW64" s="32">
        <v>4.5645949921050602E-2</v>
      </c>
      <c r="AX64" s="32">
        <v>4.2315975093721554E-6</v>
      </c>
      <c r="BB64" s="85" t="str">
        <f>+INDEX($AV$53:$AV$192,MATCH($BB55,$AW$53:$AW$192,0))</f>
        <v>Minsur</v>
      </c>
      <c r="BC64" s="85" t="str">
        <f>+INDEX($AV$53:$AV$192,MATCH($BC55,$AX$53:$AX$192,0))</f>
        <v>Minsur</v>
      </c>
      <c r="BE64" s="76"/>
      <c r="BH64" s="25" t="s">
        <v>4459</v>
      </c>
      <c r="BI64" s="7">
        <v>63.703602467357982</v>
      </c>
      <c r="BJ64" s="7">
        <v>5.9056281226516627E-3</v>
      </c>
      <c r="BK64" s="7">
        <v>104.43213519239012</v>
      </c>
      <c r="BN64" s="25" t="s">
        <v>2804</v>
      </c>
      <c r="BO64" s="7">
        <v>30.576209526370711</v>
      </c>
      <c r="BP64" s="7">
        <v>2.8345606193236929E-3</v>
      </c>
      <c r="BQ64" s="7">
        <v>7.6378952832574623</v>
      </c>
      <c r="BT64" s="36" t="s">
        <v>4414</v>
      </c>
      <c r="BU64" s="7">
        <v>16.01204312791269</v>
      </c>
      <c r="BV64" s="7">
        <v>1.4843928527553223E-3</v>
      </c>
      <c r="BW64" s="7">
        <v>31.192300517160582</v>
      </c>
      <c r="BZ64" s="36" t="s">
        <v>4417</v>
      </c>
      <c r="CA64">
        <v>101.51689814663064</v>
      </c>
      <c r="CB64">
        <v>9.411101184211736E-3</v>
      </c>
      <c r="CC64">
        <v>0.77832481963997757</v>
      </c>
      <c r="CQ64" s="135" t="str" cm="1">
        <f t="array" ref="CQ64">INDEX(Parametria!$P:$P,MATCH(CR64,Parametria!$O:$O,0),0)</f>
        <v>Materials</v>
      </c>
      <c r="CR64" s="132" t="s">
        <v>4488</v>
      </c>
      <c r="CS64" s="132">
        <v>188617.25767416041</v>
      </c>
      <c r="CT64" s="132">
        <v>17.485720401899187</v>
      </c>
      <c r="CV64" s="135" t="str" cm="1">
        <f t="array" ref="CV64">INDEX(Parametria!$P:$P,MATCH(Presentacion!CW64,Parametria!$O:$O,0),0)</f>
        <v>Consumer Discretionary</v>
      </c>
      <c r="CW64" s="133" t="s">
        <v>2809</v>
      </c>
      <c r="CX64" s="132">
        <v>89.191657803556694</v>
      </c>
      <c r="CY64" s="132">
        <v>8.2684925534707143E-3</v>
      </c>
      <c r="DH64" s="7"/>
      <c r="DI64" s="7"/>
      <c r="DM64" s="131"/>
      <c r="DN64" t="s">
        <v>4833</v>
      </c>
      <c r="DO64" t="s">
        <v>5664</v>
      </c>
      <c r="DP64" s="137"/>
      <c r="DQ64" s="101"/>
      <c r="DR64" s="101"/>
      <c r="DS64" s="101"/>
      <c r="DT64" s="138"/>
      <c r="DU64" s="101"/>
      <c r="DZ64" s="76"/>
      <c r="ED64" s="25" t="s">
        <v>4397</v>
      </c>
      <c r="EE64">
        <v>626.23894194626394</v>
      </c>
      <c r="EF64">
        <v>15.850878992187866</v>
      </c>
      <c r="EG64">
        <v>39.508152340000002</v>
      </c>
      <c r="EI64" s="32" t="s">
        <v>4389</v>
      </c>
      <c r="EJ64" s="32">
        <v>4269.1442518208532</v>
      </c>
      <c r="EK64" s="32">
        <v>107.06321105609817</v>
      </c>
      <c r="EL64" s="32">
        <v>39.874987959999999</v>
      </c>
      <c r="EN64" s="32" t="s">
        <v>4388</v>
      </c>
      <c r="EO64" s="32">
        <v>1054.8191125245276</v>
      </c>
      <c r="EP64" s="32">
        <v>26.698771014319913</v>
      </c>
      <c r="EQ64" s="32">
        <v>39.508152340000002</v>
      </c>
      <c r="EU64" t="str">
        <f>EN64</f>
        <v>ASF Cosmos Co-Invest L.P.</v>
      </c>
      <c r="EV64" s="18">
        <f>_xlfn.IFNA(INDEX($EJ$51:$EJ$251,MATCH($EU64,$EI$51:$EI$251,0),1),0)</f>
        <v>1135.7218377394283</v>
      </c>
      <c r="EW64" s="18">
        <f>_xlfn.IFNA(INDEX($EK$51:$EK$251,MATCH($EU64,$EI$51:$EI$251,0),1),0)</f>
        <v>28.482060957076925</v>
      </c>
      <c r="EX64" s="18">
        <f>_xlfn.IFNA(INDEX($EO$51:$EO$246,MATCH($EU64,$EN$51:$EN$246,0),1),0)</f>
        <v>1054.8191125245276</v>
      </c>
      <c r="EY64" s="18">
        <f>_xlfn.IFNA(INDEX($EP$51:$EP$246,MATCH($EU64,$EN$51:$EN$246,0),1),0)</f>
        <v>26.698771014319913</v>
      </c>
      <c r="EZ64" s="18">
        <f>_xlfn.IFNA(EX64-EV64,"")</f>
        <v>-80.902725214900784</v>
      </c>
      <c r="FA64" s="50">
        <f>EX64/EV64-1</f>
        <v>-7.1234630282298483E-2</v>
      </c>
      <c r="FB64" s="50">
        <f>_xlfn.IFNA(EY64/EW64-1,"")</f>
        <v>-6.2610986804798596E-2</v>
      </c>
      <c r="FC64" s="18">
        <f>-(_xlfn.IFNA(INDEX($EL$51:$EL$251,MATCH($EU64,$EI$51:$EI$251,0),1),0)-_xlfn.IFNA(INDEX($EQ$51:$EQ$246,MATCH($EU64,$EN$51:$EN$246,0),1),0))</f>
        <v>-0.36683561999999625</v>
      </c>
    </row>
    <row r="65" spans="25:174" ht="15" customHeight="1" x14ac:dyDescent="0.25">
      <c r="AD65" s="52"/>
      <c r="AE65" s="53"/>
      <c r="AF65" s="32"/>
      <c r="AG65" s="7"/>
      <c r="AI65" s="52"/>
      <c r="AJ65" s="53"/>
      <c r="AM65" s="59" t="s">
        <v>4531</v>
      </c>
      <c r="AN65" s="60" t="s">
        <v>4531</v>
      </c>
      <c r="AO65" s="76"/>
      <c r="AQ65" s="25" t="s">
        <v>4448</v>
      </c>
      <c r="AR65">
        <v>4.5645949921050602E-2</v>
      </c>
      <c r="AS65">
        <v>4.2315975093721554E-6</v>
      </c>
      <c r="AU65" s="79"/>
      <c r="AV65" s="32" t="s">
        <v>4436</v>
      </c>
      <c r="AW65" s="32">
        <v>70.737775988879861</v>
      </c>
      <c r="AX65" s="32">
        <v>6.5577295950856162E-3</v>
      </c>
      <c r="BB65" s="85" t="str">
        <f>+INDEX($AV$53:$AV$192,MATCH($BB56,$AW$53:$AW$192,0))</f>
        <v>State Street - S&amp;P Metals &amp; Mining ETF</v>
      </c>
      <c r="BC65" s="85" t="str">
        <f>+INDEX($AV$53:$AV$192,MATCH($BC56,$AX$53:$AX$192,0))</f>
        <v>State Street - S&amp;P Metals &amp; Mining ETF</v>
      </c>
      <c r="BE65" s="76"/>
      <c r="BH65" s="25" t="s">
        <v>4460</v>
      </c>
      <c r="BI65" s="7">
        <v>33.977646480656141</v>
      </c>
      <c r="BJ65" s="7">
        <v>3.1498900662721234E-3</v>
      </c>
      <c r="BK65" s="7">
        <v>72.292864852459886</v>
      </c>
      <c r="BN65" s="25" t="s">
        <v>4455</v>
      </c>
      <c r="BO65" s="7">
        <v>510.8897225977783</v>
      </c>
      <c r="BP65" s="7">
        <v>4.7361916696832568E-2</v>
      </c>
      <c r="BQ65" s="7">
        <v>16.30543762431218</v>
      </c>
      <c r="BT65" s="36" t="s">
        <v>4523</v>
      </c>
      <c r="BU65" s="7">
        <v>2.0915984375237453E-5</v>
      </c>
      <c r="BV65" s="7">
        <v>1.9390116218723788E-9</v>
      </c>
      <c r="BW65" s="7">
        <v>3.4058009997322143E-4</v>
      </c>
      <c r="BZ65" s="36" t="s">
        <v>4412</v>
      </c>
      <c r="CA65">
        <v>4.2026561293421139E-2</v>
      </c>
      <c r="CB65">
        <v>3.8960629016223548E-6</v>
      </c>
      <c r="CC65">
        <v>3.9843613115534532E-4</v>
      </c>
      <c r="CQ65" s="135" t="str" cm="1">
        <f t="array" ref="CQ65">INDEX(Parametria!$P:$P,MATCH(CR65,Parametria!$O:$O,0),0)</f>
        <v>Financials</v>
      </c>
      <c r="CR65" s="132" t="s">
        <v>4614</v>
      </c>
      <c r="CS65" s="132">
        <v>315.15101779000003</v>
      </c>
      <c r="CT65" s="132">
        <v>2.9216004141941393E-2</v>
      </c>
      <c r="CV65" s="135" t="str" cm="1">
        <f t="array" ref="CV65">INDEX(Parametria!$P:$P,MATCH(Presentacion!CW65,Parametria!$O:$O,0),0)</f>
        <v>Utilities</v>
      </c>
      <c r="CW65" s="133" t="s">
        <v>4625</v>
      </c>
      <c r="CX65" s="132">
        <v>13377.563489942266</v>
      </c>
      <c r="CY65" s="132">
        <v>1.2401640111207626</v>
      </c>
      <c r="DA65" s="269" t="s">
        <v>6657</v>
      </c>
      <c r="DB65" s="269"/>
      <c r="DC65" s="269"/>
      <c r="DD65" s="269"/>
      <c r="DE65" s="269"/>
      <c r="DF65" s="269"/>
      <c r="DG65" s="269"/>
      <c r="DH65" s="269"/>
      <c r="DI65" s="269"/>
      <c r="DJ65" s="269"/>
      <c r="DK65" s="269"/>
      <c r="DN65" t="s">
        <v>5668</v>
      </c>
      <c r="DO65" t="s">
        <v>5666</v>
      </c>
      <c r="DP65" s="137">
        <v>0</v>
      </c>
      <c r="DQ65" s="136">
        <v>0</v>
      </c>
      <c r="DR65" s="136"/>
      <c r="DS65" s="136"/>
      <c r="DT65" s="138">
        <v>0</v>
      </c>
      <c r="DU65" s="136">
        <v>0</v>
      </c>
      <c r="DZ65" s="76"/>
      <c r="ED65" s="25" t="s">
        <v>4388</v>
      </c>
      <c r="EE65">
        <v>1054.8191125245276</v>
      </c>
      <c r="EF65">
        <v>26.698771014319913</v>
      </c>
      <c r="EG65">
        <v>39.508152340000002</v>
      </c>
      <c r="EI65" s="32" t="s">
        <v>4365</v>
      </c>
      <c r="EJ65" s="32">
        <v>5754.2477890351302</v>
      </c>
      <c r="EK65" s="32">
        <v>47.140848005452355</v>
      </c>
      <c r="EL65" s="32">
        <v>122.06500376</v>
      </c>
      <c r="EN65" s="32" t="s">
        <v>4389</v>
      </c>
      <c r="EO65" s="32">
        <v>3838.7724448088666</v>
      </c>
      <c r="EP65" s="32">
        <v>97.164058996560669</v>
      </c>
      <c r="EQ65" s="32">
        <v>39.508152340000002</v>
      </c>
      <c r="EU65" t="str">
        <f>EN65</f>
        <v>ASF VIII GP Limited</v>
      </c>
      <c r="EV65" s="18">
        <f>_xlfn.IFNA(INDEX($EJ$51:$EJ$251,MATCH($EU65,$EI$51:$EI$251,0),1),0)</f>
        <v>4269.1442518208532</v>
      </c>
      <c r="EW65" s="18">
        <f>_xlfn.IFNA(INDEX($EK$51:$EK$251,MATCH($EU65,$EI$51:$EI$251,0),1),0)</f>
        <v>107.06321105609817</v>
      </c>
      <c r="EX65" s="18">
        <f>_xlfn.IFNA(INDEX($EO$51:$EO$246,MATCH($EU65,$EN$51:$EN$246,0),1),0)</f>
        <v>3838.7724448088666</v>
      </c>
      <c r="EY65" s="18">
        <f>_xlfn.IFNA(INDEX($EP$51:$EP$246,MATCH($EU65,$EN$51:$EN$246,0),1),0)</f>
        <v>97.164058996560669</v>
      </c>
      <c r="EZ65" s="18">
        <f>_xlfn.IFNA(EX65-EV65,"")</f>
        <v>-430.37180701198668</v>
      </c>
      <c r="FA65" s="50">
        <f>EX65/EV65-1</f>
        <v>-0.10080985359734018</v>
      </c>
      <c r="FB65" s="50">
        <f>_xlfn.IFNA(EY65/EW65-1,"")</f>
        <v>-9.2460817884031266E-2</v>
      </c>
      <c r="FC65" s="18">
        <f>-(_xlfn.IFNA(INDEX($EL$51:$EL$251,MATCH($EU65,$EI$51:$EI$251,0),1),0)-_xlfn.IFNA(INDEX($EQ$51:$EQ$246,MATCH($EU65,$EN$51:$EN$246,0),1),0))</f>
        <v>-0.36683561999999625</v>
      </c>
    </row>
    <row r="66" spans="25:174" ht="15" customHeight="1" x14ac:dyDescent="0.25">
      <c r="AD66" s="52"/>
      <c r="AE66" s="53"/>
      <c r="AF66" s="32"/>
      <c r="AG66" s="7"/>
      <c r="AI66" s="52"/>
      <c r="AJ66" s="53"/>
      <c r="AM66" s="59" t="s">
        <v>4423</v>
      </c>
      <c r="AN66" s="60"/>
      <c r="AO66" s="76"/>
      <c r="AQ66" s="25" t="s">
        <v>4436</v>
      </c>
      <c r="AR66">
        <v>70.737775988879861</v>
      </c>
      <c r="AS66">
        <v>6.5577295950856162E-3</v>
      </c>
      <c r="AU66" s="79"/>
      <c r="AV66" s="32" t="s">
        <v>4455</v>
      </c>
      <c r="AW66" s="32">
        <v>510.8897225977783</v>
      </c>
      <c r="AX66" s="32">
        <v>4.7361916696832568E-2</v>
      </c>
      <c r="BB66" s="85"/>
      <c r="BC66" s="85"/>
      <c r="BE66" s="76"/>
      <c r="BH66" s="25" t="s">
        <v>4436</v>
      </c>
      <c r="BI66" s="7">
        <v>70.737775988879861</v>
      </c>
      <c r="BJ66" s="7">
        <v>6.5577295950856162E-3</v>
      </c>
      <c r="BK66" s="7">
        <v>58.948146657399896</v>
      </c>
      <c r="BN66" s="25" t="s">
        <v>2800</v>
      </c>
      <c r="BO66" s="7">
        <v>102.51468149807735</v>
      </c>
      <c r="BP66" s="7">
        <v>9.5036004651375943E-3</v>
      </c>
      <c r="BQ66" s="7">
        <v>8.3838375892409474</v>
      </c>
      <c r="BT66" s="36" t="s">
        <v>4425</v>
      </c>
      <c r="BU66" s="7">
        <v>5.0945030128684246E-2</v>
      </c>
      <c r="BV66" s="7">
        <v>4.7228475468315511E-6</v>
      </c>
      <c r="BW66" s="7">
        <v>1.4384411999761968E-4</v>
      </c>
      <c r="BZ66" s="36" t="s">
        <v>6646</v>
      </c>
      <c r="CA66">
        <v>3250.5337798566952</v>
      </c>
      <c r="CB66">
        <v>0.30134000214175105</v>
      </c>
      <c r="CC66">
        <v>30.816942038001162</v>
      </c>
      <c r="CQ66" s="135" t="str" cm="1">
        <f t="array" ref="CQ66">INDEX(Parametria!$P:$P,MATCH(CR66,Parametria!$O:$O,0),0)</f>
        <v>Energy</v>
      </c>
      <c r="CR66" s="132" t="s">
        <v>4431</v>
      </c>
      <c r="CS66" s="132">
        <v>37516.284214185071</v>
      </c>
      <c r="CT66" s="132">
        <v>3.4779386805669419</v>
      </c>
      <c r="CV66" s="135" t="str" cm="1">
        <f t="array" ref="CV66">INDEX(Parametria!$P:$P,MATCH(Presentacion!CW66,Parametria!$O:$O,0),0)</f>
        <v>Utilities</v>
      </c>
      <c r="CW66" s="133" t="s">
        <v>4624</v>
      </c>
      <c r="CX66" s="132">
        <v>2544.7270854728076</v>
      </c>
      <c r="CY66" s="132">
        <v>0.23590835146477218</v>
      </c>
      <c r="DN66" t="s">
        <v>4833</v>
      </c>
      <c r="DO66" t="s">
        <v>4983</v>
      </c>
      <c r="DP66" s="137">
        <v>70436.168747780481</v>
      </c>
      <c r="DQ66" s="101">
        <f>GETPIVOTDATA("Sum of Huella",$BT$60,"TIPO_RENTA","RENTA VARIABLE")</f>
        <v>115243.69567572138</v>
      </c>
      <c r="DR66" s="136"/>
      <c r="DS66" s="136"/>
      <c r="DT66" s="138">
        <v>6.8924017310817058</v>
      </c>
      <c r="DU66" s="101">
        <f>GETPIVOTDATA("Sum of Intensidad-M",$BT$60,"TIPO_RENTA","RENTA VARIABLE")</f>
        <v>10.683640858295023</v>
      </c>
      <c r="DZ66" s="76"/>
      <c r="ED66" s="25" t="s">
        <v>4389</v>
      </c>
      <c r="EE66">
        <v>3838.7724448088666</v>
      </c>
      <c r="EF66">
        <v>97.164058996560669</v>
      </c>
      <c r="EG66">
        <v>39.508152340000002</v>
      </c>
      <c r="EI66" s="32" t="s">
        <v>4366</v>
      </c>
      <c r="EJ66" s="32">
        <v>7172.3849662319499</v>
      </c>
      <c r="EK66" s="32">
        <v>58.758733013551094</v>
      </c>
      <c r="EL66" s="32">
        <v>122.06500376</v>
      </c>
      <c r="EN66" s="32" t="s">
        <v>4365</v>
      </c>
      <c r="EO66" s="32">
        <v>5820.5506688095393</v>
      </c>
      <c r="EP66" s="32">
        <v>47.620762047787679</v>
      </c>
      <c r="EQ66" s="32">
        <v>122.2271635</v>
      </c>
      <c r="EU66" t="str">
        <f>EN66</f>
        <v>ASSF - Operating Manager IV, LP</v>
      </c>
      <c r="EV66" s="18">
        <f>_xlfn.IFNA(INDEX($EJ$51:$EJ$251,MATCH($EU66,$EI$51:$EI$251,0),1),0)</f>
        <v>5754.2477890351302</v>
      </c>
      <c r="EW66" s="18">
        <f>_xlfn.IFNA(INDEX($EK$51:$EK$251,MATCH($EU66,$EI$51:$EI$251,0),1),0)</f>
        <v>47.140848005452355</v>
      </c>
      <c r="EX66" s="18">
        <f>_xlfn.IFNA(INDEX($EO$51:$EO$246,MATCH($EU66,$EN$51:$EN$246,0),1),0)</f>
        <v>5820.5506688095393</v>
      </c>
      <c r="EY66" s="18">
        <f>_xlfn.IFNA(INDEX($EP$51:$EP$246,MATCH($EU66,$EN$51:$EN$246,0),1),0)</f>
        <v>47.620762047787679</v>
      </c>
      <c r="EZ66" s="18">
        <f>_xlfn.IFNA(EX66-EV66,"")</f>
        <v>66.302879774409121</v>
      </c>
      <c r="FA66" s="50">
        <f>EX66/EV66-1</f>
        <v>1.1522423469623844E-2</v>
      </c>
      <c r="FB66" s="50">
        <f>_xlfn.IFNA(EY66/EW66-1,"")</f>
        <v>1.0180428707600164E-2</v>
      </c>
      <c r="FC66" s="18">
        <f>-(_xlfn.IFNA(INDEX($EL$51:$EL$251,MATCH($EU66,$EI$51:$EI$251,0),1),0)-_xlfn.IFNA(INDEX($EQ$51:$EQ$246,MATCH($EU66,$EN$51:$EN$246,0),1),0))</f>
        <v>0.16215974000000699</v>
      </c>
    </row>
    <row r="67" spans="25:174" ht="15.75" thickBot="1" x14ac:dyDescent="0.3">
      <c r="AD67" s="52"/>
      <c r="AE67" s="53"/>
      <c r="AG67" s="7"/>
      <c r="AI67" s="52"/>
      <c r="AJ67" s="53"/>
      <c r="AM67" s="61" t="s">
        <v>2759</v>
      </c>
      <c r="AN67" s="62" t="s">
        <v>1431</v>
      </c>
      <c r="AO67" s="76"/>
      <c r="AQ67" s="25" t="s">
        <v>4455</v>
      </c>
      <c r="AR67">
        <v>510.8897225977783</v>
      </c>
      <c r="AS67">
        <v>4.7361916696832568E-2</v>
      </c>
      <c r="AU67" s="79"/>
      <c r="AV67" s="32" t="s">
        <v>4604</v>
      </c>
      <c r="AW67" s="32">
        <v>10534.073096124288</v>
      </c>
      <c r="AX67" s="32">
        <v>0.97655887442812561</v>
      </c>
      <c r="BE67" s="76"/>
      <c r="BH67" s="25" t="s">
        <v>4484</v>
      </c>
      <c r="BI67" s="7">
        <v>1626.2988076058548</v>
      </c>
      <c r="BJ67" s="7">
        <v>0.1507656647668128</v>
      </c>
      <c r="BK67" s="7">
        <v>27.847582322018063</v>
      </c>
      <c r="BN67" s="25" t="s">
        <v>2809</v>
      </c>
      <c r="BO67" s="7">
        <v>89.191657803556694</v>
      </c>
      <c r="BP67" s="7">
        <v>8.2684925534707143E-3</v>
      </c>
      <c r="BQ67" s="7">
        <v>7.2942564168645303</v>
      </c>
      <c r="BT67" s="36" t="s">
        <v>4411</v>
      </c>
      <c r="BU67" s="7">
        <v>0.12447591783404577</v>
      </c>
      <c r="BV67" s="7">
        <v>1.1539511934671064E-5</v>
      </c>
      <c r="BW67" s="7">
        <v>1.7739299999999997E-3</v>
      </c>
      <c r="BZ67" s="25" t="s">
        <v>428</v>
      </c>
      <c r="CA67">
        <v>0.17303609892660451</v>
      </c>
      <c r="CB67">
        <v>1.6041272588602983E-5</v>
      </c>
      <c r="CC67" s="7">
        <v>1.6626076071290428E-3</v>
      </c>
      <c r="CQ67" s="135" t="str" cm="1">
        <f t="array" ref="CQ67">INDEX(Parametria!$P:$P,MATCH(CR67,Parametria!$O:$O,0),0)</f>
        <v>Utilities</v>
      </c>
      <c r="CR67" s="132" t="s">
        <v>2813</v>
      </c>
      <c r="CS67" s="132">
        <v>1491.1735020071608</v>
      </c>
      <c r="CT67" s="132">
        <v>0.13823890373733341</v>
      </c>
      <c r="CV67" s="135" t="str" cm="1">
        <f t="array" ref="CV67">INDEX(Parametria!$P:$P,MATCH(Presentacion!CW67,Parametria!$O:$O,0),0)</f>
        <v>Communication Services</v>
      </c>
      <c r="CW67" s="133" t="s">
        <v>4617</v>
      </c>
      <c r="CX67" s="132">
        <v>2.351369336745174</v>
      </c>
      <c r="CY67" s="132">
        <v>2.1798316490717298E-4</v>
      </c>
      <c r="DN67" t="s">
        <v>5668</v>
      </c>
      <c r="DO67" t="s">
        <v>5667</v>
      </c>
      <c r="DP67" s="137">
        <v>2.6029742040577231E-3</v>
      </c>
      <c r="DQ67" s="136">
        <f>GETPIVOTDATA("Sum of Huella",$BZ$60,"TIPO_RENTA","RENTA VARIABLE")</f>
        <v>0.17303609892660451</v>
      </c>
      <c r="DR67" s="136"/>
      <c r="DS67" s="136"/>
      <c r="DT67" s="138">
        <v>2.5470925277397077E-7</v>
      </c>
      <c r="DU67" s="136">
        <f>GETPIVOTDATA("Sum of Intensidad-M",$BZ$60,"TIPO_RENTA","RENTA VARIABLE")</f>
        <v>1.6041272588602983E-5</v>
      </c>
      <c r="DZ67" s="76"/>
      <c r="ED67" s="25" t="s">
        <v>4365</v>
      </c>
      <c r="EE67">
        <v>5820.5506688095393</v>
      </c>
      <c r="EF67">
        <v>47.620762047787679</v>
      </c>
      <c r="EG67">
        <v>122.2271635</v>
      </c>
      <c r="EI67" s="32" t="s">
        <v>4457</v>
      </c>
      <c r="EJ67" s="32">
        <v>17.621478855289208</v>
      </c>
      <c r="EK67" s="32">
        <v>22.885037474401564</v>
      </c>
      <c r="EL67" s="32">
        <v>0.77</v>
      </c>
      <c r="EN67" s="32" t="s">
        <v>4366</v>
      </c>
      <c r="EO67" s="32">
        <v>2872.6280222289738</v>
      </c>
      <c r="EP67" s="32">
        <v>23.502370013102478</v>
      </c>
      <c r="EQ67" s="32">
        <v>122.2271635</v>
      </c>
      <c r="EU67" t="str">
        <f>EN67</f>
        <v>Avenue - Europe Capital Partners III, LLC</v>
      </c>
      <c r="EV67" s="18">
        <f>_xlfn.IFNA(INDEX($EJ$51:$EJ$251,MATCH($EU67,$EI$51:$EI$251,0),1),0)</f>
        <v>7172.3849662319499</v>
      </c>
      <c r="EW67" s="18">
        <f>_xlfn.IFNA(INDEX($EK$51:$EK$251,MATCH($EU67,$EI$51:$EI$251,0),1),0)</f>
        <v>58.758733013551094</v>
      </c>
      <c r="EX67" s="18">
        <f>_xlfn.IFNA(INDEX($EO$51:$EO$246,MATCH($EU67,$EN$51:$EN$246,0),1),0)</f>
        <v>2872.6280222289738</v>
      </c>
      <c r="EY67" s="18">
        <f>_xlfn.IFNA(INDEX($EP$51:$EP$246,MATCH($EU67,$EN$51:$EN$246,0),1),0)</f>
        <v>23.502370013102478</v>
      </c>
      <c r="EZ67" s="18">
        <f>_xlfn.IFNA(EX67-EV67,"")</f>
        <v>-4299.7569440029765</v>
      </c>
      <c r="FA67" s="50">
        <f>EX67/EV67-1</f>
        <v>-0.59948775257414488</v>
      </c>
      <c r="FB67" s="50">
        <f>_xlfn.IFNA(EY67/EW67-1,"")</f>
        <v>-0.60001911532567764</v>
      </c>
      <c r="FC67" s="18">
        <f>-(_xlfn.IFNA(INDEX($EL$51:$EL$251,MATCH($EU67,$EI$51:$EI$251,0),1),0)-_xlfn.IFNA(INDEX($EQ$51:$EQ$246,MATCH($EU67,$EN$51:$EN$246,0),1),0))</f>
        <v>0.16215974000000699</v>
      </c>
      <c r="FQ67">
        <v>27</v>
      </c>
      <c r="FR67">
        <v>103</v>
      </c>
    </row>
    <row r="68" spans="25:174" ht="15.75" thickBot="1" x14ac:dyDescent="0.3">
      <c r="AD68" s="56" t="s">
        <v>4872</v>
      </c>
      <c r="AE68" s="113">
        <v>430578.5544190114</v>
      </c>
      <c r="AH68" s="10"/>
      <c r="AI68" s="56" t="s">
        <v>4872</v>
      </c>
      <c r="AJ68" s="113">
        <v>42.133472427654858</v>
      </c>
      <c r="AM68" s="54" t="s">
        <v>5548</v>
      </c>
      <c r="AN68" s="60" t="s">
        <v>4879</v>
      </c>
      <c r="AO68" s="76"/>
      <c r="AQ68" s="25" t="s">
        <v>4604</v>
      </c>
      <c r="AR68">
        <v>10534.073096124288</v>
      </c>
      <c r="AS68">
        <v>0.97655887442812561</v>
      </c>
      <c r="AU68" s="79"/>
      <c r="AV68" s="32" t="s">
        <v>4609</v>
      </c>
      <c r="AW68" s="32">
        <v>226.69045922959998</v>
      </c>
      <c r="AX68" s="32">
        <v>2.1015287979186534E-2</v>
      </c>
      <c r="BE68" s="76"/>
      <c r="BH68" s="25" t="s">
        <v>6631</v>
      </c>
      <c r="BI68">
        <v>19580.230380832003</v>
      </c>
      <c r="BJ68">
        <v>1.8151808485915868</v>
      </c>
      <c r="BK68">
        <v>335.27791748000004</v>
      </c>
      <c r="BN68" s="25" t="s">
        <v>4625</v>
      </c>
      <c r="BO68" s="7">
        <v>13377.563489942266</v>
      </c>
      <c r="BP68" s="7">
        <v>1.2401640111207626</v>
      </c>
      <c r="BQ68" s="7">
        <v>45.316507032475286</v>
      </c>
      <c r="BT68" s="36" t="s">
        <v>4418</v>
      </c>
      <c r="BU68" s="7">
        <v>0.15189112064219351</v>
      </c>
      <c r="BV68" s="7">
        <v>1.4081032137943028E-5</v>
      </c>
      <c r="BW68" s="7">
        <v>5.4293559655389928E-2</v>
      </c>
      <c r="BZ68" s="36" t="s">
        <v>4570</v>
      </c>
      <c r="CA68">
        <v>3.0513708646724745E-3</v>
      </c>
      <c r="CB68">
        <v>2.8287664893493826E-7</v>
      </c>
      <c r="CC68">
        <v>4.9429610104436316E-5</v>
      </c>
      <c r="CQ68" s="135" t="str" cm="1">
        <f t="array" ref="CQ68">INDEX(Parametria!$P:$P,MATCH(CR68,Parametria!$O:$O,0),0)</f>
        <v>Industrials</v>
      </c>
      <c r="CR68" s="132" t="s">
        <v>2814</v>
      </c>
      <c r="CS68" s="132">
        <v>1269.1521418764592</v>
      </c>
      <c r="CT68" s="132">
        <v>0.11765646353877325</v>
      </c>
      <c r="CV68" s="135" t="str" cm="1">
        <f t="array" ref="CV68">INDEX(Parametria!$P:$P,MATCH(Presentacion!CW68,Parametria!$O:$O,0),0)</f>
        <v>Utilities</v>
      </c>
      <c r="CW68" s="133" t="s">
        <v>4626</v>
      </c>
      <c r="CX68" s="132">
        <v>19352.035963409984</v>
      </c>
      <c r="CY68" s="132">
        <v>1.7940261365068173</v>
      </c>
      <c r="DN68" t="s">
        <v>5550</v>
      </c>
      <c r="DO68" t="s">
        <v>5550</v>
      </c>
      <c r="DP68" s="137">
        <v>96947.36443926589</v>
      </c>
      <c r="DQ68" s="101">
        <f>GETPIVOTDATA("Sum of Huella",$CF$61)</f>
        <v>89987.830757081028</v>
      </c>
      <c r="DR68" s="101"/>
      <c r="DS68" s="101"/>
      <c r="DT68" s="138">
        <v>9.4866060202353335</v>
      </c>
      <c r="DU68" s="101">
        <f>GETPIVOTDATA("Sum of Intensidad-M",$CF$61)</f>
        <v>8.3423015878536066</v>
      </c>
      <c r="DZ68" s="76"/>
      <c r="ED68" s="25" t="s">
        <v>4366</v>
      </c>
      <c r="EE68">
        <v>2872.6280222289738</v>
      </c>
      <c r="EF68">
        <v>23.502370013102478</v>
      </c>
      <c r="EG68">
        <v>122.2271635</v>
      </c>
      <c r="EI68" s="32" t="s">
        <v>4435</v>
      </c>
      <c r="EJ68" s="32">
        <v>14.481081553995821</v>
      </c>
      <c r="EK68" s="32">
        <v>14.776613830607982</v>
      </c>
      <c r="EL68" s="32">
        <v>0.98</v>
      </c>
      <c r="EN68" s="32" t="s">
        <v>4457</v>
      </c>
      <c r="EO68" s="32">
        <v>15.106860923072077</v>
      </c>
      <c r="EP68" s="32">
        <v>19.619299900093608</v>
      </c>
      <c r="EQ68" s="32">
        <v>0.77</v>
      </c>
      <c r="EU68" t="str">
        <f>EN68</f>
        <v>Banco Continental</v>
      </c>
      <c r="EV68" s="18">
        <f>_xlfn.IFNA(INDEX($EJ$51:$EJ$251,MATCH($EU68,$EI$51:$EI$251,0),1),0)</f>
        <v>17.621478855289208</v>
      </c>
      <c r="EW68" s="18">
        <f>_xlfn.IFNA(INDEX($EK$51:$EK$251,MATCH($EU68,$EI$51:$EI$251,0),1),0)</f>
        <v>22.885037474401564</v>
      </c>
      <c r="EX68" s="18">
        <f>_xlfn.IFNA(INDEX($EO$51:$EO$246,MATCH($EU68,$EN$51:$EN$246,0),1),0)</f>
        <v>15.106860923072077</v>
      </c>
      <c r="EY68" s="18">
        <f>_xlfn.IFNA(INDEX($EP$51:$EP$246,MATCH($EU68,$EN$51:$EN$246,0),1),0)</f>
        <v>19.619299900093608</v>
      </c>
      <c r="EZ68" s="18">
        <f>_xlfn.IFNA(EX68-EV68,"")</f>
        <v>-2.5146179322171314</v>
      </c>
      <c r="FA68" s="50">
        <f>EX68/EV68-1</f>
        <v>-0.14270186701511445</v>
      </c>
      <c r="FB68" s="50">
        <f>_xlfn.IFNA(EY68/EW68-1,"")</f>
        <v>-0.14270186701511411</v>
      </c>
      <c r="FC68" s="18">
        <f>-(_xlfn.IFNA(INDEX($EL$51:$EL$251,MATCH($EU68,$EI$51:$EI$251,0),1),0)-_xlfn.IFNA(INDEX($EQ$51:$EQ$246,MATCH($EU68,$EN$51:$EN$246,0),1),0))</f>
        <v>0</v>
      </c>
      <c r="FQ68">
        <v>35</v>
      </c>
      <c r="FR68">
        <v>82</v>
      </c>
    </row>
    <row r="69" spans="25:174" x14ac:dyDescent="0.25">
      <c r="Z69" s="25"/>
      <c r="AD69" s="64" t="s">
        <v>4876</v>
      </c>
      <c r="AE69" s="65"/>
      <c r="AF69" s="57"/>
      <c r="AG69" s="66"/>
      <c r="AI69" s="64" t="s">
        <v>4876</v>
      </c>
      <c r="AJ69" s="65"/>
      <c r="AK69" s="57"/>
      <c r="AL69" s="66"/>
      <c r="AM69" s="37" t="s">
        <v>4422</v>
      </c>
      <c r="AN69" s="60" t="s">
        <v>4879</v>
      </c>
      <c r="AO69" s="76"/>
      <c r="AQ69" s="25" t="s">
        <v>4609</v>
      </c>
      <c r="AR69">
        <v>226.69045922959998</v>
      </c>
      <c r="AS69">
        <v>2.1015287979186534E-2</v>
      </c>
      <c r="AU69" s="79"/>
      <c r="AV69" s="32" t="s">
        <v>4605</v>
      </c>
      <c r="AW69" s="32">
        <v>4808.6378833502667</v>
      </c>
      <c r="AX69" s="32">
        <v>0.44578369221917685</v>
      </c>
      <c r="BE69" s="76"/>
      <c r="BH69" s="25" t="s">
        <v>6630</v>
      </c>
      <c r="BI69">
        <v>73548.520514528558</v>
      </c>
      <c r="BJ69">
        <v>6.8182990334429769</v>
      </c>
      <c r="BK69">
        <v>29.116826148476456</v>
      </c>
      <c r="BN69" s="25" t="s">
        <v>4624</v>
      </c>
      <c r="BO69" s="7">
        <v>2544.7270854728076</v>
      </c>
      <c r="BP69" s="7">
        <v>0.23590835146477218</v>
      </c>
      <c r="BQ69" s="7">
        <v>8.62026503938921</v>
      </c>
      <c r="BT69" s="36" t="s">
        <v>4520</v>
      </c>
      <c r="BU69" s="7">
        <v>6.959728609229868E-3</v>
      </c>
      <c r="BV69" s="7">
        <v>6.4520007360261749E-7</v>
      </c>
      <c r="BW69" s="7">
        <v>3.3442733999821474E-4</v>
      </c>
      <c r="BZ69" s="36" t="s">
        <v>4601</v>
      </c>
      <c r="CA69">
        <v>0.16998472806193204</v>
      </c>
      <c r="CB69">
        <v>1.5758395939668046E-5</v>
      </c>
      <c r="CC69">
        <v>1.6131779970246065E-3</v>
      </c>
      <c r="CQ69" s="135" t="str" cm="1">
        <f t="array" ref="CQ69">INDEX(Parametria!$P:$P,MATCH(CR69,Parametria!$O:$O,0),0)</f>
        <v>Financials</v>
      </c>
      <c r="CR69" s="132" t="s">
        <v>4498</v>
      </c>
      <c r="CS69" s="132">
        <v>2.2193432241678197</v>
      </c>
      <c r="CT69" s="132">
        <v>2.0574371386889435E-4</v>
      </c>
      <c r="CV69" s="135" t="str" cm="1">
        <f t="array" ref="CV69">INDEX(Parametria!$P:$P,MATCH(Presentacion!CW69,Parametria!$O:$O,0),0)</f>
        <v>Metals</v>
      </c>
      <c r="CW69" s="133" t="s">
        <v>4623</v>
      </c>
      <c r="CX69" s="132">
        <v>1.0394062571943796</v>
      </c>
      <c r="CY69" s="132">
        <v>9.6357923031002121E-5</v>
      </c>
      <c r="DZ69" s="76"/>
      <c r="ED69" s="25" t="s">
        <v>4457</v>
      </c>
      <c r="EE69">
        <v>15.106860923072077</v>
      </c>
      <c r="EF69">
        <v>19.619299900093608</v>
      </c>
      <c r="EG69">
        <v>0.77</v>
      </c>
      <c r="EI69" s="32" t="s">
        <v>4459</v>
      </c>
      <c r="EJ69" s="32">
        <v>79.348866377881365</v>
      </c>
      <c r="EK69" s="32">
        <v>136.80839030669202</v>
      </c>
      <c r="EL69" s="32">
        <v>0.57999999999999996</v>
      </c>
      <c r="EN69" s="32" t="s">
        <v>4435</v>
      </c>
      <c r="EO69" s="32">
        <v>31.950132391923461</v>
      </c>
      <c r="EP69" s="32">
        <v>32.602175910125979</v>
      </c>
      <c r="EQ69" s="32">
        <v>0.98</v>
      </c>
      <c r="EU69" t="str">
        <f>EN69</f>
        <v>Banco de Colombia</v>
      </c>
      <c r="EV69" s="18">
        <f>_xlfn.IFNA(INDEX($EJ$51:$EJ$251,MATCH($EU69,$EI$51:$EI$251,0),1),0)</f>
        <v>14.481081553995821</v>
      </c>
      <c r="EW69" s="18">
        <f>_xlfn.IFNA(INDEX($EK$51:$EK$251,MATCH($EU69,$EI$51:$EI$251,0),1),0)</f>
        <v>14.776613830607982</v>
      </c>
      <c r="EX69" s="18">
        <f>_xlfn.IFNA(INDEX($EO$51:$EO$246,MATCH($EU69,$EN$51:$EN$246,0),1),0)</f>
        <v>31.950132391923461</v>
      </c>
      <c r="EY69" s="18">
        <f>_xlfn.IFNA(INDEX($EP$51:$EP$246,MATCH($EU69,$EN$51:$EN$246,0),1),0)</f>
        <v>32.602175910125979</v>
      </c>
      <c r="EZ69" s="18">
        <f>_xlfn.IFNA(EX69-EV69,"")</f>
        <v>17.469050837927639</v>
      </c>
      <c r="FA69" s="50">
        <f>EX69/EV69-1</f>
        <v>1.2063360580347906</v>
      </c>
      <c r="FB69" s="50">
        <f>_xlfn.IFNA(EY69/EW69-1,"")</f>
        <v>1.2063360580347906</v>
      </c>
      <c r="FC69" s="18">
        <f>-(_xlfn.IFNA(INDEX($EL$51:$EL$251,MATCH($EU69,$EI$51:$EI$251,0),1),0)-_xlfn.IFNA(INDEX($EQ$51:$EQ$246,MATCH($EU69,$EN$51:$EN$246,0),1),0))</f>
        <v>0</v>
      </c>
      <c r="FQ69" s="103">
        <f>FQ68/FQ67-1</f>
        <v>0.29629629629629628</v>
      </c>
      <c r="FR69" s="103">
        <f>FR68/FR67-1</f>
        <v>-0.20388349514563109</v>
      </c>
    </row>
    <row r="70" spans="25:174" x14ac:dyDescent="0.25">
      <c r="Z70" s="25"/>
      <c r="AD70" s="67">
        <v>1</v>
      </c>
      <c r="AE70" s="37" t="str">
        <f>INDEX($AD$54:$AD$66,MATCH(AG70,$AE$54:$AE$66,0),1)</f>
        <v>Gobierno Central</v>
      </c>
      <c r="AF70" s="37" t="str">
        <f>INDEX($AN$54:$AN$67,MATCH(AE70,$AM$54:$AM$67,0),1)</f>
        <v>Perú</v>
      </c>
      <c r="AG70" s="142">
        <f>LARGE($AE$54:$AE$66,AD70)</f>
        <v>358450.12403448788</v>
      </c>
      <c r="AI70" s="67">
        <v>1</v>
      </c>
      <c r="AJ70" s="37" t="str">
        <f>INDEX($AI$54:$AI$66,MATCH(AL70,$AJ$54:$AJ$66,0),1)</f>
        <v>Gobierno Central</v>
      </c>
      <c r="AK70" s="37" t="str">
        <f>INDEX($AN$54:$AN$67,MATCH(AJ70,$AM$54:$AM$67,0),1)</f>
        <v>Perú</v>
      </c>
      <c r="AL70" s="110">
        <f>LARGE($AJ$54:$AJ$66,AI70)</f>
        <v>35.07547754689039</v>
      </c>
      <c r="AO70" s="76"/>
      <c r="AQ70" s="25" t="s">
        <v>4605</v>
      </c>
      <c r="AR70">
        <v>4808.6378833502667</v>
      </c>
      <c r="AS70">
        <v>0.44578369221917685</v>
      </c>
      <c r="AU70" s="79"/>
      <c r="AV70" s="32" t="s">
        <v>4414</v>
      </c>
      <c r="AW70" s="32">
        <v>16.01204312791269</v>
      </c>
      <c r="AX70" s="32">
        <v>1.4843928527553223E-3</v>
      </c>
      <c r="BE70" s="76"/>
      <c r="BH70" s="25" t="s">
        <v>4616</v>
      </c>
      <c r="BI70">
        <v>115068.73715963184</v>
      </c>
      <c r="BJ70">
        <v>10.66742136845621</v>
      </c>
      <c r="BK70">
        <v>45.554096691039447</v>
      </c>
      <c r="BN70" s="25" t="s">
        <v>4617</v>
      </c>
      <c r="BO70" s="7">
        <v>2.351369336745174</v>
      </c>
      <c r="BP70" s="7">
        <v>2.1798316490717298E-4</v>
      </c>
      <c r="BQ70" s="7">
        <v>0.55483447528935703</v>
      </c>
      <c r="BT70" s="36" t="s">
        <v>4427</v>
      </c>
      <c r="BU70" s="7">
        <v>5387.8036963377926</v>
      </c>
      <c r="BV70" s="7">
        <v>0.4994751285019231</v>
      </c>
      <c r="BW70" s="7">
        <v>12.962090053809991</v>
      </c>
      <c r="BZ70" s="25" t="s">
        <v>4872</v>
      </c>
      <c r="CA70">
        <v>21732.545792695393</v>
      </c>
      <c r="CB70">
        <v>2.0147107642133935</v>
      </c>
      <c r="CC70" s="7">
        <v>157.70272688361939</v>
      </c>
      <c r="CQ70" s="135" t="str" cm="1">
        <f t="array" ref="CQ70">INDEX(Parametria!$P:$P,MATCH(CR70,Parametria!$O:$O,0),0)</f>
        <v>Industrials</v>
      </c>
      <c r="CR70" s="132" t="s">
        <v>4615</v>
      </c>
      <c r="CS70" s="132">
        <v>2253.8774475523219</v>
      </c>
      <c r="CT70" s="132">
        <v>0.20894520127171357</v>
      </c>
      <c r="CV70" s="135" t="str" cm="1">
        <f t="array" ref="CV70">INDEX(Parametria!$P:$P,MATCH(Presentacion!CW70,Parametria!$O:$O,0),0)</f>
        <v>Industrials</v>
      </c>
      <c r="CW70" s="133" t="s">
        <v>4549</v>
      </c>
      <c r="CX70" s="132">
        <v>68.448908050212609</v>
      </c>
      <c r="CY70" s="132">
        <v>6.345540608213871E-3</v>
      </c>
      <c r="DY70">
        <v>5.1100000000000003</v>
      </c>
      <c r="DZ70" s="76"/>
      <c r="ED70" s="25" t="s">
        <v>4435</v>
      </c>
      <c r="EE70">
        <v>31.950132391923461</v>
      </c>
      <c r="EF70">
        <v>32.602175910125979</v>
      </c>
      <c r="EG70">
        <v>0.98</v>
      </c>
      <c r="EI70" s="32" t="s">
        <v>4531</v>
      </c>
      <c r="EJ70" s="32">
        <v>11.681212295239359</v>
      </c>
      <c r="EK70" s="32">
        <v>2.5959546656990984</v>
      </c>
      <c r="EL70" s="32">
        <v>4.4997751499999996</v>
      </c>
      <c r="EN70" s="32" t="s">
        <v>4459</v>
      </c>
      <c r="EO70" s="32">
        <v>63.703602467357982</v>
      </c>
      <c r="EP70" s="32">
        <v>104.43213519239012</v>
      </c>
      <c r="EQ70" s="32">
        <v>0.61</v>
      </c>
      <c r="EU70" t="str">
        <f>EN70</f>
        <v>Banco de Crédito del Perú</v>
      </c>
      <c r="EV70" s="18">
        <f>_xlfn.IFNA(INDEX($EJ$51:$EJ$251,MATCH($EU70,$EI$51:$EI$251,0),1),0)</f>
        <v>79.348866377881365</v>
      </c>
      <c r="EW70" s="18">
        <f>_xlfn.IFNA(INDEX($EK$51:$EK$251,MATCH($EU70,$EI$51:$EI$251,0),1),0)</f>
        <v>136.80839030669202</v>
      </c>
      <c r="EX70" s="18">
        <f>_xlfn.IFNA(INDEX($EO$51:$EO$246,MATCH($EU70,$EN$51:$EN$246,0),1),0)</f>
        <v>63.703602467357982</v>
      </c>
      <c r="EY70" s="18">
        <f>_xlfn.IFNA(INDEX($EP$51:$EP$246,MATCH($EU70,$EN$51:$EN$246,0),1),0)</f>
        <v>104.43213519239012</v>
      </c>
      <c r="EZ70" s="18">
        <f>_xlfn.IFNA(EX70-EV70,"")</f>
        <v>-15.645263910523383</v>
      </c>
      <c r="FA70" s="50">
        <f>EX70/EV70-1</f>
        <v>-0.1971706040010236</v>
      </c>
      <c r="FB70" s="50">
        <f>_xlfn.IFNA(EY70/EW70-1,"")</f>
        <v>-0.23665401691900623</v>
      </c>
      <c r="FC70" s="18">
        <f>-(_xlfn.IFNA(INDEX($EL$51:$EL$251,MATCH($EU70,$EI$51:$EI$251,0),1),0)-_xlfn.IFNA(INDEX($EQ$51:$EQ$246,MATCH($EU70,$EN$51:$EN$246,0),1),0))</f>
        <v>3.0000000000000027E-2</v>
      </c>
      <c r="FI70" s="272" t="s">
        <v>5146</v>
      </c>
      <c r="FJ70" s="272"/>
      <c r="FK70" s="272"/>
      <c r="FL70" s="272"/>
      <c r="FM70" s="272"/>
      <c r="FN70" s="272"/>
      <c r="FO70" s="272"/>
    </row>
    <row r="71" spans="25:174" ht="16.5" x14ac:dyDescent="0.3">
      <c r="Z71" s="25"/>
      <c r="AD71" s="67">
        <v>2</v>
      </c>
      <c r="AE71" s="37" t="str">
        <f>INDEX($AD$54:$AD$66,MATCH(AG71,$AE$54:$AE$66,0),1)</f>
        <v>Gobierno de los Estados Unidos</v>
      </c>
      <c r="AF71" s="37" t="str">
        <f>INDEX($AN$55:$AN$68,MATCH(AE71,$AM$55:$AM$68,0),1)</f>
        <v>EEUU</v>
      </c>
      <c r="AG71" s="142">
        <f>LARGE($AE$54:$AE$66,AD71)</f>
        <v>35754.026138894318</v>
      </c>
      <c r="AI71" s="67">
        <v>2</v>
      </c>
      <c r="AJ71" s="37" t="str">
        <f>INDEX($AI$54:$AI$66,MATCH(AL71,$AJ$54:$AJ$66,0),1)</f>
        <v>Gobierno de los Estados Unidos</v>
      </c>
      <c r="AK71" s="37" t="str">
        <f>INDEX($AN$54:$AN$68,MATCH(AJ71,$AM$54:$AM$68,0),1)</f>
        <v>EEUU</v>
      </c>
      <c r="AL71" s="110">
        <f>LARGE($AJ$54:$AJ$66,AI71)</f>
        <v>3.4986444611330612</v>
      </c>
      <c r="AO71" s="76"/>
      <c r="AQ71" s="25" t="s">
        <v>4414</v>
      </c>
      <c r="AR71">
        <v>16.01204312791269</v>
      </c>
      <c r="AS71">
        <v>1.4843928527553223E-3</v>
      </c>
      <c r="AU71" s="79"/>
      <c r="AV71" s="32" t="s">
        <v>4597</v>
      </c>
      <c r="AW71" s="32">
        <v>5.0062867329519346E-2</v>
      </c>
      <c r="AX71" s="32">
        <v>4.6410668431707987E-6</v>
      </c>
      <c r="BE71" s="76"/>
      <c r="BH71" s="25" t="s">
        <v>4614</v>
      </c>
      <c r="BI71" s="7">
        <v>315.15101779000003</v>
      </c>
      <c r="BJ71" s="7">
        <v>2.9216004141941393E-2</v>
      </c>
      <c r="BK71" s="7">
        <v>431.71372299999996</v>
      </c>
      <c r="BN71" s="25" t="s">
        <v>4626</v>
      </c>
      <c r="BO71">
        <v>19352.035963409984</v>
      </c>
      <c r="BP71">
        <v>1.7940261365068173</v>
      </c>
      <c r="BQ71">
        <v>65.55503731960745</v>
      </c>
      <c r="BT71" s="36" t="s">
        <v>4522</v>
      </c>
      <c r="BU71" s="7">
        <v>24807.128796298319</v>
      </c>
      <c r="BV71" s="7">
        <v>2.2997392892612218</v>
      </c>
      <c r="BW71" s="7">
        <v>146.17737840383995</v>
      </c>
      <c r="CQ71" s="135" t="str" cm="1">
        <f t="array" ref="CQ71">INDEX(Parametria!$P:$P,MATCH(CR71,Parametria!$O:$O,0),0)</f>
        <v>Financials</v>
      </c>
      <c r="CR71" s="132" t="s">
        <v>4434</v>
      </c>
      <c r="CS71" s="132">
        <v>69.960531541860689</v>
      </c>
      <c r="CT71" s="132">
        <v>6.4856753236361593E-3</v>
      </c>
      <c r="CV71" s="135" t="str" cm="1">
        <f t="array" ref="CV71">INDEX(Parametria!$P:$P,MATCH(Presentacion!CW71,Parametria!$O:$O,0),0)</f>
        <v>Industrials</v>
      </c>
      <c r="CW71" s="133" t="s">
        <v>4506</v>
      </c>
      <c r="CX71" s="132">
        <v>869.21276477194976</v>
      </c>
      <c r="CY71" s="132">
        <v>8.0580173638301403E-2</v>
      </c>
      <c r="DY71">
        <v>10</v>
      </c>
      <c r="DZ71" s="76"/>
      <c r="ED71" s="25" t="s">
        <v>4459</v>
      </c>
      <c r="EE71">
        <v>63.703602467357982</v>
      </c>
      <c r="EF71">
        <v>104.43213519239012</v>
      </c>
      <c r="EG71">
        <v>0.61</v>
      </c>
      <c r="EI71" s="32" t="s">
        <v>2804</v>
      </c>
      <c r="EJ71" s="32">
        <v>32.132169419249195</v>
      </c>
      <c r="EK71" s="32">
        <v>7.1408388970833787</v>
      </c>
      <c r="EL71" s="32">
        <v>4.4997751499999996</v>
      </c>
      <c r="EN71" s="32" t="s">
        <v>4531</v>
      </c>
      <c r="EO71" s="32">
        <v>6.5269943772357593</v>
      </c>
      <c r="EP71" s="32">
        <v>1.6304342604907018</v>
      </c>
      <c r="EQ71" s="32">
        <v>4.0032245</v>
      </c>
      <c r="EU71" t="str">
        <f>EN71</f>
        <v>Banco de la Nación</v>
      </c>
      <c r="EV71" s="18">
        <f>_xlfn.IFNA(INDEX($EJ$51:$EJ$251,MATCH($EU71,$EI$51:$EI$251,0),1),0)</f>
        <v>11.681212295239359</v>
      </c>
      <c r="EW71" s="18">
        <f>_xlfn.IFNA(INDEX($EK$51:$EK$251,MATCH($EU71,$EI$51:$EI$251,0),1),0)</f>
        <v>2.5959546656990984</v>
      </c>
      <c r="EX71" s="18">
        <f>_xlfn.IFNA(INDEX($EO$51:$EO$246,MATCH($EU71,$EN$51:$EN$246,0),1),0)</f>
        <v>6.5269943772357593</v>
      </c>
      <c r="EY71" s="18">
        <f>_xlfn.IFNA(INDEX($EP$51:$EP$246,MATCH($EU71,$EN$51:$EN$246,0),1),0)</f>
        <v>1.6304342604907018</v>
      </c>
      <c r="EZ71" s="18">
        <f>_xlfn.IFNA(EX71-EV71,"")</f>
        <v>-5.1542179180035994</v>
      </c>
      <c r="FA71" s="50">
        <f>EX71/EV71-1</f>
        <v>-0.44123998329387304</v>
      </c>
      <c r="FB71" s="50">
        <f>_xlfn.IFNA(EY71/EW71-1,"")</f>
        <v>-0.37193269126230255</v>
      </c>
      <c r="FC71" s="18">
        <f>-(_xlfn.IFNA(INDEX($EL$51:$EL$251,MATCH($EU71,$EI$51:$EI$251,0),1),0)-_xlfn.IFNA(INDEX($EQ$51:$EQ$246,MATCH($EU71,$EN$51:$EN$246,0),1),0))</f>
        <v>-0.49655064999999965</v>
      </c>
      <c r="FI71" s="167"/>
      <c r="FJ71" s="172"/>
      <c r="FK71" s="168" t="s">
        <v>6084</v>
      </c>
      <c r="FL71" s="168" t="s">
        <v>6085</v>
      </c>
      <c r="FM71" s="168"/>
      <c r="FN71" s="168" t="s">
        <v>6086</v>
      </c>
      <c r="FO71" s="169" t="s">
        <v>6087</v>
      </c>
    </row>
    <row r="72" spans="25:174" x14ac:dyDescent="0.25">
      <c r="Z72" s="25"/>
      <c r="AD72" s="67">
        <v>3</v>
      </c>
      <c r="AE72" s="37" t="str">
        <f>INDEX($AD$54:$AD$66,MATCH(AG72,$AE$54:$AE$66,0),1)</f>
        <v>Gobierno de Brasil</v>
      </c>
      <c r="AF72" s="37" t="str">
        <f t="shared" ref="AF72:AF73" si="7">INDEX($AN$54:$AN$67,MATCH(AE72,$AM$54:$AM$67,0),1)</f>
        <v>Brasil</v>
      </c>
      <c r="AG72" s="142">
        <f>LARGE($AE$54:$AE$66,AD72)</f>
        <v>11134.793415603659</v>
      </c>
      <c r="AI72" s="67">
        <v>3</v>
      </c>
      <c r="AJ72" s="37" t="str">
        <f>INDEX($AI$54:$AI$66,MATCH(AL72,$AJ$54:$AJ$66,0),1)</f>
        <v>Gobierno de Brasil</v>
      </c>
      <c r="AK72" s="37" t="str">
        <f>INDEX($AN$54:$AN$67,MATCH(AJ72,$AM$54:$AM$67,0),1)</f>
        <v>Brasil</v>
      </c>
      <c r="AL72" s="110">
        <f>LARGE($AJ$54:$AJ$66,AI72)</f>
        <v>1.089574728116685</v>
      </c>
      <c r="AO72" s="76"/>
      <c r="AQ72" s="25" t="s">
        <v>4597</v>
      </c>
      <c r="AR72">
        <v>5.0062867329519346E-2</v>
      </c>
      <c r="AS72">
        <v>4.6410668431707987E-6</v>
      </c>
      <c r="AU72" s="79"/>
      <c r="AV72" s="32" t="s">
        <v>4581</v>
      </c>
      <c r="AW72" s="32">
        <v>11044.465847606309</v>
      </c>
      <c r="AX72" s="32">
        <v>1.0238747195295743</v>
      </c>
      <c r="BE72" s="76"/>
      <c r="BH72" s="25" t="s">
        <v>4431</v>
      </c>
      <c r="BI72" s="7">
        <v>37516.284214185071</v>
      </c>
      <c r="BJ72" s="7">
        <v>3.4779386805669419</v>
      </c>
      <c r="BK72" s="7">
        <v>144.4990340645729</v>
      </c>
      <c r="BN72" s="25" t="s">
        <v>4623</v>
      </c>
      <c r="BO72" s="7">
        <v>1.0394062571943796</v>
      </c>
      <c r="BP72" s="7">
        <v>9.6357923031002121E-5</v>
      </c>
      <c r="BQ72" s="7">
        <v>3.8915833655568449E-3</v>
      </c>
      <c r="BT72" s="36" t="s">
        <v>4416</v>
      </c>
      <c r="BU72" s="7">
        <v>1.01680181277176E-2</v>
      </c>
      <c r="BV72" s="7">
        <v>9.4262383100626236E-7</v>
      </c>
      <c r="BW72" s="7">
        <v>9.5140000000000001E-5</v>
      </c>
      <c r="CQ72" s="135" t="str" cm="1">
        <f t="array" ref="CQ72">INDEX(Parametria!$P:$P,MATCH(CR72,Parametria!$O:$O,0),0)</f>
        <v>Consumer Discretionary</v>
      </c>
      <c r="CR72" s="132" t="s">
        <v>4611</v>
      </c>
      <c r="CS72" s="132">
        <v>2989.8706460479907</v>
      </c>
      <c r="CT72" s="132">
        <v>0.27717528501530619</v>
      </c>
      <c r="CV72" s="135" t="str" cm="1">
        <f t="array" ref="CV72">INDEX(Parametria!$P:$P,MATCH(Presentacion!CW72,Parametria!$O:$O,0),0)</f>
        <v>Industrials</v>
      </c>
      <c r="CW72" s="133" t="s">
        <v>4469</v>
      </c>
      <c r="CX72" s="132">
        <v>300.52542306807817</v>
      </c>
      <c r="CY72" s="132">
        <v>2.7860141676478069E-2</v>
      </c>
      <c r="DZ72" s="76"/>
      <c r="ED72" s="25" t="s">
        <v>4531</v>
      </c>
      <c r="EE72">
        <v>6.5269943772357593</v>
      </c>
      <c r="EF72">
        <v>1.6304342604907018</v>
      </c>
      <c r="EG72">
        <v>4.0032245</v>
      </c>
      <c r="EI72" s="32" t="s">
        <v>4460</v>
      </c>
      <c r="EJ72" s="32">
        <v>47.401430788009016</v>
      </c>
      <c r="EK72" s="32">
        <v>67.716329697155743</v>
      </c>
      <c r="EL72" s="32">
        <v>0.7</v>
      </c>
      <c r="EN72" s="32" t="s">
        <v>2804</v>
      </c>
      <c r="EO72" s="32">
        <v>30.576209526370711</v>
      </c>
      <c r="EP72" s="32">
        <v>7.6378952832574623</v>
      </c>
      <c r="EQ72" s="32">
        <v>4.0032245</v>
      </c>
      <c r="EU72" t="str">
        <f>EN72</f>
        <v>Banco Interamericano de Finanzas</v>
      </c>
      <c r="EV72" s="18">
        <f>_xlfn.IFNA(INDEX($EJ$51:$EJ$251,MATCH($EU72,$EI$51:$EI$251,0),1),0)</f>
        <v>32.132169419249195</v>
      </c>
      <c r="EW72" s="18">
        <f>_xlfn.IFNA(INDEX($EK$51:$EK$251,MATCH($EU72,$EI$51:$EI$251,0),1),0)</f>
        <v>7.1408388970833787</v>
      </c>
      <c r="EX72" s="18">
        <f>_xlfn.IFNA(INDEX($EO$51:$EO$246,MATCH($EU72,$EN$51:$EN$246,0),1),0)</f>
        <v>30.576209526370711</v>
      </c>
      <c r="EY72" s="18">
        <f>_xlfn.IFNA(INDEX($EP$51:$EP$246,MATCH($EU72,$EN$51:$EN$246,0),1),0)</f>
        <v>7.6378952832574623</v>
      </c>
      <c r="EZ72" s="18">
        <f>_xlfn.IFNA(EX72-EV72,"")</f>
        <v>-1.5559598928784837</v>
      </c>
      <c r="FA72" s="50">
        <f>EX72/EV72-1</f>
        <v>-4.8423742342973086E-2</v>
      </c>
      <c r="FB72" s="50">
        <f>_xlfn.IFNA(EY72/EW72-1,"")</f>
        <v>6.9607561987864219E-2</v>
      </c>
      <c r="FC72" s="18">
        <f>-(_xlfn.IFNA(INDEX($EL$51:$EL$251,MATCH($EU72,$EI$51:$EI$251,0),1),0)-_xlfn.IFNA(INDEX($EQ$51:$EQ$246,MATCH($EU72,$EN$51:$EN$246,0),1),0))</f>
        <v>-0.49655064999999965</v>
      </c>
      <c r="FH72">
        <v>1</v>
      </c>
      <c r="FI72" s="165" t="str">
        <f>_xlfn.XLOOKUP(LARGE($EZ$51:$EZ$248,FH72),$EZ$51:$EZ$248,$EU$51:$EU$248)</f>
        <v>Gobierno Central</v>
      </c>
      <c r="FJ72" s="160"/>
      <c r="FK72" s="170">
        <f>LARGE($EZ$51:$EZ$250,FH72)</f>
        <v>143471.52336148464</v>
      </c>
      <c r="FL72" s="162" cm="1">
        <f t="array" ref="FL72">INDEX($FA$51:$FA$248,MATCH(FI72,$EU$51:$EU$248,0),0)</f>
        <v>0.4002551924007165</v>
      </c>
      <c r="FM72" s="159"/>
      <c r="FN72" s="162" cm="1">
        <f t="array" ref="FN72">INDEX($FB$51:$FB$248,MATCH(FI72,$EU$51:$EU$248,0),0)</f>
        <v>0.34507631553330786</v>
      </c>
      <c r="FO72" s="173" cm="1">
        <f t="array" ref="FO72">INDEX($FC$51:$FC$248,MATCH(FI72,$EU$51:$EU$248,0),0)</f>
        <v>6.7156153999999617</v>
      </c>
      <c r="FP72" t="str">
        <f>INDEX(Tabla_Consulta_desde_Reporte_de_Valorización_de_Instrumentos[Plus],MATCH(Presentacion!FI72,Tabla_Consulta_desde_Reporte_de_Valorización_de_Instrumentos[Nombre],0))</f>
        <v>SOV</v>
      </c>
    </row>
    <row r="73" spans="25:174" x14ac:dyDescent="0.25">
      <c r="Z73" s="25"/>
      <c r="AD73" s="67">
        <v>4</v>
      </c>
      <c r="AE73" s="37" t="str">
        <f>INDEX($AD$54:$AD$66,MATCH(AG73,$AE$54:$AE$66,0),1)</f>
        <v>Gobierno de Colombia</v>
      </c>
      <c r="AF73" s="37" t="str">
        <f t="shared" si="7"/>
        <v>Colombia</v>
      </c>
      <c r="AG73" s="142">
        <f>LARGE($AE$54:$AE$66,AD73)</f>
        <v>8002.5234142958961</v>
      </c>
      <c r="AI73" s="67">
        <v>4</v>
      </c>
      <c r="AJ73" s="37" t="str">
        <f>INDEX($AI$54:$AI$66,MATCH(AL73,$AJ$54:$AJ$66,0),1)</f>
        <v>Gobierno de Colombia</v>
      </c>
      <c r="AK73" s="37" t="str">
        <f>INDEX($AN$54:$AN$67,MATCH(AJ73,$AM$54:$AM$67,0),1)</f>
        <v>Colombia</v>
      </c>
      <c r="AL73" s="110">
        <f>LARGE($AJ$54:$AJ$66,AI73)</f>
        <v>0.78307220870034855</v>
      </c>
      <c r="AO73" s="76"/>
      <c r="AQ73" s="25" t="s">
        <v>4581</v>
      </c>
      <c r="AR73">
        <v>11044.465847606309</v>
      </c>
      <c r="AS73">
        <v>1.0238747195295743</v>
      </c>
      <c r="AU73" s="79"/>
      <c r="AV73" s="32" t="s">
        <v>4484</v>
      </c>
      <c r="AW73" s="32">
        <v>21206.529188437857</v>
      </c>
      <c r="AX73" s="32">
        <v>1.9659465133583995</v>
      </c>
      <c r="BE73" s="76"/>
      <c r="BH73" s="25" t="s">
        <v>2813</v>
      </c>
      <c r="BI73" s="7">
        <v>1491.1735020071608</v>
      </c>
      <c r="BJ73" s="7">
        <v>0.13823890373733341</v>
      </c>
      <c r="BK73" s="7">
        <v>45.69946374523937</v>
      </c>
      <c r="BN73" s="25" t="s">
        <v>4549</v>
      </c>
      <c r="BO73" s="7">
        <v>68.448908050212609</v>
      </c>
      <c r="BP73" s="7">
        <v>6.345540608213871E-3</v>
      </c>
      <c r="BQ73" s="7">
        <v>2.0701705932498737</v>
      </c>
      <c r="BT73" s="36" t="s">
        <v>4415</v>
      </c>
      <c r="BU73" s="7">
        <v>4.4017981809969305E-2</v>
      </c>
      <c r="BV73" s="7">
        <v>4.0806770922025273E-6</v>
      </c>
      <c r="BW73" s="7">
        <v>3.9547000000000003E-4</v>
      </c>
      <c r="CQ73" s="135" t="str" cm="1">
        <f t="array" ref="CQ73">INDEX(Parametria!$P:$P,MATCH(CR73,Parametria!$O:$O,0),0)</f>
        <v>Consumer Discretionary</v>
      </c>
      <c r="CR73" s="132" t="s">
        <v>4500</v>
      </c>
      <c r="CS73" s="132">
        <v>524.76676139851543</v>
      </c>
      <c r="CT73" s="132">
        <v>4.8648384454174153E-2</v>
      </c>
      <c r="CV73" s="135" t="str" cm="1">
        <f t="array" ref="CV73">INDEX(Parametria!$P:$P,MATCH(Presentacion!CW73,Parametria!$O:$O,0),0)</f>
        <v>Consumer Discretionary</v>
      </c>
      <c r="CW73" s="133" t="s">
        <v>4552</v>
      </c>
      <c r="CX73" s="132">
        <v>426.16837356910094</v>
      </c>
      <c r="CY73" s="132">
        <v>3.9507843111761504E-2</v>
      </c>
      <c r="DZ73" s="76"/>
      <c r="ED73" s="25" t="s">
        <v>2804</v>
      </c>
      <c r="EE73">
        <v>30.576209526370711</v>
      </c>
      <c r="EF73">
        <v>7.6378952832574623</v>
      </c>
      <c r="EG73">
        <v>4.0032245</v>
      </c>
      <c r="EI73" s="32" t="s">
        <v>4518</v>
      </c>
      <c r="EJ73" s="32">
        <v>7.2873405826665732E-4</v>
      </c>
      <c r="EK73" s="32">
        <v>3.0347617997884894E-4</v>
      </c>
      <c r="EL73" s="32">
        <v>2.4012891500000002</v>
      </c>
      <c r="EN73" s="32" t="s">
        <v>4460</v>
      </c>
      <c r="EO73" s="32">
        <v>33.977646480656141</v>
      </c>
      <c r="EP73" s="32">
        <v>72.292864852459886</v>
      </c>
      <c r="EQ73" s="32">
        <v>0.47</v>
      </c>
      <c r="EU73" t="str">
        <f>EN73</f>
        <v xml:space="preserve">Banco Internacional del Perú </v>
      </c>
      <c r="EV73" s="18">
        <f>_xlfn.IFNA(INDEX($EJ$51:$EJ$251,MATCH($EU73,$EI$51:$EI$251,0),1),0)</f>
        <v>47.401430788009016</v>
      </c>
      <c r="EW73" s="18">
        <f>_xlfn.IFNA(INDEX($EK$51:$EK$251,MATCH($EU73,$EI$51:$EI$251,0),1),0)</f>
        <v>67.716329697155743</v>
      </c>
      <c r="EX73" s="18">
        <f>_xlfn.IFNA(INDEX($EO$51:$EO$246,MATCH($EU73,$EN$51:$EN$246,0),1),0)</f>
        <v>33.977646480656141</v>
      </c>
      <c r="EY73" s="18">
        <f>_xlfn.IFNA(INDEX($EP$51:$EP$246,MATCH($EU73,$EN$51:$EN$246,0),1),0)</f>
        <v>72.292864852459886</v>
      </c>
      <c r="EZ73" s="18">
        <f>_xlfn.IFNA(EX73-EV73,"")</f>
        <v>-13.423784307352875</v>
      </c>
      <c r="FA73" s="50">
        <f>EX73/EV73-1</f>
        <v>-0.283193652263101</v>
      </c>
      <c r="FB73" s="50">
        <f>_xlfn.IFNA(EY73/EW73-1,"")</f>
        <v>6.7583922161339016E-2</v>
      </c>
      <c r="FC73" s="18">
        <f>-(_xlfn.IFNA(INDEX($EL$51:$EL$251,MATCH($EU73,$EI$51:$EI$251,0),1),0)-_xlfn.IFNA(INDEX($EQ$51:$EQ$246,MATCH($EU73,$EN$51:$EN$246,0),1),0))</f>
        <v>-0.22999999999999998</v>
      </c>
      <c r="FH73">
        <v>2</v>
      </c>
      <c r="FI73" s="165" t="str">
        <f t="shared" ref="FI73:FI86" si="8">_xlfn.XLOOKUP(LARGE($EZ$51:$EZ$248,FH73),$EZ$51:$EZ$248,$EU$51:$EU$248)</f>
        <v>Cementos Pacasmayo</v>
      </c>
      <c r="FJ73" s="160"/>
      <c r="FK73" s="170">
        <f t="shared" ref="FK73:FK86" si="9">LARGE($EZ$51:$EZ$250,FH73)</f>
        <v>64276.870106070914</v>
      </c>
      <c r="FL73" s="162" cm="1">
        <f t="array" ref="FL73">INDEX($FA$51:$FA$248,MATCH(FI73,$EU$51:$EU$248,0),0)</f>
        <v>0.51694281611332893</v>
      </c>
      <c r="FM73" s="159"/>
      <c r="FN73" s="162" cm="1">
        <f t="array" ref="FN73">INDEX($FB$51:$FB$248,MATCH(FI73,$EU$51:$EU$248,0),0)</f>
        <v>0.51694281611332893</v>
      </c>
      <c r="FO73" s="173" cm="1">
        <f t="array" ref="FO73">INDEX($FC$51:$FC$248,MATCH(FI73,$EU$51:$EU$248,0),0)</f>
        <v>0</v>
      </c>
      <c r="FP73" t="s">
        <v>4795</v>
      </c>
    </row>
    <row r="74" spans="25:174" ht="15.75" thickBot="1" x14ac:dyDescent="0.3">
      <c r="Y74" s="25"/>
      <c r="AD74" s="69" t="s">
        <v>4877</v>
      </c>
      <c r="AE74" s="70" t="s">
        <v>4877</v>
      </c>
      <c r="AF74" s="70" t="s">
        <v>4877</v>
      </c>
      <c r="AG74" s="143">
        <f>AE68-SUM(AG70:AG73)</f>
        <v>17237.087415729649</v>
      </c>
      <c r="AI74" s="69" t="s">
        <v>4877</v>
      </c>
      <c r="AJ74" s="70" t="s">
        <v>4877</v>
      </c>
      <c r="AK74" s="70" t="s">
        <v>4877</v>
      </c>
      <c r="AL74" s="111">
        <f>AJ68-SUM(AL70:AL73)</f>
        <v>1.686703482814373</v>
      </c>
      <c r="AO74" s="76"/>
      <c r="AQ74" s="25" t="s">
        <v>4484</v>
      </c>
      <c r="AR74">
        <v>1626.2988076058548</v>
      </c>
      <c r="AS74">
        <v>0.1507656647668128</v>
      </c>
      <c r="AU74" s="79"/>
      <c r="AV74" s="32" t="s">
        <v>2800</v>
      </c>
      <c r="AW74" s="32">
        <v>102.51468149807735</v>
      </c>
      <c r="AX74" s="32">
        <v>9.5036004651375943E-3</v>
      </c>
      <c r="BE74" s="76"/>
      <c r="BH74" s="25" t="s">
        <v>2814</v>
      </c>
      <c r="BI74">
        <v>1269.1521418764592</v>
      </c>
      <c r="BJ74">
        <v>0.11765646353877325</v>
      </c>
      <c r="BK74">
        <v>159.64177885238479</v>
      </c>
      <c r="BN74" s="25" t="s">
        <v>4506</v>
      </c>
      <c r="BO74" s="7">
        <v>869.21276477194976</v>
      </c>
      <c r="BP74" s="7">
        <v>8.0580173638301403E-2</v>
      </c>
      <c r="BQ74" s="7">
        <v>2.9444589365709182</v>
      </c>
      <c r="BT74" s="36" t="s">
        <v>4410</v>
      </c>
      <c r="BU74" s="7">
        <v>1814.3622878318727</v>
      </c>
      <c r="BV74" s="7">
        <v>0.16820004735507552</v>
      </c>
      <c r="BW74" s="7">
        <v>36.946639999999995</v>
      </c>
      <c r="CQ74" s="135" t="str" cm="1">
        <f t="array" ref="CQ74">INDEX(Parametria!$P:$P,MATCH(CR74,Parametria!$O:$O,0),0)</f>
        <v>Financials</v>
      </c>
      <c r="CR74" s="132" t="s">
        <v>4499</v>
      </c>
      <c r="CS74" s="132">
        <v>19.531961204626796</v>
      </c>
      <c r="CT74" s="132">
        <v>1.8107060654802118E-3</v>
      </c>
      <c r="CV74" s="135" t="str" cm="1">
        <f t="array" ref="CV74">INDEX(Parametria!$P:$P,MATCH(Presentacion!CW74,Parametria!$O:$O,0),0)</f>
        <v>Consumer Discretionary</v>
      </c>
      <c r="CW74" s="133" t="s">
        <v>2801</v>
      </c>
      <c r="CX74" s="132">
        <v>424.51447958127733</v>
      </c>
      <c r="CY74" s="132">
        <v>3.9354519242026188E-2</v>
      </c>
      <c r="DY74">
        <v>15.11</v>
      </c>
      <c r="DZ74" s="76"/>
      <c r="ED74" s="25" t="s">
        <v>4460</v>
      </c>
      <c r="EE74">
        <v>33.977646480656141</v>
      </c>
      <c r="EF74">
        <v>72.292864852459886</v>
      </c>
      <c r="EG74">
        <v>0.47</v>
      </c>
      <c r="EI74" s="32" t="s">
        <v>4448</v>
      </c>
      <c r="EJ74" s="32">
        <v>3.7312926658173901E-2</v>
      </c>
      <c r="EK74" s="32">
        <v>9.8729999999999998E-5</v>
      </c>
      <c r="EL74" s="32">
        <v>377.92896443000001</v>
      </c>
      <c r="EN74" s="32" t="s">
        <v>4518</v>
      </c>
      <c r="EO74" s="32">
        <v>8.2161611310814422E-4</v>
      </c>
      <c r="EP74" s="32">
        <v>3.3747006998125504E-4</v>
      </c>
      <c r="EQ74" s="32">
        <v>2.4346340199999998</v>
      </c>
      <c r="EU74" t="str">
        <f>EN74</f>
        <v>Barings - Emerging Markets Local Debt Fund</v>
      </c>
      <c r="EV74" s="18">
        <f>_xlfn.IFNA(INDEX($EJ$51:$EJ$251,MATCH($EU74,$EI$51:$EI$251,0),1),0)</f>
        <v>7.2873405826665732E-4</v>
      </c>
      <c r="EW74" s="18">
        <f>_xlfn.IFNA(INDEX($EK$51:$EK$251,MATCH($EU74,$EI$51:$EI$251,0),1),0)</f>
        <v>3.0347617997884894E-4</v>
      </c>
      <c r="EX74" s="18">
        <f>_xlfn.IFNA(INDEX($EO$51:$EO$246,MATCH($EU74,$EN$51:$EN$246,0),1),0)</f>
        <v>8.2161611310814422E-4</v>
      </c>
      <c r="EY74" s="18">
        <f>_xlfn.IFNA(INDEX($EP$51:$EP$246,MATCH($EU74,$EN$51:$EN$246,0),1),0)</f>
        <v>3.3747006998125504E-4</v>
      </c>
      <c r="EZ74" s="18">
        <f>_xlfn.IFNA(EX74-EV74,"")</f>
        <v>9.2882054841486898E-5</v>
      </c>
      <c r="FA74" s="50">
        <f>EX74/EV74-1</f>
        <v>0.12745672277540177</v>
      </c>
      <c r="FB74" s="50">
        <f>_xlfn.IFNA(EY74/EW74-1,"")</f>
        <v>0.11201501878920217</v>
      </c>
      <c r="FC74" s="18">
        <f>-(_xlfn.IFNA(INDEX($EL$51:$EL$251,MATCH($EU74,$EI$51:$EI$251,0),1),0)-_xlfn.IFNA(INDEX($EQ$51:$EQ$246,MATCH($EU74,$EN$51:$EN$246,0),1),0))</f>
        <v>3.3344869999999638E-2</v>
      </c>
      <c r="FH74">
        <v>3</v>
      </c>
      <c r="FI74" s="165" t="str">
        <f t="shared" si="8"/>
        <v>State Street - S&amp;P Metals &amp; Mining ETF</v>
      </c>
      <c r="FJ74" s="160"/>
      <c r="FK74" s="170">
        <f t="shared" si="9"/>
        <v>34995.708093519817</v>
      </c>
      <c r="FL74" s="162" t="e" cm="1">
        <f t="array" ref="FL74">INDEX($FA$51:$FA$248,MATCH(FI74,$EU$51:$EU$248,0),0)</f>
        <v>#DIV/0!</v>
      </c>
      <c r="FM74" s="159"/>
      <c r="FN74" s="162" t="e" cm="1">
        <f t="array" ref="FN74">INDEX($FB$51:$FB$248,MATCH(FI74,$EU$51:$EU$248,0),0)</f>
        <v>#DIV/0!</v>
      </c>
      <c r="FO74" s="173" cm="1">
        <f t="array" ref="FO74">INDEX($FC$51:$FC$248,MATCH(FI74,$EU$51:$EU$248,0),0)</f>
        <v>649.79570505000004</v>
      </c>
      <c r="FP74" t="str">
        <f>INDEX(Tabla_Consulta_desde_Reporte_de_Valorización_de_Instrumentos[Plus],MATCH(Presentacion!FI74,Tabla_Consulta_desde_Reporte_de_Valorización_de_Instrumentos[Nombre],0))</f>
        <v>ETF</v>
      </c>
    </row>
    <row r="75" spans="25:174" x14ac:dyDescent="0.25">
      <c r="Z75" s="24" t="s">
        <v>2</v>
      </c>
      <c r="AA75" t="s">
        <v>4713</v>
      </c>
      <c r="AC75" s="18"/>
      <c r="AO75" s="76"/>
      <c r="AQ75" s="25" t="s">
        <v>6631</v>
      </c>
      <c r="AR75">
        <v>19580.230380832003</v>
      </c>
      <c r="AS75">
        <v>1.8151808485915868</v>
      </c>
      <c r="AU75" s="79"/>
      <c r="AV75" s="32" t="s">
        <v>4488</v>
      </c>
      <c r="AW75" s="32">
        <v>188617.25767416038</v>
      </c>
      <c r="AX75" s="32">
        <v>17.485720401899187</v>
      </c>
      <c r="BE75" s="76"/>
      <c r="BH75" s="25" t="s">
        <v>4498</v>
      </c>
      <c r="BI75" s="7">
        <v>2.2193432241678197</v>
      </c>
      <c r="BJ75" s="7">
        <v>2.0574371386889435E-4</v>
      </c>
      <c r="BK75" s="7">
        <v>7.1591716908639356</v>
      </c>
      <c r="BN75" s="25" t="s">
        <v>4469</v>
      </c>
      <c r="BO75" s="7">
        <v>300.52542306807817</v>
      </c>
      <c r="BP75" s="7">
        <v>2.7860141676478069E-2</v>
      </c>
      <c r="BQ75" s="7">
        <v>9.0890988779999997</v>
      </c>
      <c r="BT75" s="36" t="s">
        <v>4519</v>
      </c>
      <c r="BU75" s="7">
        <v>610.5153927466356</v>
      </c>
      <c r="BV75" s="7">
        <v>5.6597692015356894E-2</v>
      </c>
      <c r="BW75" s="7">
        <v>57.294580000000003</v>
      </c>
      <c r="CQ75" s="135" t="str" cm="1">
        <f t="array" ref="CQ75">INDEX(Parametria!$P:$P,MATCH(CR75,Parametria!$O:$O,0),0)</f>
        <v>Financials</v>
      </c>
      <c r="CR75" s="132" t="s">
        <v>4613</v>
      </c>
      <c r="CS75" s="132">
        <v>76.245796432799992</v>
      </c>
      <c r="CT75" s="132">
        <v>7.068349390103059E-3</v>
      </c>
      <c r="CV75" s="135" t="str" cm="1">
        <f t="array" ref="CV75">INDEX(Parametria!$P:$P,MATCH(Presentacion!CW75,Parametria!$O:$O,0),0)</f>
        <v>Consumer Discretionary</v>
      </c>
      <c r="CW75" s="133" t="s">
        <v>4468</v>
      </c>
      <c r="CX75" s="132">
        <v>207.9495212275404</v>
      </c>
      <c r="CY75" s="132">
        <v>1.9277913541586311E-2</v>
      </c>
      <c r="DY75">
        <v>7.37</v>
      </c>
      <c r="DZ75" s="76"/>
      <c r="ED75" s="25" t="s">
        <v>4518</v>
      </c>
      <c r="EE75">
        <v>8.2161611310814422E-4</v>
      </c>
      <c r="EF75">
        <v>3.3747006998125504E-4</v>
      </c>
      <c r="EG75">
        <v>2.4346340199999998</v>
      </c>
      <c r="EI75" s="32" t="s">
        <v>4436</v>
      </c>
      <c r="EJ75" s="32">
        <v>73.898854176239908</v>
      </c>
      <c r="EK75" s="32">
        <v>61.582378480199928</v>
      </c>
      <c r="EL75" s="32">
        <v>1.2</v>
      </c>
      <c r="EN75" s="32" t="s">
        <v>4448</v>
      </c>
      <c r="EO75" s="32">
        <v>4.5645949921050602E-2</v>
      </c>
      <c r="EP75" s="32">
        <v>1.1058E-4</v>
      </c>
      <c r="EQ75" s="32">
        <v>412.78666957000002</v>
      </c>
      <c r="EU75" t="str">
        <f>EN75</f>
        <v>Barings - Emerging Markets Sovereign Debt Fund</v>
      </c>
      <c r="EV75" s="18">
        <f>_xlfn.IFNA(INDEX($EJ$51:$EJ$251,MATCH($EU75,$EI$51:$EI$251,0),1),0)</f>
        <v>3.7312926658173901E-2</v>
      </c>
      <c r="EW75" s="18">
        <f>_xlfn.IFNA(INDEX($EK$51:$EK$251,MATCH($EU75,$EI$51:$EI$251,0),1),0)</f>
        <v>9.8729999999999998E-5</v>
      </c>
      <c r="EX75" s="18">
        <f>_xlfn.IFNA(INDEX($EO$51:$EO$246,MATCH($EU75,$EN$51:$EN$246,0),1),0)</f>
        <v>4.5645949921050602E-2</v>
      </c>
      <c r="EY75" s="18">
        <f>_xlfn.IFNA(INDEX($EP$51:$EP$246,MATCH($EU75,$EN$51:$EN$246,0),1),0)</f>
        <v>1.1058E-4</v>
      </c>
      <c r="EZ75" s="18">
        <f>_xlfn.IFNA(EX75-EV75,"")</f>
        <v>8.3330232628767015E-3</v>
      </c>
      <c r="FA75" s="50">
        <f>EX75/EV75-1</f>
        <v>0.22332805301540826</v>
      </c>
      <c r="FB75" s="50">
        <f>_xlfn.IFNA(EY75/EW75-1,"")</f>
        <v>0.12002430872075354</v>
      </c>
      <c r="FC75" s="18">
        <f>-(_xlfn.IFNA(INDEX($EL$51:$EL$251,MATCH($EU75,$EI$51:$EI$251,0),1),0)-_xlfn.IFNA(INDEX($EQ$51:$EQ$246,MATCH($EU75,$EN$51:$EN$246,0),1),0))</f>
        <v>34.857705140000007</v>
      </c>
      <c r="FH75">
        <v>4</v>
      </c>
      <c r="FI75" s="175" t="str">
        <f t="shared" si="8"/>
        <v>Gobierno de Brasil</v>
      </c>
      <c r="FJ75" s="160"/>
      <c r="FK75" s="170">
        <f t="shared" si="9"/>
        <v>33357.950700369591</v>
      </c>
      <c r="FL75" s="162" cm="1">
        <f t="array" ref="FL75">INDEX($FA$51:$FA$248,MATCH(FI75,$EU$51:$EU$248,0),0)</f>
        <v>2.9958302283025455</v>
      </c>
      <c r="FM75" s="159"/>
      <c r="FN75" s="162" cm="1">
        <f t="array" ref="FN75">INDEX($FB$51:$FB$248,MATCH(FI75,$EU$51:$EU$248,0),0)</f>
        <v>3.2483576601358077</v>
      </c>
      <c r="FO75" s="173" cm="1">
        <f t="array" ref="FO75">INDEX($FC$51:$FC$248,MATCH(FI75,$EU$51:$EU$248,0),0)</f>
        <v>-17.341350700000021</v>
      </c>
      <c r="FP75" t="str">
        <f>INDEX(Tabla_Consulta_desde_Reporte_de_Valorización_de_Instrumentos[Plus],MATCH(Presentacion!FI75,Tabla_Consulta_desde_Reporte_de_Valorización_de_Instrumentos[Nombre],0))</f>
        <v>SOV</v>
      </c>
    </row>
    <row r="76" spans="25:174" x14ac:dyDescent="0.25">
      <c r="Z76" s="24" t="s">
        <v>2829</v>
      </c>
      <c r="AA76" t="s">
        <v>4713</v>
      </c>
      <c r="AC76" s="18"/>
      <c r="AO76" s="76"/>
      <c r="AQ76" s="25" t="s">
        <v>2800</v>
      </c>
      <c r="AR76">
        <v>102.51468149807735</v>
      </c>
      <c r="AS76">
        <v>9.5036004651375943E-3</v>
      </c>
      <c r="AU76" s="79"/>
      <c r="AV76" s="32" t="s">
        <v>2809</v>
      </c>
      <c r="AW76" s="32">
        <v>89.191657803556694</v>
      </c>
      <c r="AX76" s="32">
        <v>8.2684925534707143E-3</v>
      </c>
      <c r="BE76" s="76"/>
      <c r="BH76" s="25" t="s">
        <v>4615</v>
      </c>
      <c r="BI76">
        <v>2253.8774475523219</v>
      </c>
      <c r="BJ76">
        <v>0.20894520127171357</v>
      </c>
      <c r="BK76">
        <v>17.572722965478889</v>
      </c>
      <c r="BN76" s="25" t="s">
        <v>4552</v>
      </c>
      <c r="BO76" s="7">
        <v>426.16837356910094</v>
      </c>
      <c r="BP76" s="7">
        <v>3.9507843111761504E-2</v>
      </c>
      <c r="BQ76" s="7">
        <v>34.852826711862889</v>
      </c>
      <c r="BT76" s="36" t="s">
        <v>4449</v>
      </c>
      <c r="BU76" s="7">
        <v>0.18848870524210354</v>
      </c>
      <c r="BV76" s="7">
        <v>1.7473802977631395E-5</v>
      </c>
      <c r="BW76" s="7">
        <v>4.3416516596744923E-4</v>
      </c>
      <c r="CQ76" s="135" t="str" cm="1">
        <f t="array" ref="CQ76">INDEX(Parametria!$P:$P,MATCH(CR76,Parametria!$O:$O,0),0)</f>
        <v>Metals</v>
      </c>
      <c r="CR76" s="132" t="s">
        <v>4915</v>
      </c>
      <c r="CS76" s="132">
        <v>35694.186500513744</v>
      </c>
      <c r="CT76" s="132">
        <v>3.3090215223011987</v>
      </c>
      <c r="CV76" s="135" t="str" cm="1">
        <f t="array" ref="CV76">INDEX(Parametria!$P:$P,MATCH(Presentacion!CW76,Parametria!$O:$O,0),0)</f>
        <v>Industrials</v>
      </c>
      <c r="CW76" s="133" t="s">
        <v>4526</v>
      </c>
      <c r="CX76" s="132">
        <v>2597.8491888880753</v>
      </c>
      <c r="CY76" s="132">
        <v>0.24083302410042676</v>
      </c>
      <c r="DZ76" s="76"/>
      <c r="ED76" s="25" t="s">
        <v>4448</v>
      </c>
      <c r="EE76">
        <v>4.5645949921050602E-2</v>
      </c>
      <c r="EF76">
        <v>1.1058E-4</v>
      </c>
      <c r="EG76">
        <v>412.78666957000002</v>
      </c>
      <c r="EI76" s="32" t="s">
        <v>4404</v>
      </c>
      <c r="EJ76" s="32">
        <v>435.12763746692076</v>
      </c>
      <c r="EK76" s="32">
        <v>15.003497993432038</v>
      </c>
      <c r="EL76" s="32">
        <v>29.001745970000002</v>
      </c>
      <c r="EN76" s="32" t="s">
        <v>4436</v>
      </c>
      <c r="EO76" s="32">
        <v>70.737775988879861</v>
      </c>
      <c r="EP76" s="32">
        <v>58.948146657399896</v>
      </c>
      <c r="EQ76" s="32">
        <v>1.2</v>
      </c>
      <c r="EU76" t="str">
        <f>EN76</f>
        <v>BBVA Bancomer</v>
      </c>
      <c r="EV76" s="18">
        <f>_xlfn.IFNA(INDEX($EJ$51:$EJ$251,MATCH($EU76,$EI$51:$EI$251,0),1),0)</f>
        <v>73.898854176239908</v>
      </c>
      <c r="EW76" s="18">
        <f>_xlfn.IFNA(INDEX($EK$51:$EK$251,MATCH($EU76,$EI$51:$EI$251,0),1),0)</f>
        <v>61.582378480199928</v>
      </c>
      <c r="EX76" s="18">
        <f>_xlfn.IFNA(INDEX($EO$51:$EO$246,MATCH($EU76,$EN$51:$EN$246,0),1),0)</f>
        <v>70.737775988879861</v>
      </c>
      <c r="EY76" s="18">
        <f>_xlfn.IFNA(INDEX($EP$51:$EP$246,MATCH($EU76,$EN$51:$EN$246,0),1),0)</f>
        <v>58.948146657399896</v>
      </c>
      <c r="EZ76" s="18">
        <f>_xlfn.IFNA(EX76-EV76,"")</f>
        <v>-3.1610781873600473</v>
      </c>
      <c r="FA76" s="50">
        <f>EX76/EV76-1</f>
        <v>-4.2775740200534873E-2</v>
      </c>
      <c r="FB76" s="50">
        <f>_xlfn.IFNA(EY76/EW76-1,"")</f>
        <v>-4.2775740200534762E-2</v>
      </c>
      <c r="FC76" s="18">
        <f>-(_xlfn.IFNA(INDEX($EL$51:$EL$251,MATCH($EU76,$EI$51:$EI$251,0),1),0)-_xlfn.IFNA(INDEX($EQ$51:$EQ$246,MATCH($EU76,$EN$51:$EN$246,0),1),0))</f>
        <v>0</v>
      </c>
      <c r="FH76">
        <v>5</v>
      </c>
      <c r="FI76" s="165" t="str">
        <f t="shared" si="8"/>
        <v>Global X - Copper Miners ETF</v>
      </c>
      <c r="FJ76" s="160"/>
      <c r="FK76" s="170">
        <f t="shared" si="9"/>
        <v>16715.861710145462</v>
      </c>
      <c r="FL76" s="162" cm="1">
        <f t="array" ref="FL76">INDEX($FA$51:$FA$248,MATCH(FI76,$EU$51:$EU$248,0),0)</f>
        <v>8.7897136437685361</v>
      </c>
      <c r="FM76" s="159"/>
      <c r="FN76" s="162" cm="1">
        <f t="array" ref="FN76">INDEX($FB$51:$FB$248,MATCH(FI76,$EU$51:$EU$248,0),0)</f>
        <v>9.906500871761704</v>
      </c>
      <c r="FO76" s="173" cm="1">
        <f t="array" ref="FO76">INDEX($FC$51:$FC$248,MATCH(FI76,$EU$51:$EU$248,0),0)</f>
        <v>-13.761395280000002</v>
      </c>
      <c r="FP76" t="str">
        <f>INDEX(Tabla_Consulta_desde_Reporte_de_Valorización_de_Instrumentos[Plus],MATCH(Presentacion!FI76,Tabla_Consulta_desde_Reporte_de_Valorización_de_Instrumentos[Nombre],0))</f>
        <v>ETF</v>
      </c>
    </row>
    <row r="77" spans="25:174" x14ac:dyDescent="0.25">
      <c r="Z77" s="24" t="s">
        <v>4826</v>
      </c>
      <c r="AA77" t="s">
        <v>4713</v>
      </c>
      <c r="AC77" s="18"/>
      <c r="AO77" s="76"/>
      <c r="AQ77" s="25" t="s">
        <v>6630</v>
      </c>
      <c r="AR77">
        <v>73548.520514528544</v>
      </c>
      <c r="AS77">
        <v>6.8182990334429769</v>
      </c>
      <c r="AU77" s="79"/>
      <c r="AV77" s="32" t="s">
        <v>4614</v>
      </c>
      <c r="AW77" s="32">
        <v>315.15101779000003</v>
      </c>
      <c r="AX77" s="32">
        <v>2.9216004141941389E-2</v>
      </c>
      <c r="BE77" s="76"/>
      <c r="BH77" s="25" t="s">
        <v>4434</v>
      </c>
      <c r="BI77" s="7">
        <v>69.960531541860689</v>
      </c>
      <c r="BJ77" s="7">
        <v>6.4856753236361593E-3</v>
      </c>
      <c r="BK77" s="7">
        <v>66.629077658914937</v>
      </c>
      <c r="BN77" s="25" t="s">
        <v>2801</v>
      </c>
      <c r="BO77" s="7">
        <v>424.51447958127733</v>
      </c>
      <c r="BP77" s="7">
        <v>3.9354519242026188E-2</v>
      </c>
      <c r="BQ77" s="7">
        <v>34.717568245649979</v>
      </c>
      <c r="BT77" s="36" t="s">
        <v>4450</v>
      </c>
      <c r="BU77" s="7">
        <v>0.31870268673802027</v>
      </c>
      <c r="BV77" s="7">
        <v>2.9545260812041407E-5</v>
      </c>
      <c r="BW77" s="7">
        <v>7.3410024597578033E-4</v>
      </c>
      <c r="CQ77" s="135" t="str" cm="1">
        <f t="array" ref="CQ77">INDEX(Parametria!$P:$P,MATCH(CR77,Parametria!$O:$O,0),0)</f>
        <v>Metals</v>
      </c>
      <c r="CR77" s="132" t="s">
        <v>4621</v>
      </c>
      <c r="CS77" s="132">
        <v>9226.8742457789995</v>
      </c>
      <c r="CT77" s="132">
        <v>0.85537529934769374</v>
      </c>
      <c r="CV77" s="135" t="str" cm="1">
        <f t="array" ref="CV77">INDEX(Parametria!$P:$P,MATCH(Presentacion!CW77,Parametria!$O:$O,0),0)</f>
        <v>Fondo</v>
      </c>
      <c r="CW77" s="133" t="s">
        <v>4524</v>
      </c>
      <c r="CX77" s="132">
        <v>899.50508124203384</v>
      </c>
      <c r="CY77" s="132">
        <v>8.3388416015765993E-2</v>
      </c>
      <c r="DZ77" s="76"/>
      <c r="ED77" s="25" t="s">
        <v>4436</v>
      </c>
      <c r="EE77">
        <v>70.737775988879861</v>
      </c>
      <c r="EF77">
        <v>58.948146657399896</v>
      </c>
      <c r="EG77">
        <v>1.2</v>
      </c>
      <c r="EI77" s="32" t="s">
        <v>4455</v>
      </c>
      <c r="EJ77" s="32">
        <v>584.50542464062949</v>
      </c>
      <c r="EK77" s="32">
        <v>20.154146072627967</v>
      </c>
      <c r="EL77" s="32">
        <v>29.001745970000002</v>
      </c>
      <c r="EN77" s="32" t="s">
        <v>4404</v>
      </c>
      <c r="EO77" s="32">
        <v>433.3784417347689</v>
      </c>
      <c r="EP77" s="32">
        <v>13.831605602665951</v>
      </c>
      <c r="EQ77" s="32">
        <v>31.33247536</v>
      </c>
      <c r="EU77" t="str">
        <f>EN77</f>
        <v>BCP Fondo Inmobiliario</v>
      </c>
      <c r="EV77" s="18">
        <f>_xlfn.IFNA(INDEX($EJ$51:$EJ$251,MATCH($EU77,$EI$51:$EI$251,0),1),0)</f>
        <v>435.12763746692076</v>
      </c>
      <c r="EW77" s="18">
        <f>_xlfn.IFNA(INDEX($EK$51:$EK$251,MATCH($EU77,$EI$51:$EI$251,0),1),0)</f>
        <v>15.003497993432038</v>
      </c>
      <c r="EX77" s="18">
        <f>_xlfn.IFNA(INDEX($EO$51:$EO$246,MATCH($EU77,$EN$51:$EN$246,0),1),0)</f>
        <v>433.3784417347689</v>
      </c>
      <c r="EY77" s="18">
        <f>_xlfn.IFNA(INDEX($EP$51:$EP$246,MATCH($EU77,$EN$51:$EN$246,0),1),0)</f>
        <v>13.831605602665951</v>
      </c>
      <c r="EZ77" s="18">
        <f>_xlfn.IFNA(EX77-EV77,"")</f>
        <v>-1.7491957321518612</v>
      </c>
      <c r="FA77" s="50">
        <f>EX77/EV77-1</f>
        <v>-4.0199600796095858E-3</v>
      </c>
      <c r="FB77" s="50">
        <f>_xlfn.IFNA(EY77/EW77-1,"")</f>
        <v>-7.8107944645915084E-2</v>
      </c>
      <c r="FC77" s="18">
        <f>-(_xlfn.IFNA(INDEX($EL$51:$EL$251,MATCH($EU77,$EI$51:$EI$251,0),1),0)-_xlfn.IFNA(INDEX($EQ$51:$EQ$246,MATCH($EU77,$EN$51:$EN$246,0),1),0))</f>
        <v>2.3307293899999983</v>
      </c>
      <c r="FH77">
        <v>6</v>
      </c>
      <c r="FI77" s="165" t="str">
        <f t="shared" si="8"/>
        <v>BlackRock - iShares - Tips ETF</v>
      </c>
      <c r="FJ77" s="160"/>
      <c r="FK77" s="170">
        <f t="shared" si="9"/>
        <v>15510.216074583877</v>
      </c>
      <c r="FL77" s="162" cm="1">
        <f t="array" ref="FL77">INDEX($FA$51:$FA$248,MATCH(FI77,$EU$51:$EU$248,0),0)</f>
        <v>3.5297591863010673</v>
      </c>
      <c r="FM77" s="159"/>
      <c r="FN77" s="162" cm="1">
        <f t="array" ref="FN77">INDEX($FB$51:$FB$248,MATCH(FI77,$EU$51:$EU$248,0),0)</f>
        <v>3.8711029609207328</v>
      </c>
      <c r="FO77" s="173" cm="1">
        <f t="array" ref="FO77">INDEX($FC$51:$FC$248,MATCH(FI77,$EU$51:$EU$248,0),0)</f>
        <v>-15.266469430000001</v>
      </c>
      <c r="FP77" t="str">
        <f>INDEX(Tabla_Consulta_desde_Reporte_de_Valorización_de_Instrumentos[Plus],MATCH(Presentacion!FI77,Tabla_Consulta_desde_Reporte_de_Valorización_de_Instrumentos[Nombre],0))</f>
        <v>ETF</v>
      </c>
    </row>
    <row r="78" spans="25:174" x14ac:dyDescent="0.25">
      <c r="Z78" s="24" t="s">
        <v>4830</v>
      </c>
      <c r="AA78" t="s">
        <v>4713</v>
      </c>
      <c r="AC78" s="18"/>
      <c r="AE78" s="50">
        <f>+AE95/AE68-1</f>
        <v>0.39681365303231542</v>
      </c>
      <c r="AJ78" s="50">
        <f>+AJ95/AJ68-1</f>
        <v>0.32332256227773093</v>
      </c>
      <c r="AO78" s="76"/>
      <c r="AQ78" s="25" t="s">
        <v>4616</v>
      </c>
      <c r="AR78">
        <v>115068.73715963184</v>
      </c>
      <c r="AS78">
        <v>10.66742136845621</v>
      </c>
      <c r="AU78" s="79"/>
      <c r="AV78" s="32" t="s">
        <v>4523</v>
      </c>
      <c r="AW78" s="32">
        <v>2.0915984375237453E-5</v>
      </c>
      <c r="AX78" s="32">
        <v>1.9390116218723788E-9</v>
      </c>
      <c r="BE78" s="76"/>
      <c r="BH78" s="25" t="s">
        <v>4611</v>
      </c>
      <c r="BI78" s="7">
        <v>2989.8706460479907</v>
      </c>
      <c r="BJ78" s="7">
        <v>0.27717528501530619</v>
      </c>
      <c r="BK78" s="7">
        <v>140.69979510814073</v>
      </c>
      <c r="BN78" s="25" t="s">
        <v>4468</v>
      </c>
      <c r="BO78" s="7">
        <v>207.9495212275404</v>
      </c>
      <c r="BP78" s="7">
        <v>1.9277913541586311E-2</v>
      </c>
      <c r="BQ78" s="7">
        <v>17.006491043576126</v>
      </c>
      <c r="BT78" s="36" t="s">
        <v>4426</v>
      </c>
      <c r="BU78" s="7">
        <v>3701.2611860542415</v>
      </c>
      <c r="BV78" s="7">
        <v>0.34312458484339659</v>
      </c>
      <c r="BW78" s="7">
        <v>10.228787902319974</v>
      </c>
      <c r="CQ78" s="135" t="str" cm="1">
        <f t="array" ref="CQ78">INDEX(Parametria!$P:$P,MATCH(CR78,Parametria!$O:$O,0),0)</f>
        <v>Metals</v>
      </c>
      <c r="CR78" s="132" t="s">
        <v>2815</v>
      </c>
      <c r="CS78" s="132">
        <v>23083.85854040907</v>
      </c>
      <c r="CT78" s="132">
        <v>2.1399839082162737</v>
      </c>
      <c r="CV78" s="135" t="str" cm="1">
        <f t="array" ref="CV78">INDEX(Parametria!$P:$P,MATCH(Presentacion!CW78,Parametria!$O:$O,0),0)</f>
        <v>Utilities</v>
      </c>
      <c r="CW78" s="133" t="s">
        <v>2802</v>
      </c>
      <c r="CX78" s="132">
        <v>12206.568920962512</v>
      </c>
      <c r="CY78" s="132">
        <v>1.1316072232753229</v>
      </c>
      <c r="DZ78" s="76"/>
      <c r="ED78" s="25" t="s">
        <v>4404</v>
      </c>
      <c r="EE78">
        <v>433.3784417347689</v>
      </c>
      <c r="EF78">
        <v>13.831605602665951</v>
      </c>
      <c r="EG78">
        <v>31.33247536</v>
      </c>
      <c r="EI78" s="32" t="s">
        <v>4423</v>
      </c>
      <c r="EJ78" s="32">
        <v>4394.1286801600372</v>
      </c>
      <c r="EK78" s="32">
        <v>20.169671999999998</v>
      </c>
      <c r="EL78" s="32">
        <v>217.85821207999999</v>
      </c>
      <c r="EN78" s="32" t="s">
        <v>4455</v>
      </c>
      <c r="EO78" s="32">
        <v>510.8897225977783</v>
      </c>
      <c r="EP78" s="32">
        <v>16.30543762431218</v>
      </c>
      <c r="EQ78" s="32">
        <v>31.33247536</v>
      </c>
      <c r="EU78" t="str">
        <f>EN78</f>
        <v>BD Capital - Senior Loans C</v>
      </c>
      <c r="EV78" s="18">
        <f>_xlfn.IFNA(INDEX($EJ$51:$EJ$251,MATCH($EU78,$EI$51:$EI$251,0),1),0)</f>
        <v>584.50542464062949</v>
      </c>
      <c r="EW78" s="18">
        <f>_xlfn.IFNA(INDEX($EK$51:$EK$251,MATCH($EU78,$EI$51:$EI$251,0),1),0)</f>
        <v>20.154146072627967</v>
      </c>
      <c r="EX78" s="18">
        <f>_xlfn.IFNA(INDEX($EO$51:$EO$246,MATCH($EU78,$EN$51:$EN$246,0),1),0)</f>
        <v>510.8897225977783</v>
      </c>
      <c r="EY78" s="18">
        <f>_xlfn.IFNA(INDEX($EP$51:$EP$246,MATCH($EU78,$EN$51:$EN$246,0),1),0)</f>
        <v>16.30543762431218</v>
      </c>
      <c r="EZ78" s="18">
        <f>_xlfn.IFNA(EX78-EV78,"")</f>
        <v>-73.615702042851183</v>
      </c>
      <c r="FA78" s="50">
        <f>EX78/EV78-1</f>
        <v>-0.12594528457646426</v>
      </c>
      <c r="FB78" s="50">
        <f>_xlfn.IFNA(EY78/EW78-1,"")</f>
        <v>-0.19096360790710198</v>
      </c>
      <c r="FC78" s="18">
        <f>-(_xlfn.IFNA(INDEX($EL$51:$EL$251,MATCH($EU78,$EI$51:$EI$251,0),1),0)-_xlfn.IFNA(INDEX($EQ$51:$EQ$246,MATCH($EU78,$EN$51:$EN$246,0),1),0))</f>
        <v>2.3307293899999983</v>
      </c>
      <c r="FH78">
        <v>7</v>
      </c>
      <c r="FI78" s="165" t="str">
        <f t="shared" si="8"/>
        <v>Pimco - Emerging Markets Local Bond Fund</v>
      </c>
      <c r="FJ78" s="160"/>
      <c r="FK78" s="170">
        <f t="shared" si="9"/>
        <v>12592.146454230464</v>
      </c>
      <c r="FL78" s="162" cm="1">
        <f t="array" ref="FL78">INDEX($FA$51:$FA$248,MATCH(FI78,$EU$51:$EU$248,0),0)</f>
        <v>1.0308771721154009</v>
      </c>
      <c r="FM78" s="159"/>
      <c r="FN78" s="162" cm="1">
        <f t="array" ref="FN78">INDEX($FB$51:$FB$248,MATCH(FI78,$EU$51:$EU$248,0),0)</f>
        <v>1.0062123996693231</v>
      </c>
      <c r="FO78" s="173" cm="1">
        <f t="array" ref="FO78">INDEX($FC$51:$FC$248,MATCH(FI78,$EU$51:$EU$248,0),0)</f>
        <v>2.0610559800000203</v>
      </c>
      <c r="FP78" t="str">
        <f>INDEX(Tabla_Consulta_desde_Reporte_de_Valorización_de_Instrumentos[Plus],MATCH(Presentacion!FI78,Tabla_Consulta_desde_Reporte_de_Valorización_de_Instrumentos[Nombre],0))</f>
        <v>ETF</v>
      </c>
    </row>
    <row r="79" spans="25:174" ht="21" x14ac:dyDescent="0.35">
      <c r="AC79" s="18"/>
      <c r="AD79" s="265">
        <v>45992</v>
      </c>
      <c r="AE79" s="266"/>
      <c r="AF79" s="266"/>
      <c r="AG79" s="266"/>
      <c r="AH79" s="266"/>
      <c r="AI79" s="266"/>
      <c r="AJ79" s="266"/>
      <c r="AK79" s="266"/>
      <c r="AL79" s="266"/>
      <c r="AO79" s="76"/>
      <c r="AQ79" s="25" t="s">
        <v>2809</v>
      </c>
      <c r="AR79">
        <v>89.191657803556694</v>
      </c>
      <c r="AS79">
        <v>8.2684925534707143E-3</v>
      </c>
      <c r="AU79" s="79"/>
      <c r="AV79" s="32" t="s">
        <v>4584</v>
      </c>
      <c r="AW79" s="32">
        <v>3.2344472701278E-3</v>
      </c>
      <c r="AX79" s="32">
        <v>2.9984870587951919E-7</v>
      </c>
      <c r="BE79" s="76"/>
      <c r="BH79" s="25" t="s">
        <v>4500</v>
      </c>
      <c r="BI79">
        <v>524.76676139851543</v>
      </c>
      <c r="BJ79">
        <v>4.8648384454174153E-2</v>
      </c>
      <c r="BK79">
        <v>24.694906418753668</v>
      </c>
      <c r="BN79" s="25" t="s">
        <v>4526</v>
      </c>
      <c r="BO79" s="7">
        <v>2597.8491888880753</v>
      </c>
      <c r="BP79" s="7">
        <v>0.24083302410042676</v>
      </c>
      <c r="BQ79" s="7">
        <v>78.569419874294468</v>
      </c>
      <c r="BT79" s="36" t="s">
        <v>4451</v>
      </c>
      <c r="BU79" s="7">
        <v>8277.4832326003398</v>
      </c>
      <c r="BV79" s="7">
        <v>0.76736221924451475</v>
      </c>
      <c r="BW79" s="7">
        <v>27.096035210139995</v>
      </c>
      <c r="CQ79" s="135" t="str" cm="1">
        <f t="array" ref="CQ79">INDEX(Parametria!$P:$P,MATCH(CR79,Parametria!$O:$O,0),0)</f>
        <v>Industrials</v>
      </c>
      <c r="CR79" s="132" t="s">
        <v>4560</v>
      </c>
      <c r="CS79" s="132">
        <v>657.87360349049345</v>
      </c>
      <c r="CT79" s="132">
        <v>6.0988024278759122E-2</v>
      </c>
      <c r="CV79" s="135" t="str" cm="1">
        <f t="array" ref="CV79">INDEX(Parametria!$P:$P,MATCH(Presentacion!CW79,Parametria!$O:$O,0),0)</f>
        <v>Industrials</v>
      </c>
      <c r="CW79" s="133" t="s">
        <v>4548</v>
      </c>
      <c r="CX79" s="132">
        <v>3482.9899232239331</v>
      </c>
      <c r="CY79" s="132">
        <v>0.32288979657066319</v>
      </c>
      <c r="DP79" t="s">
        <v>2829</v>
      </c>
      <c r="DT79" t="s">
        <v>2830</v>
      </c>
      <c r="DZ79" s="76"/>
      <c r="ED79" s="25" t="s">
        <v>4455</v>
      </c>
      <c r="EE79">
        <v>510.8897225977783</v>
      </c>
      <c r="EF79">
        <v>16.30543762431218</v>
      </c>
      <c r="EG79">
        <v>31.33247536</v>
      </c>
      <c r="EI79" s="32" t="s">
        <v>4591</v>
      </c>
      <c r="EJ79" s="32">
        <v>829.86847670538361</v>
      </c>
      <c r="EK79" s="32">
        <v>6.5364300000000002</v>
      </c>
      <c r="EL79" s="32">
        <v>126.96050852</v>
      </c>
      <c r="EN79" s="32" t="s">
        <v>4423</v>
      </c>
      <c r="EO79" s="32">
        <v>19904.344754743914</v>
      </c>
      <c r="EP79" s="32">
        <v>98.248548999999997</v>
      </c>
      <c r="EQ79" s="32">
        <v>202.59174264999999</v>
      </c>
      <c r="EU79" t="str">
        <f>EN79</f>
        <v>BlackRock - iShares - Tips ETF</v>
      </c>
      <c r="EV79" s="18">
        <f>_xlfn.IFNA(INDEX($EJ$51:$EJ$251,MATCH($EU79,$EI$51:$EI$251,0),1),0)</f>
        <v>4394.1286801600372</v>
      </c>
      <c r="EW79" s="18">
        <f>_xlfn.IFNA(INDEX($EK$51:$EK$251,MATCH($EU79,$EI$51:$EI$251,0),1),0)</f>
        <v>20.169671999999998</v>
      </c>
      <c r="EX79" s="18">
        <f>_xlfn.IFNA(INDEX($EO$51:$EO$246,MATCH($EU79,$EN$51:$EN$246,0),1),0)</f>
        <v>19904.344754743914</v>
      </c>
      <c r="EY79" s="18">
        <f>_xlfn.IFNA(INDEX($EP$51:$EP$246,MATCH($EU79,$EN$51:$EN$246,0),1),0)</f>
        <v>98.248548999999997</v>
      </c>
      <c r="EZ79" s="18">
        <f>_xlfn.IFNA(EX79-EV79,"")</f>
        <v>15510.216074583877</v>
      </c>
      <c r="FA79" s="50">
        <f>EX79/EV79-1</f>
        <v>3.5297591863010673</v>
      </c>
      <c r="FB79" s="50">
        <f>_xlfn.IFNA(EY79/EW79-1,"")</f>
        <v>3.8711029609207328</v>
      </c>
      <c r="FC79" s="18">
        <f>-(_xlfn.IFNA(INDEX($EL$51:$EL$251,MATCH($EU79,$EI$51:$EI$251,0),1),0)-_xlfn.IFNA(INDEX($EQ$51:$EQ$246,MATCH($EU79,$EN$51:$EN$246,0),1),0))</f>
        <v>-15.266469430000001</v>
      </c>
      <c r="FH79">
        <v>8</v>
      </c>
      <c r="FI79" s="175" t="str">
        <f t="shared" si="8"/>
        <v>Gobierno de Mexico</v>
      </c>
      <c r="FJ79" s="160"/>
      <c r="FK79" s="170">
        <f t="shared" si="9"/>
        <v>11857.521692646176</v>
      </c>
      <c r="FL79" s="162" cm="1">
        <f t="array" ref="FL79">INDEX($FA$51:$FA$248,MATCH(FI79,$EU$51:$EU$248,0),0)</f>
        <v>9.3965532879636893</v>
      </c>
      <c r="FM79" s="159"/>
      <c r="FN79" s="162" cm="1">
        <f t="array" ref="FN79">INDEX($FB$51:$FB$248,MATCH(FI79,$EU$51:$EU$248,0),0)</f>
        <v>10.267113262215826</v>
      </c>
      <c r="FO79" s="173" cm="1">
        <f t="array" ref="FO79">INDEX($FC$51:$FC$248,MATCH(FI79,$EU$51:$EU$248,0),0)</f>
        <v>-17.107414200000022</v>
      </c>
      <c r="FP79" t="s">
        <v>4828</v>
      </c>
    </row>
    <row r="80" spans="25:174" x14ac:dyDescent="0.25">
      <c r="Z80" s="24" t="s">
        <v>2821</v>
      </c>
      <c r="AA80" t="s">
        <v>4874</v>
      </c>
      <c r="AB80" t="s">
        <v>4875</v>
      </c>
      <c r="AC80" t="s">
        <v>4863</v>
      </c>
      <c r="AE80" t="s">
        <v>2829</v>
      </c>
      <c r="AF80" t="s">
        <v>5655</v>
      </c>
      <c r="AJ80" t="s">
        <v>2830</v>
      </c>
      <c r="AO80" s="76"/>
      <c r="AQ80" s="25" t="s">
        <v>4614</v>
      </c>
      <c r="AR80">
        <v>315.15101779000003</v>
      </c>
      <c r="AS80">
        <v>2.9216004141941389E-2</v>
      </c>
      <c r="AU80" s="79"/>
      <c r="AV80" s="32" t="s">
        <v>4579</v>
      </c>
      <c r="AW80" s="32">
        <v>4.7509489639302764E-3</v>
      </c>
      <c r="AX80" s="32">
        <v>4.4043565393411047E-7</v>
      </c>
      <c r="BE80" s="76"/>
      <c r="BH80" s="25" t="s">
        <v>4499</v>
      </c>
      <c r="BI80" s="7">
        <v>19.531961204626796</v>
      </c>
      <c r="BJ80" s="7">
        <v>1.8107060654802118E-3</v>
      </c>
      <c r="BK80" s="7">
        <v>27.509804513558869</v>
      </c>
      <c r="BN80" s="25" t="s">
        <v>4524</v>
      </c>
      <c r="BO80" s="7">
        <v>899.50508124203384</v>
      </c>
      <c r="BP80" s="7">
        <v>8.3388416015765993E-2</v>
      </c>
      <c r="BQ80" s="7">
        <v>28.708395072748374</v>
      </c>
      <c r="BT80" s="36" t="s">
        <v>5545</v>
      </c>
      <c r="BU80" s="7">
        <v>706.01937469651091</v>
      </c>
      <c r="BV80" s="7">
        <v>6.5451367157471532E-2</v>
      </c>
      <c r="BW80" s="7">
        <v>15.279933672149991</v>
      </c>
      <c r="CQ80" s="135" t="str" cm="1">
        <f t="array" ref="CQ80">INDEX(Parametria!$P:$P,MATCH(CR80,Parametria!$O:$O,0),0)</f>
        <v>Consumer Discretionary</v>
      </c>
      <c r="CR80" s="132" t="s">
        <v>4555</v>
      </c>
      <c r="CS80" s="132">
        <v>1069.5709113271369</v>
      </c>
      <c r="CT80" s="132">
        <v>9.9154330500230425E-2</v>
      </c>
      <c r="CV80" s="135" t="str" cm="1">
        <f t="array" ref="CV80">INDEX(Parametria!$P:$P,MATCH(Presentacion!CW80,Parametria!$O:$O,0),0)</f>
        <v>Fondo</v>
      </c>
      <c r="CW80" s="133" t="s">
        <v>4454</v>
      </c>
      <c r="CX80" s="132">
        <v>85.983887640407787</v>
      </c>
      <c r="CY80" s="132">
        <v>7.9711169427868125E-3</v>
      </c>
      <c r="DO80" t="s">
        <v>4355</v>
      </c>
      <c r="DP80" s="152">
        <f>(SUM(DP62:DP67))/1000</f>
        <v>151.15859344801862</v>
      </c>
      <c r="DQ80" s="152">
        <f>(SUM(DQ62:DQ67))/1000</f>
        <v>189.89098897700561</v>
      </c>
      <c r="DR80" s="50">
        <f t="shared" ref="DR80:DR81" si="10">DQ80/DP80-1</f>
        <v>0.25623680827849538</v>
      </c>
      <c r="DS80" s="152"/>
      <c r="DT80" s="151">
        <f>SUM(DT62:DT67)</f>
        <v>14.791346117641147</v>
      </c>
      <c r="DU80" s="151">
        <f>SUM(DU62:DU67)</f>
        <v>17.603801375524476</v>
      </c>
      <c r="DV80" s="50">
        <f t="shared" ref="DV80:DV81" si="11">DU80/DT80-1</f>
        <v>0.1901419408020617</v>
      </c>
      <c r="DZ80" s="76"/>
      <c r="ED80" s="25" t="s">
        <v>4423</v>
      </c>
      <c r="EE80">
        <v>19904.344754743914</v>
      </c>
      <c r="EF80">
        <v>98.248548999999997</v>
      </c>
      <c r="EG80">
        <v>202.59174264999999</v>
      </c>
      <c r="EI80" s="32" t="s">
        <v>6658</v>
      </c>
      <c r="EJ80" s="32">
        <v>959.55827104630362</v>
      </c>
      <c r="EK80" s="32">
        <v>39.311036000000001</v>
      </c>
      <c r="EL80" s="32">
        <v>24.409386489999999</v>
      </c>
      <c r="EN80" s="32" t="s">
        <v>4604</v>
      </c>
      <c r="EO80" s="32">
        <v>10534.073096124288</v>
      </c>
      <c r="EP80" s="32">
        <v>104.72538399999999</v>
      </c>
      <c r="EQ80" s="32">
        <v>100.58758148</v>
      </c>
      <c r="EU80" t="str">
        <f>EN80</f>
        <v>BlackRock - iShares Korea</v>
      </c>
      <c r="EV80" s="18">
        <f>_xlfn.IFNA(INDEX($EJ$51:$EJ$251,MATCH($EU80,$EI$51:$EI$251,0),1),0)</f>
        <v>157.11786705724197</v>
      </c>
      <c r="EW80" s="18">
        <f>_xlfn.IFNA(INDEX($EK$51:$EK$251,MATCH($EU80,$EI$51:$EI$251,0),1),0)</f>
        <v>1.4578199999999999</v>
      </c>
      <c r="EX80" s="18">
        <f>_xlfn.IFNA(INDEX($EO$51:$EO$246,MATCH($EU80,$EN$51:$EN$246,0),1),0)</f>
        <v>10534.073096124288</v>
      </c>
      <c r="EY80" s="18">
        <f>_xlfn.IFNA(INDEX($EP$51:$EP$246,MATCH($EU80,$EN$51:$EN$246,0),1),0)</f>
        <v>104.72538399999999</v>
      </c>
      <c r="EZ80" s="18">
        <f>_xlfn.IFNA(EX80-EV80,"")</f>
        <v>10376.955229067045</v>
      </c>
      <c r="FA80" s="50">
        <f>EX80/EV80-1</f>
        <v>66.0456727387119</v>
      </c>
      <c r="FB80" s="50">
        <f>_xlfn.IFNA(EY80/EW80-1,"")</f>
        <v>70.836978502147048</v>
      </c>
      <c r="FC80" s="18">
        <f>-(_xlfn.IFNA(INDEX($EL$51:$EL$251,MATCH($EU80,$EI$51:$EI$251,0),1),0)-_xlfn.IFNA(INDEX($EQ$51:$EQ$246,MATCH($EU80,$EN$51:$EN$246,0),1),0))</f>
        <v>-7.1883216199999964</v>
      </c>
      <c r="FH80">
        <v>9</v>
      </c>
      <c r="FI80" s="165" t="str">
        <f t="shared" si="8"/>
        <v>BNP Paribas - Japan Small Caps</v>
      </c>
      <c r="FJ80" s="160"/>
      <c r="FK80" s="170">
        <f t="shared" si="9"/>
        <v>11044.445290929369</v>
      </c>
      <c r="FL80" s="162" cm="1">
        <f t="array" ref="FL80">INDEX($FA$51:$FA$248,MATCH(FI80,$EU$51:$EU$248,0),0)</f>
        <v>537268.02842752414</v>
      </c>
      <c r="FM80" s="159"/>
      <c r="FN80" s="162" cm="1">
        <f t="array" ref="FN80">INDEX($FB$51:$FB$248,MATCH(FI80,$EU$51:$EU$248,0),0)</f>
        <v>248620.61122975982</v>
      </c>
      <c r="FO80" s="173" cm="1">
        <f t="array" ref="FO80">INDEX($FC$51:$FC$248,MATCH(FI80,$EU$51:$EU$248,0),0)</f>
        <v>65.215306190000007</v>
      </c>
      <c r="FP80" t="str">
        <f>INDEX(Tabla_Consulta_desde_Reporte_de_Valorización_de_Instrumentos[Plus],MATCH(Presentacion!FI80,Tabla_Consulta_desde_Reporte_de_Valorización_de_Instrumentos[Nombre],0))</f>
        <v>ETF</v>
      </c>
    </row>
    <row r="81" spans="15:172" x14ac:dyDescent="0.25">
      <c r="Z81" s="25" t="s">
        <v>4423</v>
      </c>
      <c r="AA81">
        <v>19904.344754743914</v>
      </c>
      <c r="AB81">
        <v>1.8452277986445389</v>
      </c>
      <c r="AC81">
        <v>98.248548999999997</v>
      </c>
      <c r="AD81" s="54" t="s">
        <v>4423</v>
      </c>
      <c r="AE81" s="55">
        <v>19904.344754743914</v>
      </c>
      <c r="AF81">
        <v>98.248548999999997</v>
      </c>
      <c r="AG81" s="7"/>
      <c r="AI81" s="54" t="s">
        <v>4423</v>
      </c>
      <c r="AJ81">
        <v>1.8452277986445389</v>
      </c>
      <c r="AO81" s="76"/>
      <c r="AQ81" s="25" t="s">
        <v>4523</v>
      </c>
      <c r="AR81">
        <v>2.0915984375237453E-5</v>
      </c>
      <c r="AS81">
        <v>1.9390116218723788E-9</v>
      </c>
      <c r="AU81" s="79"/>
      <c r="AV81" s="32" t="s">
        <v>4431</v>
      </c>
      <c r="AW81" s="32">
        <v>37516.284214185071</v>
      </c>
      <c r="AX81" s="32">
        <v>3.4779386805669419</v>
      </c>
      <c r="BE81" s="76"/>
      <c r="BH81" s="25" t="s">
        <v>4613</v>
      </c>
      <c r="BI81" s="7">
        <v>76.245796432799992</v>
      </c>
      <c r="BJ81" s="7">
        <v>7.068349390103059E-3</v>
      </c>
      <c r="BK81" s="7">
        <v>107.38844567999999</v>
      </c>
      <c r="BN81" s="25" t="s">
        <v>2802</v>
      </c>
      <c r="BO81" s="7">
        <v>12206.568920962512</v>
      </c>
      <c r="BP81" s="7">
        <v>1.1316072232753229</v>
      </c>
      <c r="BQ81" s="7">
        <v>41.349761992538987</v>
      </c>
      <c r="BT81" s="36" t="s">
        <v>4413</v>
      </c>
      <c r="BU81" s="7">
        <v>0.12863622772074665</v>
      </c>
      <c r="BV81" s="7">
        <v>1.1925192525944309E-5</v>
      </c>
      <c r="BW81" s="7">
        <v>8.7413759998809836E-4</v>
      </c>
      <c r="CQ81" s="135" t="str" cm="1">
        <f t="array" ref="CQ81">INDEX(Parametria!$P:$P,MATCH(CR81,Parametria!$O:$O,0),0)</f>
        <v>Communication Services</v>
      </c>
      <c r="CR81" s="132" t="s">
        <v>2810</v>
      </c>
      <c r="CS81" s="132">
        <v>94.293818098204184</v>
      </c>
      <c r="CT81" s="132">
        <v>8.7414871747370157E-3</v>
      </c>
      <c r="CV81" s="135" t="str" cm="1">
        <f t="array" ref="CV81">INDEX(Parametria!$P:$P,MATCH(Presentacion!CW81,Parametria!$O:$O,0),0)</f>
        <v>Information Technology</v>
      </c>
      <c r="CW81" s="133" t="s">
        <v>4559</v>
      </c>
      <c r="CX81" s="132">
        <v>279.65661829990682</v>
      </c>
      <c r="CY81" s="132">
        <v>2.5925503829455365E-2</v>
      </c>
      <c r="DO81" t="s">
        <v>4357</v>
      </c>
      <c r="DP81" s="152">
        <f>(SUM(DP56:DP61))/1000</f>
        <v>468.29257709059129</v>
      </c>
      <c r="DQ81" s="152">
        <f ca="1">(SUM(DQ56:DQ61))/1000</f>
        <v>504.44517610496615</v>
      </c>
      <c r="DR81" s="50">
        <f t="shared" ca="1" si="10"/>
        <v>7.7200879926356603E-2</v>
      </c>
      <c r="DS81" s="152"/>
      <c r="DT81" s="151">
        <f>SUM(DT56:DT61)</f>
        <v>45.823908744236071</v>
      </c>
      <c r="DU81" s="151">
        <f ca="1">SUM(DU56:DU61)</f>
        <v>46.764476465329359</v>
      </c>
      <c r="DV81" s="50">
        <f t="shared" ca="1" si="11"/>
        <v>2.0525698197048747E-2</v>
      </c>
      <c r="DZ81" s="76"/>
      <c r="ED81" s="25" t="s">
        <v>4604</v>
      </c>
      <c r="EE81">
        <v>10534.073096124288</v>
      </c>
      <c r="EF81">
        <v>104.72538399999999</v>
      </c>
      <c r="EG81">
        <v>100.58758148</v>
      </c>
      <c r="EI81" s="32" t="s">
        <v>6659</v>
      </c>
      <c r="EJ81" s="32">
        <v>2112.343916301058</v>
      </c>
      <c r="EK81" s="32">
        <v>4.8441999999999998</v>
      </c>
      <c r="EL81" s="32">
        <v>436.05629749000002</v>
      </c>
      <c r="EN81" s="32" t="s">
        <v>4609</v>
      </c>
      <c r="EO81" s="32">
        <v>226.69045922959998</v>
      </c>
      <c r="EP81" s="32">
        <v>7.2349999999999994</v>
      </c>
      <c r="EQ81" s="32">
        <v>31.33247536</v>
      </c>
      <c r="EU81" t="str">
        <f>EN81</f>
        <v>BlackRock - iShares MSCI Peru</v>
      </c>
      <c r="EV81" s="18">
        <f>_xlfn.IFNA(INDEX($EJ$51:$EJ$251,MATCH($EU81,$EI$51:$EI$251,0),1),0)</f>
        <v>0</v>
      </c>
      <c r="EW81" s="18">
        <f>_xlfn.IFNA(INDEX($EK$51:$EK$251,MATCH($EU81,$EI$51:$EI$251,0),1),0)</f>
        <v>0</v>
      </c>
      <c r="EX81" s="18">
        <f>_xlfn.IFNA(INDEX($EO$51:$EO$246,MATCH($EU81,$EN$51:$EN$246,0),1),0)</f>
        <v>226.69045922959998</v>
      </c>
      <c r="EY81" s="18">
        <f>_xlfn.IFNA(INDEX($EP$51:$EP$246,MATCH($EU81,$EN$51:$EN$246,0),1),0)</f>
        <v>7.2349999999999994</v>
      </c>
      <c r="EZ81" s="18">
        <f>_xlfn.IFNA(EX81-EV81,"")</f>
        <v>226.69045922959998</v>
      </c>
      <c r="FA81" s="50" t="e">
        <f>EX81/EV81-1</f>
        <v>#DIV/0!</v>
      </c>
      <c r="FB81" s="50" t="e">
        <f>_xlfn.IFNA(EY81/EW81-1,"")</f>
        <v>#DIV/0!</v>
      </c>
      <c r="FC81" s="18">
        <f>-(_xlfn.IFNA(INDEX($EL$51:$EL$251,MATCH($EU81,$EI$51:$EI$251,0),1),0)-_xlfn.IFNA(INDEX($EQ$51:$EQ$246,MATCH($EU81,$EN$51:$EN$246,0),1),0))</f>
        <v>31.33247536</v>
      </c>
      <c r="FH81">
        <v>10</v>
      </c>
      <c r="FI81" s="165" t="str">
        <f t="shared" si="8"/>
        <v>Nexa Perú (Milpo)</v>
      </c>
      <c r="FJ81" s="160"/>
      <c r="FK81" s="170">
        <f t="shared" si="9"/>
        <v>10523.306757761329</v>
      </c>
      <c r="FL81" s="162" cm="1">
        <f t="array" ref="FL81">INDEX($FA$51:$FA$248,MATCH(FI81,$EU$51:$EU$248,0),0)</f>
        <v>0.83780608844741633</v>
      </c>
      <c r="FM81" s="159"/>
      <c r="FN81" s="162" cm="1">
        <f t="array" ref="FN81">INDEX($FB$51:$FB$248,MATCH(FI81,$EU$51:$EU$248,0),0)</f>
        <v>0.83780608844741611</v>
      </c>
      <c r="FO81" s="173" cm="1">
        <f t="array" ref="FO81">INDEX($FC$51:$FC$248,MATCH(FI81,$EU$51:$EU$248,0),0)</f>
        <v>0</v>
      </c>
      <c r="FP81" t="str">
        <f>INDEX(Tabla_Consulta_desde_Reporte_de_Valorización_de_Instrumentos[Plus],MATCH(Presentacion!FI81,Tabla_Consulta_desde_Reporte_de_Valorización_de_Instrumentos[Nombre],0))</f>
        <v>Portafolio</v>
      </c>
    </row>
    <row r="82" spans="15:172" x14ac:dyDescent="0.25">
      <c r="Z82" s="25" t="s">
        <v>4516</v>
      </c>
      <c r="AA82">
        <v>501921.64739597251</v>
      </c>
      <c r="AB82">
        <v>46.530533304582853</v>
      </c>
      <c r="AC82">
        <v>2945.2066682089162</v>
      </c>
      <c r="AD82" s="54" t="s">
        <v>4516</v>
      </c>
      <c r="AE82" s="55">
        <v>501921.64739597251</v>
      </c>
      <c r="AF82">
        <v>2945.2066682089162</v>
      </c>
      <c r="AG82" s="7"/>
      <c r="AI82" s="54" t="s">
        <v>4516</v>
      </c>
      <c r="AJ82">
        <v>46.530533304582853</v>
      </c>
      <c r="AO82" s="76"/>
      <c r="AQ82" s="25" t="s">
        <v>4584</v>
      </c>
      <c r="AR82">
        <v>3.2344472701278E-3</v>
      </c>
      <c r="AS82">
        <v>2.9984870587951919E-7</v>
      </c>
      <c r="AU82" s="79"/>
      <c r="AV82" s="32" t="s">
        <v>4625</v>
      </c>
      <c r="AW82" s="32">
        <v>13377.563489942266</v>
      </c>
      <c r="AX82" s="32">
        <v>1.2401640111207626</v>
      </c>
      <c r="BE82" s="76"/>
      <c r="BH82" s="25" t="s">
        <v>4487</v>
      </c>
      <c r="BI82" s="7">
        <v>359.16098708000004</v>
      </c>
      <c r="BJ82" s="7">
        <v>3.329593843528434E-2</v>
      </c>
      <c r="BK82" s="7">
        <v>3.1450174000000004</v>
      </c>
      <c r="BN82" s="25" t="s">
        <v>4548</v>
      </c>
      <c r="BO82" s="7">
        <v>3482.9899232239331</v>
      </c>
      <c r="BP82" s="7">
        <v>0.32288979657066319</v>
      </c>
      <c r="BQ82" s="7">
        <v>15.250242249524563</v>
      </c>
      <c r="BT82" s="36" t="s">
        <v>5766</v>
      </c>
      <c r="BU82" s="7">
        <v>7.1766943307938591E-2</v>
      </c>
      <c r="BV82" s="7">
        <v>6.6531383196622456E-6</v>
      </c>
      <c r="BW82" s="7">
        <v>6.3598670995864207E-4</v>
      </c>
      <c r="CQ82" s="135" t="str" cm="1">
        <f t="array" ref="CQ82">INDEX(Parametria!$P:$P,MATCH(CR82,Parametria!$O:$O,0),0)</f>
        <v>Consumer Discretionary</v>
      </c>
      <c r="CR82" s="132" t="s">
        <v>4554</v>
      </c>
      <c r="CS82" s="132">
        <v>173.64494988461053</v>
      </c>
      <c r="CT82" s="132">
        <v>1.6097715979570489E-2</v>
      </c>
      <c r="CV82" s="135" t="str" cm="1">
        <f t="array" ref="CV82">INDEX(Parametria!$P:$P,MATCH(Presentacion!CW82,Parametria!$O:$O,0),0)</f>
        <v>Metals</v>
      </c>
      <c r="CW82" s="133" t="s">
        <v>2816</v>
      </c>
      <c r="CX82" s="132">
        <v>10984.675399526257</v>
      </c>
      <c r="CY82" s="132">
        <v>1.0183318595032764</v>
      </c>
      <c r="DO82" t="s">
        <v>5550</v>
      </c>
      <c r="DP82" s="152">
        <f>(DP68)/1000</f>
        <v>96.947364439265897</v>
      </c>
      <c r="DQ82" s="152">
        <f>(DQ68)/1000</f>
        <v>89.987830757081028</v>
      </c>
      <c r="DR82" s="50">
        <f>DQ82/DP82-1</f>
        <v>-7.1786723882986792E-2</v>
      </c>
      <c r="DS82" s="152"/>
      <c r="DT82" s="151">
        <f>DT68</f>
        <v>9.4866060202353335</v>
      </c>
      <c r="DU82" s="151">
        <f>DU68</f>
        <v>8.3423015878536066</v>
      </c>
      <c r="DV82" s="50">
        <f>DU82/DT82-1</f>
        <v>-0.12062316385237004</v>
      </c>
      <c r="DZ82" s="76"/>
      <c r="ED82" s="25" t="s">
        <v>4609</v>
      </c>
      <c r="EE82">
        <v>226.69045922959998</v>
      </c>
      <c r="EF82">
        <v>7.2349999999999994</v>
      </c>
      <c r="EG82">
        <v>31.33247536</v>
      </c>
      <c r="EI82" s="32" t="s">
        <v>4604</v>
      </c>
      <c r="EJ82" s="32">
        <v>157.11786705724197</v>
      </c>
      <c r="EK82" s="32">
        <v>1.4578199999999999</v>
      </c>
      <c r="EL82" s="32">
        <v>107.77590309999999</v>
      </c>
      <c r="EN82" s="32" t="s">
        <v>4605</v>
      </c>
      <c r="EO82" s="32">
        <v>4808.6378833502667</v>
      </c>
      <c r="EP82" s="32">
        <v>68.472633999999999</v>
      </c>
      <c r="EQ82" s="32">
        <v>70.227149190000006</v>
      </c>
      <c r="EU82" t="str">
        <f>EN82</f>
        <v>BlackRock - iShares Taiwan</v>
      </c>
      <c r="EV82" s="18">
        <f>_xlfn.IFNA(INDEX($EJ$51:$EJ$251,MATCH($EU82,$EI$51:$EI$251,0),1),0)</f>
        <v>79.676803290573446</v>
      </c>
      <c r="EW82" s="18">
        <f>_xlfn.IFNA(INDEX($EK$51:$EK$251,MATCH($EU82,$EI$51:$EI$251,0),1),0)</f>
        <v>1.2470680000000001</v>
      </c>
      <c r="EX82" s="18">
        <f>_xlfn.IFNA(INDEX($EO$51:$EO$246,MATCH($EU82,$EN$51:$EN$246,0),1),0)</f>
        <v>4808.6378833502667</v>
      </c>
      <c r="EY82" s="18">
        <f>_xlfn.IFNA(INDEX($EP$51:$EP$246,MATCH($EU82,$EN$51:$EN$246,0),1),0)</f>
        <v>68.472633999999999</v>
      </c>
      <c r="EZ82" s="18">
        <f>_xlfn.IFNA(EX82-EV82,"")</f>
        <v>4728.9610800596929</v>
      </c>
      <c r="FA82" s="50">
        <f>EX82/EV82-1</f>
        <v>59.35179230037177</v>
      </c>
      <c r="FB82" s="50">
        <f>_xlfn.IFNA(EY82/EW82-1,"")</f>
        <v>53.906896817174363</v>
      </c>
      <c r="FC82" s="18">
        <f>-(_xlfn.IFNA(INDEX($EL$51:$EL$251,MATCH($EU82,$EI$51:$EI$251,0),1),0)-_xlfn.IFNA(INDEX($EQ$51:$EQ$246,MATCH($EU82,$EN$51:$EN$246,0),1),0))</f>
        <v>6.3358431100000061</v>
      </c>
      <c r="FH82">
        <v>11</v>
      </c>
      <c r="FI82" s="165" t="str">
        <f t="shared" si="8"/>
        <v>BlackRock - iShares Korea</v>
      </c>
      <c r="FJ82" s="160"/>
      <c r="FK82" s="170">
        <f t="shared" si="9"/>
        <v>10376.955229067045</v>
      </c>
      <c r="FL82" s="162" cm="1">
        <f t="array" ref="FL82">INDEX($FA$51:$FA$248,MATCH(FI82,$EU$51:$EU$248,0),0)</f>
        <v>66.0456727387119</v>
      </c>
      <c r="FM82" s="159"/>
      <c r="FN82" s="162" cm="1">
        <f t="array" ref="FN82">INDEX($FB$51:$FB$248,MATCH(FI82,$EU$51:$EU$248,0),0)</f>
        <v>70.836978502147048</v>
      </c>
      <c r="FO82" s="173" cm="1">
        <f t="array" ref="FO82">INDEX($FC$51:$FC$248,MATCH(FI82,$EU$51:$EU$248,0),0)</f>
        <v>-7.1883216199999964</v>
      </c>
      <c r="FP82" t="str">
        <f>INDEX(Tabla_Consulta_desde_Reporte_de_Valorización_de_Instrumentos[Plus],MATCH(Presentacion!FI82,Tabla_Consulta_desde_Reporte_de_Valorización_de_Instrumentos[Nombre],0))</f>
        <v>ETF</v>
      </c>
    </row>
    <row r="83" spans="15:172" x14ac:dyDescent="0.25">
      <c r="Z83" s="25" t="s">
        <v>4446</v>
      </c>
      <c r="AA83">
        <v>44492.744115973248</v>
      </c>
      <c r="AB83">
        <v>4.1246898248788071</v>
      </c>
      <c r="AC83">
        <v>162.14658442011142</v>
      </c>
      <c r="AD83" s="54" t="s">
        <v>4446</v>
      </c>
      <c r="AE83" s="55">
        <v>44492.744115973248</v>
      </c>
      <c r="AF83">
        <v>162.14658442011142</v>
      </c>
      <c r="AG83" s="7"/>
      <c r="AI83" s="54" t="s">
        <v>4446</v>
      </c>
      <c r="AJ83">
        <v>4.1246898248788071</v>
      </c>
      <c r="AO83" s="76"/>
      <c r="AQ83" s="25" t="s">
        <v>4579</v>
      </c>
      <c r="AR83">
        <v>4.7509489639302764E-3</v>
      </c>
      <c r="AS83">
        <v>4.4043565393411047E-7</v>
      </c>
      <c r="AU83" s="79"/>
      <c r="AV83" s="32" t="s">
        <v>4624</v>
      </c>
      <c r="AW83" s="32">
        <v>2544.7270854728076</v>
      </c>
      <c r="AX83" s="32">
        <v>0.23590835146477218</v>
      </c>
      <c r="BE83" s="76"/>
      <c r="BH83" s="25" t="s">
        <v>4620</v>
      </c>
      <c r="BI83" s="7">
        <v>35335.025513433742</v>
      </c>
      <c r="BJ83" s="7">
        <v>3.2757255838659143</v>
      </c>
      <c r="BK83" s="7">
        <v>309.41353339258967</v>
      </c>
      <c r="BN83" s="25" t="s">
        <v>4454</v>
      </c>
      <c r="BO83" s="7">
        <v>85.983887640407787</v>
      </c>
      <c r="BP83" s="7">
        <v>7.9711169427868125E-3</v>
      </c>
      <c r="BQ83" s="7">
        <v>2.7442417699999999</v>
      </c>
      <c r="BT83" s="36" t="s">
        <v>4521</v>
      </c>
      <c r="BU83" s="7">
        <v>45.079804858231434</v>
      </c>
      <c r="BV83" s="7">
        <v>4.1791131588018952E-3</v>
      </c>
      <c r="BW83" s="7">
        <v>70.246530640399996</v>
      </c>
      <c r="CQ83" s="135" t="str" cm="1">
        <f t="array" ref="CQ83">INDEX(Parametria!$P:$P,MATCH(CR83,Parametria!$O:$O,0),0)</f>
        <v>Materials</v>
      </c>
      <c r="CR83" s="132" t="s">
        <v>4485</v>
      </c>
      <c r="CS83" s="132">
        <v>73832.967420074216</v>
      </c>
      <c r="CT83" s="132">
        <v>6.844668619772925</v>
      </c>
      <c r="CV83" s="135" t="str" cm="1">
        <f t="array" ref="CV83">INDEX(Parametria!$P:$P,MATCH(Presentacion!CW83,Parametria!$O:$O,0),0)</f>
        <v>Consumer Discretionary</v>
      </c>
      <c r="CW83" s="133" t="s">
        <v>4538</v>
      </c>
      <c r="CX83" s="132">
        <v>6.4185435514578533</v>
      </c>
      <c r="CY83" s="132">
        <v>5.9502963468003169E-4</v>
      </c>
      <c r="DO83" t="s">
        <v>4884</v>
      </c>
      <c r="DP83" s="153">
        <f>(SUM(DP80:DP82))</f>
        <v>716.39853497787578</v>
      </c>
      <c r="DQ83" s="153">
        <f ca="1">(SUM(DQ80:DQ82))</f>
        <v>784.32399583905283</v>
      </c>
      <c r="DR83" s="50">
        <f ca="1">DQ83/DP83-1</f>
        <v>9.4815186721836087E-2</v>
      </c>
      <c r="DS83" s="153"/>
      <c r="DT83" s="151">
        <f>SUM(DT80:DT82)</f>
        <v>70.101860882112547</v>
      </c>
      <c r="DU83" s="151">
        <f ca="1">SUM(DU80:DU82)</f>
        <v>72.710579428707447</v>
      </c>
      <c r="DV83" s="50">
        <f ca="1">DU83/DT83-1</f>
        <v>3.7213256734823119E-2</v>
      </c>
      <c r="DZ83" s="76"/>
      <c r="ED83" s="25" t="s">
        <v>4605</v>
      </c>
      <c r="EE83">
        <v>4808.6378833502667</v>
      </c>
      <c r="EF83">
        <v>68.472633999999999</v>
      </c>
      <c r="EG83">
        <v>70.227149190000006</v>
      </c>
      <c r="EI83" s="32" t="s">
        <v>4606</v>
      </c>
      <c r="EJ83" s="32">
        <v>594.68373349327817</v>
      </c>
      <c r="EK83" s="32">
        <v>5.3230320000000013</v>
      </c>
      <c r="EL83" s="32">
        <v>111.71898525</v>
      </c>
      <c r="EN83" s="32" t="s">
        <v>4391</v>
      </c>
      <c r="EO83" s="32">
        <v>489.19198823937126</v>
      </c>
      <c r="EP83" s="32">
        <v>74.633562048930315</v>
      </c>
      <c r="EQ83" s="32">
        <v>6.5545844899999999</v>
      </c>
      <c r="EU83" t="str">
        <f>EN83</f>
        <v>Blackstone Real Estate Associates Europe VI</v>
      </c>
      <c r="EV83" s="18">
        <f>_xlfn.IFNA(INDEX($EJ$51:$EJ$251,MATCH($EU83,$EI$51:$EI$251,0),1),0)</f>
        <v>525.00792487608669</v>
      </c>
      <c r="EW83" s="18">
        <f>_xlfn.IFNA(INDEX($EK$51:$EK$251,MATCH($EU83,$EI$51:$EI$251,0),1),0)</f>
        <v>76.00427663327271</v>
      </c>
      <c r="EX83" s="18">
        <f>_xlfn.IFNA(INDEX($EO$51:$EO$246,MATCH($EU83,$EN$51:$EN$246,0),1),0)</f>
        <v>489.19198823937126</v>
      </c>
      <c r="EY83" s="18">
        <f>_xlfn.IFNA(INDEX($EP$51:$EP$246,MATCH($EU83,$EN$51:$EN$246,0),1),0)</f>
        <v>74.633562048930315</v>
      </c>
      <c r="EZ83" s="18">
        <f>_xlfn.IFNA(EX83-EV83,"")</f>
        <v>-35.815936636715435</v>
      </c>
      <c r="FA83" s="50">
        <f>EX83/EV83-1</f>
        <v>-6.8219801910930689E-2</v>
      </c>
      <c r="FB83" s="50">
        <f>_xlfn.IFNA(EY83/EW83-1,"")</f>
        <v>-1.8034703375393146E-2</v>
      </c>
      <c r="FC83" s="18">
        <f>-(_xlfn.IFNA(INDEX($EL$51:$EL$251,MATCH($EU83,$EI$51:$EI$251,0),1),0)-_xlfn.IFNA(INDEX($EQ$51:$EQ$246,MATCH($EU83,$EN$51:$EN$246,0),1),0))</f>
        <v>-0.35302582000000005</v>
      </c>
      <c r="FH83">
        <v>12</v>
      </c>
      <c r="FI83" s="175" t="str">
        <f t="shared" si="8"/>
        <v>Orazen</v>
      </c>
      <c r="FJ83" s="160"/>
      <c r="FK83" s="170">
        <f t="shared" si="9"/>
        <v>9892.4401500763215</v>
      </c>
      <c r="FL83" s="162" cm="1">
        <f t="array" ref="FL83">INDEX($FA$51:$FA$248,MATCH(FI83,$EU$51:$EU$248,0),0)</f>
        <v>4.2748010718038092</v>
      </c>
      <c r="FM83" s="159"/>
      <c r="FN83" s="162" cm="1">
        <f t="array" ref="FN83">INDEX($FB$51:$FB$248,MATCH(FI83,$EU$51:$EU$248,0),0)</f>
        <v>3.1701403867980247</v>
      </c>
      <c r="FO83" s="173" cm="1">
        <f t="array" ref="FO83">INDEX($FC$51:$FC$248,MATCH(FI83,$EU$51:$EU$248,0),0)</f>
        <v>61.82205048000003</v>
      </c>
      <c r="FP83" t="str">
        <f>INDEX(Tabla_Consulta_desde_Reporte_de_Valorización_de_Instrumentos[Plus],MATCH(Presentacion!FI83,Tabla_Consulta_desde_Reporte_de_Valorización_de_Instrumentos[Nombre],0))</f>
        <v>Proxies</v>
      </c>
    </row>
    <row r="84" spans="15:172" x14ac:dyDescent="0.25">
      <c r="Z84" s="25" t="s">
        <v>2759</v>
      </c>
      <c r="AA84">
        <v>11290.34338358511</v>
      </c>
      <c r="AB84">
        <v>1.0466687411384583</v>
      </c>
      <c r="AC84">
        <v>65.435587018209404</v>
      </c>
      <c r="AD84" s="54" t="s">
        <v>2759</v>
      </c>
      <c r="AE84" s="55">
        <v>11290.34338358511</v>
      </c>
      <c r="AF84">
        <v>65.435587018209404</v>
      </c>
      <c r="AG84" s="7"/>
      <c r="AI84" s="54" t="s">
        <v>2759</v>
      </c>
      <c r="AJ84">
        <v>1.0466687411384583</v>
      </c>
      <c r="AO84" s="76"/>
      <c r="AQ84" s="25" t="s">
        <v>4431</v>
      </c>
      <c r="AR84">
        <v>37516.284214185071</v>
      </c>
      <c r="AS84">
        <v>3.4779386805669419</v>
      </c>
      <c r="AU84" s="79"/>
      <c r="AV84" s="32" t="s">
        <v>4617</v>
      </c>
      <c r="AW84" s="32">
        <v>2.351369336745174</v>
      </c>
      <c r="AX84" s="32">
        <v>2.17983164907173E-4</v>
      </c>
      <c r="BE84" s="76"/>
      <c r="BH84" s="25" t="s">
        <v>4621</v>
      </c>
      <c r="BI84" s="7">
        <v>9226.8742457789995</v>
      </c>
      <c r="BJ84" s="7">
        <v>0.85537529934769374</v>
      </c>
      <c r="BK84" s="7">
        <v>43.063914150000002</v>
      </c>
      <c r="BN84" s="25" t="s">
        <v>4559</v>
      </c>
      <c r="BO84" s="7">
        <v>279.65661829990682</v>
      </c>
      <c r="BP84" s="7">
        <v>2.5925503829455365E-2</v>
      </c>
      <c r="BQ84" s="7">
        <v>65.988413921568622</v>
      </c>
      <c r="BT84" s="36" t="s">
        <v>6645</v>
      </c>
      <c r="BU84" s="7">
        <v>6319.3866801252398</v>
      </c>
      <c r="BV84" s="7">
        <v>0.58583731925020821</v>
      </c>
      <c r="BW84" s="7">
        <v>146.9171402195</v>
      </c>
      <c r="CQ84" s="135" t="str" cm="1">
        <f t="array" ref="CQ84">INDEX(Parametria!$P:$P,MATCH(CR84,Parametria!$O:$O,0),0)</f>
        <v>Metals</v>
      </c>
      <c r="CR84" s="132" t="s">
        <v>4981</v>
      </c>
      <c r="CS84" s="132">
        <v>4211.3266850111604</v>
      </c>
      <c r="CT84" s="132">
        <v>0.39041009207319299</v>
      </c>
      <c r="CV84" s="135" t="str" cm="1">
        <f t="array" ref="CV84">INDEX(Parametria!$P:$P,MATCH(Presentacion!CW84,Parametria!$O:$O,0),0)</f>
        <v>Metals</v>
      </c>
      <c r="CW84" s="133" t="s">
        <v>4608</v>
      </c>
      <c r="CX84" s="132">
        <v>1004.3440403302147</v>
      </c>
      <c r="CY84" s="132">
        <v>9.3107488111538572E-2</v>
      </c>
      <c r="DO84" t="s">
        <v>4796</v>
      </c>
      <c r="DP84" s="153">
        <f>(AE68)/1000</f>
        <v>430.57855441901143</v>
      </c>
      <c r="DQ84" s="153">
        <f>(AE95)/1000</f>
        <v>601.43800351539289</v>
      </c>
      <c r="DR84" s="153"/>
      <c r="DS84" s="153"/>
      <c r="DT84" s="153">
        <f>(AJ68)</f>
        <v>42.133472427654858</v>
      </c>
      <c r="DU84" s="153">
        <f>(AJ95)</f>
        <v>55.756174690622359</v>
      </c>
      <c r="DZ84" s="76"/>
      <c r="ED84" s="25" t="s">
        <v>4391</v>
      </c>
      <c r="EE84">
        <v>489.19198823937126</v>
      </c>
      <c r="EF84">
        <v>74.633562048930315</v>
      </c>
      <c r="EG84">
        <v>6.5545844899999999</v>
      </c>
      <c r="EI84" s="32" t="s">
        <v>4605</v>
      </c>
      <c r="EJ84" s="32">
        <v>79.676803290573446</v>
      </c>
      <c r="EK84" s="32">
        <v>1.2470680000000001</v>
      </c>
      <c r="EL84" s="32">
        <v>63.89130608</v>
      </c>
      <c r="EN84" s="32" t="s">
        <v>4414</v>
      </c>
      <c r="EO84" s="32">
        <v>16.01204312791269</v>
      </c>
      <c r="EP84" s="32">
        <v>31.192300517160582</v>
      </c>
      <c r="EQ84" s="32">
        <v>0.51333318999999999</v>
      </c>
      <c r="EU84" t="str">
        <f>EN84</f>
        <v>BlueBay - Financial Capital Bond - E</v>
      </c>
      <c r="EV84" s="18">
        <f>_xlfn.IFNA(INDEX($EJ$51:$EJ$251,MATCH($EU84,$EI$51:$EI$251,0),1),0)</f>
        <v>18.824082573068534</v>
      </c>
      <c r="EW84" s="18">
        <f>_xlfn.IFNA(INDEX($EK$51:$EK$251,MATCH($EU84,$EI$51:$EI$251,0),1),0)</f>
        <v>36.036225844967753</v>
      </c>
      <c r="EX84" s="18">
        <f>_xlfn.IFNA(INDEX($EO$51:$EO$246,MATCH($EU84,$EN$51:$EN$246,0),1),0)</f>
        <v>16.01204312791269</v>
      </c>
      <c r="EY84" s="18">
        <f>_xlfn.IFNA(INDEX($EP$51:$EP$246,MATCH($EU84,$EN$51:$EN$246,0),1),0)</f>
        <v>31.192300517160582</v>
      </c>
      <c r="EZ84" s="18">
        <f>_xlfn.IFNA(EX84-EV84,"")</f>
        <v>-2.8120394451558433</v>
      </c>
      <c r="FA84" s="50">
        <f>EX84/EV84-1</f>
        <v>-0.14938520558653978</v>
      </c>
      <c r="FB84" s="50">
        <f>_xlfn.IFNA(EY84/EW84-1,"")</f>
        <v>-0.1344182198392897</v>
      </c>
      <c r="FC84" s="18">
        <f>-(_xlfn.IFNA(INDEX($EL$51:$EL$251,MATCH($EU84,$EI$51:$EI$251,0),1),0)-_xlfn.IFNA(INDEX($EQ$51:$EQ$246,MATCH($EU84,$EN$51:$EN$246,0),1),0))</f>
        <v>-9.0323500000000223E-3</v>
      </c>
      <c r="FH84">
        <v>13</v>
      </c>
      <c r="FI84" s="165" t="str">
        <f t="shared" si="8"/>
        <v>Ecopetrol</v>
      </c>
      <c r="FJ84" s="160"/>
      <c r="FK84" s="170">
        <f t="shared" si="9"/>
        <v>9040.097880583955</v>
      </c>
      <c r="FL84" s="162" cm="1">
        <f t="array" ref="FL84">INDEX($FA$51:$FA$248,MATCH(FI84,$EU$51:$EU$248,0),0)</f>
        <v>0.31746167744087606</v>
      </c>
      <c r="FM84" s="159"/>
      <c r="FN84" s="162" cm="1">
        <f t="array" ref="FN84">INDEX($FB$51:$FB$248,MATCH(FI84,$EU$51:$EU$248,0),0)</f>
        <v>0.34344251089039002</v>
      </c>
      <c r="FO84" s="173" cm="1">
        <f t="array" ref="FO84">INDEX($FC$51:$FC$248,MATCH(FI84,$EU$51:$EU$248,0),0)</f>
        <v>-5.1199999999999477</v>
      </c>
      <c r="FP84" t="str">
        <f>INDEX(Tabla_Consulta_desde_Reporte_de_Valorización_de_Instrumentos[Plus],MATCH(Presentacion!FI84,Tabla_Consulta_desde_Reporte_de_Valorización_de_Instrumentos[Nombre],0))</f>
        <v>Portafolio</v>
      </c>
    </row>
    <row r="85" spans="15:172" x14ac:dyDescent="0.25">
      <c r="Z85" s="25" t="s">
        <v>4447</v>
      </c>
      <c r="AA85">
        <v>10709.500991340341</v>
      </c>
      <c r="AB85">
        <v>0.99282187795318322</v>
      </c>
      <c r="AC85">
        <v>55.951521439932662</v>
      </c>
      <c r="AD85" s="54" t="s">
        <v>4447</v>
      </c>
      <c r="AE85" s="55">
        <v>10709.500991340341</v>
      </c>
      <c r="AF85">
        <v>55.951521439932662</v>
      </c>
      <c r="AG85" s="7"/>
      <c r="AI85" s="54" t="s">
        <v>4447</v>
      </c>
      <c r="AJ85">
        <v>0.99282187795318322</v>
      </c>
      <c r="AO85" s="76"/>
      <c r="AQ85" s="25" t="s">
        <v>4625</v>
      </c>
      <c r="AR85">
        <v>13377.563489942266</v>
      </c>
      <c r="AS85">
        <v>1.2401640111207626</v>
      </c>
      <c r="AU85" s="79"/>
      <c r="AV85" s="32" t="s">
        <v>2813</v>
      </c>
      <c r="AW85" s="32">
        <v>1491.1735020071608</v>
      </c>
      <c r="AX85" s="32">
        <v>0.13823890373733341</v>
      </c>
      <c r="BE85" s="76"/>
      <c r="BH85" s="25" t="s">
        <v>2815</v>
      </c>
      <c r="BI85" s="7">
        <v>23083.85854040907</v>
      </c>
      <c r="BJ85" s="7">
        <v>2.1399839082162737</v>
      </c>
      <c r="BK85" s="7">
        <v>83.092252044235522</v>
      </c>
      <c r="BN85" s="25" t="s">
        <v>2816</v>
      </c>
      <c r="BO85" s="7">
        <v>10984.675399526257</v>
      </c>
      <c r="BP85" s="7">
        <v>1.0183318595032764</v>
      </c>
      <c r="BQ85" s="7">
        <v>41.127114412631052</v>
      </c>
      <c r="BT85" s="36" t="s">
        <v>6648</v>
      </c>
      <c r="BU85" s="7">
        <v>953.31985296729999</v>
      </c>
      <c r="BV85" s="7">
        <v>8.8377302311131445E-2</v>
      </c>
      <c r="BW85" s="7">
        <v>17.1587</v>
      </c>
      <c r="CQ85" s="135" t="str" cm="1">
        <f t="array" ref="CQ85">INDEX(Parametria!$P:$P,MATCH(CR85,Parametria!$O:$O,0),0)</f>
        <v>Utilities</v>
      </c>
      <c r="CR85" t="s">
        <v>4534</v>
      </c>
      <c r="CS85">
        <v>6131.1982820687908</v>
      </c>
      <c r="CT85">
        <v>0.56839135618260306</v>
      </c>
      <c r="CV85" s="135" t="str" cm="1">
        <f t="array" ref="CV85">INDEX(Parametria!$P:$P,MATCH(Presentacion!CW85,Parametria!$O:$O,0),0)</f>
        <v>Energy</v>
      </c>
      <c r="CW85" s="133" t="s">
        <v>4515</v>
      </c>
      <c r="CX85" s="132">
        <v>5975.0861132751124</v>
      </c>
      <c r="CY85" s="132">
        <v>0.55391901272622635</v>
      </c>
      <c r="DZ85" s="76"/>
      <c r="ED85" s="25" t="s">
        <v>4414</v>
      </c>
      <c r="EE85">
        <v>16.01204312791269</v>
      </c>
      <c r="EF85">
        <v>31.192300517160582</v>
      </c>
      <c r="EG85">
        <v>0.51333318999999999</v>
      </c>
      <c r="EI85" s="32" t="s">
        <v>4391</v>
      </c>
      <c r="EJ85" s="32">
        <v>525.00792487608669</v>
      </c>
      <c r="EK85" s="32">
        <v>76.00427663327271</v>
      </c>
      <c r="EL85" s="32">
        <v>6.9076103099999999</v>
      </c>
      <c r="EN85" s="32" t="s">
        <v>4597</v>
      </c>
      <c r="EO85" s="32">
        <v>5.0062867329519346E-2</v>
      </c>
      <c r="EP85" s="32">
        <v>1.9515179599512039E-3</v>
      </c>
      <c r="EQ85" s="32">
        <v>25.653295719999999</v>
      </c>
      <c r="EU85" t="str">
        <f>EN85</f>
        <v>BNP Paribas - China Equity Class</v>
      </c>
      <c r="EV85" s="18">
        <f>_xlfn.IFNA(INDEX($EJ$51:$EJ$251,MATCH($EU85,$EI$51:$EI$251,0),1),0)</f>
        <v>0.17924185962534703</v>
      </c>
      <c r="EW85" s="18">
        <f>_xlfn.IFNA(INDEX($EK$51:$EK$251,MATCH($EU85,$EI$51:$EI$251,0),1),0)</f>
        <v>1.7061866499777359E-3</v>
      </c>
      <c r="EX85" s="18">
        <f>_xlfn.IFNA(INDEX($EO$51:$EO$246,MATCH($EU85,$EN$51:$EN$246,0),1),0)</f>
        <v>5.0062867329519346E-2</v>
      </c>
      <c r="EY85" s="18">
        <f>_xlfn.IFNA(INDEX($EP$51:$EP$246,MATCH($EU85,$EN$51:$EN$246,0),1),0)</f>
        <v>1.9515179599512039E-3</v>
      </c>
      <c r="EZ85" s="18">
        <f>_xlfn.IFNA(EX85-EV85,"")</f>
        <v>-0.12917899229582769</v>
      </c>
      <c r="FA85" s="50">
        <f>EX85/EV85-1</f>
        <v>-0.72069656365895107</v>
      </c>
      <c r="FB85" s="50">
        <f>_xlfn.IFNA(EY85/EW85-1,"")</f>
        <v>0.14378925657205754</v>
      </c>
      <c r="FC85" s="18">
        <f>-(_xlfn.IFNA(INDEX($EL$51:$EL$251,MATCH($EU85,$EI$51:$EI$251,0),1),0)-_xlfn.IFNA(INDEX($EQ$51:$EQ$246,MATCH($EU85,$EN$51:$EN$246,0),1),0))</f>
        <v>-79.400778889999998</v>
      </c>
      <c r="FH85">
        <v>14</v>
      </c>
      <c r="FI85" s="165" t="str">
        <f t="shared" si="8"/>
        <v>Vontobel - Emerging Markets Debt</v>
      </c>
      <c r="FJ85" s="160"/>
      <c r="FK85" s="170">
        <f t="shared" si="9"/>
        <v>8187.5846884624116</v>
      </c>
      <c r="FL85" s="162" cm="1">
        <f t="array" ref="FL85">INDEX($FA$51:$FA$248,MATCH(FI85,$EU$51:$EU$248,0),0)</f>
        <v>91.075831838839235</v>
      </c>
      <c r="FM85" s="159"/>
      <c r="FN85" s="162" cm="1">
        <f t="array" ref="FN85">INDEX($FB$51:$FB$248,MATCH(FI85,$EU$51:$EU$248,0),0)</f>
        <v>108.55067510041754</v>
      </c>
      <c r="FO85" s="173" cm="1">
        <f t="array" ref="FO85">INDEX($FC$51:$FC$248,MATCH(FI85,$EU$51:$EU$248,0),0)</f>
        <v>-57.977595469999983</v>
      </c>
      <c r="FP85" t="str">
        <f>INDEX(Tabla_Consulta_desde_Reporte_de_Valorización_de_Instrumentos[Plus],MATCH(Presentacion!FI85,Tabla_Consulta_desde_Reporte_de_Valorización_de_Instrumentos[Nombre],0))</f>
        <v>ETF</v>
      </c>
    </row>
    <row r="86" spans="15:172" x14ac:dyDescent="0.25">
      <c r="Z86" s="25" t="s">
        <v>4453</v>
      </c>
      <c r="AA86">
        <v>13119.422873777647</v>
      </c>
      <c r="AB86">
        <v>1.2162331434245193</v>
      </c>
      <c r="AC86">
        <v>64.215470959635425</v>
      </c>
      <c r="AD86" s="54" t="s">
        <v>4453</v>
      </c>
      <c r="AE86" s="55">
        <v>13119.422873777647</v>
      </c>
      <c r="AF86">
        <v>64.215470959635425</v>
      </c>
      <c r="AG86" s="7"/>
      <c r="AI86" s="54" t="s">
        <v>4453</v>
      </c>
      <c r="AJ86">
        <v>1.2162331434245193</v>
      </c>
      <c r="AO86" s="76"/>
      <c r="AQ86" s="25" t="s">
        <v>4624</v>
      </c>
      <c r="AR86">
        <v>2544.7270854728076</v>
      </c>
      <c r="AS86">
        <v>0.23590835146477218</v>
      </c>
      <c r="AU86" s="79"/>
      <c r="AV86" s="32" t="s">
        <v>4626</v>
      </c>
      <c r="AW86" s="32">
        <v>19352.035963409988</v>
      </c>
      <c r="AX86" s="32">
        <v>1.7940261365068173</v>
      </c>
      <c r="BE86" s="76"/>
      <c r="BH86" s="25" t="s">
        <v>4560</v>
      </c>
      <c r="BI86" s="7">
        <v>657.87360349049345</v>
      </c>
      <c r="BJ86" s="7">
        <v>6.0988024278759122E-2</v>
      </c>
      <c r="BK86" s="7">
        <v>24.001225957332856</v>
      </c>
      <c r="BN86" s="25" t="s">
        <v>4538</v>
      </c>
      <c r="BO86" s="7">
        <v>6.4185435514578533</v>
      </c>
      <c r="BP86" s="7">
        <v>5.9502963468003169E-4</v>
      </c>
      <c r="BQ86" s="7">
        <v>0.52492019590288319</v>
      </c>
      <c r="BT86" s="36" t="s">
        <v>6653</v>
      </c>
      <c r="BU86" s="7">
        <v>275.23262010229797</v>
      </c>
      <c r="BV86" s="7">
        <v>2.551537807269386E-2</v>
      </c>
      <c r="BW86" s="7">
        <v>10.849110633663958</v>
      </c>
      <c r="CQ86" s="135" t="str" cm="1">
        <f t="array" ref="CQ86">INDEX(Parametria!$P:$P,MATCH(CR86,Parametria!$O:$O,0),0)</f>
        <v>Financials</v>
      </c>
      <c r="CR86" t="s">
        <v>4437</v>
      </c>
      <c r="CS86">
        <v>11.905471087506172</v>
      </c>
      <c r="CT86">
        <v>1.1036940164226901E-3</v>
      </c>
      <c r="CV86" s="135" t="str" cm="1">
        <f t="array" ref="CV86">INDEX(Parametria!$P:$P,MATCH(Presentacion!CW86,Parametria!$O:$O,0),0)</f>
        <v>Financials</v>
      </c>
      <c r="CW86" s="133" t="s">
        <v>6627</v>
      </c>
      <c r="CX86" s="132">
        <v>78.036544779432475</v>
      </c>
      <c r="CY86" s="132">
        <v>7.2343603123563756E-3</v>
      </c>
      <c r="DQ86">
        <f ca="1">DQ81/DP81-1</f>
        <v>7.7200879926356603E-2</v>
      </c>
      <c r="DU86">
        <f ca="1">DU81/DT81-1</f>
        <v>2.0525698197048747E-2</v>
      </c>
      <c r="DZ86" s="76"/>
      <c r="ED86" s="25" t="s">
        <v>4597</v>
      </c>
      <c r="EE86">
        <v>5.0062867329519346E-2</v>
      </c>
      <c r="EF86">
        <v>1.9515179599512039E-3</v>
      </c>
      <c r="EG86">
        <v>25.653295719999999</v>
      </c>
      <c r="EI86" s="32" t="s">
        <v>4414</v>
      </c>
      <c r="EJ86" s="32">
        <v>18.824082573068534</v>
      </c>
      <c r="EK86" s="32">
        <v>36.036225844967753</v>
      </c>
      <c r="EL86" s="32">
        <v>0.52236554000000002</v>
      </c>
      <c r="EN86" s="32" t="s">
        <v>4581</v>
      </c>
      <c r="EO86" s="32">
        <v>11044.465847606309</v>
      </c>
      <c r="EP86" s="32">
        <v>90.985261769726861</v>
      </c>
      <c r="EQ86" s="32">
        <v>121.3874163</v>
      </c>
      <c r="EU86" t="str">
        <f>EN86</f>
        <v>BNP Paribas - Japan Small Caps</v>
      </c>
      <c r="EV86" s="18">
        <f>_xlfn.IFNA(INDEX($EJ$51:$EJ$251,MATCH($EU86,$EI$51:$EI$251,0),1),0)</f>
        <v>2.0556676940658922E-2</v>
      </c>
      <c r="EW86" s="18">
        <f>_xlfn.IFNA(INDEX($EK$51:$EK$251,MATCH($EU86,$EI$51:$EI$251,0),1),0)</f>
        <v>3.6595878097517531E-4</v>
      </c>
      <c r="EX86" s="18">
        <f>_xlfn.IFNA(INDEX($EO$51:$EO$246,MATCH($EU86,$EN$51:$EN$246,0),1),0)</f>
        <v>11044.465847606309</v>
      </c>
      <c r="EY86" s="18">
        <f>_xlfn.IFNA(INDEX($EP$51:$EP$246,MATCH($EU86,$EN$51:$EN$246,0),1),0)</f>
        <v>90.985261769726861</v>
      </c>
      <c r="EZ86" s="18">
        <f>_xlfn.IFNA(EX86-EV86,"")</f>
        <v>11044.445290929369</v>
      </c>
      <c r="FA86" s="50">
        <f>EX86/EV86-1</f>
        <v>537268.02842752414</v>
      </c>
      <c r="FB86" s="50">
        <f>_xlfn.IFNA(EY86/EW86-1,"")</f>
        <v>248620.61122975982</v>
      </c>
      <c r="FC86" s="18">
        <f>-(_xlfn.IFNA(INDEX($EL$51:$EL$251,MATCH($EU86,$EI$51:$EI$251,0),1),0)-_xlfn.IFNA(INDEX($EQ$51:$EQ$246,MATCH($EU86,$EN$51:$EN$246,0),1),0))</f>
        <v>65.215306190000007</v>
      </c>
      <c r="FH86">
        <v>15</v>
      </c>
      <c r="FI86" s="176" t="str">
        <f t="shared" si="8"/>
        <v>Gobierno de Chile</v>
      </c>
      <c r="FJ86" s="161"/>
      <c r="FK86" s="170">
        <f t="shared" si="9"/>
        <v>7279.667420809099</v>
      </c>
      <c r="FL86" s="162" cm="1">
        <f t="array" ref="FL86">INDEX($FA$51:$FA$248,MATCH(FI86,$EU$51:$EU$248,0),0)</f>
        <v>1.8150724437409891</v>
      </c>
      <c r="FM86" s="163"/>
      <c r="FN86" s="162" cm="1">
        <f t="array" ref="FN86">INDEX($FB$51:$FB$248,MATCH(FI86,$EU$51:$EU$248,0),0)</f>
        <v>2.0730615145846891</v>
      </c>
      <c r="FO86" s="173" cm="1">
        <f t="array" ref="FO86">INDEX($FC$51:$FC$248,MATCH(FI86,$EU$51:$EU$248,0),0)</f>
        <v>-15.812658099999993</v>
      </c>
      <c r="FP86" t="str">
        <f>INDEX(Tabla_Consulta_desde_Reporte_de_Valorización_de_Instrumentos[Plus],MATCH(Presentacion!FI86,Tabla_Consulta_desde_Reporte_de_Valorización_de_Instrumentos[Nombre],0))</f>
        <v>SOV</v>
      </c>
    </row>
    <row r="87" spans="15:172" x14ac:dyDescent="0.25">
      <c r="Z87" s="25" t="s">
        <v>4872</v>
      </c>
      <c r="AA87">
        <v>601438.00351539289</v>
      </c>
      <c r="AB87">
        <v>55.756174690622359</v>
      </c>
      <c r="AC87">
        <v>3391.2043810468049</v>
      </c>
      <c r="AD87" s="54"/>
      <c r="AE87" s="55"/>
      <c r="AG87" s="7"/>
      <c r="AH87" s="10"/>
      <c r="AI87" s="54"/>
      <c r="AO87" s="76"/>
      <c r="AQ87" s="25" t="s">
        <v>4617</v>
      </c>
      <c r="AR87">
        <v>2.351369336745174</v>
      </c>
      <c r="AS87">
        <v>2.17983164907173E-4</v>
      </c>
      <c r="AU87" s="79"/>
      <c r="AV87" s="32" t="s">
        <v>2814</v>
      </c>
      <c r="AW87" s="32">
        <v>1269.1521418764589</v>
      </c>
      <c r="AX87" s="32">
        <v>0.11765646353877325</v>
      </c>
      <c r="BE87" s="76"/>
      <c r="BH87" s="25" t="s">
        <v>4555</v>
      </c>
      <c r="BI87" s="7">
        <v>1069.5709113271369</v>
      </c>
      <c r="BJ87" s="7">
        <v>9.9154330500230425E-2</v>
      </c>
      <c r="BK87" s="7">
        <v>50.332748768335854</v>
      </c>
      <c r="BN87" s="25" t="s">
        <v>4608</v>
      </c>
      <c r="BO87" s="7">
        <v>1004.3440403302147</v>
      </c>
      <c r="BP87" s="7">
        <v>9.3107488111538572E-2</v>
      </c>
      <c r="BQ87" s="7">
        <v>32.054410919999995</v>
      </c>
      <c r="BT87" s="25" t="s">
        <v>428</v>
      </c>
      <c r="BU87" s="7">
        <v>115243.69567572138</v>
      </c>
      <c r="BV87" s="7">
        <v>10.683640858295023</v>
      </c>
      <c r="BW87" s="7">
        <v>2288.469365063821</v>
      </c>
      <c r="CQ87" s="135" t="str" cm="1">
        <f t="array" ref="CQ87">INDEX(Parametria!$P:$P,MATCH(CR87,Parametria!$O:$O,0),0)</f>
        <v>Materials</v>
      </c>
      <c r="CR87" t="s">
        <v>4514</v>
      </c>
      <c r="CS87">
        <v>1570.7114924999398</v>
      </c>
      <c r="CT87">
        <v>0.14561245523646635</v>
      </c>
      <c r="CV87" s="135" t="str" cm="1">
        <f t="array" ref="CV87">INDEX(Parametria!$P:$P,MATCH(Presentacion!CW87,Parametria!$O:$O,0),0)</f>
        <v>Utilities</v>
      </c>
      <c r="CW87" s="133" t="s">
        <v>6641</v>
      </c>
      <c r="CX87" s="132">
        <v>5292.7916682132318</v>
      </c>
      <c r="CY87" s="132">
        <v>0.49066705982841141</v>
      </c>
      <c r="DP87">
        <v>1000</v>
      </c>
      <c r="DZ87" s="76"/>
      <c r="ED87" s="25" t="s">
        <v>4581</v>
      </c>
      <c r="EE87">
        <v>11044.465847606309</v>
      </c>
      <c r="EF87">
        <v>90.985261769726861</v>
      </c>
      <c r="EG87">
        <v>121.3874163</v>
      </c>
      <c r="EI87" s="32" t="s">
        <v>4597</v>
      </c>
      <c r="EJ87" s="32">
        <v>0.17924185962534703</v>
      </c>
      <c r="EK87" s="32">
        <v>1.7061866499777359E-3</v>
      </c>
      <c r="EL87" s="32">
        <v>105.05407461</v>
      </c>
      <c r="EN87" s="32" t="s">
        <v>4484</v>
      </c>
      <c r="EO87" s="7">
        <v>21206.529188437857</v>
      </c>
      <c r="EP87" s="7">
        <v>363.12549980201811</v>
      </c>
      <c r="EQ87" s="32">
        <v>58.4</v>
      </c>
      <c r="EU87" t="str">
        <f>EN87</f>
        <v>Buenaventura</v>
      </c>
      <c r="EV87" s="18">
        <f>_xlfn.IFNA(INDEX($EJ$51:$EJ$251,MATCH($EU87,$EI$51:$EI$251,0),1),0)</f>
        <v>16880.368032907347</v>
      </c>
      <c r="EW87" s="18">
        <f>_xlfn.IFNA(INDEX($EK$51:$EK$251,MATCH($EU87,$EI$51:$EI$251,0),1),0)</f>
        <v>289.04739782375594</v>
      </c>
      <c r="EX87" s="18">
        <f>_xlfn.IFNA(INDEX($EO$51:$EO$246,MATCH($EU87,$EN$51:$EN$246,0),1),0)</f>
        <v>21206.529188437857</v>
      </c>
      <c r="EY87" s="18">
        <f>_xlfn.IFNA(INDEX($EP$51:$EP$246,MATCH($EU87,$EN$51:$EN$246,0),1),0)</f>
        <v>363.12549980201811</v>
      </c>
      <c r="EZ87" s="18">
        <f>_xlfn.IFNA(EX87-EV87,"")</f>
        <v>4326.1611555305099</v>
      </c>
      <c r="FA87" s="50">
        <f>EX87/EV87-1</f>
        <v>0.25628358025707132</v>
      </c>
      <c r="FB87" s="50">
        <f>_xlfn.IFNA(EY87/EW87-1,"")</f>
        <v>0.25628358025707132</v>
      </c>
      <c r="FC87" s="18">
        <f>-(_xlfn.IFNA(INDEX($EL$51:$EL$251,MATCH($EU87,$EI$51:$EI$251,0),1),0)-_xlfn.IFNA(INDEX($EQ$51:$EQ$246,MATCH($EU87,$EN$51:$EN$246,0),1),0))</f>
        <v>0</v>
      </c>
    </row>
    <row r="88" spans="15:172" x14ac:dyDescent="0.25">
      <c r="AD88" s="54"/>
      <c r="AE88" s="55"/>
      <c r="AG88" s="7"/>
      <c r="AH88" s="10"/>
      <c r="AI88" s="54"/>
      <c r="AO88" s="76"/>
      <c r="AQ88" s="25" t="s">
        <v>2813</v>
      </c>
      <c r="AR88">
        <v>1491.1735020071608</v>
      </c>
      <c r="AS88">
        <v>0.13823890373733341</v>
      </c>
      <c r="AU88" s="79"/>
      <c r="AV88" s="32" t="s">
        <v>4569</v>
      </c>
      <c r="AW88" s="32">
        <v>1.071630436335689E-3</v>
      </c>
      <c r="AX88" s="32">
        <v>9.9345258302406806E-8</v>
      </c>
      <c r="BE88" s="76"/>
      <c r="BH88" s="25" t="s">
        <v>2810</v>
      </c>
      <c r="BI88" s="7">
        <v>94.293818098204184</v>
      </c>
      <c r="BJ88" s="7">
        <v>8.7414871747370157E-3</v>
      </c>
      <c r="BK88" s="7">
        <v>39.289090874251755</v>
      </c>
      <c r="BN88" s="25" t="s">
        <v>4515</v>
      </c>
      <c r="BO88" s="7">
        <v>5975.0861132751124</v>
      </c>
      <c r="BP88" s="7">
        <v>0.55391901272622635</v>
      </c>
      <c r="BQ88" s="7">
        <v>26.161864575499983</v>
      </c>
      <c r="BT88" s="25" t="s">
        <v>4872</v>
      </c>
      <c r="BU88" s="7">
        <v>168158.44318431025</v>
      </c>
      <c r="BV88" s="7">
        <v>15.589090611311082</v>
      </c>
      <c r="BW88" s="7">
        <v>2870.8790957078127</v>
      </c>
      <c r="CQ88" s="135" t="str" cm="1">
        <f t="array" ref="CQ88">INDEX(Parametria!$P:$P,MATCH(CR88,Parametria!$O:$O,0),0)</f>
        <v>Consumer Staples</v>
      </c>
      <c r="CR88" t="s">
        <v>6639</v>
      </c>
      <c r="CS88">
        <v>250.46875</v>
      </c>
      <c r="CT88">
        <v>2.3219649070919422E-2</v>
      </c>
      <c r="CV88" s="135" t="str" cm="1">
        <f t="array" ref="CV88">INDEX(Parametria!$P:$P,MATCH(Presentacion!CW88,Parametria!$O:$O,0),0)</f>
        <v>Industrials</v>
      </c>
      <c r="CW88" s="133" t="s">
        <v>6656</v>
      </c>
      <c r="CX88" s="132">
        <v>539.33093162542696</v>
      </c>
      <c r="CY88" s="132">
        <v>4.9998552575658439E-2</v>
      </c>
      <c r="DZ88" s="76"/>
      <c r="ED88" s="25" t="s">
        <v>4484</v>
      </c>
      <c r="EE88">
        <v>1626.2988076058548</v>
      </c>
      <c r="EF88">
        <v>27.847582322018063</v>
      </c>
      <c r="EG88">
        <v>58.4</v>
      </c>
      <c r="EI88" s="32" t="s">
        <v>4581</v>
      </c>
      <c r="EJ88" s="32">
        <v>2.0556676940658922E-2</v>
      </c>
      <c r="EK88" s="32">
        <v>3.6595878097517531E-4</v>
      </c>
      <c r="EL88" s="32">
        <v>56.172110109999998</v>
      </c>
      <c r="EN88" s="32" t="s">
        <v>4379</v>
      </c>
      <c r="EO88" s="32">
        <v>1752.2190893564839</v>
      </c>
      <c r="EP88" s="32">
        <v>77.169541942430357</v>
      </c>
      <c r="EQ88" s="32">
        <v>22.706096800000001</v>
      </c>
      <c r="EU88" t="str">
        <f>EN88</f>
        <v>Carlyle Partners VII</v>
      </c>
      <c r="EV88" s="18">
        <f>_xlfn.IFNA(INDEX($EJ$51:$EJ$251,MATCH($EU88,$EI$51:$EI$251,0),1),0)</f>
        <v>1948.8276010016912</v>
      </c>
      <c r="EW88" s="18">
        <f>_xlfn.IFNA(INDEX($EK$51:$EK$251,MATCH($EU88,$EI$51:$EI$251,0),1),0)</f>
        <v>79.839270102101253</v>
      </c>
      <c r="EX88" s="18">
        <f>_xlfn.IFNA(INDEX($EO$51:$EO$246,MATCH($EU88,$EN$51:$EN$246,0),1),0)</f>
        <v>1752.2190893564839</v>
      </c>
      <c r="EY88" s="18">
        <f>_xlfn.IFNA(INDEX($EP$51:$EP$246,MATCH($EU88,$EN$51:$EN$246,0),1),0)</f>
        <v>77.169541942430357</v>
      </c>
      <c r="EZ88" s="18">
        <f>_xlfn.IFNA(EX88-EV88,"")</f>
        <v>-196.60851164520727</v>
      </c>
      <c r="FA88" s="50">
        <f>EX88/EV88-1</f>
        <v>-0.10088553320168037</v>
      </c>
      <c r="FB88" s="50">
        <f>_xlfn.IFNA(EY88/EW88-1,"")</f>
        <v>-3.3438784651422249E-2</v>
      </c>
      <c r="FC88" s="18">
        <f>-(_xlfn.IFNA(INDEX($EL$51:$EL$251,MATCH($EU88,$EI$51:$EI$251,0),1),0)-_xlfn.IFNA(INDEX($EQ$51:$EQ$246,MATCH($EU88,$EN$51:$EN$246,0),1),0))</f>
        <v>-1.7032896899999983</v>
      </c>
    </row>
    <row r="89" spans="15:172" x14ac:dyDescent="0.25">
      <c r="AD89" s="54"/>
      <c r="AE89" s="55"/>
      <c r="AG89" s="7"/>
      <c r="AI89" s="54"/>
      <c r="AO89" s="76"/>
      <c r="AQ89" s="25" t="s">
        <v>4626</v>
      </c>
      <c r="AR89">
        <v>19352.035963409988</v>
      </c>
      <c r="AS89">
        <v>1.7940261365068173</v>
      </c>
      <c r="AU89" s="79"/>
      <c r="AV89" s="32" t="s">
        <v>4498</v>
      </c>
      <c r="AW89" s="32">
        <v>2.2193432241678197</v>
      </c>
      <c r="AX89" s="32">
        <v>2.0574371386889435E-4</v>
      </c>
      <c r="BE89" s="76"/>
      <c r="BH89" s="25" t="s">
        <v>4554</v>
      </c>
      <c r="BI89" s="7">
        <v>173.64494988461053</v>
      </c>
      <c r="BJ89" s="7">
        <v>1.6097715979570489E-2</v>
      </c>
      <c r="BK89" s="7">
        <v>8.1715270533934365</v>
      </c>
      <c r="BN89" s="25" t="s">
        <v>6627</v>
      </c>
      <c r="BO89">
        <v>78.036544779432475</v>
      </c>
      <c r="BP89">
        <v>7.2343603123563756E-3</v>
      </c>
      <c r="BQ89">
        <v>19.49342206</v>
      </c>
      <c r="CQ89" s="135" t="str" cm="1">
        <f t="array" ref="CQ89">INDEX(Parametria!$P:$P,MATCH(CR89,Parametria!$O:$O,0),0)</f>
        <v>Financials</v>
      </c>
      <c r="CR89" t="s">
        <v>6640</v>
      </c>
      <c r="CS89">
        <v>0.85394800026239648</v>
      </c>
      <c r="CT89">
        <v>7.9165057081597009E-5</v>
      </c>
      <c r="CV89" s="135" t="str" cm="1">
        <f t="array" ref="CV89">INDEX(Parametria!$P:$P,MATCH(Presentacion!CW89,Parametria!$O:$O,0),0)</f>
        <v>Health Care</v>
      </c>
      <c r="CW89" s="133" t="s">
        <v>5555</v>
      </c>
      <c r="CX89" s="132">
        <v>137.31514531304373</v>
      </c>
      <c r="CY89" s="132">
        <v>1.2729769627113884E-2</v>
      </c>
      <c r="DO89">
        <v>1000</v>
      </c>
      <c r="DZ89" s="76"/>
      <c r="ED89" s="25" t="s">
        <v>6631</v>
      </c>
      <c r="EE89">
        <v>19580.230380832003</v>
      </c>
      <c r="EF89">
        <v>335.27791748000004</v>
      </c>
      <c r="EG89">
        <v>58.4</v>
      </c>
      <c r="EI89" s="32" t="s">
        <v>4484</v>
      </c>
      <c r="EJ89" s="32">
        <v>16880.368032907347</v>
      </c>
      <c r="EK89" s="32">
        <v>289.04739782375594</v>
      </c>
      <c r="EL89" s="32">
        <v>58.4</v>
      </c>
      <c r="EN89" s="32" t="s">
        <v>4398</v>
      </c>
      <c r="EO89" s="32">
        <v>668.9056738570323</v>
      </c>
      <c r="EP89" s="32">
        <v>21.348637992099974</v>
      </c>
      <c r="EQ89" s="32">
        <v>31.33247536</v>
      </c>
      <c r="EU89" t="str">
        <f>EN89</f>
        <v>Carlyle Peru</v>
      </c>
      <c r="EV89" s="18">
        <f>_xlfn.IFNA(INDEX($EJ$51:$EJ$251,MATCH($EU89,$EI$51:$EI$251,0),1),0)</f>
        <v>731.9194990977262</v>
      </c>
      <c r="EW89" s="18">
        <f>_xlfn.IFNA(INDEX($EK$51:$EK$251,MATCH($EU89,$EI$51:$EI$251,0),1),0)</f>
        <v>25.237083996764838</v>
      </c>
      <c r="EX89" s="18">
        <f>_xlfn.IFNA(INDEX($EO$51:$EO$246,MATCH($EU89,$EN$51:$EN$246,0),1),0)</f>
        <v>668.9056738570323</v>
      </c>
      <c r="EY89" s="18">
        <f>_xlfn.IFNA(INDEX($EP$51:$EP$246,MATCH($EU89,$EN$51:$EN$246,0),1),0)</f>
        <v>21.348637992099974</v>
      </c>
      <c r="EZ89" s="18">
        <f>_xlfn.IFNA(EX89-EV89,"")</f>
        <v>-63.013825240693905</v>
      </c>
      <c r="FA89" s="50">
        <f>EX89/EV89-1</f>
        <v>-8.6093928797325692E-2</v>
      </c>
      <c r="FB89" s="50">
        <f>_xlfn.IFNA(EY89/EW89-1,"")</f>
        <v>-0.15407667562398764</v>
      </c>
      <c r="FC89" s="18">
        <f>-(_xlfn.IFNA(INDEX($EL$51:$EL$251,MATCH($EU89,$EI$51:$EI$251,0),1),0)-_xlfn.IFNA(INDEX($EQ$51:$EQ$246,MATCH($EU89,$EN$51:$EN$246,0),1),0))</f>
        <v>2.3307293899999983</v>
      </c>
    </row>
    <row r="90" spans="15:172" x14ac:dyDescent="0.25">
      <c r="AD90" s="54"/>
      <c r="AE90" s="55"/>
      <c r="AF90" s="18"/>
      <c r="AG90" s="7"/>
      <c r="AI90" s="54"/>
      <c r="AJ90" s="55"/>
      <c r="AO90" s="76"/>
      <c r="AQ90" s="25" t="s">
        <v>2814</v>
      </c>
      <c r="AR90">
        <v>1269.1521418764589</v>
      </c>
      <c r="AS90">
        <v>0.11765646353877325</v>
      </c>
      <c r="AU90" s="79"/>
      <c r="AV90" s="32" t="s">
        <v>4623</v>
      </c>
      <c r="AW90" s="32">
        <v>1.0394062571943796</v>
      </c>
      <c r="AX90" s="32">
        <v>9.6357923031002108E-5</v>
      </c>
      <c r="BE90" s="76"/>
      <c r="BH90" s="25" t="s">
        <v>4485</v>
      </c>
      <c r="BI90" s="7">
        <v>73832.967420074216</v>
      </c>
      <c r="BJ90" s="7">
        <v>6.844668619772925</v>
      </c>
      <c r="BK90" s="7">
        <v>36.888817097214194</v>
      </c>
      <c r="BN90" s="25" t="s">
        <v>6641</v>
      </c>
      <c r="BO90">
        <v>5292.7916682132318</v>
      </c>
      <c r="BP90">
        <v>0.49066705982841141</v>
      </c>
      <c r="BQ90">
        <v>17.929336013567795</v>
      </c>
      <c r="CQ90" s="135" t="str" cm="1">
        <f t="array" ref="CQ90">INDEX(Parametria!$P:$P,MATCH(CR90,Parametria!$O:$O,0),0)</f>
        <v>Metals</v>
      </c>
      <c r="CR90" t="s">
        <v>6644</v>
      </c>
      <c r="CS90">
        <v>1146.3779940000002</v>
      </c>
      <c r="CT90">
        <v>0.10627471380483422</v>
      </c>
      <c r="DZ90" s="76"/>
      <c r="ED90" s="25" t="s">
        <v>4379</v>
      </c>
      <c r="EE90">
        <v>1752.2190893564839</v>
      </c>
      <c r="EF90">
        <v>77.169541942430357</v>
      </c>
      <c r="EG90">
        <v>22.706096800000001</v>
      </c>
      <c r="EI90" s="32" t="s">
        <v>4379</v>
      </c>
      <c r="EJ90" s="32">
        <v>1948.8276010016912</v>
      </c>
      <c r="EK90" s="32">
        <v>79.839270102101253</v>
      </c>
      <c r="EL90" s="32">
        <v>24.409386489999999</v>
      </c>
      <c r="EN90" s="104" t="s">
        <v>4390</v>
      </c>
      <c r="EO90" s="104">
        <v>203.61471744097412</v>
      </c>
      <c r="EP90" s="104">
        <v>33.403973163470766</v>
      </c>
      <c r="EQ90" s="104">
        <v>6.0955239199999998</v>
      </c>
      <c r="EU90" t="str">
        <f>EN90</f>
        <v>Carlyle Realty Partners - VIII</v>
      </c>
      <c r="EV90" s="18">
        <f>_xlfn.IFNA(INDEX($EJ$51:$EJ$251,MATCH($EU90,$EI$51:$EI$251,0),1),0)</f>
        <v>279.72355687138599</v>
      </c>
      <c r="EW90" s="18">
        <f>_xlfn.IFNA(INDEX($EK$51:$EK$251,MATCH($EU90,$EI$51:$EI$251,0),1),0)</f>
        <v>41.29418487976136</v>
      </c>
      <c r="EX90" s="18">
        <f>_xlfn.IFNA(INDEX($EO$51:$EO$246,MATCH($EU90,$EN$51:$EN$246,0),1),0)</f>
        <v>203.61471744097412</v>
      </c>
      <c r="EY90" s="18">
        <f>_xlfn.IFNA(INDEX($EP$51:$EP$246,MATCH($EU90,$EN$51:$EN$246,0),1),0)</f>
        <v>33.403973163470766</v>
      </c>
      <c r="EZ90" s="18">
        <f>_xlfn.IFNA(EX90-EV90,"")</f>
        <v>-76.108839430411876</v>
      </c>
      <c r="FA90" s="50">
        <f>EX90/EV90-1</f>
        <v>-0.27208591325544285</v>
      </c>
      <c r="FB90" s="50">
        <f>_xlfn.IFNA(EY90/EW90-1,"")</f>
        <v>-0.1910731920066947</v>
      </c>
      <c r="FC90" s="18">
        <f>-(_xlfn.IFNA(INDEX($EL$51:$EL$251,MATCH($EU90,$EI$51:$EI$251,0),1),0)-_xlfn.IFNA(INDEX($EQ$51:$EQ$246,MATCH($EU90,$EN$51:$EN$246,0),1),0))</f>
        <v>-0.67839734000000007</v>
      </c>
      <c r="FI90" s="272" t="s">
        <v>5145</v>
      </c>
      <c r="FJ90" s="272"/>
      <c r="FK90" s="272"/>
      <c r="FL90" s="272"/>
      <c r="FM90" s="272"/>
      <c r="FN90" s="272"/>
      <c r="FO90" s="272"/>
    </row>
    <row r="91" spans="15:172" ht="16.5" x14ac:dyDescent="0.3">
      <c r="AD91" s="54"/>
      <c r="AE91" s="55"/>
      <c r="AF91" s="18"/>
      <c r="AG91" s="7"/>
      <c r="AI91" s="54"/>
      <c r="AJ91" s="55"/>
      <c r="AO91" s="76"/>
      <c r="AQ91" s="25" t="s">
        <v>4569</v>
      </c>
      <c r="AR91">
        <v>1.071630436335689E-3</v>
      </c>
      <c r="AS91">
        <v>9.9345258302406806E-8</v>
      </c>
      <c r="AU91" s="79"/>
      <c r="AV91" s="32" t="s">
        <v>4627</v>
      </c>
      <c r="AW91" s="32">
        <v>18617.6144165031</v>
      </c>
      <c r="AX91" s="32">
        <v>1.7259417523698755</v>
      </c>
      <c r="BE91" s="76"/>
      <c r="BH91" s="25" t="s">
        <v>6629</v>
      </c>
      <c r="BI91">
        <v>3.6515457169210633E-2</v>
      </c>
      <c r="BJ91">
        <v>3.3851572347179416E-6</v>
      </c>
      <c r="BK91">
        <v>2.2612990568002619E-4</v>
      </c>
      <c r="BN91" s="25" t="s">
        <v>6642</v>
      </c>
      <c r="BO91">
        <v>539.31991254410093</v>
      </c>
      <c r="BP91">
        <v>4.999753105420527E-2</v>
      </c>
      <c r="BQ91">
        <v>16.311205760709335</v>
      </c>
      <c r="CV91" s="135"/>
      <c r="CW91" s="133"/>
      <c r="CX91" s="132"/>
      <c r="CY91" s="132"/>
      <c r="DZ91" s="76"/>
      <c r="ED91" s="25" t="s">
        <v>4398</v>
      </c>
      <c r="EE91">
        <v>668.9056738570323</v>
      </c>
      <c r="EF91">
        <v>21.348637992099974</v>
      </c>
      <c r="EG91">
        <v>31.33247536</v>
      </c>
      <c r="EI91" s="32" t="s">
        <v>4398</v>
      </c>
      <c r="EJ91" s="32">
        <v>731.9194990977262</v>
      </c>
      <c r="EK91" s="32">
        <v>25.237083996764838</v>
      </c>
      <c r="EL91" s="32">
        <v>29.001745970000002</v>
      </c>
      <c r="EN91" s="32" t="s">
        <v>2800</v>
      </c>
      <c r="EO91" s="32">
        <v>102.51468149807735</v>
      </c>
      <c r="EP91" s="32">
        <v>8.3838375892409474</v>
      </c>
      <c r="EQ91" s="32">
        <v>12.22765594</v>
      </c>
      <c r="EU91" t="str">
        <f>EN91</f>
        <v>Casa Andina (Scotia Sociedad Titulizadora)</v>
      </c>
      <c r="EV91" s="18">
        <f>_xlfn.IFNA(INDEX($EJ$51:$EJ$251,MATCH($EU91,$EI$51:$EI$251,0),1),0)</f>
        <v>101.10051195634284</v>
      </c>
      <c r="EW91" s="18">
        <f>_xlfn.IFNA(INDEX($EK$51:$EK$251,MATCH($EU91,$EI$51:$EI$251,0),1),0)</f>
        <v>8.4652533713609603</v>
      </c>
      <c r="EX91" s="18">
        <f>_xlfn.IFNA(INDEX($EO$51:$EO$246,MATCH($EU91,$EN$51:$EN$246,0),1),0)</f>
        <v>102.51468149807735</v>
      </c>
      <c r="EY91" s="18">
        <f>_xlfn.IFNA(INDEX($EP$51:$EP$246,MATCH($EU91,$EN$51:$EN$246,0),1),0)</f>
        <v>8.3838375892409474</v>
      </c>
      <c r="EZ91" s="18">
        <f>_xlfn.IFNA(EX91-EV91,"")</f>
        <v>1.414169541734509</v>
      </c>
      <c r="FA91" s="50">
        <f>EX91/EV91-1</f>
        <v>1.3987758463035016E-2</v>
      </c>
      <c r="FB91" s="50">
        <f>_xlfn.IFNA(EY91/EW91-1,"")</f>
        <v>-9.6176426798343373E-3</v>
      </c>
      <c r="FC91" s="18">
        <f>-(_xlfn.IFNA(INDEX($EL$51:$EL$251,MATCH($EU91,$EI$51:$EI$251,0),1),0)-_xlfn.IFNA(INDEX($EQ$51:$EQ$246,MATCH($EU91,$EN$51:$EN$246,0),1),0))</f>
        <v>0.2846570100000001</v>
      </c>
      <c r="FI91" s="167" t="s">
        <v>6088</v>
      </c>
      <c r="FJ91" s="172"/>
      <c r="FK91" s="168" t="s">
        <v>6084</v>
      </c>
      <c r="FL91" s="168" t="s">
        <v>6085</v>
      </c>
      <c r="FM91" s="168"/>
      <c r="FN91" s="168" t="s">
        <v>6086</v>
      </c>
      <c r="FO91" s="169" t="s">
        <v>6087</v>
      </c>
    </row>
    <row r="92" spans="15:172" x14ac:dyDescent="0.25">
      <c r="AD92" s="54"/>
      <c r="AE92" s="55"/>
      <c r="AF92" s="18"/>
      <c r="AG92" s="7"/>
      <c r="AI92" s="54"/>
      <c r="AJ92" s="55"/>
      <c r="AO92" s="76"/>
      <c r="AQ92" s="25" t="s">
        <v>4498</v>
      </c>
      <c r="AR92">
        <v>2.2193432241678197</v>
      </c>
      <c r="AS92">
        <v>2.0574371386889435E-4</v>
      </c>
      <c r="AU92" s="79"/>
      <c r="AV92" s="32" t="s">
        <v>4425</v>
      </c>
      <c r="AW92" s="32">
        <v>5.0945030128684246E-2</v>
      </c>
      <c r="AX92" s="32">
        <v>4.7228475468315511E-6</v>
      </c>
      <c r="BE92" s="76"/>
      <c r="BH92" s="25" t="s">
        <v>6628</v>
      </c>
      <c r="BI92">
        <v>4211.2901695539913</v>
      </c>
      <c r="BJ92">
        <v>0.3904067069159583</v>
      </c>
      <c r="BK92">
        <v>26.079329759437652</v>
      </c>
      <c r="BN92" s="25" t="s">
        <v>6643</v>
      </c>
      <c r="BO92">
        <v>1.1019081325996317E-2</v>
      </c>
      <c r="BP92">
        <v>1.021521453169531E-6</v>
      </c>
      <c r="BQ92">
        <v>3.3326138831860514E-4</v>
      </c>
      <c r="DZ92" s="76"/>
      <c r="ED92" s="25" t="s">
        <v>4390</v>
      </c>
      <c r="EE92">
        <v>203.61471744097412</v>
      </c>
      <c r="EF92">
        <v>33.403973163470766</v>
      </c>
      <c r="EG92">
        <v>6.0955239199999998</v>
      </c>
      <c r="EI92" s="32" t="s">
        <v>4390</v>
      </c>
      <c r="EJ92" s="32">
        <v>279.72355687138599</v>
      </c>
      <c r="EK92" s="32">
        <v>41.29418487976136</v>
      </c>
      <c r="EL92" s="32">
        <v>6.7739212599999998</v>
      </c>
      <c r="EN92" s="32" t="s">
        <v>4488</v>
      </c>
      <c r="EO92" s="32">
        <v>188617.25767416038</v>
      </c>
      <c r="EP92" s="32">
        <v>74.670922839515896</v>
      </c>
      <c r="EQ92" s="32">
        <v>2525.98</v>
      </c>
      <c r="EU92" t="str">
        <f>EN92</f>
        <v>Cementos Pacasmayo</v>
      </c>
      <c r="EV92" s="18">
        <f>_xlfn.IFNA(INDEX($EJ$51:$EJ$251,MATCH($EU92,$EI$51:$EI$251,0),1),0)</f>
        <v>124340.38756808947</v>
      </c>
      <c r="EW92" s="18">
        <f>_xlfn.IFNA(INDEX($EK$51:$EK$251,MATCH($EU92,$EI$51:$EI$251,0),1),0)</f>
        <v>49.22461285049345</v>
      </c>
      <c r="EX92" s="18">
        <f>_xlfn.IFNA(INDEX($EO$51:$EO$246,MATCH($EU92,$EN$51:$EN$246,0),1),0)</f>
        <v>188617.25767416038</v>
      </c>
      <c r="EY92" s="18">
        <f>_xlfn.IFNA(INDEX($EP$51:$EP$246,MATCH($EU92,$EN$51:$EN$246,0),1),0)</f>
        <v>74.670922839515896</v>
      </c>
      <c r="EZ92" s="18">
        <f>_xlfn.IFNA(EX92-EV92,"")</f>
        <v>64276.870106070914</v>
      </c>
      <c r="FA92" s="50">
        <f>EX92/EV92-1</f>
        <v>0.51694281611332893</v>
      </c>
      <c r="FB92" s="50">
        <f>_xlfn.IFNA(EY92/EW92-1,"")</f>
        <v>0.51694281611332893</v>
      </c>
      <c r="FC92" s="18">
        <f>-(_xlfn.IFNA(INDEX($EL$51:$EL$251,MATCH($EU92,$EI$51:$EI$251,0),1),0)-_xlfn.IFNA(INDEX($EQ$51:$EQ$246,MATCH($EU92,$EN$51:$EN$246,0),1),0))</f>
        <v>0</v>
      </c>
      <c r="FH92">
        <v>1</v>
      </c>
      <c r="FI92" s="165" t="str">
        <f t="shared" ref="FI92:FI106" si="12">_xlfn.XLOOKUP(SMALL($EZ$51:$EZ$248,FH92),$EZ$51:$EZ$248,$EU$51:$EU$248)</f>
        <v>Energía del Sur S.A.</v>
      </c>
      <c r="FJ92" s="160"/>
      <c r="FK92" s="170">
        <f>SMALL($EZ$51:$EZ$248,FH92)</f>
        <v>-60783.075549220375</v>
      </c>
      <c r="FL92" s="162" cm="1">
        <f t="array" ref="FL92">INDEX($FA$51:$FA$248,MATCH(FI92,$EU$51:$EU$248,0),0)</f>
        <v>-0.75850740582846954</v>
      </c>
      <c r="FM92" s="159"/>
      <c r="FN92" s="162" cm="1">
        <f t="array" ref="FN92">INDEX($FB$51:$FB$248,MATCH(FI92,$EU$51:$EU$248,0),0)</f>
        <v>0.11047060058655434</v>
      </c>
      <c r="FO92" s="173" cm="1">
        <f t="array" ref="FO92">INDEX($FC$51:$FC$248,MATCH(FI92,$EU$51:$EU$248,0),0)</f>
        <v>-1062.24711774</v>
      </c>
      <c r="FP92" s="159" t="str">
        <f>INDEX(Tabla_Consulta_desde_Reporte_de_Valorización_de_Instrumentos[Plus],MATCH(Presentacion!FI92,Tabla_Consulta_desde_Reporte_de_Valorización_de_Instrumentos[Nombre],0))</f>
        <v>Proxies</v>
      </c>
    </row>
    <row r="93" spans="15:172" x14ac:dyDescent="0.25">
      <c r="AD93" s="54"/>
      <c r="AE93" s="55"/>
      <c r="AI93" s="54"/>
      <c r="AJ93" s="55"/>
      <c r="AO93" s="76"/>
      <c r="AQ93" s="25" t="s">
        <v>4623</v>
      </c>
      <c r="AR93">
        <v>1.0394062571943796</v>
      </c>
      <c r="AS93">
        <v>9.6357923031002108E-5</v>
      </c>
      <c r="AU93" s="79"/>
      <c r="AV93" s="32" t="s">
        <v>4615</v>
      </c>
      <c r="AW93" s="32">
        <v>2253.8774475523219</v>
      </c>
      <c r="AX93" s="32">
        <v>0.20894520127171354</v>
      </c>
      <c r="BE93" s="76"/>
      <c r="BH93" s="25" t="s">
        <v>4534</v>
      </c>
      <c r="BI93">
        <v>6131.1982820687908</v>
      </c>
      <c r="BJ93">
        <v>0.56839135618260306</v>
      </c>
      <c r="BK93">
        <v>56.265011306495282</v>
      </c>
      <c r="BN93" s="25" t="s">
        <v>5555</v>
      </c>
      <c r="BO93">
        <v>137.31514531304373</v>
      </c>
      <c r="BP93">
        <v>1.2729769627113884E-2</v>
      </c>
      <c r="BQ93">
        <v>44.215998199999973</v>
      </c>
      <c r="CV93" s="135"/>
      <c r="CW93" s="133"/>
      <c r="CX93" s="132"/>
      <c r="CY93" s="132"/>
      <c r="DZ93" s="76"/>
      <c r="ED93" s="25" t="s">
        <v>2800</v>
      </c>
      <c r="EE93">
        <v>102.51468149807735</v>
      </c>
      <c r="EF93">
        <v>8.3838375892409474</v>
      </c>
      <c r="EG93">
        <v>12.22765594</v>
      </c>
      <c r="EI93" s="32" t="s">
        <v>2800</v>
      </c>
      <c r="EJ93" s="32">
        <v>101.10051195634284</v>
      </c>
      <c r="EK93" s="32">
        <v>8.4652533713609603</v>
      </c>
      <c r="EL93" s="32">
        <v>11.94299893</v>
      </c>
      <c r="EN93" s="32" t="s">
        <v>4378</v>
      </c>
      <c r="EO93" s="32">
        <v>1430.8227813574813</v>
      </c>
      <c r="EP93" s="32">
        <v>36.215887016028482</v>
      </c>
      <c r="EQ93" s="32">
        <v>39.508152340000002</v>
      </c>
      <c r="EU93" t="str">
        <f>EN93</f>
        <v>CEP V LUX</v>
      </c>
      <c r="EV93" s="18">
        <f>_xlfn.IFNA(INDEX($EJ$51:$EJ$251,MATCH($EU93,$EI$51:$EI$251,0),1),0)</f>
        <v>1648.471194714637</v>
      </c>
      <c r="EW93" s="18">
        <f>_xlfn.IFNA(INDEX($EK$51:$EK$251,MATCH($EU93,$EI$51:$EI$251,0),1),0)</f>
        <v>41.340982883011186</v>
      </c>
      <c r="EX93" s="18">
        <f>_xlfn.IFNA(INDEX($EO$51:$EO$246,MATCH($EU93,$EN$51:$EN$246,0),1),0)</f>
        <v>1430.8227813574813</v>
      </c>
      <c r="EY93" s="18">
        <f>_xlfn.IFNA(INDEX($EP$51:$EP$246,MATCH($EU93,$EN$51:$EN$246,0),1),0)</f>
        <v>36.215887016028482</v>
      </c>
      <c r="EZ93" s="18">
        <f>_xlfn.IFNA(EX93-EV93,"")</f>
        <v>-217.64841335715573</v>
      </c>
      <c r="FA93" s="50">
        <f>EX93/EV93-1</f>
        <v>-0.13203046195467938</v>
      </c>
      <c r="FB93" s="50">
        <f>_xlfn.IFNA(EY93/EW93-1,"")</f>
        <v>-0.12397131150669449</v>
      </c>
      <c r="FC93" s="18">
        <f>-(_xlfn.IFNA(INDEX($EL$51:$EL$251,MATCH($EU93,$EI$51:$EI$251,0),1),0)-_xlfn.IFNA(INDEX($EQ$51:$EQ$246,MATCH($EU93,$EN$51:$EN$246,0),1),0))</f>
        <v>-0.36683561999999625</v>
      </c>
      <c r="FH93">
        <v>2</v>
      </c>
      <c r="FI93" s="165" t="str">
        <f t="shared" si="12"/>
        <v>Unión Andina de Cementos</v>
      </c>
      <c r="FJ93" s="160"/>
      <c r="FK93" s="170">
        <f t="shared" ref="FK93:FK106" si="13">SMALL($EZ$51:$EZ$248,FH93)</f>
        <v>-12119.076288655997</v>
      </c>
      <c r="FL93" s="162" cm="1">
        <f t="array" ref="FL93">INDEX($FA$51:$FA$248,MATCH(FI93,$EU$51:$EU$248,0),0)</f>
        <v>-0.14099811669079665</v>
      </c>
      <c r="FM93" s="159"/>
      <c r="FN93" s="162" cm="1">
        <f t="array" ref="FN93">INDEX($FB$51:$FB$248,MATCH(FI93,$EU$51:$EU$248,0),0)</f>
        <v>-0.14099811669079654</v>
      </c>
      <c r="FO93" s="173" cm="1">
        <f t="array" ref="FO93">INDEX($FC$51:$FC$248,MATCH(FI93,$EU$51:$EU$248,0),0)</f>
        <v>0</v>
      </c>
      <c r="FP93" s="159" t="str">
        <f>INDEX(Tabla_Consulta_desde_Reporte_de_Valorización_de_Instrumentos[Plus],MATCH(Presentacion!FI93,Tabla_Consulta_desde_Reporte_de_Valorización_de_Instrumentos[Nombre],0))</f>
        <v>Portafolio</v>
      </c>
    </row>
    <row r="94" spans="15:172" x14ac:dyDescent="0.25">
      <c r="AD94" s="54"/>
      <c r="AE94" s="55"/>
      <c r="AI94" s="54"/>
      <c r="AJ94" s="55"/>
      <c r="AO94" s="76"/>
      <c r="AQ94" s="25" t="s">
        <v>4627</v>
      </c>
      <c r="AR94">
        <v>18617.6144165031</v>
      </c>
      <c r="AS94">
        <v>1.7259417523698755</v>
      </c>
      <c r="AU94" s="79"/>
      <c r="AV94" s="32" t="s">
        <v>4576</v>
      </c>
      <c r="AW94" s="32">
        <v>2.4693041950285457E-2</v>
      </c>
      <c r="AX94" s="32">
        <v>2.2891628938904353E-6</v>
      </c>
      <c r="BE94" s="76"/>
      <c r="BH94" s="25" t="s">
        <v>4437</v>
      </c>
      <c r="BI94" s="7">
        <v>11.905471087506172</v>
      </c>
      <c r="BJ94" s="7">
        <v>1.1036940164226901E-3</v>
      </c>
      <c r="BK94" s="7">
        <v>1.1327755554239936</v>
      </c>
      <c r="BN94" s="25" t="s">
        <v>4872</v>
      </c>
      <c r="BO94">
        <v>82234.694905239987</v>
      </c>
      <c r="BP94">
        <v>7.6235488744755502</v>
      </c>
      <c r="BQ94">
        <v>693.77611482564646</v>
      </c>
      <c r="CV94" s="135"/>
      <c r="CW94" s="133"/>
      <c r="CX94" s="132"/>
      <c r="CY94" s="132"/>
      <c r="DZ94" s="76"/>
      <c r="ED94" s="25" t="s">
        <v>6630</v>
      </c>
      <c r="EE94">
        <v>73548.520514528544</v>
      </c>
      <c r="EF94">
        <v>29.116826148476452</v>
      </c>
      <c r="EG94">
        <v>2525.98</v>
      </c>
      <c r="EI94" s="32" t="s">
        <v>4378</v>
      </c>
      <c r="EJ94" s="32">
        <v>1648.471194714637</v>
      </c>
      <c r="EK94" s="32">
        <v>41.340982883011186</v>
      </c>
      <c r="EL94" s="32">
        <v>39.874987959999999</v>
      </c>
      <c r="EN94" s="32" t="s">
        <v>2809</v>
      </c>
      <c r="EO94" s="32">
        <v>89.191657803556694</v>
      </c>
      <c r="EP94" s="32">
        <v>7.2942564168645303</v>
      </c>
      <c r="EQ94" s="32">
        <v>12.22765594</v>
      </c>
      <c r="EU94" t="str">
        <f>EN94</f>
        <v>Colegios Peruanos - Internacional de Titulos Soc. Titulizadora</v>
      </c>
      <c r="EV94" s="18">
        <f>_xlfn.IFNA(INDEX($EJ$51:$EJ$251,MATCH($EU94,$EI$51:$EI$251,0),1),0)</f>
        <v>82.43309026771945</v>
      </c>
      <c r="EW94" s="18">
        <f>_xlfn.IFNA(INDEX($EK$51:$EK$251,MATCH($EU94,$EI$51:$EI$251,0),1),0)</f>
        <v>6.9022103033646882</v>
      </c>
      <c r="EX94" s="18">
        <f>_xlfn.IFNA(INDEX($EO$51:$EO$246,MATCH($EU94,$EN$51:$EN$246,0),1),0)</f>
        <v>89.191657803556694</v>
      </c>
      <c r="EY94" s="18">
        <f>_xlfn.IFNA(INDEX($EP$51:$EP$246,MATCH($EU94,$EN$51:$EN$246,0),1),0)</f>
        <v>7.2942564168645303</v>
      </c>
      <c r="EZ94" s="18">
        <f>_xlfn.IFNA(EX94-EV94,"")</f>
        <v>6.7585675358372441</v>
      </c>
      <c r="FA94" s="50">
        <f>EX94/EV94-1</f>
        <v>8.1988525650164457E-2</v>
      </c>
      <c r="FB94" s="50">
        <f>_xlfn.IFNA(EY94/EW94-1,"")</f>
        <v>5.6800082331413204E-2</v>
      </c>
      <c r="FC94" s="18">
        <f>-(_xlfn.IFNA(INDEX($EL$51:$EL$251,MATCH($EU94,$EI$51:$EI$251,0),1),0)-_xlfn.IFNA(INDEX($EQ$51:$EQ$246,MATCH($EU94,$EN$51:$EN$246,0),1),0))</f>
        <v>0.2846570100000001</v>
      </c>
      <c r="FH94">
        <v>3</v>
      </c>
      <c r="FI94" s="165" t="str">
        <f t="shared" si="12"/>
        <v>AXA World Funds - US Dynamic High Yield</v>
      </c>
      <c r="FJ94" s="160"/>
      <c r="FK94" s="170">
        <f t="shared" si="13"/>
        <v>-10202.217254361674</v>
      </c>
      <c r="FL94" s="162" cm="1">
        <f t="array" ref="FL94">INDEX($FA$51:$FA$248,MATCH(FI94,$EU$51:$EU$248,0),0)</f>
        <v>-0.99999296560378181</v>
      </c>
      <c r="FM94" s="159"/>
      <c r="FN94" s="162" cm="1">
        <f t="array" ref="FN94">INDEX($FB$51:$FB$248,MATCH(FI94,$EU$51:$EU$248,0),0)</f>
        <v>-0.9999922091314154</v>
      </c>
      <c r="FO94" s="173" cm="1">
        <f t="array" ref="FO94">INDEX($FC$51:$FC$248,MATCH(FI94,$EU$51:$EU$248,0),0)</f>
        <v>-12.135080180000003</v>
      </c>
      <c r="FP94" s="159" t="str">
        <f>INDEX(Tabla_Consulta_desde_Reporte_de_Valorización_de_Instrumentos[Plus],MATCH(Presentacion!FI94,Tabla_Consulta_desde_Reporte_de_Valorización_de_Instrumentos[Nombre],0))</f>
        <v>ETF</v>
      </c>
    </row>
    <row r="95" spans="15:172" ht="15.75" thickBot="1" x14ac:dyDescent="0.3">
      <c r="AD95" s="63" t="s">
        <v>4872</v>
      </c>
      <c r="AE95" s="112">
        <f>+SUM(AE81:AE94)</f>
        <v>601438.00351539289</v>
      </c>
      <c r="AI95" s="63" t="s">
        <v>4872</v>
      </c>
      <c r="AJ95" s="112">
        <f>+SUM(AJ81:AJ94)</f>
        <v>55.756174690622359</v>
      </c>
      <c r="AO95" s="76"/>
      <c r="AQ95" s="25" t="s">
        <v>4425</v>
      </c>
      <c r="AR95">
        <v>5.0945030128684246E-2</v>
      </c>
      <c r="AS95">
        <v>4.7228475468315511E-6</v>
      </c>
      <c r="AU95" s="79"/>
      <c r="AV95" s="32" t="s">
        <v>4434</v>
      </c>
      <c r="AW95" s="32">
        <v>69.960531541860689</v>
      </c>
      <c r="AX95" s="32">
        <v>6.4856753236361593E-3</v>
      </c>
      <c r="BE95" s="76"/>
      <c r="BH95" s="25" t="s">
        <v>4514</v>
      </c>
      <c r="BI95">
        <v>1570.7114924999398</v>
      </c>
      <c r="BJ95">
        <v>0.14561245523646635</v>
      </c>
      <c r="BK95">
        <v>7.3308666689999997</v>
      </c>
      <c r="CV95" s="135"/>
      <c r="CW95" s="133"/>
      <c r="CX95" s="132"/>
      <c r="CY95" s="132"/>
      <c r="DZ95" s="76"/>
      <c r="ED95" s="25" t="s">
        <v>4616</v>
      </c>
      <c r="EE95">
        <v>115068.73715963184</v>
      </c>
      <c r="EF95">
        <v>45.554096691039447</v>
      </c>
      <c r="EG95">
        <v>2525.98</v>
      </c>
      <c r="EI95" s="32" t="s">
        <v>2809</v>
      </c>
      <c r="EJ95" s="32">
        <v>82.43309026771945</v>
      </c>
      <c r="EK95" s="32">
        <v>6.9022103033646882</v>
      </c>
      <c r="EL95" s="32">
        <v>11.94299893</v>
      </c>
      <c r="EN95" s="32" t="s">
        <v>4387</v>
      </c>
      <c r="EO95" s="32">
        <v>1633.5191197986758</v>
      </c>
      <c r="EP95" s="32">
        <v>41.346381013743851</v>
      </c>
      <c r="EQ95" s="32">
        <v>39.508152340000002</v>
      </c>
      <c r="EU95" t="str">
        <f>EN95</f>
        <v>Coller</v>
      </c>
      <c r="EV95" s="18">
        <f>_xlfn.IFNA(INDEX($EJ$51:$EJ$251,MATCH($EU95,$EI$51:$EI$251,0),1),0)</f>
        <v>1533.4570212587755</v>
      </c>
      <c r="EW95" s="18">
        <f>_xlfn.IFNA(INDEX($EK$51:$EK$251,MATCH($EU95,$EI$51:$EI$251,0),1),0)</f>
        <v>38.456614025740649</v>
      </c>
      <c r="EX95" s="18">
        <f>_xlfn.IFNA(INDEX($EO$51:$EO$246,MATCH($EU95,$EN$51:$EN$246,0),1),0)</f>
        <v>1633.5191197986758</v>
      </c>
      <c r="EY95" s="18">
        <f>_xlfn.IFNA(INDEX($EP$51:$EP$246,MATCH($EU95,$EN$51:$EN$246,0),1),0)</f>
        <v>41.346381013743851</v>
      </c>
      <c r="EZ95" s="18">
        <f>_xlfn.IFNA(EX95-EV95,"")</f>
        <v>100.06209853990026</v>
      </c>
      <c r="FA95" s="50">
        <f>EX95/EV95-1</f>
        <v>6.5252626681223669E-2</v>
      </c>
      <c r="FB95" s="50">
        <f>_xlfn.IFNA(EY95/EW95-1,"")</f>
        <v>7.5143562718989143E-2</v>
      </c>
      <c r="FC95" s="18">
        <f>-(_xlfn.IFNA(INDEX($EL$51:$EL$251,MATCH($EU95,$EI$51:$EI$251,0),1),0)-_xlfn.IFNA(INDEX($EQ$51:$EQ$246,MATCH($EU95,$EN$51:$EN$246,0),1),0))</f>
        <v>-0.36683561999999625</v>
      </c>
      <c r="FH95">
        <v>4</v>
      </c>
      <c r="FI95" s="165" t="str">
        <f t="shared" si="12"/>
        <v>Moneda - Latam High Yield</v>
      </c>
      <c r="FJ95" s="160"/>
      <c r="FK95" s="170">
        <f t="shared" si="13"/>
        <v>-9339.4863659841503</v>
      </c>
      <c r="FL95" s="162" cm="1">
        <f t="array" ref="FL95">INDEX($FA$51:$FA$248,MATCH(FI95,$EU$51:$EU$248,0),0)</f>
        <v>-0.43923962272267203</v>
      </c>
      <c r="FM95" s="159"/>
      <c r="FN95" s="162" cm="1">
        <f t="array" ref="FN95">INDEX($FB$51:$FB$248,MATCH(FI95,$EU$51:$EU$248,0),0)</f>
        <v>-0.4533728994502001</v>
      </c>
      <c r="FO95" s="173" cm="1">
        <f t="array" ref="FO95">INDEX($FC$51:$FC$248,MATCH(FI95,$EU$51:$EU$248,0),0)</f>
        <v>3.6735333500000138</v>
      </c>
      <c r="FP95" s="159" t="str">
        <f>INDEX(Tabla_Consulta_desde_Reporte_de_Valorización_de_Instrumentos[Plus],MATCH(Presentacion!FI95,Tabla_Consulta_desde_Reporte_de_Valorización_de_Instrumentos[Nombre],0))</f>
        <v>Proxies</v>
      </c>
    </row>
    <row r="96" spans="15:172" x14ac:dyDescent="0.25">
      <c r="O96">
        <v>4.0199999999999996</v>
      </c>
      <c r="AD96" s="64" t="s">
        <v>4876</v>
      </c>
      <c r="AE96" s="65"/>
      <c r="AF96" s="57"/>
      <c r="AG96" s="66"/>
      <c r="AI96" s="64" t="s">
        <v>4876</v>
      </c>
      <c r="AJ96" s="65"/>
      <c r="AK96" s="57"/>
      <c r="AL96" s="66"/>
      <c r="AO96" s="76"/>
      <c r="AQ96" s="25" t="s">
        <v>4615</v>
      </c>
      <c r="AR96">
        <v>2253.8774475523219</v>
      </c>
      <c r="AS96">
        <v>0.20894520127171354</v>
      </c>
      <c r="AU96" s="79"/>
      <c r="AV96" s="32" t="s">
        <v>4549</v>
      </c>
      <c r="AW96" s="32">
        <v>68.448908050212609</v>
      </c>
      <c r="AX96" s="32">
        <v>6.345540608213871E-3</v>
      </c>
      <c r="BE96" s="76"/>
      <c r="BH96" s="25" t="s">
        <v>4622</v>
      </c>
      <c r="BI96">
        <v>4687.600909751206</v>
      </c>
      <c r="BJ96">
        <v>0.4345629868354659</v>
      </c>
      <c r="BK96">
        <v>64.531950850099207</v>
      </c>
      <c r="DZ96" s="76"/>
      <c r="ED96" s="25" t="s">
        <v>4378</v>
      </c>
      <c r="EE96">
        <v>1430.8227813574813</v>
      </c>
      <c r="EF96">
        <v>36.215887016028482</v>
      </c>
      <c r="EG96">
        <v>39.508152340000002</v>
      </c>
      <c r="EI96" s="32" t="s">
        <v>4387</v>
      </c>
      <c r="EJ96" s="32">
        <v>1533.4570212587755</v>
      </c>
      <c r="EK96" s="32">
        <v>38.456614025740649</v>
      </c>
      <c r="EL96" s="32">
        <v>39.874987959999999</v>
      </c>
      <c r="EN96" s="32" t="s">
        <v>4382</v>
      </c>
      <c r="EO96" s="32">
        <v>23.866953844061708</v>
      </c>
      <c r="EP96" s="32">
        <v>0.6041019999788152</v>
      </c>
      <c r="EQ96" s="32">
        <v>39.508152340000002</v>
      </c>
      <c r="EU96" t="str">
        <f>EN96</f>
        <v>Coller - Coller VI</v>
      </c>
      <c r="EV96" s="18">
        <f>_xlfn.IFNA(INDEX($EJ$51:$EJ$251,MATCH($EU96,$EI$51:$EI$251,0),1),0)</f>
        <v>26.095627620428537</v>
      </c>
      <c r="EW96" s="18">
        <f>_xlfn.IFNA(INDEX($EK$51:$EK$251,MATCH($EU96,$EI$51:$EI$251,0),1),0)</f>
        <v>0.65443599999593671</v>
      </c>
      <c r="EX96" s="18">
        <f>_xlfn.IFNA(INDEX($EO$51:$EO$246,MATCH($EU96,$EN$51:$EN$246,0),1),0)</f>
        <v>23.866953844061708</v>
      </c>
      <c r="EY96" s="18">
        <f>_xlfn.IFNA(INDEX($EP$51:$EP$246,MATCH($EU96,$EN$51:$EN$246,0),1),0)</f>
        <v>0.6041019999788152</v>
      </c>
      <c r="EZ96" s="18">
        <f>_xlfn.IFNA(EX96-EV96,"")</f>
        <v>-2.2286737763668292</v>
      </c>
      <c r="FA96" s="50">
        <f>EX96/EV96-1</f>
        <v>-8.5404107108814964E-2</v>
      </c>
      <c r="FB96" s="50">
        <f>_xlfn.IFNA(EY96/EW96-1,"")</f>
        <v>-7.6912028093555462E-2</v>
      </c>
      <c r="FC96" s="18">
        <f>-(_xlfn.IFNA(INDEX($EL$51:$EL$251,MATCH($EU96,$EI$51:$EI$251,0),1),0)-_xlfn.IFNA(INDEX($EQ$51:$EQ$246,MATCH($EU96,$EN$51:$EN$246,0),1),0))</f>
        <v>-0.36683561999999625</v>
      </c>
      <c r="FH96">
        <v>5</v>
      </c>
      <c r="FI96" s="165" t="str">
        <f t="shared" si="12"/>
        <v>PIMCO - Asia High Yield Bond Fund</v>
      </c>
      <c r="FJ96" s="160"/>
      <c r="FK96" s="170">
        <f t="shared" si="13"/>
        <v>-7760.6711509531506</v>
      </c>
      <c r="FL96" s="162" cm="1">
        <f t="array" ref="FL96">INDEX($FA$51:$FA$248,MATCH(FI96,$EU$51:$EU$248,0),0)</f>
        <v>-0.59023356253003945</v>
      </c>
      <c r="FM96" s="159"/>
      <c r="FN96" s="162" cm="1">
        <f t="array" ref="FN96">INDEX($FB$51:$FB$248,MATCH(FI96,$EU$51:$EU$248,0),0)</f>
        <v>-0.66397454281312962</v>
      </c>
      <c r="FO96" s="173" cm="1">
        <f t="array" ref="FO96">INDEX($FC$51:$FC$248,MATCH(FI96,$EU$51:$EU$248,0),0)</f>
        <v>74.801318340000023</v>
      </c>
      <c r="FP96" s="159" t="str">
        <f>INDEX(Tabla_Consulta_desde_Reporte_de_Valorización_de_Instrumentos[Plus],MATCH(Presentacion!FI96,Tabla_Consulta_desde_Reporte_de_Valorización_de_Instrumentos[Nombre],0))</f>
        <v>ETF</v>
      </c>
    </row>
    <row r="97" spans="15:172" x14ac:dyDescent="0.25">
      <c r="O97">
        <v>6.06</v>
      </c>
      <c r="AD97" s="67">
        <v>1</v>
      </c>
      <c r="AE97" s="37" t="str">
        <f>INDEX($AD$81:$AD$94,MATCH(AG97,$AE$81:$AE$94,0),1)</f>
        <v>Gobierno Central</v>
      </c>
      <c r="AF97" s="37" t="str">
        <f>INDEX($AN$54:$AN$68,MATCH(AE97,$AM$54:$AM$68,0),1)</f>
        <v>Perú</v>
      </c>
      <c r="AG97" s="110">
        <f>LARGE($AE$81:$AE$94,AD97)</f>
        <v>501921.64739597251</v>
      </c>
      <c r="AI97" s="67">
        <v>1</v>
      </c>
      <c r="AJ97" s="37" t="str">
        <f>INDEX($AI$81:$AI$94,MATCH(AL97,$AJ$81:$AJ$94,0),1)</f>
        <v>Gobierno Central</v>
      </c>
      <c r="AK97" s="37" t="str">
        <f>INDEX($AN$54:$AN$68,MATCH(AJ97,$AM$54:$AM$68,0),1)</f>
        <v>Perú</v>
      </c>
      <c r="AL97" s="68">
        <f>LARGE($AJ$81:$AJ$94,AI97)</f>
        <v>46.530533304582853</v>
      </c>
      <c r="AO97" s="76"/>
      <c r="AQ97" s="25" t="s">
        <v>4576</v>
      </c>
      <c r="AR97">
        <v>2.4693041950285457E-2</v>
      </c>
      <c r="AS97">
        <v>2.2891628938904353E-6</v>
      </c>
      <c r="AU97" s="79"/>
      <c r="AV97" s="32" t="s">
        <v>4506</v>
      </c>
      <c r="AW97" s="32">
        <v>869.21276477194965</v>
      </c>
      <c r="AX97" s="32">
        <v>8.0580173638301389E-2</v>
      </c>
      <c r="BE97" s="76"/>
      <c r="BH97" s="25" t="s">
        <v>6639</v>
      </c>
      <c r="BI97">
        <v>250.46875</v>
      </c>
      <c r="BJ97">
        <v>2.3219649070919422E-2</v>
      </c>
      <c r="BK97">
        <v>14.3125</v>
      </c>
      <c r="DZ97" s="76"/>
      <c r="ED97" s="25" t="s">
        <v>2809</v>
      </c>
      <c r="EE97">
        <v>89.191657803556694</v>
      </c>
      <c r="EF97">
        <v>7.2942564168645303</v>
      </c>
      <c r="EG97">
        <v>12.22765594</v>
      </c>
      <c r="EI97" s="32" t="s">
        <v>4382</v>
      </c>
      <c r="EJ97" s="32">
        <v>26.095627620428537</v>
      </c>
      <c r="EK97" s="32">
        <v>0.65443599999593671</v>
      </c>
      <c r="EL97" s="32">
        <v>39.874987959999999</v>
      </c>
      <c r="EN97" s="32" t="s">
        <v>4383</v>
      </c>
      <c r="EO97" s="32">
        <v>3554.9359998617801</v>
      </c>
      <c r="EP97" s="32">
        <v>89.979808958633271</v>
      </c>
      <c r="EQ97" s="32">
        <v>39.508152340000002</v>
      </c>
      <c r="EU97" t="str">
        <f>EN97</f>
        <v>Coller - Coller VIII</v>
      </c>
      <c r="EV97" s="18">
        <f>_xlfn.IFNA(INDEX($EJ$51:$EJ$251,MATCH($EU97,$EI$51:$EI$251,0),1),0)</f>
        <v>3420.6794684078959</v>
      </c>
      <c r="EW97" s="18">
        <f>_xlfn.IFNA(INDEX($EK$51:$EK$251,MATCH($EU97,$EI$51:$EI$251,0),1),0)</f>
        <v>85.785090940699462</v>
      </c>
      <c r="EX97" s="18">
        <f>_xlfn.IFNA(INDEX($EO$51:$EO$246,MATCH($EU97,$EN$51:$EN$246,0),1),0)</f>
        <v>3554.9359998617801</v>
      </c>
      <c r="EY97" s="18">
        <f>_xlfn.IFNA(INDEX($EP$51:$EP$246,MATCH($EU97,$EN$51:$EN$246,0),1),0)</f>
        <v>89.979808958633271</v>
      </c>
      <c r="EZ97" s="18">
        <f>_xlfn.IFNA(EX97-EV97,"")</f>
        <v>134.25653145388424</v>
      </c>
      <c r="FA97" s="50">
        <f>EX97/EV97-1</f>
        <v>3.9248498052456116E-2</v>
      </c>
      <c r="FB97" s="50">
        <f>_xlfn.IFNA(EY97/EW97-1,"")</f>
        <v>4.8897984159432584E-2</v>
      </c>
      <c r="FC97" s="18">
        <f>-(_xlfn.IFNA(INDEX($EL$51:$EL$251,MATCH($EU97,$EI$51:$EI$251,0),1),0)-_xlfn.IFNA(INDEX($EQ$51:$EQ$246,MATCH($EU97,$EN$51:$EN$246,0),1),0))</f>
        <v>-0.36683561999999625</v>
      </c>
      <c r="FH97">
        <v>6</v>
      </c>
      <c r="FI97" s="165" t="str">
        <f t="shared" si="12"/>
        <v>Arcano Fund - European Income Fund, ESG Selection</v>
      </c>
      <c r="FJ97" s="160"/>
      <c r="FK97" s="170">
        <f t="shared" si="13"/>
        <v>-6414.81663262235</v>
      </c>
      <c r="FL97" s="162" cm="1">
        <f t="array" ref="FL97">INDEX($FA$51:$FA$248,MATCH(FI97,$EU$51:$EU$248,0),0)</f>
        <v>-0.99999344856005001</v>
      </c>
      <c r="FM97" s="159"/>
      <c r="FN97" s="162" cm="1">
        <f t="array" ref="FN97">INDEX($FB$51:$FB$248,MATCH(FI97,$EU$51:$EU$248,0),0)</f>
        <v>-0.99999334939840123</v>
      </c>
      <c r="FO97" s="173" cm="1">
        <f t="array" ref="FO97">INDEX($FC$51:$FC$248,MATCH(FI97,$EU$51:$EU$248,0),0)</f>
        <v>-1.5965117399999968</v>
      </c>
      <c r="FP97" s="159" t="str">
        <f>INDEX(Tabla_Consulta_desde_Reporte_de_Valorización_de_Instrumentos[Plus],MATCH(Presentacion!FI97,Tabla_Consulta_desde_Reporte_de_Valorización_de_Instrumentos[Nombre],0))</f>
        <v>Proxies</v>
      </c>
    </row>
    <row r="98" spans="15:172" x14ac:dyDescent="0.25">
      <c r="AD98" s="67">
        <v>2</v>
      </c>
      <c r="AE98" s="37" t="str">
        <f>INDEX($AD$81:$AD$94,MATCH(AG98,$AE$81:$AE$94,0),1)</f>
        <v>Gobierno de Brasil</v>
      </c>
      <c r="AF98" s="37" t="str">
        <f>INDEX($AN$54:$AN$69,MATCH(AE98,$AM$54:$AM$69,0),1)</f>
        <v>Brasil</v>
      </c>
      <c r="AG98" s="110">
        <f>LARGE($AE$81:$AE$94,AD98)</f>
        <v>44492.744115973248</v>
      </c>
      <c r="AI98" s="67">
        <v>2</v>
      </c>
      <c r="AJ98" s="37" t="str">
        <f>INDEX($AI$81:$AI$94,MATCH(AL98,$AJ$81:$AJ$94,0),1)</f>
        <v>Gobierno de Brasil</v>
      </c>
      <c r="AK98" s="37" t="str">
        <f>INDEX($AN$54:$AN$68,MATCH(AJ98,$AM$54:$AM$68,0),1)</f>
        <v>Brasil</v>
      </c>
      <c r="AL98" s="68">
        <f>LARGE($AJ$81:$AJ$94,AI98)</f>
        <v>4.1246898248788071</v>
      </c>
      <c r="AO98" s="76"/>
      <c r="AQ98" s="25" t="s">
        <v>4434</v>
      </c>
      <c r="AR98">
        <v>69.960531541860689</v>
      </c>
      <c r="AS98">
        <v>6.4856753236361593E-3</v>
      </c>
      <c r="AU98" s="79"/>
      <c r="AV98" s="32" t="s">
        <v>4469</v>
      </c>
      <c r="AW98" s="32">
        <v>300.52542306807817</v>
      </c>
      <c r="AX98" s="32">
        <v>2.7860141676478069E-2</v>
      </c>
      <c r="BE98" s="76"/>
      <c r="BH98" s="25" t="s">
        <v>6640</v>
      </c>
      <c r="BI98">
        <v>0.85394800026239648</v>
      </c>
      <c r="BJ98">
        <v>7.9165057081597009E-5</v>
      </c>
      <c r="BK98">
        <v>5.3371750016399782</v>
      </c>
      <c r="DZ98" s="76"/>
      <c r="ED98" s="25" t="s">
        <v>4387</v>
      </c>
      <c r="EE98">
        <v>1633.5191197986758</v>
      </c>
      <c r="EF98">
        <v>41.346381013743851</v>
      </c>
      <c r="EG98">
        <v>39.508152340000002</v>
      </c>
      <c r="EI98" s="32" t="s">
        <v>4383</v>
      </c>
      <c r="EJ98" s="32">
        <v>3420.6794684078959</v>
      </c>
      <c r="EK98" s="32">
        <v>85.785090940699462</v>
      </c>
      <c r="EL98" s="32">
        <v>39.874987959999999</v>
      </c>
      <c r="EN98" s="32" t="s">
        <v>4614</v>
      </c>
      <c r="EO98" s="32">
        <v>315.15101779000003</v>
      </c>
      <c r="EP98" s="32">
        <v>431.71372299999996</v>
      </c>
      <c r="EQ98" s="32">
        <v>0.73</v>
      </c>
      <c r="EU98" t="str">
        <f>EN98</f>
        <v>Credicorp LTD.</v>
      </c>
      <c r="EV98" s="18">
        <f>_xlfn.IFNA(INDEX($EJ$51:$EJ$251,MATCH($EU98,$EI$51:$EI$251,0),1),0)</f>
        <v>236.18176765459998</v>
      </c>
      <c r="EW98" s="18">
        <f>_xlfn.IFNA(INDEX($EK$51:$EK$251,MATCH($EU98,$EI$51:$EI$251,0),1),0)</f>
        <v>323.53666801999998</v>
      </c>
      <c r="EX98" s="18">
        <f>_xlfn.IFNA(INDEX($EO$51:$EO$246,MATCH($EU98,$EN$51:$EN$246,0),1),0)</f>
        <v>315.15101779000003</v>
      </c>
      <c r="EY98" s="18">
        <f>_xlfn.IFNA(INDEX($EP$51:$EP$246,MATCH($EU98,$EN$51:$EN$246,0),1),0)</f>
        <v>431.71372299999996</v>
      </c>
      <c r="EZ98" s="18">
        <f>_xlfn.IFNA(EX98-EV98,"")</f>
        <v>78.969250135400046</v>
      </c>
      <c r="FA98" s="50">
        <f>EX98/EV98-1</f>
        <v>0.33435794354324289</v>
      </c>
      <c r="FB98" s="50">
        <f>_xlfn.IFNA(EY98/EW98-1,"")</f>
        <v>0.33435794354324266</v>
      </c>
      <c r="FC98" s="18">
        <f>-(_xlfn.IFNA(INDEX($EL$51:$EL$251,MATCH($EU98,$EI$51:$EI$251,0),1),0)-_xlfn.IFNA(INDEX($EQ$51:$EQ$246,MATCH($EU98,$EN$51:$EN$246,0),1),0))</f>
        <v>0</v>
      </c>
      <c r="FH98">
        <v>7</v>
      </c>
      <c r="FI98" s="165" t="str">
        <f t="shared" si="12"/>
        <v>Minsur</v>
      </c>
      <c r="FJ98" s="160"/>
      <c r="FK98" s="170">
        <f t="shared" si="13"/>
        <v>-5554.5537242879</v>
      </c>
      <c r="FL98" s="162" cm="1">
        <f t="array" ref="FL98">INDEX($FA$51:$FA$248,MATCH(FI98,$EU$51:$EU$248,0),0)</f>
        <v>-0.13465996037736228</v>
      </c>
      <c r="FM98" s="159"/>
      <c r="FN98" s="162" cm="1">
        <f t="array" ref="FN98">INDEX($FB$51:$FB$248,MATCH(FI98,$EU$51:$EU$248,0),0)</f>
        <v>0.24322539668026399</v>
      </c>
      <c r="FO98" s="173" cm="1">
        <f t="array" ref="FO98">INDEX($FC$51:$FC$248,MATCH(FI98,$EU$51:$EU$248,0),0)</f>
        <v>-49.86999999999999</v>
      </c>
      <c r="FP98" s="159" t="str">
        <f>INDEX(Tabla_Consulta_desde_Reporte_de_Valorización_de_Instrumentos[Plus],MATCH(Presentacion!FI98,Tabla_Consulta_desde_Reporte_de_Valorización_de_Instrumentos[Nombre],0))</f>
        <v>Portafolio</v>
      </c>
    </row>
    <row r="99" spans="15:172" x14ac:dyDescent="0.25">
      <c r="AD99" s="67">
        <v>4</v>
      </c>
      <c r="AE99" s="37" t="str">
        <f>INDEX($AD$81:$AD$94,MATCH(AG99,$AE$81:$AE$94,0),1)</f>
        <v>Gobierno de México</v>
      </c>
      <c r="AF99" s="37" t="str">
        <f>INDEX($AN$54:$AN$69,MATCH(AE99,$AM$54:$AM$69,0),1)</f>
        <v>México</v>
      </c>
      <c r="AG99" s="110">
        <f>LARGE($AE$81:$AE$94,AD99)</f>
        <v>13119.422873777647</v>
      </c>
      <c r="AI99" s="67">
        <v>4</v>
      </c>
      <c r="AJ99" s="37" t="str">
        <f>INDEX($AI$81:$AI$94,MATCH(AL99,$AJ$81:$AJ$94,0),1)</f>
        <v>Gobierno de México</v>
      </c>
      <c r="AK99" s="37" t="str">
        <f t="shared" ref="AK99:AK100" si="14">INDEX($AN$54:$AN$68,MATCH(AJ99,$AM$54:$AM$68,0),1)</f>
        <v>México</v>
      </c>
      <c r="AL99" s="68">
        <f>LARGE($AJ$81:$AJ$94,AI99)</f>
        <v>1.2162331434245193</v>
      </c>
      <c r="AO99" s="76"/>
      <c r="AQ99" s="25" t="s">
        <v>4549</v>
      </c>
      <c r="AR99">
        <v>68.448908050212609</v>
      </c>
      <c r="AS99">
        <v>6.345540608213871E-3</v>
      </c>
      <c r="AU99" s="79"/>
      <c r="AV99" s="32" t="s">
        <v>4611</v>
      </c>
      <c r="AW99" s="32">
        <v>2989.8706460479907</v>
      </c>
      <c r="AX99" s="32">
        <v>0.27717528501530619</v>
      </c>
      <c r="BE99" s="76"/>
      <c r="BH99" s="25" t="s">
        <v>6644</v>
      </c>
      <c r="BI99">
        <v>1146.3779940000002</v>
      </c>
      <c r="BJ99">
        <v>0.10627471380483422</v>
      </c>
      <c r="BK99">
        <v>13.458300000000001</v>
      </c>
      <c r="DZ99" s="76"/>
      <c r="ED99" s="25" t="s">
        <v>4382</v>
      </c>
      <c r="EE99">
        <v>23.866953844061708</v>
      </c>
      <c r="EF99">
        <v>0.6041019999788152</v>
      </c>
      <c r="EG99">
        <v>39.508152340000002</v>
      </c>
      <c r="EI99" s="104" t="s">
        <v>4465</v>
      </c>
      <c r="EJ99" s="104">
        <v>47.52534811504411</v>
      </c>
      <c r="EK99" s="104">
        <v>1.4545627287769118</v>
      </c>
      <c r="EL99" s="104">
        <v>32.673288800000002</v>
      </c>
      <c r="EN99" s="32" t="s">
        <v>4375</v>
      </c>
      <c r="EO99" s="32">
        <v>4574.7271549273601</v>
      </c>
      <c r="EP99" s="32">
        <v>115.79197922388491</v>
      </c>
      <c r="EQ99" s="32">
        <v>39.508152340000002</v>
      </c>
      <c r="EU99" t="str">
        <f>EN99</f>
        <v>CVC Capital Partners - VII Limited</v>
      </c>
      <c r="EV99" s="18">
        <f>_xlfn.IFNA(INDEX($EJ$51:$EJ$251,MATCH($EU99,$EI$51:$EI$251,0),1),0)</f>
        <v>4855.2329673991471</v>
      </c>
      <c r="EW99" s="18">
        <f>_xlfn.IFNA(INDEX($EK$51:$EK$251,MATCH($EU99,$EI$51:$EI$251,0),1),0)</f>
        <v>121.76136510109049</v>
      </c>
      <c r="EX99" s="18">
        <f>_xlfn.IFNA(INDEX($EO$51:$EO$246,MATCH($EU99,$EN$51:$EN$246,0),1),0)</f>
        <v>4574.7271549273601</v>
      </c>
      <c r="EY99" s="18">
        <f>_xlfn.IFNA(INDEX($EP$51:$EP$246,MATCH($EU99,$EN$51:$EN$246,0),1),0)</f>
        <v>115.79197922388491</v>
      </c>
      <c r="EZ99" s="18">
        <f>_xlfn.IFNA(EX99-EV99,"")</f>
        <v>-280.50581247178707</v>
      </c>
      <c r="FA99" s="50">
        <f>EX99/EV99-1</f>
        <v>-5.7773914116019953E-2</v>
      </c>
      <c r="FB99" s="50">
        <f>_xlfn.IFNA(EY99/EW99-1,"")</f>
        <v>-4.9025287062522627E-2</v>
      </c>
      <c r="FC99" s="18">
        <f>-(_xlfn.IFNA(INDEX($EL$51:$EL$251,MATCH($EU99,$EI$51:$EI$251,0),1),0)-_xlfn.IFNA(INDEX($EQ$51:$EQ$246,MATCH($EU99,$EN$51:$EN$246,0),1),0))</f>
        <v>-0.36683561999999625</v>
      </c>
      <c r="FH99">
        <v>8</v>
      </c>
      <c r="FI99" s="165" t="str">
        <f t="shared" si="12"/>
        <v>Avenue - Europe Capital Partners III, LLC</v>
      </c>
      <c r="FJ99" s="160"/>
      <c r="FK99" s="170">
        <f t="shared" si="13"/>
        <v>-4299.7569440029765</v>
      </c>
      <c r="FL99" s="162" cm="1">
        <f t="array" ref="FL99">INDEX($FA$51:$FA$248,MATCH(FI99,$EU$51:$EU$248,0),0)</f>
        <v>-0.59948775257414488</v>
      </c>
      <c r="FM99" s="159"/>
      <c r="FN99" s="162" cm="1">
        <f t="array" ref="FN99">INDEX($FB$51:$FB$248,MATCH(FI99,$EU$51:$EU$248,0),0)</f>
        <v>-0.60001911532567764</v>
      </c>
      <c r="FO99" s="173" cm="1">
        <f t="array" ref="FO99">INDEX($FC$51:$FC$248,MATCH(FI99,$EU$51:$EU$248,0),0)</f>
        <v>0.16215974000000699</v>
      </c>
      <c r="FP99" s="159" t="str">
        <f>INDEX(Tabla_Consulta_desde_Reporte_de_Valorización_de_Instrumentos[Plus],MATCH(Presentacion!FI99,Tabla_Consulta_desde_Reporte_de_Valorización_de_Instrumentos[Nombre],0))</f>
        <v>Proxies</v>
      </c>
    </row>
    <row r="100" spans="15:172" x14ac:dyDescent="0.25">
      <c r="AD100" s="67">
        <v>5</v>
      </c>
      <c r="AE100" s="37" t="str">
        <f>INDEX($AD$81:$AD$94,MATCH(AG100,$AE$81:$AE$94,0),1)</f>
        <v>Gobierno de Chile</v>
      </c>
      <c r="AF100" s="37" t="str">
        <f t="shared" ref="AF100" si="15">INDEX($AN$54:$AN$68,MATCH(AE100,$AM$54:$AM$68,0),1)</f>
        <v>Chile</v>
      </c>
      <c r="AG100" s="110">
        <f>LARGE($AE$81:$AE$94,AD100)</f>
        <v>11290.34338358511</v>
      </c>
      <c r="AI100" s="67">
        <v>5</v>
      </c>
      <c r="AJ100" s="37" t="str">
        <f>INDEX($AI$81:$AI$94,MATCH(AL100,$AJ$81:$AJ$94,0),1)</f>
        <v>Gobierno de Chile</v>
      </c>
      <c r="AK100" s="37" t="str">
        <f t="shared" si="14"/>
        <v>Chile</v>
      </c>
      <c r="AL100" s="68">
        <f>LARGE($AJ$81:$AJ$94,AI100)</f>
        <v>1.0466687411384583</v>
      </c>
      <c r="AO100" s="76"/>
      <c r="AQ100" s="25" t="s">
        <v>4506</v>
      </c>
      <c r="AR100">
        <v>869.21276477194965</v>
      </c>
      <c r="AS100">
        <v>8.0580173638301389E-2</v>
      </c>
      <c r="AU100" s="79"/>
      <c r="AV100" s="32" t="s">
        <v>4500</v>
      </c>
      <c r="AW100" s="32">
        <v>524.76676139851543</v>
      </c>
      <c r="AX100" s="32">
        <v>4.8648384454174153E-2</v>
      </c>
      <c r="BE100" s="76"/>
      <c r="BH100" s="25" t="s">
        <v>4872</v>
      </c>
      <c r="BI100">
        <v>422210.48119972617</v>
      </c>
      <c r="BJ100">
        <v>39.140927590853813</v>
      </c>
      <c r="BK100">
        <v>2756.8212398148489</v>
      </c>
      <c r="DZ100" s="76"/>
      <c r="ED100" s="25" t="s">
        <v>4383</v>
      </c>
      <c r="EE100">
        <v>3554.9359998617801</v>
      </c>
      <c r="EF100">
        <v>89.979808958633271</v>
      </c>
      <c r="EG100">
        <v>39.508152340000002</v>
      </c>
      <c r="EI100" s="32" t="s">
        <v>4614</v>
      </c>
      <c r="EJ100" s="32">
        <v>236.18176765459998</v>
      </c>
      <c r="EK100" s="32">
        <v>323.53666801999998</v>
      </c>
      <c r="EL100" s="32">
        <v>0.73</v>
      </c>
      <c r="EN100" s="32" t="s">
        <v>4523</v>
      </c>
      <c r="EO100" s="32">
        <v>2.0915984375237453E-5</v>
      </c>
      <c r="EP100" s="32">
        <v>3.4058009997322143E-4</v>
      </c>
      <c r="EQ100" s="32">
        <v>6.141282E-2</v>
      </c>
      <c r="EU100" t="str">
        <f>EN100</f>
        <v>Degroof - EM  Sustainable Debt</v>
      </c>
      <c r="EV100" s="18">
        <f>_xlfn.IFNA(INDEX($EJ$51:$EJ$251,MATCH($EU100,$EI$51:$EI$251,0),1),0)</f>
        <v>0.68891629139092303</v>
      </c>
      <c r="EW100" s="18">
        <f>_xlfn.IFNA(INDEX($EK$51:$EK$251,MATCH($EU100,$EI$51:$EI$251,0),1),0)</f>
        <v>10.060619184279972</v>
      </c>
      <c r="EX100" s="18">
        <f>_xlfn.IFNA(INDEX($EO$51:$EO$246,MATCH($EU100,$EN$51:$EN$246,0),1),0)</f>
        <v>2.0915984375237453E-5</v>
      </c>
      <c r="EY100" s="18">
        <f>_xlfn.IFNA(INDEX($EP$51:$EP$246,MATCH($EU100,$EN$51:$EN$246,0),1),0)</f>
        <v>3.4058009997322143E-4</v>
      </c>
      <c r="EZ100" s="18">
        <f>_xlfn.IFNA(EX100-EV100,"")</f>
        <v>-0.68889537540654777</v>
      </c>
      <c r="FA100" s="50">
        <f>EX100/EV100-1</f>
        <v>-0.99996963929488003</v>
      </c>
      <c r="FB100" s="50">
        <f>_xlfn.IFNA(EY100/EW100-1,"")</f>
        <v>-0.99996614720289723</v>
      </c>
      <c r="FC100" s="18">
        <f>-(_xlfn.IFNA(INDEX($EL$51:$EL$251,MATCH($EU100,$EI$51:$EI$251,0),1),0)-_xlfn.IFNA(INDEX($EQ$51:$EQ$246,MATCH($EU100,$EN$51:$EN$246,0),1),0))</f>
        <v>-7.0637099999999939E-3</v>
      </c>
      <c r="FH100">
        <v>9</v>
      </c>
      <c r="FI100" s="165" t="str">
        <f t="shared" si="12"/>
        <v>Liontrust - Liontrust European Dynamic Fund S</v>
      </c>
      <c r="FJ100" s="160"/>
      <c r="FK100" s="170">
        <f t="shared" si="13"/>
        <v>-2948.74492985181</v>
      </c>
      <c r="FL100" s="162" cm="1">
        <f t="array" ref="FL100">INDEX($FA$51:$FA$248,MATCH(FI100,$EU$51:$EU$248,0),0)</f>
        <v>-0.99999948717347353</v>
      </c>
      <c r="FM100" s="159"/>
      <c r="FN100" s="162" cm="1">
        <f t="array" ref="FN100">INDEX($FB$51:$FB$248,MATCH(FI100,$EU$51:$EU$248,0),0)</f>
        <v>-0.99999959354682411</v>
      </c>
      <c r="FO100" s="173" cm="1">
        <f t="array" ref="FO100">INDEX($FC$51:$FC$248,MATCH(FI100,$EU$51:$EU$248,0),0)</f>
        <v>43.535488329999993</v>
      </c>
      <c r="FP100" s="159" t="str">
        <f>INDEX(Tabla_Consulta_desde_Reporte_de_Valorización_de_Instrumentos[Plus],MATCH(Presentacion!FI100,Tabla_Consulta_desde_Reporte_de_Valorización_de_Instrumentos[Nombre],0))</f>
        <v>ETF</v>
      </c>
    </row>
    <row r="101" spans="15:172" ht="15.75" thickBot="1" x14ac:dyDescent="0.3">
      <c r="O101">
        <v>19.420000000000002</v>
      </c>
      <c r="AD101" s="69" t="s">
        <v>4877</v>
      </c>
      <c r="AE101" s="70" t="s">
        <v>4877</v>
      </c>
      <c r="AF101" s="70" t="s">
        <v>4877</v>
      </c>
      <c r="AG101" s="111">
        <f>AE95-SUM(AG97:AG100)</f>
        <v>30613.845746084349</v>
      </c>
      <c r="AI101" s="69" t="s">
        <v>4877</v>
      </c>
      <c r="AJ101" s="70" t="s">
        <v>4877</v>
      </c>
      <c r="AK101" s="70" t="s">
        <v>4877</v>
      </c>
      <c r="AL101" s="71">
        <f>AJ95-SUM(AL97:AL100)</f>
        <v>2.8380496765977199</v>
      </c>
      <c r="AO101" s="76"/>
      <c r="AQ101" s="25" t="s">
        <v>4469</v>
      </c>
      <c r="AR101">
        <v>300.52542306807817</v>
      </c>
      <c r="AS101">
        <v>2.7860141676478069E-2</v>
      </c>
      <c r="AU101" s="79"/>
      <c r="AV101" s="32" t="s">
        <v>4499</v>
      </c>
      <c r="AW101" s="32">
        <v>19.531961204626796</v>
      </c>
      <c r="AX101" s="32">
        <v>1.8107060654802118E-3</v>
      </c>
      <c r="BE101" s="76"/>
      <c r="DZ101" s="76"/>
      <c r="ED101" s="25" t="s">
        <v>4614</v>
      </c>
      <c r="EE101">
        <v>315.15101779000003</v>
      </c>
      <c r="EF101">
        <v>431.71372299999996</v>
      </c>
      <c r="EG101">
        <v>0.73</v>
      </c>
      <c r="EI101" s="32" t="s">
        <v>4375</v>
      </c>
      <c r="EJ101" s="32">
        <v>4855.2329673991471</v>
      </c>
      <c r="EK101" s="32">
        <v>121.76136510109049</v>
      </c>
      <c r="EL101" s="32">
        <v>39.874987959999999</v>
      </c>
      <c r="EN101" s="32" t="s">
        <v>4584</v>
      </c>
      <c r="EO101" s="32">
        <v>3.2344472701278E-3</v>
      </c>
      <c r="EP101" s="32">
        <v>5.6730000000000001E-5</v>
      </c>
      <c r="EQ101" s="32">
        <v>57.014758860000001</v>
      </c>
      <c r="EU101" t="str">
        <f>EN101</f>
        <v>DFA - US Large Cap Value</v>
      </c>
      <c r="EV101" s="18">
        <f>_xlfn.IFNA(INDEX($EJ$51:$EJ$251,MATCH($EU101,$EI$51:$EI$251,0),1),0)</f>
        <v>3.1434766720515E-3</v>
      </c>
      <c r="EW101" s="18">
        <f>_xlfn.IFNA(INDEX($EK$51:$EK$251,MATCH($EU101,$EI$51:$EI$251,0),1),0)</f>
        <v>5.0130000000000003E-5</v>
      </c>
      <c r="EX101" s="18">
        <f>_xlfn.IFNA(INDEX($EO$51:$EO$246,MATCH($EU101,$EN$51:$EN$246,0),1),0)</f>
        <v>3.2344472701278E-3</v>
      </c>
      <c r="EY101" s="18">
        <f>_xlfn.IFNA(INDEX($EP$51:$EP$246,MATCH($EU101,$EN$51:$EN$246,0),1),0)</f>
        <v>5.6730000000000001E-5</v>
      </c>
      <c r="EZ101" s="18">
        <f>_xlfn.IFNA(EX101-EV101,"")</f>
        <v>9.097059807629997E-5</v>
      </c>
      <c r="FA101" s="50">
        <f>EX101/EV101-1</f>
        <v>2.8939485660929298E-2</v>
      </c>
      <c r="FB101" s="50">
        <f>_xlfn.IFNA(EY101/EW101-1,"")</f>
        <v>0.13165769000598448</v>
      </c>
      <c r="FC101" s="18">
        <f>-(_xlfn.IFNA(INDEX($EL$51:$EL$251,MATCH($EU101,$EI$51:$EI$251,0),1),0)-_xlfn.IFNA(INDEX($EQ$51:$EQ$246,MATCH($EU101,$EN$51:$EN$246,0),1),0))</f>
        <v>-5.6917376899999965</v>
      </c>
      <c r="FH101">
        <v>10</v>
      </c>
      <c r="FI101" s="165" t="str">
        <f t="shared" si="12"/>
        <v>Ferreyros S.A.A.</v>
      </c>
      <c r="FJ101" s="160"/>
      <c r="FK101" s="170">
        <f t="shared" si="13"/>
        <v>-2660.9166901899198</v>
      </c>
      <c r="FL101" s="162" cm="1">
        <f t="array" ref="FL101">INDEX($FA$51:$FA$248,MATCH(FI101,$EU$51:$EU$248,0),0)</f>
        <v>-0.67706617972663974</v>
      </c>
      <c r="FM101" s="159"/>
      <c r="FN101" s="162" cm="1">
        <f t="array" ref="FN101">INDEX($FB$51:$FB$248,MATCH(FI101,$EU$51:$EU$248,0),0)</f>
        <v>0.32720880164513133</v>
      </c>
      <c r="FO101" s="173" cm="1">
        <f t="array" ref="FO101">INDEX($FC$51:$FC$248,MATCH(FI101,$EU$51:$EU$248,0),0)</f>
        <v>-24.723288800000002</v>
      </c>
      <c r="FP101" s="159" t="str">
        <f>INDEX(Tabla_Consulta_desde_Reporte_de_Valorización_de_Instrumentos[Plus],MATCH(Presentacion!FI101,Tabla_Consulta_desde_Reporte_de_Valorización_de_Instrumentos[Nombre],0))</f>
        <v>Portafolio</v>
      </c>
    </row>
    <row r="102" spans="15:172" x14ac:dyDescent="0.25">
      <c r="O102">
        <v>13.48</v>
      </c>
      <c r="AO102" s="76"/>
      <c r="AQ102" s="25" t="s">
        <v>4611</v>
      </c>
      <c r="AR102">
        <v>2989.8706460479907</v>
      </c>
      <c r="AS102">
        <v>0.27717528501530619</v>
      </c>
      <c r="AU102" s="79"/>
      <c r="AV102" s="32" t="s">
        <v>4613</v>
      </c>
      <c r="AW102" s="32">
        <v>76.245796432799992</v>
      </c>
      <c r="AX102" s="32">
        <v>7.068349390103059E-3</v>
      </c>
      <c r="BE102" s="76"/>
      <c r="DZ102" s="76"/>
      <c r="ED102" s="25" t="s">
        <v>4375</v>
      </c>
      <c r="EE102">
        <v>4574.7271549273601</v>
      </c>
      <c r="EF102">
        <v>115.79197922388491</v>
      </c>
      <c r="EG102">
        <v>39.508152340000002</v>
      </c>
      <c r="EI102" s="32" t="s">
        <v>4523</v>
      </c>
      <c r="EJ102" s="32">
        <v>0.68891629139092303</v>
      </c>
      <c r="EK102" s="32">
        <v>10.060619184279972</v>
      </c>
      <c r="EL102" s="32">
        <v>6.8476529999999994E-2</v>
      </c>
      <c r="EN102" s="32" t="s">
        <v>4579</v>
      </c>
      <c r="EO102" s="32">
        <v>4.7509489639302764E-3</v>
      </c>
      <c r="EP102" s="32">
        <v>3.6125607367074295E-5</v>
      </c>
      <c r="EQ102" s="32">
        <v>131.51194706999999</v>
      </c>
      <c r="EU102" t="str">
        <f>EN102</f>
        <v>Eastspring - Japan Dynamic Fund</v>
      </c>
      <c r="EV102" s="18">
        <f>_xlfn.IFNA(INDEX($EJ$51:$EJ$251,MATCH($EU102,$EI$51:$EI$251,0),1),0)</f>
        <v>3.9871789147085251E-3</v>
      </c>
      <c r="EW102" s="18">
        <f>_xlfn.IFNA(INDEX($EK$51:$EK$251,MATCH($EU102,$EI$51:$EI$251,0),1),0)</f>
        <v>3.0054719024824666E-5</v>
      </c>
      <c r="EX102" s="18">
        <f>_xlfn.IFNA(INDEX($EO$51:$EO$246,MATCH($EU102,$EN$51:$EN$246,0),1),0)</f>
        <v>4.7509489639302764E-3</v>
      </c>
      <c r="EY102" s="18">
        <f>_xlfn.IFNA(INDEX($EP$51:$EP$246,MATCH($EU102,$EN$51:$EN$246,0),1),0)</f>
        <v>3.6125607367074295E-5</v>
      </c>
      <c r="EZ102" s="18">
        <f>_xlfn.IFNA(EX102-EV102,"")</f>
        <v>7.6377004922175123E-4</v>
      </c>
      <c r="FA102" s="50">
        <f>EX102/EV102-1</f>
        <v>0.19155650287079862</v>
      </c>
      <c r="FB102" s="50">
        <f>_xlfn.IFNA(EY102/EW102-1,"")</f>
        <v>0.20199451331536933</v>
      </c>
      <c r="FC102" s="18">
        <f>-(_xlfn.IFNA(INDEX($EL$51:$EL$251,MATCH($EU102,$EI$51:$EI$251,0),1),0)-_xlfn.IFNA(INDEX($EQ$51:$EQ$246,MATCH($EU102,$EN$51:$EN$246,0),1),0))</f>
        <v>-1.1520419500000116</v>
      </c>
      <c r="FH102">
        <v>11</v>
      </c>
      <c r="FI102" s="165" t="str">
        <f t="shared" si="12"/>
        <v>Inretail Peru Corp</v>
      </c>
      <c r="FJ102" s="160"/>
      <c r="FK102" s="170">
        <f t="shared" si="13"/>
        <v>-2349.6987549854748</v>
      </c>
      <c r="FL102" s="162" cm="1">
        <f t="array" ref="FL102">INDEX($FA$51:$FA$248,MATCH(FI102,$EU$51:$EU$248,0),0)</f>
        <v>-0.44005397786021738</v>
      </c>
      <c r="FM102" s="159"/>
      <c r="FN102" s="162" cm="1">
        <f t="array" ref="FN102">INDEX($FB$51:$FB$248,MATCH(FI102,$EU$51:$EU$248,0),0)</f>
        <v>-0.28827566785903391</v>
      </c>
      <c r="FO102" s="173" cm="1">
        <f t="array" ref="FO102">INDEX($FC$51:$FC$248,MATCH(FI102,$EU$51:$EU$248,0),0)</f>
        <v>-5.7600000000000016</v>
      </c>
      <c r="FP102" s="159" t="str">
        <f>INDEX(Tabla_Consulta_desde_Reporte_de_Valorización_de_Instrumentos[Plus],MATCH(Presentacion!FI102,Tabla_Consulta_desde_Reporte_de_Valorización_de_Instrumentos[Nombre],0))</f>
        <v>Portafolio</v>
      </c>
    </row>
    <row r="103" spans="15:172" x14ac:dyDescent="0.25">
      <c r="AO103" s="76"/>
      <c r="AQ103" s="25" t="s">
        <v>4500</v>
      </c>
      <c r="AR103">
        <v>524.76676139851543</v>
      </c>
      <c r="AS103">
        <v>4.8648384454174153E-2</v>
      </c>
      <c r="AU103" s="79"/>
      <c r="AV103" s="32" t="s">
        <v>4552</v>
      </c>
      <c r="AW103" s="32">
        <v>426.16837356910094</v>
      </c>
      <c r="AX103" s="32">
        <v>3.9507843111761504E-2</v>
      </c>
      <c r="BE103" s="76"/>
      <c r="DP103" s="263" t="s">
        <v>2829</v>
      </c>
      <c r="DQ103" s="263"/>
      <c r="DR103" s="150"/>
      <c r="DS103" s="150"/>
      <c r="DT103" s="263" t="s">
        <v>2830</v>
      </c>
      <c r="DU103" s="263"/>
      <c r="DZ103" s="76"/>
      <c r="ED103" s="25" t="s">
        <v>4523</v>
      </c>
      <c r="EE103">
        <v>2.0915984375237453E-5</v>
      </c>
      <c r="EF103">
        <v>3.4058009997322143E-4</v>
      </c>
      <c r="EG103">
        <v>6.141282E-2</v>
      </c>
      <c r="EI103" s="32" t="s">
        <v>4584</v>
      </c>
      <c r="EJ103" s="32">
        <v>3.1434766720515E-3</v>
      </c>
      <c r="EK103" s="32">
        <v>5.0130000000000003E-5</v>
      </c>
      <c r="EL103" s="32">
        <v>62.706496549999997</v>
      </c>
      <c r="EN103" s="32" t="s">
        <v>4431</v>
      </c>
      <c r="EO103" s="32">
        <v>37516.284214185063</v>
      </c>
      <c r="EP103" s="32">
        <v>144.49903406457292</v>
      </c>
      <c r="EQ103" s="32">
        <v>259.63000000000005</v>
      </c>
      <c r="EU103" t="str">
        <f>EN103</f>
        <v>Ecopetrol</v>
      </c>
      <c r="EV103" s="18">
        <f>_xlfn.IFNA(INDEX($EJ$51:$EJ$251,MATCH($EU103,$EI$51:$EI$251,0),1),0)</f>
        <v>28476.186333601108</v>
      </c>
      <c r="EW103" s="18">
        <f>_xlfn.IFNA(INDEX($EK$51:$EK$251,MATCH($EU103,$EI$51:$EI$251,0),1),0)</f>
        <v>107.55877746402685</v>
      </c>
      <c r="EX103" s="18">
        <f>_xlfn.IFNA(INDEX($EO$51:$EO$246,MATCH($EU103,$EN$51:$EN$246,0),1),0)</f>
        <v>37516.284214185063</v>
      </c>
      <c r="EY103" s="18">
        <f>_xlfn.IFNA(INDEX($EP$51:$EP$246,MATCH($EU103,$EN$51:$EN$246,0),1),0)</f>
        <v>144.49903406457292</v>
      </c>
      <c r="EZ103" s="18">
        <f>_xlfn.IFNA(EX103-EV103,"")</f>
        <v>9040.097880583955</v>
      </c>
      <c r="FA103" s="50">
        <f>EX103/EV103-1</f>
        <v>0.31746167744087606</v>
      </c>
      <c r="FB103" s="50">
        <f>_xlfn.IFNA(EY103/EW103-1,"")</f>
        <v>0.34344251089039002</v>
      </c>
      <c r="FC103" s="18">
        <f>-(_xlfn.IFNA(INDEX($EL$51:$EL$251,MATCH($EU103,$EI$51:$EI$251,0),1),0)-_xlfn.IFNA(INDEX($EQ$51:$EQ$246,MATCH($EU103,$EN$51:$EN$246,0),1),0))</f>
        <v>-5.1199999999999477</v>
      </c>
      <c r="FH103">
        <v>12</v>
      </c>
      <c r="FI103" s="165" t="str">
        <f t="shared" si="12"/>
        <v>Moneda - Deuda Latam LCC</v>
      </c>
      <c r="FJ103" s="160"/>
      <c r="FK103" s="170">
        <f t="shared" si="13"/>
        <v>-1918.0636834138486</v>
      </c>
      <c r="FL103" s="162" cm="1">
        <f t="array" ref="FL103">INDEX($FA$51:$FA$248,MATCH(FI103,$EU$51:$EU$248,0),0)</f>
        <v>-0.22902308309608843</v>
      </c>
      <c r="FM103" s="159"/>
      <c r="FN103" s="162" cm="1">
        <f t="array" ref="FN103">INDEX($FB$51:$FB$248,MATCH(FI103,$EU$51:$EU$248,0),0)</f>
        <v>-0.24845460957098853</v>
      </c>
      <c r="FO103" s="173" cm="1">
        <f t="array" ref="FO103">INDEX($FC$51:$FC$248,MATCH(FI103,$EU$51:$EU$248,0),0)</f>
        <v>3.6735333500000138</v>
      </c>
      <c r="FP103" s="159" t="str">
        <f>INDEX(Tabla_Consulta_desde_Reporte_de_Valorización_de_Instrumentos[Plus],MATCH(Presentacion!FI103,Tabla_Consulta_desde_Reporte_de_Valorización_de_Instrumentos[Nombre],0))</f>
        <v>Proxies</v>
      </c>
    </row>
    <row r="104" spans="15:172" x14ac:dyDescent="0.25">
      <c r="X104" s="76"/>
      <c r="Y104" s="76"/>
      <c r="Z104" s="76"/>
      <c r="AA104" s="76"/>
      <c r="AB104" s="76"/>
      <c r="AC104" s="76"/>
      <c r="AD104" s="76"/>
      <c r="AE104" s="76"/>
      <c r="AF104" s="76"/>
      <c r="AG104" s="76"/>
      <c r="AH104" s="76"/>
      <c r="AI104" s="76"/>
      <c r="AJ104" s="76"/>
      <c r="AK104" s="76"/>
      <c r="AL104" s="76"/>
      <c r="AM104" s="76"/>
      <c r="AN104" s="76"/>
      <c r="AO104" s="76"/>
      <c r="AQ104" s="25" t="s">
        <v>4499</v>
      </c>
      <c r="AR104">
        <v>19.531961204626796</v>
      </c>
      <c r="AS104">
        <v>1.8107060654802118E-3</v>
      </c>
      <c r="AU104" s="79"/>
      <c r="AV104" s="32" t="s">
        <v>2801</v>
      </c>
      <c r="AW104" s="32">
        <v>424.51447958127733</v>
      </c>
      <c r="AX104" s="32">
        <v>3.9354519242026188E-2</v>
      </c>
      <c r="BE104" s="76"/>
      <c r="DP104" t="s">
        <v>5769</v>
      </c>
      <c r="DQ104" t="s">
        <v>5772</v>
      </c>
      <c r="DR104" t="s">
        <v>5770</v>
      </c>
      <c r="DS104" t="s">
        <v>5771</v>
      </c>
      <c r="DT104" t="s">
        <v>5769</v>
      </c>
      <c r="DU104" t="s">
        <v>5772</v>
      </c>
      <c r="DV104" t="s">
        <v>5770</v>
      </c>
      <c r="DW104" t="s">
        <v>5771</v>
      </c>
      <c r="DZ104" s="76"/>
      <c r="ED104" s="25" t="s">
        <v>4584</v>
      </c>
      <c r="EE104">
        <v>3.2344472701278E-3</v>
      </c>
      <c r="EF104">
        <v>5.6730000000000001E-5</v>
      </c>
      <c r="EG104">
        <v>57.014758860000001</v>
      </c>
      <c r="EI104" s="32" t="s">
        <v>4579</v>
      </c>
      <c r="EJ104" s="32">
        <v>3.9871789147085251E-3</v>
      </c>
      <c r="EK104" s="32">
        <v>3.0054719024824666E-5</v>
      </c>
      <c r="EL104" s="32">
        <v>132.66398902</v>
      </c>
      <c r="EN104" s="32" t="s">
        <v>4625</v>
      </c>
      <c r="EO104" s="32">
        <v>13377.563489942266</v>
      </c>
      <c r="EP104" s="32">
        <v>45.316507032475293</v>
      </c>
      <c r="EQ104" s="32">
        <v>295.20288226000002</v>
      </c>
      <c r="EU104" t="str">
        <f>EN104</f>
        <v>Edegel S.A.A.</v>
      </c>
      <c r="EV104" s="18">
        <f>_xlfn.IFNA(INDEX($EJ$51:$EJ$251,MATCH($EU104,$EI$51:$EI$251,0),1),0)</f>
        <v>12283.094112298153</v>
      </c>
      <c r="EW104" s="18">
        <f>_xlfn.IFNA(INDEX($EK$51:$EK$251,MATCH($EU104,$EI$51:$EI$251,0),1),0)</f>
        <v>40.307561050280668</v>
      </c>
      <c r="EX104" s="18">
        <f>_xlfn.IFNA(INDEX($EO$51:$EO$246,MATCH($EU104,$EN$51:$EN$246,0),1),0)</f>
        <v>13377.563489942266</v>
      </c>
      <c r="EY104" s="18">
        <f>_xlfn.IFNA(INDEX($EP$51:$EP$246,MATCH($EU104,$EN$51:$EN$246,0),1),0)</f>
        <v>45.316507032475293</v>
      </c>
      <c r="EZ104" s="18">
        <f>_xlfn.IFNA(EX104-EV104,"")</f>
        <v>1094.4693776441127</v>
      </c>
      <c r="FA104" s="50">
        <f>EX104/EV104-1</f>
        <v>8.9103719929028324E-2</v>
      </c>
      <c r="FB104" s="50">
        <f>_xlfn.IFNA(EY104/EW104-1,"")</f>
        <v>0.12426814849815249</v>
      </c>
      <c r="FC104" s="18">
        <f>-(_xlfn.IFNA(INDEX($EL$51:$EL$251,MATCH($EU104,$EI$51:$EI$251,0),1),0)-_xlfn.IFNA(INDEX($EQ$51:$EQ$246,MATCH($EU104,$EN$51:$EN$246,0),1),0))</f>
        <v>-9.5313609499999643</v>
      </c>
      <c r="FH104">
        <v>13</v>
      </c>
      <c r="FI104" s="165" t="str">
        <f t="shared" si="12"/>
        <v>AIRR US - First Trust American Industrial Rennaisance</v>
      </c>
      <c r="FJ104" s="160"/>
      <c r="FK104" s="170">
        <f t="shared" si="13"/>
        <v>-1906.2862567581938</v>
      </c>
      <c r="FL104" s="162" cm="1">
        <f t="array" ref="FL104">INDEX($FA$51:$FA$248,MATCH(FI104,$EU$51:$EU$248,0),0)</f>
        <v>-0.39355644501264686</v>
      </c>
      <c r="FM104" s="159"/>
      <c r="FN104" s="162" cm="1">
        <f t="array" ref="FN104">INDEX($FB$51:$FB$248,MATCH(FI104,$EU$51:$EU$248,0),0)</f>
        <v>-0.18192833644495632</v>
      </c>
      <c r="FO104" s="173" cm="1">
        <f t="array" ref="FO104">INDEX($FC$51:$FC$248,MATCH(FI104,$EU$51:$EU$248,0),0)</f>
        <v>-9.3321485099999997</v>
      </c>
      <c r="FP104" s="159" t="str">
        <f>INDEX(Tabla_Consulta_desde_Reporte_de_Valorización_de_Instrumentos[Plus],MATCH(Presentacion!FI104,Tabla_Consulta_desde_Reporte_de_Valorización_de_Instrumentos[Nombre],0))</f>
        <v>ETF</v>
      </c>
    </row>
    <row r="105" spans="15:172" x14ac:dyDescent="0.25">
      <c r="AO105" s="76"/>
      <c r="AQ105" s="25" t="s">
        <v>4613</v>
      </c>
      <c r="AR105">
        <v>76.245796432799992</v>
      </c>
      <c r="AS105">
        <v>7.068349390103059E-3</v>
      </c>
      <c r="AU105" s="79"/>
      <c r="AV105" s="32" t="s">
        <v>4572</v>
      </c>
      <c r="AW105" s="32">
        <v>1.6164593277108485E-3</v>
      </c>
      <c r="AX105" s="32">
        <v>1.4985349799869339E-7</v>
      </c>
      <c r="BE105" s="76"/>
      <c r="DN105" t="s">
        <v>4833</v>
      </c>
      <c r="DO105" t="s">
        <v>4894</v>
      </c>
      <c r="DP105" s="100">
        <v>209823.78686259827</v>
      </c>
      <c r="DQ105" s="154">
        <f>DU105*DP123</f>
        <v>1043436.5126421928</v>
      </c>
      <c r="DR105" s="154">
        <f>DV105*DP121</f>
        <v>414058.97052778397</v>
      </c>
      <c r="DS105" s="154">
        <f>DP122*DW105</f>
        <v>78541.598505523521</v>
      </c>
      <c r="DT105" s="100">
        <v>19.451666915257587</v>
      </c>
      <c r="DU105" s="234">
        <v>39.567476790000001</v>
      </c>
      <c r="DV105" s="235">
        <v>145.75331588</v>
      </c>
      <c r="DW105" s="156">
        <v>202.57506538000001</v>
      </c>
      <c r="DZ105" s="76"/>
      <c r="ED105" s="25" t="s">
        <v>4579</v>
      </c>
      <c r="EE105">
        <v>4.7509489639302764E-3</v>
      </c>
      <c r="EF105">
        <v>3.6125607367074295E-5</v>
      </c>
      <c r="EG105">
        <v>131.51194706999999</v>
      </c>
      <c r="EI105" s="32" t="s">
        <v>4431</v>
      </c>
      <c r="EJ105" s="32">
        <v>28476.186333601108</v>
      </c>
      <c r="EK105" s="32">
        <v>107.55877746402685</v>
      </c>
      <c r="EL105" s="32">
        <v>264.75</v>
      </c>
      <c r="EN105" s="32" t="s">
        <v>4624</v>
      </c>
      <c r="EO105" s="32">
        <v>2544.7270854728076</v>
      </c>
      <c r="EP105" s="32">
        <v>8.62026503938921</v>
      </c>
      <c r="EQ105" s="32">
        <v>295.20288226000002</v>
      </c>
      <c r="EU105" t="str">
        <f>EN105</f>
        <v>Edelnor S.A.A.</v>
      </c>
      <c r="EV105" s="18">
        <f>_xlfn.IFNA(INDEX($EJ$51:$EJ$251,MATCH($EU105,$EI$51:$EI$251,0),1),0)</f>
        <v>2574.5982109258757</v>
      </c>
      <c r="EW105" s="18">
        <f>_xlfn.IFNA(INDEX($EK$51:$EK$251,MATCH($EU105,$EI$51:$EI$251,0),1),0)</f>
        <v>8.4486672183790503</v>
      </c>
      <c r="EX105" s="18">
        <f>_xlfn.IFNA(INDEX($EO$51:$EO$246,MATCH($EU105,$EN$51:$EN$246,0),1),0)</f>
        <v>2544.7270854728076</v>
      </c>
      <c r="EY105" s="18">
        <f>_xlfn.IFNA(INDEX($EP$51:$EP$246,MATCH($EU105,$EN$51:$EN$246,0),1),0)</f>
        <v>8.62026503938921</v>
      </c>
      <c r="EZ105" s="18">
        <f>_xlfn.IFNA(EX105-EV105,"")</f>
        <v>-29.871125453068089</v>
      </c>
      <c r="FA105" s="50">
        <f>EX105/EV105-1</f>
        <v>-1.1602247421094058E-2</v>
      </c>
      <c r="FB105" s="50">
        <f>_xlfn.IFNA(EY105/EW105-1,"")</f>
        <v>2.0310637947352106E-2</v>
      </c>
      <c r="FC105" s="18">
        <f>-(_xlfn.IFNA(INDEX($EL$51:$EL$251,MATCH($EU105,$EI$51:$EI$251,0),1),0)-_xlfn.IFNA(INDEX($EQ$51:$EQ$246,MATCH($EU105,$EN$51:$EN$246,0),1),0))</f>
        <v>-9.5313609499999643</v>
      </c>
      <c r="FH105">
        <v>14</v>
      </c>
      <c r="FI105" s="165" t="str">
        <f t="shared" si="12"/>
        <v>Rutas de Lima</v>
      </c>
      <c r="FJ105" s="160"/>
      <c r="FK105" s="170">
        <f t="shared" si="13"/>
        <v>-1856.9863614602461</v>
      </c>
      <c r="FL105" s="162" cm="1">
        <f t="array" ref="FL105">INDEX($FA$51:$FA$248,MATCH(FI105,$EU$51:$EU$248,0),0)</f>
        <v>-0.73840547280596613</v>
      </c>
      <c r="FM105" s="159"/>
      <c r="FN105" s="162" cm="1">
        <f t="array" ref="FN105">INDEX($FB$51:$FB$248,MATCH(FI105,$EU$51:$EU$248,0),0)</f>
        <v>-0.57272575766228018</v>
      </c>
      <c r="FO105" s="173" cm="1">
        <f t="array" ref="FO105">INDEX($FC$51:$FC$248,MATCH(FI105,$EU$51:$EU$248,0),0)</f>
        <v>-17.360000000000003</v>
      </c>
      <c r="FP105" s="159" t="str">
        <f>INDEX(Tabla_Consulta_desde_Reporte_de_Valorización_de_Instrumentos[Plus],MATCH(Presentacion!FI105,Tabla_Consulta_desde_Reporte_de_Valorización_de_Instrumentos[Nombre],0))</f>
        <v>Portafolio</v>
      </c>
    </row>
    <row r="106" spans="15:172" x14ac:dyDescent="0.25">
      <c r="Z106" s="24" t="s">
        <v>2</v>
      </c>
      <c r="AA106" t="s">
        <v>4713</v>
      </c>
      <c r="AO106" s="76"/>
      <c r="AQ106" s="25" t="s">
        <v>4552</v>
      </c>
      <c r="AR106">
        <v>426.16837356910094</v>
      </c>
      <c r="AS106">
        <v>3.9507843111761504E-2</v>
      </c>
      <c r="AU106" s="79"/>
      <c r="AV106" s="32" t="s">
        <v>4570</v>
      </c>
      <c r="AW106" s="32">
        <v>3.0513708646724745E-3</v>
      </c>
      <c r="AX106" s="32">
        <v>2.8287664893493826E-7</v>
      </c>
      <c r="BE106" s="76"/>
      <c r="DN106" t="s">
        <v>5668</v>
      </c>
      <c r="DO106" t="s">
        <v>4894</v>
      </c>
      <c r="DP106" s="100">
        <v>0</v>
      </c>
      <c r="DR106" s="154"/>
      <c r="DS106" s="154"/>
      <c r="DT106" s="100">
        <v>0</v>
      </c>
      <c r="DU106" s="154"/>
      <c r="DV106" s="156"/>
      <c r="DW106" s="156"/>
      <c r="DZ106" s="76"/>
      <c r="ED106" s="25" t="s">
        <v>4431</v>
      </c>
      <c r="EE106">
        <v>37516.284214185063</v>
      </c>
      <c r="EF106">
        <v>144.49903406457292</v>
      </c>
      <c r="EG106">
        <v>259.63000000000005</v>
      </c>
      <c r="EI106" s="32" t="s">
        <v>4625</v>
      </c>
      <c r="EJ106" s="32">
        <v>12283.094112298153</v>
      </c>
      <c r="EK106" s="32">
        <v>40.307561050280668</v>
      </c>
      <c r="EL106" s="32">
        <v>304.73424320999999</v>
      </c>
      <c r="EN106" s="32" t="s">
        <v>4617</v>
      </c>
      <c r="EO106" s="32">
        <v>2.351369336745174</v>
      </c>
      <c r="EP106" s="32">
        <v>0.55483447528935703</v>
      </c>
      <c r="EQ106" s="32">
        <v>4.2379654499999999</v>
      </c>
      <c r="EU106" t="str">
        <f>EN106</f>
        <v>El Comercio</v>
      </c>
      <c r="EV106" s="18">
        <f>_xlfn.IFNA(INDEX($EJ$51:$EJ$251,MATCH($EU106,$EI$51:$EI$251,0),1),0)</f>
        <v>3.2154607907048245</v>
      </c>
      <c r="EW106" s="18">
        <f>_xlfn.IFNA(INDEX($EK$51:$EK$251,MATCH($EU106,$EI$51:$EI$251,0),1),0)</f>
        <v>0.68076154548182677</v>
      </c>
      <c r="EX106" s="18">
        <f>_xlfn.IFNA(INDEX($EO$51:$EO$246,MATCH($EU106,$EN$51:$EN$246,0),1),0)</f>
        <v>2.351369336745174</v>
      </c>
      <c r="EY106" s="18">
        <f>_xlfn.IFNA(INDEX($EP$51:$EP$246,MATCH($EU106,$EN$51:$EN$246,0),1),0)</f>
        <v>0.55483447528935703</v>
      </c>
      <c r="EZ106" s="18">
        <f>_xlfn.IFNA(EX106-EV106,"")</f>
        <v>-0.86409145395965048</v>
      </c>
      <c r="FA106" s="50">
        <f>EX106/EV106-1</f>
        <v>-0.26873021013272658</v>
      </c>
      <c r="FB106" s="50">
        <f>_xlfn.IFNA(EY106/EW106-1,"")</f>
        <v>-0.18497970549047615</v>
      </c>
      <c r="FC106" s="18">
        <f>-(_xlfn.IFNA(INDEX($EL$51:$EL$251,MATCH($EU106,$EI$51:$EI$251,0),1),0)-_xlfn.IFNA(INDEX($EQ$51:$EQ$246,MATCH($EU106,$EN$51:$EN$246,0),1),0))</f>
        <v>-0.48536361000000028</v>
      </c>
      <c r="FH106">
        <v>15</v>
      </c>
      <c r="FI106" s="166" t="str">
        <f t="shared" si="12"/>
        <v>Krane - CSI China Internet Fund</v>
      </c>
      <c r="FJ106" s="161"/>
      <c r="FK106" s="171">
        <f t="shared" si="13"/>
        <v>-1039.2311657515304</v>
      </c>
      <c r="FL106" s="164" cm="1">
        <f t="array" ref="FL106">INDEX($FA$51:$FA$248,MATCH(FI106,$EU$51:$EU$248,0),0)</f>
        <v>-0.76081157010947453</v>
      </c>
      <c r="FM106" s="163"/>
      <c r="FN106" s="164" cm="1">
        <f t="array" ref="FN106">INDEX($FB$51:$FB$248,MATCH(FI106,$EU$51:$EU$248,0),0)</f>
        <v>-0.7237926843319612</v>
      </c>
      <c r="FO106" s="174" cm="1">
        <f t="array" ref="FO106">INDEX($FC$51:$FC$248,MATCH(FI106,$EU$51:$EU$248,0),0)</f>
        <v>-1.0972051399999998</v>
      </c>
      <c r="FP106" s="159" t="str">
        <f>INDEX(Tabla_Consulta_desde_Reporte_de_Valorización_de_Instrumentos[Plus],MATCH(Presentacion!FI106,Tabla_Consulta_desde_Reporte_de_Valorización_de_Instrumentos[Nombre],0))</f>
        <v>ETF</v>
      </c>
    </row>
    <row r="107" spans="15:172" x14ac:dyDescent="0.25">
      <c r="Z107" s="24" t="s">
        <v>2829</v>
      </c>
      <c r="AA107" t="s">
        <v>4713</v>
      </c>
      <c r="AO107" s="76"/>
      <c r="AQ107" s="25" t="s">
        <v>2801</v>
      </c>
      <c r="AR107">
        <v>424.51447958127733</v>
      </c>
      <c r="AS107">
        <v>3.9354519242026188E-2</v>
      </c>
      <c r="AU107" s="79"/>
      <c r="AV107" s="32" t="s">
        <v>4468</v>
      </c>
      <c r="AW107" s="32">
        <v>207.9495212275404</v>
      </c>
      <c r="AX107" s="32">
        <v>1.9277913541586311E-2</v>
      </c>
      <c r="BE107" s="76"/>
      <c r="DN107" t="s">
        <v>4833</v>
      </c>
      <c r="DO107" t="s">
        <v>1324</v>
      </c>
      <c r="DP107" s="100">
        <v>1491.1735020071608</v>
      </c>
      <c r="DR107" s="154"/>
      <c r="DS107" s="154"/>
      <c r="DT107" s="100">
        <v>0.13823890373733341</v>
      </c>
      <c r="DU107" s="154"/>
      <c r="DV107" s="156"/>
      <c r="DW107" s="156"/>
      <c r="DZ107" s="76"/>
      <c r="ED107" s="25" t="s">
        <v>4625</v>
      </c>
      <c r="EE107">
        <v>13377.563489942266</v>
      </c>
      <c r="EF107">
        <v>45.316507032475293</v>
      </c>
      <c r="EG107">
        <v>295.20288226000002</v>
      </c>
      <c r="EI107" s="32" t="s">
        <v>4624</v>
      </c>
      <c r="EJ107" s="32">
        <v>2574.5982109258757</v>
      </c>
      <c r="EK107" s="32">
        <v>8.4486672183790503</v>
      </c>
      <c r="EL107" s="32">
        <v>304.73424320999999</v>
      </c>
      <c r="EN107" s="32" t="s">
        <v>2813</v>
      </c>
      <c r="EO107" s="32">
        <v>1491.1735020071608</v>
      </c>
      <c r="EP107" s="32">
        <v>45.69946374523937</v>
      </c>
      <c r="EQ107" s="32">
        <v>32.630000000000003</v>
      </c>
      <c r="EU107" t="str">
        <f>EN107</f>
        <v>Empresas Públicas Medellin</v>
      </c>
      <c r="EV107" s="18">
        <f>_xlfn.IFNA(INDEX($EJ$51:$EJ$251,MATCH($EU107,$EI$51:$EI$251,0),1),0)</f>
        <v>2250.8994916140291</v>
      </c>
      <c r="EW107" s="18">
        <f>_xlfn.IFNA(INDEX($EK$51:$EK$251,MATCH($EU107,$EI$51:$EI$251,0),1),0)</f>
        <v>78.264933644437718</v>
      </c>
      <c r="EX107" s="18">
        <f>_xlfn.IFNA(INDEX($EO$51:$EO$246,MATCH($EU107,$EN$51:$EN$246,0),1),0)</f>
        <v>1491.1735020071608</v>
      </c>
      <c r="EY107" s="18">
        <f>_xlfn.IFNA(INDEX($EP$51:$EP$246,MATCH($EU107,$EN$51:$EN$246,0),1),0)</f>
        <v>45.69946374523937</v>
      </c>
      <c r="EZ107" s="18">
        <f>_xlfn.IFNA(EX107-EV107,"")</f>
        <v>-759.72598960686832</v>
      </c>
      <c r="FA107" s="50">
        <f>EX107/EV107-1</f>
        <v>-0.33752106321819797</v>
      </c>
      <c r="FB107" s="50">
        <f>_xlfn.IFNA(EY107/EW107-1,"")</f>
        <v>-0.41609272994653301</v>
      </c>
      <c r="FC107" s="18">
        <f>-(_xlfn.IFNA(INDEX($EL$51:$EL$251,MATCH($EU107,$EI$51:$EI$251,0),1),0)-_xlfn.IFNA(INDEX($EQ$51:$EQ$246,MATCH($EU107,$EN$51:$EN$246,0),1),0))</f>
        <v>3.870000000000001</v>
      </c>
    </row>
    <row r="108" spans="15:172" x14ac:dyDescent="0.25">
      <c r="Z108" s="24" t="s">
        <v>4826</v>
      </c>
      <c r="AA108" t="s">
        <v>4713</v>
      </c>
      <c r="AD108" s="267" t="s">
        <v>4887</v>
      </c>
      <c r="AE108" s="267"/>
      <c r="AF108" s="267"/>
      <c r="AG108" s="267"/>
      <c r="AH108" s="267"/>
      <c r="AO108" s="76"/>
      <c r="AQ108" s="25" t="s">
        <v>4572</v>
      </c>
      <c r="AR108">
        <v>1.6164593277108485E-3</v>
      </c>
      <c r="AS108">
        <v>1.4985349799869339E-7</v>
      </c>
      <c r="AU108" s="79"/>
      <c r="AV108" s="32" t="s">
        <v>4577</v>
      </c>
      <c r="AW108" s="32">
        <v>1206.061279085462</v>
      </c>
      <c r="AX108" s="32">
        <v>0.11180763930984855</v>
      </c>
      <c r="BE108" s="76"/>
      <c r="DN108" t="s">
        <v>5668</v>
      </c>
      <c r="DO108" t="s">
        <v>1324</v>
      </c>
      <c r="DP108" s="100">
        <v>52773.687128000805</v>
      </c>
      <c r="DQ108" s="154"/>
      <c r="DR108" s="154"/>
      <c r="DS108" s="154"/>
      <c r="DT108" s="100">
        <v>4.8923727821960865</v>
      </c>
      <c r="DU108" s="154"/>
      <c r="DV108" s="156"/>
      <c r="DW108" s="156"/>
      <c r="DZ108" s="76"/>
      <c r="ED108" s="25" t="s">
        <v>4624</v>
      </c>
      <c r="EE108">
        <v>2544.7270854728076</v>
      </c>
      <c r="EF108">
        <v>8.62026503938921</v>
      </c>
      <c r="EG108">
        <v>295.20288226000002</v>
      </c>
      <c r="EI108" s="32" t="s">
        <v>4617</v>
      </c>
      <c r="EJ108" s="32">
        <v>3.2154607907048245</v>
      </c>
      <c r="EK108" s="32">
        <v>0.68076154548182677</v>
      </c>
      <c r="EL108" s="32">
        <v>4.7233290600000002</v>
      </c>
      <c r="EN108" s="32" t="s">
        <v>4626</v>
      </c>
      <c r="EO108" s="32">
        <v>19352.035963409988</v>
      </c>
      <c r="EP108" s="32">
        <v>65.55503731960745</v>
      </c>
      <c r="EQ108" s="32">
        <v>295.20288226000002</v>
      </c>
      <c r="EU108" t="str">
        <f>EN108</f>
        <v>Energía del Sur S.A.</v>
      </c>
      <c r="EV108" s="18">
        <f>_xlfn.IFNA(INDEX($EJ$51:$EJ$251,MATCH($EU108,$EI$51:$EI$251,0),1),0)</f>
        <v>80135.111512630363</v>
      </c>
      <c r="EW108" s="18">
        <f>_xlfn.IFNA(INDEX($EK$51:$EK$251,MATCH($EU108,$EI$51:$EI$251,0),1),0)</f>
        <v>59.033564044812223</v>
      </c>
      <c r="EX108" s="18">
        <f>_xlfn.IFNA(INDEX($EO$51:$EO$246,MATCH($EU108,$EN$51:$EN$246,0),1),0)</f>
        <v>19352.035963409988</v>
      </c>
      <c r="EY108" s="18">
        <f>_xlfn.IFNA(INDEX($EP$51:$EP$246,MATCH($EU108,$EN$51:$EN$246,0),1),0)</f>
        <v>65.55503731960745</v>
      </c>
      <c r="EZ108" s="18">
        <f>_xlfn.IFNA(EX108-EV108,"")</f>
        <v>-60783.075549220375</v>
      </c>
      <c r="FA108" s="50">
        <f>EX108/EV108-1</f>
        <v>-0.75850740582846954</v>
      </c>
      <c r="FB108" s="50">
        <f>_xlfn.IFNA(EY108/EW108-1,"")</f>
        <v>0.11047060058655434</v>
      </c>
      <c r="FC108" s="18">
        <f>-(_xlfn.IFNA(INDEX($EL$51:$EL$251,MATCH($EU108,$EI$51:$EI$251,0),1),0)-_xlfn.IFNA(INDEX($EQ$51:$EQ$246,MATCH($EU108,$EN$51:$EN$246,0),1),0))</f>
        <v>-1062.24711774</v>
      </c>
    </row>
    <row r="109" spans="15:172" x14ac:dyDescent="0.25">
      <c r="AD109" s="33" t="s">
        <v>4888</v>
      </c>
      <c r="AO109" s="76"/>
      <c r="AQ109" s="25" t="s">
        <v>4570</v>
      </c>
      <c r="AR109">
        <v>3.0513708646724745E-3</v>
      </c>
      <c r="AS109">
        <v>2.8287664893493826E-7</v>
      </c>
      <c r="AU109" s="79"/>
      <c r="AV109" s="32" t="s">
        <v>4596</v>
      </c>
      <c r="AW109" s="32">
        <v>326.71962493110021</v>
      </c>
      <c r="AX109" s="32">
        <v>3.0288469262063883E-2</v>
      </c>
      <c r="BE109" s="76"/>
      <c r="DN109" t="s">
        <v>4833</v>
      </c>
      <c r="DO109" t="s">
        <v>4877</v>
      </c>
      <c r="DP109" s="101">
        <v>210895.52083512075</v>
      </c>
      <c r="DQ109" s="155"/>
      <c r="DR109" s="155"/>
      <c r="DS109" s="155"/>
      <c r="DT109" s="101">
        <v>19.551021771858892</v>
      </c>
      <c r="DU109" s="155"/>
      <c r="DV109" s="156"/>
      <c r="DW109" s="156"/>
      <c r="DZ109" s="76"/>
      <c r="ED109" s="25" t="s">
        <v>4617</v>
      </c>
      <c r="EE109">
        <v>2.351369336745174</v>
      </c>
      <c r="EF109">
        <v>0.55483447528935703</v>
      </c>
      <c r="EG109">
        <v>4.2379654499999999</v>
      </c>
      <c r="EI109" s="32" t="s">
        <v>2813</v>
      </c>
      <c r="EJ109" s="32">
        <v>2250.8994916140291</v>
      </c>
      <c r="EK109" s="32">
        <v>78.264933644437718</v>
      </c>
      <c r="EL109" s="32">
        <v>28.76</v>
      </c>
      <c r="EN109" s="32" t="s">
        <v>4402</v>
      </c>
      <c r="EO109" s="32">
        <v>306.74493377440001</v>
      </c>
      <c r="EP109" s="32">
        <v>9.7899999999999991</v>
      </c>
      <c r="EQ109" s="32">
        <v>31.33247536</v>
      </c>
      <c r="EU109" t="str">
        <f>EN109</f>
        <v>Enfoca - Descubridor 1</v>
      </c>
      <c r="EV109" s="18">
        <f>_xlfn.IFNA(INDEX($EJ$51:$EJ$251,MATCH($EU109,$EI$51:$EI$251,0),1),0)</f>
        <v>361.36175478619998</v>
      </c>
      <c r="EW109" s="18">
        <f>_xlfn.IFNA(INDEX($EK$51:$EK$251,MATCH($EU109,$EI$51:$EI$251,0),1),0)</f>
        <v>12.459999999999999</v>
      </c>
      <c r="EX109" s="18">
        <f>_xlfn.IFNA(INDEX($EO$51:$EO$246,MATCH($EU109,$EN$51:$EN$246,0),1),0)</f>
        <v>306.74493377440001</v>
      </c>
      <c r="EY109" s="18">
        <f>_xlfn.IFNA(INDEX($EP$51:$EP$246,MATCH($EU109,$EN$51:$EN$246,0),1),0)</f>
        <v>9.7899999999999991</v>
      </c>
      <c r="EZ109" s="18">
        <f>_xlfn.IFNA(EX109-EV109,"")</f>
        <v>-54.616821011799971</v>
      </c>
      <c r="FA109" s="50">
        <f>EX109/EV109-1</f>
        <v>-0.15114167531125167</v>
      </c>
      <c r="FB109" s="50">
        <f>_xlfn.IFNA(EY109/EW109-1,"")</f>
        <v>-0.2142857142857143</v>
      </c>
      <c r="FC109" s="18">
        <f>-(_xlfn.IFNA(INDEX($EL$51:$EL$251,MATCH($EU109,$EI$51:$EI$251,0),1),0)-_xlfn.IFNA(INDEX($EQ$51:$EQ$246,MATCH($EU109,$EN$51:$EN$246,0),1),0))</f>
        <v>2.3307293899999983</v>
      </c>
    </row>
    <row r="110" spans="15:172" x14ac:dyDescent="0.25">
      <c r="Z110" s="24" t="s">
        <v>2821</v>
      </c>
      <c r="AA110" t="s">
        <v>4874</v>
      </c>
      <c r="AB110" t="s">
        <v>4875</v>
      </c>
      <c r="AF110" s="78" t="s">
        <v>4355</v>
      </c>
      <c r="AG110" s="37" t="s">
        <v>4357</v>
      </c>
      <c r="AH110" s="37" t="s">
        <v>4356</v>
      </c>
      <c r="AI110" s="37" t="s">
        <v>4353</v>
      </c>
      <c r="AO110" s="76"/>
      <c r="AQ110" s="25" t="s">
        <v>4468</v>
      </c>
      <c r="AR110">
        <v>207.9495212275404</v>
      </c>
      <c r="AS110">
        <v>1.9277913541586311E-2</v>
      </c>
      <c r="AU110" s="79"/>
      <c r="AV110" s="32" t="s">
        <v>4411</v>
      </c>
      <c r="AW110" s="32">
        <v>0.12447591783404577</v>
      </c>
      <c r="AX110" s="32">
        <v>1.1539511934671064E-5</v>
      </c>
      <c r="BE110" s="76"/>
      <c r="DN110" t="s">
        <v>5668</v>
      </c>
      <c r="DO110" t="s">
        <v>4877</v>
      </c>
      <c r="DP110" s="100">
        <v>29461.007777239181</v>
      </c>
      <c r="DQ110" s="154"/>
      <c r="DR110" s="154"/>
      <c r="DS110" s="154"/>
      <c r="DT110" s="100">
        <v>2.7311760922794637</v>
      </c>
      <c r="DU110" s="154"/>
      <c r="DV110" s="156"/>
      <c r="DW110" s="156"/>
      <c r="DZ110" s="76"/>
      <c r="ED110" s="25" t="s">
        <v>2813</v>
      </c>
      <c r="EE110">
        <v>1491.1735020071608</v>
      </c>
      <c r="EF110">
        <v>45.69946374523937</v>
      </c>
      <c r="EG110">
        <v>32.630000000000003</v>
      </c>
      <c r="EI110" s="32" t="s">
        <v>4626</v>
      </c>
      <c r="EJ110" s="32">
        <v>80135.111512630363</v>
      </c>
      <c r="EK110" s="32">
        <v>59.033564044812223</v>
      </c>
      <c r="EL110" s="32">
        <v>1357.45</v>
      </c>
      <c r="EN110" s="32" t="s">
        <v>4403</v>
      </c>
      <c r="EO110" s="32">
        <v>306.74493377440001</v>
      </c>
      <c r="EP110" s="32">
        <v>9.7899999999999991</v>
      </c>
      <c r="EQ110" s="32">
        <v>31.33247536</v>
      </c>
      <c r="EU110" t="str">
        <f>EN110</f>
        <v>Enfoca - Descubridor 2</v>
      </c>
      <c r="EV110" s="18">
        <f>_xlfn.IFNA(INDEX($EJ$51:$EJ$251,MATCH($EU110,$EI$51:$EI$251,0),1),0)</f>
        <v>361.36175478619998</v>
      </c>
      <c r="EW110" s="18">
        <f>_xlfn.IFNA(INDEX($EK$51:$EK$251,MATCH($EU110,$EI$51:$EI$251,0),1),0)</f>
        <v>12.459999999999999</v>
      </c>
      <c r="EX110" s="18">
        <f>_xlfn.IFNA(INDEX($EO$51:$EO$246,MATCH($EU110,$EN$51:$EN$246,0),1),0)</f>
        <v>306.74493377440001</v>
      </c>
      <c r="EY110" s="18">
        <f>_xlfn.IFNA(INDEX($EP$51:$EP$246,MATCH($EU110,$EN$51:$EN$246,0),1),0)</f>
        <v>9.7899999999999991</v>
      </c>
      <c r="EZ110" s="18">
        <f>_xlfn.IFNA(EX110-EV110,"")</f>
        <v>-54.616821011799971</v>
      </c>
      <c r="FA110" s="50">
        <f>EX110/EV110-1</f>
        <v>-0.15114167531125167</v>
      </c>
      <c r="FB110" s="50">
        <f>_xlfn.IFNA(EY110/EW110-1,"")</f>
        <v>-0.2142857142857143</v>
      </c>
      <c r="FC110" s="18">
        <f>-(_xlfn.IFNA(INDEX($EL$51:$EL$251,MATCH($EU110,$EI$51:$EI$251,0),1),0)-_xlfn.IFNA(INDEX($EQ$51:$EQ$246,MATCH($EU110,$EN$51:$EN$246,0),1),0))</f>
        <v>2.3307293899999983</v>
      </c>
    </row>
    <row r="111" spans="15:172" x14ac:dyDescent="0.25">
      <c r="Z111" s="25" t="s">
        <v>4872</v>
      </c>
      <c r="AD111" s="77">
        <v>45261</v>
      </c>
      <c r="AE111" s="37" t="s">
        <v>2829</v>
      </c>
      <c r="AF111" s="45">
        <v>217094.3687989171</v>
      </c>
      <c r="AG111" s="45">
        <v>764874.33308553603</v>
      </c>
      <c r="AH111" s="107">
        <v>532437.18394314882</v>
      </c>
      <c r="AI111" s="107"/>
      <c r="AJ111" s="50">
        <f>AF113/AF111-1</f>
        <v>-0.13846828237359188</v>
      </c>
      <c r="AK111" s="50">
        <f t="shared" ref="AK111:AL111" si="16">AG113/AG111-1</f>
        <v>-1.1044894059547561E-2</v>
      </c>
      <c r="AL111" s="50">
        <f t="shared" si="16"/>
        <v>1.0133195728366129E-2</v>
      </c>
      <c r="AO111" s="76"/>
      <c r="AQ111" s="25" t="s">
        <v>4577</v>
      </c>
      <c r="AR111">
        <v>1206.061279085462</v>
      </c>
      <c r="AS111">
        <v>0.11180763930984855</v>
      </c>
      <c r="AU111" s="79"/>
      <c r="AV111" s="32" t="s">
        <v>4418</v>
      </c>
      <c r="AW111" s="32">
        <v>0.15189112064219351</v>
      </c>
      <c r="AX111" s="32">
        <v>1.4081032137943028E-5</v>
      </c>
      <c r="BE111" s="76"/>
      <c r="DN111" t="s">
        <v>4833</v>
      </c>
      <c r="DO111" t="s">
        <v>4982</v>
      </c>
      <c r="DP111" s="101">
        <v>52914.747508588865</v>
      </c>
      <c r="DQ111" s="155"/>
      <c r="DR111" s="155"/>
      <c r="DS111" s="155"/>
      <c r="DT111" s="101">
        <v>4.9054497530160592</v>
      </c>
      <c r="DU111" s="155"/>
      <c r="DV111" s="156"/>
      <c r="DW111" s="156"/>
      <c r="DZ111" s="76"/>
      <c r="ED111" s="25" t="s">
        <v>4626</v>
      </c>
      <c r="EE111">
        <v>19352.035963409988</v>
      </c>
      <c r="EF111">
        <v>65.55503731960745</v>
      </c>
      <c r="EG111">
        <v>295.20288226000002</v>
      </c>
      <c r="EI111" s="32" t="s">
        <v>4402</v>
      </c>
      <c r="EJ111" s="32">
        <v>361.36175478619998</v>
      </c>
      <c r="EK111" s="32">
        <v>12.459999999999999</v>
      </c>
      <c r="EL111" s="32">
        <v>29.001745970000002</v>
      </c>
      <c r="EN111" s="32" t="s">
        <v>4401</v>
      </c>
      <c r="EO111" s="32">
        <v>1.2125667964320002</v>
      </c>
      <c r="EP111" s="32">
        <v>3.8700000000000005E-2</v>
      </c>
      <c r="EQ111" s="32">
        <v>31.33247536</v>
      </c>
      <c r="EU111" t="str">
        <f>EN111</f>
        <v xml:space="preserve">Faro Capital - Fondo de Inversión Retail </v>
      </c>
      <c r="EV111" s="18">
        <f>_xlfn.IFNA(INDEX($EJ$51:$EJ$251,MATCH($EU111,$EI$51:$EI$251,0),1),0)</f>
        <v>20.811652908072006</v>
      </c>
      <c r="EW111" s="18">
        <f>_xlfn.IFNA(INDEX($EK$51:$EK$251,MATCH($EU111,$EI$51:$EI$251,0),1),0)</f>
        <v>0.71760000000000002</v>
      </c>
      <c r="EX111" s="18">
        <f>_xlfn.IFNA(INDEX($EO$51:$EO$246,MATCH($EU111,$EN$51:$EN$246,0),1),0)</f>
        <v>1.2125667964320002</v>
      </c>
      <c r="EY111" s="18">
        <f>_xlfn.IFNA(INDEX($EP$51:$EP$246,MATCH($EU111,$EN$51:$EN$246,0),1),0)</f>
        <v>3.8700000000000005E-2</v>
      </c>
      <c r="EZ111" s="18">
        <f>_xlfn.IFNA(EX111-EV111,"")</f>
        <v>-19.599086111640005</v>
      </c>
      <c r="FA111" s="50">
        <f>EX111/EV111-1</f>
        <v>-0.94173616090043022</v>
      </c>
      <c r="FB111" s="50">
        <f>_xlfn.IFNA(EY111/EW111-1,"")</f>
        <v>-0.94607023411371238</v>
      </c>
      <c r="FC111" s="18">
        <f>-(_xlfn.IFNA(INDEX($EL$51:$EL$251,MATCH($EU111,$EI$51:$EI$251,0),1),0)-_xlfn.IFNA(INDEX($EQ$51:$EQ$246,MATCH($EU111,$EN$51:$EN$246,0),1),0))</f>
        <v>2.3307293899999983</v>
      </c>
    </row>
    <row r="112" spans="15:172" x14ac:dyDescent="0.25">
      <c r="AD112" s="77">
        <v>45261</v>
      </c>
      <c r="AE112" s="37" t="s">
        <v>2830</v>
      </c>
      <c r="AF112" s="45">
        <v>26.240045387278929</v>
      </c>
      <c r="AG112" s="45">
        <v>92.44982873931319</v>
      </c>
      <c r="AH112" s="107">
        <v>64.355312161431357</v>
      </c>
      <c r="AI112" s="107"/>
      <c r="AJ112" s="50">
        <f>AF114/AF112-1</f>
        <v>-0.15919907447111925</v>
      </c>
      <c r="AK112" s="50">
        <f t="shared" ref="AK112:AL112" si="17">AG114/AG112-1</f>
        <v>-3.4841838821516702E-2</v>
      </c>
      <c r="AL112" s="50">
        <f t="shared" si="17"/>
        <v>-1.4173351370270648E-2</v>
      </c>
      <c r="AO112" s="76"/>
      <c r="AQ112" s="25" t="s">
        <v>4596</v>
      </c>
      <c r="AR112">
        <v>326.71962493110021</v>
      </c>
      <c r="AS112">
        <v>3.0288469262063883E-2</v>
      </c>
      <c r="AU112" s="79"/>
      <c r="AV112" s="32" t="s">
        <v>4526</v>
      </c>
      <c r="AW112" s="32">
        <v>2597.8491888880753</v>
      </c>
      <c r="AX112" s="32">
        <v>0.24083302410042676</v>
      </c>
      <c r="BE112" s="76"/>
      <c r="DN112" t="s">
        <v>5668</v>
      </c>
      <c r="DO112" t="s">
        <v>5665</v>
      </c>
      <c r="DP112" s="101">
        <v>21732.372756596465</v>
      </c>
      <c r="DQ112" s="155"/>
      <c r="DR112" s="155"/>
      <c r="DS112" s="155"/>
      <c r="DT112" s="101">
        <v>2.014694722940805</v>
      </c>
      <c r="DU112" s="155"/>
      <c r="DV112" s="156"/>
      <c r="DW112" s="156"/>
      <c r="DZ112" s="76"/>
      <c r="ED112" s="25" t="s">
        <v>4402</v>
      </c>
      <c r="EE112">
        <v>306.74493377440001</v>
      </c>
      <c r="EF112">
        <v>9.7899999999999991</v>
      </c>
      <c r="EG112">
        <v>31.33247536</v>
      </c>
      <c r="EI112" s="32" t="s">
        <v>4403</v>
      </c>
      <c r="EJ112" s="32">
        <v>361.36175478619998</v>
      </c>
      <c r="EK112" s="32">
        <v>12.459999999999999</v>
      </c>
      <c r="EL112" s="32">
        <v>29.001745970000002</v>
      </c>
      <c r="EN112" s="32" t="s">
        <v>2814</v>
      </c>
      <c r="EO112" s="32">
        <v>1269.1521418764589</v>
      </c>
      <c r="EP112" s="32">
        <v>159.64177885238476</v>
      </c>
      <c r="EQ112" s="32">
        <v>7.95</v>
      </c>
      <c r="EU112" t="str">
        <f>EN112</f>
        <v>Ferreyros S.A.A.</v>
      </c>
      <c r="EV112" s="18">
        <f>_xlfn.IFNA(INDEX($EJ$51:$EJ$251,MATCH($EU112,$EI$51:$EI$251,0),1),0)</f>
        <v>3930.0688320663789</v>
      </c>
      <c r="EW112" s="18">
        <f>_xlfn.IFNA(INDEX($EK$51:$EK$251,MATCH($EU112,$EI$51:$EI$251,0),1),0)</f>
        <v>120.28384580821196</v>
      </c>
      <c r="EX112" s="18">
        <f>_xlfn.IFNA(INDEX($EO$51:$EO$246,MATCH($EU112,$EN$51:$EN$246,0),1),0)</f>
        <v>1269.1521418764589</v>
      </c>
      <c r="EY112" s="18">
        <f>_xlfn.IFNA(INDEX($EP$51:$EP$246,MATCH($EU112,$EN$51:$EN$246,0),1),0)</f>
        <v>159.64177885238476</v>
      </c>
      <c r="EZ112" s="18">
        <f>_xlfn.IFNA(EX112-EV112,"")</f>
        <v>-2660.9166901899198</v>
      </c>
      <c r="FA112" s="50">
        <f>EX112/EV112-1</f>
        <v>-0.67706617972663974</v>
      </c>
      <c r="FB112" s="50">
        <f>_xlfn.IFNA(EY112/EW112-1,"")</f>
        <v>0.32720880164513133</v>
      </c>
      <c r="FC112" s="18">
        <f>-(_xlfn.IFNA(INDEX($EL$51:$EL$251,MATCH($EU112,$EI$51:$EI$251,0),1),0)-_xlfn.IFNA(INDEX($EQ$51:$EQ$246,MATCH($EU112,$EN$51:$EN$246,0),1),0))</f>
        <v>-24.723288800000002</v>
      </c>
    </row>
    <row r="113" spans="30:159" x14ac:dyDescent="0.25">
      <c r="AD113" s="98">
        <v>45352</v>
      </c>
      <c r="AE113" s="37" t="s">
        <v>2829</v>
      </c>
      <c r="AF113" s="45">
        <v>187033.68443835195</v>
      </c>
      <c r="AG113" s="45">
        <v>756426.37710773922</v>
      </c>
      <c r="AH113" s="107">
        <v>537832.47414110485</v>
      </c>
      <c r="AI113" s="107"/>
      <c r="AO113" s="76"/>
      <c r="AQ113" s="25" t="s">
        <v>4411</v>
      </c>
      <c r="AR113">
        <v>0.12447591783404577</v>
      </c>
      <c r="AS113">
        <v>1.1539511934671064E-5</v>
      </c>
      <c r="AU113" s="79"/>
      <c r="AV113" s="32" t="s">
        <v>4524</v>
      </c>
      <c r="AW113" s="32">
        <v>899.50508124203384</v>
      </c>
      <c r="AX113" s="32">
        <v>8.3388416015765993E-2</v>
      </c>
      <c r="BE113" s="76"/>
      <c r="DN113" t="s">
        <v>4833</v>
      </c>
      <c r="DO113" t="s">
        <v>5664</v>
      </c>
      <c r="DP113" s="101"/>
      <c r="DQ113" s="155"/>
      <c r="DR113" s="155"/>
      <c r="DS113" s="155"/>
      <c r="DT113" s="101"/>
      <c r="DU113" s="155"/>
      <c r="DV113" s="156"/>
      <c r="DW113" s="156"/>
      <c r="DZ113" s="76"/>
      <c r="ED113" s="25" t="s">
        <v>4403</v>
      </c>
      <c r="EE113">
        <v>306.74493377440001</v>
      </c>
      <c r="EF113">
        <v>9.7899999999999991</v>
      </c>
      <c r="EG113">
        <v>31.33247536</v>
      </c>
      <c r="EI113" s="32" t="s">
        <v>2806</v>
      </c>
      <c r="EJ113" s="32">
        <v>12.580790065875457</v>
      </c>
      <c r="EK113" s="32">
        <v>1.0534029300022265</v>
      </c>
      <c r="EL113" s="32">
        <v>11.94299893</v>
      </c>
      <c r="EN113" s="32" t="s">
        <v>4569</v>
      </c>
      <c r="EO113" s="32">
        <v>1.071630436335689E-3</v>
      </c>
      <c r="EP113" s="32">
        <v>5.7973183581778694E-5</v>
      </c>
      <c r="EQ113" s="32">
        <v>18.484933380000001</v>
      </c>
      <c r="EU113" t="str">
        <f>EN113</f>
        <v>Fidelity - European Dynamic Growth</v>
      </c>
      <c r="EV113" s="18">
        <f>_xlfn.IFNA(INDEX($EJ$51:$EJ$251,MATCH($EU113,$EI$51:$EI$251,0),1),0)</f>
        <v>1.2107466626973492E-3</v>
      </c>
      <c r="EW113" s="18">
        <f>_xlfn.IFNA(INDEX($EK$51:$EK$251,MATCH($EU113,$EI$51:$EI$251,0),1),0)</f>
        <v>5.9291461371479465E-5</v>
      </c>
      <c r="EX113" s="18">
        <f>_xlfn.IFNA(INDEX($EO$51:$EO$246,MATCH($EU113,$EN$51:$EN$246,0),1),0)</f>
        <v>1.071630436335689E-3</v>
      </c>
      <c r="EY113" s="18">
        <f>_xlfn.IFNA(INDEX($EP$51:$EP$246,MATCH($EU113,$EN$51:$EN$246,0),1),0)</f>
        <v>5.7973183581778694E-5</v>
      </c>
      <c r="EZ113" s="18">
        <f>_xlfn.IFNA(EX113-EV113,"")</f>
        <v>-1.3911622636166021E-4</v>
      </c>
      <c r="FA113" s="50">
        <f>EX113/EV113-1</f>
        <v>-0.11490118506850278</v>
      </c>
      <c r="FB113" s="50">
        <f>_xlfn.IFNA(EY113/EW113-1,"")</f>
        <v>-2.2233855587423412E-2</v>
      </c>
      <c r="FC113" s="18">
        <f>-(_xlfn.IFNA(INDEX($EL$51:$EL$251,MATCH($EU113,$EI$51:$EI$251,0),1),0)-_xlfn.IFNA(INDEX($EQ$51:$EQ$246,MATCH($EU113,$EN$51:$EN$246,0),1),0))</f>
        <v>-1.9353199699999983</v>
      </c>
    </row>
    <row r="114" spans="30:159" x14ac:dyDescent="0.25">
      <c r="AD114" s="98">
        <v>45352</v>
      </c>
      <c r="AE114" s="37" t="s">
        <v>2830</v>
      </c>
      <c r="AF114" s="45">
        <v>22.062654447543963</v>
      </c>
      <c r="AG114" s="45">
        <v>89.228706707301214</v>
      </c>
      <c r="AH114" s="107">
        <v>63.443181709623936</v>
      </c>
      <c r="AI114" s="107"/>
      <c r="AO114" s="76"/>
      <c r="AQ114" s="25" t="s">
        <v>4418</v>
      </c>
      <c r="AR114">
        <v>0.15189112064219351</v>
      </c>
      <c r="AS114">
        <v>1.4081032137943028E-5</v>
      </c>
      <c r="AU114" s="79"/>
      <c r="AV114" s="32" t="s">
        <v>4573</v>
      </c>
      <c r="AW114" s="32">
        <v>2.2485902486566144E-3</v>
      </c>
      <c r="AX114" s="32">
        <v>2.0845505268860097E-7</v>
      </c>
      <c r="BE114" s="76"/>
      <c r="DN114" t="s">
        <v>5668</v>
      </c>
      <c r="DO114" t="s">
        <v>5666</v>
      </c>
      <c r="DP114" s="136">
        <v>0</v>
      </c>
      <c r="DQ114" s="136"/>
      <c r="DR114" s="136"/>
      <c r="DS114" s="136"/>
      <c r="DT114" s="136">
        <v>0</v>
      </c>
      <c r="DU114" s="136"/>
      <c r="DZ114" s="76"/>
      <c r="ED114" s="25" t="s">
        <v>4401</v>
      </c>
      <c r="EE114">
        <v>1.2125667964320002</v>
      </c>
      <c r="EF114">
        <v>3.8700000000000005E-2</v>
      </c>
      <c r="EG114">
        <v>31.33247536</v>
      </c>
      <c r="EI114" s="32" t="s">
        <v>4401</v>
      </c>
      <c r="EJ114" s="32">
        <v>20.811652908072006</v>
      </c>
      <c r="EK114" s="32">
        <v>0.71760000000000002</v>
      </c>
      <c r="EL114" s="32">
        <v>29.001745970000002</v>
      </c>
      <c r="EN114" s="32" t="s">
        <v>4498</v>
      </c>
      <c r="EO114" s="32">
        <v>2.2193432241678197</v>
      </c>
      <c r="EP114" s="32">
        <v>7.1591716908639356</v>
      </c>
      <c r="EQ114" s="32">
        <v>0.31</v>
      </c>
      <c r="EU114" t="str">
        <f>EN114</f>
        <v>Fondo Mi Vivienda</v>
      </c>
      <c r="EV114" s="18">
        <f>_xlfn.IFNA(INDEX($EJ$51:$EJ$251,MATCH($EU114,$EI$51:$EI$251,0),1),0)</f>
        <v>3.5395971506614998</v>
      </c>
      <c r="EW114" s="18">
        <f>_xlfn.IFNA(INDEX($EK$51:$EK$251,MATCH($EU114,$EI$51:$EI$251,0),1),0)</f>
        <v>11.418055324714516</v>
      </c>
      <c r="EX114" s="18">
        <f>_xlfn.IFNA(INDEX($EO$51:$EO$246,MATCH($EU114,$EN$51:$EN$246,0),1),0)</f>
        <v>2.2193432241678197</v>
      </c>
      <c r="EY114" s="18">
        <f>_xlfn.IFNA(INDEX($EP$51:$EP$246,MATCH($EU114,$EN$51:$EN$246,0),1),0)</f>
        <v>7.1591716908639356</v>
      </c>
      <c r="EZ114" s="18">
        <f>_xlfn.IFNA(EX114-EV114,"")</f>
        <v>-1.3202539264936801</v>
      </c>
      <c r="FA114" s="50">
        <f>EX114/EV114-1</f>
        <v>-0.37299553319138135</v>
      </c>
      <c r="FB114" s="50">
        <f>_xlfn.IFNA(EY114/EW114-1,"")</f>
        <v>-0.37299553319138123</v>
      </c>
      <c r="FC114" s="18">
        <f>-(_xlfn.IFNA(INDEX($EL$51:$EL$251,MATCH($EU114,$EI$51:$EI$251,0),1),0)-_xlfn.IFNA(INDEX($EQ$51:$EQ$246,MATCH($EU114,$EN$51:$EN$246,0),1),0))</f>
        <v>0</v>
      </c>
    </row>
    <row r="115" spans="30:159" x14ac:dyDescent="0.25">
      <c r="AD115" s="98">
        <v>45383</v>
      </c>
      <c r="AE115" s="37" t="s">
        <v>2829</v>
      </c>
      <c r="AF115" s="45">
        <v>290249.27295145445</v>
      </c>
      <c r="AG115" s="45">
        <v>679973.74102607998</v>
      </c>
      <c r="AH115" s="107">
        <v>460503.10704420198</v>
      </c>
      <c r="AI115" s="107"/>
      <c r="AO115" s="76"/>
      <c r="AQ115" s="25" t="s">
        <v>4526</v>
      </c>
      <c r="AR115">
        <v>2597.8491888880753</v>
      </c>
      <c r="AS115">
        <v>0.24083302410042676</v>
      </c>
      <c r="AU115" s="79"/>
      <c r="AV115" s="32" t="s">
        <v>4915</v>
      </c>
      <c r="AW115" s="32">
        <v>35694.186500513744</v>
      </c>
      <c r="AX115" s="32">
        <v>3.3090215223011987</v>
      </c>
      <c r="BE115" s="76"/>
      <c r="DN115" t="s">
        <v>4833</v>
      </c>
      <c r="DO115" t="s">
        <v>4983</v>
      </c>
      <c r="DP115" s="101">
        <v>115243.69567572138</v>
      </c>
      <c r="DQ115" s="155"/>
      <c r="DR115" s="155"/>
      <c r="DS115" s="155"/>
      <c r="DT115" s="101">
        <v>10.683640858295023</v>
      </c>
      <c r="DU115" s="155"/>
      <c r="DV115" s="156"/>
      <c r="DW115" s="156"/>
      <c r="DZ115" s="76"/>
      <c r="ED115" s="25" t="s">
        <v>2814</v>
      </c>
      <c r="EE115">
        <v>1269.1521418764589</v>
      </c>
      <c r="EF115">
        <v>159.64177885238476</v>
      </c>
      <c r="EG115">
        <v>7.95</v>
      </c>
      <c r="EI115" s="32" t="s">
        <v>2814</v>
      </c>
      <c r="EJ115" s="32">
        <v>3930.0688320663789</v>
      </c>
      <c r="EK115" s="32">
        <v>120.28384580821196</v>
      </c>
      <c r="EL115" s="32">
        <v>32.673288800000002</v>
      </c>
      <c r="EN115" s="32" t="s">
        <v>4623</v>
      </c>
      <c r="EO115" s="32">
        <v>1.0394062571943796</v>
      </c>
      <c r="EP115" s="32">
        <v>3.8915833655568449E-3</v>
      </c>
      <c r="EQ115" s="32">
        <v>267.09083670000001</v>
      </c>
      <c r="EU115" t="str">
        <f>EN115</f>
        <v>Fossal SA</v>
      </c>
      <c r="EV115" s="18">
        <f>_xlfn.IFNA(INDEX($EJ$51:$EJ$251,MATCH($EU115,$EI$51:$EI$251,0),1),0)</f>
        <v>1.0144116305547839</v>
      </c>
      <c r="EW115" s="18">
        <f>_xlfn.IFNA(INDEX($EK$51:$EK$251,MATCH($EU115,$EI$51:$EI$251,0),1),0)</f>
        <v>3.6453709995825454E-3</v>
      </c>
      <c r="EX115" s="18">
        <f>_xlfn.IFNA(INDEX($EO$51:$EO$246,MATCH($EU115,$EN$51:$EN$246,0),1),0)</f>
        <v>1.0394062571943796</v>
      </c>
      <c r="EY115" s="18">
        <f>_xlfn.IFNA(INDEX($EP$51:$EP$246,MATCH($EU115,$EN$51:$EN$246,0),1),0)</f>
        <v>3.8915833655568449E-3</v>
      </c>
      <c r="EZ115" s="18">
        <f>_xlfn.IFNA(EX115-EV115,"")</f>
        <v>2.499462663959573E-2</v>
      </c>
      <c r="FA115" s="50">
        <f>EX115/EV115-1</f>
        <v>2.4639530824312583E-2</v>
      </c>
      <c r="FB115" s="50">
        <f>_xlfn.IFNA(EY115/EW115-1,"")</f>
        <v>6.7541099658305015E-2</v>
      </c>
      <c r="FC115" s="18">
        <f>-(_xlfn.IFNA(INDEX($EL$51:$EL$251,MATCH($EU115,$EI$51:$EI$251,0),1),0)-_xlfn.IFNA(INDEX($EQ$51:$EQ$246,MATCH($EU115,$EN$51:$EN$246,0),1),0))</f>
        <v>-11.183070310000005</v>
      </c>
    </row>
    <row r="116" spans="30:159" x14ac:dyDescent="0.25">
      <c r="AD116" s="98">
        <v>45383</v>
      </c>
      <c r="AE116" s="37" t="s">
        <v>2830</v>
      </c>
      <c r="AF116" s="45">
        <v>35.187915411177329</v>
      </c>
      <c r="AG116" s="45">
        <v>82.435550097137892</v>
      </c>
      <c r="AH116" s="107">
        <v>55.828371979990898</v>
      </c>
      <c r="AI116" s="107"/>
      <c r="AO116" s="76"/>
      <c r="AQ116" s="25" t="s">
        <v>4524</v>
      </c>
      <c r="AR116">
        <v>899.50508124203384</v>
      </c>
      <c r="AS116">
        <v>8.3388416015765993E-2</v>
      </c>
      <c r="AU116" s="79"/>
      <c r="AV116" s="32" t="s">
        <v>4517</v>
      </c>
      <c r="AW116" s="32">
        <v>6456.9160674661534</v>
      </c>
      <c r="AX116" s="32">
        <v>0.59858695013627505</v>
      </c>
      <c r="BE116" s="76"/>
      <c r="DN116" t="s">
        <v>5668</v>
      </c>
      <c r="DO116" t="s">
        <v>5667</v>
      </c>
      <c r="DP116" s="136">
        <v>0.17303609892660451</v>
      </c>
      <c r="DQ116" s="136"/>
      <c r="DR116" s="136"/>
      <c r="DS116" s="136"/>
      <c r="DT116" s="136">
        <v>1.6041272588602983E-5</v>
      </c>
      <c r="DU116" s="136"/>
      <c r="DZ116" s="76"/>
      <c r="ED116" s="25" t="s">
        <v>4569</v>
      </c>
      <c r="EE116">
        <v>1.071630436335689E-3</v>
      </c>
      <c r="EF116">
        <v>5.7973183581778694E-5</v>
      </c>
      <c r="EG116">
        <v>18.484933380000001</v>
      </c>
      <c r="EI116" s="32" t="s">
        <v>4569</v>
      </c>
      <c r="EJ116" s="32">
        <v>1.2107466626973492E-3</v>
      </c>
      <c r="EK116" s="32">
        <v>5.9291461371479465E-5</v>
      </c>
      <c r="EL116" s="32">
        <v>20.420253349999999</v>
      </c>
      <c r="EN116" s="32" t="s">
        <v>4361</v>
      </c>
      <c r="EO116" s="32">
        <v>15277.985698554849</v>
      </c>
      <c r="EP116" s="32">
        <v>102.51618100465856</v>
      </c>
      <c r="EQ116" s="32">
        <v>149.02999262</v>
      </c>
      <c r="EU116" t="str">
        <f>EN116</f>
        <v>Global Infrastructure GP IV, L.P.</v>
      </c>
      <c r="EV116" s="18">
        <f>_xlfn.IFNA(INDEX($EJ$51:$EJ$251,MATCH($EU116,$EI$51:$EI$251,0),1),0)</f>
        <v>15734.549432936095</v>
      </c>
      <c r="EW116" s="18">
        <f>_xlfn.IFNA(INDEX($EK$51:$EK$251,MATCH($EU116,$EI$51:$EI$251,0),1),0)</f>
        <v>104.25622999999997</v>
      </c>
      <c r="EX116" s="18">
        <f>_xlfn.IFNA(INDEX($EO$51:$EO$246,MATCH($EU116,$EN$51:$EN$246,0),1),0)</f>
        <v>15277.985698554849</v>
      </c>
      <c r="EY116" s="18">
        <f>_xlfn.IFNA(INDEX($EP$51:$EP$246,MATCH($EU116,$EN$51:$EN$246,0),1),0)</f>
        <v>102.51618100465856</v>
      </c>
      <c r="EZ116" s="18">
        <f>_xlfn.IFNA(EX116-EV116,"")</f>
        <v>-456.56373438124683</v>
      </c>
      <c r="FA116" s="50">
        <f>EX116/EV116-1</f>
        <v>-2.9016638596943367E-2</v>
      </c>
      <c r="FB116" s="50">
        <f>_xlfn.IFNA(EY116/EW116-1,"")</f>
        <v>-1.6690120056532032E-2</v>
      </c>
      <c r="FC116" s="18">
        <f>-(_xlfn.IFNA(INDEX($EL$51:$EL$251,MATCH($EU116,$EI$51:$EI$251,0),1),0)-_xlfn.IFNA(INDEX($EQ$51:$EQ$246,MATCH($EU116,$EN$51:$EN$246,0),1),0))</f>
        <v>-1.8919180700000027</v>
      </c>
    </row>
    <row r="117" spans="30:159" x14ac:dyDescent="0.25">
      <c r="AD117" s="98">
        <v>45444</v>
      </c>
      <c r="AE117" s="37" t="s">
        <v>2829</v>
      </c>
      <c r="AF117" s="45">
        <v>202726.47212644372</v>
      </c>
      <c r="AG117" s="45">
        <v>612810.91126591444</v>
      </c>
      <c r="AH117" s="107">
        <v>499012.43044008111</v>
      </c>
      <c r="AI117" s="107"/>
      <c r="AO117" s="76"/>
      <c r="AQ117" s="25" t="s">
        <v>4573</v>
      </c>
      <c r="AR117">
        <v>2.2485902486566144E-3</v>
      </c>
      <c r="AS117">
        <v>2.0845505268860097E-7</v>
      </c>
      <c r="AU117" s="79"/>
      <c r="AV117" s="32" t="s">
        <v>4428</v>
      </c>
      <c r="AW117" s="32">
        <v>11923.363984565698</v>
      </c>
      <c r="AX117" s="32">
        <v>1.1053527734156656</v>
      </c>
      <c r="BE117" s="76"/>
      <c r="DN117" t="s">
        <v>5550</v>
      </c>
      <c r="DO117" t="s">
        <v>5550</v>
      </c>
      <c r="DP117" s="101">
        <v>89987.830757081028</v>
      </c>
      <c r="DQ117" s="155"/>
      <c r="DR117" s="155"/>
      <c r="DS117" s="155"/>
      <c r="DT117" s="101">
        <v>8.3423015878536066</v>
      </c>
      <c r="DU117" s="155"/>
      <c r="DV117" s="156"/>
      <c r="DW117" s="156"/>
      <c r="DZ117" s="76"/>
      <c r="ED117" s="25" t="s">
        <v>4498</v>
      </c>
      <c r="EE117">
        <v>2.2193432241678197</v>
      </c>
      <c r="EF117">
        <v>7.1591716908639356</v>
      </c>
      <c r="EG117">
        <v>0.31</v>
      </c>
      <c r="EI117" s="32" t="s">
        <v>4498</v>
      </c>
      <c r="EJ117" s="32">
        <v>3.5395971506614998</v>
      </c>
      <c r="EK117" s="32">
        <v>11.418055324714516</v>
      </c>
      <c r="EL117" s="32">
        <v>0.31</v>
      </c>
      <c r="EN117" s="32" t="s">
        <v>4627</v>
      </c>
      <c r="EO117" s="32">
        <v>18617.6144165031</v>
      </c>
      <c r="EP117" s="32">
        <v>154.33414200000001</v>
      </c>
      <c r="EQ117" s="32">
        <v>120.63185874</v>
      </c>
      <c r="EU117" t="str">
        <f>EN117</f>
        <v>Global X - Copper Miners ETF</v>
      </c>
      <c r="EV117" s="18">
        <f>_xlfn.IFNA(INDEX($EJ$51:$EJ$251,MATCH($EU117,$EI$51:$EI$251,0),1),0)</f>
        <v>1901.7527063576372</v>
      </c>
      <c r="EW117" s="18">
        <f>_xlfn.IFNA(INDEX($EK$51:$EK$251,MATCH($EU117,$EI$51:$EI$251,0),1),0)</f>
        <v>14.150656000000001</v>
      </c>
      <c r="EX117" s="18">
        <f>_xlfn.IFNA(INDEX($EO$51:$EO$246,MATCH($EU117,$EN$51:$EN$246,0),1),0)</f>
        <v>18617.6144165031</v>
      </c>
      <c r="EY117" s="18">
        <f>_xlfn.IFNA(INDEX($EP$51:$EP$246,MATCH($EU117,$EN$51:$EN$246,0),1),0)</f>
        <v>154.33414200000001</v>
      </c>
      <c r="EZ117" s="18">
        <f>_xlfn.IFNA(EX117-EV117,"")</f>
        <v>16715.861710145462</v>
      </c>
      <c r="FA117" s="50">
        <f>EX117/EV117-1</f>
        <v>8.7897136437685361</v>
      </c>
      <c r="FB117" s="50">
        <f>_xlfn.IFNA(EY117/EW117-1,"")</f>
        <v>9.906500871761704</v>
      </c>
      <c r="FC117" s="18">
        <f>-(_xlfn.IFNA(INDEX($EL$51:$EL$251,MATCH($EU117,$EI$51:$EI$251,0),1),0)-_xlfn.IFNA(INDEX($EQ$51:$EQ$246,MATCH($EU117,$EN$51:$EN$246,0),1),0))</f>
        <v>-13.761395280000002</v>
      </c>
    </row>
    <row r="118" spans="30:159" x14ac:dyDescent="0.25">
      <c r="AD118" s="98">
        <v>45444</v>
      </c>
      <c r="AE118" s="37" t="s">
        <v>2830</v>
      </c>
      <c r="AF118" s="45">
        <v>24.106010112741249</v>
      </c>
      <c r="AG118" s="45">
        <v>72.868756947343883</v>
      </c>
      <c r="AH118" s="107">
        <v>59.337088878404451</v>
      </c>
      <c r="AI118" s="107"/>
      <c r="AO118" s="76"/>
      <c r="AQ118" s="25" t="s">
        <v>4487</v>
      </c>
      <c r="AR118">
        <v>359.16098708000004</v>
      </c>
      <c r="AS118">
        <v>3.329593843528434E-2</v>
      </c>
      <c r="AU118" s="79"/>
      <c r="AV118" s="32" t="s">
        <v>4621</v>
      </c>
      <c r="AW118" s="32">
        <v>9226.8742457789995</v>
      </c>
      <c r="AX118" s="32">
        <v>0.85537529934769374</v>
      </c>
      <c r="BE118" s="76"/>
      <c r="DQ118">
        <f>+DQ105/1000</f>
        <v>1043.4365126421928</v>
      </c>
      <c r="DR118">
        <f t="shared" ref="DR118:DS118" si="18">+DR105/1000</f>
        <v>414.05897052778397</v>
      </c>
      <c r="DS118">
        <f t="shared" si="18"/>
        <v>78.541598505523524</v>
      </c>
      <c r="DT118" s="151">
        <f>+SUM(DT105:DT117)</f>
        <v>72.710579428707447</v>
      </c>
      <c r="DU118" s="151">
        <f t="shared" ref="DU118:DW118" si="19">+SUM(DU105:DU117)</f>
        <v>39.567476790000001</v>
      </c>
      <c r="DV118" s="151">
        <f t="shared" si="19"/>
        <v>145.75331588</v>
      </c>
      <c r="DW118" s="151">
        <f t="shared" si="19"/>
        <v>202.57506538000001</v>
      </c>
      <c r="DZ118" s="76"/>
      <c r="ED118" s="25" t="s">
        <v>4623</v>
      </c>
      <c r="EE118">
        <v>1.0394062571943796</v>
      </c>
      <c r="EF118">
        <v>3.8915833655568449E-3</v>
      </c>
      <c r="EG118">
        <v>267.09083670000001</v>
      </c>
      <c r="EI118" s="32" t="s">
        <v>4623</v>
      </c>
      <c r="EJ118" s="32">
        <v>1.0144116305547839</v>
      </c>
      <c r="EK118" s="32">
        <v>3.6453709995825454E-3</v>
      </c>
      <c r="EL118" s="32">
        <v>278.27390701000002</v>
      </c>
      <c r="EN118" s="32" t="s">
        <v>4516</v>
      </c>
      <c r="EO118" s="32">
        <v>501921.64739597251</v>
      </c>
      <c r="EP118" s="32">
        <v>2945.2066682089162</v>
      </c>
      <c r="EQ118" s="32">
        <v>170.4198394</v>
      </c>
      <c r="EU118" t="str">
        <f>EN118</f>
        <v>Gobierno Central</v>
      </c>
      <c r="EV118" s="18">
        <f>_xlfn.IFNA(INDEX($EJ$51:$EJ$251,MATCH($EU118,$EI$51:$EI$251,0),1),0)</f>
        <v>358450.12403448788</v>
      </c>
      <c r="EW118" s="18">
        <f>_xlfn.IFNA(INDEX($EK$51:$EK$251,MATCH($EU118,$EI$51:$EI$251,0),1),0)</f>
        <v>2189.6204952810981</v>
      </c>
      <c r="EX118" s="18">
        <f>_xlfn.IFNA(INDEX($EO$51:$EO$246,MATCH($EU118,$EN$51:$EN$246,0),1),0)</f>
        <v>501921.64739597251</v>
      </c>
      <c r="EY118" s="18">
        <f>_xlfn.IFNA(INDEX($EP$51:$EP$246,MATCH($EU118,$EN$51:$EN$246,0),1),0)</f>
        <v>2945.2066682089162</v>
      </c>
      <c r="EZ118" s="18">
        <f>_xlfn.IFNA(EX118-EV118,"")</f>
        <v>143471.52336148464</v>
      </c>
      <c r="FA118" s="50">
        <f>EX118/EV118-1</f>
        <v>0.4002551924007165</v>
      </c>
      <c r="FB118" s="50">
        <f>_xlfn.IFNA(EY118/EW118-1,"")</f>
        <v>0.34507631553330786</v>
      </c>
      <c r="FC118" s="18">
        <f>-(_xlfn.IFNA(INDEX($EL$51:$EL$251,MATCH($EU118,$EI$51:$EI$251,0),1),0)-_xlfn.IFNA(INDEX($EQ$51:$EQ$246,MATCH($EU118,$EN$51:$EN$246,0),1),0))</f>
        <v>6.7156153999999617</v>
      </c>
    </row>
    <row r="119" spans="30:159" x14ac:dyDescent="0.25">
      <c r="AD119" s="98">
        <v>45536</v>
      </c>
      <c r="AE119" s="37" t="s">
        <v>2829</v>
      </c>
      <c r="AF119" s="45">
        <v>360400.68161224213</v>
      </c>
      <c r="AG119" s="45">
        <v>501797.27669236675</v>
      </c>
      <c r="AH119" s="107">
        <v>384671.75990497356</v>
      </c>
      <c r="AI119" s="107"/>
      <c r="AO119" s="76"/>
      <c r="AQ119" s="25" t="s">
        <v>4620</v>
      </c>
      <c r="AR119">
        <v>35335.025513433742</v>
      </c>
      <c r="AS119">
        <v>3.2757255838659143</v>
      </c>
      <c r="AU119" s="79"/>
      <c r="AV119" s="32" t="s">
        <v>2815</v>
      </c>
      <c r="AW119" s="32">
        <v>23083.858540409074</v>
      </c>
      <c r="AX119" s="32">
        <v>2.1399839082162737</v>
      </c>
      <c r="BE119" s="76"/>
      <c r="DZ119" s="76"/>
      <c r="ED119" s="25" t="s">
        <v>4361</v>
      </c>
      <c r="EE119">
        <v>15277.985698554849</v>
      </c>
      <c r="EF119">
        <v>102.51618100465856</v>
      </c>
      <c r="EG119">
        <v>149.02999262</v>
      </c>
      <c r="EI119" s="32" t="s">
        <v>4361</v>
      </c>
      <c r="EJ119" s="32">
        <v>15734.549432936095</v>
      </c>
      <c r="EK119" s="32">
        <v>104.25622999999997</v>
      </c>
      <c r="EL119" s="32">
        <v>150.92191069</v>
      </c>
      <c r="EN119" s="32" t="s">
        <v>4446</v>
      </c>
      <c r="EO119" s="32">
        <v>44492.744115973248</v>
      </c>
      <c r="EP119" s="32">
        <v>162.14658442011142</v>
      </c>
      <c r="EQ119" s="32">
        <v>274.3982815</v>
      </c>
      <c r="EU119" t="str">
        <f>EN119</f>
        <v>Gobierno de Brasil</v>
      </c>
      <c r="EV119" s="18">
        <f>_xlfn.IFNA(INDEX($EJ$51:$EJ$251,MATCH($EU119,$EI$51:$EI$251,0),1),0)</f>
        <v>11134.793415603659</v>
      </c>
      <c r="EW119" s="18">
        <f>_xlfn.IFNA(INDEX($EK$51:$EK$251,MATCH($EU119,$EI$51:$EI$251,0),1),0)</f>
        <v>38.166886451581874</v>
      </c>
      <c r="EX119" s="18">
        <f>_xlfn.IFNA(INDEX($EO$51:$EO$246,MATCH($EU119,$EN$51:$EN$246,0),1),0)</f>
        <v>44492.744115973248</v>
      </c>
      <c r="EY119" s="18">
        <f>_xlfn.IFNA(INDEX($EP$51:$EP$246,MATCH($EU119,$EN$51:$EN$246,0),1),0)</f>
        <v>162.14658442011142</v>
      </c>
      <c r="EZ119" s="18">
        <f>_xlfn.IFNA(EX119-EV119,"")</f>
        <v>33357.950700369591</v>
      </c>
      <c r="FA119" s="50">
        <f>EX119/EV119-1</f>
        <v>2.9958302283025455</v>
      </c>
      <c r="FB119" s="50">
        <f>_xlfn.IFNA(EY119/EW119-1,"")</f>
        <v>3.2483576601358077</v>
      </c>
      <c r="FC119" s="18">
        <f>-(_xlfn.IFNA(INDEX($EL$51:$EL$251,MATCH($EU119,$EI$51:$EI$251,0),1),0)-_xlfn.IFNA(INDEX($EQ$51:$EQ$246,MATCH($EU119,$EN$51:$EN$246,0),1),0))</f>
        <v>-17.341350700000021</v>
      </c>
    </row>
    <row r="120" spans="30:159" x14ac:dyDescent="0.25">
      <c r="AD120" s="98">
        <v>45536</v>
      </c>
      <c r="AE120" s="37" t="s">
        <v>2830</v>
      </c>
      <c r="AF120" s="45">
        <v>55.030092489480801</v>
      </c>
      <c r="AG120" s="45">
        <v>76.620139628538794</v>
      </c>
      <c r="AH120" s="107">
        <v>58.736077942375886</v>
      </c>
      <c r="AI120" s="107"/>
      <c r="AO120" s="76"/>
      <c r="AQ120" s="25" t="s">
        <v>4517</v>
      </c>
      <c r="AR120">
        <v>6456.9160674661534</v>
      </c>
      <c r="AS120">
        <v>0.59858695013627505</v>
      </c>
      <c r="AU120" s="79"/>
      <c r="AV120" s="32" t="s">
        <v>2802</v>
      </c>
      <c r="AW120" s="32">
        <v>12206.568920962512</v>
      </c>
      <c r="AX120" s="32">
        <v>1.1316072232753229</v>
      </c>
      <c r="BE120" s="76"/>
      <c r="DO120" t="s">
        <v>5773</v>
      </c>
      <c r="DZ120" s="76"/>
      <c r="ED120" s="25" t="s">
        <v>4627</v>
      </c>
      <c r="EE120">
        <v>18617.6144165031</v>
      </c>
      <c r="EF120">
        <v>154.33414200000001</v>
      </c>
      <c r="EG120">
        <v>120.63185874</v>
      </c>
      <c r="EI120" s="32" t="s">
        <v>4627</v>
      </c>
      <c r="EJ120" s="32">
        <v>1901.7527063576372</v>
      </c>
      <c r="EK120" s="32">
        <v>14.150656000000001</v>
      </c>
      <c r="EL120" s="32">
        <v>134.39325402</v>
      </c>
      <c r="EN120" s="32" t="s">
        <v>2759</v>
      </c>
      <c r="EO120" s="32">
        <v>11290.34338358511</v>
      </c>
      <c r="EP120" s="32">
        <v>65.435587018209404</v>
      </c>
      <c r="EQ120" s="32">
        <v>172.5413326</v>
      </c>
      <c r="EU120" t="str">
        <f>EN120</f>
        <v>Gobierno de Chile</v>
      </c>
      <c r="EV120" s="18">
        <f>_xlfn.IFNA(INDEX($EJ$51:$EJ$251,MATCH($EU120,$EI$51:$EI$251,0),1),0)</f>
        <v>4010.6759627760111</v>
      </c>
      <c r="EW120" s="18">
        <f>_xlfn.IFNA(INDEX($EK$51:$EK$251,MATCH($EU120,$EI$51:$EI$251,0),1),0)</f>
        <v>21.293289023878437</v>
      </c>
      <c r="EX120" s="18">
        <f>_xlfn.IFNA(INDEX($EO$51:$EO$246,MATCH($EU120,$EN$51:$EN$246,0),1),0)</f>
        <v>11290.34338358511</v>
      </c>
      <c r="EY120" s="18">
        <f>_xlfn.IFNA(INDEX($EP$51:$EP$246,MATCH($EU120,$EN$51:$EN$246,0),1),0)</f>
        <v>65.435587018209404</v>
      </c>
      <c r="EZ120" s="18">
        <f>_xlfn.IFNA(EX120-EV120,"")</f>
        <v>7279.667420809099</v>
      </c>
      <c r="FA120" s="50">
        <f>EX120/EV120-1</f>
        <v>1.8150724437409891</v>
      </c>
      <c r="FB120" s="50">
        <f>_xlfn.IFNA(EY120/EW120-1,"")</f>
        <v>2.0730615145846891</v>
      </c>
      <c r="FC120" s="18">
        <f>-(_xlfn.IFNA(INDEX($EL$51:$EL$251,MATCH($EU120,$EI$51:$EI$251,0),1),0)-_xlfn.IFNA(INDEX($EQ$51:$EQ$246,MATCH($EU120,$EN$51:$EN$246,0),1),0))</f>
        <v>-15.812658099999993</v>
      </c>
    </row>
    <row r="121" spans="30:159" x14ac:dyDescent="0.25">
      <c r="AD121" s="98">
        <v>45566</v>
      </c>
      <c r="AE121" s="37" t="s">
        <v>2829</v>
      </c>
      <c r="AF121" s="144">
        <v>363770.55262276216</v>
      </c>
      <c r="AG121" s="45">
        <v>574285.06999972463</v>
      </c>
      <c r="AH121" s="107">
        <v>301669.34797322337</v>
      </c>
      <c r="AI121" s="107">
        <v>135519.24500974052</v>
      </c>
      <c r="AO121" s="76"/>
      <c r="AQ121" s="25" t="s">
        <v>4428</v>
      </c>
      <c r="AR121">
        <v>11923.363984565698</v>
      </c>
      <c r="AS121">
        <v>1.1053527734156656</v>
      </c>
      <c r="AU121" s="79"/>
      <c r="AV121" s="32" t="s">
        <v>4520</v>
      </c>
      <c r="AW121" s="32">
        <v>6.959728609229868E-3</v>
      </c>
      <c r="AX121" s="32">
        <v>6.4520007360261749E-7</v>
      </c>
      <c r="BE121" s="76"/>
      <c r="DN121" t="s">
        <v>5770</v>
      </c>
      <c r="DO121" s="157">
        <v>2840820245</v>
      </c>
      <c r="DP121" s="7">
        <f>DO121/1000000</f>
        <v>2840.8202449999999</v>
      </c>
      <c r="DR121" s="131"/>
      <c r="DS121" s="131"/>
      <c r="DZ121" s="76"/>
      <c r="ED121" s="25" t="s">
        <v>4516</v>
      </c>
      <c r="EE121">
        <v>501921.64739597251</v>
      </c>
      <c r="EF121">
        <v>2945.2066682089162</v>
      </c>
      <c r="EG121">
        <v>170.4198394</v>
      </c>
      <c r="EI121" s="32" t="s">
        <v>4516</v>
      </c>
      <c r="EJ121" s="32">
        <v>358450.12403448788</v>
      </c>
      <c r="EK121" s="32">
        <v>2189.6204952810981</v>
      </c>
      <c r="EL121" s="32">
        <v>163.70422400000004</v>
      </c>
      <c r="EN121" s="32" t="s">
        <v>4447</v>
      </c>
      <c r="EO121" s="32">
        <v>10709.500991340341</v>
      </c>
      <c r="EP121" s="32">
        <v>55.951521439932662</v>
      </c>
      <c r="EQ121" s="32">
        <v>191.40678779999999</v>
      </c>
      <c r="EU121" t="str">
        <f>EN121</f>
        <v>Gobierno de Colombia</v>
      </c>
      <c r="EV121" s="18">
        <f>_xlfn.IFNA(INDEX($EJ$51:$EJ$251,MATCH($EU121,$EI$51:$EI$251,0),1),0)</f>
        <v>8002.5234142958961</v>
      </c>
      <c r="EW121" s="18">
        <f>_xlfn.IFNA(INDEX($EK$51:$EK$251,MATCH($EU121,$EI$51:$EI$251,0),1),0)</f>
        <v>38.856215757776106</v>
      </c>
      <c r="EX121" s="18">
        <f>_xlfn.IFNA(INDEX($EO$51:$EO$246,MATCH($EU121,$EN$51:$EN$246,0),1),0)</f>
        <v>10709.500991340341</v>
      </c>
      <c r="EY121" s="18">
        <f>_xlfn.IFNA(INDEX($EP$51:$EP$246,MATCH($EU121,$EN$51:$EN$246,0),1),0)</f>
        <v>55.951521439932662</v>
      </c>
      <c r="EZ121" s="18">
        <f>_xlfn.IFNA(EX121-EV121,"")</f>
        <v>2706.9775770444448</v>
      </c>
      <c r="FA121" s="50">
        <f>EX121/EV121-1</f>
        <v>0.33826549913101611</v>
      </c>
      <c r="FB121" s="50">
        <f>_xlfn.IFNA(EY121/EW121-1,"")</f>
        <v>0.43996321692071505</v>
      </c>
      <c r="FC121" s="18">
        <f>-(_xlfn.IFNA(INDEX($EL$51:$EL$251,MATCH($EU121,$EI$51:$EI$251,0),1),0)-_xlfn.IFNA(INDEX($EQ$51:$EQ$246,MATCH($EU121,$EN$51:$EN$246,0),1),0))</f>
        <v>-14.545419800000019</v>
      </c>
    </row>
    <row r="122" spans="30:159" x14ac:dyDescent="0.25">
      <c r="AD122" s="98">
        <v>45566</v>
      </c>
      <c r="AE122" s="37" t="s">
        <v>2830</v>
      </c>
      <c r="AF122" s="144">
        <v>39.875605496473455</v>
      </c>
      <c r="AG122" s="45">
        <v>62.951673049718835</v>
      </c>
      <c r="AH122" s="107">
        <v>33.068228924602423</v>
      </c>
      <c r="AI122" s="107">
        <v>14.855275976096713</v>
      </c>
      <c r="AO122" s="76"/>
      <c r="AQ122" s="25" t="s">
        <v>4621</v>
      </c>
      <c r="AR122">
        <v>9226.8742457789995</v>
      </c>
      <c r="AS122">
        <v>0.85537529934769374</v>
      </c>
      <c r="AU122" s="79"/>
      <c r="AV122" s="32" t="s">
        <v>4427</v>
      </c>
      <c r="AW122" s="32">
        <v>5387.8036963377926</v>
      </c>
      <c r="AX122" s="32">
        <v>0.4994751285019231</v>
      </c>
      <c r="BE122" s="76"/>
      <c r="DN122" t="s">
        <v>5771</v>
      </c>
      <c r="DO122" s="157">
        <v>387716022</v>
      </c>
      <c r="DP122" s="7">
        <f t="shared" ref="DP122:DP124" si="20">DO122/1000000</f>
        <v>387.71602200000001</v>
      </c>
      <c r="DZ122" s="76"/>
      <c r="ED122" s="25" t="s">
        <v>4446</v>
      </c>
      <c r="EE122">
        <v>44492.744115973248</v>
      </c>
      <c r="EF122">
        <v>162.14658442011142</v>
      </c>
      <c r="EG122">
        <v>274.3982815</v>
      </c>
      <c r="EI122" s="32" t="s">
        <v>4446</v>
      </c>
      <c r="EJ122" s="32">
        <v>11134.793415603659</v>
      </c>
      <c r="EK122" s="32">
        <v>38.166886451581874</v>
      </c>
      <c r="EL122" s="32">
        <v>291.73963220000002</v>
      </c>
      <c r="EN122" s="32" t="s">
        <v>4452</v>
      </c>
      <c r="EO122" s="32">
        <v>13119.422873777647</v>
      </c>
      <c r="EP122" s="32">
        <v>64.215470959635425</v>
      </c>
      <c r="EQ122" s="32">
        <v>204.30314809999999</v>
      </c>
      <c r="EU122" t="str">
        <f>EN122</f>
        <v>Gobierno de Mexico</v>
      </c>
      <c r="EV122" s="18">
        <f>_xlfn.IFNA(INDEX($EJ$51:$EJ$251,MATCH($EU122,$EI$51:$EI$251,0),1),0)</f>
        <v>1261.9011811314699</v>
      </c>
      <c r="EW122" s="18">
        <f>_xlfn.IFNA(INDEX($EK$51:$EK$251,MATCH($EU122,$EI$51:$EI$251,0),1),0)</f>
        <v>5.6993720987061955</v>
      </c>
      <c r="EX122" s="18">
        <f>_xlfn.IFNA(INDEX($EO$51:$EO$246,MATCH($EU122,$EN$51:$EN$246,0),1),0)</f>
        <v>13119.422873777647</v>
      </c>
      <c r="EY122" s="18">
        <f>_xlfn.IFNA(INDEX($EP$51:$EP$246,MATCH($EU122,$EN$51:$EN$246,0),1),0)</f>
        <v>64.215470959635425</v>
      </c>
      <c r="EZ122" s="18">
        <f>_xlfn.IFNA(EX122-EV122,"")</f>
        <v>11857.521692646176</v>
      </c>
      <c r="FA122" s="50">
        <f>EX122/EV122-1</f>
        <v>9.3965532879636893</v>
      </c>
      <c r="FB122" s="50">
        <f>_xlfn.IFNA(EY122/EW122-1,"")</f>
        <v>10.267113262215826</v>
      </c>
      <c r="FC122" s="18">
        <f>-(_xlfn.IFNA(INDEX($EL$51:$EL$251,MATCH($EU122,$EI$51:$EI$251,0),1),0)-_xlfn.IFNA(INDEX($EQ$51:$EQ$246,MATCH($EU122,$EN$51:$EN$246,0),1),0))</f>
        <v>-17.107414200000022</v>
      </c>
    </row>
    <row r="123" spans="30:159" x14ac:dyDescent="0.25">
      <c r="AD123" s="98">
        <v>45627</v>
      </c>
      <c r="AE123" s="37" t="s">
        <v>2829</v>
      </c>
      <c r="AF123" s="45">
        <v>141222.34786797446</v>
      </c>
      <c r="AG123" s="45">
        <v>507611.51817485609</v>
      </c>
      <c r="AH123" s="107">
        <v>290372.60174815875</v>
      </c>
      <c r="AI123" s="107">
        <v>132374.67335840885</v>
      </c>
      <c r="AO123" s="76"/>
      <c r="AQ123" s="25" t="s">
        <v>2815</v>
      </c>
      <c r="AR123">
        <v>23083.858540409074</v>
      </c>
      <c r="AS123">
        <v>2.1399839082162737</v>
      </c>
      <c r="AU123" s="79"/>
      <c r="AV123" s="32" t="s">
        <v>4522</v>
      </c>
      <c r="AW123" s="32">
        <v>24807.128796298319</v>
      </c>
      <c r="AX123" s="32">
        <v>2.2997392892612218</v>
      </c>
      <c r="BE123" s="76"/>
      <c r="DN123" t="s">
        <v>5772</v>
      </c>
      <c r="DO123" s="157">
        <v>26371065261</v>
      </c>
      <c r="DP123" s="7">
        <f>DO123/1000000</f>
        <v>26371.065261</v>
      </c>
      <c r="DZ123" s="76"/>
      <c r="ED123" s="25" t="s">
        <v>2759</v>
      </c>
      <c r="EE123">
        <v>11290.34338358511</v>
      </c>
      <c r="EF123">
        <v>65.435587018209404</v>
      </c>
      <c r="EG123">
        <v>172.5413326</v>
      </c>
      <c r="EI123" s="32" t="s">
        <v>2759</v>
      </c>
      <c r="EJ123" s="32">
        <v>4010.6759627760111</v>
      </c>
      <c r="EK123" s="32">
        <v>21.293289023878437</v>
      </c>
      <c r="EL123" s="32">
        <v>188.3539907</v>
      </c>
      <c r="EN123" s="32" t="s">
        <v>4425</v>
      </c>
      <c r="EO123" s="32">
        <v>5.0945030128684246E-2</v>
      </c>
      <c r="EP123" s="32">
        <v>1.4384411999761968E-4</v>
      </c>
      <c r="EQ123" s="32">
        <v>354.16831866000001</v>
      </c>
      <c r="EU123" t="str">
        <f>EN123</f>
        <v>Goldman Sachs - Emerging Markets Corporate Debt</v>
      </c>
      <c r="EV123" s="18">
        <f>_xlfn.IFNA(INDEX($EJ$51:$EJ$251,MATCH($EU123,$EI$51:$EI$251,0),1),0)</f>
        <v>4.8453116957265382E-2</v>
      </c>
      <c r="EW123" s="18">
        <f>_xlfn.IFNA(INDEX($EK$51:$EK$251,MATCH($EU123,$EI$51:$EI$251,0),1),0)</f>
        <v>1.3649897998998107E-4</v>
      </c>
      <c r="EX123" s="18">
        <f>_xlfn.IFNA(INDEX($EO$51:$EO$246,MATCH($EU123,$EN$51:$EN$246,0),1),0)</f>
        <v>5.0945030128684246E-2</v>
      </c>
      <c r="EY123" s="18">
        <f>_xlfn.IFNA(INDEX($EP$51:$EP$246,MATCH($EU123,$EN$51:$EN$246,0),1),0)</f>
        <v>1.4384411999761968E-4</v>
      </c>
      <c r="EZ123" s="18">
        <f>_xlfn.IFNA(EX123-EV123,"")</f>
        <v>2.4919131714188636E-3</v>
      </c>
      <c r="FA123" s="50">
        <f>EX123/EV123-1</f>
        <v>5.142936776630247E-2</v>
      </c>
      <c r="FB123" s="50">
        <f>_xlfn.IFNA(EY123/EW123-1,"")</f>
        <v>5.3810951614273961E-2</v>
      </c>
      <c r="FC123" s="18">
        <f>-(_xlfn.IFNA(INDEX($EL$51:$EL$251,MATCH($EU123,$EI$51:$EI$251,0),1),0)-_xlfn.IFNA(INDEX($EQ$51:$EQ$246,MATCH($EU123,$EN$51:$EN$246,0),1),0))</f>
        <v>-0.80222369000000526</v>
      </c>
    </row>
    <row r="124" spans="30:159" x14ac:dyDescent="0.25">
      <c r="AD124" s="98">
        <v>45627</v>
      </c>
      <c r="AE124" s="37" t="s">
        <v>2830</v>
      </c>
      <c r="AF124" s="45">
        <v>15.318430928571656</v>
      </c>
      <c r="AG124" s="45">
        <v>55.060775416213595</v>
      </c>
      <c r="AH124" s="107">
        <v>31.496804228089999</v>
      </c>
      <c r="AI124" s="107">
        <v>14.358720989603848</v>
      </c>
      <c r="AO124" s="76"/>
      <c r="AQ124" s="25" t="s">
        <v>2802</v>
      </c>
      <c r="AR124">
        <v>12206.568920962512</v>
      </c>
      <c r="AS124">
        <v>1.1316072232753229</v>
      </c>
      <c r="AU124" s="79"/>
      <c r="AV124" s="32" t="s">
        <v>4416</v>
      </c>
      <c r="AW124" s="32">
        <v>1.01680181277176E-2</v>
      </c>
      <c r="AX124" s="32">
        <v>9.4262383100626236E-7</v>
      </c>
      <c r="BE124" s="76"/>
      <c r="DN124" t="s">
        <v>5774</v>
      </c>
      <c r="DO124" s="158">
        <v>16613436201</v>
      </c>
      <c r="DP124" s="7">
        <f t="shared" si="20"/>
        <v>16613.436201</v>
      </c>
      <c r="DR124" s="153">
        <v>401.09930501999997</v>
      </c>
      <c r="DS124" s="151">
        <f>+DR124*DP124/1000</f>
        <v>6663.6377142152087</v>
      </c>
      <c r="DZ124" s="76"/>
      <c r="ED124" s="25" t="s">
        <v>4447</v>
      </c>
      <c r="EE124">
        <v>10709.500991340341</v>
      </c>
      <c r="EF124">
        <v>55.951521439932662</v>
      </c>
      <c r="EG124">
        <v>191.40678779999999</v>
      </c>
      <c r="EI124" s="32" t="s">
        <v>4447</v>
      </c>
      <c r="EJ124" s="32">
        <v>8002.5234142958961</v>
      </c>
      <c r="EK124" s="32">
        <v>38.856215757776106</v>
      </c>
      <c r="EL124" s="32">
        <v>205.95220760000001</v>
      </c>
      <c r="EN124" s="32" t="s">
        <v>4615</v>
      </c>
      <c r="EO124" s="32">
        <v>2253.8774475523219</v>
      </c>
      <c r="EP124" s="32">
        <v>17.572722965478889</v>
      </c>
      <c r="EQ124" s="32">
        <v>128.26</v>
      </c>
      <c r="EU124" t="str">
        <f>EN124</f>
        <v>Graña y Montero S.A.A.</v>
      </c>
      <c r="EV124" s="18">
        <f>_xlfn.IFNA(INDEX($EJ$51:$EJ$251,MATCH($EU124,$EI$51:$EI$251,0),1),0)</f>
        <v>1742.0499801748715</v>
      </c>
      <c r="EW124" s="18">
        <f>_xlfn.IFNA(INDEX($EK$51:$EK$251,MATCH($EU124,$EI$51:$EI$251,0),1),0)</f>
        <v>13.582176673747636</v>
      </c>
      <c r="EX124" s="18">
        <f>_xlfn.IFNA(INDEX($EO$51:$EO$246,MATCH($EU124,$EN$51:$EN$246,0),1),0)</f>
        <v>2253.8774475523219</v>
      </c>
      <c r="EY124" s="18">
        <f>_xlfn.IFNA(INDEX($EP$51:$EP$246,MATCH($EU124,$EN$51:$EN$246,0),1),0)</f>
        <v>17.572722965478889</v>
      </c>
      <c r="EZ124" s="18">
        <f>_xlfn.IFNA(EX124-EV124,"")</f>
        <v>511.82746737745038</v>
      </c>
      <c r="FA124" s="50">
        <f>EX124/EV124-1</f>
        <v>0.29380756763710747</v>
      </c>
      <c r="FB124" s="50">
        <f>_xlfn.IFNA(EY124/EW124-1,"")</f>
        <v>0.29380756763710747</v>
      </c>
      <c r="FC124" s="18">
        <f>-(_xlfn.IFNA(INDEX($EL$51:$EL$251,MATCH($EU124,$EI$51:$EI$251,0),1),0)-_xlfn.IFNA(INDEX($EQ$51:$EQ$246,MATCH($EU124,$EN$51:$EN$246,0),1),0))</f>
        <v>0</v>
      </c>
    </row>
    <row r="125" spans="30:159" x14ac:dyDescent="0.25">
      <c r="AO125" s="76"/>
      <c r="AQ125" s="25" t="s">
        <v>4520</v>
      </c>
      <c r="AR125">
        <v>6.959728609229868E-3</v>
      </c>
      <c r="AS125">
        <v>6.4520007360261749E-7</v>
      </c>
      <c r="AU125" s="79"/>
      <c r="AV125" s="32" t="s">
        <v>4602</v>
      </c>
      <c r="AW125" s="32">
        <v>0.17051558148199863</v>
      </c>
      <c r="AX125" s="32">
        <v>1.5807608586443515E-5</v>
      </c>
      <c r="BE125" s="76"/>
      <c r="DZ125" s="76"/>
      <c r="ED125" s="25" t="s">
        <v>4453</v>
      </c>
      <c r="EE125">
        <v>13119.422873777647</v>
      </c>
      <c r="EF125">
        <v>64.215470959635425</v>
      </c>
      <c r="EG125">
        <v>204.30314809999999</v>
      </c>
      <c r="EI125" s="32" t="s">
        <v>4424</v>
      </c>
      <c r="EJ125" s="32">
        <v>35754.026138894318</v>
      </c>
      <c r="EK125" s="32">
        <v>166.27402793459999</v>
      </c>
      <c r="EL125" s="32">
        <v>215.03073319999999</v>
      </c>
      <c r="EN125" s="32" t="s">
        <v>4576</v>
      </c>
      <c r="EO125" s="32">
        <v>2.4693041950285457E-2</v>
      </c>
      <c r="EP125" s="32">
        <v>2.1709428409652175E-3</v>
      </c>
      <c r="EQ125" s="32">
        <v>11.37433998</v>
      </c>
      <c r="EU125" t="str">
        <f>EN125</f>
        <v>Groupama - Avenir Euro (Mid Small Caps)</v>
      </c>
      <c r="EV125" s="18">
        <f>_xlfn.IFNA(INDEX($EJ$51:$EJ$251,MATCH($EU125,$EI$51:$EI$251,0),1),0)</f>
        <v>2.601620911066467E-2</v>
      </c>
      <c r="EW125" s="18">
        <f>_xlfn.IFNA(INDEX($EK$51:$EK$251,MATCH($EU125,$EI$51:$EI$251,0),1),0)</f>
        <v>2.1533415793721471E-3</v>
      </c>
      <c r="EX125" s="18">
        <f>_xlfn.IFNA(INDEX($EO$51:$EO$246,MATCH($EU125,$EN$51:$EN$246,0),1),0)</f>
        <v>2.4693041950285457E-2</v>
      </c>
      <c r="EY125" s="18">
        <f>_xlfn.IFNA(INDEX($EP$51:$EP$246,MATCH($EU125,$EN$51:$EN$246,0),1),0)</f>
        <v>2.1709428409652175E-3</v>
      </c>
      <c r="EZ125" s="18">
        <f>_xlfn.IFNA(EX125-EV125,"")</f>
        <v>-1.3231671603792135E-3</v>
      </c>
      <c r="FA125" s="50">
        <f>EX125/EV125-1</f>
        <v>-5.0859337528803006E-2</v>
      </c>
      <c r="FB125" s="50">
        <f>_xlfn.IFNA(EY125/EW125-1,"")</f>
        <v>8.1739291906499645E-3</v>
      </c>
      <c r="FC125" s="18">
        <f>-(_xlfn.IFNA(INDEX($EL$51:$EL$251,MATCH($EU125,$EI$51:$EI$251,0),1),0)-_xlfn.IFNA(INDEX($EQ$51:$EQ$246,MATCH($EU125,$EN$51:$EN$246,0),1),0))</f>
        <v>-0.70744460999999959</v>
      </c>
    </row>
    <row r="126" spans="30:159" x14ac:dyDescent="0.25">
      <c r="AO126" s="76"/>
      <c r="AQ126" s="25" t="s">
        <v>4427</v>
      </c>
      <c r="AR126">
        <v>5387.8036963377926</v>
      </c>
      <c r="AS126">
        <v>0.4994751285019231</v>
      </c>
      <c r="AU126" s="79"/>
      <c r="AV126" s="32" t="s">
        <v>4548</v>
      </c>
      <c r="AW126" s="32">
        <v>3482.9899232239331</v>
      </c>
      <c r="AX126" s="32">
        <v>0.32288979657066319</v>
      </c>
      <c r="BE126" s="76"/>
      <c r="DZ126" s="76"/>
      <c r="ED126" s="25" t="s">
        <v>4425</v>
      </c>
      <c r="EE126">
        <v>5.0945030128684246E-2</v>
      </c>
      <c r="EF126">
        <v>1.4384411999761968E-4</v>
      </c>
      <c r="EG126">
        <v>354.16831866000001</v>
      </c>
      <c r="EI126" s="32" t="s">
        <v>4452</v>
      </c>
      <c r="EJ126" s="32">
        <v>1261.9011811314699</v>
      </c>
      <c r="EK126" s="32">
        <v>5.6993720987061955</v>
      </c>
      <c r="EL126" s="32">
        <v>221.41056230000001</v>
      </c>
      <c r="EN126" s="32" t="s">
        <v>4434</v>
      </c>
      <c r="EO126" s="32">
        <v>69.960531541860689</v>
      </c>
      <c r="EP126" s="32">
        <v>66.629077658914937</v>
      </c>
      <c r="EQ126" s="32">
        <v>1.05</v>
      </c>
      <c r="EU126" t="str">
        <f>EN126</f>
        <v>Grupo Financiero Banorte</v>
      </c>
      <c r="EV126" s="18">
        <f>_xlfn.IFNA(INDEX($EJ$51:$EJ$251,MATCH($EU126,$EI$51:$EI$251,0),1),0)</f>
        <v>66.228377247616464</v>
      </c>
      <c r="EW126" s="18">
        <f>_xlfn.IFNA(INDEX($EK$51:$EK$251,MATCH($EU126,$EI$51:$EI$251,0),1),0)</f>
        <v>63.074644997729962</v>
      </c>
      <c r="EX126" s="18">
        <f>_xlfn.IFNA(INDEX($EO$51:$EO$246,MATCH($EU126,$EN$51:$EN$246,0),1),0)</f>
        <v>69.960531541860689</v>
      </c>
      <c r="EY126" s="18">
        <f>_xlfn.IFNA(INDEX($EP$51:$EP$246,MATCH($EU126,$EN$51:$EN$246,0),1),0)</f>
        <v>66.629077658914937</v>
      </c>
      <c r="EZ126" s="18">
        <f>_xlfn.IFNA(EX126-EV126,"")</f>
        <v>3.732154294244225</v>
      </c>
      <c r="FA126" s="50">
        <f>EX126/EV126-1</f>
        <v>5.6352796933108351E-2</v>
      </c>
      <c r="FB126" s="50">
        <f>_xlfn.IFNA(EY126/EW126-1,"")</f>
        <v>5.6352796933108351E-2</v>
      </c>
      <c r="FC126" s="18">
        <f>-(_xlfn.IFNA(INDEX($EL$51:$EL$251,MATCH($EU126,$EI$51:$EI$251,0),1),0)-_xlfn.IFNA(INDEX($EQ$51:$EQ$246,MATCH($EU126,$EN$51:$EN$246,0),1),0))</f>
        <v>0</v>
      </c>
    </row>
    <row r="127" spans="30:159" x14ac:dyDescent="0.25">
      <c r="AO127" s="76"/>
      <c r="AQ127" s="25" t="s">
        <v>4522</v>
      </c>
      <c r="AR127">
        <v>24807.128796298319</v>
      </c>
      <c r="AS127">
        <v>2.2997392892612218</v>
      </c>
      <c r="AU127" s="79"/>
      <c r="AV127" s="32" t="s">
        <v>4598</v>
      </c>
      <c r="AW127" s="32">
        <v>2.8442752209161995E-2</v>
      </c>
      <c r="AX127" s="32">
        <v>2.6367789391205873E-6</v>
      </c>
      <c r="BE127" s="76"/>
      <c r="DR127">
        <v>5.08</v>
      </c>
      <c r="DS127">
        <v>15.11</v>
      </c>
      <c r="DZ127" s="76"/>
      <c r="ED127" s="25" t="s">
        <v>4615</v>
      </c>
      <c r="EE127">
        <v>2253.8774475523219</v>
      </c>
      <c r="EF127">
        <v>17.572722965478889</v>
      </c>
      <c r="EG127">
        <v>128.26</v>
      </c>
      <c r="EI127" s="32" t="s">
        <v>4420</v>
      </c>
      <c r="EJ127" s="32">
        <v>970.4152033634258</v>
      </c>
      <c r="EK127" s="32">
        <v>10.181281875</v>
      </c>
      <c r="EL127" s="32">
        <v>95.313656499999993</v>
      </c>
      <c r="EN127" s="32" t="s">
        <v>4376</v>
      </c>
      <c r="EO127" s="32">
        <v>658.73627035478319</v>
      </c>
      <c r="EP127" s="32">
        <v>29.011427025836653</v>
      </c>
      <c r="EQ127" s="32">
        <v>22.706096800000001</v>
      </c>
      <c r="EU127" t="str">
        <f>EN127</f>
        <v>HarbourVest Co-Investment Fund IV</v>
      </c>
      <c r="EV127" s="18">
        <f>_xlfn.IFNA(INDEX($EJ$51:$EJ$251,MATCH($EU127,$EI$51:$EI$251,0),1),0)</f>
        <v>832.76083091494888</v>
      </c>
      <c r="EW127" s="18">
        <f>_xlfn.IFNA(INDEX($EK$51:$EK$251,MATCH($EU127,$EI$51:$EI$251,0),1),0)</f>
        <v>34.116417930295505</v>
      </c>
      <c r="EX127" s="18">
        <f>_xlfn.IFNA(INDEX($EO$51:$EO$246,MATCH($EU127,$EN$51:$EN$246,0),1),0)</f>
        <v>658.73627035478319</v>
      </c>
      <c r="EY127" s="18">
        <f>_xlfn.IFNA(INDEX($EP$51:$EP$246,MATCH($EU127,$EN$51:$EN$246,0),1),0)</f>
        <v>29.011427025836653</v>
      </c>
      <c r="EZ127" s="18">
        <f>_xlfn.IFNA(EX127-EV127,"")</f>
        <v>-174.0245605601657</v>
      </c>
      <c r="FA127" s="50">
        <f>EX127/EV127-1</f>
        <v>-0.20897303775558951</v>
      </c>
      <c r="FB127" s="50">
        <f>_xlfn.IFNA(EY127/EW127-1,"")</f>
        <v>-0.1496344345086007</v>
      </c>
      <c r="FC127" s="18">
        <f>-(_xlfn.IFNA(INDEX($EL$51:$EL$251,MATCH($EU127,$EI$51:$EI$251,0),1),0)-_xlfn.IFNA(INDEX($EQ$51:$EQ$246,MATCH($EU127,$EN$51:$EN$246,0),1),0))</f>
        <v>-1.7032896899999983</v>
      </c>
    </row>
    <row r="128" spans="30:159" x14ac:dyDescent="0.25">
      <c r="AO128" s="76"/>
      <c r="AQ128" s="25" t="s">
        <v>4416</v>
      </c>
      <c r="AR128">
        <v>1.01680181277176E-2</v>
      </c>
      <c r="AS128">
        <v>9.4262383100626236E-7</v>
      </c>
      <c r="AU128" s="79"/>
      <c r="AV128" s="32" t="s">
        <v>4415</v>
      </c>
      <c r="AW128" s="32">
        <v>4.4017981809969305E-2</v>
      </c>
      <c r="AX128" s="32">
        <v>4.0806770922025273E-6</v>
      </c>
      <c r="BE128" s="76"/>
      <c r="DN128">
        <v>5.28</v>
      </c>
      <c r="DO128">
        <v>3.8</v>
      </c>
      <c r="DR128">
        <v>9.9600000000000009</v>
      </c>
      <c r="DS128">
        <v>7.4</v>
      </c>
      <c r="DZ128" s="76"/>
      <c r="ED128" s="25" t="s">
        <v>4576</v>
      </c>
      <c r="EE128">
        <v>2.4693041950285457E-2</v>
      </c>
      <c r="EF128">
        <v>2.1709428409652175E-3</v>
      </c>
      <c r="EG128">
        <v>11.37433998</v>
      </c>
      <c r="EI128" s="32" t="s">
        <v>4425</v>
      </c>
      <c r="EJ128" s="32">
        <v>4.8453116957265382E-2</v>
      </c>
      <c r="EK128" s="32">
        <v>1.3649897998998107E-4</v>
      </c>
      <c r="EL128" s="32">
        <v>354.97054235000002</v>
      </c>
      <c r="EN128" s="32" t="s">
        <v>4380</v>
      </c>
      <c r="EO128" s="32">
        <v>3389.982861616113</v>
      </c>
      <c r="EP128" s="32">
        <v>85.804641848156677</v>
      </c>
      <c r="EQ128" s="32">
        <v>39.508152340000002</v>
      </c>
      <c r="EU128" t="str">
        <f>EN128</f>
        <v>Hellman &amp; Friedman</v>
      </c>
      <c r="EV128" s="18">
        <f>_xlfn.IFNA(INDEX($EJ$51:$EJ$251,MATCH($EU128,$EI$51:$EI$251,0),1),0)</f>
        <v>3155.4053195007123</v>
      </c>
      <c r="EW128" s="18">
        <f>_xlfn.IFNA(INDEX($EK$51:$EK$251,MATCH($EU128,$EI$51:$EI$251,0),1),0)</f>
        <v>79.132445699193937</v>
      </c>
      <c r="EX128" s="18">
        <f>_xlfn.IFNA(INDEX($EO$51:$EO$246,MATCH($EU128,$EN$51:$EN$246,0),1),0)</f>
        <v>3389.982861616113</v>
      </c>
      <c r="EY128" s="18">
        <f>_xlfn.IFNA(INDEX($EP$51:$EP$246,MATCH($EU128,$EN$51:$EN$246,0),1),0)</f>
        <v>85.804641848156677</v>
      </c>
      <c r="EZ128" s="18">
        <f>_xlfn.IFNA(EX128-EV128,"")</f>
        <v>234.57754211540077</v>
      </c>
      <c r="FA128" s="50">
        <f>EX128/EV128-1</f>
        <v>7.4341492887043392E-2</v>
      </c>
      <c r="FB128" s="50">
        <f>_xlfn.IFNA(EY128/EW128-1,"")</f>
        <v>8.4316819605522397E-2</v>
      </c>
      <c r="FC128" s="18">
        <f>-(_xlfn.IFNA(INDEX($EL$51:$EL$251,MATCH($EU128,$EI$51:$EI$251,0),1),0)-_xlfn.IFNA(INDEX($EQ$51:$EQ$246,MATCH($EU128,$EN$51:$EN$246,0),1),0))</f>
        <v>-0.36683561999999625</v>
      </c>
    </row>
    <row r="129" spans="30:159" x14ac:dyDescent="0.25">
      <c r="AO129" s="76"/>
      <c r="AQ129" s="25" t="s">
        <v>4602</v>
      </c>
      <c r="AR129">
        <v>0.17051558148199863</v>
      </c>
      <c r="AS129">
        <v>1.5807608586443515E-5</v>
      </c>
      <c r="AU129" s="79"/>
      <c r="AV129" s="32" t="s">
        <v>4560</v>
      </c>
      <c r="AW129" s="32">
        <v>657.87360349049345</v>
      </c>
      <c r="AX129" s="32">
        <v>6.0988024278759122E-2</v>
      </c>
      <c r="BE129" s="76"/>
      <c r="DN129">
        <v>9.9700000000000006</v>
      </c>
      <c r="DO129">
        <v>7.96</v>
      </c>
      <c r="DZ129" s="76"/>
      <c r="ED129" s="25" t="s">
        <v>4434</v>
      </c>
      <c r="EE129">
        <v>69.960531541860689</v>
      </c>
      <c r="EF129">
        <v>66.629077658914937</v>
      </c>
      <c r="EG129">
        <v>1.05</v>
      </c>
      <c r="EI129" s="32" t="s">
        <v>4615</v>
      </c>
      <c r="EJ129" s="32">
        <v>1742.0499801748715</v>
      </c>
      <c r="EK129" s="32">
        <v>13.582176673747636</v>
      </c>
      <c r="EL129" s="32">
        <v>128.26</v>
      </c>
      <c r="EN129" s="32" t="s">
        <v>4549</v>
      </c>
      <c r="EO129" s="32">
        <v>68.448908050212609</v>
      </c>
      <c r="EP129" s="32">
        <v>2.0701705932498737</v>
      </c>
      <c r="EQ129" s="32">
        <v>33.06438043</v>
      </c>
      <c r="EU129" t="str">
        <f>EN129</f>
        <v>Hermes</v>
      </c>
      <c r="EV129" s="18">
        <f>_xlfn.IFNA(INDEX($EJ$51:$EJ$251,MATCH($EU129,$EI$51:$EI$251,0),1),0)</f>
        <v>159.17592844453966</v>
      </c>
      <c r="EW129" s="18">
        <f>_xlfn.IFNA(INDEX($EK$51:$EK$251,MATCH($EU129,$EI$51:$EI$251,0),1),0)</f>
        <v>4.8717449112297402</v>
      </c>
      <c r="EX129" s="18">
        <f>_xlfn.IFNA(INDEX($EO$51:$EO$246,MATCH($EU129,$EN$51:$EN$246,0),1),0)</f>
        <v>68.448908050212609</v>
      </c>
      <c r="EY129" s="18">
        <f>_xlfn.IFNA(INDEX($EP$51:$EP$246,MATCH($EU129,$EN$51:$EN$246,0),1),0)</f>
        <v>2.0701705932498737</v>
      </c>
      <c r="EZ129" s="18">
        <f>_xlfn.IFNA(EX129-EV129,"")</f>
        <v>-90.727020394327056</v>
      </c>
      <c r="FA129" s="50">
        <f>EX129/EV129-1</f>
        <v>-0.56997952693543308</v>
      </c>
      <c r="FB129" s="50">
        <f>_xlfn.IFNA(EY129/EW129-1,"")</f>
        <v>-0.57506588892247334</v>
      </c>
      <c r="FC129" s="18">
        <f>-(_xlfn.IFNA(INDEX($EL$51:$EL$251,MATCH($EU129,$EI$51:$EI$251,0),1),0)-_xlfn.IFNA(INDEX($EQ$51:$EQ$246,MATCH($EU129,$EN$51:$EN$246,0),1),0))</f>
        <v>0.39109162999999825</v>
      </c>
    </row>
    <row r="130" spans="30:159" ht="15.75" thickBot="1" x14ac:dyDescent="0.3">
      <c r="AO130" s="76"/>
      <c r="AQ130" s="25" t="s">
        <v>4548</v>
      </c>
      <c r="AR130">
        <v>3482.9899232239331</v>
      </c>
      <c r="AS130">
        <v>0.32288979657066319</v>
      </c>
      <c r="AU130" s="79"/>
      <c r="AV130" s="32" t="s">
        <v>4593</v>
      </c>
      <c r="AW130" s="32">
        <v>3.9854066274713107E-2</v>
      </c>
      <c r="AX130" s="32">
        <v>3.6946622400918402E-6</v>
      </c>
      <c r="BE130" s="76"/>
      <c r="DZ130" s="76"/>
      <c r="ED130" s="25" t="s">
        <v>4376</v>
      </c>
      <c r="EE130">
        <v>658.73627035478319</v>
      </c>
      <c r="EF130">
        <v>29.011427025836653</v>
      </c>
      <c r="EG130">
        <v>22.706096800000001</v>
      </c>
      <c r="EI130" s="32" t="s">
        <v>4576</v>
      </c>
      <c r="EJ130" s="32">
        <v>2.601620911066467E-2</v>
      </c>
      <c r="EK130" s="32">
        <v>2.1533415793721471E-3</v>
      </c>
      <c r="EL130" s="32">
        <v>12.08178459</v>
      </c>
      <c r="EN130" s="32" t="s">
        <v>4506</v>
      </c>
      <c r="EO130" s="32">
        <v>869.21276477194965</v>
      </c>
      <c r="EP130" s="32">
        <v>2.9444589365709186</v>
      </c>
      <c r="EQ130" s="32">
        <v>295.20288226000002</v>
      </c>
      <c r="EU130" t="str">
        <f>EN130</f>
        <v>Huascacocha Finance Limited</v>
      </c>
      <c r="EV130" s="18">
        <f>_xlfn.IFNA(INDEX($EJ$51:$EJ$251,MATCH($EU130,$EI$51:$EI$251,0),1),0)</f>
        <v>1122.1745033207869</v>
      </c>
      <c r="EW130" s="18">
        <f>_xlfn.IFNA(INDEX($EK$51:$EK$251,MATCH($EU130,$EI$51:$EI$251,0),1),0)</f>
        <v>3.6824693263876762</v>
      </c>
      <c r="EX130" s="18">
        <f>_xlfn.IFNA(INDEX($EO$51:$EO$246,MATCH($EU130,$EN$51:$EN$246,0),1),0)</f>
        <v>869.21276477194965</v>
      </c>
      <c r="EY130" s="18">
        <f>_xlfn.IFNA(INDEX($EP$51:$EP$246,MATCH($EU130,$EN$51:$EN$246,0),1),0)</f>
        <v>2.9444589365709186</v>
      </c>
      <c r="EZ130" s="18">
        <f>_xlfn.IFNA(EX130-EV130,"")</f>
        <v>-252.96173854883727</v>
      </c>
      <c r="FA130" s="50">
        <f>EX130/EV130-1</f>
        <v>-0.22542103549872328</v>
      </c>
      <c r="FB130" s="50">
        <f>_xlfn.IFNA(EY130/EW130-1,"")</f>
        <v>-0.20041182272133407</v>
      </c>
      <c r="FC130" s="18">
        <f>-(_xlfn.IFNA(INDEX($EL$51:$EL$251,MATCH($EU130,$EI$51:$EI$251,0),1),0)-_xlfn.IFNA(INDEX($EQ$51:$EQ$246,MATCH($EU130,$EN$51:$EN$246,0),1),0))</f>
        <v>-9.5313609499999643</v>
      </c>
    </row>
    <row r="131" spans="30:159" x14ac:dyDescent="0.25">
      <c r="AD131" s="64" t="s">
        <v>4876</v>
      </c>
      <c r="AE131" s="65"/>
      <c r="AF131" s="57"/>
      <c r="AG131" s="66"/>
      <c r="AI131" s="64" t="s">
        <v>4876</v>
      </c>
      <c r="AJ131" s="65"/>
      <c r="AK131" s="57"/>
      <c r="AL131" s="66"/>
      <c r="AO131" s="76"/>
      <c r="AQ131" s="25" t="s">
        <v>4598</v>
      </c>
      <c r="AR131">
        <v>2.8442752209161995E-2</v>
      </c>
      <c r="AS131">
        <v>2.6367789391205873E-6</v>
      </c>
      <c r="AU131" s="79"/>
      <c r="AV131" s="32" t="s">
        <v>4599</v>
      </c>
      <c r="AW131" s="32">
        <v>2.8475564176510537E-3</v>
      </c>
      <c r="AX131" s="32">
        <v>2.6398207651653919E-7</v>
      </c>
      <c r="BE131" s="76"/>
      <c r="DZ131" s="76"/>
      <c r="ED131" s="25" t="s">
        <v>4380</v>
      </c>
      <c r="EE131">
        <v>3389.982861616113</v>
      </c>
      <c r="EF131">
        <v>85.804641848156677</v>
      </c>
      <c r="EG131">
        <v>39.508152340000002</v>
      </c>
      <c r="EI131" s="32" t="s">
        <v>4434</v>
      </c>
      <c r="EJ131" s="32">
        <v>66.228377247616464</v>
      </c>
      <c r="EK131" s="32">
        <v>63.074644997729962</v>
      </c>
      <c r="EL131" s="32">
        <v>1.05</v>
      </c>
      <c r="EN131" s="32" t="s">
        <v>4469</v>
      </c>
      <c r="EO131" s="32">
        <v>300.52542306807817</v>
      </c>
      <c r="EP131" s="32">
        <v>9.0890988779999997</v>
      </c>
      <c r="EQ131" s="32">
        <v>33.06438043</v>
      </c>
      <c r="EU131" t="str">
        <f>EN131</f>
        <v>Inca Rail</v>
      </c>
      <c r="EV131" s="18">
        <f>_xlfn.IFNA(INDEX($EJ$51:$EJ$251,MATCH($EU131,$EI$51:$EI$251,0),1),0)</f>
        <v>311.17629962870086</v>
      </c>
      <c r="EW131" s="18">
        <f>_xlfn.IFNA(INDEX($EK$51:$EK$251,MATCH($EU131,$EI$51:$EI$251,0),1),0)</f>
        <v>9.5238744263999777</v>
      </c>
      <c r="EX131" s="18">
        <f>_xlfn.IFNA(INDEX($EO$51:$EO$246,MATCH($EU131,$EN$51:$EN$246,0),1),0)</f>
        <v>300.52542306807817</v>
      </c>
      <c r="EY131" s="18">
        <f>_xlfn.IFNA(INDEX($EP$51:$EP$246,MATCH($EU131,$EN$51:$EN$246,0),1),0)</f>
        <v>9.0890988779999997</v>
      </c>
      <c r="EZ131" s="18">
        <f>_xlfn.IFNA(EX131-EV131,"")</f>
        <v>-10.650876560622692</v>
      </c>
      <c r="FA131" s="50">
        <f>EX131/EV131-1</f>
        <v>-3.4227788470174159E-2</v>
      </c>
      <c r="FB131" s="50">
        <f>_xlfn.IFNA(EY131/EW131-1,"")</f>
        <v>-4.5651121480013379E-2</v>
      </c>
      <c r="FC131" s="18">
        <f>-(_xlfn.IFNA(INDEX($EL$51:$EL$251,MATCH($EU131,$EI$51:$EI$251,0),1),0)-_xlfn.IFNA(INDEX($EQ$51:$EQ$246,MATCH($EU131,$EN$51:$EN$246,0),1),0))</f>
        <v>0.39109162999999825</v>
      </c>
    </row>
    <row r="132" spans="30:159" x14ac:dyDescent="0.25">
      <c r="AD132" s="67">
        <v>1</v>
      </c>
      <c r="AE132" s="37" t="s">
        <v>4516</v>
      </c>
      <c r="AF132" s="37" t="s">
        <v>4878</v>
      </c>
      <c r="AG132" s="110">
        <v>235797.52307626078</v>
      </c>
      <c r="AI132" s="67">
        <v>1</v>
      </c>
      <c r="AJ132" s="37" t="s">
        <v>4516</v>
      </c>
      <c r="AK132" s="37" t="s">
        <v>4878</v>
      </c>
      <c r="AL132" s="68">
        <v>25.577028883196331</v>
      </c>
      <c r="AO132" s="76"/>
      <c r="AQ132" s="25" t="s">
        <v>4415</v>
      </c>
      <c r="AR132">
        <v>4.4017981809969305E-2</v>
      </c>
      <c r="AS132">
        <v>4.0806770922025273E-6</v>
      </c>
      <c r="AU132" s="79"/>
      <c r="AV132" s="32" t="s">
        <v>4454</v>
      </c>
      <c r="AW132" s="32">
        <v>85.983887640407787</v>
      </c>
      <c r="AX132" s="32">
        <v>7.9711169427868125E-3</v>
      </c>
      <c r="BE132" s="76"/>
      <c r="DZ132" s="76"/>
      <c r="ED132" s="25" t="s">
        <v>4549</v>
      </c>
      <c r="EE132">
        <v>68.448908050212609</v>
      </c>
      <c r="EF132">
        <v>2.0701705932498737</v>
      </c>
      <c r="EG132">
        <v>33.06438043</v>
      </c>
      <c r="EI132" s="32" t="s">
        <v>4376</v>
      </c>
      <c r="EJ132" s="32">
        <v>832.76083091494888</v>
      </c>
      <c r="EK132" s="32">
        <v>34.116417930295505</v>
      </c>
      <c r="EL132" s="32">
        <v>24.409386489999999</v>
      </c>
      <c r="EN132" s="32" t="s">
        <v>4611</v>
      </c>
      <c r="EO132" s="32">
        <v>2989.8706460479907</v>
      </c>
      <c r="EP132" s="32">
        <v>140.69979510814073</v>
      </c>
      <c r="EQ132" s="32">
        <v>21.25</v>
      </c>
      <c r="EU132" t="str">
        <f>EN132</f>
        <v>Inretail Peru Corp</v>
      </c>
      <c r="EV132" s="18">
        <f>_xlfn.IFNA(INDEX($EJ$51:$EJ$251,MATCH($EU132,$EI$51:$EI$251,0),1),0)</f>
        <v>5339.5694010334655</v>
      </c>
      <c r="EW132" s="18">
        <f>_xlfn.IFNA(INDEX($EK$51:$EK$251,MATCH($EU132,$EI$51:$EI$251,0),1),0)</f>
        <v>197.68861166358627</v>
      </c>
      <c r="EX132" s="18">
        <f>_xlfn.IFNA(INDEX($EO$51:$EO$246,MATCH($EU132,$EN$51:$EN$246,0),1),0)</f>
        <v>2989.8706460479907</v>
      </c>
      <c r="EY132" s="18">
        <f>_xlfn.IFNA(INDEX($EP$51:$EP$246,MATCH($EU132,$EN$51:$EN$246,0),1),0)</f>
        <v>140.69979510814073</v>
      </c>
      <c r="EZ132" s="18">
        <f>_xlfn.IFNA(EX132-EV132,"")</f>
        <v>-2349.6987549854748</v>
      </c>
      <c r="FA132" s="50">
        <f>EX132/EV132-1</f>
        <v>-0.44005397786021738</v>
      </c>
      <c r="FB132" s="50">
        <f>_xlfn.IFNA(EY132/EW132-1,"")</f>
        <v>-0.28827566785903391</v>
      </c>
      <c r="FC132" s="18">
        <f>-(_xlfn.IFNA(INDEX($EL$51:$EL$251,MATCH($EU132,$EI$51:$EI$251,0),1),0)-_xlfn.IFNA(INDEX($EQ$51:$EQ$246,MATCH($EU132,$EN$51:$EN$246,0),1),0))</f>
        <v>-5.7600000000000016</v>
      </c>
    </row>
    <row r="133" spans="30:159" x14ac:dyDescent="0.25">
      <c r="AD133" s="67">
        <v>2</v>
      </c>
      <c r="AE133" s="37" t="s">
        <v>5548</v>
      </c>
      <c r="AF133" s="37" t="s">
        <v>4879</v>
      </c>
      <c r="AG133" s="110">
        <v>18418.092279576707</v>
      </c>
      <c r="AI133" s="67">
        <v>2</v>
      </c>
      <c r="AJ133" s="37" t="s">
        <v>5548</v>
      </c>
      <c r="AK133" s="37" t="s">
        <v>4879</v>
      </c>
      <c r="AL133" s="68">
        <v>1.9978160587198102</v>
      </c>
      <c r="AO133" s="76"/>
      <c r="AQ133" s="25" t="s">
        <v>4560</v>
      </c>
      <c r="AR133">
        <v>657.87360349049345</v>
      </c>
      <c r="AS133">
        <v>6.0988024278759122E-2</v>
      </c>
      <c r="AU133" s="79"/>
      <c r="AV133" s="32" t="s">
        <v>4555</v>
      </c>
      <c r="AW133" s="32">
        <v>1069.5709113271369</v>
      </c>
      <c r="AX133" s="32">
        <v>9.9154330500230425E-2</v>
      </c>
      <c r="BE133" s="76"/>
      <c r="ED133" s="25" t="s">
        <v>4506</v>
      </c>
      <c r="EE133">
        <v>869.21276477194965</v>
      </c>
      <c r="EF133">
        <v>2.9444589365709186</v>
      </c>
      <c r="EG133">
        <v>295.20288226000002</v>
      </c>
      <c r="EI133" s="32" t="s">
        <v>4380</v>
      </c>
      <c r="EJ133" s="32">
        <v>3155.4053195007123</v>
      </c>
      <c r="EK133" s="32">
        <v>79.132445699193937</v>
      </c>
      <c r="EL133" s="32">
        <v>39.874987959999999</v>
      </c>
      <c r="EN133" s="32" t="s">
        <v>4500</v>
      </c>
      <c r="EO133" s="32">
        <v>524.76676139851543</v>
      </c>
      <c r="EP133" s="32">
        <v>24.694906418753668</v>
      </c>
      <c r="EQ133" s="32">
        <v>21.25</v>
      </c>
      <c r="EU133" t="str">
        <f>EN133</f>
        <v>InRetail Shopping Malls</v>
      </c>
      <c r="EV133" s="18">
        <f>_xlfn.IFNA(INDEX($EJ$51:$EJ$251,MATCH($EU133,$EI$51:$EI$251,0),1),0)</f>
        <v>0</v>
      </c>
      <c r="EW133" s="18">
        <f>_xlfn.IFNA(INDEX($EK$51:$EK$251,MATCH($EU133,$EI$51:$EI$251,0),1),0)</f>
        <v>0</v>
      </c>
      <c r="EX133" s="18">
        <f>_xlfn.IFNA(INDEX($EO$51:$EO$246,MATCH($EU133,$EN$51:$EN$246,0),1),0)</f>
        <v>524.76676139851543</v>
      </c>
      <c r="EY133" s="18">
        <f>_xlfn.IFNA(INDEX($EP$51:$EP$246,MATCH($EU133,$EN$51:$EN$246,0),1),0)</f>
        <v>24.694906418753668</v>
      </c>
      <c r="EZ133" s="18">
        <f>_xlfn.IFNA(EX133-EV133,"")</f>
        <v>524.76676139851543</v>
      </c>
      <c r="FA133" s="50" t="e">
        <f>EX133/EV133-1</f>
        <v>#DIV/0!</v>
      </c>
      <c r="FB133" s="50" t="e">
        <f>_xlfn.IFNA(EY133/EW133-1,"")</f>
        <v>#DIV/0!</v>
      </c>
      <c r="FC133" s="18">
        <f>-(_xlfn.IFNA(INDEX($EL$51:$EL$251,MATCH($EU133,$EI$51:$EI$251,0),1),0)-_xlfn.IFNA(INDEX($EQ$51:$EQ$246,MATCH($EU133,$EN$51:$EN$246,0),1),0))</f>
        <v>21.25</v>
      </c>
    </row>
    <row r="134" spans="30:159" x14ac:dyDescent="0.25">
      <c r="AD134" s="67">
        <v>3</v>
      </c>
      <c r="AE134" s="37" t="s">
        <v>4446</v>
      </c>
      <c r="AF134" s="37" t="s">
        <v>4880</v>
      </c>
      <c r="AG134" s="110">
        <v>15297.363711057409</v>
      </c>
      <c r="AI134" s="67">
        <v>3</v>
      </c>
      <c r="AJ134" s="37" t="s">
        <v>4446</v>
      </c>
      <c r="AK134" s="37" t="s">
        <v>4880</v>
      </c>
      <c r="AL134" s="68">
        <v>1.6593096838762578</v>
      </c>
      <c r="AO134" s="76"/>
      <c r="AQ134" s="25" t="s">
        <v>4593</v>
      </c>
      <c r="AR134">
        <v>3.9854066274713107E-2</v>
      </c>
      <c r="AS134">
        <v>3.6946622400918402E-6</v>
      </c>
      <c r="AU134" s="79"/>
      <c r="AV134" s="32" t="s">
        <v>4559</v>
      </c>
      <c r="AW134" s="32">
        <v>279.65661829990682</v>
      </c>
      <c r="AX134" s="32">
        <v>2.5925503829455365E-2</v>
      </c>
      <c r="BE134" s="76"/>
      <c r="ED134" s="25" t="s">
        <v>4469</v>
      </c>
      <c r="EE134">
        <v>300.52542306807817</v>
      </c>
      <c r="EF134">
        <v>9.0890988779999997</v>
      </c>
      <c r="EG134">
        <v>33.06438043</v>
      </c>
      <c r="EI134" s="32" t="s">
        <v>4549</v>
      </c>
      <c r="EJ134" s="32">
        <v>159.17592844453966</v>
      </c>
      <c r="EK134" s="32">
        <v>4.8717449112297402</v>
      </c>
      <c r="EL134" s="32">
        <v>32.673288800000002</v>
      </c>
      <c r="EN134" s="32" t="s">
        <v>4499</v>
      </c>
      <c r="EO134" s="32">
        <v>19.531961204626796</v>
      </c>
      <c r="EP134" s="32">
        <v>27.509804513558869</v>
      </c>
      <c r="EQ134" s="32">
        <v>0.71</v>
      </c>
      <c r="EU134" t="str">
        <f>EN134</f>
        <v>Intercorp Perú</v>
      </c>
      <c r="EV134" s="18">
        <f>_xlfn.IFNA(INDEX($EJ$51:$EJ$251,MATCH($EU134,$EI$51:$EI$251,0),1),0)</f>
        <v>18.152321379091337</v>
      </c>
      <c r="EW134" s="18">
        <f>_xlfn.IFNA(INDEX($EK$51:$EK$251,MATCH($EU134,$EI$51:$EI$251,0),1),0)</f>
        <v>25.566649829706108</v>
      </c>
      <c r="EX134" s="18">
        <f>_xlfn.IFNA(INDEX($EO$51:$EO$246,MATCH($EU134,$EN$51:$EN$246,0),1),0)</f>
        <v>19.531961204626796</v>
      </c>
      <c r="EY134" s="18">
        <f>_xlfn.IFNA(INDEX($EP$51:$EP$246,MATCH($EU134,$EN$51:$EN$246,0),1),0)</f>
        <v>27.509804513558869</v>
      </c>
      <c r="EZ134" s="18">
        <f>_xlfn.IFNA(EX134-EV134,"")</f>
        <v>1.3796398255354596</v>
      </c>
      <c r="FA134" s="50">
        <f>EX134/EV134-1</f>
        <v>7.6003492706149922E-2</v>
      </c>
      <c r="FB134" s="50">
        <f>_xlfn.IFNA(EY134/EW134-1,"")</f>
        <v>7.6003492706150144E-2</v>
      </c>
      <c r="FC134" s="18">
        <f>-(_xlfn.IFNA(INDEX($EL$51:$EL$251,MATCH($EU134,$EI$51:$EI$251,0),1),0)-_xlfn.IFNA(INDEX($EQ$51:$EQ$246,MATCH($EU134,$EN$51:$EN$246,0),1),0))</f>
        <v>0</v>
      </c>
    </row>
    <row r="135" spans="30:159" x14ac:dyDescent="0.25">
      <c r="AD135" s="67">
        <v>4</v>
      </c>
      <c r="AE135" s="37" t="s">
        <v>4447</v>
      </c>
      <c r="AF135" s="37" t="s">
        <v>4881</v>
      </c>
      <c r="AG135" s="110">
        <v>11901.906816123459</v>
      </c>
      <c r="AI135" s="67">
        <v>4</v>
      </c>
      <c r="AJ135" s="37" t="s">
        <v>4447</v>
      </c>
      <c r="AK135" s="37" t="s">
        <v>4881</v>
      </c>
      <c r="AL135" s="68">
        <v>1.2910034440974516</v>
      </c>
      <c r="AO135" s="76"/>
      <c r="AQ135" s="25" t="s">
        <v>4599</v>
      </c>
      <c r="AR135">
        <v>2.8475564176510537E-3</v>
      </c>
      <c r="AS135">
        <v>2.6398207651653919E-7</v>
      </c>
      <c r="AU135" s="79"/>
      <c r="AV135" s="32" t="s">
        <v>2816</v>
      </c>
      <c r="AW135" s="32">
        <v>10984.675399526257</v>
      </c>
      <c r="AX135" s="32">
        <v>1.0183318595032764</v>
      </c>
      <c r="BE135" s="76"/>
      <c r="ED135" s="25" t="s">
        <v>4611</v>
      </c>
      <c r="EE135">
        <v>2989.8706460479907</v>
      </c>
      <c r="EF135">
        <v>140.69979510814073</v>
      </c>
      <c r="EG135">
        <v>21.25</v>
      </c>
      <c r="EI135" s="32" t="s">
        <v>4506</v>
      </c>
      <c r="EJ135" s="32">
        <v>1122.1745033207869</v>
      </c>
      <c r="EK135" s="32">
        <v>3.6824693263876762</v>
      </c>
      <c r="EL135" s="32">
        <v>304.73424320999999</v>
      </c>
      <c r="EN135" s="32" t="s">
        <v>4613</v>
      </c>
      <c r="EO135" s="32">
        <v>76.245796432799992</v>
      </c>
      <c r="EP135" s="32">
        <v>107.38844567999999</v>
      </c>
      <c r="EQ135" s="32">
        <v>0.71</v>
      </c>
      <c r="EU135" t="str">
        <f>EN135</f>
        <v>Intergroup</v>
      </c>
      <c r="EV135" s="18">
        <f>_xlfn.IFNA(INDEX($EJ$51:$EJ$251,MATCH($EU135,$EI$51:$EI$251,0),1),0)</f>
        <v>89.249281698600001</v>
      </c>
      <c r="EW135" s="18">
        <f>_xlfn.IFNA(INDEX($EK$51:$EK$251,MATCH($EU135,$EI$51:$EI$251,0),1),0)</f>
        <v>125.70321366</v>
      </c>
      <c r="EX135" s="18">
        <f>_xlfn.IFNA(INDEX($EO$51:$EO$246,MATCH($EU135,$EN$51:$EN$246,0),1),0)</f>
        <v>76.245796432799992</v>
      </c>
      <c r="EY135" s="18">
        <f>_xlfn.IFNA(INDEX($EP$51:$EP$246,MATCH($EU135,$EN$51:$EN$246,0),1),0)</f>
        <v>107.38844567999999</v>
      </c>
      <c r="EZ135" s="18">
        <f>_xlfn.IFNA(EX135-EV135,"")</f>
        <v>-13.003485265800009</v>
      </c>
      <c r="FA135" s="50">
        <f>EX135/EV135-1</f>
        <v>-0.14569848651234563</v>
      </c>
      <c r="FB135" s="50">
        <f>_xlfn.IFNA(EY135/EW135-1,"")</f>
        <v>-0.14569848651234563</v>
      </c>
      <c r="FC135" s="18">
        <f>-(_xlfn.IFNA(INDEX($EL$51:$EL$251,MATCH($EU135,$EI$51:$EI$251,0),1),0)-_xlfn.IFNA(INDEX($EQ$51:$EQ$246,MATCH($EU135,$EN$51:$EN$246,0),1),0))</f>
        <v>0</v>
      </c>
    </row>
    <row r="136" spans="30:159" ht="15.75" thickBot="1" x14ac:dyDescent="0.3">
      <c r="AD136" s="69" t="s">
        <v>4877</v>
      </c>
      <c r="AE136" s="70" t="s">
        <v>4877</v>
      </c>
      <c r="AF136" s="70" t="s">
        <v>4877</v>
      </c>
      <c r="AG136" s="111">
        <v>37886.719120089198</v>
      </c>
      <c r="AI136" s="69" t="s">
        <v>4877</v>
      </c>
      <c r="AJ136" s="70" t="s">
        <v>4877</v>
      </c>
      <c r="AK136" s="70" t="s">
        <v>4877</v>
      </c>
      <c r="AL136" s="71">
        <v>4.1095839200595456</v>
      </c>
      <c r="AO136" s="76"/>
      <c r="AQ136" s="25" t="s">
        <v>4454</v>
      </c>
      <c r="AR136">
        <v>85.983887640407787</v>
      </c>
      <c r="AS136">
        <v>7.9711169427868125E-3</v>
      </c>
      <c r="AU136" s="79"/>
      <c r="AV136" s="32" t="s">
        <v>4582</v>
      </c>
      <c r="AW136" s="32">
        <v>54.251395525263995</v>
      </c>
      <c r="AX136" s="32">
        <v>5.0293634064300556E-3</v>
      </c>
      <c r="BE136" s="76"/>
      <c r="ED136" s="25" t="s">
        <v>4500</v>
      </c>
      <c r="EE136">
        <v>524.76676139851543</v>
      </c>
      <c r="EF136">
        <v>24.694906418753668</v>
      </c>
      <c r="EG136">
        <v>21.25</v>
      </c>
      <c r="EI136" s="32" t="s">
        <v>4469</v>
      </c>
      <c r="EJ136" s="32">
        <v>311.17629962870086</v>
      </c>
      <c r="EK136" s="32">
        <v>9.5238744263999777</v>
      </c>
      <c r="EL136" s="32">
        <v>32.673288800000002</v>
      </c>
      <c r="EN136" s="32" t="s">
        <v>4552</v>
      </c>
      <c r="EO136" s="32">
        <v>426.16837356910094</v>
      </c>
      <c r="EP136" s="32">
        <v>34.852826711862889</v>
      </c>
      <c r="EQ136" s="32">
        <v>12.22765594</v>
      </c>
      <c r="EU136" t="str">
        <f>EN136</f>
        <v>Internacional de Titulos Soc. Titulizadora</v>
      </c>
      <c r="EV136" s="18">
        <f>_xlfn.IFNA(INDEX($EJ$51:$EJ$251,MATCH($EU136,$EI$51:$EI$251,0),1),0)</f>
        <v>405.81869870620477</v>
      </c>
      <c r="EW136" s="18">
        <f>_xlfn.IFNA(INDEX($EK$51:$EK$251,MATCH($EU136,$EI$51:$EI$251,0),1),0)</f>
        <v>33.979631170092119</v>
      </c>
      <c r="EX136" s="18">
        <f>_xlfn.IFNA(INDEX($EO$51:$EO$246,MATCH($EU136,$EN$51:$EN$246,0),1),0)</f>
        <v>426.16837356910094</v>
      </c>
      <c r="EY136" s="18">
        <f>_xlfn.IFNA(INDEX($EP$51:$EP$246,MATCH($EU136,$EN$51:$EN$246,0),1),0)</f>
        <v>34.852826711862889</v>
      </c>
      <c r="EZ136" s="18">
        <f>_xlfn.IFNA(EX136-EV136,"")</f>
        <v>20.349674862896165</v>
      </c>
      <c r="FA136" s="50">
        <f>EX136/EV136-1</f>
        <v>5.0144744260856466E-2</v>
      </c>
      <c r="FB136" s="50">
        <f>_xlfn.IFNA(EY136/EW136-1,"")</f>
        <v>2.5697616828146419E-2</v>
      </c>
      <c r="FC136" s="18">
        <f>-(_xlfn.IFNA(INDEX($EL$51:$EL$251,MATCH($EU136,$EI$51:$EI$251,0),1),0)-_xlfn.IFNA(INDEX($EQ$51:$EQ$246,MATCH($EU136,$EN$51:$EN$246,0),1),0))</f>
        <v>0.2846570100000001</v>
      </c>
    </row>
    <row r="137" spans="30:159" x14ac:dyDescent="0.25">
      <c r="AO137" s="76"/>
      <c r="AQ137" s="25" t="s">
        <v>4555</v>
      </c>
      <c r="AR137">
        <v>1069.5709113271369</v>
      </c>
      <c r="AS137">
        <v>9.9154330500230425E-2</v>
      </c>
      <c r="AU137" s="79"/>
      <c r="AV137" s="32" t="s">
        <v>4538</v>
      </c>
      <c r="AW137" s="32">
        <v>6.4185435514578533</v>
      </c>
      <c r="AX137" s="32">
        <v>5.9502963468003169E-4</v>
      </c>
      <c r="BE137" s="76"/>
      <c r="ED137" s="25" t="s">
        <v>4499</v>
      </c>
      <c r="EE137">
        <v>19.531961204626796</v>
      </c>
      <c r="EF137">
        <v>27.509804513558869</v>
      </c>
      <c r="EG137">
        <v>0.71</v>
      </c>
      <c r="EI137" s="32" t="s">
        <v>4611</v>
      </c>
      <c r="EJ137" s="32">
        <v>5339.5694010334655</v>
      </c>
      <c r="EK137" s="32">
        <v>197.68861166358627</v>
      </c>
      <c r="EL137" s="32">
        <v>27.01</v>
      </c>
      <c r="EN137" s="32" t="s">
        <v>2801</v>
      </c>
      <c r="EO137" s="32">
        <v>424.51447958127733</v>
      </c>
      <c r="EP137" s="32">
        <v>34.717568245649979</v>
      </c>
      <c r="EQ137" s="32">
        <v>12.22765594</v>
      </c>
      <c r="EU137" t="str">
        <f>EN137</f>
        <v>Inversiones Nacionales de Turismo S.A.</v>
      </c>
      <c r="EV137" s="18">
        <f>_xlfn.IFNA(INDEX($EJ$51:$EJ$251,MATCH($EU137,$EI$51:$EI$251,0),1),0)</f>
        <v>395.54763289381316</v>
      </c>
      <c r="EW137" s="18">
        <f>_xlfn.IFNA(INDEX($EK$51:$EK$251,MATCH($EU137,$EI$51:$EI$251,0),1),0)</f>
        <v>33.119623907879991</v>
      </c>
      <c r="EX137" s="18">
        <f>_xlfn.IFNA(INDEX($EO$51:$EO$246,MATCH($EU137,$EN$51:$EN$246,0),1),0)</f>
        <v>424.51447958127733</v>
      </c>
      <c r="EY137" s="18">
        <f>_xlfn.IFNA(INDEX($EP$51:$EP$246,MATCH($EU137,$EN$51:$EN$246,0),1),0)</f>
        <v>34.717568245649979</v>
      </c>
      <c r="EZ137" s="18">
        <f>_xlfn.IFNA(EX137-EV137,"")</f>
        <v>28.966846687464169</v>
      </c>
      <c r="FA137" s="50">
        <f>EX137/EV137-1</f>
        <v>7.3232258971046571E-2</v>
      </c>
      <c r="FB137" s="50">
        <f>_xlfn.IFNA(EY137/EW137-1,"")</f>
        <v>4.8247659520970432E-2</v>
      </c>
      <c r="FC137" s="18">
        <f>-(_xlfn.IFNA(INDEX($EL$51:$EL$251,MATCH($EU137,$EI$51:$EI$251,0),1),0)-_xlfn.IFNA(INDEX($EQ$51:$EQ$246,MATCH($EU137,$EN$51:$EN$246,0),1),0))</f>
        <v>0.2846570100000001</v>
      </c>
    </row>
    <row r="138" spans="30:159" x14ac:dyDescent="0.25">
      <c r="AD138" t="s">
        <v>5775</v>
      </c>
      <c r="AF138" t="s">
        <v>5774</v>
      </c>
      <c r="AG138" s="99">
        <f>AF143*AL138</f>
        <v>6663637.7142152088</v>
      </c>
      <c r="AI138" t="s">
        <v>5775</v>
      </c>
      <c r="AK138" t="s">
        <v>5774</v>
      </c>
      <c r="AL138" s="99">
        <v>401.09930501999997</v>
      </c>
      <c r="AO138" s="76"/>
      <c r="AQ138" s="25" t="s">
        <v>4559</v>
      </c>
      <c r="AR138">
        <v>279.65661829990682</v>
      </c>
      <c r="AS138">
        <v>2.5925503829455365E-2</v>
      </c>
      <c r="AU138" s="79"/>
      <c r="AV138" s="32" t="s">
        <v>2810</v>
      </c>
      <c r="AW138" s="32">
        <v>94.293818098204184</v>
      </c>
      <c r="AX138" s="32">
        <v>8.7414871747370157E-3</v>
      </c>
      <c r="BE138" s="76"/>
      <c r="ED138" s="25" t="s">
        <v>4613</v>
      </c>
      <c r="EE138">
        <v>76.245796432799992</v>
      </c>
      <c r="EF138">
        <v>107.38844567999999</v>
      </c>
      <c r="EG138">
        <v>0.71</v>
      </c>
      <c r="EI138" s="32" t="s">
        <v>4499</v>
      </c>
      <c r="EJ138" s="32">
        <v>18.152321379091337</v>
      </c>
      <c r="EK138" s="32">
        <v>25.566649829706108</v>
      </c>
      <c r="EL138" s="32">
        <v>0.71</v>
      </c>
      <c r="EN138" s="32" t="s">
        <v>4572</v>
      </c>
      <c r="EO138" s="32">
        <v>1.6164593277108485E-3</v>
      </c>
      <c r="EP138" s="32">
        <v>2.4397798060043442E-5</v>
      </c>
      <c r="EQ138" s="32">
        <v>66.254312119999994</v>
      </c>
      <c r="EU138" t="str">
        <f>EN138</f>
        <v>Invesco  - Euro Equity Fund</v>
      </c>
      <c r="EV138" s="18">
        <f>_xlfn.IFNA(INDEX($EJ$51:$EJ$251,MATCH($EU138,$EI$51:$EI$251,0),1),0)</f>
        <v>1.450997648743194E-3</v>
      </c>
      <c r="EW138" s="18">
        <f>_xlfn.IFNA(INDEX($EK$51:$EK$251,MATCH($EU138,$EI$51:$EI$251,0),1),0)</f>
        <v>2.195967188021819E-5</v>
      </c>
      <c r="EX138" s="18">
        <f>_xlfn.IFNA(INDEX($EO$51:$EO$246,MATCH($EU138,$EN$51:$EN$246,0),1),0)</f>
        <v>1.6164593277108485E-3</v>
      </c>
      <c r="EY138" s="18">
        <f>_xlfn.IFNA(INDEX($EP$51:$EP$246,MATCH($EU138,$EN$51:$EN$246,0),1),0)</f>
        <v>2.4397798060043442E-5</v>
      </c>
      <c r="EZ138" s="18">
        <f>_xlfn.IFNA(EX138-EV138,"")</f>
        <v>1.6546167896765445E-4</v>
      </c>
      <c r="FA138" s="50">
        <f>EX138/EV138-1</f>
        <v>0.11403304416859106</v>
      </c>
      <c r="FB138" s="50">
        <f>_xlfn.IFNA(EY138/EW138-1,"")</f>
        <v>0.11102744126252517</v>
      </c>
      <c r="FC138" s="18">
        <f>-(_xlfn.IFNA(INDEX($EL$51:$EL$251,MATCH($EU138,$EI$51:$EI$251,0),1),0)-_xlfn.IFNA(INDEX($EQ$51:$EQ$246,MATCH($EU138,$EN$51:$EN$246,0),1),0))</f>
        <v>0.17875066999999945</v>
      </c>
    </row>
    <row r="139" spans="30:159" x14ac:dyDescent="0.25">
      <c r="AO139" s="76"/>
      <c r="AQ139" s="25" t="s">
        <v>2816</v>
      </c>
      <c r="AR139">
        <v>10984.675399526257</v>
      </c>
      <c r="AS139">
        <v>1.0183318595032764</v>
      </c>
      <c r="AU139" s="79"/>
      <c r="AV139" s="32" t="s">
        <v>4554</v>
      </c>
      <c r="AW139" s="32">
        <v>173.64494988461053</v>
      </c>
      <c r="AX139" s="32">
        <v>1.6097715979570489E-2</v>
      </c>
      <c r="BE139" s="76"/>
      <c r="ED139" s="25" t="s">
        <v>4552</v>
      </c>
      <c r="EE139">
        <v>426.16837356910094</v>
      </c>
      <c r="EF139">
        <v>34.852826711862889</v>
      </c>
      <c r="EG139">
        <v>12.22765594</v>
      </c>
      <c r="EI139" s="32" t="s">
        <v>4613</v>
      </c>
      <c r="EJ139" s="32">
        <v>89.249281698600001</v>
      </c>
      <c r="EK139" s="32">
        <v>125.70321366</v>
      </c>
      <c r="EL139" s="32">
        <v>0.71</v>
      </c>
      <c r="EN139" s="32" t="s">
        <v>4570</v>
      </c>
      <c r="EO139" s="32">
        <v>3.0513708646724745E-3</v>
      </c>
      <c r="EP139" s="32">
        <v>4.9429610104436316E-5</v>
      </c>
      <c r="EQ139" s="32">
        <v>61.731639360000003</v>
      </c>
      <c r="EU139" t="str">
        <f>EN139</f>
        <v>Janus Henderson - Horizon Euroland Fund</v>
      </c>
      <c r="EV139" s="18">
        <f>_xlfn.IFNA(INDEX($EJ$51:$EJ$251,MATCH($EU139,$EI$51:$EI$251,0),1),0)</f>
        <v>2.6029742040577231E-3</v>
      </c>
      <c r="EW139" s="18">
        <f>_xlfn.IFNA(INDEX($EK$51:$EK$251,MATCH($EU139,$EI$51:$EI$251,0),1),0)</f>
        <v>4.4752815763108093E-5</v>
      </c>
      <c r="EX139" s="18">
        <f>_xlfn.IFNA(INDEX($EO$51:$EO$246,MATCH($EU139,$EN$51:$EN$246,0),1),0)</f>
        <v>3.0513708646724745E-3</v>
      </c>
      <c r="EY139" s="18">
        <f>_xlfn.IFNA(INDEX($EP$51:$EP$246,MATCH($EU139,$EN$51:$EN$246,0),1),0)</f>
        <v>4.9429610104436316E-5</v>
      </c>
      <c r="EZ139" s="18">
        <f>_xlfn.IFNA(EX139-EV139,"")</f>
        <v>4.4839666061475148E-4</v>
      </c>
      <c r="FA139" s="50">
        <f>EX139/EV139-1</f>
        <v>0.17226319796629386</v>
      </c>
      <c r="FB139" s="50">
        <f>_xlfn.IFNA(EY139/EW139-1,"")</f>
        <v>0.10450279522263117</v>
      </c>
      <c r="FC139" s="18">
        <f>-(_xlfn.IFNA(INDEX($EL$51:$EL$251,MATCH($EU139,$EI$51:$EI$251,0),1),0)-_xlfn.IFNA(INDEX($EQ$51:$EQ$246,MATCH($EU139,$EN$51:$EN$246,0),1),0))</f>
        <v>3.5682778000000042</v>
      </c>
    </row>
    <row r="140" spans="30:159" x14ac:dyDescent="0.25">
      <c r="AO140" s="76"/>
      <c r="AQ140" s="25" t="s">
        <v>4582</v>
      </c>
      <c r="AR140">
        <v>54.251395525263995</v>
      </c>
      <c r="AS140">
        <v>5.0293634064300556E-3</v>
      </c>
      <c r="AU140" s="79"/>
      <c r="AV140" s="32" t="s">
        <v>4592</v>
      </c>
      <c r="AW140" s="32">
        <v>1.9547089734137602E-2</v>
      </c>
      <c r="AX140" s="32">
        <v>1.8121085524020331E-6</v>
      </c>
      <c r="BE140" s="76"/>
      <c r="ED140" s="25" t="s">
        <v>2801</v>
      </c>
      <c r="EE140">
        <v>424.51447958127733</v>
      </c>
      <c r="EF140">
        <v>34.717568245649979</v>
      </c>
      <c r="EG140">
        <v>12.22765594</v>
      </c>
      <c r="EI140" s="32" t="s">
        <v>4552</v>
      </c>
      <c r="EJ140" s="32">
        <v>405.81869870620477</v>
      </c>
      <c r="EK140" s="32">
        <v>33.979631170092119</v>
      </c>
      <c r="EL140" s="32">
        <v>11.94299893</v>
      </c>
      <c r="EN140" s="32" t="s">
        <v>4468</v>
      </c>
      <c r="EO140" s="32">
        <v>207.9495212275404</v>
      </c>
      <c r="EP140" s="32">
        <v>17.006491043576126</v>
      </c>
      <c r="EQ140" s="32">
        <v>12.22765594</v>
      </c>
      <c r="EU140" t="str">
        <f>EN140</f>
        <v>Jockey Plaza</v>
      </c>
      <c r="EV140" s="18">
        <f>_xlfn.IFNA(INDEX($EJ$51:$EJ$251,MATCH($EU140,$EI$51:$EI$251,0),1),0)</f>
        <v>192.87247639300335</v>
      </c>
      <c r="EW140" s="18">
        <f>_xlfn.IFNA(INDEX($EK$51:$EK$251,MATCH($EU140,$EI$51:$EI$251,0),1),0)</f>
        <v>16.149417539385421</v>
      </c>
      <c r="EX140" s="18">
        <f>_xlfn.IFNA(INDEX($EO$51:$EO$246,MATCH($EU140,$EN$51:$EN$246,0),1),0)</f>
        <v>207.9495212275404</v>
      </c>
      <c r="EY140" s="18">
        <f>_xlfn.IFNA(INDEX($EP$51:$EP$246,MATCH($EU140,$EN$51:$EN$246,0),1),0)</f>
        <v>17.006491043576126</v>
      </c>
      <c r="EZ140" s="18">
        <f>_xlfn.IFNA(EX140-EV140,"")</f>
        <v>15.077044834537048</v>
      </c>
      <c r="FA140" s="50">
        <f>EX140/EV140-1</f>
        <v>7.8171054348965541E-2</v>
      </c>
      <c r="FB140" s="50">
        <f>_xlfn.IFNA(EY140/EW140-1,"")</f>
        <v>5.3071480881614619E-2</v>
      </c>
      <c r="FC140" s="18">
        <f>-(_xlfn.IFNA(INDEX($EL$51:$EL$251,MATCH($EU140,$EI$51:$EI$251,0),1),0)-_xlfn.IFNA(INDEX($EQ$51:$EQ$246,MATCH($EU140,$EN$51:$EN$246,0),1),0))</f>
        <v>0.2846570100000001</v>
      </c>
    </row>
    <row r="141" spans="30:159" x14ac:dyDescent="0.25">
      <c r="AH141">
        <v>6449184.0176738799</v>
      </c>
      <c r="AO141" s="76"/>
      <c r="AQ141" s="25" t="s">
        <v>4538</v>
      </c>
      <c r="AR141">
        <v>6.4185435514578533</v>
      </c>
      <c r="AS141">
        <v>5.9502963468003169E-4</v>
      </c>
      <c r="AU141" s="79"/>
      <c r="AV141" t="s">
        <v>4485</v>
      </c>
      <c r="AW141">
        <v>73832.967420074201</v>
      </c>
      <c r="AX141">
        <v>6.844668619772925</v>
      </c>
      <c r="BE141" s="76"/>
      <c r="ED141" s="25" t="s">
        <v>4572</v>
      </c>
      <c r="EE141">
        <v>1.6164593277108485E-3</v>
      </c>
      <c r="EF141">
        <v>2.4397798060043442E-5</v>
      </c>
      <c r="EG141">
        <v>66.254312119999994</v>
      </c>
      <c r="EI141" s="32" t="s">
        <v>2801</v>
      </c>
      <c r="EJ141" s="32">
        <v>395.54763289381316</v>
      </c>
      <c r="EK141" s="32">
        <v>33.119623907879991</v>
      </c>
      <c r="EL141" s="32">
        <v>11.94299893</v>
      </c>
      <c r="EN141" s="32" t="s">
        <v>4577</v>
      </c>
      <c r="EO141" s="32">
        <v>1206.0612790854618</v>
      </c>
      <c r="EP141" s="32">
        <v>53.041409311919992</v>
      </c>
      <c r="EQ141" s="32">
        <v>22.738107729999999</v>
      </c>
      <c r="EU141" t="str">
        <f>EN141</f>
        <v>JP Morgan - Japan Equity Fund - C</v>
      </c>
      <c r="EV141" s="18">
        <f>_xlfn.IFNA(INDEX($EJ$51:$EJ$251,MATCH($EU141,$EI$51:$EI$251,0),1),0)</f>
        <v>2053.5203062758765</v>
      </c>
      <c r="EW141" s="18">
        <f>_xlfn.IFNA(INDEX($EK$51:$EK$251,MATCH($EU141,$EI$51:$EI$251,0),1),0)</f>
        <v>92.151821679399973</v>
      </c>
      <c r="EX141" s="18">
        <f>_xlfn.IFNA(INDEX($EO$51:$EO$246,MATCH($EU141,$EN$51:$EN$246,0),1),0)</f>
        <v>1206.0612790854618</v>
      </c>
      <c r="EY141" s="18">
        <f>_xlfn.IFNA(INDEX($EP$51:$EP$246,MATCH($EU141,$EN$51:$EN$246,0),1),0)</f>
        <v>53.041409311919992</v>
      </c>
      <c r="EZ141" s="18">
        <f>_xlfn.IFNA(EX141-EV141,"")</f>
        <v>-847.45902719041464</v>
      </c>
      <c r="FA141" s="50">
        <f>EX141/EV141-1</f>
        <v>-0.41268597374004456</v>
      </c>
      <c r="FB141" s="50">
        <f>_xlfn.IFNA(EY141/EW141-1,"")</f>
        <v>-0.42441279678167121</v>
      </c>
      <c r="FC141" s="18">
        <f>-(_xlfn.IFNA(INDEX($EL$51:$EL$251,MATCH($EU141,$EI$51:$EI$251,0),1),0)-_xlfn.IFNA(INDEX($EQ$51:$EQ$246,MATCH($EU141,$EN$51:$EN$246,0),1),0))</f>
        <v>0.45400885000000102</v>
      </c>
    </row>
    <row r="142" spans="30:159" x14ac:dyDescent="0.25">
      <c r="AD142" t="s">
        <v>5773</v>
      </c>
      <c r="AO142" s="76"/>
      <c r="AQ142" s="25" t="s">
        <v>2810</v>
      </c>
      <c r="AR142">
        <v>94.293818098204184</v>
      </c>
      <c r="AS142">
        <v>8.7414871747370157E-3</v>
      </c>
      <c r="AU142" s="79"/>
      <c r="AV142" s="32" t="s">
        <v>4608</v>
      </c>
      <c r="AW142" s="32">
        <v>1004.3440403302147</v>
      </c>
      <c r="AX142" s="32">
        <v>9.3107488111538572E-2</v>
      </c>
      <c r="BE142" s="76"/>
      <c r="ED142" s="25" t="s">
        <v>4570</v>
      </c>
      <c r="EE142">
        <v>3.0513708646724745E-3</v>
      </c>
      <c r="EF142">
        <v>4.9429610104436316E-5</v>
      </c>
      <c r="EG142">
        <v>61.731639360000003</v>
      </c>
      <c r="EI142" s="32" t="s">
        <v>4572</v>
      </c>
      <c r="EJ142" s="32">
        <v>1.450997648743194E-3</v>
      </c>
      <c r="EK142" s="32">
        <v>2.195967188021819E-5</v>
      </c>
      <c r="EL142" s="32">
        <v>66.075561449999995</v>
      </c>
      <c r="EN142" s="32" t="s">
        <v>4399</v>
      </c>
      <c r="EO142" s="32">
        <v>78.83560181851044</v>
      </c>
      <c r="EP142" s="32">
        <v>2.5160987414085509</v>
      </c>
      <c r="EQ142" s="32">
        <v>31.33247536</v>
      </c>
      <c r="EU142" t="str">
        <f>EN142</f>
        <v>Kandeo - II Private Equity</v>
      </c>
      <c r="EV142" s="18">
        <f>_xlfn.IFNA(INDEX($EJ$51:$EJ$251,MATCH($EU142,$EI$51:$EI$251,0),1),0)</f>
        <v>82.632618632133457</v>
      </c>
      <c r="EW142" s="18">
        <f>_xlfn.IFNA(INDEX($EK$51:$EK$251,MATCH($EU142,$EI$51:$EI$251,0),1),0)</f>
        <v>2.8492291021930312</v>
      </c>
      <c r="EX142" s="18">
        <f>_xlfn.IFNA(INDEX($EO$51:$EO$246,MATCH($EU142,$EN$51:$EN$246,0),1),0)</f>
        <v>78.83560181851044</v>
      </c>
      <c r="EY142" s="18">
        <f>_xlfn.IFNA(INDEX($EP$51:$EP$246,MATCH($EU142,$EN$51:$EN$246,0),1),0)</f>
        <v>2.5160987414085509</v>
      </c>
      <c r="EZ142" s="18">
        <f>_xlfn.IFNA(EX142-EV142,"")</f>
        <v>-3.7970168136230171</v>
      </c>
      <c r="FA142" s="50">
        <f>EX142/EV142-1</f>
        <v>-4.5950580732854407E-2</v>
      </c>
      <c r="FB142" s="50">
        <f>_xlfn.IFNA(EY142/EW142-1,"")</f>
        <v>-0.11691947149075244</v>
      </c>
      <c r="FC142" s="18">
        <f>-(_xlfn.IFNA(INDEX($EL$51:$EL$251,MATCH($EU142,$EI$51:$EI$251,0),1),0)-_xlfn.IFNA(INDEX($EQ$51:$EQ$246,MATCH($EU142,$EN$51:$EN$246,0),1),0))</f>
        <v>2.3307293899999983</v>
      </c>
    </row>
    <row r="143" spans="30:159" x14ac:dyDescent="0.25">
      <c r="AD143" t="s">
        <v>5774</v>
      </c>
      <c r="AE143" s="157">
        <v>16613436201</v>
      </c>
      <c r="AF143" s="7">
        <f t="shared" ref="AF143" si="21">AE143/1000000</f>
        <v>16613.436201</v>
      </c>
      <c r="AO143" s="76"/>
      <c r="AQ143" s="25" t="s">
        <v>4554</v>
      </c>
      <c r="AR143">
        <v>173.64494988461053</v>
      </c>
      <c r="AS143">
        <v>1.6097715979570489E-2</v>
      </c>
      <c r="AU143" s="79"/>
      <c r="AV143" s="32" t="s">
        <v>4567</v>
      </c>
      <c r="AW143" s="32">
        <v>11948.059286420574</v>
      </c>
      <c r="AX143" s="32">
        <v>1.1076421458135022</v>
      </c>
      <c r="BE143" s="76"/>
      <c r="ED143" s="25" t="s">
        <v>4468</v>
      </c>
      <c r="EE143">
        <v>207.9495212275404</v>
      </c>
      <c r="EF143">
        <v>17.006491043576126</v>
      </c>
      <c r="EG143">
        <v>12.22765594</v>
      </c>
      <c r="EI143" s="32" t="s">
        <v>4570</v>
      </c>
      <c r="EJ143" s="32">
        <v>2.6029742040577231E-3</v>
      </c>
      <c r="EK143" s="32">
        <v>4.4752815763108093E-5</v>
      </c>
      <c r="EL143" s="32">
        <v>58.163361559999998</v>
      </c>
      <c r="EN143" s="32" t="s">
        <v>4372</v>
      </c>
      <c r="EO143" s="32">
        <v>2160.5921490467631</v>
      </c>
      <c r="EP143" s="32">
        <v>95.154714087485218</v>
      </c>
      <c r="EQ143" s="32">
        <v>22.706096800000001</v>
      </c>
      <c r="EU143" t="str">
        <f>EN143</f>
        <v>KKR</v>
      </c>
      <c r="EV143" s="18">
        <f>_xlfn.IFNA(INDEX($EJ$51:$EJ$251,MATCH($EU143,$EI$51:$EI$251,0),1),0)</f>
        <v>2229.706608191776</v>
      </c>
      <c r="EW143" s="18">
        <f>_xlfn.IFNA(INDEX($EK$51:$EK$251,MATCH($EU143,$EI$51:$EI$251,0),1),0)</f>
        <v>91.346278166607703</v>
      </c>
      <c r="EX143" s="18">
        <f>_xlfn.IFNA(INDEX($EO$51:$EO$246,MATCH($EU143,$EN$51:$EN$246,0),1),0)</f>
        <v>2160.5921490467631</v>
      </c>
      <c r="EY143" s="18">
        <f>_xlfn.IFNA(INDEX($EP$51:$EP$246,MATCH($EU143,$EN$51:$EN$246,0),1),0)</f>
        <v>95.154714087485218</v>
      </c>
      <c r="EZ143" s="18">
        <f>_xlfn.IFNA(EX143-EV143,"")</f>
        <v>-69.114459145012916</v>
      </c>
      <c r="FA143" s="50">
        <f>EX143/EV143-1</f>
        <v>-3.0997109167229198E-2</v>
      </c>
      <c r="FB143" s="50">
        <f>_xlfn.IFNA(EY143/EW143-1,"")</f>
        <v>4.1692294391362683E-2</v>
      </c>
      <c r="FC143" s="18">
        <f>-(_xlfn.IFNA(INDEX($EL$51:$EL$251,MATCH($EU143,$EI$51:$EI$251,0),1),0)-_xlfn.IFNA(INDEX($EQ$51:$EQ$246,MATCH($EU143,$EN$51:$EN$246,0),1),0))</f>
        <v>-1.7032896899999983</v>
      </c>
    </row>
    <row r="144" spans="30:159" x14ac:dyDescent="0.25">
      <c r="AO144" s="76"/>
      <c r="AQ144" s="25" t="s">
        <v>4592</v>
      </c>
      <c r="AR144">
        <v>1.9547089734137602E-2</v>
      </c>
      <c r="AS144">
        <v>1.8121085524020331E-6</v>
      </c>
      <c r="AU144" s="79"/>
      <c r="AV144" s="32" t="s">
        <v>4449</v>
      </c>
      <c r="AW144" s="32">
        <v>0.18848870524210354</v>
      </c>
      <c r="AX144" s="32">
        <v>1.7473802977631395E-5</v>
      </c>
      <c r="BE144" s="76"/>
      <c r="ED144" s="25" t="s">
        <v>4577</v>
      </c>
      <c r="EE144">
        <v>1206.0612790854618</v>
      </c>
      <c r="EF144">
        <v>53.041409311919992</v>
      </c>
      <c r="EG144">
        <v>22.738107729999999</v>
      </c>
      <c r="EI144" s="32" t="s">
        <v>4468</v>
      </c>
      <c r="EJ144" s="32">
        <v>192.87247639300335</v>
      </c>
      <c r="EK144" s="32">
        <v>16.149417539385421</v>
      </c>
      <c r="EL144" s="32">
        <v>11.94299893</v>
      </c>
      <c r="EN144" s="32" t="s">
        <v>4596</v>
      </c>
      <c r="EO144" s="32">
        <v>326.71962493110021</v>
      </c>
      <c r="EP144" s="32">
        <v>46.086164250000003</v>
      </c>
      <c r="EQ144" s="32">
        <v>7.0893212800000001</v>
      </c>
      <c r="EU144" t="str">
        <f>EN144</f>
        <v>Krane - CSI China Internet Fund</v>
      </c>
      <c r="EV144" s="18">
        <f>_xlfn.IFNA(INDEX($EJ$51:$EJ$251,MATCH($EU144,$EI$51:$EI$251,0),1),0)</f>
        <v>1365.9507906826307</v>
      </c>
      <c r="EW144" s="18">
        <f>_xlfn.IFNA(INDEX($EK$51:$EK$251,MATCH($EU144,$EI$51:$EI$251,0),1),0)</f>
        <v>166.85352499999999</v>
      </c>
      <c r="EX144" s="18">
        <f>_xlfn.IFNA(INDEX($EO$51:$EO$246,MATCH($EU144,$EN$51:$EN$246,0),1),0)</f>
        <v>326.71962493110021</v>
      </c>
      <c r="EY144" s="18">
        <f>_xlfn.IFNA(INDEX($EP$51:$EP$246,MATCH($EU144,$EN$51:$EN$246,0),1),0)</f>
        <v>46.086164250000003</v>
      </c>
      <c r="EZ144" s="18">
        <f>_xlfn.IFNA(EX144-EV144,"")</f>
        <v>-1039.2311657515304</v>
      </c>
      <c r="FA144" s="50">
        <f>EX144/EV144-1</f>
        <v>-0.76081157010947453</v>
      </c>
      <c r="FB144" s="50">
        <f>_xlfn.IFNA(EY144/EW144-1,"")</f>
        <v>-0.7237926843319612</v>
      </c>
      <c r="FC144" s="18">
        <f>-(_xlfn.IFNA(INDEX($EL$51:$EL$251,MATCH($EU144,$EI$51:$EI$251,0),1),0)-_xlfn.IFNA(INDEX($EQ$51:$EQ$246,MATCH($EU144,$EN$51:$EN$246,0),1),0))</f>
        <v>-1.0972051399999998</v>
      </c>
    </row>
    <row r="145" spans="30:159" x14ac:dyDescent="0.25">
      <c r="AO145" s="76"/>
      <c r="AQ145" s="25" t="s">
        <v>4485</v>
      </c>
      <c r="AR145">
        <v>73832.967420074201</v>
      </c>
      <c r="AS145">
        <v>6.844668619772925</v>
      </c>
      <c r="AU145" s="79"/>
      <c r="AV145" s="32" t="s">
        <v>4450</v>
      </c>
      <c r="AW145" s="32">
        <v>0.31870268673802027</v>
      </c>
      <c r="AX145" s="32">
        <v>2.9545260812041407E-5</v>
      </c>
      <c r="BE145" s="76"/>
      <c r="ED145" s="25" t="s">
        <v>4399</v>
      </c>
      <c r="EE145">
        <v>78.83560181851044</v>
      </c>
      <c r="EF145">
        <v>2.5160987414085509</v>
      </c>
      <c r="EG145">
        <v>31.33247536</v>
      </c>
      <c r="EI145" s="32" t="s">
        <v>4580</v>
      </c>
      <c r="EJ145" s="32">
        <v>5246.6223374279207</v>
      </c>
      <c r="EK145" s="32">
        <v>106.207257</v>
      </c>
      <c r="EL145" s="32">
        <v>49.399847860000001</v>
      </c>
      <c r="EN145" s="32" t="s">
        <v>4396</v>
      </c>
      <c r="EO145" s="32">
        <v>462.20482162575979</v>
      </c>
      <c r="EP145" s="32">
        <v>11.698973357399982</v>
      </c>
      <c r="EQ145" s="32">
        <v>39.508152340000002</v>
      </c>
      <c r="EU145" t="str">
        <f>EN145</f>
        <v>LarraínVial - Energía I</v>
      </c>
      <c r="EV145" s="18">
        <f>_xlfn.IFNA(INDEX($EJ$51:$EJ$251,MATCH($EU145,$EI$51:$EI$251,0),1),0)</f>
        <v>472.85292108322972</v>
      </c>
      <c r="EW145" s="18">
        <f>_xlfn.IFNA(INDEX($EK$51:$EK$251,MATCH($EU145,$EI$51:$EI$251,0),1),0)</f>
        <v>11.858384046599966</v>
      </c>
      <c r="EX145" s="18">
        <f>_xlfn.IFNA(INDEX($EO$51:$EO$246,MATCH($EU145,$EN$51:$EN$246,0),1),0)</f>
        <v>462.20482162575979</v>
      </c>
      <c r="EY145" s="18">
        <f>_xlfn.IFNA(INDEX($EP$51:$EP$246,MATCH($EU145,$EN$51:$EN$246,0),1),0)</f>
        <v>11.698973357399982</v>
      </c>
      <c r="EZ145" s="18">
        <f>_xlfn.IFNA(EX145-EV145,"")</f>
        <v>-10.648099457469925</v>
      </c>
      <c r="FA145" s="50">
        <f>EX145/EV145-1</f>
        <v>-2.2518840389262773E-2</v>
      </c>
      <c r="FB145" s="50">
        <f>_xlfn.IFNA(EY145/EW145-1,"")</f>
        <v>-1.3442867811798487E-2</v>
      </c>
      <c r="FC145" s="18">
        <f>-(_xlfn.IFNA(INDEX($EL$51:$EL$251,MATCH($EU145,$EI$51:$EI$251,0),1),0)-_xlfn.IFNA(INDEX($EQ$51:$EQ$246,MATCH($EU145,$EN$51:$EN$246,0),1),0))</f>
        <v>-0.36683561999999625</v>
      </c>
    </row>
    <row r="146" spans="30:159" x14ac:dyDescent="0.25">
      <c r="AO146" s="76"/>
      <c r="AQ146" s="25" t="s">
        <v>4608</v>
      </c>
      <c r="AR146">
        <v>1004.3440403302147</v>
      </c>
      <c r="AS146">
        <v>9.3107488111538572E-2</v>
      </c>
      <c r="AU146" s="79"/>
      <c r="AV146" s="32" t="s">
        <v>4601</v>
      </c>
      <c r="AW146" s="32">
        <v>0.16998472806193204</v>
      </c>
      <c r="AX146" s="32">
        <v>1.5758395939668046E-5</v>
      </c>
      <c r="BE146" s="76"/>
      <c r="ED146" s="25" t="s">
        <v>4372</v>
      </c>
      <c r="EE146">
        <v>2160.5921490467631</v>
      </c>
      <c r="EF146">
        <v>95.154714087485218</v>
      </c>
      <c r="EG146">
        <v>22.706096800000001</v>
      </c>
      <c r="EI146" s="32" t="s">
        <v>4577</v>
      </c>
      <c r="EJ146" s="32">
        <v>2053.5203062758765</v>
      </c>
      <c r="EK146" s="32">
        <v>92.151821679399973</v>
      </c>
      <c r="EL146" s="32">
        <v>22.284098879999998</v>
      </c>
      <c r="EN146" s="32" t="s">
        <v>4407</v>
      </c>
      <c r="EO146" s="32">
        <v>472.33876592651905</v>
      </c>
      <c r="EP146" s="32">
        <v>15.075054252799994</v>
      </c>
      <c r="EQ146" s="32">
        <v>31.33247536</v>
      </c>
      <c r="EU146" t="str">
        <f>EN146</f>
        <v>LarraínVial Colliers - Fibra II</v>
      </c>
      <c r="EV146" s="18">
        <f>_xlfn.IFNA(INDEX($EJ$51:$EJ$251,MATCH($EU146,$EI$51:$EI$251,0),1),0)</f>
        <v>582.51969811193783</v>
      </c>
      <c r="EW146" s="18">
        <f>_xlfn.IFNA(INDEX($EK$51:$EK$251,MATCH($EU146,$EI$51:$EI$251,0),1),0)</f>
        <v>20.085676866299984</v>
      </c>
      <c r="EX146" s="18">
        <f>_xlfn.IFNA(INDEX($EO$51:$EO$246,MATCH($EU146,$EN$51:$EN$246,0),1),0)</f>
        <v>472.33876592651905</v>
      </c>
      <c r="EY146" s="18">
        <f>_xlfn.IFNA(INDEX($EP$51:$EP$246,MATCH($EU146,$EN$51:$EN$246,0),1),0)</f>
        <v>15.075054252799994</v>
      </c>
      <c r="EZ146" s="18">
        <f>_xlfn.IFNA(EX146-EV146,"")</f>
        <v>-110.18093218541878</v>
      </c>
      <c r="FA146" s="50">
        <f>EX146/EV146-1</f>
        <v>-0.18914541867431622</v>
      </c>
      <c r="FB146" s="50">
        <f>_xlfn.IFNA(EY146/EW146-1,"")</f>
        <v>-0.24946247252970988</v>
      </c>
      <c r="FC146" s="18">
        <f>-(_xlfn.IFNA(INDEX($EL$51:$EL$251,MATCH($EU146,$EI$51:$EI$251,0),1),0)-_xlfn.IFNA(INDEX($EQ$51:$EQ$246,MATCH($EU146,$EN$51:$EN$246,0),1),0))</f>
        <v>2.3307293899999983</v>
      </c>
    </row>
    <row r="147" spans="30:159" x14ac:dyDescent="0.25">
      <c r="AO147" s="76"/>
      <c r="AQ147" s="25" t="s">
        <v>4567</v>
      </c>
      <c r="AR147">
        <v>11948.059286420574</v>
      </c>
      <c r="AS147">
        <v>1.1076421458135022</v>
      </c>
      <c r="AU147" s="79"/>
      <c r="AV147" s="32" t="s">
        <v>4981</v>
      </c>
      <c r="AW147" s="32">
        <v>4211.3266850111604</v>
      </c>
      <c r="AX147" s="32">
        <v>0.39041009207319299</v>
      </c>
      <c r="BE147" s="76"/>
      <c r="ED147" s="25" t="s">
        <v>4596</v>
      </c>
      <c r="EE147">
        <v>326.71962493110021</v>
      </c>
      <c r="EF147">
        <v>46.086164250000003</v>
      </c>
      <c r="EG147">
        <v>7.0893212800000001</v>
      </c>
      <c r="EI147" s="32" t="s">
        <v>4399</v>
      </c>
      <c r="EJ147" s="32">
        <v>82.632618632133457</v>
      </c>
      <c r="EK147" s="32">
        <v>2.8492291021930312</v>
      </c>
      <c r="EL147" s="32">
        <v>29.001745970000002</v>
      </c>
      <c r="EN147" s="32" t="s">
        <v>4408</v>
      </c>
      <c r="EO147" s="32">
        <v>891.29819878397484</v>
      </c>
      <c r="EP147" s="32">
        <v>28.44646612</v>
      </c>
      <c r="EQ147" s="32">
        <v>31.33247536</v>
      </c>
      <c r="EU147" t="str">
        <f>EN147</f>
        <v>LarraínVial Colliers - Fibra III</v>
      </c>
      <c r="EV147" s="18">
        <f>_xlfn.IFNA(INDEX($EJ$51:$EJ$251,MATCH($EU147,$EI$51:$EI$251,0),1),0)</f>
        <v>852.68367078489632</v>
      </c>
      <c r="EW147" s="18">
        <f>_xlfn.IFNA(INDEX($EK$51:$EK$251,MATCH($EU147,$EI$51:$EI$251,0),1),0)</f>
        <v>29.40111508</v>
      </c>
      <c r="EX147" s="18">
        <f>_xlfn.IFNA(INDEX($EO$51:$EO$246,MATCH($EU147,$EN$51:$EN$246,0),1),0)</f>
        <v>891.29819878397484</v>
      </c>
      <c r="EY147" s="18">
        <f>_xlfn.IFNA(INDEX($EP$51:$EP$246,MATCH($EU147,$EN$51:$EN$246,0),1),0)</f>
        <v>28.44646612</v>
      </c>
      <c r="EZ147" s="18">
        <f>_xlfn.IFNA(EX147-EV147,"")</f>
        <v>38.614527999078518</v>
      </c>
      <c r="FA147" s="50">
        <f>EX147/EV147-1</f>
        <v>4.5285877192340118E-2</v>
      </c>
      <c r="FB147" s="50">
        <f>_xlfn.IFNA(EY147/EW147-1,"")</f>
        <v>-3.2469821549366951E-2</v>
      </c>
      <c r="FC147" s="18">
        <f>-(_xlfn.IFNA(INDEX($EL$51:$EL$251,MATCH($EU147,$EI$51:$EI$251,0),1),0)-_xlfn.IFNA(INDEX($EQ$51:$EQ$246,MATCH($EU147,$EN$51:$EN$246,0),1),0))</f>
        <v>2.3307293899999983</v>
      </c>
    </row>
    <row r="148" spans="30:159" x14ac:dyDescent="0.25">
      <c r="AO148" s="76"/>
      <c r="AQ148" s="25" t="s">
        <v>4449</v>
      </c>
      <c r="AR148">
        <v>0.18848870524210354</v>
      </c>
      <c r="AS148">
        <v>1.7473802977631395E-5</v>
      </c>
      <c r="AU148" s="79"/>
      <c r="AV148" s="32" t="s">
        <v>4426</v>
      </c>
      <c r="AW148" s="32">
        <v>3701.2611860542415</v>
      </c>
      <c r="AX148" s="32">
        <v>0.34312458484339659</v>
      </c>
      <c r="BE148" s="76"/>
      <c r="ED148" s="25" t="s">
        <v>4396</v>
      </c>
      <c r="EE148">
        <v>462.20482162575979</v>
      </c>
      <c r="EF148">
        <v>11.698973357399982</v>
      </c>
      <c r="EG148">
        <v>39.508152340000002</v>
      </c>
      <c r="EI148" s="32" t="s">
        <v>4372</v>
      </c>
      <c r="EJ148" s="32">
        <v>2229.706608191776</v>
      </c>
      <c r="EK148" s="32">
        <v>91.346278166607703</v>
      </c>
      <c r="EL148" s="32">
        <v>24.409386489999999</v>
      </c>
      <c r="EN148" s="32" t="s">
        <v>4411</v>
      </c>
      <c r="EO148" s="32">
        <v>0.12447591783404577</v>
      </c>
      <c r="EP148" s="32">
        <v>1.7739299999999997E-3</v>
      </c>
      <c r="EQ148" s="32">
        <v>70.169577059999995</v>
      </c>
      <c r="EU148" t="str">
        <f>EN148</f>
        <v>Lazard - Convertible Global Fund</v>
      </c>
      <c r="EV148" s="18">
        <f>_xlfn.IFNA(INDEX($EJ$51:$EJ$251,MATCH($EU148,$EI$51:$EI$251,0),1),0)</f>
        <v>0.14057026638286452</v>
      </c>
      <c r="EW148" s="18">
        <f>_xlfn.IFNA(INDEX($EK$51:$EK$251,MATCH($EU148,$EI$51:$EI$251,0),1),0)</f>
        <v>1.6417700000000001E-3</v>
      </c>
      <c r="EX148" s="18">
        <f>_xlfn.IFNA(INDEX($EO$51:$EO$246,MATCH($EU148,$EN$51:$EN$246,0),1),0)</f>
        <v>0.12447591783404577</v>
      </c>
      <c r="EY148" s="18">
        <f>_xlfn.IFNA(INDEX($EP$51:$EP$246,MATCH($EU148,$EN$51:$EN$246,0),1),0)</f>
        <v>1.7739299999999997E-3</v>
      </c>
      <c r="EZ148" s="18">
        <f>_xlfn.IFNA(EX148-EV148,"")</f>
        <v>-1.6094348548818749E-2</v>
      </c>
      <c r="FA148" s="50">
        <f>EX148/EV148-1</f>
        <v>-0.11449326349701394</v>
      </c>
      <c r="FB148" s="50">
        <f>_xlfn.IFNA(EY148/EW148-1,"")</f>
        <v>8.0498486389688928E-2</v>
      </c>
      <c r="FC148" s="18">
        <f>-(_xlfn.IFNA(INDEX($EL$51:$EL$251,MATCH($EU148,$EI$51:$EI$251,0),1),0)-_xlfn.IFNA(INDEX($EQ$51:$EQ$246,MATCH($EU148,$EN$51:$EN$246,0),1),0))</f>
        <v>-15.451591790000009</v>
      </c>
    </row>
    <row r="149" spans="30:159" x14ac:dyDescent="0.25">
      <c r="AO149" s="76"/>
      <c r="AQ149" s="25" t="s">
        <v>4450</v>
      </c>
      <c r="AR149">
        <v>0.31870268673802027</v>
      </c>
      <c r="AS149">
        <v>2.9545260812041407E-5</v>
      </c>
      <c r="AU149" s="79"/>
      <c r="AV149" s="32" t="s">
        <v>4451</v>
      </c>
      <c r="AW149" s="32">
        <v>8277.4832326003398</v>
      </c>
      <c r="AX149" s="32">
        <v>0.76736221924451475</v>
      </c>
      <c r="BE149" s="76"/>
      <c r="ED149" s="25" t="s">
        <v>4407</v>
      </c>
      <c r="EE149">
        <v>472.33876592651905</v>
      </c>
      <c r="EF149">
        <v>15.075054252799994</v>
      </c>
      <c r="EG149">
        <v>31.33247536</v>
      </c>
      <c r="EI149" s="32" t="s">
        <v>4596</v>
      </c>
      <c r="EJ149" s="32">
        <v>1365.9507906826307</v>
      </c>
      <c r="EK149" s="32">
        <v>166.85352499999999</v>
      </c>
      <c r="EL149" s="32">
        <v>8.1865264199999999</v>
      </c>
      <c r="EN149" s="32" t="s">
        <v>4418</v>
      </c>
      <c r="EO149" s="32">
        <v>0.15189112064219351</v>
      </c>
      <c r="EP149" s="32">
        <v>5.4293559655389928E-2</v>
      </c>
      <c r="EQ149" s="32">
        <v>2.7975900199999999</v>
      </c>
      <c r="EU149" t="str">
        <f>EN149</f>
        <v>Lazard Capital Fi</v>
      </c>
      <c r="EV149" s="18">
        <f>_xlfn.IFNA(INDEX($EJ$51:$EJ$251,MATCH($EU149,$EI$51:$EI$251,0),1),0)</f>
        <v>0.10653758653606168</v>
      </c>
      <c r="EW149" s="18">
        <f>_xlfn.IFNA(INDEX($EK$51:$EK$251,MATCH($EU149,$EI$51:$EI$251,0),1),0)</f>
        <v>5.1058058476010235E-2</v>
      </c>
      <c r="EX149" s="18">
        <f>_xlfn.IFNA(INDEX($EO$51:$EO$246,MATCH($EU149,$EN$51:$EN$246,0),1),0)</f>
        <v>0.15189112064219351</v>
      </c>
      <c r="EY149" s="18">
        <f>_xlfn.IFNA(INDEX($EP$51:$EP$246,MATCH($EU149,$EN$51:$EN$246,0),1),0)</f>
        <v>5.4293559655389928E-2</v>
      </c>
      <c r="EZ149" s="18">
        <f>_xlfn.IFNA(EX149-EV149,"")</f>
        <v>4.5353534106131826E-2</v>
      </c>
      <c r="FA149" s="50">
        <f>EX149/EV149-1</f>
        <v>0.42570453847084488</v>
      </c>
      <c r="FB149" s="50">
        <f>_xlfn.IFNA(EY149/EW149-1,"")</f>
        <v>6.3369060163145585E-2</v>
      </c>
      <c r="FC149" s="18">
        <f>-(_xlfn.IFNA(INDEX($EL$51:$EL$251,MATCH($EU149,$EI$51:$EI$251,0),1),0)-_xlfn.IFNA(INDEX($EQ$51:$EQ$246,MATCH($EU149,$EN$51:$EN$246,0),1),0))</f>
        <v>0.71099311999999992</v>
      </c>
    </row>
    <row r="150" spans="30:159" x14ac:dyDescent="0.25">
      <c r="AD150">
        <v>3.23</v>
      </c>
      <c r="AE150">
        <v>4.0199999999999996</v>
      </c>
      <c r="AO150" s="76"/>
      <c r="AQ150" s="25" t="s">
        <v>4601</v>
      </c>
      <c r="AR150">
        <v>0.16998472806193204</v>
      </c>
      <c r="AS150">
        <v>1.5758395939668046E-5</v>
      </c>
      <c r="AU150" s="79"/>
      <c r="AV150" s="32" t="s">
        <v>4534</v>
      </c>
      <c r="AW150" s="32">
        <v>6131.1982820687908</v>
      </c>
      <c r="AX150" s="32">
        <v>0.56839135618260306</v>
      </c>
      <c r="BE150" s="76"/>
      <c r="ED150" s="25" t="s">
        <v>4408</v>
      </c>
      <c r="EE150">
        <v>891.29819878397484</v>
      </c>
      <c r="EF150">
        <v>28.44646612</v>
      </c>
      <c r="EG150">
        <v>31.33247536</v>
      </c>
      <c r="EI150" s="32" t="s">
        <v>4396</v>
      </c>
      <c r="EJ150" s="32">
        <v>472.85292108322972</v>
      </c>
      <c r="EK150" s="32">
        <v>11.858384046599966</v>
      </c>
      <c r="EL150" s="32">
        <v>39.874987959999999</v>
      </c>
      <c r="EN150" s="32" t="s">
        <v>4385</v>
      </c>
      <c r="EO150" s="32">
        <v>2277.2664546850583</v>
      </c>
      <c r="EP150" s="32">
        <v>57.640418997256958</v>
      </c>
      <c r="EQ150" s="32">
        <v>39.508152340000002</v>
      </c>
      <c r="EU150" t="str">
        <f>EN150</f>
        <v>Lexington Partners GP Holdings VIII LLC</v>
      </c>
      <c r="EV150" s="18">
        <f>_xlfn.IFNA(INDEX($EJ$51:$EJ$251,MATCH($EU150,$EI$51:$EI$251,0),1),0)</f>
        <v>2686.3546114238643</v>
      </c>
      <c r="EW150" s="18">
        <f>_xlfn.IFNA(INDEX($EK$51:$EK$251,MATCH($EU150,$EI$51:$EI$251,0),1),0)</f>
        <v>67.36941498562058</v>
      </c>
      <c r="EX150" s="18">
        <f>_xlfn.IFNA(INDEX($EO$51:$EO$246,MATCH($EU150,$EN$51:$EN$246,0),1),0)</f>
        <v>2277.2664546850583</v>
      </c>
      <c r="EY150" s="18">
        <f>_xlfn.IFNA(INDEX($EP$51:$EP$246,MATCH($EU150,$EN$51:$EN$246,0),1),0)</f>
        <v>57.640418997256958</v>
      </c>
      <c r="EZ150" s="18">
        <f>_xlfn.IFNA(EX150-EV150,"")</f>
        <v>-409.08815673880599</v>
      </c>
      <c r="FA150" s="50">
        <f>EX150/EV150-1</f>
        <v>-0.15228375099815084</v>
      </c>
      <c r="FB150" s="50">
        <f>_xlfn.IFNA(EY150/EW150-1,"")</f>
        <v>-0.14441265358234434</v>
      </c>
      <c r="FC150" s="18">
        <f>-(_xlfn.IFNA(INDEX($EL$51:$EL$251,MATCH($EU150,$EI$51:$EI$251,0),1),0)-_xlfn.IFNA(INDEX($EQ$51:$EQ$246,MATCH($EU150,$EN$51:$EN$246,0),1),0))</f>
        <v>-0.36683561999999625</v>
      </c>
    </row>
    <row r="151" spans="30:159" x14ac:dyDescent="0.25">
      <c r="AD151">
        <v>13.41</v>
      </c>
      <c r="AE151">
        <v>6</v>
      </c>
      <c r="AO151" s="76"/>
      <c r="AQ151" s="25" t="s">
        <v>6629</v>
      </c>
      <c r="AR151">
        <v>3.6515457169210626E-2</v>
      </c>
      <c r="AS151">
        <v>3.3851572347179416E-6</v>
      </c>
      <c r="AU151" s="79"/>
      <c r="AV151" s="32" t="s">
        <v>4590</v>
      </c>
      <c r="AW151" s="32">
        <v>3554.9637612687916</v>
      </c>
      <c r="AX151" s="32">
        <v>0.32956211502032529</v>
      </c>
      <c r="BE151" s="76"/>
      <c r="ED151" s="25" t="s">
        <v>4411</v>
      </c>
      <c r="EE151">
        <v>0.12447591783404577</v>
      </c>
      <c r="EF151">
        <v>1.7739299999999997E-3</v>
      </c>
      <c r="EG151">
        <v>70.169577059999995</v>
      </c>
      <c r="EI151" s="32" t="s">
        <v>4407</v>
      </c>
      <c r="EJ151" s="32">
        <v>582.51969811193783</v>
      </c>
      <c r="EK151" s="32">
        <v>20.085676866299984</v>
      </c>
      <c r="EL151" s="32">
        <v>29.001745970000002</v>
      </c>
      <c r="EN151" s="32" t="s">
        <v>4526</v>
      </c>
      <c r="EO151" s="32">
        <v>2597.8491888880753</v>
      </c>
      <c r="EP151" s="32">
        <v>78.569419874294468</v>
      </c>
      <c r="EQ151" s="32">
        <v>33.06438043</v>
      </c>
      <c r="EU151" t="str">
        <f>EN151</f>
        <v>Línea Amarilla S.A.C.</v>
      </c>
      <c r="EV151" s="18">
        <f>_xlfn.IFNA(INDEX($EJ$51:$EJ$251,MATCH($EU151,$EI$51:$EI$251,0),1),0)</f>
        <v>2546.7485762525216</v>
      </c>
      <c r="EW151" s="18">
        <f>_xlfn.IFNA(INDEX($EK$51:$EK$251,MATCH($EU151,$EI$51:$EI$251,0),1),0)</f>
        <v>77.94589004619948</v>
      </c>
      <c r="EX151" s="18">
        <f>_xlfn.IFNA(INDEX($EO$51:$EO$246,MATCH($EU151,$EN$51:$EN$246,0),1),0)</f>
        <v>2597.8491888880753</v>
      </c>
      <c r="EY151" s="18">
        <f>_xlfn.IFNA(INDEX($EP$51:$EP$246,MATCH($EU151,$EN$51:$EN$246,0),1),0)</f>
        <v>78.569419874294468</v>
      </c>
      <c r="EZ151" s="18">
        <f>_xlfn.IFNA(EX151-EV151,"")</f>
        <v>51.100612635553716</v>
      </c>
      <c r="FA151" s="50">
        <f>EX151/EV151-1</f>
        <v>2.0065040228960163E-2</v>
      </c>
      <c r="FB151" s="50">
        <f>_xlfn.IFNA(EY151/EW151-1,"")</f>
        <v>7.9995215620145554E-3</v>
      </c>
      <c r="FC151" s="18">
        <f>-(_xlfn.IFNA(INDEX($EL$51:$EL$251,MATCH($EU151,$EI$51:$EI$251,0),1),0)-_xlfn.IFNA(INDEX($EQ$51:$EQ$246,MATCH($EU151,$EN$51:$EN$246,0),1),0))</f>
        <v>0.39109162999999825</v>
      </c>
    </row>
    <row r="152" spans="30:159" x14ac:dyDescent="0.25">
      <c r="AO152" s="76"/>
      <c r="AQ152" s="25" t="s">
        <v>6628</v>
      </c>
      <c r="AR152">
        <v>4211.2901695539913</v>
      </c>
      <c r="AS152">
        <v>0.3904067069159583</v>
      </c>
      <c r="AU152" s="79"/>
      <c r="AV152" s="32" t="s">
        <v>4589</v>
      </c>
      <c r="AW152" s="32">
        <v>55.746326971350726</v>
      </c>
      <c r="AX152" s="32">
        <v>5.1679506895271135E-3</v>
      </c>
      <c r="BE152" s="76"/>
      <c r="ED152" s="25" t="s">
        <v>4418</v>
      </c>
      <c r="EE152">
        <v>0.15189112064219351</v>
      </c>
      <c r="EF152">
        <v>5.4293559655389928E-2</v>
      </c>
      <c r="EG152">
        <v>2.7975900199999999</v>
      </c>
      <c r="EI152" s="32" t="s">
        <v>4408</v>
      </c>
      <c r="EJ152" s="32">
        <v>852.68367078489632</v>
      </c>
      <c r="EK152" s="32">
        <v>29.40111508</v>
      </c>
      <c r="EL152" s="32">
        <v>29.001745970000002</v>
      </c>
      <c r="EN152" s="32" t="s">
        <v>4400</v>
      </c>
      <c r="EO152" s="32">
        <v>126.31470933979263</v>
      </c>
      <c r="EP152" s="32">
        <v>4.0314309000000002</v>
      </c>
      <c r="EQ152" s="32">
        <v>31.33247536</v>
      </c>
      <c r="EU152" t="str">
        <f>EN152</f>
        <v>Macrocapitales - Fortaleza</v>
      </c>
      <c r="EV152" s="18">
        <f>_xlfn.IFNA(INDEX($EJ$51:$EJ$251,MATCH($EU152,$EI$51:$EI$251,0),1),0)</f>
        <v>200.57876504045873</v>
      </c>
      <c r="EW152" s="18">
        <f>_xlfn.IFNA(INDEX($EK$51:$EK$251,MATCH($EU152,$EI$51:$EI$251,0),1),0)</f>
        <v>6.9160927500000007</v>
      </c>
      <c r="EX152" s="18">
        <f>_xlfn.IFNA(INDEX($EO$51:$EO$246,MATCH($EU152,$EN$51:$EN$246,0),1),0)</f>
        <v>126.31470933979263</v>
      </c>
      <c r="EY152" s="18">
        <f>_xlfn.IFNA(INDEX($EP$51:$EP$246,MATCH($EU152,$EN$51:$EN$246,0),1),0)</f>
        <v>4.0314309000000002</v>
      </c>
      <c r="EZ152" s="18">
        <f>_xlfn.IFNA(EX152-EV152,"")</f>
        <v>-74.264055700666106</v>
      </c>
      <c r="FA152" s="50">
        <f>EX152/EV152-1</f>
        <v>-0.37024884307013406</v>
      </c>
      <c r="FB152" s="50">
        <f>_xlfn.IFNA(EY152/EW152-1,"")</f>
        <v>-0.41709415334257915</v>
      </c>
      <c r="FC152" s="18">
        <f>-(_xlfn.IFNA(INDEX($EL$51:$EL$251,MATCH($EU152,$EI$51:$EI$251,0),1),0)-_xlfn.IFNA(INDEX($EQ$51:$EQ$246,MATCH($EU152,$EN$51:$EN$246,0),1),0))</f>
        <v>2.3307293899999983</v>
      </c>
    </row>
    <row r="153" spans="30:159" x14ac:dyDescent="0.25">
      <c r="AO153" s="76"/>
      <c r="AQ153" s="25" t="s">
        <v>4426</v>
      </c>
      <c r="AR153">
        <v>3701.2611860542415</v>
      </c>
      <c r="AS153">
        <v>0.34312458484339659</v>
      </c>
      <c r="AU153" s="79"/>
      <c r="AV153" s="32" t="s">
        <v>4587</v>
      </c>
      <c r="AW153" s="32">
        <v>75.707104036086008</v>
      </c>
      <c r="AX153" s="32">
        <v>7.018410032762587E-3</v>
      </c>
      <c r="BE153" s="76"/>
      <c r="ED153" s="25" t="s">
        <v>4385</v>
      </c>
      <c r="EE153">
        <v>2277.2664546850583</v>
      </c>
      <c r="EF153">
        <v>57.640418997256958</v>
      </c>
      <c r="EG153">
        <v>39.508152340000002</v>
      </c>
      <c r="EI153" s="32" t="s">
        <v>4411</v>
      </c>
      <c r="EJ153" s="32">
        <v>0.14057026638286452</v>
      </c>
      <c r="EK153" s="32">
        <v>1.6417700000000001E-3</v>
      </c>
      <c r="EL153" s="32">
        <v>85.621168850000004</v>
      </c>
      <c r="EN153" s="32" t="s">
        <v>4524</v>
      </c>
      <c r="EO153" s="32">
        <v>899.50508124203384</v>
      </c>
      <c r="EP153" s="32">
        <v>28.708395072748374</v>
      </c>
      <c r="EQ153" s="32">
        <v>31.33247536</v>
      </c>
      <c r="EU153" t="str">
        <f>EN153</f>
        <v>Macrocapitales SAFI S.A.</v>
      </c>
      <c r="EV153" s="18">
        <f>_xlfn.IFNA(INDEX($EJ$51:$EJ$251,MATCH($EU153,$EI$51:$EI$251,0),1),0)</f>
        <v>849.7201228251372</v>
      </c>
      <c r="EW153" s="18">
        <f>_xlfn.IFNA(INDEX($EK$51:$EK$251,MATCH($EU153,$EI$51:$EI$251,0),1),0)</f>
        <v>29.298929923188247</v>
      </c>
      <c r="EX153" s="18">
        <f>_xlfn.IFNA(INDEX($EO$51:$EO$246,MATCH($EU153,$EN$51:$EN$246,0),1),0)</f>
        <v>899.50508124203384</v>
      </c>
      <c r="EY153" s="18">
        <f>_xlfn.IFNA(INDEX($EP$51:$EP$246,MATCH($EU153,$EN$51:$EN$246,0),1),0)</f>
        <v>28.708395072748374</v>
      </c>
      <c r="EZ153" s="18">
        <f>_xlfn.IFNA(EX153-EV153,"")</f>
        <v>49.784958416896643</v>
      </c>
      <c r="FA153" s="50">
        <f>EX153/EV153-1</f>
        <v>5.8589831027388461E-2</v>
      </c>
      <c r="FB153" s="50">
        <f>_xlfn.IFNA(EY153/EW153-1,"")</f>
        <v>-2.0155509159824336E-2</v>
      </c>
      <c r="FC153" s="18">
        <f>-(_xlfn.IFNA(INDEX($EL$51:$EL$251,MATCH($EU153,$EI$51:$EI$251,0),1),0)-_xlfn.IFNA(INDEX($EQ$51:$EQ$246,MATCH($EU153,$EN$51:$EN$246,0),1),0))</f>
        <v>2.3307293899999983</v>
      </c>
    </row>
    <row r="154" spans="30:159" x14ac:dyDescent="0.25">
      <c r="AO154" s="76"/>
      <c r="AQ154" s="25" t="s">
        <v>4451</v>
      </c>
      <c r="AR154">
        <v>8277.4832326003398</v>
      </c>
      <c r="AS154">
        <v>0.76736221924451475</v>
      </c>
      <c r="AU154" s="79"/>
      <c r="AV154" s="32" t="s">
        <v>4588</v>
      </c>
      <c r="AW154" s="32">
        <v>922.99653313383601</v>
      </c>
      <c r="AX154" s="32">
        <v>8.5566185773845727E-2</v>
      </c>
      <c r="BE154" s="76"/>
      <c r="ED154" s="25" t="s">
        <v>4526</v>
      </c>
      <c r="EE154">
        <v>2597.8491888880753</v>
      </c>
      <c r="EF154">
        <v>78.569419874294468</v>
      </c>
      <c r="EG154">
        <v>33.06438043</v>
      </c>
      <c r="EI154" s="32" t="s">
        <v>4418</v>
      </c>
      <c r="EJ154" s="32">
        <v>0.10653758653606168</v>
      </c>
      <c r="EK154" s="32">
        <v>5.1058058476010235E-2</v>
      </c>
      <c r="EL154" s="32">
        <v>2.0865969</v>
      </c>
      <c r="EN154" s="32" t="s">
        <v>4573</v>
      </c>
      <c r="EO154" s="32">
        <v>2.2485902486566144E-3</v>
      </c>
      <c r="EP154" s="32">
        <v>3.1513682585021865E-5</v>
      </c>
      <c r="EQ154" s="32">
        <v>71.352824049999995</v>
      </c>
      <c r="EU154" t="str">
        <f>EN154</f>
        <v>Man GLG - Continental European Growth</v>
      </c>
      <c r="EV154" s="18">
        <f>_xlfn.IFNA(INDEX($EJ$51:$EJ$251,MATCH($EU154,$EI$51:$EI$251,0),1),0)</f>
        <v>2.1956670941795891E-3</v>
      </c>
      <c r="EW154" s="18">
        <f>_xlfn.IFNA(INDEX($EK$51:$EK$251,MATCH($EU154,$EI$51:$EI$251,0),1),0)</f>
        <v>3.0828073472113989E-5</v>
      </c>
      <c r="EX154" s="18">
        <f>_xlfn.IFNA(INDEX($EO$51:$EO$246,MATCH($EU154,$EN$51:$EN$246,0),1),0)</f>
        <v>2.2485902486566144E-3</v>
      </c>
      <c r="EY154" s="18">
        <f>_xlfn.IFNA(INDEX($EP$51:$EP$246,MATCH($EU154,$EN$51:$EN$246,0),1),0)</f>
        <v>3.1513682585021865E-5</v>
      </c>
      <c r="EZ154" s="18">
        <f>_xlfn.IFNA(EX154-EV154,"")</f>
        <v>5.2923154477025214E-5</v>
      </c>
      <c r="FA154" s="50">
        <f>EX154/EV154-1</f>
        <v>2.4103451118485664E-2</v>
      </c>
      <c r="FB154" s="50">
        <f>_xlfn.IFNA(EY154/EW154-1,"")</f>
        <v>2.2239765113056809E-2</v>
      </c>
      <c r="FC154" s="18">
        <f>-(_xlfn.IFNA(INDEX($EL$51:$EL$251,MATCH($EU154,$EI$51:$EI$251,0),1),0)-_xlfn.IFNA(INDEX($EQ$51:$EQ$246,MATCH($EU154,$EN$51:$EN$246,0),1),0))</f>
        <v>0.12984944000000098</v>
      </c>
    </row>
    <row r="155" spans="30:159" x14ac:dyDescent="0.25">
      <c r="AO155" s="76"/>
      <c r="AQ155" s="25" t="s">
        <v>4534</v>
      </c>
      <c r="AR155">
        <v>6131.1982820687908</v>
      </c>
      <c r="AS155">
        <v>0.56839135618260306</v>
      </c>
      <c r="AU155" s="79"/>
      <c r="AV155" s="32" t="s">
        <v>4519</v>
      </c>
      <c r="AW155" s="32">
        <v>610.5153927466356</v>
      </c>
      <c r="AX155" s="32">
        <v>5.6597692015356894E-2</v>
      </c>
      <c r="BE155" s="76"/>
      <c r="ED155" s="25" t="s">
        <v>4400</v>
      </c>
      <c r="EE155">
        <v>126.31470933979263</v>
      </c>
      <c r="EF155">
        <v>4.0314309000000002</v>
      </c>
      <c r="EG155">
        <v>31.33247536</v>
      </c>
      <c r="EI155" s="32" t="s">
        <v>4385</v>
      </c>
      <c r="EJ155" s="32">
        <v>2686.3546114238643</v>
      </c>
      <c r="EK155" s="32">
        <v>67.36941498562058</v>
      </c>
      <c r="EL155" s="32">
        <v>39.874987959999999</v>
      </c>
      <c r="EN155" s="32" t="s">
        <v>4915</v>
      </c>
      <c r="EO155" s="32">
        <v>35694.186500513744</v>
      </c>
      <c r="EP155" s="32">
        <v>312.5585507925897</v>
      </c>
      <c r="EQ155" s="32">
        <v>114.2</v>
      </c>
      <c r="EU155" t="str">
        <f>EN155</f>
        <v>Minsur</v>
      </c>
      <c r="EV155" s="18">
        <f>_xlfn.IFNA(INDEX($EJ$51:$EJ$251,MATCH($EU155,$EI$51:$EI$251,0),1),0)</f>
        <v>41248.740224801644</v>
      </c>
      <c r="EW155" s="18">
        <f>_xlfn.IFNA(INDEX($EK$51:$EK$251,MATCH($EU155,$EI$51:$EI$251,0),1),0)</f>
        <v>251.40939979765739</v>
      </c>
      <c r="EX155" s="18">
        <f>_xlfn.IFNA(INDEX($EO$51:$EO$246,MATCH($EU155,$EN$51:$EN$246,0),1),0)</f>
        <v>35694.186500513744</v>
      </c>
      <c r="EY155" s="18">
        <f>_xlfn.IFNA(INDEX($EP$51:$EP$246,MATCH($EU155,$EN$51:$EN$246,0),1),0)</f>
        <v>312.5585507925897</v>
      </c>
      <c r="EZ155" s="18">
        <f>_xlfn.IFNA(EX155-EV155,"")</f>
        <v>-5554.5537242879</v>
      </c>
      <c r="FA155" s="50">
        <f>EX155/EV155-1</f>
        <v>-0.13465996037736228</v>
      </c>
      <c r="FB155" s="50">
        <f>_xlfn.IFNA(EY155/EW155-1,"")</f>
        <v>0.24322539668026399</v>
      </c>
      <c r="FC155" s="18">
        <f>-(_xlfn.IFNA(INDEX($EL$51:$EL$251,MATCH($EU155,$EI$51:$EI$251,0),1),0)-_xlfn.IFNA(INDEX($EQ$51:$EQ$246,MATCH($EU155,$EN$51:$EN$246,0),1),0))</f>
        <v>-49.86999999999999</v>
      </c>
    </row>
    <row r="156" spans="30:159" x14ac:dyDescent="0.25">
      <c r="AO156" s="76"/>
      <c r="AQ156" s="25" t="s">
        <v>4590</v>
      </c>
      <c r="AR156">
        <v>3554.9637612687916</v>
      </c>
      <c r="AS156">
        <v>0.32956211502032529</v>
      </c>
      <c r="AU156" s="79"/>
      <c r="AV156" s="32" t="s">
        <v>4437</v>
      </c>
      <c r="AW156" s="32">
        <v>11.905471087506172</v>
      </c>
      <c r="AX156" s="32">
        <v>1.1036940164226901E-3</v>
      </c>
      <c r="BE156" s="76"/>
      <c r="ED156" s="25" t="s">
        <v>4524</v>
      </c>
      <c r="EE156">
        <v>899.50508124203384</v>
      </c>
      <c r="EF156">
        <v>28.708395072748374</v>
      </c>
      <c r="EG156">
        <v>31.33247536</v>
      </c>
      <c r="EI156" s="32" t="s">
        <v>4526</v>
      </c>
      <c r="EJ156" s="32">
        <v>2546.7485762525216</v>
      </c>
      <c r="EK156" s="32">
        <v>77.94589004619948</v>
      </c>
      <c r="EL156" s="32">
        <v>32.673288800000002</v>
      </c>
      <c r="EN156" s="32" t="s">
        <v>4517</v>
      </c>
      <c r="EO156" s="32">
        <v>6456.9160674661534</v>
      </c>
      <c r="EP156" s="32">
        <v>44.300303073599984</v>
      </c>
      <c r="EQ156" s="32">
        <v>145.75331588</v>
      </c>
      <c r="EU156" t="str">
        <f>EN156</f>
        <v>Moneda - Deuda Latam LCC</v>
      </c>
      <c r="EV156" s="18">
        <f>_xlfn.IFNA(INDEX($EJ$51:$EJ$251,MATCH($EU156,$EI$51:$EI$251,0),1),0)</f>
        <v>8374.979750880002</v>
      </c>
      <c r="EW156" s="18">
        <f>_xlfn.IFNA(INDEX($EK$51:$EK$251,MATCH($EU156,$EI$51:$EI$251,0),1),0)</f>
        <v>58.945612118399978</v>
      </c>
      <c r="EX156" s="18">
        <f>_xlfn.IFNA(INDEX($EO$51:$EO$246,MATCH($EU156,$EN$51:$EN$246,0),1),0)</f>
        <v>6456.9160674661534</v>
      </c>
      <c r="EY156" s="18">
        <f>_xlfn.IFNA(INDEX($EP$51:$EP$246,MATCH($EU156,$EN$51:$EN$246,0),1),0)</f>
        <v>44.300303073599984</v>
      </c>
      <c r="EZ156" s="18">
        <f>_xlfn.IFNA(EX156-EV156,"")</f>
        <v>-1918.0636834138486</v>
      </c>
      <c r="FA156" s="50">
        <f>EX156/EV156-1</f>
        <v>-0.22902308309608843</v>
      </c>
      <c r="FB156" s="50">
        <f>_xlfn.IFNA(EY156/EW156-1,"")</f>
        <v>-0.24845460957098853</v>
      </c>
      <c r="FC156" s="18">
        <f>-(_xlfn.IFNA(INDEX($EL$51:$EL$251,MATCH($EU156,$EI$51:$EI$251,0),1),0)-_xlfn.IFNA(INDEX($EQ$51:$EQ$246,MATCH($EU156,$EN$51:$EN$246,0),1),0))</f>
        <v>3.6735333500000138</v>
      </c>
    </row>
    <row r="157" spans="30:159" x14ac:dyDescent="0.25">
      <c r="AQ157" s="25" t="s">
        <v>4589</v>
      </c>
      <c r="AR157">
        <v>55.746326971350726</v>
      </c>
      <c r="AS157">
        <v>5.1679506895271135E-3</v>
      </c>
      <c r="AU157" s="79"/>
      <c r="AV157" s="32" t="s">
        <v>4515</v>
      </c>
      <c r="AW157" s="32">
        <v>5975.0861132751124</v>
      </c>
      <c r="AX157" s="32">
        <v>0.55391901272622635</v>
      </c>
      <c r="BE157" s="76"/>
      <c r="ED157" s="25" t="s">
        <v>4573</v>
      </c>
      <c r="EE157">
        <v>2.2485902486566144E-3</v>
      </c>
      <c r="EF157">
        <v>3.1513682585021865E-5</v>
      </c>
      <c r="EG157">
        <v>71.352824049999995</v>
      </c>
      <c r="EI157" s="32" t="s">
        <v>4400</v>
      </c>
      <c r="EJ157" s="32">
        <v>200.57876504045873</v>
      </c>
      <c r="EK157" s="32">
        <v>6.9160927500000007</v>
      </c>
      <c r="EL157" s="32">
        <v>29.001745970000002</v>
      </c>
      <c r="EN157" s="32" t="s">
        <v>4428</v>
      </c>
      <c r="EO157" s="32">
        <v>11923.363984565698</v>
      </c>
      <c r="EP157" s="32">
        <v>81.80509590863997</v>
      </c>
      <c r="EQ157" s="32">
        <v>145.75331588</v>
      </c>
      <c r="EU157" t="str">
        <f>EN157</f>
        <v>Moneda - Latam High Yield</v>
      </c>
      <c r="EV157" s="18">
        <f>_xlfn.IFNA(INDEX($EJ$51:$EJ$251,MATCH($EU157,$EI$51:$EI$251,0),1),0)</f>
        <v>21262.850350549848</v>
      </c>
      <c r="EW157" s="18">
        <f>_xlfn.IFNA(INDEX($EK$51:$EK$251,MATCH($EU157,$EI$51:$EI$251,0),1),0)</f>
        <v>149.65429966124998</v>
      </c>
      <c r="EX157" s="18">
        <f>_xlfn.IFNA(INDEX($EO$51:$EO$246,MATCH($EU157,$EN$51:$EN$246,0),1),0)</f>
        <v>11923.363984565698</v>
      </c>
      <c r="EY157" s="18">
        <f>_xlfn.IFNA(INDEX($EP$51:$EP$246,MATCH($EU157,$EN$51:$EN$246,0),1),0)</f>
        <v>81.80509590863997</v>
      </c>
      <c r="EZ157" s="18">
        <f>_xlfn.IFNA(EX157-EV157,"")</f>
        <v>-9339.4863659841503</v>
      </c>
      <c r="FA157" s="50">
        <f>EX157/EV157-1</f>
        <v>-0.43923962272267203</v>
      </c>
      <c r="FB157" s="50">
        <f>_xlfn.IFNA(EY157/EW157-1,"")</f>
        <v>-0.4533728994502001</v>
      </c>
      <c r="FC157" s="18">
        <f>-(_xlfn.IFNA(INDEX($EL$51:$EL$251,MATCH($EU157,$EI$51:$EI$251,0),1),0)-_xlfn.IFNA(INDEX($EQ$51:$EQ$246,MATCH($EU157,$EN$51:$EN$246,0),1),0))</f>
        <v>3.6735333500000138</v>
      </c>
    </row>
    <row r="158" spans="30:159" x14ac:dyDescent="0.25">
      <c r="AQ158" s="25" t="s">
        <v>4587</v>
      </c>
      <c r="AR158">
        <v>75.707104036086008</v>
      </c>
      <c r="AS158">
        <v>7.018410032762587E-3</v>
      </c>
      <c r="AU158" s="79"/>
      <c r="AV158" s="32" t="s">
        <v>4583</v>
      </c>
      <c r="AW158" s="32">
        <v>1325.0544745821758</v>
      </c>
      <c r="AX158" s="32">
        <v>0.1228388767047771</v>
      </c>
      <c r="BE158" s="76"/>
      <c r="ED158" s="25" t="s">
        <v>4487</v>
      </c>
      <c r="EE158">
        <v>359.16098708000004</v>
      </c>
      <c r="EF158">
        <v>3.1450174000000004</v>
      </c>
      <c r="EG158">
        <v>114.2</v>
      </c>
      <c r="EI158" s="32" t="s">
        <v>4524</v>
      </c>
      <c r="EJ158" s="32">
        <v>849.7201228251372</v>
      </c>
      <c r="EK158" s="32">
        <v>29.298929923188247</v>
      </c>
      <c r="EL158" s="32">
        <v>29.001745970000002</v>
      </c>
      <c r="EN158" s="32" t="s">
        <v>4621</v>
      </c>
      <c r="EO158" s="32">
        <v>9226.8742457789995</v>
      </c>
      <c r="EP158" s="32">
        <v>43.063914150000002</v>
      </c>
      <c r="EQ158" s="32">
        <v>214.26</v>
      </c>
      <c r="EU158" t="str">
        <f>EN158</f>
        <v>Nexa ADR</v>
      </c>
      <c r="EV158" s="18">
        <f>_xlfn.IFNA(INDEX($EJ$51:$EJ$251,MATCH($EU158,$EI$51:$EI$251,0),1),0)</f>
        <v>6746.6814626891628</v>
      </c>
      <c r="EW158" s="18">
        <f>_xlfn.IFNA(INDEX($EK$51:$EK$251,MATCH($EU158,$EI$51:$EI$251,0),1),0)</f>
        <v>31.488292087599941</v>
      </c>
      <c r="EX158" s="18">
        <f>_xlfn.IFNA(INDEX($EO$51:$EO$246,MATCH($EU158,$EN$51:$EN$246,0),1),0)</f>
        <v>9226.8742457789995</v>
      </c>
      <c r="EY158" s="18">
        <f>_xlfn.IFNA(INDEX($EP$51:$EP$246,MATCH($EU158,$EN$51:$EN$246,0),1),0)</f>
        <v>43.063914150000002</v>
      </c>
      <c r="EZ158" s="18">
        <f>_xlfn.IFNA(EX158-EV158,"")</f>
        <v>2480.1927830898367</v>
      </c>
      <c r="FA158" s="50">
        <f>EX158/EV158-1</f>
        <v>0.36761670115981082</v>
      </c>
      <c r="FB158" s="50">
        <f>_xlfn.IFNA(EY158/EW158-1,"")</f>
        <v>0.36761670115981082</v>
      </c>
      <c r="FC158" s="18">
        <f>-(_xlfn.IFNA(INDEX($EL$51:$EL$251,MATCH($EU158,$EI$51:$EI$251,0),1),0)-_xlfn.IFNA(INDEX($EQ$51:$EQ$246,MATCH($EU158,$EN$51:$EN$246,0),1),0))</f>
        <v>0</v>
      </c>
    </row>
    <row r="159" spans="30:159" x14ac:dyDescent="0.25">
      <c r="AQ159" s="25" t="s">
        <v>4588</v>
      </c>
      <c r="AR159">
        <v>922.99653313383601</v>
      </c>
      <c r="AS159">
        <v>8.5566185773845727E-2</v>
      </c>
      <c r="AU159" s="79"/>
      <c r="AV159" s="32" t="s">
        <v>4410</v>
      </c>
      <c r="AW159" s="32">
        <v>1814.3622878318727</v>
      </c>
      <c r="AX159" s="32">
        <v>0.16820004735507552</v>
      </c>
      <c r="BE159" s="76"/>
      <c r="ED159" s="25" t="s">
        <v>4620</v>
      </c>
      <c r="EE159">
        <v>35335.025513433742</v>
      </c>
      <c r="EF159">
        <v>309.41353339258967</v>
      </c>
      <c r="EG159">
        <v>114.2</v>
      </c>
      <c r="EI159" s="32" t="s">
        <v>4573</v>
      </c>
      <c r="EJ159" s="32">
        <v>2.1956670941795891E-3</v>
      </c>
      <c r="EK159" s="32">
        <v>3.0828073472113989E-5</v>
      </c>
      <c r="EL159" s="32">
        <v>71.222974609999994</v>
      </c>
      <c r="EN159" s="32" t="s">
        <v>2815</v>
      </c>
      <c r="EO159" s="32">
        <v>23083.858540409074</v>
      </c>
      <c r="EP159" s="32">
        <v>83.092252044235522</v>
      </c>
      <c r="EQ159" s="32">
        <v>277.81</v>
      </c>
      <c r="EU159" t="str">
        <f>EN159</f>
        <v>Nexa Perú (Milpo)</v>
      </c>
      <c r="EV159" s="18">
        <f>_xlfn.IFNA(INDEX($EJ$51:$EJ$251,MATCH($EU159,$EI$51:$EI$251,0),1),0)</f>
        <v>12560.551782647744</v>
      </c>
      <c r="EW159" s="18">
        <f>_xlfn.IFNA(INDEX($EK$51:$EK$251,MATCH($EU159,$EI$51:$EI$251,0),1),0)</f>
        <v>45.212741739490099</v>
      </c>
      <c r="EX159" s="18">
        <f>_xlfn.IFNA(INDEX($EO$51:$EO$246,MATCH($EU159,$EN$51:$EN$246,0),1),0)</f>
        <v>23083.858540409074</v>
      </c>
      <c r="EY159" s="18">
        <f>_xlfn.IFNA(INDEX($EP$51:$EP$246,MATCH($EU159,$EN$51:$EN$246,0),1),0)</f>
        <v>83.092252044235522</v>
      </c>
      <c r="EZ159" s="18">
        <f>_xlfn.IFNA(EX159-EV159,"")</f>
        <v>10523.306757761329</v>
      </c>
      <c r="FA159" s="50">
        <f>EX159/EV159-1</f>
        <v>0.83780608844741633</v>
      </c>
      <c r="FB159" s="50">
        <f>_xlfn.IFNA(EY159/EW159-1,"")</f>
        <v>0.83780608844741611</v>
      </c>
      <c r="FC159" s="18">
        <f>-(_xlfn.IFNA(INDEX($EL$51:$EL$251,MATCH($EU159,$EI$51:$EI$251,0),1),0)-_xlfn.IFNA(INDEX($EQ$51:$EQ$246,MATCH($EU159,$EN$51:$EN$246,0),1),0))</f>
        <v>0</v>
      </c>
    </row>
    <row r="160" spans="30:159" x14ac:dyDescent="0.25">
      <c r="AQ160" s="25" t="s">
        <v>4519</v>
      </c>
      <c r="AR160">
        <v>610.5153927466356</v>
      </c>
      <c r="AS160">
        <v>5.6597692015356894E-2</v>
      </c>
      <c r="AU160" s="79"/>
      <c r="AV160" s="32" t="s">
        <v>5545</v>
      </c>
      <c r="AW160" s="32">
        <v>706.01937469651091</v>
      </c>
      <c r="AX160" s="32">
        <v>6.5451367157471532E-2</v>
      </c>
      <c r="BE160" s="76"/>
      <c r="ED160" s="25" t="s">
        <v>4517</v>
      </c>
      <c r="EE160">
        <v>6456.9160674661534</v>
      </c>
      <c r="EF160">
        <v>44.300303073599984</v>
      </c>
      <c r="EG160">
        <v>145.75331588</v>
      </c>
      <c r="EI160" s="32" t="s">
        <v>4915</v>
      </c>
      <c r="EJ160" s="32">
        <v>41248.740224801644</v>
      </c>
      <c r="EK160" s="32">
        <v>251.40939979765739</v>
      </c>
      <c r="EL160" s="32">
        <v>164.07</v>
      </c>
      <c r="EN160" s="32" t="s">
        <v>4364</v>
      </c>
      <c r="EO160" s="32">
        <v>7982.3256670593246</v>
      </c>
      <c r="EP160" s="32">
        <v>65.307296990977989</v>
      </c>
      <c r="EQ160" s="32">
        <v>122.2271635</v>
      </c>
      <c r="EU160" t="str">
        <f>EN160</f>
        <v>Oaktree Principal Fund VI GP, L.P.</v>
      </c>
      <c r="EV160" s="18">
        <f>_xlfn.IFNA(INDEX($EJ$51:$EJ$251,MATCH($EU160,$EI$51:$EI$251,0),1),0)</f>
        <v>7763.6042492841989</v>
      </c>
      <c r="EW160" s="18">
        <f>_xlfn.IFNA(INDEX($EK$51:$EK$251,MATCH($EU160,$EI$51:$EI$251,0),1),0)</f>
        <v>63.602212019332995</v>
      </c>
      <c r="EX160" s="18">
        <f>_xlfn.IFNA(INDEX($EO$51:$EO$246,MATCH($EU160,$EN$51:$EN$246,0),1),0)</f>
        <v>7982.3256670593246</v>
      </c>
      <c r="EY160" s="18">
        <f>_xlfn.IFNA(INDEX($EP$51:$EP$246,MATCH($EU160,$EN$51:$EN$246,0),1),0)</f>
        <v>65.307296990977989</v>
      </c>
      <c r="EZ160" s="18">
        <f>_xlfn.IFNA(EX160-EV160,"")</f>
        <v>218.7214177751257</v>
      </c>
      <c r="FA160" s="50">
        <f>EX160/EV160-1</f>
        <v>2.8172664493465449E-2</v>
      </c>
      <c r="FB160" s="50">
        <f>_xlfn.IFNA(EY160/EW160-1,"")</f>
        <v>2.6808579725603021E-2</v>
      </c>
      <c r="FC160" s="18">
        <f>-(_xlfn.IFNA(INDEX($EL$51:$EL$251,MATCH($EU160,$EI$51:$EI$251,0),1),0)-_xlfn.IFNA(INDEX($EQ$51:$EQ$246,MATCH($EU160,$EN$51:$EN$246,0),1),0))</f>
        <v>0.16215974000000699</v>
      </c>
    </row>
    <row r="161" spans="43:159" x14ac:dyDescent="0.25">
      <c r="AQ161" s="25" t="s">
        <v>4437</v>
      </c>
      <c r="AR161">
        <v>11.905471087506172</v>
      </c>
      <c r="AS161">
        <v>1.1036940164226901E-3</v>
      </c>
      <c r="AU161" s="79"/>
      <c r="AV161" s="32" t="s">
        <v>4568</v>
      </c>
      <c r="AW161" s="32">
        <v>1.971358944279631E-2</v>
      </c>
      <c r="AX161" s="32">
        <v>1.8275438704026439E-6</v>
      </c>
      <c r="BE161" s="76"/>
      <c r="ED161" s="25" t="s">
        <v>4428</v>
      </c>
      <c r="EE161">
        <v>11923.363984565698</v>
      </c>
      <c r="EF161">
        <v>81.80509590863997</v>
      </c>
      <c r="EG161">
        <v>145.75331588</v>
      </c>
      <c r="EI161" s="32" t="s">
        <v>4517</v>
      </c>
      <c r="EJ161" s="32">
        <v>8374.979750880002</v>
      </c>
      <c r="EK161" s="32">
        <v>58.945612118399978</v>
      </c>
      <c r="EL161" s="32">
        <v>142.07978252999999</v>
      </c>
      <c r="EN161" s="32" t="s">
        <v>2802</v>
      </c>
      <c r="EO161" s="32">
        <v>12206.568920962512</v>
      </c>
      <c r="EP161" s="32">
        <v>41.349761992538987</v>
      </c>
      <c r="EQ161" s="32">
        <v>295.20288226000002</v>
      </c>
      <c r="EU161" t="str">
        <f>EN161</f>
        <v>Orazen</v>
      </c>
      <c r="EV161" s="18">
        <f>_xlfn.IFNA(INDEX($EJ$51:$EJ$251,MATCH($EU161,$EI$51:$EI$251,0),1),0)</f>
        <v>2314.128770886191</v>
      </c>
      <c r="EW161" s="18">
        <f>_xlfn.IFNA(INDEX($EK$51:$EK$251,MATCH($EU161,$EI$51:$EI$251,0),1),0)</f>
        <v>9.9156762500000006</v>
      </c>
      <c r="EX161" s="18">
        <f>_xlfn.IFNA(INDEX($EO$51:$EO$246,MATCH($EU161,$EN$51:$EN$246,0),1),0)</f>
        <v>12206.568920962512</v>
      </c>
      <c r="EY161" s="18">
        <f>_xlfn.IFNA(INDEX($EP$51:$EP$246,MATCH($EU161,$EN$51:$EN$246,0),1),0)</f>
        <v>41.349761992538987</v>
      </c>
      <c r="EZ161" s="18">
        <f>_xlfn.IFNA(EX161-EV161,"")</f>
        <v>9892.4401500763215</v>
      </c>
      <c r="FA161" s="50">
        <f>EX161/EV161-1</f>
        <v>4.2748010718038092</v>
      </c>
      <c r="FB161" s="50">
        <f>_xlfn.IFNA(EY161/EW161-1,"")</f>
        <v>3.1701403867980247</v>
      </c>
      <c r="FC161" s="18">
        <f>-(_xlfn.IFNA(INDEX($EL$51:$EL$251,MATCH($EU161,$EI$51:$EI$251,0),1),0)-_xlfn.IFNA(INDEX($EQ$51:$EQ$246,MATCH($EU161,$EN$51:$EN$246,0),1),0))</f>
        <v>61.82205048000003</v>
      </c>
    </row>
    <row r="162" spans="43:159" x14ac:dyDescent="0.25">
      <c r="AQ162" s="25" t="s">
        <v>4515</v>
      </c>
      <c r="AR162">
        <v>5975.0861132751124</v>
      </c>
      <c r="AS162">
        <v>0.55391901272622635</v>
      </c>
      <c r="AU162" s="79"/>
      <c r="AV162" s="32" t="s">
        <v>5547</v>
      </c>
      <c r="AW162" s="32">
        <v>1.8567368608855597E-5</v>
      </c>
      <c r="AX162" s="32">
        <v>1.7212837260857184E-9</v>
      </c>
      <c r="BE162" s="76"/>
      <c r="ED162" s="25" t="s">
        <v>4621</v>
      </c>
      <c r="EE162">
        <v>9226.8742457789995</v>
      </c>
      <c r="EF162">
        <v>43.063914150000002</v>
      </c>
      <c r="EG162">
        <v>214.26</v>
      </c>
      <c r="EI162" s="32" t="s">
        <v>4428</v>
      </c>
      <c r="EJ162" s="32">
        <v>21262.850350549848</v>
      </c>
      <c r="EK162" s="32">
        <v>149.65429966124998</v>
      </c>
      <c r="EL162" s="32">
        <v>142.07978252999999</v>
      </c>
      <c r="EN162" s="32" t="s">
        <v>4373</v>
      </c>
      <c r="EO162" s="32">
        <v>776.36118254356916</v>
      </c>
      <c r="EP162" s="32">
        <v>19.650657815185724</v>
      </c>
      <c r="EQ162" s="32">
        <v>39.508152340000002</v>
      </c>
      <c r="EU162" t="str">
        <f>EN162</f>
        <v>PAI Europe VII</v>
      </c>
      <c r="EV162" s="18">
        <f>_xlfn.IFNA(INDEX($EJ$51:$EJ$251,MATCH($EU162,$EI$51:$EI$251,0),1),0)</f>
        <v>875.38962106521467</v>
      </c>
      <c r="EW162" s="18">
        <f>_xlfn.IFNA(INDEX($EK$51:$EK$251,MATCH($EU162,$EI$51:$EI$251,0),1),0)</f>
        <v>21.953351357581568</v>
      </c>
      <c r="EX162" s="18">
        <f>_xlfn.IFNA(INDEX($EO$51:$EO$246,MATCH($EU162,$EN$51:$EN$246,0),1),0)</f>
        <v>776.36118254356916</v>
      </c>
      <c r="EY162" s="18">
        <f>_xlfn.IFNA(INDEX($EP$51:$EP$246,MATCH($EU162,$EN$51:$EN$246,0),1),0)</f>
        <v>19.650657815185724</v>
      </c>
      <c r="EZ162" s="18">
        <f>_xlfn.IFNA(EX162-EV162,"")</f>
        <v>-99.028438521645512</v>
      </c>
      <c r="FA162" s="50">
        <f>EX162/EV162-1</f>
        <v>-0.11312498587902275</v>
      </c>
      <c r="FB162" s="50">
        <f>_xlfn.IFNA(EY162/EW162-1,"")</f>
        <v>-0.10489029692501184</v>
      </c>
      <c r="FC162" s="18">
        <f>-(_xlfn.IFNA(INDEX($EL$51:$EL$251,MATCH($EU162,$EI$51:$EI$251,0),1),0)-_xlfn.IFNA(INDEX($EQ$51:$EQ$246,MATCH($EU162,$EN$51:$EN$246,0),1),0))</f>
        <v>-0.36683561999999625</v>
      </c>
    </row>
    <row r="163" spans="43:159" x14ac:dyDescent="0.25">
      <c r="AQ163" s="25" t="s">
        <v>4583</v>
      </c>
      <c r="AR163">
        <v>1325.0544745821758</v>
      </c>
      <c r="AS163">
        <v>0.1228388767047771</v>
      </c>
      <c r="AU163" s="79"/>
      <c r="AV163" s="32" t="s">
        <v>4600</v>
      </c>
      <c r="AW163" s="32">
        <v>611.20206886636186</v>
      </c>
      <c r="AX163" s="32">
        <v>5.6661350170417846E-2</v>
      </c>
      <c r="BE163" s="76"/>
      <c r="ED163" s="25" t="s">
        <v>2815</v>
      </c>
      <c r="EE163">
        <v>23083.858540409074</v>
      </c>
      <c r="EF163">
        <v>83.092252044235522</v>
      </c>
      <c r="EG163">
        <v>277.81</v>
      </c>
      <c r="EI163" s="32" t="s">
        <v>4621</v>
      </c>
      <c r="EJ163" s="32">
        <v>6746.6814626891628</v>
      </c>
      <c r="EK163" s="32">
        <v>31.488292087599941</v>
      </c>
      <c r="EL163" s="32">
        <v>214.26</v>
      </c>
      <c r="EN163" s="32" t="s">
        <v>4367</v>
      </c>
      <c r="EO163" s="32">
        <v>81.068041826972632</v>
      </c>
      <c r="EP163" s="32">
        <v>2.0519319944227141</v>
      </c>
      <c r="EQ163" s="32">
        <v>39.508152340000002</v>
      </c>
      <c r="EU163" t="str">
        <f>EN163</f>
        <v>Pantheon - PASIA VI</v>
      </c>
      <c r="EV163" s="18">
        <f>_xlfn.IFNA(INDEX($EJ$51:$EJ$251,MATCH($EU163,$EI$51:$EI$251,0),1),0)</f>
        <v>94.067170283249595</v>
      </c>
      <c r="EW163" s="18">
        <f>_xlfn.IFNA(INDEX($EK$51:$EK$251,MATCH($EU163,$EI$51:$EI$251,0),1),0)</f>
        <v>2.3590520046704886</v>
      </c>
      <c r="EX163" s="18">
        <f>_xlfn.IFNA(INDEX($EO$51:$EO$246,MATCH($EU163,$EN$51:$EN$246,0),1),0)</f>
        <v>81.068041826972632</v>
      </c>
      <c r="EY163" s="18">
        <f>_xlfn.IFNA(INDEX($EP$51:$EP$246,MATCH($EU163,$EN$51:$EN$246,0),1),0)</f>
        <v>2.0519319944227141</v>
      </c>
      <c r="EZ163" s="18">
        <f>_xlfn.IFNA(EX163-EV163,"")</f>
        <v>-12.999128456276964</v>
      </c>
      <c r="FA163" s="50">
        <f>EX163/EV163-1</f>
        <v>-0.13818985324140975</v>
      </c>
      <c r="FB163" s="50">
        <f>_xlfn.IFNA(EY163/EW163-1,"")</f>
        <v>-0.13018789311966561</v>
      </c>
      <c r="FC163" s="18">
        <f>-(_xlfn.IFNA(INDEX($EL$51:$EL$251,MATCH($EU163,$EI$51:$EI$251,0),1),0)-_xlfn.IFNA(INDEX($EQ$51:$EQ$246,MATCH($EU163,$EN$51:$EN$246,0),1),0))</f>
        <v>-0.36683561999999625</v>
      </c>
    </row>
    <row r="164" spans="43:159" x14ac:dyDescent="0.25">
      <c r="AQ164" s="25" t="s">
        <v>4410</v>
      </c>
      <c r="AR164">
        <v>1814.3622878318727</v>
      </c>
      <c r="AS164">
        <v>0.16820004735507552</v>
      </c>
      <c r="AU164" s="79"/>
      <c r="AV164" s="32" t="s">
        <v>4417</v>
      </c>
      <c r="AW164" s="32">
        <v>101.51689814663064</v>
      </c>
      <c r="AX164" s="32">
        <v>9.411101184211736E-3</v>
      </c>
      <c r="BE164" s="76"/>
      <c r="ED164" s="25" t="s">
        <v>4364</v>
      </c>
      <c r="EE164">
        <v>7982.3256670593246</v>
      </c>
      <c r="EF164">
        <v>65.307296990977989</v>
      </c>
      <c r="EG164">
        <v>122.2271635</v>
      </c>
      <c r="EI164" s="32" t="s">
        <v>2815</v>
      </c>
      <c r="EJ164" s="32">
        <v>12560.551782647744</v>
      </c>
      <c r="EK164" s="32">
        <v>45.212741739490099</v>
      </c>
      <c r="EL164" s="32">
        <v>277.81</v>
      </c>
      <c r="EN164" s="32" t="s">
        <v>4384</v>
      </c>
      <c r="EO164" s="32">
        <v>58.140710541309168</v>
      </c>
      <c r="EP164" s="32">
        <v>1.4716129987796125</v>
      </c>
      <c r="EQ164" s="32">
        <v>39.508152340000002</v>
      </c>
      <c r="EU164" t="str">
        <f>EN164</f>
        <v>Partners - PG Secondary 2011</v>
      </c>
      <c r="EV164" s="18">
        <f>_xlfn.IFNA(INDEX($EJ$51:$EJ$251,MATCH($EU164,$EI$51:$EI$251,0),1),0)</f>
        <v>85.473033760737536</v>
      </c>
      <c r="EW164" s="18">
        <f>_xlfn.IFNA(INDEX($EK$51:$EK$251,MATCH($EU164,$EI$51:$EI$251,0),1),0)</f>
        <v>2.1435250048596517</v>
      </c>
      <c r="EX164" s="18">
        <f>_xlfn.IFNA(INDEX($EO$51:$EO$246,MATCH($EU164,$EN$51:$EN$246,0),1),0)</f>
        <v>58.140710541309168</v>
      </c>
      <c r="EY164" s="18">
        <f>_xlfn.IFNA(INDEX($EP$51:$EP$246,MATCH($EU164,$EN$51:$EN$246,0),1),0)</f>
        <v>1.4716129987796125</v>
      </c>
      <c r="EZ164" s="18">
        <f>_xlfn.IFNA(EX164-EV164,"")</f>
        <v>-27.332323219428368</v>
      </c>
      <c r="FA164" s="50">
        <f>EX164/EV164-1</f>
        <v>-0.31977715095428849</v>
      </c>
      <c r="FB164" s="50">
        <f>_xlfn.IFNA(EY164/EW164-1,"")</f>
        <v>-0.31346124003999332</v>
      </c>
      <c r="FC164" s="18">
        <f>-(_xlfn.IFNA(INDEX($EL$51:$EL$251,MATCH($EU164,$EI$51:$EI$251,0),1),0)-_xlfn.IFNA(INDEX($EQ$51:$EQ$246,MATCH($EU164,$EN$51:$EN$246,0),1),0))</f>
        <v>-0.36683561999999625</v>
      </c>
    </row>
    <row r="165" spans="43:159" x14ac:dyDescent="0.25">
      <c r="AQ165" s="25" t="s">
        <v>5545</v>
      </c>
      <c r="AR165">
        <v>706.01937469651091</v>
      </c>
      <c r="AS165">
        <v>6.5451367157471532E-2</v>
      </c>
      <c r="AU165" s="79"/>
      <c r="AV165" s="32" t="s">
        <v>4413</v>
      </c>
      <c r="AW165" s="32">
        <v>0.12863622772074665</v>
      </c>
      <c r="AX165" s="32">
        <v>1.1925192525944309E-5</v>
      </c>
      <c r="BE165" s="76"/>
      <c r="ED165" s="25" t="s">
        <v>2802</v>
      </c>
      <c r="EE165">
        <v>12206.568920962512</v>
      </c>
      <c r="EF165">
        <v>41.349761992538987</v>
      </c>
      <c r="EG165">
        <v>295.20288226000002</v>
      </c>
      <c r="EI165" s="32" t="s">
        <v>4364</v>
      </c>
      <c r="EJ165" s="32">
        <v>7763.6042492841989</v>
      </c>
      <c r="EK165" s="32">
        <v>63.602212019332995</v>
      </c>
      <c r="EL165" s="32">
        <v>122.06500376</v>
      </c>
      <c r="EN165" s="32" t="s">
        <v>4386</v>
      </c>
      <c r="EO165" s="32">
        <v>1558.09663576859</v>
      </c>
      <c r="EP165" s="32">
        <v>39.437345041091582</v>
      </c>
      <c r="EQ165" s="32">
        <v>39.508152340000002</v>
      </c>
      <c r="EU165" t="str">
        <f>EN165</f>
        <v>Partners - PG Secondary 2015</v>
      </c>
      <c r="EV165" s="18">
        <f>_xlfn.IFNA(INDEX($EJ$51:$EJ$251,MATCH($EU165,$EI$51:$EI$251,0),1),0)</f>
        <v>1542.8014039409459</v>
      </c>
      <c r="EW165" s="18">
        <f>_xlfn.IFNA(INDEX($EK$51:$EK$251,MATCH($EU165,$EI$51:$EI$251,0),1),0)</f>
        <v>38.690955981944981</v>
      </c>
      <c r="EX165" s="18">
        <f>_xlfn.IFNA(INDEX($EO$51:$EO$246,MATCH($EU165,$EN$51:$EN$246,0),1),0)</f>
        <v>1558.09663576859</v>
      </c>
      <c r="EY165" s="18">
        <f>_xlfn.IFNA(INDEX($EP$51:$EP$246,MATCH($EU165,$EN$51:$EN$246,0),1),0)</f>
        <v>39.437345041091582</v>
      </c>
      <c r="EZ165" s="18">
        <f>_xlfn.IFNA(EX165-EV165,"")</f>
        <v>15.295231827644102</v>
      </c>
      <c r="FA165" s="50">
        <f>EX165/EV165-1</f>
        <v>9.9139343460368234E-3</v>
      </c>
      <c r="FB165" s="50">
        <f>_xlfn.IFNA(EY165/EW165-1,"")</f>
        <v>1.9291047228062741E-2</v>
      </c>
      <c r="FC165" s="18">
        <f>-(_xlfn.IFNA(INDEX($EL$51:$EL$251,MATCH($EU165,$EI$51:$EI$251,0),1),0)-_xlfn.IFNA(INDEX($EQ$51:$EQ$246,MATCH($EU165,$EN$51:$EN$246,0),1),0))</f>
        <v>-0.36683561999999625</v>
      </c>
    </row>
    <row r="166" spans="43:159" x14ac:dyDescent="0.25">
      <c r="AQ166" s="25" t="s">
        <v>4568</v>
      </c>
      <c r="AR166">
        <v>1.971358944279631E-2</v>
      </c>
      <c r="AS166">
        <v>1.8275438704026439E-6</v>
      </c>
      <c r="AU166" s="79"/>
      <c r="AV166" s="32" t="s">
        <v>1546</v>
      </c>
      <c r="AW166" s="32">
        <v>2711.5052179296586</v>
      </c>
      <c r="AX166" s="32">
        <v>0.25136948068089754</v>
      </c>
      <c r="BE166" s="76"/>
      <c r="ED166" s="25" t="s">
        <v>4373</v>
      </c>
      <c r="EE166">
        <v>776.36118254356916</v>
      </c>
      <c r="EF166">
        <v>19.650657815185724</v>
      </c>
      <c r="EG166">
        <v>39.508152340000002</v>
      </c>
      <c r="EI166" s="32" t="s">
        <v>2802</v>
      </c>
      <c r="EJ166" s="32">
        <v>2314.128770886191</v>
      </c>
      <c r="EK166" s="32">
        <v>9.9156762500000006</v>
      </c>
      <c r="EL166" s="32">
        <v>233.38083177999999</v>
      </c>
      <c r="EN166" s="32" t="s">
        <v>4369</v>
      </c>
      <c r="EO166" s="32">
        <v>5.5707656603419053</v>
      </c>
      <c r="EP166" s="32">
        <v>0.24534228447145109</v>
      </c>
      <c r="EQ166" s="32">
        <v>22.706096800000001</v>
      </c>
      <c r="EU166" t="str">
        <f>EN166</f>
        <v>Partners - PGD 2009</v>
      </c>
      <c r="EV166" s="18">
        <f>_xlfn.IFNA(INDEX($EJ$51:$EJ$251,MATCH($EU166,$EI$51:$EI$251,0),1),0)</f>
        <v>18.808018684840974</v>
      </c>
      <c r="EW166" s="18">
        <f>_xlfn.IFNA(INDEX($EK$51:$EK$251,MATCH($EU166,$EI$51:$EI$251,0),1),0)</f>
        <v>0.7705240233115328</v>
      </c>
      <c r="EX166" s="18">
        <f>_xlfn.IFNA(INDEX($EO$51:$EO$246,MATCH($EU166,$EN$51:$EN$246,0),1),0)</f>
        <v>5.5707656603419053</v>
      </c>
      <c r="EY166" s="18">
        <f>_xlfn.IFNA(INDEX($EP$51:$EP$246,MATCH($EU166,$EN$51:$EN$246,0),1),0)</f>
        <v>0.24534228447145109</v>
      </c>
      <c r="EZ166" s="18">
        <f>_xlfn.IFNA(EX166-EV166,"")</f>
        <v>-13.237253024499068</v>
      </c>
      <c r="FA166" s="50">
        <f>EX166/EV166-1</f>
        <v>-0.70380901073690061</v>
      </c>
      <c r="FB166" s="50">
        <f>_xlfn.IFNA(EY166/EW166-1,"")</f>
        <v>-0.68159035013986058</v>
      </c>
      <c r="FC166" s="18">
        <f>-(_xlfn.IFNA(INDEX($EL$51:$EL$251,MATCH($EU166,$EI$51:$EI$251,0),1),0)-_xlfn.IFNA(INDEX($EQ$51:$EQ$246,MATCH($EU166,$EN$51:$EN$246,0),1),0))</f>
        <v>-1.7032896899999983</v>
      </c>
    </row>
    <row r="167" spans="43:159" x14ac:dyDescent="0.25">
      <c r="AQ167" s="25" t="s">
        <v>5547</v>
      </c>
      <c r="AR167">
        <v>1.8567368608855597E-5</v>
      </c>
      <c r="AS167">
        <v>1.7212837260857184E-9</v>
      </c>
      <c r="AU167" s="79"/>
      <c r="AV167" s="32" t="s">
        <v>5766</v>
      </c>
      <c r="AW167" s="32">
        <v>7.1766943307938591E-2</v>
      </c>
      <c r="AX167" s="32">
        <v>6.6531383196622456E-6</v>
      </c>
      <c r="BE167" s="76"/>
      <c r="ED167" s="25" t="s">
        <v>4367</v>
      </c>
      <c r="EE167">
        <v>81.068041826972632</v>
      </c>
      <c r="EF167">
        <v>2.0519319944227141</v>
      </c>
      <c r="EG167">
        <v>39.508152340000002</v>
      </c>
      <c r="EI167" s="32" t="s">
        <v>4373</v>
      </c>
      <c r="EJ167" s="32">
        <v>875.38962106521467</v>
      </c>
      <c r="EK167" s="32">
        <v>21.953351357581568</v>
      </c>
      <c r="EL167" s="32">
        <v>39.874987959999999</v>
      </c>
      <c r="EN167" s="32" t="s">
        <v>4520</v>
      </c>
      <c r="EO167" s="32">
        <v>6.959728609229868E-3</v>
      </c>
      <c r="EP167" s="32">
        <v>3.3442733999821474E-4</v>
      </c>
      <c r="EQ167" s="32">
        <v>20.810884089999998</v>
      </c>
      <c r="EU167" t="str">
        <f>EN167</f>
        <v>Pictet Chinese LC Debt</v>
      </c>
      <c r="EV167" s="18">
        <f>_xlfn.IFNA(INDEX($EJ$51:$EJ$251,MATCH($EU167,$EI$51:$EI$251,0),1),0)</f>
        <v>6.6181992274598495E-3</v>
      </c>
      <c r="EW167" s="18">
        <f>_xlfn.IFNA(INDEX($EK$51:$EK$251,MATCH($EU167,$EI$51:$EI$251,0),1),0)</f>
        <v>3.2453303999220747E-4</v>
      </c>
      <c r="EX167" s="18">
        <f>_xlfn.IFNA(INDEX($EO$51:$EO$246,MATCH($EU167,$EN$51:$EN$246,0),1),0)</f>
        <v>6.959728609229868E-3</v>
      </c>
      <c r="EY167" s="18">
        <f>_xlfn.IFNA(INDEX($EP$51:$EP$246,MATCH($EU167,$EN$51:$EN$246,0),1),0)</f>
        <v>3.3442733999821474E-4</v>
      </c>
      <c r="EZ167" s="18">
        <f>_xlfn.IFNA(EX167-EV167,"")</f>
        <v>3.4152938177001851E-4</v>
      </c>
      <c r="FA167" s="50">
        <f>EX167/EV167-1</f>
        <v>5.1604578531417422E-2</v>
      </c>
      <c r="FB167" s="50">
        <f>_xlfn.IFNA(EY167/EW167-1,"")</f>
        <v>3.0487804897291415E-2</v>
      </c>
      <c r="FC167" s="18">
        <f>-(_xlfn.IFNA(INDEX($EL$51:$EL$251,MATCH($EU167,$EI$51:$EI$251,0),1),0)-_xlfn.IFNA(INDEX($EQ$51:$EQ$246,MATCH($EU167,$EN$51:$EN$246,0),1),0))</f>
        <v>0.41789350999999897</v>
      </c>
    </row>
    <row r="168" spans="43:159" x14ac:dyDescent="0.25">
      <c r="AQ168" s="25" t="s">
        <v>4600</v>
      </c>
      <c r="AR168">
        <v>611.20206886636186</v>
      </c>
      <c r="AS168">
        <v>5.6661350170417846E-2</v>
      </c>
      <c r="AU168" s="79"/>
      <c r="AV168" s="32" t="s">
        <v>5768</v>
      </c>
      <c r="AW168" s="32">
        <v>1944.3478665886239</v>
      </c>
      <c r="AX168" s="32">
        <v>0.18025033116498046</v>
      </c>
      <c r="BE168" s="76"/>
      <c r="ED168" s="25" t="s">
        <v>4384</v>
      </c>
      <c r="EE168">
        <v>58.140710541309168</v>
      </c>
      <c r="EF168">
        <v>1.4716129987796125</v>
      </c>
      <c r="EG168">
        <v>39.508152340000002</v>
      </c>
      <c r="EI168" s="32" t="s">
        <v>4550</v>
      </c>
      <c r="EJ168" s="32">
        <v>34.439558339002495</v>
      </c>
      <c r="EK168" s="32">
        <v>7.1452979322052776</v>
      </c>
      <c r="EL168" s="32">
        <v>4.8198911600000001</v>
      </c>
      <c r="EN168" s="32" t="s">
        <v>4427</v>
      </c>
      <c r="EO168" s="32">
        <v>5387.8036963377926</v>
      </c>
      <c r="EP168" s="32">
        <v>12.962090053809991</v>
      </c>
      <c r="EQ168" s="32">
        <v>415.65856077000001</v>
      </c>
      <c r="EU168" t="str">
        <f>EN168</f>
        <v>PIMCO - Asia High Yield Bond Fund</v>
      </c>
      <c r="EV168" s="18">
        <f>_xlfn.IFNA(INDEX($EJ$51:$EJ$251,MATCH($EU168,$EI$51:$EI$251,0),1),0)</f>
        <v>13148.474847290943</v>
      </c>
      <c r="EW168" s="18">
        <f>_xlfn.IFNA(INDEX($EK$51:$EK$251,MATCH($EU168,$EI$51:$EI$251,0),1),0)</f>
        <v>38.57472633866999</v>
      </c>
      <c r="EX168" s="18">
        <f>_xlfn.IFNA(INDEX($EO$51:$EO$246,MATCH($EU168,$EN$51:$EN$246,0),1),0)</f>
        <v>5387.8036963377926</v>
      </c>
      <c r="EY168" s="18">
        <f>_xlfn.IFNA(INDEX($EP$51:$EP$246,MATCH($EU168,$EN$51:$EN$246,0),1),0)</f>
        <v>12.962090053809991</v>
      </c>
      <c r="EZ168" s="18">
        <f>_xlfn.IFNA(EX168-EV168,"")</f>
        <v>-7760.6711509531506</v>
      </c>
      <c r="FA168" s="50">
        <f>EX168/EV168-1</f>
        <v>-0.59023356253003945</v>
      </c>
      <c r="FB168" s="50">
        <f>_xlfn.IFNA(EY168/EW168-1,"")</f>
        <v>-0.66397454281312962</v>
      </c>
      <c r="FC168" s="18">
        <f>-(_xlfn.IFNA(INDEX($EL$51:$EL$251,MATCH($EU168,$EI$51:$EI$251,0),1),0)-_xlfn.IFNA(INDEX($EQ$51:$EQ$246,MATCH($EU168,$EN$51:$EN$246,0),1),0))</f>
        <v>74.801318340000023</v>
      </c>
    </row>
    <row r="169" spans="43:159" x14ac:dyDescent="0.25">
      <c r="AQ169" s="25" t="s">
        <v>4417</v>
      </c>
      <c r="AR169">
        <v>101.51689814663064</v>
      </c>
      <c r="AS169">
        <v>9.411101184211736E-3</v>
      </c>
      <c r="AU169" s="79"/>
      <c r="AV169" t="s">
        <v>4574</v>
      </c>
      <c r="AW169">
        <v>53.629655636378573</v>
      </c>
      <c r="AX169">
        <v>4.971725150027563E-3</v>
      </c>
      <c r="BE169" s="76"/>
      <c r="ED169" s="25" t="s">
        <v>4386</v>
      </c>
      <c r="EE169">
        <v>1558.09663576859</v>
      </c>
      <c r="EF169">
        <v>39.437345041091582</v>
      </c>
      <c r="EG169">
        <v>39.508152340000002</v>
      </c>
      <c r="EI169" s="32" t="s">
        <v>4367</v>
      </c>
      <c r="EJ169" s="32">
        <v>94.067170283249595</v>
      </c>
      <c r="EK169" s="32">
        <v>2.3590520046704886</v>
      </c>
      <c r="EL169" s="32">
        <v>39.874987959999999</v>
      </c>
      <c r="EN169" s="32" t="s">
        <v>4522</v>
      </c>
      <c r="EO169" s="32">
        <v>24807.128796298319</v>
      </c>
      <c r="EP169" s="32">
        <v>146.17737840383995</v>
      </c>
      <c r="EQ169" s="32">
        <v>169.70566217000001</v>
      </c>
      <c r="EU169" t="str">
        <f>EN169</f>
        <v>Pimco - Emerging Markets Local Bond Fund</v>
      </c>
      <c r="EV169" s="18">
        <f>_xlfn.IFNA(INDEX($EJ$51:$EJ$251,MATCH($EU169,$EI$51:$EI$251,0),1),0)</f>
        <v>12214.982342067855</v>
      </c>
      <c r="EW169" s="18">
        <f>_xlfn.IFNA(INDEX($EK$51:$EK$251,MATCH($EU169,$EI$51:$EI$251,0),1),0)</f>
        <v>72.862364138479975</v>
      </c>
      <c r="EX169" s="18">
        <f>_xlfn.IFNA(INDEX($EO$51:$EO$246,MATCH($EU169,$EN$51:$EN$246,0),1),0)</f>
        <v>24807.128796298319</v>
      </c>
      <c r="EY169" s="18">
        <f>_xlfn.IFNA(INDEX($EP$51:$EP$246,MATCH($EU169,$EN$51:$EN$246,0),1),0)</f>
        <v>146.17737840383995</v>
      </c>
      <c r="EZ169" s="18">
        <f>_xlfn.IFNA(EX169-EV169,"")</f>
        <v>12592.146454230464</v>
      </c>
      <c r="FA169" s="50">
        <f>EX169/EV169-1</f>
        <v>1.0308771721154009</v>
      </c>
      <c r="FB169" s="50">
        <f>_xlfn.IFNA(EY169/EW169-1,"")</f>
        <v>1.0062123996693231</v>
      </c>
      <c r="FC169" s="18">
        <f>-(_xlfn.IFNA(INDEX($EL$51:$EL$251,MATCH($EU169,$EI$51:$EI$251,0),1),0)-_xlfn.IFNA(INDEX($EQ$51:$EQ$246,MATCH($EU169,$EN$51:$EN$246,0),1),0))</f>
        <v>2.0610559800000203</v>
      </c>
    </row>
    <row r="170" spans="43:159" x14ac:dyDescent="0.25">
      <c r="AQ170" s="25" t="s">
        <v>4413</v>
      </c>
      <c r="AR170">
        <v>0.12863622772074665</v>
      </c>
      <c r="AS170">
        <v>1.1925192525944309E-5</v>
      </c>
      <c r="AU170" s="79"/>
      <c r="AV170" t="s">
        <v>4521</v>
      </c>
      <c r="AW170">
        <v>45.079804858231434</v>
      </c>
      <c r="AX170">
        <v>4.1791131588018952E-3</v>
      </c>
      <c r="BE170" s="76"/>
      <c r="ED170" s="25" t="s">
        <v>4369</v>
      </c>
      <c r="EE170">
        <v>5.5707656603419053</v>
      </c>
      <c r="EF170">
        <v>0.24534228447145109</v>
      </c>
      <c r="EG170">
        <v>22.706096800000001</v>
      </c>
      <c r="EI170" s="32" t="s">
        <v>4384</v>
      </c>
      <c r="EJ170" s="32">
        <v>85.473033760737536</v>
      </c>
      <c r="EK170" s="32">
        <v>2.1435250048596517</v>
      </c>
      <c r="EL170" s="32">
        <v>39.874987959999999</v>
      </c>
      <c r="EN170" s="32" t="s">
        <v>4416</v>
      </c>
      <c r="EO170" s="32">
        <v>1.01680181277176E-2</v>
      </c>
      <c r="EP170" s="32">
        <v>9.5140000000000001E-5</v>
      </c>
      <c r="EQ170" s="32">
        <v>106.87427083999999</v>
      </c>
      <c r="EU170" t="str">
        <f>EN170</f>
        <v>Pimco - US High Yield Bond</v>
      </c>
      <c r="EV170" s="18">
        <f>_xlfn.IFNA(INDEX($EJ$51:$EJ$251,MATCH($EU170,$EI$51:$EI$251,0),1),0)</f>
        <v>1.03098943313636E-2</v>
      </c>
      <c r="EW170" s="18">
        <f>_xlfn.IFNA(INDEX($EK$51:$EK$251,MATCH($EU170,$EI$51:$EI$251,0),1),0)</f>
        <v>9.0259999999999993E-5</v>
      </c>
      <c r="EX170" s="18">
        <f>_xlfn.IFNA(INDEX($EO$51:$EO$246,MATCH($EU170,$EN$51:$EN$246,0),1),0)</f>
        <v>1.01680181277176E-2</v>
      </c>
      <c r="EY170" s="18">
        <f>_xlfn.IFNA(INDEX($EP$51:$EP$246,MATCH($EU170,$EN$51:$EN$246,0),1),0)</f>
        <v>9.5140000000000001E-5</v>
      </c>
      <c r="EZ170" s="18">
        <f>_xlfn.IFNA(EX170-EV170,"")</f>
        <v>-1.4187620364600022E-4</v>
      </c>
      <c r="FA170" s="50">
        <f>EX170/EV170-1</f>
        <v>-1.3761169521825267E-2</v>
      </c>
      <c r="FB170" s="50">
        <f>_xlfn.IFNA(EY170/EW170-1,"")</f>
        <v>5.4066031464657716E-2</v>
      </c>
      <c r="FC170" s="18">
        <f>-(_xlfn.IFNA(INDEX($EL$51:$EL$251,MATCH($EU170,$EI$51:$EI$251,0),1),0)-_xlfn.IFNA(INDEX($EQ$51:$EQ$246,MATCH($EU170,$EN$51:$EN$246,0),1),0))</f>
        <v>-7.3501290200000113</v>
      </c>
    </row>
    <row r="171" spans="43:159" x14ac:dyDescent="0.25">
      <c r="AQ171" s="25" t="s">
        <v>1546</v>
      </c>
      <c r="AR171">
        <v>2711.5052179296586</v>
      </c>
      <c r="AS171">
        <v>0.25136948068089754</v>
      </c>
      <c r="AU171" s="79"/>
      <c r="AV171" t="s">
        <v>4514</v>
      </c>
      <c r="AW171">
        <v>1570.7114924999398</v>
      </c>
      <c r="AX171">
        <v>0.14561245523646635</v>
      </c>
      <c r="BE171" s="76"/>
      <c r="ED171" s="25" t="s">
        <v>4520</v>
      </c>
      <c r="EE171">
        <v>6.959728609229868E-3</v>
      </c>
      <c r="EF171">
        <v>3.3442733999821474E-4</v>
      </c>
      <c r="EG171">
        <v>20.810884089999998</v>
      </c>
      <c r="EI171" s="32" t="s">
        <v>4386</v>
      </c>
      <c r="EJ171" s="32">
        <v>1542.8014039409459</v>
      </c>
      <c r="EK171" s="32">
        <v>38.690955981944981</v>
      </c>
      <c r="EL171" s="32">
        <v>39.874987959999999</v>
      </c>
      <c r="EN171" s="32" t="s">
        <v>4602</v>
      </c>
      <c r="EO171" s="32">
        <v>0.17051558148199863</v>
      </c>
      <c r="EP171" s="32">
        <v>2.204400727453956E-3</v>
      </c>
      <c r="EQ171" s="32">
        <v>77.352352210000006</v>
      </c>
      <c r="EU171" t="str">
        <f>EN171</f>
        <v>Pinebridge - Asia Ex-Japan Small Caps</v>
      </c>
      <c r="EV171" s="18">
        <f>_xlfn.IFNA(INDEX($EJ$51:$EJ$251,MATCH($EU171,$EI$51:$EI$251,0),1),0)</f>
        <v>0.23630085274334028</v>
      </c>
      <c r="EW171" s="18">
        <f>_xlfn.IFNA(INDEX($EK$51:$EK$251,MATCH($EU171,$EI$51:$EI$251,0),1),0)</f>
        <v>1.8820785499833019E-3</v>
      </c>
      <c r="EX171" s="18">
        <f>_xlfn.IFNA(INDEX($EO$51:$EO$246,MATCH($EU171,$EN$51:$EN$246,0),1),0)</f>
        <v>0.17051558148199863</v>
      </c>
      <c r="EY171" s="18">
        <f>_xlfn.IFNA(INDEX($EP$51:$EP$246,MATCH($EU171,$EN$51:$EN$246,0),1),0)</f>
        <v>2.204400727453956E-3</v>
      </c>
      <c r="EZ171" s="18">
        <f>_xlfn.IFNA(EX171-EV171,"")</f>
        <v>-6.5785271261341649E-2</v>
      </c>
      <c r="FA171" s="50">
        <f>EX171/EV171-1</f>
        <v>-0.27839624993987966</v>
      </c>
      <c r="FB171" s="50">
        <f>_xlfn.IFNA(EY171/EW171-1,"")</f>
        <v>0.17125862120553559</v>
      </c>
      <c r="FC171" s="18">
        <f>-(_xlfn.IFNA(INDEX($EL$51:$EL$251,MATCH($EU171,$EI$51:$EI$251,0),1),0)-_xlfn.IFNA(INDEX($EQ$51:$EQ$246,MATCH($EU171,$EN$51:$EN$246,0),1),0))</f>
        <v>-48.200777729999999</v>
      </c>
    </row>
    <row r="172" spans="43:159" x14ac:dyDescent="0.25">
      <c r="AQ172" s="25" t="s">
        <v>5766</v>
      </c>
      <c r="AR172">
        <v>7.1766943307938591E-2</v>
      </c>
      <c r="AS172">
        <v>6.6531383196622456E-6</v>
      </c>
      <c r="AU172" s="79"/>
      <c r="AV172" t="s">
        <v>4622</v>
      </c>
      <c r="AW172">
        <v>4687.6009097512051</v>
      </c>
      <c r="AX172">
        <v>0.43456298683546596</v>
      </c>
      <c r="BE172" s="76"/>
      <c r="ED172" s="25" t="s">
        <v>4427</v>
      </c>
      <c r="EE172">
        <v>5387.8036963377926</v>
      </c>
      <c r="EF172">
        <v>12.962090053809991</v>
      </c>
      <c r="EG172">
        <v>415.65856077000001</v>
      </c>
      <c r="EI172" s="32" t="s">
        <v>4369</v>
      </c>
      <c r="EJ172" s="32">
        <v>18.808018684840974</v>
      </c>
      <c r="EK172" s="32">
        <v>0.7705240233115328</v>
      </c>
      <c r="EL172" s="32">
        <v>24.409386489999999</v>
      </c>
      <c r="EN172" s="32" t="s">
        <v>4548</v>
      </c>
      <c r="EO172" s="32">
        <v>3482.9899232239331</v>
      </c>
      <c r="EP172" s="32">
        <v>15.250242249524563</v>
      </c>
      <c r="EQ172" s="32">
        <v>228.38915384000001</v>
      </c>
      <c r="EU172" t="str">
        <f>EN172</f>
        <v>Primax</v>
      </c>
      <c r="EV172" s="18">
        <f>_xlfn.IFNA(INDEX($EJ$51:$EJ$251,MATCH($EU172,$EI$51:$EI$251,0),1),0)</f>
        <v>3252.9348805564941</v>
      </c>
      <c r="EW172" s="18">
        <f>_xlfn.IFNA(INDEX($EK$51:$EK$251,MATCH($EU172,$EI$51:$EI$251,0),1),0)</f>
        <v>13.938312138774631</v>
      </c>
      <c r="EX172" s="18">
        <f>_xlfn.IFNA(INDEX($EO$51:$EO$246,MATCH($EU172,$EN$51:$EN$246,0),1),0)</f>
        <v>3482.9899232239331</v>
      </c>
      <c r="EY172" s="18">
        <f>_xlfn.IFNA(INDEX($EP$51:$EP$246,MATCH($EU172,$EN$51:$EN$246,0),1),0)</f>
        <v>15.250242249524563</v>
      </c>
      <c r="EZ172" s="18">
        <f>_xlfn.IFNA(EX172-EV172,"")</f>
        <v>230.05504266743901</v>
      </c>
      <c r="FA172" s="50">
        <f>EX172/EV172-1</f>
        <v>7.072230189498363E-2</v>
      </c>
      <c r="FB172" s="50">
        <f>_xlfn.IFNA(EY172/EW172-1,"")</f>
        <v>9.412403006102199E-2</v>
      </c>
      <c r="FC172" s="18">
        <f>-(_xlfn.IFNA(INDEX($EL$51:$EL$251,MATCH($EU172,$EI$51:$EI$251,0),1),0)-_xlfn.IFNA(INDEX($EQ$51:$EQ$246,MATCH($EU172,$EN$51:$EN$246,0),1),0))</f>
        <v>-4.9916779399999598</v>
      </c>
    </row>
    <row r="173" spans="43:159" x14ac:dyDescent="0.25">
      <c r="AQ173" s="25" t="s">
        <v>5768</v>
      </c>
      <c r="AR173">
        <v>1944.3478665886239</v>
      </c>
      <c r="AS173">
        <v>0.18025033116498046</v>
      </c>
      <c r="AU173" s="79"/>
      <c r="AV173" t="s">
        <v>4412</v>
      </c>
      <c r="AW173">
        <v>4.2026561293421139E-2</v>
      </c>
      <c r="AX173">
        <v>3.8960629016223548E-6</v>
      </c>
      <c r="BE173" s="76"/>
      <c r="ED173" s="25" t="s">
        <v>4522</v>
      </c>
      <c r="EE173">
        <v>24807.128796298319</v>
      </c>
      <c r="EF173">
        <v>146.17737840383995</v>
      </c>
      <c r="EG173">
        <v>169.70566217000001</v>
      </c>
      <c r="EI173" s="32" t="s">
        <v>4520</v>
      </c>
      <c r="EJ173" s="32">
        <v>6.6181992274598495E-3</v>
      </c>
      <c r="EK173" s="32">
        <v>3.2453303999220747E-4</v>
      </c>
      <c r="EL173" s="32">
        <v>20.392990579999999</v>
      </c>
      <c r="EN173" s="32" t="s">
        <v>4381</v>
      </c>
      <c r="EO173" s="32">
        <v>4829.0429007074645</v>
      </c>
      <c r="EP173" s="32">
        <v>122.22902400369412</v>
      </c>
      <c r="EQ173" s="32">
        <v>39.508152340000002</v>
      </c>
      <c r="EU173" t="str">
        <f>EN173</f>
        <v>PRIVFAELCPIX</v>
      </c>
      <c r="EV173" s="18">
        <f>_xlfn.IFNA(INDEX($EJ$51:$EJ$251,MATCH($EU173,$EI$51:$EI$251,0),1),0)</f>
        <v>5045.4630927243434</v>
      </c>
      <c r="EW173" s="18">
        <f>_xlfn.IFNA(INDEX($EK$51:$EK$251,MATCH($EU173,$EI$51:$EI$251,0),1),0)</f>
        <v>126.53202799172315</v>
      </c>
      <c r="EX173" s="18">
        <f>_xlfn.IFNA(INDEX($EO$51:$EO$246,MATCH($EU173,$EN$51:$EN$246,0),1),0)</f>
        <v>4829.0429007074645</v>
      </c>
      <c r="EY173" s="18">
        <f>_xlfn.IFNA(INDEX($EP$51:$EP$246,MATCH($EU173,$EN$51:$EN$246,0),1),0)</f>
        <v>122.22902400369412</v>
      </c>
      <c r="EZ173" s="18">
        <f>_xlfn.IFNA(EX173-EV173,"")</f>
        <v>-216.4201920168789</v>
      </c>
      <c r="FA173" s="50">
        <f>EX173/EV173-1</f>
        <v>-4.2894019446690801E-2</v>
      </c>
      <c r="FB173" s="50">
        <f>_xlfn.IFNA(EY173/EW173-1,"")</f>
        <v>-3.4007231657667725E-2</v>
      </c>
      <c r="FC173" s="18">
        <f>-(_xlfn.IFNA(INDEX($EL$51:$EL$251,MATCH($EU173,$EI$51:$EI$251,0),1),0)-_xlfn.IFNA(INDEX($EQ$51:$EQ$246,MATCH($EU173,$EN$51:$EN$246,0),1),0))</f>
        <v>-0.36683561999999625</v>
      </c>
    </row>
    <row r="174" spans="43:159" x14ac:dyDescent="0.25">
      <c r="AQ174" s="25" t="s">
        <v>4574</v>
      </c>
      <c r="AR174">
        <v>53.629655636378573</v>
      </c>
      <c r="AS174">
        <v>4.971725150027563E-3</v>
      </c>
      <c r="AV174" t="s">
        <v>6031</v>
      </c>
      <c r="AW174">
        <v>2937.4566952774044</v>
      </c>
      <c r="AX174">
        <v>0.2723162615111227</v>
      </c>
      <c r="BE174" s="76"/>
      <c r="ED174" s="25" t="s">
        <v>4416</v>
      </c>
      <c r="EE174">
        <v>1.01680181277176E-2</v>
      </c>
      <c r="EF174">
        <v>9.5140000000000001E-5</v>
      </c>
      <c r="EG174">
        <v>106.87427083999999</v>
      </c>
      <c r="EI174" s="32" t="s">
        <v>4427</v>
      </c>
      <c r="EJ174" s="32">
        <v>13148.474847290943</v>
      </c>
      <c r="EK174" s="32">
        <v>38.57472633866999</v>
      </c>
      <c r="EL174" s="32">
        <v>340.85724242999999</v>
      </c>
      <c r="EN174" s="32" t="s">
        <v>4598</v>
      </c>
      <c r="EO174" s="32">
        <v>2.8442752209161995E-2</v>
      </c>
      <c r="EP174" s="32">
        <v>3.9509999999999995E-4</v>
      </c>
      <c r="EQ174" s="32">
        <v>71.988742619999996</v>
      </c>
      <c r="EU174" t="str">
        <f>EN174</f>
        <v>Robeco - Chinese Equities</v>
      </c>
      <c r="EV174" s="18">
        <f>_xlfn.IFNA(INDEX($EJ$51:$EJ$251,MATCH($EU174,$EI$51:$EI$251,0),1),0)</f>
        <v>3.5812761475034399E-2</v>
      </c>
      <c r="EW174" s="18">
        <f>_xlfn.IFNA(INDEX($EK$51:$EK$251,MATCH($EU174,$EI$51:$EI$251,0),1),0)</f>
        <v>3.4068E-4</v>
      </c>
      <c r="EX174" s="18">
        <f>_xlfn.IFNA(INDEX($EO$51:$EO$246,MATCH($EU174,$EN$51:$EN$246,0),1),0)</f>
        <v>2.8442752209161995E-2</v>
      </c>
      <c r="EY174" s="18">
        <f>_xlfn.IFNA(INDEX($EP$51:$EP$246,MATCH($EU174,$EN$51:$EN$246,0),1),0)</f>
        <v>3.9509999999999995E-4</v>
      </c>
      <c r="EZ174" s="18">
        <f>_xlfn.IFNA(EX174-EV174,"")</f>
        <v>-7.3700092658724042E-3</v>
      </c>
      <c r="FA174" s="50">
        <f>EX174/EV174-1</f>
        <v>-0.20579282251133146</v>
      </c>
      <c r="FB174" s="50">
        <f>_xlfn.IFNA(EY174/EW174-1,"")</f>
        <v>0.15973934483973218</v>
      </c>
      <c r="FC174" s="18">
        <f>-(_xlfn.IFNA(INDEX($EL$51:$EL$251,MATCH($EU174,$EI$51:$EI$251,0),1),0)-_xlfn.IFNA(INDEX($EQ$51:$EQ$246,MATCH($EU174,$EN$51:$EN$246,0),1),0))</f>
        <v>-33.132665959999997</v>
      </c>
    </row>
    <row r="175" spans="43:159" x14ac:dyDescent="0.25">
      <c r="AQ175" s="25" t="s">
        <v>4521</v>
      </c>
      <c r="AR175">
        <v>45.079804858231434</v>
      </c>
      <c r="AS175">
        <v>4.1791131588018952E-3</v>
      </c>
      <c r="AV175" t="s">
        <v>6639</v>
      </c>
      <c r="AW175">
        <v>250.46875</v>
      </c>
      <c r="AX175">
        <v>2.3219649070919422E-2</v>
      </c>
      <c r="BE175" s="76"/>
      <c r="ED175" s="25" t="s">
        <v>4602</v>
      </c>
      <c r="EE175">
        <v>0.17051558148199863</v>
      </c>
      <c r="EF175">
        <v>2.204400727453956E-3</v>
      </c>
      <c r="EG175">
        <v>77.352352210000006</v>
      </c>
      <c r="EI175" s="32" t="s">
        <v>4522</v>
      </c>
      <c r="EJ175" s="32">
        <v>12214.982342067855</v>
      </c>
      <c r="EK175" s="32">
        <v>72.862364138479975</v>
      </c>
      <c r="EL175" s="32">
        <v>167.64460618999999</v>
      </c>
      <c r="EN175" s="32" t="s">
        <v>4415</v>
      </c>
      <c r="EO175" s="32">
        <v>4.4017981809969305E-2</v>
      </c>
      <c r="EP175" s="32">
        <v>3.9547000000000003E-4</v>
      </c>
      <c r="EQ175" s="32">
        <v>111.30548919</v>
      </c>
      <c r="EU175" t="str">
        <f>EN175</f>
        <v>Robeco Luxembourg S.A.</v>
      </c>
      <c r="EV175" s="18">
        <f>_xlfn.IFNA(INDEX($EJ$51:$EJ$251,MATCH($EU175,$EI$51:$EI$251,0),1),0)</f>
        <v>4.1542027631555192E-2</v>
      </c>
      <c r="EW175" s="18">
        <f>_xlfn.IFNA(INDEX($EK$51:$EK$251,MATCH($EU175,$EI$51:$EI$251,0),1),0)</f>
        <v>3.8095999999999996E-4</v>
      </c>
      <c r="EX175" s="18">
        <f>_xlfn.IFNA(INDEX($EO$51:$EO$246,MATCH($EU175,$EN$51:$EN$246,0),1),0)</f>
        <v>4.4017981809969305E-2</v>
      </c>
      <c r="EY175" s="18">
        <f>_xlfn.IFNA(INDEX($EP$51:$EP$246,MATCH($EU175,$EN$51:$EN$246,0),1),0)</f>
        <v>3.9547000000000003E-4</v>
      </c>
      <c r="EZ175" s="18">
        <f>_xlfn.IFNA(EX175-EV175,"")</f>
        <v>2.4759541784141123E-3</v>
      </c>
      <c r="FA175" s="50">
        <f>EX175/EV175-1</f>
        <v>5.960118751000465E-2</v>
      </c>
      <c r="FB175" s="50">
        <f>_xlfn.IFNA(EY175/EW175-1,"")</f>
        <v>3.8087988240235404E-2</v>
      </c>
      <c r="FC175" s="18">
        <f>-(_xlfn.IFNA(INDEX($EL$51:$EL$251,MATCH($EU175,$EI$51:$EI$251,0),1),0)-_xlfn.IFNA(INDEX($EQ$51:$EQ$246,MATCH($EU175,$EN$51:$EN$246,0),1),0))</f>
        <v>2.2598475700000051</v>
      </c>
    </row>
    <row r="176" spans="43:159" x14ac:dyDescent="0.25">
      <c r="AQ176" s="25" t="s">
        <v>4514</v>
      </c>
      <c r="AR176">
        <v>1570.7114924999398</v>
      </c>
      <c r="AS176">
        <v>0.14561245523646635</v>
      </c>
      <c r="AV176" t="s">
        <v>6627</v>
      </c>
      <c r="AW176">
        <v>78.036544779432475</v>
      </c>
      <c r="AX176">
        <v>7.2343603123563756E-3</v>
      </c>
      <c r="BE176" s="76"/>
      <c r="ED176" s="25" t="s">
        <v>4548</v>
      </c>
      <c r="EE176">
        <v>3482.9899232239331</v>
      </c>
      <c r="EF176">
        <v>15.250242249524563</v>
      </c>
      <c r="EG176">
        <v>228.38915384000001</v>
      </c>
      <c r="EI176" s="32" t="s">
        <v>4416</v>
      </c>
      <c r="EJ176" s="32">
        <v>1.03098943313636E-2</v>
      </c>
      <c r="EK176" s="32">
        <v>9.0259999999999993E-5</v>
      </c>
      <c r="EL176" s="32">
        <v>114.22439986000001</v>
      </c>
      <c r="EN176" s="32" t="s">
        <v>4560</v>
      </c>
      <c r="EO176" s="32">
        <v>657.87360349049345</v>
      </c>
      <c r="EP176" s="32">
        <v>24.001225957332856</v>
      </c>
      <c r="EQ176" s="32">
        <v>27.41</v>
      </c>
      <c r="EU176" t="str">
        <f>EN176</f>
        <v>Rutas de Lima</v>
      </c>
      <c r="EV176" s="18">
        <f>_xlfn.IFNA(INDEX($EJ$51:$EJ$251,MATCH($EU176,$EI$51:$EI$251,0),1),0)</f>
        <v>2514.8599649507396</v>
      </c>
      <c r="EW176" s="18">
        <f>_xlfn.IFNA(INDEX($EK$51:$EK$251,MATCH($EU176,$EI$51:$EI$251,0),1),0)</f>
        <v>56.172882844555275</v>
      </c>
      <c r="EX176" s="18">
        <f>_xlfn.IFNA(INDEX($EO$51:$EO$246,MATCH($EU176,$EN$51:$EN$246,0),1),0)</f>
        <v>657.87360349049345</v>
      </c>
      <c r="EY176" s="18">
        <f>_xlfn.IFNA(INDEX($EP$51:$EP$246,MATCH($EU176,$EN$51:$EN$246,0),1),0)</f>
        <v>24.001225957332856</v>
      </c>
      <c r="EZ176" s="18">
        <f>_xlfn.IFNA(EX176-EV176,"")</f>
        <v>-1856.9863614602461</v>
      </c>
      <c r="FA176" s="50">
        <f>EX176/EV176-1</f>
        <v>-0.73840547280596613</v>
      </c>
      <c r="FB176" s="50">
        <f>_xlfn.IFNA(EY176/EW176-1,"")</f>
        <v>-0.57272575766228018</v>
      </c>
      <c r="FC176" s="18">
        <f>-(_xlfn.IFNA(INDEX($EL$51:$EL$251,MATCH($EU176,$EI$51:$EI$251,0),1),0)-_xlfn.IFNA(INDEX($EQ$51:$EQ$246,MATCH($EU176,$EN$51:$EN$246,0),1),0))</f>
        <v>-17.360000000000003</v>
      </c>
    </row>
    <row r="177" spans="43:159" x14ac:dyDescent="0.25">
      <c r="AQ177" s="25" t="s">
        <v>4622</v>
      </c>
      <c r="AR177">
        <v>4687.6009097512051</v>
      </c>
      <c r="AS177">
        <v>0.43456298683546596</v>
      </c>
      <c r="AV177" t="s">
        <v>6640</v>
      </c>
      <c r="AW177">
        <v>0.85394800026239648</v>
      </c>
      <c r="AX177">
        <v>7.9165057081597009E-5</v>
      </c>
      <c r="BE177" s="76"/>
      <c r="ED177" s="25" t="s">
        <v>4381</v>
      </c>
      <c r="EE177">
        <v>4829.0429007074645</v>
      </c>
      <c r="EF177">
        <v>122.22902400369412</v>
      </c>
      <c r="EG177">
        <v>39.508152340000002</v>
      </c>
      <c r="EI177" s="32" t="s">
        <v>4602</v>
      </c>
      <c r="EJ177" s="32">
        <v>0.23630085274334028</v>
      </c>
      <c r="EK177" s="32">
        <v>1.8820785499833019E-3</v>
      </c>
      <c r="EL177" s="32">
        <v>125.55312994000001</v>
      </c>
      <c r="EN177" s="32" t="s">
        <v>4593</v>
      </c>
      <c r="EO177" s="32">
        <v>3.9854066274713107E-2</v>
      </c>
      <c r="EP177" s="32">
        <v>5.1730623996548545E-4</v>
      </c>
      <c r="EQ177" s="32">
        <v>77.041533999999999</v>
      </c>
      <c r="EU177" t="str">
        <f>EN177</f>
        <v>Schroder - International Selection Fund China A</v>
      </c>
      <c r="EV177" s="18">
        <f>_xlfn.IFNA(INDEX($EJ$51:$EJ$251,MATCH($EU177,$EI$51:$EI$251,0),1),0)</f>
        <v>4.9484766014745718E-2</v>
      </c>
      <c r="EW177" s="18">
        <f>_xlfn.IFNA(INDEX($EK$51:$EK$251,MATCH($EU177,$EI$51:$EI$251,0),1),0)</f>
        <v>3.8892159996660361E-4</v>
      </c>
      <c r="EX177" s="18">
        <f>_xlfn.IFNA(INDEX($EO$51:$EO$246,MATCH($EU177,$EN$51:$EN$246,0),1),0)</f>
        <v>3.9854066274713107E-2</v>
      </c>
      <c r="EY177" s="18">
        <f>_xlfn.IFNA(INDEX($EP$51:$EP$246,MATCH($EU177,$EN$51:$EN$246,0),1),0)</f>
        <v>5.1730623996548545E-4</v>
      </c>
      <c r="EZ177" s="18">
        <f>_xlfn.IFNA(EX177-EV177,"")</f>
        <v>-9.6306997400326111E-3</v>
      </c>
      <c r="FA177" s="50">
        <f>EX177/EV177-1</f>
        <v>-0.19461948627104364</v>
      </c>
      <c r="FB177" s="50">
        <f>_xlfn.IFNA(EY177/EW177-1,"")</f>
        <v>0.33010416497799588</v>
      </c>
      <c r="FC177" s="18">
        <f>-(_xlfn.IFNA(INDEX($EL$51:$EL$251,MATCH($EU177,$EI$51:$EI$251,0),1),0)-_xlfn.IFNA(INDEX($EQ$51:$EQ$246,MATCH($EU177,$EN$51:$EN$246,0),1),0))</f>
        <v>-50.194304840000001</v>
      </c>
    </row>
    <row r="178" spans="43:159" x14ac:dyDescent="0.25">
      <c r="AQ178" s="25" t="s">
        <v>4412</v>
      </c>
      <c r="AR178">
        <v>4.2026561293421139E-2</v>
      </c>
      <c r="AS178">
        <v>3.8960629016223548E-6</v>
      </c>
      <c r="AV178" t="s">
        <v>6641</v>
      </c>
      <c r="AW178">
        <v>5292.7916682132318</v>
      </c>
      <c r="AX178">
        <v>0.49066705982841141</v>
      </c>
      <c r="BE178" s="76"/>
      <c r="ED178" s="25" t="s">
        <v>4598</v>
      </c>
      <c r="EE178">
        <v>2.8442752209161995E-2</v>
      </c>
      <c r="EF178">
        <v>3.9509999999999995E-4</v>
      </c>
      <c r="EG178">
        <v>71.988742619999996</v>
      </c>
      <c r="EI178" s="32" t="s">
        <v>4362</v>
      </c>
      <c r="EJ178" s="32">
        <v>207.10024587584959</v>
      </c>
      <c r="EK178" s="32">
        <v>1.6966389996844875</v>
      </c>
      <c r="EL178" s="32">
        <v>122.06500376</v>
      </c>
      <c r="EN178" s="32" t="s">
        <v>4599</v>
      </c>
      <c r="EO178" s="32">
        <v>2.8475564176510537E-3</v>
      </c>
      <c r="EP178" s="32">
        <v>1.1336963396709214E-4</v>
      </c>
      <c r="EQ178" s="32">
        <v>25.11745269</v>
      </c>
      <c r="EU178" t="str">
        <f>EN178</f>
        <v>Schroders - Asian Opportunities</v>
      </c>
      <c r="EV178" s="18">
        <f>_xlfn.IFNA(INDEX($EJ$51:$EJ$251,MATCH($EU178,$EI$51:$EI$251,0),1),0)</f>
        <v>3.3690044997538391E-3</v>
      </c>
      <c r="EW178" s="18">
        <f>_xlfn.IFNA(INDEX($EK$51:$EK$251,MATCH($EU178,$EI$51:$EI$251,0),1),0)</f>
        <v>8.941833596793944E-5</v>
      </c>
      <c r="EX178" s="18">
        <f>_xlfn.IFNA(INDEX($EO$51:$EO$246,MATCH($EU178,$EN$51:$EN$246,0),1),0)</f>
        <v>2.8475564176510537E-3</v>
      </c>
      <c r="EY178" s="18">
        <f>_xlfn.IFNA(INDEX($EP$51:$EP$246,MATCH($EU178,$EN$51:$EN$246,0),1),0)</f>
        <v>1.1336963396709214E-4</v>
      </c>
      <c r="EZ178" s="18">
        <f>_xlfn.IFNA(EX178-EV178,"")</f>
        <v>-5.2144808210278538E-4</v>
      </c>
      <c r="FA178" s="50">
        <f>EX178/EV178-1</f>
        <v>-0.15477809012748001</v>
      </c>
      <c r="FB178" s="50">
        <f>_xlfn.IFNA(EY178/EW178-1,"")</f>
        <v>0.26785667324138451</v>
      </c>
      <c r="FC178" s="18">
        <f>-(_xlfn.IFNA(INDEX($EL$51:$EL$251,MATCH($EU178,$EI$51:$EI$251,0),1),0)-_xlfn.IFNA(INDEX($EQ$51:$EQ$246,MATCH($EU178,$EN$51:$EN$246,0),1),0))</f>
        <v>-12.559433859999999</v>
      </c>
    </row>
    <row r="179" spans="43:159" x14ac:dyDescent="0.25">
      <c r="AQ179" s="25" t="s">
        <v>6031</v>
      </c>
      <c r="AR179">
        <v>2937.4566952774044</v>
      </c>
      <c r="AS179">
        <v>0.2723162615111227</v>
      </c>
      <c r="AV179" t="s">
        <v>6656</v>
      </c>
      <c r="AW179">
        <v>539.33093162542696</v>
      </c>
      <c r="AX179">
        <v>4.9998552575658439E-2</v>
      </c>
      <c r="BE179" s="76"/>
      <c r="ED179" s="25" t="s">
        <v>4415</v>
      </c>
      <c r="EE179">
        <v>4.4017981809969305E-2</v>
      </c>
      <c r="EF179">
        <v>3.9547000000000003E-4</v>
      </c>
      <c r="EG179">
        <v>111.30548919</v>
      </c>
      <c r="EI179" s="32" t="s">
        <v>4548</v>
      </c>
      <c r="EJ179" s="32">
        <v>3252.9348805564941</v>
      </c>
      <c r="EK179" s="32">
        <v>13.938312138774631</v>
      </c>
      <c r="EL179" s="32">
        <v>233.38083177999997</v>
      </c>
      <c r="EN179" s="32" t="s">
        <v>4454</v>
      </c>
      <c r="EO179" s="32">
        <v>85.983887640407787</v>
      </c>
      <c r="EP179" s="32">
        <v>2.7442417699999999</v>
      </c>
      <c r="EQ179" s="32">
        <v>31.33247536</v>
      </c>
      <c r="EU179" t="str">
        <f>EN179</f>
        <v>Sigma - Leasing Operativo</v>
      </c>
      <c r="EV179" s="18">
        <f>_xlfn.IFNA(INDEX($EJ$51:$EJ$251,MATCH($EU179,$EI$51:$EI$251,0),1),0)</f>
        <v>231.69077926332938</v>
      </c>
      <c r="EW179" s="18">
        <f>_xlfn.IFNA(INDEX($EK$51:$EK$251,MATCH($EU179,$EI$51:$EI$251,0),1),0)</f>
        <v>7.9888562400000005</v>
      </c>
      <c r="EX179" s="18">
        <f>_xlfn.IFNA(INDEX($EO$51:$EO$246,MATCH($EU179,$EN$51:$EN$246,0),1),0)</f>
        <v>85.983887640407787</v>
      </c>
      <c r="EY179" s="18">
        <f>_xlfn.IFNA(INDEX($EP$51:$EP$246,MATCH($EU179,$EN$51:$EN$246,0),1),0)</f>
        <v>2.7442417699999999</v>
      </c>
      <c r="EZ179" s="18">
        <f>_xlfn.IFNA(EX179-EV179,"")</f>
        <v>-145.7068916229216</v>
      </c>
      <c r="FA179" s="50">
        <f>EX179/EV179-1</f>
        <v>-0.62888515497337794</v>
      </c>
      <c r="FB179" s="50">
        <f>_xlfn.IFNA(EY179/EW179-1,"")</f>
        <v>-0.65649128141026614</v>
      </c>
      <c r="FC179" s="18">
        <f>-(_xlfn.IFNA(INDEX($EL$51:$EL$251,MATCH($EU179,$EI$51:$EI$251,0),1),0)-_xlfn.IFNA(INDEX($EQ$51:$EQ$246,MATCH($EU179,$EN$51:$EN$246,0),1),0))</f>
        <v>2.3307293899999983</v>
      </c>
    </row>
    <row r="180" spans="43:159" x14ac:dyDescent="0.25">
      <c r="AQ180" s="25" t="s">
        <v>6639</v>
      </c>
      <c r="AR180">
        <v>250.46875</v>
      </c>
      <c r="AS180">
        <v>2.3219649070919422E-2</v>
      </c>
      <c r="AV180" t="s">
        <v>5555</v>
      </c>
      <c r="AW180">
        <v>137.31514531304373</v>
      </c>
      <c r="AX180">
        <v>1.2729769627113884E-2</v>
      </c>
      <c r="BE180" s="76"/>
      <c r="ED180" s="25" t="s">
        <v>4560</v>
      </c>
      <c r="EE180">
        <v>657.87360349049345</v>
      </c>
      <c r="EF180">
        <v>24.001225957332856</v>
      </c>
      <c r="EG180">
        <v>27.41</v>
      </c>
      <c r="EI180" s="32" t="s">
        <v>4381</v>
      </c>
      <c r="EJ180" s="32">
        <v>5045.4630927243434</v>
      </c>
      <c r="EK180" s="32">
        <v>126.53202799172315</v>
      </c>
      <c r="EL180" s="32">
        <v>39.874987959999999</v>
      </c>
      <c r="EN180" s="32" t="s">
        <v>4394</v>
      </c>
      <c r="EO180" s="32">
        <v>918.57289549763027</v>
      </c>
      <c r="EP180" s="32">
        <v>29.316958999999997</v>
      </c>
      <c r="EQ180" s="32">
        <v>31.33247536</v>
      </c>
      <c r="EU180" t="str">
        <f>EN180</f>
        <v>Sigma- Infraestructura</v>
      </c>
      <c r="EV180" s="18">
        <f>_xlfn.IFNA(INDEX($EJ$51:$EJ$251,MATCH($EU180,$EI$51:$EI$251,0),1),0)</f>
        <v>1015.3820712726501</v>
      </c>
      <c r="EW180" s="18">
        <f>_xlfn.IFNA(INDEX($EK$51:$EK$251,MATCH($EU180,$EI$51:$EI$251,0),1),0)</f>
        <v>35.011067000000004</v>
      </c>
      <c r="EX180" s="18">
        <f>_xlfn.IFNA(INDEX($EO$51:$EO$246,MATCH($EU180,$EN$51:$EN$246,0),1),0)</f>
        <v>918.57289549763027</v>
      </c>
      <c r="EY180" s="18">
        <f>_xlfn.IFNA(INDEX($EP$51:$EP$246,MATCH($EU180,$EN$51:$EN$246,0),1),0)</f>
        <v>29.316958999999997</v>
      </c>
      <c r="EZ180" s="18">
        <f>_xlfn.IFNA(EX180-EV180,"")</f>
        <v>-96.809175775019867</v>
      </c>
      <c r="FA180" s="50">
        <f>EX180/EV180-1</f>
        <v>-9.5342608968545295E-2</v>
      </c>
      <c r="FB180" s="50">
        <f>_xlfn.IFNA(EY180/EW180-1,"")</f>
        <v>-0.1626373740623217</v>
      </c>
      <c r="FC180" s="18">
        <f>-(_xlfn.IFNA(INDEX($EL$51:$EL$251,MATCH($EU180,$EI$51:$EI$251,0),1),0)-_xlfn.IFNA(INDEX($EQ$51:$EQ$246,MATCH($EU180,$EN$51:$EN$246,0),1),0))</f>
        <v>2.3307293899999983</v>
      </c>
    </row>
    <row r="181" spans="43:159" x14ac:dyDescent="0.25">
      <c r="AQ181" s="25" t="s">
        <v>6627</v>
      </c>
      <c r="AR181">
        <v>78.036544779432475</v>
      </c>
      <c r="AS181">
        <v>7.2343603123563756E-3</v>
      </c>
      <c r="AV181" t="s">
        <v>6644</v>
      </c>
      <c r="AW181">
        <v>1146.3779940000002</v>
      </c>
      <c r="AX181">
        <v>0.10627471380483422</v>
      </c>
      <c r="ED181" s="25" t="s">
        <v>4593</v>
      </c>
      <c r="EE181">
        <v>3.9854066274713107E-2</v>
      </c>
      <c r="EF181">
        <v>5.1730623996548545E-4</v>
      </c>
      <c r="EG181">
        <v>77.041533999999999</v>
      </c>
      <c r="EI181" s="32" t="s">
        <v>4598</v>
      </c>
      <c r="EJ181" s="32">
        <v>3.5812761475034399E-2</v>
      </c>
      <c r="EK181" s="32">
        <v>3.4068E-4</v>
      </c>
      <c r="EL181" s="32">
        <v>105.12140857999999</v>
      </c>
      <c r="EN181" s="32" t="s">
        <v>4555</v>
      </c>
      <c r="EO181" s="32">
        <v>1069.5709113271369</v>
      </c>
      <c r="EP181" s="32">
        <v>50.332748768335854</v>
      </c>
      <c r="EQ181" s="32">
        <v>21.25</v>
      </c>
      <c r="EU181" t="str">
        <f>EN181</f>
        <v>SINT1INR1U - InRetail</v>
      </c>
      <c r="EV181" s="18">
        <f>_xlfn.IFNA(INDEX($EJ$51:$EJ$251,MATCH($EU181,$EI$51:$EI$251,0),1),0)</f>
        <v>1267.0280847323684</v>
      </c>
      <c r="EW181" s="18">
        <f>_xlfn.IFNA(INDEX($EK$51:$EK$251,MATCH($EU181,$EI$51:$EI$251,0),1),0)</f>
        <v>46.909592178169873</v>
      </c>
      <c r="EX181" s="18">
        <f>_xlfn.IFNA(INDEX($EO$51:$EO$246,MATCH($EU181,$EN$51:$EN$246,0),1),0)</f>
        <v>1069.5709113271369</v>
      </c>
      <c r="EY181" s="18">
        <f>_xlfn.IFNA(INDEX($EP$51:$EP$246,MATCH($EU181,$EN$51:$EN$246,0),1),0)</f>
        <v>50.332748768335854</v>
      </c>
      <c r="EZ181" s="18">
        <f>_xlfn.IFNA(EX181-EV181,"")</f>
        <v>-197.45717340523152</v>
      </c>
      <c r="FA181" s="50">
        <f>EX181/EV181-1</f>
        <v>-0.15584277553479797</v>
      </c>
      <c r="FB181" s="50">
        <f>_xlfn.IFNA(EY181/EW181-1,"")</f>
        <v>7.2973488602593228E-2</v>
      </c>
      <c r="FC181" s="18">
        <f>-(_xlfn.IFNA(INDEX($EL$51:$EL$251,MATCH($EU181,$EI$51:$EI$251,0),1),0)-_xlfn.IFNA(INDEX($EQ$51:$EQ$246,MATCH($EU181,$EN$51:$EN$246,0),1),0))</f>
        <v>-5.7600000000000016</v>
      </c>
    </row>
    <row r="182" spans="43:159" x14ac:dyDescent="0.25">
      <c r="AQ182" s="25" t="s">
        <v>6640</v>
      </c>
      <c r="AR182">
        <v>0.85394800026239648</v>
      </c>
      <c r="AS182">
        <v>7.9165057081597009E-5</v>
      </c>
      <c r="AV182" t="s">
        <v>6645</v>
      </c>
      <c r="AW182">
        <v>6319.3866801252398</v>
      </c>
      <c r="AX182">
        <v>0.58583731925020821</v>
      </c>
      <c r="ED182" s="25" t="s">
        <v>4599</v>
      </c>
      <c r="EE182">
        <v>2.8475564176510537E-3</v>
      </c>
      <c r="EF182">
        <v>1.1336963396709214E-4</v>
      </c>
      <c r="EG182">
        <v>25.11745269</v>
      </c>
      <c r="EI182" s="32" t="s">
        <v>4415</v>
      </c>
      <c r="EJ182" s="32">
        <v>4.1542027631555192E-2</v>
      </c>
      <c r="EK182" s="32">
        <v>3.8095999999999996E-4</v>
      </c>
      <c r="EL182" s="32">
        <v>109.04564162</v>
      </c>
      <c r="EN182" s="32" t="s">
        <v>4559</v>
      </c>
      <c r="EO182" s="32">
        <v>279.65661829990682</v>
      </c>
      <c r="EP182" s="32">
        <v>65.988413921568622</v>
      </c>
      <c r="EQ182" s="32">
        <v>4.2379654499999999</v>
      </c>
      <c r="EU182" t="str">
        <f>EN182</f>
        <v>Site del Perú</v>
      </c>
      <c r="EV182" s="18">
        <f>_xlfn.IFNA(INDEX($EJ$51:$EJ$251,MATCH($EU182,$EI$51:$EI$251,0),1),0)</f>
        <v>284.95995515759421</v>
      </c>
      <c r="EW182" s="18">
        <f>_xlfn.IFNA(INDEX($EK$51:$EK$251,MATCH($EU182,$EI$51:$EI$251,0),1),0)</f>
        <v>60.33032031810086</v>
      </c>
      <c r="EX182" s="18">
        <f>_xlfn.IFNA(INDEX($EO$51:$EO$246,MATCH($EU182,$EN$51:$EN$246,0),1),0)</f>
        <v>279.65661829990682</v>
      </c>
      <c r="EY182" s="18">
        <f>_xlfn.IFNA(INDEX($EP$51:$EP$246,MATCH($EU182,$EN$51:$EN$246,0),1),0)</f>
        <v>65.988413921568622</v>
      </c>
      <c r="EZ182" s="18">
        <f>_xlfn.IFNA(EX182-EV182,"")</f>
        <v>-5.3033368576873841</v>
      </c>
      <c r="FA182" s="50">
        <f>EX182/EV182-1</f>
        <v>-1.8610814473052684E-2</v>
      </c>
      <c r="FB182" s="50">
        <f>_xlfn.IFNA(EY182/EW182-1,"")</f>
        <v>9.3785240549604243E-2</v>
      </c>
      <c r="FC182" s="18">
        <f>-(_xlfn.IFNA(INDEX($EL$51:$EL$251,MATCH($EU182,$EI$51:$EI$251,0),1),0)-_xlfn.IFNA(INDEX($EQ$51:$EQ$246,MATCH($EU182,$EN$51:$EN$246,0),1),0))</f>
        <v>-0.48536361000000028</v>
      </c>
    </row>
    <row r="183" spans="43:159" x14ac:dyDescent="0.25">
      <c r="AQ183" s="25" t="s">
        <v>6641</v>
      </c>
      <c r="AR183">
        <v>5292.7916682132318</v>
      </c>
      <c r="AS183">
        <v>0.49066705982841141</v>
      </c>
      <c r="AV183" t="s">
        <v>6646</v>
      </c>
      <c r="AW183">
        <v>3250.5337798566952</v>
      </c>
      <c r="AX183">
        <v>0.30134000214175105</v>
      </c>
      <c r="ED183" s="25" t="s">
        <v>4454</v>
      </c>
      <c r="EE183">
        <v>85.983887640407787</v>
      </c>
      <c r="EF183">
        <v>2.7442417699999999</v>
      </c>
      <c r="EG183">
        <v>31.33247536</v>
      </c>
      <c r="EI183" s="32" t="s">
        <v>4560</v>
      </c>
      <c r="EJ183" s="32">
        <v>2514.8599649507396</v>
      </c>
      <c r="EK183" s="32">
        <v>56.172882844555275</v>
      </c>
      <c r="EL183" s="32">
        <v>44.77</v>
      </c>
      <c r="EN183" s="32" t="s">
        <v>2816</v>
      </c>
      <c r="EO183" s="32">
        <v>10984.675399526257</v>
      </c>
      <c r="EP183" s="32">
        <v>41.127114412631045</v>
      </c>
      <c r="EQ183" s="32">
        <v>267.09083670000001</v>
      </c>
      <c r="EU183" t="str">
        <f>EN183</f>
        <v>Sociedad Minera Cerro Verde S.A.A.</v>
      </c>
      <c r="EV183" s="18">
        <f>_xlfn.IFNA(INDEX($EJ$51:$EJ$251,MATCH($EU183,$EI$51:$EI$251,0),1),0)</f>
        <v>10445.940312916973</v>
      </c>
      <c r="EW183" s="18">
        <f>_xlfn.IFNA(INDEX($EK$51:$EK$251,MATCH($EU183,$EI$51:$EI$251,0),1),0)</f>
        <v>37.53833920383196</v>
      </c>
      <c r="EX183" s="18">
        <f>_xlfn.IFNA(INDEX($EO$51:$EO$246,MATCH($EU183,$EN$51:$EN$246,0),1),0)</f>
        <v>10984.675399526257</v>
      </c>
      <c r="EY183" s="18">
        <f>_xlfn.IFNA(INDEX($EP$51:$EP$246,MATCH($EU183,$EN$51:$EN$246,0),1),0)</f>
        <v>41.127114412631045</v>
      </c>
      <c r="EZ183" s="18">
        <f>_xlfn.IFNA(EX183-EV183,"")</f>
        <v>538.73508660928383</v>
      </c>
      <c r="FA183" s="50">
        <f>EX183/EV183-1</f>
        <v>5.1573632480276466E-2</v>
      </c>
      <c r="FB183" s="50">
        <f>_xlfn.IFNA(EY183/EW183-1,"")</f>
        <v>9.5602929828945138E-2</v>
      </c>
      <c r="FC183" s="18">
        <f>-(_xlfn.IFNA(INDEX($EL$51:$EL$251,MATCH($EU183,$EI$51:$EI$251,0),1),0)-_xlfn.IFNA(INDEX($EQ$51:$EQ$246,MATCH($EU183,$EN$51:$EN$246,0),1),0))</f>
        <v>-11.183070310000005</v>
      </c>
    </row>
    <row r="184" spans="43:159" x14ac:dyDescent="0.25">
      <c r="AQ184" s="25" t="s">
        <v>6642</v>
      </c>
      <c r="AR184">
        <v>539.31991254410093</v>
      </c>
      <c r="AS184">
        <v>4.999753105420527E-2</v>
      </c>
      <c r="AV184" t="s">
        <v>6647</v>
      </c>
      <c r="AW184">
        <v>3099.3160305631377</v>
      </c>
      <c r="AX184">
        <v>0.28732139474306084</v>
      </c>
      <c r="ED184" s="25" t="s">
        <v>4394</v>
      </c>
      <c r="EE184">
        <v>918.57289549763027</v>
      </c>
      <c r="EF184">
        <v>29.316958999999997</v>
      </c>
      <c r="EG184">
        <v>31.33247536</v>
      </c>
      <c r="EI184" s="32" t="s">
        <v>4494</v>
      </c>
      <c r="EJ184" s="32">
        <v>460.50976877958021</v>
      </c>
      <c r="EK184" s="32">
        <v>14.094380629952996</v>
      </c>
      <c r="EL184" s="32">
        <v>32.673288800000002</v>
      </c>
      <c r="EN184" s="32" t="s">
        <v>4582</v>
      </c>
      <c r="EO184" s="32">
        <v>54.251395525263995</v>
      </c>
      <c r="EP184" s="32">
        <v>2.38672</v>
      </c>
      <c r="EQ184" s="32">
        <v>22.730523699999999</v>
      </c>
      <c r="EU184" t="str">
        <f>EN184</f>
        <v>State Street - S&amp;P 500 ETF</v>
      </c>
      <c r="EV184" s="18">
        <f>_xlfn.IFNA(INDEX($EJ$51:$EJ$251,MATCH($EU184,$EI$51:$EI$251,0),1),0)</f>
        <v>555.47499755467845</v>
      </c>
      <c r="EW184" s="18">
        <f>_xlfn.IFNA(INDEX($EK$51:$EK$251,MATCH($EU184,$EI$51:$EI$251,0),1),0)</f>
        <v>22.745685000000002</v>
      </c>
      <c r="EX184" s="18">
        <f>_xlfn.IFNA(INDEX($EO$51:$EO$246,MATCH($EU184,$EN$51:$EN$246,0),1),0)</f>
        <v>54.251395525263995</v>
      </c>
      <c r="EY184" s="18">
        <f>_xlfn.IFNA(INDEX($EP$51:$EP$246,MATCH($EU184,$EN$51:$EN$246,0),1),0)</f>
        <v>2.38672</v>
      </c>
      <c r="EZ184" s="18">
        <f>_xlfn.IFNA(EX184-EV184,"")</f>
        <v>-501.22360202941445</v>
      </c>
      <c r="FA184" s="50">
        <f>EX184/EV184-1</f>
        <v>-0.90233332595690097</v>
      </c>
      <c r="FB184" s="50">
        <f>_xlfn.IFNA(EY184/EW184-1,"")</f>
        <v>-0.89506932853418131</v>
      </c>
      <c r="FC184" s="18">
        <f>-(_xlfn.IFNA(INDEX($EL$51:$EL$251,MATCH($EU184,$EI$51:$EI$251,0),1),0)-_xlfn.IFNA(INDEX($EQ$51:$EQ$246,MATCH($EU184,$EN$51:$EN$246,0),1),0))</f>
        <v>-1.6905916699999999</v>
      </c>
    </row>
    <row r="185" spans="43:159" x14ac:dyDescent="0.25">
      <c r="AQ185" s="25" t="s">
        <v>6643</v>
      </c>
      <c r="AR185">
        <v>1.1019081325996318E-2</v>
      </c>
      <c r="AS185">
        <v>1.021521453169531E-6</v>
      </c>
      <c r="AV185" t="s">
        <v>6648</v>
      </c>
      <c r="AW185">
        <v>953.31985296729999</v>
      </c>
      <c r="AX185">
        <v>8.8377302311131445E-2</v>
      </c>
      <c r="ED185" s="25" t="s">
        <v>4555</v>
      </c>
      <c r="EE185">
        <v>1069.5709113271369</v>
      </c>
      <c r="EF185">
        <v>50.332748768335854</v>
      </c>
      <c r="EG185">
        <v>21.25</v>
      </c>
      <c r="EI185" s="32" t="s">
        <v>4593</v>
      </c>
      <c r="EJ185" s="32">
        <v>4.9484766014745718E-2</v>
      </c>
      <c r="EK185" s="32">
        <v>3.8892159996660361E-4</v>
      </c>
      <c r="EL185" s="32">
        <v>127.23583884</v>
      </c>
      <c r="EN185" s="32" t="s">
        <v>4395</v>
      </c>
      <c r="EO185" s="32">
        <v>521.59084604449731</v>
      </c>
      <c r="EP185" s="32">
        <v>16.646972192639979</v>
      </c>
      <c r="EQ185" s="32">
        <v>31.33247536</v>
      </c>
      <c r="EU185" t="str">
        <f>EN185</f>
        <v>Sura Credicorp Infraestructura</v>
      </c>
      <c r="EV185" s="18">
        <f>_xlfn.IFNA(INDEX($EJ$51:$EJ$251,MATCH($EU185,$EI$51:$EI$251,0),1),0)</f>
        <v>464.06479673912787</v>
      </c>
      <c r="EW185" s="18">
        <f>_xlfn.IFNA(INDEX($EK$51:$EK$251,MATCH($EU185,$EI$51:$EI$251,0),1),0)</f>
        <v>16.001270999999999</v>
      </c>
      <c r="EX185" s="18">
        <f>_xlfn.IFNA(INDEX($EO$51:$EO$246,MATCH($EU185,$EN$51:$EN$246,0),1),0)</f>
        <v>521.59084604449731</v>
      </c>
      <c r="EY185" s="18">
        <f>_xlfn.IFNA(INDEX($EP$51:$EP$246,MATCH($EU185,$EN$51:$EN$246,0),1),0)</f>
        <v>16.646972192639979</v>
      </c>
      <c r="EZ185" s="18">
        <f>_xlfn.IFNA(EX185-EV185,"")</f>
        <v>57.52604930536944</v>
      </c>
      <c r="FA185" s="50">
        <f>EX185/EV185-1</f>
        <v>0.12396124357975702</v>
      </c>
      <c r="FB185" s="50">
        <f>_xlfn.IFNA(EY185/EW185-1,"")</f>
        <v>4.0353118989109094E-2</v>
      </c>
      <c r="FC185" s="18">
        <f>-(_xlfn.IFNA(INDEX($EL$51:$EL$251,MATCH($EU185,$EI$51:$EI$251,0),1),0)-_xlfn.IFNA(INDEX($EQ$51:$EQ$246,MATCH($EU185,$EN$51:$EN$246,0),1),0))</f>
        <v>2.3307293899999983</v>
      </c>
    </row>
    <row r="186" spans="43:159" x14ac:dyDescent="0.25">
      <c r="AQ186" s="25" t="s">
        <v>5555</v>
      </c>
      <c r="AR186">
        <v>137.31514531304373</v>
      </c>
      <c r="AS186">
        <v>1.2729769627113884E-2</v>
      </c>
      <c r="AV186" t="s">
        <v>6649</v>
      </c>
      <c r="AW186">
        <v>3028.7189015678587</v>
      </c>
      <c r="AX186">
        <v>0.28077670379584768</v>
      </c>
      <c r="ED186" s="25" t="s">
        <v>4559</v>
      </c>
      <c r="EE186">
        <v>279.65661829990682</v>
      </c>
      <c r="EF186">
        <v>65.988413921568622</v>
      </c>
      <c r="EG186">
        <v>4.2379654499999999</v>
      </c>
      <c r="EI186" s="32" t="s">
        <v>4599</v>
      </c>
      <c r="EJ186" s="32">
        <v>3.3690044997538391E-3</v>
      </c>
      <c r="EK186" s="32">
        <v>8.941833596793944E-5</v>
      </c>
      <c r="EL186" s="32">
        <v>37.676886549999999</v>
      </c>
      <c r="EN186" s="32" t="s">
        <v>4538</v>
      </c>
      <c r="EO186" s="32">
        <v>6.4185435514578533</v>
      </c>
      <c r="EP186" s="32">
        <v>0.52492019590288319</v>
      </c>
      <c r="EQ186" s="32">
        <v>12.22765594</v>
      </c>
      <c r="EU186" t="str">
        <f>EN186</f>
        <v>Tecsup</v>
      </c>
      <c r="EV186" s="18">
        <f>_xlfn.IFNA(INDEX($EJ$51:$EJ$251,MATCH($EU186,$EI$51:$EI$251,0),1),0)</f>
        <v>15.324429009108334</v>
      </c>
      <c r="EW186" s="18">
        <f>_xlfn.IFNA(INDEX($EK$51:$EK$251,MATCH($EU186,$EI$51:$EI$251,0),1),0)</f>
        <v>1.283130736168318</v>
      </c>
      <c r="EX186" s="18">
        <f>_xlfn.IFNA(INDEX($EO$51:$EO$246,MATCH($EU186,$EN$51:$EN$246,0),1),0)</f>
        <v>6.4185435514578533</v>
      </c>
      <c r="EY186" s="18">
        <f>_xlfn.IFNA(INDEX($EP$51:$EP$246,MATCH($EU186,$EN$51:$EN$246,0),1),0)</f>
        <v>0.52492019590288319</v>
      </c>
      <c r="EZ186" s="18">
        <f>_xlfn.IFNA(EX186-EV186,"")</f>
        <v>-8.9058854576504807</v>
      </c>
      <c r="FA186" s="50">
        <f>EX186/EV186-1</f>
        <v>-0.58115610391467876</v>
      </c>
      <c r="FB186" s="50">
        <f>_xlfn.IFNA(EY186/EW186-1,"")</f>
        <v>-0.59090669321007883</v>
      </c>
      <c r="FC186" s="18">
        <f>-(_xlfn.IFNA(INDEX($EL$51:$EL$251,MATCH($EU186,$EI$51:$EI$251,0),1),0)-_xlfn.IFNA(INDEX($EQ$51:$EQ$246,MATCH($EU186,$EN$51:$EN$246,0),1),0))</f>
        <v>0.2846570100000001</v>
      </c>
    </row>
    <row r="187" spans="43:159" x14ac:dyDescent="0.25">
      <c r="AQ187" s="25" t="s">
        <v>6644</v>
      </c>
      <c r="AR187">
        <v>1146.3779940000002</v>
      </c>
      <c r="AS187">
        <v>0.10627471380483422</v>
      </c>
      <c r="AV187" t="s">
        <v>6650</v>
      </c>
      <c r="AW187">
        <v>258.81327569240381</v>
      </c>
      <c r="AX187">
        <v>2.3993226446304122E-2</v>
      </c>
      <c r="ED187" s="25" t="s">
        <v>2816</v>
      </c>
      <c r="EE187">
        <v>10984.675399526257</v>
      </c>
      <c r="EF187">
        <v>41.127114412631045</v>
      </c>
      <c r="EG187">
        <v>267.09083670000001</v>
      </c>
      <c r="EI187" s="32" t="s">
        <v>4454</v>
      </c>
      <c r="EJ187" s="32">
        <v>231.69077926332938</v>
      </c>
      <c r="EK187" s="32">
        <v>7.9888562400000005</v>
      </c>
      <c r="EL187" s="32">
        <v>29.001745970000002</v>
      </c>
      <c r="EN187" s="32" t="s">
        <v>2810</v>
      </c>
      <c r="EO187" s="32">
        <v>94.293818098204184</v>
      </c>
      <c r="EP187" s="32">
        <v>39.289090874251755</v>
      </c>
      <c r="EQ187" s="32">
        <v>2.4</v>
      </c>
      <c r="EU187" t="str">
        <f>EN187</f>
        <v xml:space="preserve">Telefónica del Perú </v>
      </c>
      <c r="EV187" s="18">
        <f>_xlfn.IFNA(INDEX($EJ$51:$EJ$251,MATCH($EU187,$EI$51:$EI$251,0),1),0)</f>
        <v>51.180678834019915</v>
      </c>
      <c r="EW187" s="18">
        <f>_xlfn.IFNA(INDEX($EK$51:$EK$251,MATCH($EU187,$EI$51:$EI$251,0),1),0)</f>
        <v>24.488363078478429</v>
      </c>
      <c r="EX187" s="18">
        <f>_xlfn.IFNA(INDEX($EO$51:$EO$246,MATCH($EU187,$EN$51:$EN$246,0),1),0)</f>
        <v>94.293818098204184</v>
      </c>
      <c r="EY187" s="18">
        <f>_xlfn.IFNA(INDEX($EP$51:$EP$246,MATCH($EU187,$EN$51:$EN$246,0),1),0)</f>
        <v>39.289090874251755</v>
      </c>
      <c r="EZ187" s="18">
        <f>_xlfn.IFNA(EX187-EV187,"")</f>
        <v>43.113139264184269</v>
      </c>
      <c r="FA187" s="50">
        <f>EX187/EV187-1</f>
        <v>0.84237138401389999</v>
      </c>
      <c r="FB187" s="50">
        <f>_xlfn.IFNA(EY187/EW187-1,"")</f>
        <v>0.60439841357877166</v>
      </c>
      <c r="FC187" s="18">
        <f>-(_xlfn.IFNA(INDEX($EL$51:$EL$251,MATCH($EU187,$EI$51:$EI$251,0),1),0)-_xlfn.IFNA(INDEX($EQ$51:$EQ$246,MATCH($EU187,$EN$51:$EN$246,0),1),0))</f>
        <v>0.31000000000000005</v>
      </c>
    </row>
    <row r="188" spans="43:159" x14ac:dyDescent="0.25">
      <c r="AQ188" s="25" t="s">
        <v>6645</v>
      </c>
      <c r="AR188">
        <v>6319.3866801252398</v>
      </c>
      <c r="AS188">
        <v>0.58583731925020821</v>
      </c>
      <c r="AV188" t="s">
        <v>6651</v>
      </c>
      <c r="AW188">
        <v>395.64709126743207</v>
      </c>
      <c r="AX188">
        <v>3.6678374508435883E-2</v>
      </c>
      <c r="ED188" s="25" t="s">
        <v>4582</v>
      </c>
      <c r="EE188">
        <v>54.251395525263995</v>
      </c>
      <c r="EF188">
        <v>2.38672</v>
      </c>
      <c r="EG188">
        <v>22.730523699999999</v>
      </c>
      <c r="EI188" s="32" t="s">
        <v>4394</v>
      </c>
      <c r="EJ188" s="32">
        <v>1015.3820712726501</v>
      </c>
      <c r="EK188" s="32">
        <v>35.011067000000004</v>
      </c>
      <c r="EL188" s="32">
        <v>29.001745970000002</v>
      </c>
      <c r="EN188" s="32" t="s">
        <v>4554</v>
      </c>
      <c r="EO188" s="32">
        <v>173.64494988461053</v>
      </c>
      <c r="EP188" s="32">
        <v>8.1715270533934365</v>
      </c>
      <c r="EQ188" s="32">
        <v>21.25</v>
      </c>
      <c r="EU188" t="str">
        <f>EN188</f>
        <v>TITIRSM1 - InRetail</v>
      </c>
      <c r="EV188" s="18">
        <f>_xlfn.IFNA(INDEX($EJ$51:$EJ$251,MATCH($EU188,$EI$51:$EI$251,0),1),0)</f>
        <v>202.31868710837</v>
      </c>
      <c r="EW188" s="18">
        <f>_xlfn.IFNA(INDEX($EK$51:$EK$251,MATCH($EU188,$EI$51:$EI$251,0),1),0)</f>
        <v>7.4905104445897814</v>
      </c>
      <c r="EX188" s="18">
        <f>_xlfn.IFNA(INDEX($EO$51:$EO$246,MATCH($EU188,$EN$51:$EN$246,0),1),0)</f>
        <v>173.64494988461053</v>
      </c>
      <c r="EY188" s="18">
        <f>_xlfn.IFNA(INDEX($EP$51:$EP$246,MATCH($EU188,$EN$51:$EN$246,0),1),0)</f>
        <v>8.1715270533934365</v>
      </c>
      <c r="EZ188" s="18">
        <f>_xlfn.IFNA(EX188-EV188,"")</f>
        <v>-28.673737223759474</v>
      </c>
      <c r="FA188" s="50">
        <f>EX188/EV188-1</f>
        <v>-0.14172559951617658</v>
      </c>
      <c r="FB188" s="50">
        <f>_xlfn.IFNA(EY188/EW188-1,"")</f>
        <v>9.091724974437998E-2</v>
      </c>
      <c r="FC188" s="18">
        <f>-(_xlfn.IFNA(INDEX($EL$51:$EL$251,MATCH($EU188,$EI$51:$EI$251,0),1),0)-_xlfn.IFNA(INDEX($EQ$51:$EQ$246,MATCH($EU188,$EN$51:$EN$246,0),1),0))</f>
        <v>-5.7600000000000016</v>
      </c>
    </row>
    <row r="189" spans="43:159" x14ac:dyDescent="0.25">
      <c r="AQ189" s="25" t="s">
        <v>6646</v>
      </c>
      <c r="AR189">
        <v>3250.5337798566952</v>
      </c>
      <c r="AS189">
        <v>0.30134000214175105</v>
      </c>
      <c r="AV189" t="s">
        <v>6652</v>
      </c>
      <c r="AW189">
        <v>1.5121953954282006E-3</v>
      </c>
      <c r="AX189">
        <v>1.4018773363344948E-7</v>
      </c>
      <c r="ED189" s="25" t="s">
        <v>4395</v>
      </c>
      <c r="EE189">
        <v>521.59084604449731</v>
      </c>
      <c r="EF189">
        <v>16.646972192639979</v>
      </c>
      <c r="EG189">
        <v>31.33247536</v>
      </c>
      <c r="EI189" s="32" t="s">
        <v>4555</v>
      </c>
      <c r="EJ189" s="32">
        <v>1267.0280847323684</v>
      </c>
      <c r="EK189" s="32">
        <v>46.909592178169873</v>
      </c>
      <c r="EL189" s="32">
        <v>27.01</v>
      </c>
      <c r="EN189" s="32" t="s">
        <v>4368</v>
      </c>
      <c r="EO189" s="32">
        <v>761.43244193975056</v>
      </c>
      <c r="EP189" s="32">
        <v>19.272793001986045</v>
      </c>
      <c r="EQ189" s="32">
        <v>39.508152340000002</v>
      </c>
      <c r="EU189" t="str">
        <f>EN189</f>
        <v>TRG Rohatyn - LAPEF I</v>
      </c>
      <c r="EV189" s="18">
        <f>_xlfn.IFNA(INDEX($EJ$51:$EJ$251,MATCH($EU189,$EI$51:$EI$251,0),1),0)</f>
        <v>769.66035831775082</v>
      </c>
      <c r="EW189" s="18">
        <f>_xlfn.IFNA(INDEX($EK$51:$EK$251,MATCH($EU189,$EI$51:$EI$251,0),1),0)</f>
        <v>19.301832995907716</v>
      </c>
      <c r="EX189" s="18">
        <f>_xlfn.IFNA(INDEX($EO$51:$EO$246,MATCH($EU189,$EN$51:$EN$246,0),1),0)</f>
        <v>761.43244193975056</v>
      </c>
      <c r="EY189" s="18">
        <f>_xlfn.IFNA(INDEX($EP$51:$EP$246,MATCH($EU189,$EN$51:$EN$246,0),1),0)</f>
        <v>19.272793001986045</v>
      </c>
      <c r="EZ189" s="18">
        <f>_xlfn.IFNA(EX189-EV189,"")</f>
        <v>-8.2279163780002591</v>
      </c>
      <c r="FA189" s="50">
        <f>EX189/EV189-1</f>
        <v>-1.0690321112528212E-2</v>
      </c>
      <c r="FB189" s="50">
        <f>_xlfn.IFNA(EY189/EW189-1,"")</f>
        <v>-1.50452000739143E-3</v>
      </c>
      <c r="FC189" s="18">
        <f>-(_xlfn.IFNA(INDEX($EL$51:$EL$251,MATCH($EU189,$EI$51:$EI$251,0),1),0)-_xlfn.IFNA(INDEX($EQ$51:$EQ$246,MATCH($EU189,$EN$51:$EN$246,0),1),0))</f>
        <v>-0.36683561999999625</v>
      </c>
    </row>
    <row r="190" spans="43:159" x14ac:dyDescent="0.25">
      <c r="AQ190" s="25" t="s">
        <v>6647</v>
      </c>
      <c r="AR190">
        <v>3099.3160305631377</v>
      </c>
      <c r="AS190">
        <v>0.28732139474306084</v>
      </c>
      <c r="AV190" t="s">
        <v>6653</v>
      </c>
      <c r="AW190">
        <v>275.23262010229797</v>
      </c>
      <c r="AX190">
        <v>2.551537807269386E-2</v>
      </c>
      <c r="ED190" s="25" t="s">
        <v>4538</v>
      </c>
      <c r="EE190">
        <v>6.4185435514578533</v>
      </c>
      <c r="EF190">
        <v>0.52492019590288319</v>
      </c>
      <c r="EG190">
        <v>12.22765594</v>
      </c>
      <c r="EI190" s="32" t="s">
        <v>4559</v>
      </c>
      <c r="EJ190" s="32">
        <v>284.95995515759421</v>
      </c>
      <c r="EK190" s="32">
        <v>60.33032031810086</v>
      </c>
      <c r="EL190" s="32">
        <v>4.7233290600000002</v>
      </c>
      <c r="EN190" s="32" t="s">
        <v>4592</v>
      </c>
      <c r="EO190" s="32">
        <v>1.9547089734137602E-2</v>
      </c>
      <c r="EP190" s="32">
        <v>1.9384E-4</v>
      </c>
      <c r="EQ190" s="32">
        <v>100.84136264</v>
      </c>
      <c r="EU190" t="str">
        <f>EN190</f>
        <v>UBS - China Opportunity - A3</v>
      </c>
      <c r="EV190" s="18">
        <f>_xlfn.IFNA(INDEX($EJ$51:$EJ$251,MATCH($EU190,$EI$51:$EI$251,0),1),0)</f>
        <v>2.0176736137400002E-2</v>
      </c>
      <c r="EW190" s="18">
        <f>_xlfn.IFNA(INDEX($EK$51:$EK$251,MATCH($EU190,$EI$51:$EI$251,0),1),0)</f>
        <v>1.7200000000000001E-4</v>
      </c>
      <c r="EX190" s="18">
        <f>_xlfn.IFNA(INDEX($EO$51:$EO$246,MATCH($EU190,$EN$51:$EN$246,0),1),0)</f>
        <v>1.9547089734137602E-2</v>
      </c>
      <c r="EY190" s="18">
        <f>_xlfn.IFNA(INDEX($EP$51:$EP$246,MATCH($EU190,$EN$51:$EN$246,0),1),0)</f>
        <v>1.9384E-4</v>
      </c>
      <c r="EZ190" s="18">
        <f>_xlfn.IFNA(EX190-EV190,"")</f>
        <v>-6.2964640326240023E-4</v>
      </c>
      <c r="FA190" s="50">
        <f>EX190/EV190-1</f>
        <v>-3.120655387346194E-2</v>
      </c>
      <c r="FB190" s="50">
        <f>_xlfn.IFNA(EY190/EW190-1,"")</f>
        <v>0.12697674418604654</v>
      </c>
      <c r="FC190" s="18">
        <f>-(_xlfn.IFNA(INDEX($EL$51:$EL$251,MATCH($EU190,$EI$51:$EI$251,0),1),0)-_xlfn.IFNA(INDEX($EQ$51:$EQ$246,MATCH($EU190,$EN$51:$EN$246,0),1),0))</f>
        <v>-16.465242810000007</v>
      </c>
    </row>
    <row r="191" spans="43:159" x14ac:dyDescent="0.25">
      <c r="AQ191" s="25" t="s">
        <v>6648</v>
      </c>
      <c r="AR191">
        <v>953.31985296729999</v>
      </c>
      <c r="AS191">
        <v>8.8377302311131445E-2</v>
      </c>
      <c r="AV191" t="s">
        <v>6654</v>
      </c>
      <c r="AW191">
        <v>732.01610880019302</v>
      </c>
      <c r="AX191">
        <v>6.7861388538891385E-2</v>
      </c>
      <c r="ED191" s="25" t="s">
        <v>2810</v>
      </c>
      <c r="EE191">
        <v>94.293818098204184</v>
      </c>
      <c r="EF191">
        <v>39.289090874251755</v>
      </c>
      <c r="EG191">
        <v>2.4</v>
      </c>
      <c r="EI191" s="32" t="s">
        <v>2816</v>
      </c>
      <c r="EJ191" s="32">
        <v>10445.940312916973</v>
      </c>
      <c r="EK191" s="32">
        <v>37.53833920383196</v>
      </c>
      <c r="EL191" s="32">
        <v>278.27390701000002</v>
      </c>
      <c r="EN191" s="32" t="s">
        <v>4485</v>
      </c>
      <c r="EO191" s="32">
        <v>73832.967420074201</v>
      </c>
      <c r="EP191" s="32">
        <v>36.888817097214194</v>
      </c>
      <c r="EQ191" s="32">
        <v>2001.5</v>
      </c>
      <c r="EU191" t="str">
        <f>EN191</f>
        <v>Unión Andina de Cementos</v>
      </c>
      <c r="EV191" s="18">
        <f>_xlfn.IFNA(INDEX($EJ$51:$EJ$251,MATCH($EU191,$EI$51:$EI$251,0),1),0)</f>
        <v>85952.043708730198</v>
      </c>
      <c r="EW191" s="18">
        <f>_xlfn.IFNA(INDEX($EK$51:$EK$251,MATCH($EU191,$EI$51:$EI$251,0),1),0)</f>
        <v>42.943813993869696</v>
      </c>
      <c r="EX191" s="18">
        <f>_xlfn.IFNA(INDEX($EO$51:$EO$246,MATCH($EU191,$EN$51:$EN$246,0),1),0)</f>
        <v>73832.967420074201</v>
      </c>
      <c r="EY191" s="18">
        <f>_xlfn.IFNA(INDEX($EP$51:$EP$246,MATCH($EU191,$EN$51:$EN$246,0),1),0)</f>
        <v>36.888817097214194</v>
      </c>
      <c r="EZ191" s="18">
        <f>_xlfn.IFNA(EX191-EV191,"")</f>
        <v>-12119.076288655997</v>
      </c>
      <c r="FA191" s="50">
        <f>EX191/EV191-1</f>
        <v>-0.14099811669079665</v>
      </c>
      <c r="FB191" s="50">
        <f>_xlfn.IFNA(EY191/EW191-1,"")</f>
        <v>-0.14099811669079654</v>
      </c>
      <c r="FC191" s="18">
        <f>-(_xlfn.IFNA(INDEX($EL$51:$EL$251,MATCH($EU191,$EI$51:$EI$251,0),1),0)-_xlfn.IFNA(INDEX($EQ$51:$EQ$246,MATCH($EU191,$EN$51:$EN$246,0),1),0))</f>
        <v>0</v>
      </c>
    </row>
    <row r="192" spans="43:159" x14ac:dyDescent="0.25">
      <c r="AQ192" s="25" t="s">
        <v>6649</v>
      </c>
      <c r="AR192">
        <v>3028.7189015678587</v>
      </c>
      <c r="AS192">
        <v>0.28077670379584768</v>
      </c>
      <c r="AV192" t="s">
        <v>6655</v>
      </c>
      <c r="AW192">
        <v>34995.708093519817</v>
      </c>
      <c r="AX192">
        <v>3.2442692388566021</v>
      </c>
      <c r="ED192" s="25" t="s">
        <v>4554</v>
      </c>
      <c r="EE192">
        <v>173.64494988461053</v>
      </c>
      <c r="EF192">
        <v>8.1715270533934365</v>
      </c>
      <c r="EG192">
        <v>21.25</v>
      </c>
      <c r="EI192" s="32" t="s">
        <v>4582</v>
      </c>
      <c r="EJ192" s="32">
        <v>555.47499755467845</v>
      </c>
      <c r="EK192" s="32">
        <v>22.745685000000002</v>
      </c>
      <c r="EL192" s="32">
        <v>24.421115369999999</v>
      </c>
      <c r="EN192" s="32" t="s">
        <v>4608</v>
      </c>
      <c r="EO192" s="32">
        <v>1004.3440403302147</v>
      </c>
      <c r="EP192" s="32">
        <v>32.054410919999995</v>
      </c>
      <c r="EQ192" s="32">
        <v>31.33247536</v>
      </c>
      <c r="EU192" t="str">
        <f>EN192</f>
        <v>Van Eck - El Dorado Peru</v>
      </c>
      <c r="EV192" s="18">
        <f>_xlfn.IFNA(INDEX($EJ$51:$EJ$251,MATCH($EU192,$EI$51:$EI$251,0),1),0)</f>
        <v>666.01784866473213</v>
      </c>
      <c r="EW192" s="18">
        <f>_xlfn.IFNA(INDEX($EK$51:$EK$251,MATCH($EU192,$EI$51:$EI$251,0),1),0)</f>
        <v>22.9647501</v>
      </c>
      <c r="EX192" s="18">
        <f>_xlfn.IFNA(INDEX($EO$51:$EO$246,MATCH($EU192,$EN$51:$EN$246,0),1),0)</f>
        <v>1004.3440403302147</v>
      </c>
      <c r="EY192" s="18">
        <f>_xlfn.IFNA(INDEX($EP$51:$EP$246,MATCH($EU192,$EN$51:$EN$246,0),1),0)</f>
        <v>32.054410919999995</v>
      </c>
      <c r="EZ192" s="18">
        <f>_xlfn.IFNA(EX192-EV192,"")</f>
        <v>338.32619166548261</v>
      </c>
      <c r="FA192" s="50">
        <f>EX192/EV192-1</f>
        <v>0.50798367092380015</v>
      </c>
      <c r="FB192" s="50">
        <f>_xlfn.IFNA(EY192/EW192-1,"")</f>
        <v>0.39580926334573951</v>
      </c>
      <c r="FC192" s="18">
        <f>-(_xlfn.IFNA(INDEX($EL$51:$EL$251,MATCH($EU192,$EI$51:$EI$251,0),1),0)-_xlfn.IFNA(INDEX($EQ$51:$EQ$246,MATCH($EU192,$EN$51:$EN$246,0),1),0))</f>
        <v>2.3307293899999983</v>
      </c>
    </row>
    <row r="193" spans="43:159" x14ac:dyDescent="0.25">
      <c r="AQ193" s="25" t="s">
        <v>6650</v>
      </c>
      <c r="AR193">
        <v>258.81327569240381</v>
      </c>
      <c r="AS193">
        <v>2.3993226446304122E-2</v>
      </c>
      <c r="ED193" s="25" t="s">
        <v>4368</v>
      </c>
      <c r="EE193">
        <v>761.43244193975056</v>
      </c>
      <c r="EF193">
        <v>19.272793001986045</v>
      </c>
      <c r="EG193">
        <v>39.508152340000002</v>
      </c>
      <c r="EI193" s="32" t="s">
        <v>4395</v>
      </c>
      <c r="EJ193" s="32">
        <v>464.06479673912787</v>
      </c>
      <c r="EK193" s="32">
        <v>16.001270999999999</v>
      </c>
      <c r="EL193" s="32">
        <v>29.001745970000002</v>
      </c>
      <c r="EN193" s="32" t="s">
        <v>4567</v>
      </c>
      <c r="EO193" s="32">
        <v>11948.059286420574</v>
      </c>
      <c r="EP193" s="32">
        <v>145.94623200000001</v>
      </c>
      <c r="EQ193" s="32">
        <v>81.866171690000002</v>
      </c>
      <c r="EU193" t="str">
        <f>EN193</f>
        <v>VanEck - Gold Miners ETF</v>
      </c>
      <c r="EV193" s="18">
        <f>_xlfn.IFNA(INDEX($EJ$51:$EJ$251,MATCH($EU193,$EI$51:$EI$251,0),1),0)</f>
        <v>7980.2325587346013</v>
      </c>
      <c r="EW193" s="18">
        <f>_xlfn.IFNA(INDEX($EK$51:$EK$251,MATCH($EU193,$EI$51:$EI$251,0),1),0)</f>
        <v>93.659485000000004</v>
      </c>
      <c r="EX193" s="18">
        <f>_xlfn.IFNA(INDEX($EO$51:$EO$246,MATCH($EU193,$EN$51:$EN$246,0),1),0)</f>
        <v>11948.059286420574</v>
      </c>
      <c r="EY193" s="18">
        <f>_xlfn.IFNA(INDEX($EP$51:$EP$246,MATCH($EU193,$EN$51:$EN$246,0),1),0)</f>
        <v>145.94623200000001</v>
      </c>
      <c r="EZ193" s="18">
        <f>_xlfn.IFNA(EX193-EV193,"")</f>
        <v>3967.8267276859724</v>
      </c>
      <c r="FA193" s="50">
        <f>EX193/EV193-1</f>
        <v>0.4972069044959182</v>
      </c>
      <c r="FB193" s="50">
        <f>_xlfn.IFNA(EY193/EW193-1,"")</f>
        <v>0.55826430179495445</v>
      </c>
      <c r="FC193" s="18">
        <f>-(_xlfn.IFNA(INDEX($EL$51:$EL$251,MATCH($EU193,$EI$51:$EI$251,0),1),0)-_xlfn.IFNA(INDEX($EQ$51:$EQ$246,MATCH($EU193,$EN$51:$EN$246,0),1),0))</f>
        <v>-3.3385735499999925</v>
      </c>
    </row>
    <row r="194" spans="43:159" x14ac:dyDescent="0.25">
      <c r="AQ194" s="25" t="s">
        <v>6651</v>
      </c>
      <c r="AR194">
        <v>395.64709126743207</v>
      </c>
      <c r="AS194">
        <v>3.6678374508435883E-2</v>
      </c>
      <c r="ED194" s="25" t="s">
        <v>4592</v>
      </c>
      <c r="EE194">
        <v>1.9547089734137602E-2</v>
      </c>
      <c r="EF194">
        <v>1.9384E-4</v>
      </c>
      <c r="EG194">
        <v>100.84136264</v>
      </c>
      <c r="EI194" s="32" t="s">
        <v>4538</v>
      </c>
      <c r="EJ194" s="32">
        <v>15.324429009108334</v>
      </c>
      <c r="EK194" s="32">
        <v>1.283130736168318</v>
      </c>
      <c r="EL194" s="32">
        <v>11.94299893</v>
      </c>
      <c r="EN194" s="32" t="s">
        <v>4449</v>
      </c>
      <c r="EO194" s="32">
        <v>0.18848870524210354</v>
      </c>
      <c r="EP194" s="32">
        <v>4.3416516596744923E-4</v>
      </c>
      <c r="EQ194" s="32">
        <v>434.14055299</v>
      </c>
      <c r="EU194" t="str">
        <f>EN194</f>
        <v>Vanguard - Emerging Markets Bond Fund - I Retail</v>
      </c>
      <c r="EV194" s="18">
        <f>_xlfn.IFNA(INDEX($EJ$51:$EJ$251,MATCH($EU194,$EI$51:$EI$251,0),1),0)</f>
        <v>0.18011870120277496</v>
      </c>
      <c r="EW194" s="18">
        <f>_xlfn.IFNA(INDEX($EK$51:$EK$251,MATCH($EU194,$EI$51:$EI$251,0),1),0)</f>
        <v>3.98675937938328E-4</v>
      </c>
      <c r="EX194" s="18">
        <f>_xlfn.IFNA(INDEX($EO$51:$EO$246,MATCH($EU194,$EN$51:$EN$246,0),1),0)</f>
        <v>0.18848870524210354</v>
      </c>
      <c r="EY194" s="18">
        <f>_xlfn.IFNA(INDEX($EP$51:$EP$246,MATCH($EU194,$EN$51:$EN$246,0),1),0)</f>
        <v>4.3416516596744923E-4</v>
      </c>
      <c r="EZ194" s="18">
        <f>_xlfn.IFNA(EX194-EV194,"")</f>
        <v>8.3700040393285824E-3</v>
      </c>
      <c r="FA194" s="50">
        <f>EX194/EV194-1</f>
        <v>4.6469378156939634E-2</v>
      </c>
      <c r="FB194" s="50">
        <f>_xlfn.IFNA(EY194/EW194-1,"")</f>
        <v>8.9017732579113273E-2</v>
      </c>
      <c r="FC194" s="18">
        <f>-(_xlfn.IFNA(INDEX($EL$51:$EL$251,MATCH($EU194,$EI$51:$EI$251,0),1),0)-_xlfn.IFNA(INDEX($EQ$51:$EQ$246,MATCH($EU194,$EN$51:$EN$246,0),1),0))</f>
        <v>-17.65170248000004</v>
      </c>
    </row>
    <row r="195" spans="43:159" x14ac:dyDescent="0.25">
      <c r="AQ195" s="25" t="s">
        <v>6652</v>
      </c>
      <c r="AR195">
        <v>1.5121953954282006E-3</v>
      </c>
      <c r="AS195">
        <v>1.4018773363344948E-7</v>
      </c>
      <c r="ED195" s="25" t="s">
        <v>4485</v>
      </c>
      <c r="EE195">
        <v>73832.967420074201</v>
      </c>
      <c r="EF195">
        <v>36.888817097214194</v>
      </c>
      <c r="EG195">
        <v>2001.5</v>
      </c>
      <c r="EI195" s="32" t="s">
        <v>2810</v>
      </c>
      <c r="EJ195" s="32">
        <v>51.180678834019915</v>
      </c>
      <c r="EK195" s="32">
        <v>24.488363078478429</v>
      </c>
      <c r="EL195" s="32">
        <v>2.09</v>
      </c>
      <c r="EN195" s="32" t="s">
        <v>4450</v>
      </c>
      <c r="EO195" s="32">
        <v>0.31870268673802027</v>
      </c>
      <c r="EP195" s="32">
        <v>7.3410024597578023E-4</v>
      </c>
      <c r="EQ195" s="32">
        <v>434.14055299</v>
      </c>
      <c r="EU195" t="str">
        <f>EN195</f>
        <v>Vanguard - Emerging Markets Bond Fund - II Institutional</v>
      </c>
      <c r="EV195" s="18">
        <f>_xlfn.IFNA(INDEX($EJ$51:$EJ$251,MATCH($EU195,$EI$51:$EI$251,0),1),0)</f>
        <v>0.3043091355541282</v>
      </c>
      <c r="EW195" s="18">
        <f>_xlfn.IFNA(INDEX($EK$51:$EK$251,MATCH($EU195,$EI$51:$EI$251,0),1),0)</f>
        <v>6.7355987596014698E-4</v>
      </c>
      <c r="EX195" s="18">
        <f>_xlfn.IFNA(INDEX($EO$51:$EO$246,MATCH($EU195,$EN$51:$EN$246,0),1),0)</f>
        <v>0.31870268673802027</v>
      </c>
      <c r="EY195" s="18">
        <f>_xlfn.IFNA(INDEX($EP$51:$EP$246,MATCH($EU195,$EN$51:$EN$246,0),1),0)</f>
        <v>7.3410024597578023E-4</v>
      </c>
      <c r="EZ195" s="18">
        <f>_xlfn.IFNA(EX195-EV195,"")</f>
        <v>1.4393551183892073E-2</v>
      </c>
      <c r="FA195" s="50">
        <f>EX195/EV195-1</f>
        <v>4.7299109695416508E-2</v>
      </c>
      <c r="FB195" s="50">
        <f>_xlfn.IFNA(EY195/EW195-1,"")</f>
        <v>8.9881200137306383E-2</v>
      </c>
      <c r="FC195" s="18">
        <f>-(_xlfn.IFNA(INDEX($EL$51:$EL$251,MATCH($EU195,$EI$51:$EI$251,0),1),0)-_xlfn.IFNA(INDEX($EQ$51:$EQ$246,MATCH($EU195,$EN$51:$EN$246,0),1),0))</f>
        <v>-17.65170248000004</v>
      </c>
    </row>
    <row r="196" spans="43:159" x14ac:dyDescent="0.25">
      <c r="AQ196" s="25" t="s">
        <v>6653</v>
      </c>
      <c r="AR196">
        <v>275.23262010229797</v>
      </c>
      <c r="AS196">
        <v>2.551537807269386E-2</v>
      </c>
      <c r="ED196" s="25" t="s">
        <v>4608</v>
      </c>
      <c r="EE196">
        <v>1004.3440403302147</v>
      </c>
      <c r="EF196">
        <v>32.054410919999995</v>
      </c>
      <c r="EG196">
        <v>31.33247536</v>
      </c>
      <c r="EI196" s="32" t="s">
        <v>4554</v>
      </c>
      <c r="EJ196" s="32">
        <v>202.31868710837</v>
      </c>
      <c r="EK196" s="32">
        <v>7.4905104445897814</v>
      </c>
      <c r="EL196" s="32">
        <v>27.01</v>
      </c>
      <c r="EN196" s="32" t="s">
        <v>4601</v>
      </c>
      <c r="EO196" s="32">
        <v>0.16998472806193204</v>
      </c>
      <c r="EP196" s="32">
        <v>1.6131779970246065E-3</v>
      </c>
      <c r="EQ196" s="32">
        <v>105.37258032</v>
      </c>
      <c r="EU196" t="str">
        <f>EN196</f>
        <v>Veritas - Asian Fund</v>
      </c>
      <c r="EV196" s="18">
        <f>_xlfn.IFNA(INDEX($EJ$51:$EJ$251,MATCH($EU196,$EI$51:$EI$251,0),1),0)</f>
        <v>3.7991926240814038E-2</v>
      </c>
      <c r="EW196" s="18">
        <f>_xlfn.IFNA(INDEX($EK$51:$EK$251,MATCH($EU196,$EI$51:$EI$251,0),1),0)</f>
        <v>1.2875173690025605E-3</v>
      </c>
      <c r="EX196" s="18">
        <f>_xlfn.IFNA(INDEX($EO$51:$EO$246,MATCH($EU196,$EN$51:$EN$246,0),1),0)</f>
        <v>0.16998472806193204</v>
      </c>
      <c r="EY196" s="18">
        <f>_xlfn.IFNA(INDEX($EP$51:$EP$246,MATCH($EU196,$EN$51:$EN$246,0),1),0)</f>
        <v>1.6131779970246065E-3</v>
      </c>
      <c r="EZ196" s="18">
        <f>_xlfn.IFNA(EX196-EV196,"")</f>
        <v>0.131992801821118</v>
      </c>
      <c r="FA196" s="50">
        <f>EX196/EV196-1</f>
        <v>3.4742329458231191</v>
      </c>
      <c r="FB196" s="50">
        <f>_xlfn.IFNA(EY196/EW196-1,"")</f>
        <v>0.25293688136753856</v>
      </c>
      <c r="FC196" s="18">
        <f>-(_xlfn.IFNA(INDEX($EL$51:$EL$251,MATCH($EU196,$EI$51:$EI$251,0),1),0)-_xlfn.IFNA(INDEX($EQ$51:$EQ$246,MATCH($EU196,$EN$51:$EN$246,0),1),0))</f>
        <v>75.864686169999999</v>
      </c>
    </row>
    <row r="197" spans="43:159" x14ac:dyDescent="0.25">
      <c r="AQ197" s="25" t="s">
        <v>6654</v>
      </c>
      <c r="AR197">
        <v>732.01610880019302</v>
      </c>
      <c r="AS197">
        <v>6.7861388538891385E-2</v>
      </c>
      <c r="ED197" s="25" t="s">
        <v>4567</v>
      </c>
      <c r="EE197">
        <v>11948.059286420574</v>
      </c>
      <c r="EF197">
        <v>145.94623200000001</v>
      </c>
      <c r="EG197">
        <v>81.866171690000002</v>
      </c>
      <c r="EI197" s="32" t="s">
        <v>4368</v>
      </c>
      <c r="EJ197" s="32">
        <v>769.66035831775082</v>
      </c>
      <c r="EK197" s="32">
        <v>19.301832995907716</v>
      </c>
      <c r="EL197" s="32">
        <v>39.874987959999999</v>
      </c>
      <c r="EN197" s="32" t="s">
        <v>4377</v>
      </c>
      <c r="EO197" s="32">
        <v>8819.1011749763675</v>
      </c>
      <c r="EP197" s="32">
        <v>223.22231369062214</v>
      </c>
      <c r="EQ197" s="32">
        <v>39.508152340000002</v>
      </c>
      <c r="EU197" t="str">
        <f>EN197</f>
        <v>Vista Equity Partners Fund VII GP, L.P.</v>
      </c>
      <c r="EV197" s="18">
        <f>_xlfn.IFNA(INDEX($EJ$51:$EJ$251,MATCH($EU197,$EI$51:$EI$251,0),1),0)</f>
        <v>8464.9074691046262</v>
      </c>
      <c r="EW197" s="18">
        <f>_xlfn.IFNA(INDEX($EK$51:$EK$251,MATCH($EU197,$EI$51:$EI$251,0),1),0)</f>
        <v>212.28614482833382</v>
      </c>
      <c r="EX197" s="18">
        <f>_xlfn.IFNA(INDEX($EO$51:$EO$246,MATCH($EU197,$EN$51:$EN$246,0),1),0)</f>
        <v>8819.1011749763675</v>
      </c>
      <c r="EY197" s="18">
        <f>_xlfn.IFNA(INDEX($EP$51:$EP$246,MATCH($EU197,$EN$51:$EN$246,0),1),0)</f>
        <v>223.22231369062214</v>
      </c>
      <c r="EZ197" s="18">
        <f>_xlfn.IFNA(EX197-EV197,"")</f>
        <v>354.19370587174126</v>
      </c>
      <c r="FA197" s="50">
        <f>EX197/EV197-1</f>
        <v>4.1842596291156609E-2</v>
      </c>
      <c r="FB197" s="50">
        <f>_xlfn.IFNA(EY197/EW197-1,"")</f>
        <v>5.1516168759538683E-2</v>
      </c>
      <c r="FC197" s="18">
        <f>-(_xlfn.IFNA(INDEX($EL$51:$EL$251,MATCH($EU197,$EI$51:$EI$251,0),1),0)-_xlfn.IFNA(INDEX($EQ$51:$EQ$246,MATCH($EU197,$EN$51:$EN$246,0),1),0))</f>
        <v>-0.36683561999999625</v>
      </c>
    </row>
    <row r="198" spans="43:159" x14ac:dyDescent="0.25">
      <c r="AQ198" s="25" t="s">
        <v>6655</v>
      </c>
      <c r="AR198">
        <v>34995.708093519817</v>
      </c>
      <c r="AS198">
        <v>3.2442692388566021</v>
      </c>
      <c r="ED198" s="25" t="s">
        <v>4449</v>
      </c>
      <c r="EE198">
        <v>0.18848870524210354</v>
      </c>
      <c r="EF198">
        <v>4.3416516596744923E-4</v>
      </c>
      <c r="EG198">
        <v>434.14055299</v>
      </c>
      <c r="EI198" s="32" t="s">
        <v>4592</v>
      </c>
      <c r="EJ198" s="32">
        <v>2.0176736137400002E-2</v>
      </c>
      <c r="EK198" s="32">
        <v>1.7200000000000001E-4</v>
      </c>
      <c r="EL198" s="32">
        <v>117.30660545000001</v>
      </c>
      <c r="EN198" s="32" t="s">
        <v>6629</v>
      </c>
      <c r="EO198" s="32">
        <v>3.6515457169210626E-2</v>
      </c>
      <c r="EP198" s="32">
        <v>2.2612990568002619E-4</v>
      </c>
      <c r="EQ198" s="32">
        <v>161.47999999999999</v>
      </c>
      <c r="EU198" t="str">
        <f>EN198</f>
        <v>Volcan A</v>
      </c>
      <c r="EV198" s="18">
        <f>_xlfn.IFNA(INDEX($EJ$51:$EJ$251,MATCH($EU198,$EI$51:$EI$251,0),1),0)</f>
        <v>1.8425581654235777E-2</v>
      </c>
      <c r="EW198" s="18">
        <f>_xlfn.IFNA(INDEX($EK$51:$EK$251,MATCH($EU198,$EI$51:$EI$251,0),1),0)</f>
        <v>1.1410441945897807E-4</v>
      </c>
      <c r="EX198" s="18">
        <f>_xlfn.IFNA(INDEX($EO$51:$EO$246,MATCH($EU198,$EN$51:$EN$246,0),1),0)</f>
        <v>3.6515457169210626E-2</v>
      </c>
      <c r="EY198" s="18">
        <f>_xlfn.IFNA(INDEX($EP$51:$EP$246,MATCH($EU198,$EN$51:$EN$246,0),1),0)</f>
        <v>2.2612990568002619E-4</v>
      </c>
      <c r="EZ198" s="18">
        <f>_xlfn.IFNA(EX198-EV198,"")</f>
        <v>1.8089875514974849E-2</v>
      </c>
      <c r="FA198" s="50">
        <f>EX198/EV198-1</f>
        <v>0.98178043192553699</v>
      </c>
      <c r="FB198" s="50">
        <f>_xlfn.IFNA(EY198/EW198-1,"")</f>
        <v>0.98178043192553699</v>
      </c>
      <c r="FC198" s="18">
        <f>-(_xlfn.IFNA(INDEX($EL$51:$EL$251,MATCH($EU198,$EI$51:$EI$251,0),1),0)-_xlfn.IFNA(INDEX($EQ$51:$EQ$246,MATCH($EU198,$EN$51:$EN$246,0),1),0))</f>
        <v>0</v>
      </c>
    </row>
    <row r="199" spans="43:159" x14ac:dyDescent="0.25">
      <c r="AQ199" s="25" t="s">
        <v>4872</v>
      </c>
      <c r="AR199">
        <v>694562.85554120131</v>
      </c>
      <c r="AS199">
        <v>64.389293128833003</v>
      </c>
      <c r="ED199" s="25" t="s">
        <v>4450</v>
      </c>
      <c r="EE199">
        <v>0.31870268673802027</v>
      </c>
      <c r="EF199">
        <v>7.3410024597578023E-4</v>
      </c>
      <c r="EG199">
        <v>434.14055299</v>
      </c>
      <c r="EI199" s="32" t="s">
        <v>4485</v>
      </c>
      <c r="EJ199" s="32">
        <v>85952.043708730198</v>
      </c>
      <c r="EK199" s="32">
        <v>42.943813993869696</v>
      </c>
      <c r="EL199" s="32">
        <v>2001.5</v>
      </c>
      <c r="EN199" s="32" t="s">
        <v>6628</v>
      </c>
      <c r="EO199" s="32">
        <v>4211.2901695539913</v>
      </c>
      <c r="EP199" s="32">
        <v>26.079329759437648</v>
      </c>
      <c r="EQ199" s="32">
        <v>161.47999999999999</v>
      </c>
      <c r="EU199" t="str">
        <f>EN199</f>
        <v>Volcan B</v>
      </c>
      <c r="EV199" s="18">
        <f>_xlfn.IFNA(INDEX($EJ$51:$EJ$251,MATCH($EU199,$EI$51:$EI$251,0),1),0)</f>
        <v>2546.7700508809148</v>
      </c>
      <c r="EW199" s="18">
        <f>_xlfn.IFNA(INDEX($EK$51:$EK$251,MATCH($EU199,$EI$51:$EI$251,0),1),0)</f>
        <v>15.77142711717188</v>
      </c>
      <c r="EX199" s="18">
        <f>_xlfn.IFNA(INDEX($EO$51:$EO$246,MATCH($EU199,$EN$51:$EN$246,0),1),0)</f>
        <v>4211.2901695539913</v>
      </c>
      <c r="EY199" s="18">
        <f>_xlfn.IFNA(INDEX($EP$51:$EP$246,MATCH($EU199,$EN$51:$EN$246,0),1),0)</f>
        <v>26.079329759437648</v>
      </c>
      <c r="EZ199" s="18">
        <f>_xlfn.IFNA(EX199-EV199,"")</f>
        <v>1664.5201186730765</v>
      </c>
      <c r="FA199" s="50">
        <f>EX199/EV199-1</f>
        <v>0.65358084374257785</v>
      </c>
      <c r="FB199" s="50">
        <f>_xlfn.IFNA(EY199/EW199-1,"")</f>
        <v>0.65358084374257763</v>
      </c>
      <c r="FC199" s="18">
        <f>-(_xlfn.IFNA(INDEX($EL$51:$EL$251,MATCH($EU199,$EI$51:$EI$251,0),1),0)-_xlfn.IFNA(INDEX($EQ$51:$EQ$246,MATCH($EU199,$EN$51:$EN$246,0),1),0))</f>
        <v>0</v>
      </c>
    </row>
    <row r="200" spans="43:159" x14ac:dyDescent="0.25">
      <c r="ED200" s="25" t="s">
        <v>4601</v>
      </c>
      <c r="EE200">
        <v>0.16998472806193204</v>
      </c>
      <c r="EF200">
        <v>1.6131779970246065E-3</v>
      </c>
      <c r="EG200">
        <v>105.37258032</v>
      </c>
      <c r="EI200" s="32" t="s">
        <v>4608</v>
      </c>
      <c r="EJ200" s="32">
        <v>666.01784866473213</v>
      </c>
      <c r="EK200" s="32">
        <v>22.9647501</v>
      </c>
      <c r="EL200" s="32">
        <v>29.001745970000002</v>
      </c>
      <c r="EN200" s="32" t="s">
        <v>4426</v>
      </c>
      <c r="EO200" s="32">
        <v>3701.2611860542415</v>
      </c>
      <c r="EP200" s="32">
        <v>10.228787902319974</v>
      </c>
      <c r="EQ200" s="32">
        <v>361.84748588000002</v>
      </c>
      <c r="EU200" t="str">
        <f>EN200</f>
        <v>Vontobel - Emerging Markets Corporate</v>
      </c>
      <c r="EV200" s="18">
        <f>_xlfn.IFNA(INDEX($EJ$51:$EJ$251,MATCH($EU200,$EI$51:$EI$251,0),1),0)</f>
        <v>4373.9730333136158</v>
      </c>
      <c r="EW200" s="18">
        <f>_xlfn.IFNA(INDEX($EK$51:$EK$251,MATCH($EU200,$EI$51:$EI$251,0),1),0)</f>
        <v>9.6973628002399526</v>
      </c>
      <c r="EX200" s="18">
        <f>_xlfn.IFNA(INDEX($EO$51:$EO$246,MATCH($EU200,$EN$51:$EN$246,0),1),0)</f>
        <v>3701.2611860542415</v>
      </c>
      <c r="EY200" s="18">
        <f>_xlfn.IFNA(INDEX($EP$51:$EP$246,MATCH($EU200,$EN$51:$EN$246,0),1),0)</f>
        <v>10.228787902319974</v>
      </c>
      <c r="EZ200" s="18">
        <f>_xlfn.IFNA(EX200-EV200,"")</f>
        <v>-672.71184725937428</v>
      </c>
      <c r="FA200" s="50">
        <f>EX200/EV200-1</f>
        <v>-0.1537988099459644</v>
      </c>
      <c r="FB200" s="50">
        <f>_xlfn.IFNA(EY200/EW200-1,"")</f>
        <v>5.4800992086928124E-2</v>
      </c>
      <c r="FC200" s="18">
        <f>-(_xlfn.IFNA(INDEX($EL$51:$EL$251,MATCH($EU200,$EI$51:$EI$251,0),1),0)-_xlfn.IFNA(INDEX($EQ$51:$EQ$246,MATCH($EU200,$EN$51:$EN$246,0),1),0))</f>
        <v>-89.200198259999979</v>
      </c>
    </row>
    <row r="201" spans="43:159" x14ac:dyDescent="0.25">
      <c r="ED201" s="25" t="s">
        <v>4377</v>
      </c>
      <c r="EE201">
        <v>8819.1011749763675</v>
      </c>
      <c r="EF201">
        <v>223.22231369062214</v>
      </c>
      <c r="EG201">
        <v>39.508152340000002</v>
      </c>
      <c r="EI201" s="32" t="s">
        <v>4567</v>
      </c>
      <c r="EJ201" s="32">
        <v>7980.2325587346013</v>
      </c>
      <c r="EK201" s="32">
        <v>93.659485000000004</v>
      </c>
      <c r="EL201" s="32">
        <v>85.204745239999994</v>
      </c>
      <c r="EN201" s="32" t="s">
        <v>4451</v>
      </c>
      <c r="EO201" s="32">
        <v>8277.4832326003398</v>
      </c>
      <c r="EP201" s="32">
        <v>27.096035210139995</v>
      </c>
      <c r="EQ201" s="32">
        <v>305.48687911000002</v>
      </c>
      <c r="EU201" t="str">
        <f>EN201</f>
        <v>Vontobel - Emerging Markets Debt</v>
      </c>
      <c r="EV201" s="18">
        <f>_xlfn.IFNA(INDEX($EJ$51:$EJ$251,MATCH($EU201,$EI$51:$EI$251,0),1),0)</f>
        <v>89.898544137928155</v>
      </c>
      <c r="EW201" s="18">
        <f>_xlfn.IFNA(INDEX($EK$51:$EK$251,MATCH($EU201,$EI$51:$EI$251,0),1),0)</f>
        <v>0.24733791175</v>
      </c>
      <c r="EX201" s="18">
        <f>_xlfn.IFNA(INDEX($EO$51:$EO$246,MATCH($EU201,$EN$51:$EN$246,0),1),0)</f>
        <v>8277.4832326003398</v>
      </c>
      <c r="EY201" s="18">
        <f>_xlfn.IFNA(INDEX($EP$51:$EP$246,MATCH($EU201,$EN$51:$EN$246,0),1),0)</f>
        <v>27.096035210139995</v>
      </c>
      <c r="EZ201" s="18">
        <f>_xlfn.IFNA(EX201-EV201,"")</f>
        <v>8187.5846884624116</v>
      </c>
      <c r="FA201" s="50">
        <f>EX201/EV201-1</f>
        <v>91.075831838839235</v>
      </c>
      <c r="FB201" s="50">
        <f>_xlfn.IFNA(EY201/EW201-1,"")</f>
        <v>108.55067510041754</v>
      </c>
      <c r="FC201" s="18">
        <f>-(_xlfn.IFNA(INDEX($EL$51:$EL$251,MATCH($EU201,$EI$51:$EI$251,0),1),0)-_xlfn.IFNA(INDEX($EQ$51:$EQ$246,MATCH($EU201,$EN$51:$EN$246,0),1),0))</f>
        <v>-57.977595469999983</v>
      </c>
    </row>
    <row r="202" spans="43:159" x14ac:dyDescent="0.25">
      <c r="ED202" s="25" t="s">
        <v>6629</v>
      </c>
      <c r="EE202">
        <v>3.6515457169210626E-2</v>
      </c>
      <c r="EF202">
        <v>2.2612990568002619E-4</v>
      </c>
      <c r="EG202">
        <v>161.47999999999999</v>
      </c>
      <c r="EI202" s="32" t="s">
        <v>4449</v>
      </c>
      <c r="EJ202" s="32">
        <v>0.18011870120277496</v>
      </c>
      <c r="EK202" s="32">
        <v>3.98675937938328E-4</v>
      </c>
      <c r="EL202" s="32">
        <v>451.79225547000004</v>
      </c>
      <c r="EN202" s="32" t="s">
        <v>4409</v>
      </c>
      <c r="EO202" s="32">
        <v>45.309588166001333</v>
      </c>
      <c r="EP202" s="32">
        <v>1.4460902831777203</v>
      </c>
      <c r="EQ202" s="32">
        <v>31.33247536</v>
      </c>
      <c r="EU202" t="str">
        <f>EN202</f>
        <v>W Capital - Fondo Inmobiliario</v>
      </c>
      <c r="EV202" s="18">
        <f>_xlfn.IFNA(INDEX($EJ$51:$EJ$251,MATCH($EU202,$EI$51:$EI$251,0),1),0)</f>
        <v>91.574809172202578</v>
      </c>
      <c r="EW202" s="18">
        <f>_xlfn.IFNA(INDEX($EK$51:$EK$251,MATCH($EU202,$EI$51:$EI$251,0),1),0)</f>
        <v>3.1575619366823444</v>
      </c>
      <c r="EX202" s="18">
        <f>_xlfn.IFNA(INDEX($EO$51:$EO$246,MATCH($EU202,$EN$51:$EN$246,0),1),0)</f>
        <v>45.309588166001333</v>
      </c>
      <c r="EY202" s="18">
        <f>_xlfn.IFNA(INDEX($EP$51:$EP$246,MATCH($EU202,$EN$51:$EN$246,0),1),0)</f>
        <v>1.4460902831777203</v>
      </c>
      <c r="EZ202" s="18">
        <f>_xlfn.IFNA(EX202-EV202,"")</f>
        <v>-46.265221006201244</v>
      </c>
      <c r="FA202" s="50">
        <f>EX202/EV202-1</f>
        <v>-0.50521777139826129</v>
      </c>
      <c r="FB202" s="50">
        <f>_xlfn.IFNA(EY202/EW202-1,"")</f>
        <v>-0.54202314564979526</v>
      </c>
      <c r="FC202" s="18">
        <f>-(_xlfn.IFNA(INDEX($EL$51:$EL$251,MATCH($EU202,$EI$51:$EI$251,0),1),0)-_xlfn.IFNA(INDEX($EQ$51:$EQ$246,MATCH($EU202,$EN$51:$EN$246,0),1),0))</f>
        <v>2.3307293899999983</v>
      </c>
    </row>
    <row r="203" spans="43:159" x14ac:dyDescent="0.25">
      <c r="ED203" s="25" t="s">
        <v>6628</v>
      </c>
      <c r="EE203">
        <v>4211.2901695539913</v>
      </c>
      <c r="EF203">
        <v>26.079329759437648</v>
      </c>
      <c r="EG203">
        <v>161.47999999999999</v>
      </c>
      <c r="EI203" s="32" t="s">
        <v>4450</v>
      </c>
      <c r="EJ203" s="32">
        <v>0.3043091355541282</v>
      </c>
      <c r="EK203" s="32">
        <v>6.7355987596014698E-4</v>
      </c>
      <c r="EL203" s="32">
        <v>451.79225547000004</v>
      </c>
      <c r="EN203" s="32" t="s">
        <v>4534</v>
      </c>
      <c r="EO203" s="32">
        <v>6131.1982820687908</v>
      </c>
      <c r="EP203" s="32">
        <v>56.265011306495282</v>
      </c>
      <c r="EQ203" s="32">
        <v>108.97</v>
      </c>
      <c r="EU203" t="str">
        <f>EN203</f>
        <v xml:space="preserve">Luz del Sur </v>
      </c>
      <c r="EV203" s="18">
        <f>_xlfn.IFNA(INDEX($EJ$51:$EJ$251,MATCH($EU203,$EI$51:$EI$251,0),1),0)</f>
        <v>0</v>
      </c>
      <c r="EW203" s="18">
        <f>_xlfn.IFNA(INDEX($EK$51:$EK$251,MATCH($EU203,$EI$51:$EI$251,0),1),0)</f>
        <v>0</v>
      </c>
      <c r="EX203" s="18">
        <f>_xlfn.IFNA(INDEX($EO$51:$EO$246,MATCH($EU203,$EN$51:$EN$246,0),1),0)</f>
        <v>6131.1982820687908</v>
      </c>
      <c r="EY203" s="18">
        <f>_xlfn.IFNA(INDEX($EP$51:$EP$246,MATCH($EU203,$EN$51:$EN$246,0),1),0)</f>
        <v>56.265011306495282</v>
      </c>
      <c r="EZ203" s="18">
        <f>_xlfn.IFNA(EX203-EV203,"")</f>
        <v>6131.1982820687908</v>
      </c>
      <c r="FA203" s="50" t="e">
        <f>EX203/EV203-1</f>
        <v>#DIV/0!</v>
      </c>
      <c r="FB203" s="50" t="e">
        <f>_xlfn.IFNA(EY203/EW203-1,"")</f>
        <v>#DIV/0!</v>
      </c>
      <c r="FC203" s="18">
        <f>-(_xlfn.IFNA(INDEX($EL$51:$EL$251,MATCH($EU203,$EI$51:$EI$251,0),1),0)-_xlfn.IFNA(INDEX($EQ$51:$EQ$246,MATCH($EU203,$EN$51:$EN$246,0),1),0))</f>
        <v>108.97</v>
      </c>
    </row>
    <row r="204" spans="43:159" x14ac:dyDescent="0.25">
      <c r="ED204" s="25" t="s">
        <v>4426</v>
      </c>
      <c r="EE204">
        <v>3701.2611860542415</v>
      </c>
      <c r="EF204">
        <v>10.228787902319974</v>
      </c>
      <c r="EG204">
        <v>361.84748588000002</v>
      </c>
      <c r="EI204" s="32" t="s">
        <v>4601</v>
      </c>
      <c r="EJ204" s="32">
        <v>3.7991926240814038E-2</v>
      </c>
      <c r="EK204" s="32">
        <v>1.2875173690025605E-3</v>
      </c>
      <c r="EL204" s="32">
        <v>29.507894149999998</v>
      </c>
      <c r="EN204" s="32" t="s">
        <v>4590</v>
      </c>
      <c r="EO204" s="32">
        <v>3554.9637612687916</v>
      </c>
      <c r="EP204" s="32">
        <v>420.28493999999995</v>
      </c>
      <c r="EQ204" s="32">
        <v>8.4584609700000009</v>
      </c>
      <c r="EU204" t="str">
        <f>EN204</f>
        <v>BlackRock - iShares PHLX Semiconductor ETF</v>
      </c>
      <c r="EV204" s="18">
        <f>_xlfn.IFNA(INDEX($EJ$51:$EJ$251,MATCH($EU204,$EI$51:$EI$251,0),1),0)</f>
        <v>295.73094228007676</v>
      </c>
      <c r="EW204" s="18">
        <f>_xlfn.IFNA(INDEX($EK$51:$EK$251,MATCH($EU204,$EI$51:$EI$251,0),1),0)</f>
        <v>34.633379000000005</v>
      </c>
      <c r="EX204" s="18">
        <f>_xlfn.IFNA(INDEX($EO$51:$EO$246,MATCH($EU204,$EN$51:$EN$246,0),1),0)</f>
        <v>3554.9637612687916</v>
      </c>
      <c r="EY204" s="18">
        <f>_xlfn.IFNA(INDEX($EP$51:$EP$246,MATCH($EU204,$EN$51:$EN$246,0),1),0)</f>
        <v>420.28493999999995</v>
      </c>
      <c r="EZ204" s="18">
        <f>_xlfn.IFNA(EX204-EV204,"")</f>
        <v>3259.2328189887148</v>
      </c>
      <c r="FA204" s="50">
        <f>EX204/EV204-1</f>
        <v>11.020939485939911</v>
      </c>
      <c r="FB204" s="50">
        <f>_xlfn.IFNA(EY204/EW204-1,"")</f>
        <v>11.135256568525984</v>
      </c>
      <c r="FC204" s="18">
        <f>-(_xlfn.IFNA(INDEX($EL$51:$EL$251,MATCH($EU204,$EI$51:$EI$251,0),1),0)-_xlfn.IFNA(INDEX($EQ$51:$EQ$246,MATCH($EU204,$EN$51:$EN$246,0),1),0))</f>
        <v>-8.0438519999999514E-2</v>
      </c>
    </row>
    <row r="205" spans="43:159" x14ac:dyDescent="0.25">
      <c r="ED205" s="25" t="s">
        <v>4451</v>
      </c>
      <c r="EE205">
        <v>8277.4832326003398</v>
      </c>
      <c r="EF205">
        <v>27.096035210139995</v>
      </c>
      <c r="EG205">
        <v>305.48687911000002</v>
      </c>
      <c r="EI205" s="32" t="s">
        <v>4377</v>
      </c>
      <c r="EJ205" s="32">
        <v>8464.9074691046262</v>
      </c>
      <c r="EK205" s="32">
        <v>212.28614482833382</v>
      </c>
      <c r="EL205" s="32">
        <v>39.874987959999999</v>
      </c>
      <c r="EN205" s="32" t="s">
        <v>4589</v>
      </c>
      <c r="EO205" s="32">
        <v>55.746326971350726</v>
      </c>
      <c r="EP205" s="32">
        <v>13.502304000000001</v>
      </c>
      <c r="EQ205" s="32">
        <v>4.1286529300000003</v>
      </c>
      <c r="EU205" t="str">
        <f>EN205</f>
        <v>SKYY US - First Trust Cloud Computing ETF</v>
      </c>
      <c r="EV205" s="18">
        <f>_xlfn.IFNA(INDEX($EJ$51:$EJ$251,MATCH($EU205,$EI$51:$EI$251,0),1),0)</f>
        <v>237.77907196586807</v>
      </c>
      <c r="EW205" s="18">
        <f>_xlfn.IFNA(INDEX($EK$51:$EK$251,MATCH($EU205,$EI$51:$EI$251,0),1),0)</f>
        <v>73.938285000000008</v>
      </c>
      <c r="EX205" s="18">
        <f>_xlfn.IFNA(INDEX($EO$51:$EO$246,MATCH($EU205,$EN$51:$EN$246,0),1),0)</f>
        <v>55.746326971350726</v>
      </c>
      <c r="EY205" s="18">
        <f>_xlfn.IFNA(INDEX($EP$51:$EP$246,MATCH($EU205,$EN$51:$EN$246,0),1),0)</f>
        <v>13.502304000000001</v>
      </c>
      <c r="EZ205" s="18">
        <f>_xlfn.IFNA(EX205-EV205,"")</f>
        <v>-182.03274499451734</v>
      </c>
      <c r="FA205" s="50">
        <f>EX205/EV205-1</f>
        <v>-0.76555410654747269</v>
      </c>
      <c r="FB205" s="50">
        <f>_xlfn.IFNA(EY205/EW205-1,"")</f>
        <v>-0.81738413326735937</v>
      </c>
      <c r="FC205" s="18">
        <f>-(_xlfn.IFNA(INDEX($EL$51:$EL$251,MATCH($EU205,$EI$51:$EI$251,0),1),0)-_xlfn.IFNA(INDEX($EQ$51:$EQ$246,MATCH($EU205,$EN$51:$EN$246,0),1),0))</f>
        <v>0.91274020000000045</v>
      </c>
    </row>
    <row r="206" spans="43:159" x14ac:dyDescent="0.25">
      <c r="ED206" s="25" t="s">
        <v>4409</v>
      </c>
      <c r="EE206">
        <v>45.309588166001333</v>
      </c>
      <c r="EF206">
        <v>1.4460902831777203</v>
      </c>
      <c r="EG206">
        <v>31.33247536</v>
      </c>
      <c r="EI206" s="32" t="s">
        <v>6629</v>
      </c>
      <c r="EJ206" s="32">
        <v>1.8425581654235777E-2</v>
      </c>
      <c r="EK206" s="32">
        <v>1.1410441945897807E-4</v>
      </c>
      <c r="EL206" s="32">
        <v>161.47999999999999</v>
      </c>
      <c r="EN206" s="32" t="s">
        <v>4587</v>
      </c>
      <c r="EO206" s="32">
        <v>75.707104036086008</v>
      </c>
      <c r="EP206" s="32">
        <v>8.2317540000000005</v>
      </c>
      <c r="EQ206" s="32">
        <v>9.1969589999999997</v>
      </c>
      <c r="EU206" t="str">
        <f>EN206</f>
        <v>Invesco - Power Shares QQQ</v>
      </c>
      <c r="EV206" s="18">
        <f>_xlfn.IFNA(INDEX($EJ$51:$EJ$251,MATCH($EU206,$EI$51:$EI$251,0),1),0)</f>
        <v>194.15501105481599</v>
      </c>
      <c r="EW206" s="18">
        <f>_xlfn.IFNA(INDEX($EK$51:$EK$251,MATCH($EU206,$EI$51:$EI$251,0),1),0)</f>
        <v>20.41536</v>
      </c>
      <c r="EX206" s="18">
        <f>_xlfn.IFNA(INDEX($EO$51:$EO$246,MATCH($EU206,$EN$51:$EN$246,0),1),0)</f>
        <v>75.707104036086008</v>
      </c>
      <c r="EY206" s="18">
        <f>_xlfn.IFNA(INDEX($EP$51:$EP$246,MATCH($EU206,$EN$51:$EN$246,0),1),0)</f>
        <v>8.2317540000000005</v>
      </c>
      <c r="EZ206" s="18">
        <f>_xlfn.IFNA(EX206-EV206,"")</f>
        <v>-118.44790701872998</v>
      </c>
      <c r="FA206" s="50">
        <f>EX206/EV206-1</f>
        <v>-0.61006876091026285</v>
      </c>
      <c r="FB206" s="50">
        <f>_xlfn.IFNA(EY206/EW206-1,"")</f>
        <v>-0.59678624329916297</v>
      </c>
      <c r="FC206" s="18">
        <f>-(_xlfn.IFNA(INDEX($EL$51:$EL$251,MATCH($EU206,$EI$51:$EI$251,0),1),0)-_xlfn.IFNA(INDEX($EQ$51:$EQ$246,MATCH($EU206,$EN$51:$EN$246,0),1),0))</f>
        <v>-0.31328285000000022</v>
      </c>
    </row>
    <row r="207" spans="43:159" x14ac:dyDescent="0.25">
      <c r="ED207" s="25" t="s">
        <v>4534</v>
      </c>
      <c r="EE207">
        <v>6131.1982820687908</v>
      </c>
      <c r="EF207">
        <v>56.265011306495282</v>
      </c>
      <c r="EG207">
        <v>108.97</v>
      </c>
      <c r="EI207" s="32" t="s">
        <v>6628</v>
      </c>
      <c r="EJ207" s="32">
        <v>2546.7700508809148</v>
      </c>
      <c r="EK207" s="32">
        <v>15.77142711717188</v>
      </c>
      <c r="EL207" s="32">
        <v>161.47999999999999</v>
      </c>
      <c r="EN207" s="32" t="s">
        <v>4588</v>
      </c>
      <c r="EO207" s="32">
        <v>922.99653313383601</v>
      </c>
      <c r="EP207" s="32">
        <v>277.8621</v>
      </c>
      <c r="EQ207" s="32">
        <v>3.3217791600000002</v>
      </c>
      <c r="EU207" t="str">
        <f>EN207</f>
        <v>State Street - Technology Select Sector</v>
      </c>
      <c r="EV207" s="18">
        <f>_xlfn.IFNA(INDEX($EJ$51:$EJ$251,MATCH($EU207,$EI$51:$EI$251,0),1),0)</f>
        <v>574.58513344066557</v>
      </c>
      <c r="EW207" s="18">
        <f>_xlfn.IFNA(INDEX($EK$51:$EK$251,MATCH($EU207,$EI$51:$EI$251,0),1),0)</f>
        <v>216.843264</v>
      </c>
      <c r="EX207" s="18">
        <f>_xlfn.IFNA(INDEX($EO$51:$EO$246,MATCH($EU207,$EN$51:$EN$246,0),1),0)</f>
        <v>922.99653313383601</v>
      </c>
      <c r="EY207" s="18">
        <f>_xlfn.IFNA(INDEX($EP$51:$EP$246,MATCH($EU207,$EN$51:$EN$246,0),1),0)</f>
        <v>277.8621</v>
      </c>
      <c r="EZ207" s="18">
        <f>_xlfn.IFNA(EX207-EV207,"")</f>
        <v>348.41139969317044</v>
      </c>
      <c r="FA207" s="50">
        <f>EX207/EV207-1</f>
        <v>0.60637036953401968</v>
      </c>
      <c r="FB207" s="50">
        <f>_xlfn.IFNA(EY207/EW207-1,"")</f>
        <v>0.28139604096717519</v>
      </c>
      <c r="FC207" s="18">
        <f>-(_xlfn.IFNA(INDEX($EL$51:$EL$251,MATCH($EU207,$EI$51:$EI$251,0),1),0)-_xlfn.IFNA(INDEX($EQ$51:$EQ$246,MATCH($EU207,$EN$51:$EN$246,0),1),0))</f>
        <v>0.67200751000000025</v>
      </c>
    </row>
    <row r="208" spans="43:159" x14ac:dyDescent="0.25">
      <c r="ED208" s="25" t="s">
        <v>4590</v>
      </c>
      <c r="EE208">
        <v>3554.9637612687916</v>
      </c>
      <c r="EF208">
        <v>420.28493999999995</v>
      </c>
      <c r="EG208">
        <v>8.4584609700000009</v>
      </c>
      <c r="EI208" s="32" t="s">
        <v>4426</v>
      </c>
      <c r="EJ208" s="32">
        <v>4373.9730333136158</v>
      </c>
      <c r="EK208" s="32">
        <v>9.6973628002399526</v>
      </c>
      <c r="EL208" s="32">
        <v>451.04768414</v>
      </c>
      <c r="EN208" s="32" t="s">
        <v>4519</v>
      </c>
      <c r="EO208" s="32">
        <v>610.5153927466356</v>
      </c>
      <c r="EP208" s="32">
        <v>57.294580000000003</v>
      </c>
      <c r="EQ208" s="32">
        <v>10.65572682</v>
      </c>
      <c r="EU208" t="str">
        <f>EN208</f>
        <v>VanEck - JPM EM LC Bond ETF</v>
      </c>
      <c r="EV208" s="18">
        <f>_xlfn.IFNA(INDEX($EJ$51:$EJ$251,MATCH($EU208,$EI$51:$EI$251,0),1),0)</f>
        <v>0</v>
      </c>
      <c r="EW208" s="18">
        <f>_xlfn.IFNA(INDEX($EK$51:$EK$251,MATCH($EU208,$EI$51:$EI$251,0),1),0)</f>
        <v>0</v>
      </c>
      <c r="EX208" s="18">
        <f>_xlfn.IFNA(INDEX($EO$51:$EO$246,MATCH($EU208,$EN$51:$EN$246,0),1),0)</f>
        <v>610.5153927466356</v>
      </c>
      <c r="EY208" s="18">
        <f>_xlfn.IFNA(INDEX($EP$51:$EP$246,MATCH($EU208,$EN$51:$EN$246,0),1),0)</f>
        <v>57.294580000000003</v>
      </c>
      <c r="EZ208" s="18">
        <f>_xlfn.IFNA(EX208-EV208,"")</f>
        <v>610.5153927466356</v>
      </c>
      <c r="FA208" s="50" t="e">
        <f>EX208/EV208-1</f>
        <v>#DIV/0!</v>
      </c>
      <c r="FB208" s="50" t="e">
        <f>_xlfn.IFNA(EY208/EW208-1,"")</f>
        <v>#DIV/0!</v>
      </c>
      <c r="FC208" s="18">
        <f>-(_xlfn.IFNA(INDEX($EL$51:$EL$251,MATCH($EU208,$EI$51:$EI$251,0),1),0)-_xlfn.IFNA(INDEX($EQ$51:$EQ$246,MATCH($EU208,$EN$51:$EN$246,0),1),0))</f>
        <v>10.65572682</v>
      </c>
    </row>
    <row r="209" spans="134:159" x14ac:dyDescent="0.25">
      <c r="ED209" s="25" t="s">
        <v>4589</v>
      </c>
      <c r="EE209">
        <v>55.746326971350726</v>
      </c>
      <c r="EF209">
        <v>13.502304000000001</v>
      </c>
      <c r="EG209">
        <v>4.1286529300000003</v>
      </c>
      <c r="EI209" s="32" t="s">
        <v>4451</v>
      </c>
      <c r="EJ209" s="32">
        <v>89.898544137928155</v>
      </c>
      <c r="EK209" s="32">
        <v>0.24733791175</v>
      </c>
      <c r="EL209" s="32">
        <v>363.46447458</v>
      </c>
      <c r="EN209" s="32" t="s">
        <v>4437</v>
      </c>
      <c r="EO209" s="32">
        <v>11.905471087506172</v>
      </c>
      <c r="EP209" s="32">
        <v>1.1327755554239936</v>
      </c>
      <c r="EQ209" s="32">
        <v>10.51</v>
      </c>
      <c r="EU209" t="str">
        <f>EN209</f>
        <v>Grupo Aval Acciones y Valores</v>
      </c>
      <c r="EV209" s="18">
        <f>_xlfn.IFNA(INDEX($EJ$51:$EJ$251,MATCH($EU209,$EI$51:$EI$251,0),1),0)</f>
        <v>13.619388587903213</v>
      </c>
      <c r="EW209" s="18">
        <f>_xlfn.IFNA(INDEX($EK$51:$EK$251,MATCH($EU209,$EI$51:$EI$251,0),1),0)</f>
        <v>7.4831805428039626</v>
      </c>
      <c r="EX209" s="18">
        <f>_xlfn.IFNA(INDEX($EO$51:$EO$246,MATCH($EU209,$EN$51:$EN$246,0),1),0)</f>
        <v>11.905471087506172</v>
      </c>
      <c r="EY209" s="18">
        <f>_xlfn.IFNA(INDEX($EP$51:$EP$246,MATCH($EU209,$EN$51:$EN$246,0),1),0)</f>
        <v>1.1327755554239936</v>
      </c>
      <c r="EZ209" s="18">
        <f>_xlfn.IFNA(EX209-EV209,"")</f>
        <v>-1.7139175003970415</v>
      </c>
      <c r="FA209" s="50">
        <f>EX209/EV209-1</f>
        <v>-0.12584393853916087</v>
      </c>
      <c r="FB209" s="50">
        <f>_xlfn.IFNA(EY209/EW209-1,"")</f>
        <v>-0.84862378383837034</v>
      </c>
      <c r="FC209" s="18">
        <f>-(_xlfn.IFNA(INDEX($EL$51:$EL$251,MATCH($EU209,$EI$51:$EI$251,0),1),0)-_xlfn.IFNA(INDEX($EQ$51:$EQ$246,MATCH($EU209,$EN$51:$EN$246,0),1),0))</f>
        <v>8.69</v>
      </c>
    </row>
    <row r="210" spans="134:159" x14ac:dyDescent="0.25">
      <c r="ED210" s="25" t="s">
        <v>4587</v>
      </c>
      <c r="EE210">
        <v>75.707104036086008</v>
      </c>
      <c r="EF210">
        <v>8.2317540000000005</v>
      </c>
      <c r="EG210">
        <v>9.1969589999999997</v>
      </c>
      <c r="EI210" s="32" t="s">
        <v>4409</v>
      </c>
      <c r="EJ210" s="32">
        <v>91.574809172202578</v>
      </c>
      <c r="EK210" s="32">
        <v>3.1575619366823444</v>
      </c>
      <c r="EL210" s="32">
        <v>29.001745970000002</v>
      </c>
      <c r="EN210" s="32" t="s">
        <v>4515</v>
      </c>
      <c r="EO210" s="32">
        <v>5975.0861132751124</v>
      </c>
      <c r="EP210" s="32">
        <v>26.161864575499983</v>
      </c>
      <c r="EQ210" s="32">
        <v>228.38915384000001</v>
      </c>
      <c r="EU210" t="str">
        <f>EN210</f>
        <v>Hunt Oil</v>
      </c>
      <c r="EV210" s="18">
        <f>_xlfn.IFNA(INDEX($EJ$51:$EJ$251,MATCH($EU210,$EI$51:$EI$251,0),1),0)</f>
        <v>5795.9586631895227</v>
      </c>
      <c r="EW210" s="18">
        <f>_xlfn.IFNA(INDEX($EK$51:$EK$251,MATCH($EU210,$EI$51:$EI$251,0),1),0)</f>
        <v>24.834767358499999</v>
      </c>
      <c r="EX210" s="18">
        <f>_xlfn.IFNA(INDEX($EO$51:$EO$246,MATCH($EU210,$EN$51:$EN$246,0),1),0)</f>
        <v>5975.0861132751124</v>
      </c>
      <c r="EY210" s="18">
        <f>_xlfn.IFNA(INDEX($EP$51:$EP$246,MATCH($EU210,$EN$51:$EN$246,0),1),0)</f>
        <v>26.161864575499983</v>
      </c>
      <c r="EZ210" s="18">
        <f>_xlfn.IFNA(EX210-EV210,"")</f>
        <v>179.12745008558977</v>
      </c>
      <c r="FA210" s="50">
        <f>EX210/EV210-1</f>
        <v>3.0905577574809051E-2</v>
      </c>
      <c r="FB210" s="50">
        <f>_xlfn.IFNA(EY210/EW210-1,"")</f>
        <v>5.343707061325742E-2</v>
      </c>
      <c r="FC210" s="18">
        <f>-(_xlfn.IFNA(INDEX($EL$51:$EL$251,MATCH($EU210,$EI$51:$EI$251,0),1),0)-_xlfn.IFNA(INDEX($EQ$51:$EQ$246,MATCH($EU210,$EN$51:$EN$246,0),1),0))</f>
        <v>-4.9916779399999882</v>
      </c>
    </row>
    <row r="211" spans="134:159" x14ac:dyDescent="0.25">
      <c r="ED211" s="25" t="s">
        <v>4588</v>
      </c>
      <c r="EE211">
        <v>922.99653313383601</v>
      </c>
      <c r="EF211">
        <v>277.8621</v>
      </c>
      <c r="EG211">
        <v>3.3217791600000002</v>
      </c>
      <c r="EI211" s="32" t="s">
        <v>4590</v>
      </c>
      <c r="EJ211" s="32">
        <v>295.73094228007676</v>
      </c>
      <c r="EK211" s="32">
        <v>34.633379000000005</v>
      </c>
      <c r="EL211" s="32">
        <v>8.5388994900000004</v>
      </c>
      <c r="EN211" s="32" t="s">
        <v>4583</v>
      </c>
      <c r="EO211" s="32">
        <v>1325.0544745821758</v>
      </c>
      <c r="EP211" s="32">
        <v>58.197664000000003</v>
      </c>
      <c r="EQ211" s="32">
        <v>22.768172870000001</v>
      </c>
      <c r="EU211" t="str">
        <f>EN211</f>
        <v>Vanguard - S&amp;P 500 ETF</v>
      </c>
      <c r="EV211" s="18">
        <f>_xlfn.IFNA(INDEX($EJ$51:$EJ$251,MATCH($EU211,$EI$51:$EI$251,0),1),0)</f>
        <v>1239.889767059575</v>
      </c>
      <c r="EW211" s="18">
        <f>_xlfn.IFNA(INDEX($EK$51:$EK$251,MATCH($EU211,$EI$51:$EI$251,0),1),0)</f>
        <v>50.743111999999996</v>
      </c>
      <c r="EX211" s="18">
        <f>_xlfn.IFNA(INDEX($EO$51:$EO$246,MATCH($EU211,$EN$51:$EN$246,0),1),0)</f>
        <v>1325.0544745821758</v>
      </c>
      <c r="EY211" s="18">
        <f>_xlfn.IFNA(INDEX($EP$51:$EP$246,MATCH($EU211,$EN$51:$EN$246,0),1),0)</f>
        <v>58.197664000000003</v>
      </c>
      <c r="EZ211" s="18">
        <f>_xlfn.IFNA(EX211-EV211,"")</f>
        <v>85.164707522600793</v>
      </c>
      <c r="FA211" s="50">
        <f>EX211/EV211-1</f>
        <v>6.8687321877468843E-2</v>
      </c>
      <c r="FB211" s="50">
        <f>_xlfn.IFNA(EY211/EW211-1,"")</f>
        <v>0.14690766305385461</v>
      </c>
      <c r="FC211" s="18">
        <f>-(_xlfn.IFNA(INDEX($EL$51:$EL$251,MATCH($EU211,$EI$51:$EI$251,0),1),0)-_xlfn.IFNA(INDEX($EQ$51:$EQ$246,MATCH($EU211,$EN$51:$EN$246,0),1),0))</f>
        <v>-1.6664689599999996</v>
      </c>
    </row>
    <row r="212" spans="134:159" x14ac:dyDescent="0.25">
      <c r="ED212" s="25" t="s">
        <v>4519</v>
      </c>
      <c r="EE212">
        <v>610.5153927466356</v>
      </c>
      <c r="EF212">
        <v>57.294580000000003</v>
      </c>
      <c r="EG212">
        <v>10.65572682</v>
      </c>
      <c r="EI212" s="32" t="s">
        <v>4422</v>
      </c>
      <c r="EJ212" s="32">
        <v>2211.7161762752471</v>
      </c>
      <c r="EK212" s="32">
        <v>10.152089999999999</v>
      </c>
      <c r="EL212" s="32">
        <v>217.85821207999999</v>
      </c>
      <c r="EN212" s="32" t="s">
        <v>4410</v>
      </c>
      <c r="EO212" s="32">
        <v>1814.3622878318727</v>
      </c>
      <c r="EP212" s="32">
        <v>36.946639999999995</v>
      </c>
      <c r="EQ212" s="32">
        <v>49.107639769999999</v>
      </c>
      <c r="EU212" t="str">
        <f>EN212</f>
        <v>SSGA - Bloomberg Barclays Convertible Securities</v>
      </c>
      <c r="EV212" s="18">
        <f>_xlfn.IFNA(INDEX($EJ$51:$EJ$251,MATCH($EU212,$EI$51:$EI$251,0),1),0)</f>
        <v>0</v>
      </c>
      <c r="EW212" s="18">
        <f>_xlfn.IFNA(INDEX($EK$51:$EK$251,MATCH($EU212,$EI$51:$EI$251,0),1),0)</f>
        <v>0</v>
      </c>
      <c r="EX212" s="18">
        <f>_xlfn.IFNA(INDEX($EO$51:$EO$246,MATCH($EU212,$EN$51:$EN$246,0),1),0)</f>
        <v>1814.3622878318727</v>
      </c>
      <c r="EY212" s="18">
        <f>_xlfn.IFNA(INDEX($EP$51:$EP$246,MATCH($EU212,$EN$51:$EN$246,0),1),0)</f>
        <v>36.946639999999995</v>
      </c>
      <c r="EZ212" s="18">
        <f>_xlfn.IFNA(EX212-EV212,"")</f>
        <v>1814.3622878318727</v>
      </c>
      <c r="FA212" s="50" t="e">
        <f>EX212/EV212-1</f>
        <v>#DIV/0!</v>
      </c>
      <c r="FB212" s="50" t="e">
        <f>_xlfn.IFNA(EY212/EW212-1,"")</f>
        <v>#DIV/0!</v>
      </c>
      <c r="FC212" s="18">
        <f>-(_xlfn.IFNA(INDEX($EL$51:$EL$251,MATCH($EU212,$EI$51:$EI$251,0),1),0)-_xlfn.IFNA(INDEX($EQ$51:$EQ$246,MATCH($EU212,$EN$51:$EN$246,0),1),0))</f>
        <v>49.107639769999999</v>
      </c>
    </row>
    <row r="213" spans="134:159" x14ac:dyDescent="0.25">
      <c r="ED213" s="25" t="s">
        <v>4437</v>
      </c>
      <c r="EE213">
        <v>11.905471087506172</v>
      </c>
      <c r="EF213">
        <v>1.1327755554239936</v>
      </c>
      <c r="EG213">
        <v>10.51</v>
      </c>
      <c r="EI213" s="32" t="s">
        <v>4594</v>
      </c>
      <c r="EJ213" s="32">
        <v>0.89454306606896028</v>
      </c>
      <c r="EK213" s="32">
        <v>5.3680000000000012E-3</v>
      </c>
      <c r="EL213" s="32">
        <v>166.64364122000001</v>
      </c>
      <c r="EN213" s="32" t="s">
        <v>5545</v>
      </c>
      <c r="EO213" s="32">
        <v>706.01937469651091</v>
      </c>
      <c r="EP213" s="32">
        <v>15.279933672149991</v>
      </c>
      <c r="EQ213" s="32">
        <v>46.205657029999998</v>
      </c>
      <c r="EU213" t="str">
        <f>EN213</f>
        <v>Pimco - GIS Income Fund</v>
      </c>
      <c r="EV213" s="18">
        <f>_xlfn.IFNA(INDEX($EJ$51:$EJ$251,MATCH($EU213,$EI$51:$EI$251,0),1),0)</f>
        <v>1569.4302622588984</v>
      </c>
      <c r="EW213" s="18">
        <f>_xlfn.IFNA(INDEX($EK$51:$EK$251,MATCH($EU213,$EI$51:$EI$251,0),1),0)</f>
        <v>39.617494390199994</v>
      </c>
      <c r="EX213" s="18">
        <f>_xlfn.IFNA(INDEX($EO$51:$EO$246,MATCH($EU213,$EN$51:$EN$246,0),1),0)</f>
        <v>706.01937469651091</v>
      </c>
      <c r="EY213" s="18">
        <f>_xlfn.IFNA(INDEX($EP$51:$EP$246,MATCH($EU213,$EN$51:$EN$246,0),1),0)</f>
        <v>15.279933672149991</v>
      </c>
      <c r="EZ213" s="18">
        <f>_xlfn.IFNA(EX213-EV213,"")</f>
        <v>-863.41088756238753</v>
      </c>
      <c r="FA213" s="50">
        <f>EX213/EV213-1</f>
        <v>-0.5501428819906089</v>
      </c>
      <c r="FB213" s="50">
        <f>_xlfn.IFNA(EY213/EW213-1,"")</f>
        <v>-0.61431347672684411</v>
      </c>
      <c r="FC213" s="18">
        <f>-(_xlfn.IFNA(INDEX($EL$51:$EL$251,MATCH($EU213,$EI$51:$EI$251,0),1),0)-_xlfn.IFNA(INDEX($EQ$51:$EQ$246,MATCH($EU213,$EN$51:$EN$246,0),1),0))</f>
        <v>6.5910805299999993</v>
      </c>
    </row>
    <row r="214" spans="134:159" x14ac:dyDescent="0.25">
      <c r="ED214" s="25" t="s">
        <v>4515</v>
      </c>
      <c r="EE214">
        <v>5975.0861132751124</v>
      </c>
      <c r="EF214">
        <v>26.161864575499983</v>
      </c>
      <c r="EG214">
        <v>228.38915384000001</v>
      </c>
      <c r="EI214" s="32" t="s">
        <v>4589</v>
      </c>
      <c r="EJ214" s="32">
        <v>237.77907196586807</v>
      </c>
      <c r="EK214" s="32">
        <v>73.938285000000008</v>
      </c>
      <c r="EL214" s="32">
        <v>3.2159127299999999</v>
      </c>
      <c r="EN214" s="32" t="s">
        <v>4568</v>
      </c>
      <c r="EO214" s="32">
        <v>1.971358944279631E-2</v>
      </c>
      <c r="EP214" s="32">
        <v>5.5450526439346606E-4</v>
      </c>
      <c r="EQ214" s="32">
        <v>35.551672289999999</v>
      </c>
      <c r="EU214" t="str">
        <f>EN214</f>
        <v>Joh Berenberg - European Focus Fund</v>
      </c>
      <c r="EV214" s="18">
        <f>_xlfn.IFNA(INDEX($EJ$51:$EJ$251,MATCH($EU214,$EI$51:$EI$251,0),1),0)</f>
        <v>4.8914514025117841E-3</v>
      </c>
      <c r="EW214" s="18">
        <f>_xlfn.IFNA(INDEX($EK$51:$EK$251,MATCH($EU214,$EI$51:$EI$251,0),1),0)</f>
        <v>5.2679356723811651E-4</v>
      </c>
      <c r="EX214" s="18">
        <f>_xlfn.IFNA(INDEX($EO$51:$EO$246,MATCH($EU214,$EN$51:$EN$246,0),1),0)</f>
        <v>1.971358944279631E-2</v>
      </c>
      <c r="EY214" s="18">
        <f>_xlfn.IFNA(INDEX($EP$51:$EP$246,MATCH($EU214,$EN$51:$EN$246,0),1),0)</f>
        <v>5.5450526439346606E-4</v>
      </c>
      <c r="EZ214" s="18">
        <f>_xlfn.IFNA(EX214-EV214,"")</f>
        <v>1.4822138040284526E-2</v>
      </c>
      <c r="FA214" s="50">
        <f>EX214/EV214-1</f>
        <v>3.0302126752548917</v>
      </c>
      <c r="FB214" s="50">
        <f>_xlfn.IFNA(EY214/EW214-1,"")</f>
        <v>5.2604471426325405E-2</v>
      </c>
      <c r="FC214" s="18">
        <f>-(_xlfn.IFNA(INDEX($EL$51:$EL$251,MATCH($EU214,$EI$51:$EI$251,0),1),0)-_xlfn.IFNA(INDEX($EQ$51:$EQ$246,MATCH($EU214,$EN$51:$EN$246,0),1),0))</f>
        <v>26.266343639999999</v>
      </c>
    </row>
    <row r="215" spans="134:159" x14ac:dyDescent="0.25">
      <c r="ED215" s="25" t="s">
        <v>4583</v>
      </c>
      <c r="EE215">
        <v>1325.0544745821758</v>
      </c>
      <c r="EF215">
        <v>58.197664000000003</v>
      </c>
      <c r="EG215">
        <v>22.768172870000001</v>
      </c>
      <c r="EI215" s="32" t="s">
        <v>4587</v>
      </c>
      <c r="EJ215" s="32">
        <v>194.15501105481599</v>
      </c>
      <c r="EK215" s="32">
        <v>20.41536</v>
      </c>
      <c r="EL215" s="32">
        <v>9.5102418499999999</v>
      </c>
      <c r="EN215" s="32" t="s">
        <v>5547</v>
      </c>
      <c r="EO215" s="32">
        <v>1.8567368608855597E-5</v>
      </c>
      <c r="EP215" s="32">
        <v>5.0395847243297923E-6</v>
      </c>
      <c r="EQ215" s="32">
        <v>3.6843052799999998</v>
      </c>
      <c r="EU215" t="str">
        <f>EN215</f>
        <v>Premier Miton - European Opportunities Fund</v>
      </c>
      <c r="EV215" s="18">
        <f>_xlfn.IFNA(INDEX($EJ$51:$EJ$251,MATCH($EU215,$EI$51:$EI$251,0),1),0)</f>
        <v>1.2125742703594394E-5</v>
      </c>
      <c r="EW215" s="18">
        <f>_xlfn.IFNA(INDEX($EK$51:$EK$251,MATCH($EU215,$EI$51:$EI$251,0),1),0)</f>
        <v>5.0872537292663924E-6</v>
      </c>
      <c r="EX215" s="18">
        <f>_xlfn.IFNA(INDEX($EO$51:$EO$246,MATCH($EU215,$EN$51:$EN$246,0),1),0)</f>
        <v>1.8567368608855597E-5</v>
      </c>
      <c r="EY215" s="18">
        <f>_xlfn.IFNA(INDEX($EP$51:$EP$246,MATCH($EU215,$EN$51:$EN$246,0),1),0)</f>
        <v>5.0395847243297923E-6</v>
      </c>
      <c r="EZ215" s="18">
        <f>_xlfn.IFNA(EX215-EV215,"")</f>
        <v>6.4416259052612035E-6</v>
      </c>
      <c r="FA215" s="50">
        <f>EX215/EV215-1</f>
        <v>0.53123557564451152</v>
      </c>
      <c r="FB215" s="50">
        <f>_xlfn.IFNA(EY215/EW215-1,"")</f>
        <v>-9.3702825676583723E-3</v>
      </c>
      <c r="FC215" s="18">
        <f>-(_xlfn.IFNA(INDEX($EL$51:$EL$251,MATCH($EU215,$EI$51:$EI$251,0),1),0)-_xlfn.IFNA(INDEX($EQ$51:$EQ$246,MATCH($EU215,$EN$51:$EN$246,0),1),0))</f>
        <v>1.3007515299999999</v>
      </c>
    </row>
    <row r="216" spans="134:159" x14ac:dyDescent="0.25">
      <c r="ED216" s="25" t="s">
        <v>4410</v>
      </c>
      <c r="EE216">
        <v>1814.3622878318727</v>
      </c>
      <c r="EF216">
        <v>36.946639999999995</v>
      </c>
      <c r="EG216">
        <v>49.107639769999999</v>
      </c>
      <c r="EI216" s="32" t="s">
        <v>4588</v>
      </c>
      <c r="EJ216" s="32">
        <v>574.58513344066557</v>
      </c>
      <c r="EK216" s="32">
        <v>216.843264</v>
      </c>
      <c r="EL216" s="32">
        <v>2.6497716499999999</v>
      </c>
      <c r="EN216" s="32" t="s">
        <v>4600</v>
      </c>
      <c r="EO216" s="32">
        <v>611.20206886636186</v>
      </c>
      <c r="EP216" s="32">
        <v>23.364725624382249</v>
      </c>
      <c r="EQ216" s="32">
        <v>26.159180240000001</v>
      </c>
      <c r="EU216" t="str">
        <f>EN216</f>
        <v>Baillie Gifford &amp; Co Ltd - Overseas Growth Funds ICVC - Pacific Fund</v>
      </c>
      <c r="EV216" s="18">
        <f>_xlfn.IFNA(INDEX($EJ$51:$EJ$251,MATCH($EU216,$EI$51:$EI$251,0),1),0)</f>
        <v>559.97056416884709</v>
      </c>
      <c r="EW216" s="18">
        <f>_xlfn.IFNA(INDEX($EK$51:$EK$251,MATCH($EU216,$EI$51:$EI$251,0),1),0)</f>
        <v>18.407600936382973</v>
      </c>
      <c r="EX216" s="18">
        <f>_xlfn.IFNA(INDEX($EO$51:$EO$246,MATCH($EU216,$EN$51:$EN$246,0),1),0)</f>
        <v>611.20206886636186</v>
      </c>
      <c r="EY216" s="18">
        <f>_xlfn.IFNA(INDEX($EP$51:$EP$246,MATCH($EU216,$EN$51:$EN$246,0),1),0)</f>
        <v>23.364725624382249</v>
      </c>
      <c r="EZ216" s="18">
        <f>_xlfn.IFNA(EX216-EV216,"")</f>
        <v>51.231504697514765</v>
      </c>
      <c r="FA216" s="50">
        <f>EX216/EV216-1</f>
        <v>9.1489638876923296E-2</v>
      </c>
      <c r="FB216" s="50">
        <f>_xlfn.IFNA(EY216/EW216-1,"")</f>
        <v>0.26929770506929152</v>
      </c>
      <c r="FC216" s="18">
        <f>-(_xlfn.IFNA(INDEX($EL$51:$EL$251,MATCH($EU216,$EI$51:$EI$251,0),1),0)-_xlfn.IFNA(INDEX($EQ$51:$EQ$246,MATCH($EU216,$EN$51:$EN$246,0),1),0))</f>
        <v>-4.2614360099999971</v>
      </c>
    </row>
    <row r="217" spans="134:159" x14ac:dyDescent="0.25">
      <c r="ED217" s="25" t="s">
        <v>5545</v>
      </c>
      <c r="EE217">
        <v>706.01937469651091</v>
      </c>
      <c r="EF217">
        <v>15.279933672149991</v>
      </c>
      <c r="EG217">
        <v>46.205657029999998</v>
      </c>
      <c r="EI217" s="32" t="s">
        <v>4437</v>
      </c>
      <c r="EJ217" s="32">
        <v>13.619388587903213</v>
      </c>
      <c r="EK217" s="32">
        <v>7.4831805428039626</v>
      </c>
      <c r="EL217" s="32">
        <v>1.82</v>
      </c>
      <c r="EN217" s="32" t="s">
        <v>4417</v>
      </c>
      <c r="EO217" s="32">
        <v>101.51689814663064</v>
      </c>
      <c r="EP217" s="32">
        <v>0.77832481963997757</v>
      </c>
      <c r="EQ217" s="32">
        <v>130.42998961999999</v>
      </c>
      <c r="EU217" t="str">
        <f>EN217</f>
        <v>Neuberger Berman - CLO Income Fund</v>
      </c>
      <c r="EV217" s="18">
        <f>_xlfn.IFNA(INDEX($EJ$51:$EJ$251,MATCH($EU217,$EI$51:$EI$251,0),1),0)</f>
        <v>16.745243739065998</v>
      </c>
      <c r="EW217" s="18">
        <f>_xlfn.IFNA(INDEX($EK$51:$EK$251,MATCH($EU217,$EI$51:$EI$251,0),1),0)</f>
        <v>93.029131883699989</v>
      </c>
      <c r="EX217" s="18">
        <f>_xlfn.IFNA(INDEX($EO$51:$EO$246,MATCH($EU217,$EN$51:$EN$246,0),1),0)</f>
        <v>101.51689814663064</v>
      </c>
      <c r="EY217" s="18">
        <f>_xlfn.IFNA(INDEX($EP$51:$EP$246,MATCH($EU217,$EN$51:$EN$246,0),1),0)</f>
        <v>0.77832481963997757</v>
      </c>
      <c r="EZ217" s="18">
        <f>_xlfn.IFNA(EX217-EV217,"")</f>
        <v>84.77165440756464</v>
      </c>
      <c r="FA217" s="50">
        <f>EX217/EV217-1</f>
        <v>5.0624318002487891</v>
      </c>
      <c r="FB217" s="50">
        <f>_xlfn.IFNA(EY217/EW217-1,"")</f>
        <v>-0.9916335366795318</v>
      </c>
      <c r="FC217" s="18">
        <f>-(_xlfn.IFNA(INDEX($EL$51:$EL$251,MATCH($EU217,$EI$51:$EI$251,0),1),0)-_xlfn.IFNA(INDEX($EQ$51:$EQ$246,MATCH($EU217,$EN$51:$EN$246,0),1),0))</f>
        <v>130.24998961999998</v>
      </c>
    </row>
    <row r="218" spans="134:159" x14ac:dyDescent="0.25">
      <c r="ED218" s="25" t="s">
        <v>4568</v>
      </c>
      <c r="EE218">
        <v>1.971358944279631E-2</v>
      </c>
      <c r="EF218">
        <v>5.5450526439346606E-4</v>
      </c>
      <c r="EG218">
        <v>35.551672289999999</v>
      </c>
      <c r="EI218" s="32" t="s">
        <v>4515</v>
      </c>
      <c r="EJ218" s="32">
        <v>5795.9586631895227</v>
      </c>
      <c r="EK218" s="32">
        <v>24.834767358499999</v>
      </c>
      <c r="EL218" s="32">
        <v>233.38083177999999</v>
      </c>
      <c r="EN218" s="32" t="s">
        <v>4413</v>
      </c>
      <c r="EO218" s="32">
        <v>0.12863622772074665</v>
      </c>
      <c r="EP218" s="32">
        <v>8.7413759998809836E-4</v>
      </c>
      <c r="EQ218" s="32">
        <v>147.15787048000001</v>
      </c>
      <c r="EU218" t="str">
        <f>EN218</f>
        <v>Nomura - US High Yield Bond Fund</v>
      </c>
      <c r="EV218" s="18">
        <f>_xlfn.IFNA(INDEX($EJ$51:$EJ$251,MATCH($EU218,$EI$51:$EI$251,0),1),0)</f>
        <v>0.12295230217699711</v>
      </c>
      <c r="EW218" s="18">
        <f>_xlfn.IFNA(INDEX($EK$51:$EK$251,MATCH($EU218,$EI$51:$EI$251,0),1),0)</f>
        <v>8.3135679995547144E-4</v>
      </c>
      <c r="EX218" s="18">
        <f>_xlfn.IFNA(INDEX($EO$51:$EO$246,MATCH($EU218,$EN$51:$EN$246,0),1),0)</f>
        <v>0.12863622772074665</v>
      </c>
      <c r="EY218" s="18">
        <f>_xlfn.IFNA(INDEX($EP$51:$EP$246,MATCH($EU218,$EN$51:$EN$246,0),1),0)</f>
        <v>8.7413759998809836E-4</v>
      </c>
      <c r="EZ218" s="18">
        <f>_xlfn.IFNA(EX218-EV218,"")</f>
        <v>5.6839255437495378E-3</v>
      </c>
      <c r="FA218" s="50">
        <f>EX218/EV218-1</f>
        <v>4.6228703677033911E-2</v>
      </c>
      <c r="FB218" s="50">
        <f>_xlfn.IFNA(EY218/EW218-1,"")</f>
        <v>5.1459012586314801E-2</v>
      </c>
      <c r="FC218" s="18">
        <f>-(_xlfn.IFNA(INDEX($EL$51:$EL$251,MATCH($EU218,$EI$51:$EI$251,0),1),0)-_xlfn.IFNA(INDEX($EQ$51:$EQ$246,MATCH($EU218,$EN$51:$EN$246,0),1),0))</f>
        <v>-0.73567195999999058</v>
      </c>
    </row>
    <row r="219" spans="134:159" x14ac:dyDescent="0.25">
      <c r="ED219" s="25" t="s">
        <v>5547</v>
      </c>
      <c r="EE219">
        <v>1.8567368608855597E-5</v>
      </c>
      <c r="EF219">
        <v>5.0395847243297923E-6</v>
      </c>
      <c r="EG219">
        <v>3.6843052799999998</v>
      </c>
      <c r="EI219" s="32" t="s">
        <v>4583</v>
      </c>
      <c r="EJ219" s="32">
        <v>1239.889767059575</v>
      </c>
      <c r="EK219" s="32">
        <v>50.743111999999996</v>
      </c>
      <c r="EL219" s="32">
        <v>24.43464183</v>
      </c>
      <c r="EN219" s="32" t="s">
        <v>1546</v>
      </c>
      <c r="EO219" s="32">
        <v>2711.5052179296586</v>
      </c>
      <c r="EP219" s="32">
        <v>432.3900845</v>
      </c>
      <c r="EQ219" s="32">
        <v>6.2709699299999997</v>
      </c>
      <c r="EU219" t="str">
        <f>EN219</f>
        <v>VanEck Semiconductor ETF</v>
      </c>
      <c r="EV219" s="18">
        <f>_xlfn.IFNA(INDEX($EJ$51:$EJ$251,MATCH($EU219,$EI$51:$EI$251,0),1),0)</f>
        <v>1400.9038613805697</v>
      </c>
      <c r="EW219" s="18">
        <f>_xlfn.IFNA(INDEX($EK$51:$EK$251,MATCH($EU219,$EI$51:$EI$251,0),1),0)</f>
        <v>247.52749599999999</v>
      </c>
      <c r="EX219" s="18">
        <f>_xlfn.IFNA(INDEX($EO$51:$EO$246,MATCH($EU219,$EN$51:$EN$246,0),1),0)</f>
        <v>2711.5052179296586</v>
      </c>
      <c r="EY219" s="18">
        <f>_xlfn.IFNA(INDEX($EP$51:$EP$246,MATCH($EU219,$EN$51:$EN$246,0),1),0)</f>
        <v>432.3900845</v>
      </c>
      <c r="EZ219" s="18">
        <f>_xlfn.IFNA(EX219-EV219,"")</f>
        <v>1310.6013565490889</v>
      </c>
      <c r="FA219" s="50">
        <f>EX219/EV219-1</f>
        <v>0.9355398273065727</v>
      </c>
      <c r="FB219" s="50">
        <f>_xlfn.IFNA(EY219/EW219-1,"")</f>
        <v>0.74683657972284423</v>
      </c>
      <c r="FC219" s="18">
        <f>-(_xlfn.IFNA(INDEX($EL$51:$EL$251,MATCH($EU219,$EI$51:$EI$251,0),1),0)-_xlfn.IFNA(INDEX($EQ$51:$EQ$246,MATCH($EU219,$EN$51:$EN$246,0),1),0))</f>
        <v>0.61138105999999937</v>
      </c>
    </row>
    <row r="220" spans="134:159" x14ac:dyDescent="0.25">
      <c r="ED220" s="25" t="s">
        <v>4600</v>
      </c>
      <c r="EE220">
        <v>611.20206886636186</v>
      </c>
      <c r="EF220">
        <v>23.364725624382249</v>
      </c>
      <c r="EG220">
        <v>26.159180240000001</v>
      </c>
      <c r="EI220" s="32" t="s">
        <v>4575</v>
      </c>
      <c r="EJ220" s="32">
        <v>28.2492050817152</v>
      </c>
      <c r="EK220" s="32">
        <v>1.760596</v>
      </c>
      <c r="EL220" s="32">
        <v>16.045251199999999</v>
      </c>
      <c r="EN220" s="32" t="s">
        <v>5766</v>
      </c>
      <c r="EO220" s="32">
        <v>7.1766943307938591E-2</v>
      </c>
      <c r="EP220" s="32">
        <v>6.3598670995864207E-4</v>
      </c>
      <c r="EQ220" s="32">
        <v>112.84346384</v>
      </c>
      <c r="EU220" t="str">
        <f>EN220</f>
        <v>AXA World Funds - US Dynamic High Yield</v>
      </c>
      <c r="EV220" s="18">
        <f>_xlfn.IFNA(INDEX($EJ$51:$EJ$251,MATCH($EU220,$EI$51:$EI$251,0),1),0)</f>
        <v>10202.289021304983</v>
      </c>
      <c r="EW220" s="18">
        <f>_xlfn.IFNA(INDEX($EK$51:$EK$251,MATCH($EU220,$EI$51:$EI$251,0),1),0)</f>
        <v>81.632324182559969</v>
      </c>
      <c r="EX220" s="18">
        <f>_xlfn.IFNA(INDEX($EO$51:$EO$246,MATCH($EU220,$EN$51:$EN$246,0),1),0)</f>
        <v>7.1766943307938591E-2</v>
      </c>
      <c r="EY220" s="18">
        <f>_xlfn.IFNA(INDEX($EP$51:$EP$246,MATCH($EU220,$EN$51:$EN$246,0),1),0)</f>
        <v>6.3598670995864207E-4</v>
      </c>
      <c r="EZ220" s="18">
        <f>_xlfn.IFNA(EX220-EV220,"")</f>
        <v>-10202.217254361674</v>
      </c>
      <c r="FA220" s="50">
        <f>EX220/EV220-1</f>
        <v>-0.99999296560378181</v>
      </c>
      <c r="FB220" s="50">
        <f>_xlfn.IFNA(EY220/EW220-1,"")</f>
        <v>-0.9999922091314154</v>
      </c>
      <c r="FC220" s="18">
        <f>-(_xlfn.IFNA(INDEX($EL$51:$EL$251,MATCH($EU220,$EI$51:$EI$251,0),1),0)-_xlfn.IFNA(INDEX($EQ$51:$EQ$246,MATCH($EU220,$EN$51:$EN$246,0),1),0))</f>
        <v>-12.135080180000003</v>
      </c>
    </row>
    <row r="221" spans="134:159" x14ac:dyDescent="0.25">
      <c r="ED221" s="25" t="s">
        <v>4417</v>
      </c>
      <c r="EE221">
        <v>101.51689814663064</v>
      </c>
      <c r="EF221">
        <v>0.77832481963997757</v>
      </c>
      <c r="EG221">
        <v>130.42998961999999</v>
      </c>
      <c r="EI221" s="32" t="s">
        <v>4603</v>
      </c>
      <c r="EJ221" s="32">
        <v>18375.703316519648</v>
      </c>
      <c r="EK221" s="32">
        <v>91.984847000000002</v>
      </c>
      <c r="EL221" s="32">
        <v>199.76880883999999</v>
      </c>
      <c r="EN221" s="32" t="s">
        <v>5768</v>
      </c>
      <c r="EO221" s="32">
        <v>1944.3478665886239</v>
      </c>
      <c r="EP221" s="32">
        <v>15.15473970551998</v>
      </c>
      <c r="EQ221" s="32">
        <v>128.29965439</v>
      </c>
      <c r="EU221" t="str">
        <f>EN221</f>
        <v>Goldman Sachs - India Equity Portfolio</v>
      </c>
      <c r="EV221" s="18">
        <f>_xlfn.IFNA(INDEX($EJ$51:$EJ$251,MATCH($EU221,$EI$51:$EI$251,0),1),0)</f>
        <v>2428.3474207619197</v>
      </c>
      <c r="EW221" s="18">
        <f>_xlfn.IFNA(INDEX($EK$51:$EK$251,MATCH($EU221,$EI$51:$EI$251,0),1),0)</f>
        <v>19.780944841759965</v>
      </c>
      <c r="EX221" s="18">
        <f>_xlfn.IFNA(INDEX($EO$51:$EO$246,MATCH($EU221,$EN$51:$EN$246,0),1),0)</f>
        <v>1944.3478665886239</v>
      </c>
      <c r="EY221" s="18">
        <f>_xlfn.IFNA(INDEX($EP$51:$EP$246,MATCH($EU221,$EN$51:$EN$246,0),1),0)</f>
        <v>15.15473970551998</v>
      </c>
      <c r="EZ221" s="18">
        <f>_xlfn.IFNA(EX221-EV221,"")</f>
        <v>-483.99955417329579</v>
      </c>
      <c r="FA221" s="50">
        <f>EX221/EV221-1</f>
        <v>-0.19931231834258534</v>
      </c>
      <c r="FB221" s="50">
        <f>_xlfn.IFNA(EY221/EW221-1,"")</f>
        <v>-0.23387179799791502</v>
      </c>
      <c r="FC221" s="18">
        <f>-(_xlfn.IFNA(INDEX($EL$51:$EL$251,MATCH($EU221,$EI$51:$EI$251,0),1),0)-_xlfn.IFNA(INDEX($EQ$51:$EQ$246,MATCH($EU221,$EN$51:$EN$246,0),1),0))</f>
        <v>5.5377014000000031</v>
      </c>
    </row>
    <row r="222" spans="134:159" x14ac:dyDescent="0.25">
      <c r="ED222" s="25" t="s">
        <v>4413</v>
      </c>
      <c r="EE222">
        <v>0.12863622772074665</v>
      </c>
      <c r="EF222">
        <v>8.7413759998809836E-4</v>
      </c>
      <c r="EG222">
        <v>147.15787048000001</v>
      </c>
      <c r="EI222" s="32" t="s">
        <v>5545</v>
      </c>
      <c r="EJ222" s="32">
        <v>1569.4302622588984</v>
      </c>
      <c r="EK222" s="32">
        <v>39.617494390199994</v>
      </c>
      <c r="EL222" s="32">
        <v>39.614576499999998</v>
      </c>
      <c r="EN222" s="32" t="s">
        <v>4574</v>
      </c>
      <c r="EO222" s="32">
        <v>53.629655636378573</v>
      </c>
      <c r="EP222" s="32">
        <v>127.67051481919144</v>
      </c>
      <c r="EQ222" s="32">
        <v>0.42006296999999998</v>
      </c>
      <c r="EU222" t="str">
        <f>EN222</f>
        <v>BlackRock - iShares Euro Stoxx Banks 30-15 UCITS</v>
      </c>
      <c r="EV222" s="18">
        <f>_xlfn.IFNA(INDEX($EJ$51:$EJ$251,MATCH($EU222,$EI$51:$EI$251,0),1),0)</f>
        <v>32.121082839121044</v>
      </c>
      <c r="EW222" s="18">
        <f>_xlfn.IFNA(INDEX($EK$51:$EK$251,MATCH($EU222,$EI$51:$EI$251,0),1),0)</f>
        <v>82.365493219643326</v>
      </c>
      <c r="EX222" s="18">
        <f>_xlfn.IFNA(INDEX($EO$51:$EO$246,MATCH($EU222,$EN$51:$EN$246,0),1),0)</f>
        <v>53.629655636378573</v>
      </c>
      <c r="EY222" s="18">
        <f>_xlfn.IFNA(INDEX($EP$51:$EP$246,MATCH($EU222,$EN$51:$EN$246,0),1),0)</f>
        <v>127.67051481919144</v>
      </c>
      <c r="EZ222" s="18">
        <f>_xlfn.IFNA(EX222-EV222,"")</f>
        <v>21.508572797257528</v>
      </c>
      <c r="FA222" s="50">
        <f>EX222/EV222-1</f>
        <v>0.66960920666913881</v>
      </c>
      <c r="FB222" s="50">
        <f>_xlfn.IFNA(EY222/EW222-1,"")</f>
        <v>0.55004856801784241</v>
      </c>
      <c r="FC222" s="18">
        <f>-(_xlfn.IFNA(INDEX($EL$51:$EL$251,MATCH($EU222,$EI$51:$EI$251,0),1),0)-_xlfn.IFNA(INDEX($EQ$51:$EQ$246,MATCH($EU222,$EN$51:$EN$246,0),1),0))</f>
        <v>3.008068999999991E-2</v>
      </c>
    </row>
    <row r="223" spans="134:159" x14ac:dyDescent="0.25">
      <c r="ED223" s="25" t="s">
        <v>1546</v>
      </c>
      <c r="EE223">
        <v>2711.5052179296586</v>
      </c>
      <c r="EF223">
        <v>432.3900845</v>
      </c>
      <c r="EG223">
        <v>6.2709699299999997</v>
      </c>
      <c r="EI223" s="32" t="s">
        <v>5546</v>
      </c>
      <c r="EJ223" s="32">
        <v>1375.7647302645119</v>
      </c>
      <c r="EK223" s="32">
        <v>144.7362</v>
      </c>
      <c r="EL223" s="32">
        <v>9.5053257599999998</v>
      </c>
      <c r="EN223" s="32" t="s">
        <v>4521</v>
      </c>
      <c r="EO223" s="32">
        <v>45.079804858231434</v>
      </c>
      <c r="EP223" s="32">
        <v>70.246530640399996</v>
      </c>
      <c r="EQ223" s="32">
        <v>0.64173709999999995</v>
      </c>
      <c r="EU223" t="str">
        <f>EN223</f>
        <v>Global Evolution Funds - Frontier Markets Fund</v>
      </c>
      <c r="EV223" s="18">
        <f>_xlfn.IFNA(INDEX($EJ$51:$EJ$251,MATCH($EU223,$EI$51:$EI$251,0),1),0)</f>
        <v>40.091697419393185</v>
      </c>
      <c r="EW223" s="18">
        <f>_xlfn.IFNA(INDEX($EK$51:$EK$251,MATCH($EU223,$EI$51:$EI$251,0),1),0)</f>
        <v>58.921256433399982</v>
      </c>
      <c r="EX223" s="18">
        <f>_xlfn.IFNA(INDEX($EO$51:$EO$246,MATCH($EU223,$EN$51:$EN$246,0),1),0)</f>
        <v>45.079804858231434</v>
      </c>
      <c r="EY223" s="18">
        <f>_xlfn.IFNA(INDEX($EP$51:$EP$246,MATCH($EU223,$EN$51:$EN$246,0),1),0)</f>
        <v>70.246530640399996</v>
      </c>
      <c r="EZ223" s="18">
        <f>_xlfn.IFNA(EX223-EV223,"")</f>
        <v>4.9881074388382487</v>
      </c>
      <c r="FA223" s="50">
        <f>EX223/EV223-1</f>
        <v>0.1244174669547764</v>
      </c>
      <c r="FB223" s="50">
        <f>_xlfn.IFNA(EY223/EW223-1,"")</f>
        <v>0.19221033108486441</v>
      </c>
      <c r="FC223" s="18">
        <f>-(_xlfn.IFNA(INDEX($EL$51:$EL$251,MATCH($EU223,$EI$51:$EI$251,0),1),0)-_xlfn.IFNA(INDEX($EQ$51:$EQ$246,MATCH($EU223,$EN$51:$EN$246,0),1),0))</f>
        <v>-3.8691320000000085E-2</v>
      </c>
    </row>
    <row r="224" spans="134:159" x14ac:dyDescent="0.25">
      <c r="ED224" s="25" t="s">
        <v>5766</v>
      </c>
      <c r="EE224">
        <v>7.1766943307938591E-2</v>
      </c>
      <c r="EF224">
        <v>6.3598670995864207E-4</v>
      </c>
      <c r="EG224">
        <v>112.84346384</v>
      </c>
      <c r="EI224" s="32" t="s">
        <v>4568</v>
      </c>
      <c r="EJ224" s="32">
        <v>4.8914514025117841E-3</v>
      </c>
      <c r="EK224" s="32">
        <v>5.2679356723811651E-4</v>
      </c>
      <c r="EL224" s="32">
        <v>9.2853286500000003</v>
      </c>
      <c r="EN224" s="32" t="s">
        <v>4514</v>
      </c>
      <c r="EO224" s="32">
        <v>1570.7114924999398</v>
      </c>
      <c r="EP224" s="32">
        <v>7.3308666689999997</v>
      </c>
      <c r="EQ224" s="32">
        <v>214.26</v>
      </c>
      <c r="EU224" t="str">
        <f>EN224</f>
        <v>Nexa Resources</v>
      </c>
      <c r="EV224" s="18">
        <f>_xlfn.IFNA(INDEX($EJ$51:$EJ$251,MATCH($EU224,$EI$51:$EI$251,0),1),0)</f>
        <v>1528.8872255143199</v>
      </c>
      <c r="EW224" s="18">
        <f>_xlfn.IFNA(INDEX($EK$51:$EK$251,MATCH($EU224,$EI$51:$EI$251,0),1),0)</f>
        <v>7.135663332</v>
      </c>
      <c r="EX224" s="18">
        <f>_xlfn.IFNA(INDEX($EO$51:$EO$246,MATCH($EU224,$EN$51:$EN$246,0),1),0)</f>
        <v>1570.7114924999398</v>
      </c>
      <c r="EY224" s="18">
        <f>_xlfn.IFNA(INDEX($EP$51:$EP$246,MATCH($EU224,$EN$51:$EN$246,0),1),0)</f>
        <v>7.3308666689999997</v>
      </c>
      <c r="EZ224" s="18">
        <f>_xlfn.IFNA(EX224-EV224,"")</f>
        <v>41.824266985619943</v>
      </c>
      <c r="FA224" s="50">
        <f>EX224/EV224-1</f>
        <v>2.7356018343047017E-2</v>
      </c>
      <c r="FB224" s="50">
        <f>_xlfn.IFNA(EY224/EW224-1,"")</f>
        <v>2.7356018343047017E-2</v>
      </c>
      <c r="FC224" s="18">
        <f>-(_xlfn.IFNA(INDEX($EL$51:$EL$251,MATCH($EU224,$EI$51:$EI$251,0),1),0)-_xlfn.IFNA(INDEX($EQ$51:$EQ$246,MATCH($EU224,$EN$51:$EN$246,0),1),0))</f>
        <v>0</v>
      </c>
    </row>
    <row r="225" spans="134:159" x14ac:dyDescent="0.25">
      <c r="ED225" s="25" t="s">
        <v>5768</v>
      </c>
      <c r="EE225">
        <v>1944.3478665886239</v>
      </c>
      <c r="EF225">
        <v>15.15473970551998</v>
      </c>
      <c r="EG225">
        <v>128.29965439</v>
      </c>
      <c r="EI225" s="32" t="s">
        <v>5547</v>
      </c>
      <c r="EJ225" s="32">
        <v>1.2125742703594394E-5</v>
      </c>
      <c r="EK225" s="32">
        <v>5.0872537292663924E-6</v>
      </c>
      <c r="EL225" s="32">
        <v>2.3835537499999999</v>
      </c>
      <c r="EN225" s="32" t="s">
        <v>4622</v>
      </c>
      <c r="EO225" s="32">
        <v>4687.6009097512051</v>
      </c>
      <c r="EP225" s="32">
        <v>64.531950850099193</v>
      </c>
      <c r="EQ225" s="32">
        <v>72.64</v>
      </c>
      <c r="EU225" t="str">
        <f>EN225</f>
        <v>Hocshild Minning Corp.</v>
      </c>
      <c r="EV225" s="18">
        <f>_xlfn.IFNA(INDEX($EJ$51:$EJ$251,MATCH($EU225,$EI$51:$EI$251,0),1),0)</f>
        <v>495.45931247999999</v>
      </c>
      <c r="EW225" s="18">
        <f>_xlfn.IFNA(INDEX($EK$51:$EK$251,MATCH($EU225,$EI$51:$EI$251,0),1),0)</f>
        <v>8.1409680000000009</v>
      </c>
      <c r="EX225" s="18">
        <f>_xlfn.IFNA(INDEX($EO$51:$EO$246,MATCH($EU225,$EN$51:$EN$246,0),1),0)</f>
        <v>4687.6009097512051</v>
      </c>
      <c r="EY225" s="18">
        <f>_xlfn.IFNA(INDEX($EP$51:$EP$246,MATCH($EU225,$EN$51:$EN$246,0),1),0)</f>
        <v>64.531950850099193</v>
      </c>
      <c r="EZ225" s="18">
        <f>_xlfn.IFNA(EX225-EV225,"")</f>
        <v>4192.1415972712048</v>
      </c>
      <c r="FA225" s="50">
        <f>EX225/EV225-1</f>
        <v>8.4611218150035832</v>
      </c>
      <c r="FB225" s="50">
        <f>_xlfn.IFNA(EY225/EW225-1,"")</f>
        <v>6.9268154413700174</v>
      </c>
      <c r="FC225" s="18">
        <f>-(_xlfn.IFNA(INDEX($EL$51:$EL$251,MATCH($EU225,$EI$51:$EI$251,0),1),0)-_xlfn.IFNA(INDEX($EQ$51:$EQ$246,MATCH($EU225,$EN$51:$EN$246,0),1),0))</f>
        <v>11.780000000000001</v>
      </c>
    </row>
    <row r="226" spans="134:159" x14ac:dyDescent="0.25">
      <c r="ED226" s="25" t="s">
        <v>4574</v>
      </c>
      <c r="EE226">
        <v>53.629655636378573</v>
      </c>
      <c r="EF226">
        <v>127.67051481919144</v>
      </c>
      <c r="EG226">
        <v>0.42006296999999998</v>
      </c>
      <c r="EI226" s="32" t="s">
        <v>5548</v>
      </c>
      <c r="EJ226" s="32">
        <v>4388.250212023484</v>
      </c>
      <c r="EK226" s="32">
        <v>20.142689000000004</v>
      </c>
      <c r="EL226" s="32">
        <v>217.85821207999999</v>
      </c>
      <c r="EN226" s="32" t="s">
        <v>4412</v>
      </c>
      <c r="EO226" s="32">
        <v>4.2026561293421139E-2</v>
      </c>
      <c r="EP226" s="32">
        <v>3.9843613115534532E-4</v>
      </c>
      <c r="EQ226" s="32">
        <v>105.47879072000001</v>
      </c>
      <c r="EU226" t="str">
        <f>EN226</f>
        <v>Arcano Fund - European Income Fund, ESG Selection</v>
      </c>
      <c r="EV226" s="18">
        <f>_xlfn.IFNA(INDEX($EJ$51:$EJ$251,MATCH($EU226,$EI$51:$EI$251,0),1),0)</f>
        <v>6414.8586591836438</v>
      </c>
      <c r="EW226" s="18">
        <f>_xlfn.IFNA(INDEX($EK$51:$EK$251,MATCH($EU226,$EI$51:$EI$251,0),1),0)</f>
        <v>59.909787895112743</v>
      </c>
      <c r="EX226" s="18">
        <f>_xlfn.IFNA(INDEX($EO$51:$EO$246,MATCH($EU226,$EN$51:$EN$246,0),1),0)</f>
        <v>4.2026561293421139E-2</v>
      </c>
      <c r="EY226" s="18">
        <f>_xlfn.IFNA(INDEX($EP$51:$EP$246,MATCH($EU226,$EN$51:$EN$246,0),1),0)</f>
        <v>3.9843613115534532E-4</v>
      </c>
      <c r="EZ226" s="18">
        <f>_xlfn.IFNA(EX226-EV226,"")</f>
        <v>-6414.81663262235</v>
      </c>
      <c r="FA226" s="50">
        <f>EX226/EV226-1</f>
        <v>-0.99999344856005001</v>
      </c>
      <c r="FB226" s="50">
        <f>_xlfn.IFNA(EY226/EW226-1,"")</f>
        <v>-0.99999334939840123</v>
      </c>
      <c r="FC226" s="18">
        <f>-(_xlfn.IFNA(INDEX($EL$51:$EL$251,MATCH($EU226,$EI$51:$EI$251,0),1),0)-_xlfn.IFNA(INDEX($EQ$51:$EQ$246,MATCH($EU226,$EN$51:$EN$246,0),1),0))</f>
        <v>-1.5965117399999968</v>
      </c>
    </row>
    <row r="227" spans="134:159" x14ac:dyDescent="0.25">
      <c r="ED227" s="25" t="s">
        <v>4521</v>
      </c>
      <c r="EE227">
        <v>45.079804858231434</v>
      </c>
      <c r="EF227">
        <v>70.246530640399996</v>
      </c>
      <c r="EG227">
        <v>0.64173709999999995</v>
      </c>
      <c r="EI227" s="32" t="s">
        <v>4600</v>
      </c>
      <c r="EJ227" s="32">
        <v>559.97056416884709</v>
      </c>
      <c r="EK227" s="32">
        <v>18.407600936382973</v>
      </c>
      <c r="EL227" s="32">
        <v>30.420616249999998</v>
      </c>
      <c r="EN227" s="32" t="s">
        <v>6031</v>
      </c>
      <c r="EO227" s="32">
        <v>2937.4566952774044</v>
      </c>
      <c r="EP227" s="32">
        <v>109.84310400000001</v>
      </c>
      <c r="EQ227" s="32">
        <v>26.742295039999998</v>
      </c>
      <c r="EU227" t="str">
        <f>EN227</f>
        <v>AIRR US - First Trust American Industrial Rennaisance</v>
      </c>
      <c r="EV227" s="18">
        <f>_xlfn.IFNA(INDEX($EJ$51:$EJ$251,MATCH($EU227,$EI$51:$EI$251,0),1),0)</f>
        <v>4843.7429520355981</v>
      </c>
      <c r="EW227" s="18">
        <f>_xlfn.IFNA(INDEX($EK$51:$EK$251,MATCH($EU227,$EI$51:$EI$251,0),1),0)</f>
        <v>134.27076</v>
      </c>
      <c r="EX227" s="18">
        <f>_xlfn.IFNA(INDEX($EO$51:$EO$246,MATCH($EU227,$EN$51:$EN$246,0),1),0)</f>
        <v>2937.4566952774044</v>
      </c>
      <c r="EY227" s="18">
        <f>_xlfn.IFNA(INDEX($EP$51:$EP$246,MATCH($EU227,$EN$51:$EN$246,0),1),0)</f>
        <v>109.84310400000001</v>
      </c>
      <c r="EZ227" s="18">
        <f>_xlfn.IFNA(EX227-EV227,"")</f>
        <v>-1906.2862567581938</v>
      </c>
      <c r="FA227" s="50">
        <f>EX227/EV227-1</f>
        <v>-0.39355644501264686</v>
      </c>
      <c r="FB227" s="50">
        <f>_xlfn.IFNA(EY227/EW227-1,"")</f>
        <v>-0.18192833644495632</v>
      </c>
      <c r="FC227" s="18">
        <f>-(_xlfn.IFNA(INDEX($EL$51:$EL$251,MATCH($EU227,$EI$51:$EI$251,0),1),0)-_xlfn.IFNA(INDEX($EQ$51:$EQ$246,MATCH($EU227,$EN$51:$EN$246,0),1),0))</f>
        <v>-9.3321485099999997</v>
      </c>
    </row>
    <row r="228" spans="134:159" x14ac:dyDescent="0.25">
      <c r="ED228" s="25" t="s">
        <v>4514</v>
      </c>
      <c r="EE228">
        <v>1570.7114924999398</v>
      </c>
      <c r="EF228">
        <v>7.3308666689999997</v>
      </c>
      <c r="EG228">
        <v>214.26</v>
      </c>
      <c r="EI228" s="32" t="s">
        <v>4417</v>
      </c>
      <c r="EJ228" s="32">
        <v>16.745243739065998</v>
      </c>
      <c r="EK228" s="32">
        <v>93.029131883699989</v>
      </c>
      <c r="EL228" s="32">
        <v>0.18</v>
      </c>
      <c r="EN228" s="32" t="s">
        <v>6639</v>
      </c>
      <c r="EO228" s="32">
        <v>250.46875</v>
      </c>
      <c r="EP228" s="32">
        <v>14.3125</v>
      </c>
      <c r="EQ228" s="32">
        <v>17.5</v>
      </c>
      <c r="EU228" t="str">
        <f>EN228</f>
        <v>Grupo Nutresa S.A.</v>
      </c>
      <c r="EV228" s="18">
        <f>_xlfn.IFNA(INDEX($EJ$51:$EJ$251,MATCH($EU228,$EI$51:$EI$251,0),1),0)</f>
        <v>0</v>
      </c>
      <c r="EW228" s="18">
        <f>_xlfn.IFNA(INDEX($EK$51:$EK$251,MATCH($EU228,$EI$51:$EI$251,0),1),0)</f>
        <v>0</v>
      </c>
      <c r="EX228" s="18">
        <f>_xlfn.IFNA(INDEX($EO$51:$EO$246,MATCH($EU228,$EN$51:$EN$246,0),1),0)</f>
        <v>250.46875</v>
      </c>
      <c r="EY228" s="18">
        <f>_xlfn.IFNA(INDEX($EP$51:$EP$246,MATCH($EU228,$EN$51:$EN$246,0),1),0)</f>
        <v>14.3125</v>
      </c>
      <c r="EZ228" s="18">
        <f>_xlfn.IFNA(EX228-EV228,"")</f>
        <v>250.46875</v>
      </c>
      <c r="FA228" s="50" t="e">
        <f>EX228/EV228-1</f>
        <v>#DIV/0!</v>
      </c>
      <c r="FB228" s="50" t="e">
        <f>_xlfn.IFNA(EY228/EW228-1,"")</f>
        <v>#DIV/0!</v>
      </c>
      <c r="FC228" s="18">
        <f>-(_xlfn.IFNA(INDEX($EL$51:$EL$251,MATCH($EU228,$EI$51:$EI$251,0),1),0)-_xlfn.IFNA(INDEX($EQ$51:$EQ$246,MATCH($EU228,$EN$51:$EN$246,0),1),0))</f>
        <v>17.5</v>
      </c>
    </row>
    <row r="229" spans="134:159" x14ac:dyDescent="0.25">
      <c r="ED229" s="25" t="s">
        <v>4622</v>
      </c>
      <c r="EE229">
        <v>4687.6009097512051</v>
      </c>
      <c r="EF229">
        <v>64.531950850099193</v>
      </c>
      <c r="EG229">
        <v>72.64</v>
      </c>
      <c r="EI229" s="32" t="s">
        <v>4585</v>
      </c>
      <c r="EJ229" s="32">
        <v>33.323081621421956</v>
      </c>
      <c r="EK229" s="32">
        <v>21.921156</v>
      </c>
      <c r="EL229" s="32">
        <v>1.5201334099999999</v>
      </c>
      <c r="EN229" s="32" t="s">
        <v>6627</v>
      </c>
      <c r="EO229" s="32">
        <v>78.036544779432475</v>
      </c>
      <c r="EP229" s="32">
        <v>19.49342206</v>
      </c>
      <c r="EQ229" s="32">
        <v>4.0032245</v>
      </c>
      <c r="EU229" t="str">
        <f>EN229</f>
        <v>Banco Davivienda S.A.</v>
      </c>
      <c r="EV229" s="18">
        <f>_xlfn.IFNA(INDEX($EJ$51:$EJ$251,MATCH($EU229,$EI$51:$EI$251,0),1),0)</f>
        <v>0</v>
      </c>
      <c r="EW229" s="18">
        <f>_xlfn.IFNA(INDEX($EK$51:$EK$251,MATCH($EU229,$EI$51:$EI$251,0),1),0)</f>
        <v>0</v>
      </c>
      <c r="EX229" s="18">
        <f>_xlfn.IFNA(INDEX($EO$51:$EO$246,MATCH($EU229,$EN$51:$EN$246,0),1),0)</f>
        <v>78.036544779432475</v>
      </c>
      <c r="EY229" s="18">
        <f>_xlfn.IFNA(INDEX($EP$51:$EP$246,MATCH($EU229,$EN$51:$EN$246,0),1),0)</f>
        <v>19.49342206</v>
      </c>
      <c r="EZ229" s="18">
        <f>_xlfn.IFNA(EX229-EV229,"")</f>
        <v>78.036544779432475</v>
      </c>
      <c r="FA229" s="50" t="e">
        <f>EX229/EV229-1</f>
        <v>#DIV/0!</v>
      </c>
      <c r="FB229" s="50" t="e">
        <f>_xlfn.IFNA(EY229/EW229-1,"")</f>
        <v>#DIV/0!</v>
      </c>
      <c r="FC229" s="18">
        <f>-(_xlfn.IFNA(INDEX($EL$51:$EL$251,MATCH($EU229,$EI$51:$EI$251,0),1),0)-_xlfn.IFNA(INDEX($EQ$51:$EQ$246,MATCH($EU229,$EN$51:$EN$246,0),1),0))</f>
        <v>4.0032245</v>
      </c>
    </row>
    <row r="230" spans="134:159" x14ac:dyDescent="0.25">
      <c r="ED230" s="25" t="s">
        <v>4412</v>
      </c>
      <c r="EE230">
        <v>4.2026561293421139E-2</v>
      </c>
      <c r="EF230">
        <v>3.9843613115534532E-4</v>
      </c>
      <c r="EG230">
        <v>105.47879072000001</v>
      </c>
      <c r="EI230" s="32" t="s">
        <v>4413</v>
      </c>
      <c r="EJ230" s="32">
        <v>0.12295230217699711</v>
      </c>
      <c r="EK230" s="32">
        <v>8.3135679995547144E-4</v>
      </c>
      <c r="EL230" s="32">
        <v>147.89354244</v>
      </c>
      <c r="EN230" s="32" t="s">
        <v>6640</v>
      </c>
      <c r="EO230" s="32">
        <v>0.85394800026239648</v>
      </c>
      <c r="EP230" s="32">
        <v>5.3371750016399782</v>
      </c>
      <c r="EQ230" s="32">
        <v>0.16</v>
      </c>
      <c r="EU230" t="str">
        <f>EN230</f>
        <v>Banco de Crédito e Inversiones</v>
      </c>
      <c r="EV230" s="18">
        <f>_xlfn.IFNA(INDEX($EJ$51:$EJ$251,MATCH($EU230,$EI$51:$EI$251,0),1),0)</f>
        <v>0.34916000000000003</v>
      </c>
      <c r="EW230" s="18">
        <f>_xlfn.IFNA(INDEX($EK$51:$EK$251,MATCH($EU230,$EI$51:$EI$251,0),1),0)</f>
        <v>1.7458</v>
      </c>
      <c r="EX230" s="18">
        <f>_xlfn.IFNA(INDEX($EO$51:$EO$246,MATCH($EU230,$EN$51:$EN$246,0),1),0)</f>
        <v>0.85394800026239648</v>
      </c>
      <c r="EY230" s="18">
        <f>_xlfn.IFNA(INDEX($EP$51:$EP$246,MATCH($EU230,$EN$51:$EN$246,0),1),0)</f>
        <v>5.3371750016399782</v>
      </c>
      <c r="EZ230" s="18">
        <f>_xlfn.IFNA(EX230-EV230,"")</f>
        <v>0.50478800026239645</v>
      </c>
      <c r="FA230" s="50">
        <f>EX230/EV230-1</f>
        <v>1.4457211601053856</v>
      </c>
      <c r="FB230" s="50">
        <f>_xlfn.IFNA(EY230/EW230-1,"")</f>
        <v>2.0571514501317321</v>
      </c>
      <c r="FC230" s="18">
        <f>-(_xlfn.IFNA(INDEX($EL$51:$EL$251,MATCH($EU230,$EI$51:$EI$251,0),1),0)-_xlfn.IFNA(INDEX($EQ$51:$EQ$246,MATCH($EU230,$EN$51:$EN$246,0),1),0))</f>
        <v>-4.0000000000000008E-2</v>
      </c>
    </row>
    <row r="231" spans="134:159" x14ac:dyDescent="0.25">
      <c r="ED231" s="25" t="s">
        <v>6031</v>
      </c>
      <c r="EE231">
        <v>2937.4566952774044</v>
      </c>
      <c r="EF231">
        <v>109.84310400000001</v>
      </c>
      <c r="EG231">
        <v>26.742295039999998</v>
      </c>
      <c r="EI231" s="32" t="s">
        <v>4586</v>
      </c>
      <c r="EJ231" s="32">
        <v>155.91089437839821</v>
      </c>
      <c r="EK231" s="32">
        <v>147.08411899999999</v>
      </c>
      <c r="EL231" s="32">
        <v>1.0600117499999999</v>
      </c>
      <c r="EN231" s="32" t="s">
        <v>6641</v>
      </c>
      <c r="EO231" s="32">
        <v>5292.7916682132318</v>
      </c>
      <c r="EP231" s="32">
        <v>17.929336013567795</v>
      </c>
      <c r="EQ231" s="32">
        <v>295.20288226000002</v>
      </c>
      <c r="EU231" t="str">
        <f>EN231</f>
        <v>Pluz Energía Perú S.A.A</v>
      </c>
      <c r="EV231" s="18">
        <f>_xlfn.IFNA(INDEX($EJ$51:$EJ$251,MATCH($EU231,$EI$51:$EI$251,0),1),0)</f>
        <v>0</v>
      </c>
      <c r="EW231" s="18">
        <f>_xlfn.IFNA(INDEX($EK$51:$EK$251,MATCH($EU231,$EI$51:$EI$251,0),1),0)</f>
        <v>0</v>
      </c>
      <c r="EX231" s="18">
        <f>_xlfn.IFNA(INDEX($EO$51:$EO$246,MATCH($EU231,$EN$51:$EN$246,0),1),0)</f>
        <v>5292.7916682132318</v>
      </c>
      <c r="EY231" s="18">
        <f>_xlfn.IFNA(INDEX($EP$51:$EP$246,MATCH($EU231,$EN$51:$EN$246,0),1),0)</f>
        <v>17.929336013567795</v>
      </c>
      <c r="EZ231" s="18">
        <f>_xlfn.IFNA(EX231-EV231,"")</f>
        <v>5292.7916682132318</v>
      </c>
      <c r="FA231" s="50" t="e">
        <f>EX231/EV231-1</f>
        <v>#DIV/0!</v>
      </c>
      <c r="FB231" s="50" t="e">
        <f>_xlfn.IFNA(EY231/EW231-1,"")</f>
        <v>#DIV/0!</v>
      </c>
      <c r="FC231" s="18">
        <f>-(_xlfn.IFNA(INDEX($EL$51:$EL$251,MATCH($EU231,$EI$51:$EI$251,0),1),0)-_xlfn.IFNA(INDEX($EQ$51:$EQ$246,MATCH($EU231,$EN$51:$EN$246,0),1),0))</f>
        <v>295.20288226000002</v>
      </c>
    </row>
    <row r="232" spans="134:159" x14ac:dyDescent="0.25">
      <c r="ED232" s="25" t="s">
        <v>6639</v>
      </c>
      <c r="EE232">
        <v>250.46875</v>
      </c>
      <c r="EF232">
        <v>14.3125</v>
      </c>
      <c r="EG232">
        <v>17.5</v>
      </c>
      <c r="EI232" s="32" t="s">
        <v>1546</v>
      </c>
      <c r="EJ232" s="32">
        <v>1400.9038613805697</v>
      </c>
      <c r="EK232" s="32">
        <v>247.52749599999999</v>
      </c>
      <c r="EL232" s="32">
        <v>5.6595888700000003</v>
      </c>
      <c r="EN232" s="32" t="s">
        <v>6642</v>
      </c>
      <c r="EO232" s="32">
        <v>539.31991254410093</v>
      </c>
      <c r="EP232" s="32">
        <v>16.311205760709335</v>
      </c>
      <c r="EQ232" s="32">
        <v>33.06438043</v>
      </c>
      <c r="EU232" t="str">
        <f>EN232</f>
        <v>Puerto Chancay B</v>
      </c>
      <c r="EV232" s="18">
        <f>_xlfn.IFNA(INDEX($EJ$51:$EJ$251,MATCH($EU232,$EI$51:$EI$251,0),1),0)</f>
        <v>503.22203438595579</v>
      </c>
      <c r="EW232" s="18">
        <f>_xlfn.IFNA(INDEX($EK$51:$EK$251,MATCH($EU232,$EI$51:$EI$251,0),1),0)</f>
        <v>15.401633960581155</v>
      </c>
      <c r="EX232" s="18">
        <f>_xlfn.IFNA(INDEX($EO$51:$EO$246,MATCH($EU232,$EN$51:$EN$246,0),1),0)</f>
        <v>539.31991254410093</v>
      </c>
      <c r="EY232" s="18">
        <f>_xlfn.IFNA(INDEX($EP$51:$EP$246,MATCH($EU232,$EN$51:$EN$246,0),1),0)</f>
        <v>16.311205760709335</v>
      </c>
      <c r="EZ232" s="18">
        <f>_xlfn.IFNA(EX232-EV232,"")</f>
        <v>36.097878158145136</v>
      </c>
      <c r="FA232" s="50">
        <f>EX232/EV232-1</f>
        <v>7.1733500704500575E-2</v>
      </c>
      <c r="FB232" s="50">
        <f>_xlfn.IFNA(EY232/EW232-1,"")</f>
        <v>5.9056837895000713E-2</v>
      </c>
      <c r="FC232" s="18">
        <f>-(_xlfn.IFNA(INDEX($EL$51:$EL$251,MATCH($EU232,$EI$51:$EI$251,0),1),0)-_xlfn.IFNA(INDEX($EQ$51:$EQ$246,MATCH($EU232,$EN$51:$EN$246,0),1),0))</f>
        <v>0.39109162999999825</v>
      </c>
    </row>
    <row r="233" spans="134:159" x14ac:dyDescent="0.25">
      <c r="ED233" s="25" t="s">
        <v>6627</v>
      </c>
      <c r="EE233">
        <v>78.036544779432475</v>
      </c>
      <c r="EF233">
        <v>19.49342206</v>
      </c>
      <c r="EG233">
        <v>4.0032245</v>
      </c>
      <c r="EI233" s="32" t="s">
        <v>5766</v>
      </c>
      <c r="EJ233" s="32">
        <v>10202.289021304983</v>
      </c>
      <c r="EK233" s="32">
        <v>81.632324182559969</v>
      </c>
      <c r="EL233" s="32">
        <v>124.97854402</v>
      </c>
      <c r="EN233" s="32" t="s">
        <v>6643</v>
      </c>
      <c r="EO233" s="32">
        <v>1.1019081325996318E-2</v>
      </c>
      <c r="EP233" s="32">
        <v>3.3326138831860514E-4</v>
      </c>
      <c r="EQ233" s="32">
        <v>33.06438043</v>
      </c>
      <c r="EU233" t="str">
        <f>EN233</f>
        <v>Puerto Chancay A</v>
      </c>
      <c r="EV233" s="18">
        <f>_xlfn.IFNA(INDEX($EJ$51:$EJ$251,MATCH($EU233,$EI$51:$EI$251,0),1),0)</f>
        <v>1.456899692505831E-2</v>
      </c>
      <c r="EW233" s="18">
        <f>_xlfn.IFNA(INDEX($EK$51:$EK$251,MATCH($EU233,$EI$51:$EI$251,0),1),0)</f>
        <v>4.4589930980741402E-4</v>
      </c>
      <c r="EX233" s="18">
        <f>_xlfn.IFNA(INDEX($EO$51:$EO$246,MATCH($EU233,$EN$51:$EN$246,0),1),0)</f>
        <v>1.1019081325996318E-2</v>
      </c>
      <c r="EY233" s="18">
        <f>_xlfn.IFNA(INDEX($EP$51:$EP$246,MATCH($EU233,$EN$51:$EN$246,0),1),0)</f>
        <v>3.3326138831860514E-4</v>
      </c>
      <c r="EZ233" s="18">
        <f>_xlfn.IFNA(EX233-EV233,"")</f>
        <v>-3.5499155990619917E-3</v>
      </c>
      <c r="FA233" s="50">
        <f>EX233/EV233-1</f>
        <v>-0.24366232056485826</v>
      </c>
      <c r="FB233" s="50">
        <f>_xlfn.IFNA(EY233/EW233-1,"")</f>
        <v>-0.25260842304837328</v>
      </c>
      <c r="FC233" s="18">
        <f>-(_xlfn.IFNA(INDEX($EL$51:$EL$251,MATCH($EU233,$EI$51:$EI$251,0),1),0)-_xlfn.IFNA(INDEX($EQ$51:$EQ$246,MATCH($EU233,$EN$51:$EN$246,0),1),0))</f>
        <v>0.39109162999999825</v>
      </c>
    </row>
    <row r="234" spans="134:159" x14ac:dyDescent="0.25">
      <c r="ED234" s="25" t="s">
        <v>6640</v>
      </c>
      <c r="EE234">
        <v>0.85394800026239648</v>
      </c>
      <c r="EF234">
        <v>5.3371750016399782</v>
      </c>
      <c r="EG234">
        <v>0.16</v>
      </c>
      <c r="EI234" s="32" t="s">
        <v>5767</v>
      </c>
      <c r="EJ234" s="32">
        <v>5646.7675430527197</v>
      </c>
      <c r="EK234" s="32">
        <v>60.954948000000002</v>
      </c>
      <c r="EL234" s="32">
        <v>92.638378479999986</v>
      </c>
      <c r="EN234" s="32" t="s">
        <v>5555</v>
      </c>
      <c r="EO234" s="32">
        <v>137.31514531304373</v>
      </c>
      <c r="EP234" s="32">
        <v>44.215998199999973</v>
      </c>
      <c r="EQ234" s="32">
        <v>3.10555344</v>
      </c>
      <c r="EU234" t="str">
        <f>EN234</f>
        <v>AUNA SA</v>
      </c>
      <c r="EV234" s="18">
        <f>_xlfn.IFNA(INDEX($EJ$51:$EJ$251,MATCH($EU234,$EI$51:$EI$251,0),1),0)</f>
        <v>184.93236108095203</v>
      </c>
      <c r="EW234" s="18">
        <f>_xlfn.IFNA(INDEX($EK$51:$EK$251,MATCH($EU234,$EI$51:$EI$251,0),1),0)</f>
        <v>56.318008583899974</v>
      </c>
      <c r="EX234" s="18">
        <f>_xlfn.IFNA(INDEX($EO$51:$EO$246,MATCH($EU234,$EN$51:$EN$246,0),1),0)</f>
        <v>137.31514531304373</v>
      </c>
      <c r="EY234" s="18">
        <f>_xlfn.IFNA(INDEX($EP$51:$EP$246,MATCH($EU234,$EN$51:$EN$246,0),1),0)</f>
        <v>44.215998199999973</v>
      </c>
      <c r="EZ234" s="18">
        <f>_xlfn.IFNA(EX234-EV234,"")</f>
        <v>-47.617215767908306</v>
      </c>
      <c r="FA234" s="50">
        <f>EX234/EV234-1</f>
        <v>-0.25748449589666145</v>
      </c>
      <c r="FB234" s="50">
        <f>_xlfn.IFNA(EY234/EW234-1,"")</f>
        <v>-0.21488704391723978</v>
      </c>
      <c r="FC234" s="18">
        <f>-(_xlfn.IFNA(INDEX($EL$51:$EL$251,MATCH($EU234,$EI$51:$EI$251,0),1),0)-_xlfn.IFNA(INDEX($EQ$51:$EQ$246,MATCH($EU234,$EN$51:$EN$246,0),1),0))</f>
        <v>-0.17816283000000066</v>
      </c>
    </row>
    <row r="235" spans="134:159" x14ac:dyDescent="0.25">
      <c r="ED235" s="25" t="s">
        <v>6641</v>
      </c>
      <c r="EE235">
        <v>5292.7916682132318</v>
      </c>
      <c r="EF235">
        <v>17.929336013567795</v>
      </c>
      <c r="EG235">
        <v>295.20288226000002</v>
      </c>
      <c r="EI235" s="32" t="s">
        <v>5768</v>
      </c>
      <c r="EJ235" s="32">
        <v>2428.3474207619197</v>
      </c>
      <c r="EK235" s="32">
        <v>19.780944841759965</v>
      </c>
      <c r="EL235" s="32">
        <v>122.76195299</v>
      </c>
      <c r="EN235" s="32" t="s">
        <v>6644</v>
      </c>
      <c r="EO235" s="32">
        <v>1146.3779940000002</v>
      </c>
      <c r="EP235" s="32">
        <v>13.458299999999999</v>
      </c>
      <c r="EQ235" s="32">
        <v>85.18</v>
      </c>
      <c r="EU235" t="str">
        <f>EN235</f>
        <v>HudBays Minerals Inc.</v>
      </c>
      <c r="EV235" s="18">
        <f>_xlfn.IFNA(INDEX($EJ$51:$EJ$251,MATCH($EU235,$EI$51:$EI$251,0),1),0)</f>
        <v>0</v>
      </c>
      <c r="EW235" s="18">
        <f>_xlfn.IFNA(INDEX($EK$51:$EK$251,MATCH($EU235,$EI$51:$EI$251,0),1),0)</f>
        <v>0</v>
      </c>
      <c r="EX235" s="18">
        <f>_xlfn.IFNA(INDEX($EO$51:$EO$246,MATCH($EU235,$EN$51:$EN$246,0),1),0)</f>
        <v>1146.3779940000002</v>
      </c>
      <c r="EY235" s="18">
        <f>_xlfn.IFNA(INDEX($EP$51:$EP$246,MATCH($EU235,$EN$51:$EN$246,0),1),0)</f>
        <v>13.458299999999999</v>
      </c>
      <c r="EZ235" s="18">
        <f>_xlfn.IFNA(EX235-EV235,"")</f>
        <v>1146.3779940000002</v>
      </c>
      <c r="FA235" s="50" t="e">
        <f>EX235/EV235-1</f>
        <v>#DIV/0!</v>
      </c>
      <c r="FB235" s="50" t="e">
        <f>_xlfn.IFNA(EY235/EW235-1,"")</f>
        <v>#DIV/0!</v>
      </c>
      <c r="FC235" s="18">
        <f>-(_xlfn.IFNA(INDEX($EL$51:$EL$251,MATCH($EU235,$EI$51:$EI$251,0),1),0)-_xlfn.IFNA(INDEX($EQ$51:$EQ$246,MATCH($EU235,$EN$51:$EN$246,0),1),0))</f>
        <v>85.18</v>
      </c>
    </row>
    <row r="236" spans="134:159" x14ac:dyDescent="0.25">
      <c r="ED236" s="25" t="s">
        <v>6642</v>
      </c>
      <c r="EE236">
        <v>539.31991254410093</v>
      </c>
      <c r="EF236">
        <v>16.311205760709335</v>
      </c>
      <c r="EG236">
        <v>33.06438043</v>
      </c>
      <c r="EI236" t="s">
        <v>4574</v>
      </c>
      <c r="EJ236">
        <v>32.121082839121044</v>
      </c>
      <c r="EK236">
        <v>82.365493219643326</v>
      </c>
      <c r="EL236">
        <v>0.38998228000000007</v>
      </c>
      <c r="EN236" s="32" t="s">
        <v>6645</v>
      </c>
      <c r="EO236" s="32">
        <v>6319.3866801252398</v>
      </c>
      <c r="EP236" s="32">
        <v>146.9171402195</v>
      </c>
      <c r="EQ236" s="32">
        <v>43.013270409999997</v>
      </c>
      <c r="EU236" t="str">
        <f>EN236</f>
        <v>Vontobel - Credit Opportunities</v>
      </c>
      <c r="EV236" s="18">
        <f>_xlfn.IFNA(INDEX($EJ$51:$EJ$251,MATCH($EU236,$EI$51:$EI$251,0),1),0)</f>
        <v>0</v>
      </c>
      <c r="EW236" s="18">
        <f>_xlfn.IFNA(INDEX($EK$51:$EK$251,MATCH($EU236,$EI$51:$EI$251,0),1),0)</f>
        <v>0</v>
      </c>
      <c r="EX236" s="18">
        <f>_xlfn.IFNA(INDEX($EO$51:$EO$246,MATCH($EU236,$EN$51:$EN$246,0),1),0)</f>
        <v>6319.3866801252398</v>
      </c>
      <c r="EY236" s="18">
        <f>_xlfn.IFNA(INDEX($EP$51:$EP$246,MATCH($EU236,$EN$51:$EN$246,0),1),0)</f>
        <v>146.9171402195</v>
      </c>
      <c r="EZ236" s="18">
        <f>_xlfn.IFNA(EX236-EV236,"")</f>
        <v>6319.3866801252398</v>
      </c>
      <c r="FA236" s="50" t="e">
        <f>EX236/EV236-1</f>
        <v>#DIV/0!</v>
      </c>
      <c r="FB236" s="50" t="e">
        <f>_xlfn.IFNA(EY236/EW236-1,"")</f>
        <v>#DIV/0!</v>
      </c>
      <c r="FC236" s="18">
        <f>-(_xlfn.IFNA(INDEX($EL$51:$EL$251,MATCH($EU236,$EI$51:$EI$251,0),1),0)-_xlfn.IFNA(INDEX($EQ$51:$EQ$246,MATCH($EU236,$EN$51:$EN$246,0),1),0))</f>
        <v>43.013270409999997</v>
      </c>
    </row>
    <row r="237" spans="134:159" x14ac:dyDescent="0.25">
      <c r="ED237" s="25" t="s">
        <v>6643</v>
      </c>
      <c r="EE237">
        <v>1.1019081325996318E-2</v>
      </c>
      <c r="EF237">
        <v>3.3326138831860514E-4</v>
      </c>
      <c r="EG237">
        <v>33.06438043</v>
      </c>
      <c r="EI237" t="s">
        <v>4521</v>
      </c>
      <c r="EJ237">
        <v>40.091697419393185</v>
      </c>
      <c r="EK237">
        <v>58.921256433399982</v>
      </c>
      <c r="EL237">
        <v>0.68042842000000003</v>
      </c>
      <c r="EN237" s="32" t="s">
        <v>6646</v>
      </c>
      <c r="EO237" s="32">
        <v>3250.5337798566952</v>
      </c>
      <c r="EP237" s="32">
        <v>30.816942038001162</v>
      </c>
      <c r="EQ237" s="32">
        <v>105.47879072000001</v>
      </c>
      <c r="EU237" t="str">
        <f>EN237</f>
        <v>Arcano Fund - European Income Fund - ESG Selection</v>
      </c>
      <c r="EV237" s="18">
        <f>_xlfn.IFNA(INDEX($EJ$51:$EJ$251,MATCH($EU237,$EI$51:$EI$251,0),1),0)</f>
        <v>0</v>
      </c>
      <c r="EW237" s="18">
        <f>_xlfn.IFNA(INDEX($EK$51:$EK$251,MATCH($EU237,$EI$51:$EI$251,0),1),0)</f>
        <v>0</v>
      </c>
      <c r="EX237" s="18">
        <f>_xlfn.IFNA(INDEX($EO$51:$EO$246,MATCH($EU237,$EN$51:$EN$246,0),1),0)</f>
        <v>3250.5337798566952</v>
      </c>
      <c r="EY237" s="18">
        <f>_xlfn.IFNA(INDEX($EP$51:$EP$246,MATCH($EU237,$EN$51:$EN$246,0),1),0)</f>
        <v>30.816942038001162</v>
      </c>
      <c r="EZ237" s="18">
        <f>_xlfn.IFNA(EX237-EV237,"")</f>
        <v>3250.5337798566952</v>
      </c>
      <c r="FA237" s="50" t="e">
        <f>EX237/EV237-1</f>
        <v>#DIV/0!</v>
      </c>
      <c r="FB237" s="50" t="e">
        <f>_xlfn.IFNA(EY237/EW237-1,"")</f>
        <v>#DIV/0!</v>
      </c>
      <c r="FC237" s="18">
        <f>-(_xlfn.IFNA(INDEX($EL$51:$EL$251,MATCH($EU237,$EI$51:$EI$251,0),1),0)-_xlfn.IFNA(INDEX($EQ$51:$EQ$246,MATCH($EU237,$EN$51:$EN$246,0),1),0))</f>
        <v>105.47879072000001</v>
      </c>
    </row>
    <row r="238" spans="134:159" x14ac:dyDescent="0.25">
      <c r="ED238" s="25" t="s">
        <v>5555</v>
      </c>
      <c r="EE238">
        <v>137.31514531304373</v>
      </c>
      <c r="EF238">
        <v>44.215998199999973</v>
      </c>
      <c r="EG238">
        <v>3.10555344</v>
      </c>
      <c r="EI238" t="s">
        <v>4514</v>
      </c>
      <c r="EJ238">
        <v>1528.8872255143199</v>
      </c>
      <c r="EK238">
        <v>7.135663332</v>
      </c>
      <c r="EL238">
        <v>214.26</v>
      </c>
      <c r="EN238" s="32" t="s">
        <v>6647</v>
      </c>
      <c r="EO238" s="32">
        <v>3099.3160305631377</v>
      </c>
      <c r="EP238" s="32">
        <v>17.875135879999998</v>
      </c>
      <c r="EQ238" s="32">
        <v>173.38699137</v>
      </c>
      <c r="EU238" t="str">
        <f>EN238</f>
        <v>JP Morgan - Korea Equity Fund</v>
      </c>
      <c r="EV238" s="18">
        <f>_xlfn.IFNA(INDEX($EJ$51:$EJ$251,MATCH($EU238,$EI$51:$EI$251,0),1),0)</f>
        <v>0</v>
      </c>
      <c r="EW238" s="18">
        <f>_xlfn.IFNA(INDEX($EK$51:$EK$251,MATCH($EU238,$EI$51:$EI$251,0),1),0)</f>
        <v>0</v>
      </c>
      <c r="EX238" s="18">
        <f>_xlfn.IFNA(INDEX($EO$51:$EO$246,MATCH($EU238,$EN$51:$EN$246,0),1),0)</f>
        <v>3099.3160305631377</v>
      </c>
      <c r="EY238" s="18">
        <f>_xlfn.IFNA(INDEX($EP$51:$EP$246,MATCH($EU238,$EN$51:$EN$246,0),1),0)</f>
        <v>17.875135879999998</v>
      </c>
      <c r="EZ238" s="18">
        <f>_xlfn.IFNA(EX238-EV238,"")</f>
        <v>3099.3160305631377</v>
      </c>
      <c r="FA238" s="50" t="e">
        <f>EX238/EV238-1</f>
        <v>#DIV/0!</v>
      </c>
      <c r="FB238" s="50" t="e">
        <f>_xlfn.IFNA(EY238/EW238-1,"")</f>
        <v>#DIV/0!</v>
      </c>
      <c r="FC238" s="18">
        <f>-(_xlfn.IFNA(INDEX($EL$51:$EL$251,MATCH($EU238,$EI$51:$EI$251,0),1),0)-_xlfn.IFNA(INDEX($EQ$51:$EQ$246,MATCH($EU238,$EN$51:$EN$246,0),1),0))</f>
        <v>173.38699137</v>
      </c>
    </row>
    <row r="239" spans="134:159" x14ac:dyDescent="0.25">
      <c r="ED239" s="25" t="s">
        <v>6644</v>
      </c>
      <c r="EE239">
        <v>1146.3779940000002</v>
      </c>
      <c r="EF239">
        <v>13.458299999999999</v>
      </c>
      <c r="EG239">
        <v>85.18</v>
      </c>
      <c r="EI239" t="s">
        <v>4622</v>
      </c>
      <c r="EJ239">
        <v>495.45931247999999</v>
      </c>
      <c r="EK239">
        <v>8.1409680000000009</v>
      </c>
      <c r="EL239">
        <v>60.86</v>
      </c>
      <c r="EN239" s="32" t="s">
        <v>6648</v>
      </c>
      <c r="EO239" s="32">
        <v>953.31985296729999</v>
      </c>
      <c r="EP239" s="32">
        <v>17.1587</v>
      </c>
      <c r="EQ239" s="32">
        <v>55.558979000000001</v>
      </c>
      <c r="EU239" t="str">
        <f>EN239</f>
        <v>BlackRock - iShares Convertible Bond ETF</v>
      </c>
      <c r="EV239" s="18">
        <f>_xlfn.IFNA(INDEX($EJ$51:$EJ$251,MATCH($EU239,$EI$51:$EI$251,0),1),0)</f>
        <v>0</v>
      </c>
      <c r="EW239" s="18">
        <f>_xlfn.IFNA(INDEX($EK$51:$EK$251,MATCH($EU239,$EI$51:$EI$251,0),1),0)</f>
        <v>0</v>
      </c>
      <c r="EX239" s="18">
        <f>_xlfn.IFNA(INDEX($EO$51:$EO$246,MATCH($EU239,$EN$51:$EN$246,0),1),0)</f>
        <v>953.31985296729999</v>
      </c>
      <c r="EY239" s="18">
        <f>_xlfn.IFNA(INDEX($EP$51:$EP$246,MATCH($EU239,$EN$51:$EN$246,0),1),0)</f>
        <v>17.1587</v>
      </c>
      <c r="EZ239" s="18">
        <f>_xlfn.IFNA(EX239-EV239,"")</f>
        <v>953.31985296729999</v>
      </c>
      <c r="FA239" s="50" t="e">
        <f>EX239/EV239-1</f>
        <v>#DIV/0!</v>
      </c>
      <c r="FB239" s="50" t="e">
        <f>_xlfn.IFNA(EY239/EW239-1,"")</f>
        <v>#DIV/0!</v>
      </c>
      <c r="FC239" s="18">
        <f>-(_xlfn.IFNA(INDEX($EL$51:$EL$251,MATCH($EU239,$EI$51:$EI$251,0),1),0)-_xlfn.IFNA(INDEX($EQ$51:$EQ$246,MATCH($EU239,$EN$51:$EN$246,0),1),0))</f>
        <v>55.558979000000001</v>
      </c>
    </row>
    <row r="240" spans="134:159" x14ac:dyDescent="0.25">
      <c r="ED240" s="25" t="s">
        <v>6645</v>
      </c>
      <c r="EE240">
        <v>6319.3866801252398</v>
      </c>
      <c r="EF240">
        <v>146.9171402195</v>
      </c>
      <c r="EG240">
        <v>43.013270409999997</v>
      </c>
      <c r="EI240" t="s">
        <v>4412</v>
      </c>
      <c r="EJ240">
        <v>6414.8586591836438</v>
      </c>
      <c r="EK240">
        <v>59.909787895112743</v>
      </c>
      <c r="EL240">
        <v>107.07530246</v>
      </c>
      <c r="EN240" s="32" t="s">
        <v>6649</v>
      </c>
      <c r="EO240" s="32">
        <v>3028.7189015678587</v>
      </c>
      <c r="EP240" s="32">
        <v>45.768959999999993</v>
      </c>
      <c r="EQ240" s="32">
        <v>66.174081770000001</v>
      </c>
      <c r="EU240" t="str">
        <f>EN240</f>
        <v>Global X - Silvers Miners ETF</v>
      </c>
      <c r="EV240" s="18">
        <f>_xlfn.IFNA(INDEX($EJ$51:$EJ$251,MATCH($EU240,$EI$51:$EI$251,0),1),0)</f>
        <v>0</v>
      </c>
      <c r="EW240" s="18">
        <f>_xlfn.IFNA(INDEX($EK$51:$EK$251,MATCH($EU240,$EI$51:$EI$251,0),1),0)</f>
        <v>0</v>
      </c>
      <c r="EX240" s="18">
        <f>_xlfn.IFNA(INDEX($EO$51:$EO$246,MATCH($EU240,$EN$51:$EN$246,0),1),0)</f>
        <v>3028.7189015678587</v>
      </c>
      <c r="EY240" s="18">
        <f>_xlfn.IFNA(INDEX($EP$51:$EP$246,MATCH($EU240,$EN$51:$EN$246,0),1),0)</f>
        <v>45.768959999999993</v>
      </c>
      <c r="EZ240" s="18">
        <f>_xlfn.IFNA(EX240-EV240,"")</f>
        <v>3028.7189015678587</v>
      </c>
      <c r="FA240" s="50" t="e">
        <f>EX240/EV240-1</f>
        <v>#DIV/0!</v>
      </c>
      <c r="FB240" s="50" t="e">
        <f>_xlfn.IFNA(EY240/EW240-1,"")</f>
        <v>#DIV/0!</v>
      </c>
      <c r="FC240" s="18">
        <f>-(_xlfn.IFNA(INDEX($EL$51:$EL$251,MATCH($EU240,$EI$51:$EI$251,0),1),0)-_xlfn.IFNA(INDEX($EQ$51:$EQ$246,MATCH($EU240,$EN$51:$EN$246,0),1),0))</f>
        <v>66.174081770000001</v>
      </c>
    </row>
    <row r="241" spans="134:159" x14ac:dyDescent="0.25">
      <c r="ED241" s="25" t="s">
        <v>6646</v>
      </c>
      <c r="EE241">
        <v>3250.5337798566952</v>
      </c>
      <c r="EF241">
        <v>30.816942038001162</v>
      </c>
      <c r="EG241">
        <v>105.47879072000001</v>
      </c>
      <c r="EI241" t="s">
        <v>4419</v>
      </c>
      <c r="EJ241">
        <v>880.991977061532</v>
      </c>
      <c r="EK241">
        <v>18.212879999999998</v>
      </c>
      <c r="EL241">
        <v>48.371920150000001</v>
      </c>
      <c r="EN241" s="32" t="s">
        <v>6650</v>
      </c>
      <c r="EO241" s="32">
        <v>258.81327569240381</v>
      </c>
      <c r="EP241" s="32">
        <v>3.7645129999999996</v>
      </c>
      <c r="EQ241" s="32">
        <v>68.750798759999995</v>
      </c>
      <c r="EU241" t="str">
        <f>EN241</f>
        <v>Global X - Uranium Miners ETF</v>
      </c>
      <c r="EV241" s="18">
        <f>_xlfn.IFNA(INDEX($EJ$51:$EJ$251,MATCH($EU241,$EI$51:$EI$251,0),1),0)</f>
        <v>0</v>
      </c>
      <c r="EW241" s="18">
        <f>_xlfn.IFNA(INDEX($EK$51:$EK$251,MATCH($EU241,$EI$51:$EI$251,0),1),0)</f>
        <v>0</v>
      </c>
      <c r="EX241" s="18">
        <f>_xlfn.IFNA(INDEX($EO$51:$EO$246,MATCH($EU241,$EN$51:$EN$246,0),1),0)</f>
        <v>258.81327569240381</v>
      </c>
      <c r="EY241" s="18">
        <f>_xlfn.IFNA(INDEX($EP$51:$EP$246,MATCH($EU241,$EN$51:$EN$246,0),1),0)</f>
        <v>3.7645129999999996</v>
      </c>
      <c r="EZ241" s="18">
        <f>_xlfn.IFNA(EX241-EV241,"")</f>
        <v>258.81327569240381</v>
      </c>
      <c r="FA241" s="50" t="e">
        <f>EX241/EV241-1</f>
        <v>#DIV/0!</v>
      </c>
      <c r="FB241" s="50" t="e">
        <f>_xlfn.IFNA(EY241/EW241-1,"")</f>
        <v>#DIV/0!</v>
      </c>
      <c r="FC241" s="18">
        <f>-(_xlfn.IFNA(INDEX($EL$51:$EL$251,MATCH($EU241,$EI$51:$EI$251,0),1),0)-_xlfn.IFNA(INDEX($EQ$51:$EQ$246,MATCH($EU241,$EN$51:$EN$246,0),1),0))</f>
        <v>68.750798759999995</v>
      </c>
    </row>
    <row r="242" spans="134:159" x14ac:dyDescent="0.25">
      <c r="ED242" s="25" t="s">
        <v>6647</v>
      </c>
      <c r="EE242">
        <v>3099.3160305631377</v>
      </c>
      <c r="EF242">
        <v>17.875135879999998</v>
      </c>
      <c r="EG242">
        <v>173.38699137</v>
      </c>
      <c r="EI242" t="s">
        <v>6030</v>
      </c>
      <c r="EJ242">
        <v>8176.9497777971001</v>
      </c>
      <c r="EK242">
        <v>33.899128000000005</v>
      </c>
      <c r="EL242">
        <v>241.21416273</v>
      </c>
      <c r="EN242" s="32" t="s">
        <v>6651</v>
      </c>
      <c r="EO242" s="32">
        <v>395.64709126743207</v>
      </c>
      <c r="EP242" s="32">
        <v>1.910469</v>
      </c>
      <c r="EQ242" s="32">
        <v>207.09422203</v>
      </c>
      <c r="EU242" t="str">
        <f>EN242</f>
        <v>Global X - Argentina ETF</v>
      </c>
      <c r="EV242" s="18">
        <f>_xlfn.IFNA(INDEX($EJ$51:$EJ$251,MATCH($EU242,$EI$51:$EI$251,0),1),0)</f>
        <v>0</v>
      </c>
      <c r="EW242" s="18">
        <f>_xlfn.IFNA(INDEX($EK$51:$EK$251,MATCH($EU242,$EI$51:$EI$251,0),1),0)</f>
        <v>0</v>
      </c>
      <c r="EX242" s="18">
        <f>_xlfn.IFNA(INDEX($EO$51:$EO$246,MATCH($EU242,$EN$51:$EN$246,0),1),0)</f>
        <v>395.64709126743207</v>
      </c>
      <c r="EY242" s="18">
        <f>_xlfn.IFNA(INDEX($EP$51:$EP$246,MATCH($EU242,$EN$51:$EN$246,0),1),0)</f>
        <v>1.910469</v>
      </c>
      <c r="EZ242" s="18">
        <f>_xlfn.IFNA(EX242-EV242,"")</f>
        <v>395.64709126743207</v>
      </c>
      <c r="FA242" s="50" t="e">
        <f>EX242/EV242-1</f>
        <v>#DIV/0!</v>
      </c>
      <c r="FB242" s="50" t="e">
        <f>_xlfn.IFNA(EY242/EW242-1,"")</f>
        <v>#DIV/0!</v>
      </c>
      <c r="FC242" s="18">
        <f>-(_xlfn.IFNA(INDEX($EL$51:$EL$251,MATCH($EU242,$EI$51:$EI$251,0),1),0)-_xlfn.IFNA(INDEX($EQ$51:$EQ$246,MATCH($EU242,$EN$51:$EN$246,0),1),0))</f>
        <v>207.09422203</v>
      </c>
    </row>
    <row r="243" spans="134:159" x14ac:dyDescent="0.25">
      <c r="ED243" s="25" t="s">
        <v>6648</v>
      </c>
      <c r="EE243">
        <v>953.31985296729999</v>
      </c>
      <c r="EF243">
        <v>17.1587</v>
      </c>
      <c r="EG243">
        <v>55.558979000000001</v>
      </c>
      <c r="EI243" t="s">
        <v>6031</v>
      </c>
      <c r="EJ243">
        <v>4843.7429520355981</v>
      </c>
      <c r="EK243">
        <v>134.27076</v>
      </c>
      <c r="EL243">
        <v>36.074443549999998</v>
      </c>
      <c r="EN243" s="32" t="s">
        <v>6652</v>
      </c>
      <c r="EO243" s="32">
        <v>1.5121953954282006E-3</v>
      </c>
      <c r="EP243" s="32">
        <v>7.2048816090928026E-6</v>
      </c>
      <c r="EQ243" s="32">
        <v>209.88483607000001</v>
      </c>
      <c r="EU243" t="str">
        <f>EN243</f>
        <v>Liontrust - Liontrust European Dynamic Fund S</v>
      </c>
      <c r="EV243" s="18">
        <f>_xlfn.IFNA(INDEX($EJ$51:$EJ$251,MATCH($EU243,$EI$51:$EI$251,0),1),0)</f>
        <v>2948.7464420472052</v>
      </c>
      <c r="EW243" s="18">
        <f>_xlfn.IFNA(INDEX($EK$51:$EK$251,MATCH($EU243,$EI$51:$EI$251,0),1),0)</f>
        <v>17.726227857869475</v>
      </c>
      <c r="EX243" s="18">
        <f>_xlfn.IFNA(INDEX($EO$51:$EO$246,MATCH($EU243,$EN$51:$EN$246,0),1),0)</f>
        <v>1.5121953954282006E-3</v>
      </c>
      <c r="EY243" s="18">
        <f>_xlfn.IFNA(INDEX($EP$51:$EP$246,MATCH($EU243,$EN$51:$EN$246,0),1),0)</f>
        <v>7.2048816090928026E-6</v>
      </c>
      <c r="EZ243" s="18">
        <f>_xlfn.IFNA(EX243-EV243,"")</f>
        <v>-2948.74492985181</v>
      </c>
      <c r="FA243" s="50">
        <f>EX243/EV243-1</f>
        <v>-0.99999948717347353</v>
      </c>
      <c r="FB243" s="50">
        <f>_xlfn.IFNA(EY243/EW243-1,"")</f>
        <v>-0.99999959354682411</v>
      </c>
      <c r="FC243" s="18">
        <f>-(_xlfn.IFNA(INDEX($EL$51:$EL$251,MATCH($EU243,$EI$51:$EI$251,0),1),0)-_xlfn.IFNA(INDEX($EQ$51:$EQ$246,MATCH($EU243,$EN$51:$EN$246,0),1),0))</f>
        <v>43.535488329999993</v>
      </c>
    </row>
    <row r="244" spans="134:159" x14ac:dyDescent="0.25">
      <c r="ED244" s="25" t="s">
        <v>6649</v>
      </c>
      <c r="EE244">
        <v>3028.7189015678587</v>
      </c>
      <c r="EF244">
        <v>45.768959999999993</v>
      </c>
      <c r="EG244">
        <v>66.174081770000001</v>
      </c>
      <c r="EI244" t="s">
        <v>6640</v>
      </c>
      <c r="EJ244">
        <v>0.34916000000000003</v>
      </c>
      <c r="EK244">
        <v>1.7458</v>
      </c>
      <c r="EL244">
        <v>0.2</v>
      </c>
      <c r="EN244" s="32" t="s">
        <v>6653</v>
      </c>
      <c r="EO244" s="32">
        <v>275.23262010229797</v>
      </c>
      <c r="EP244" s="32">
        <v>10.849110633663958</v>
      </c>
      <c r="EQ244" s="32">
        <v>25.369141249999998</v>
      </c>
      <c r="EU244" t="str">
        <f>EN244</f>
        <v>DNCA - Alpha Bonds</v>
      </c>
      <c r="EV244" s="18">
        <f>_xlfn.IFNA(INDEX($EJ$51:$EJ$251,MATCH($EU244,$EI$51:$EI$251,0),1),0)</f>
        <v>0</v>
      </c>
      <c r="EW244" s="18">
        <f>_xlfn.IFNA(INDEX($EK$51:$EK$251,MATCH($EU244,$EI$51:$EI$251,0),1),0)</f>
        <v>0</v>
      </c>
      <c r="EX244" s="18">
        <f>_xlfn.IFNA(INDEX($EO$51:$EO$246,MATCH($EU244,$EN$51:$EN$246,0),1),0)</f>
        <v>275.23262010229797</v>
      </c>
      <c r="EY244" s="18">
        <f>_xlfn.IFNA(INDEX($EP$51:$EP$246,MATCH($EU244,$EN$51:$EN$246,0),1),0)</f>
        <v>10.849110633663958</v>
      </c>
      <c r="EZ244" s="18">
        <f>_xlfn.IFNA(EX244-EV244,"")</f>
        <v>275.23262010229797</v>
      </c>
      <c r="FA244" s="50" t="e">
        <f>EX244/EV244-1</f>
        <v>#DIV/0!</v>
      </c>
      <c r="FB244" s="50" t="e">
        <f>_xlfn.IFNA(EY244/EW244-1,"")</f>
        <v>#DIV/0!</v>
      </c>
      <c r="FC244" s="18">
        <f>-(_xlfn.IFNA(INDEX($EL$51:$EL$251,MATCH($EU244,$EI$51:$EI$251,0),1),0)-_xlfn.IFNA(INDEX($EQ$51:$EQ$246,MATCH($EU244,$EN$51:$EN$246,0),1),0))</f>
        <v>25.369141249999998</v>
      </c>
    </row>
    <row r="245" spans="134:159" x14ac:dyDescent="0.25">
      <c r="ED245" s="25" t="s">
        <v>6650</v>
      </c>
      <c r="EE245">
        <v>258.81327569240381</v>
      </c>
      <c r="EF245">
        <v>3.7645129999999996</v>
      </c>
      <c r="EG245">
        <v>68.750798759999995</v>
      </c>
      <c r="EI245" t="s">
        <v>6643</v>
      </c>
      <c r="EJ245">
        <v>1.456899692505831E-2</v>
      </c>
      <c r="EK245">
        <v>4.4589930980741402E-4</v>
      </c>
      <c r="EL245">
        <v>32.673288800000002</v>
      </c>
      <c r="EN245" t="s">
        <v>6654</v>
      </c>
      <c r="EO245">
        <v>732.01610880019302</v>
      </c>
      <c r="EP245">
        <v>12.787836685380494</v>
      </c>
      <c r="EQ245">
        <v>57.243154320000002</v>
      </c>
      <c r="EU245" t="str">
        <f>EN245</f>
        <v>Lazard - Japanese Strategic Equity</v>
      </c>
      <c r="EV245" s="18">
        <f>_xlfn.IFNA(INDEX($EJ$51:$EJ$251,MATCH($EU245,$EI$51:$EI$251,0),1),0)</f>
        <v>0</v>
      </c>
      <c r="EW245" s="18">
        <f>_xlfn.IFNA(INDEX($EK$51:$EK$251,MATCH($EU245,$EI$51:$EI$251,0),1),0)</f>
        <v>0</v>
      </c>
      <c r="EX245" s="18">
        <f>_xlfn.IFNA(INDEX($EO$51:$EO$246,MATCH($EU245,$EN$51:$EN$246,0),1),0)</f>
        <v>732.01610880019302</v>
      </c>
      <c r="EY245" s="18">
        <f>_xlfn.IFNA(INDEX($EP$51:$EP$246,MATCH($EU245,$EN$51:$EN$246,0),1),0)</f>
        <v>12.787836685380494</v>
      </c>
      <c r="EZ245" s="18">
        <f>_xlfn.IFNA(EX245-EV245,"")</f>
        <v>732.01610880019302</v>
      </c>
      <c r="FA245" s="50" t="e">
        <f>EX245/EV245-1</f>
        <v>#DIV/0!</v>
      </c>
      <c r="FB245" s="50" t="e">
        <f>_xlfn.IFNA(EY245/EW245-1,"")</f>
        <v>#DIV/0!</v>
      </c>
      <c r="FC245" s="18">
        <f>-(_xlfn.IFNA(INDEX($EL$51:$EL$251,MATCH($EU245,$EI$51:$EI$251,0),1),0)-_xlfn.IFNA(INDEX($EQ$51:$EQ$246,MATCH($EU245,$EN$51:$EN$246,0),1),0))</f>
        <v>57.243154320000002</v>
      </c>
    </row>
    <row r="246" spans="134:159" x14ac:dyDescent="0.25">
      <c r="ED246" s="25" t="s">
        <v>6651</v>
      </c>
      <c r="EE246">
        <v>395.64709126743207</v>
      </c>
      <c r="EF246">
        <v>1.910469</v>
      </c>
      <c r="EG246">
        <v>207.09422203</v>
      </c>
      <c r="EI246" t="s">
        <v>6642</v>
      </c>
      <c r="EJ246">
        <v>503.22203438595579</v>
      </c>
      <c r="EK246">
        <v>15.401633960581155</v>
      </c>
      <c r="EL246">
        <v>32.673288800000002</v>
      </c>
      <c r="EN246" t="s">
        <v>6655</v>
      </c>
      <c r="EO246">
        <v>34995.708093519817</v>
      </c>
      <c r="EP246">
        <v>53.856478000000003</v>
      </c>
      <c r="EQ246">
        <v>649.79570505000004</v>
      </c>
      <c r="EU246" t="str">
        <f>EN246</f>
        <v>State Street - S&amp;P Metals &amp; Mining ETF</v>
      </c>
      <c r="EV246" s="18">
        <f>_xlfn.IFNA(INDEX($EJ$51:$EJ$251,MATCH($EU246,$EI$51:$EI$251,0),1),0)</f>
        <v>0</v>
      </c>
      <c r="EW246" s="18">
        <f>_xlfn.IFNA(INDEX($EK$51:$EK$251,MATCH($EU246,$EI$51:$EI$251,0),1),0)</f>
        <v>0</v>
      </c>
      <c r="EX246" s="18">
        <f>_xlfn.IFNA(INDEX($EO$51:$EO$246,MATCH($EU246,$EN$51:$EN$246,0),1),0)</f>
        <v>34995.708093519817</v>
      </c>
      <c r="EY246" s="18">
        <f>_xlfn.IFNA(INDEX($EP$51:$EP$246,MATCH($EU246,$EN$51:$EN$246,0),1),0)</f>
        <v>53.856478000000003</v>
      </c>
      <c r="EZ246" s="18">
        <f>_xlfn.IFNA(EX246-EV246,"")</f>
        <v>34995.708093519817</v>
      </c>
      <c r="FA246" s="50" t="e">
        <f>EX246/EV246-1</f>
        <v>#DIV/0!</v>
      </c>
      <c r="FB246" s="50" t="e">
        <f>_xlfn.IFNA(EY246/EW246-1,"")</f>
        <v>#DIV/0!</v>
      </c>
      <c r="FC246" s="18">
        <f>-(_xlfn.IFNA(INDEX($EL$51:$EL$251,MATCH($EU246,$EI$51:$EI$251,0),1),0)-_xlfn.IFNA(INDEX($EQ$51:$EQ$246,MATCH($EU246,$EN$51:$EN$246,0),1),0))</f>
        <v>649.79570505000004</v>
      </c>
    </row>
    <row r="247" spans="134:159" x14ac:dyDescent="0.25">
      <c r="ED247" s="25" t="s">
        <v>6652</v>
      </c>
      <c r="EE247">
        <v>1.5121953954282006E-3</v>
      </c>
      <c r="EF247">
        <v>7.2048816090928026E-6</v>
      </c>
      <c r="EG247">
        <v>209.88483607000001</v>
      </c>
      <c r="EI247" t="s">
        <v>5555</v>
      </c>
      <c r="EJ247">
        <v>184.93236108095203</v>
      </c>
      <c r="EK247">
        <v>56.318008583899974</v>
      </c>
      <c r="EL247">
        <v>3.2837162700000007</v>
      </c>
      <c r="EV247" s="18"/>
      <c r="EW247" s="18"/>
      <c r="EX247" s="18"/>
      <c r="EY247" s="18"/>
      <c r="EZ247" s="18"/>
      <c r="FA247" s="50"/>
      <c r="FB247" s="50"/>
      <c r="FC247" s="18"/>
    </row>
    <row r="248" spans="134:159" x14ac:dyDescent="0.25">
      <c r="ED248" s="25" t="s">
        <v>6653</v>
      </c>
      <c r="EE248">
        <v>275.23262010229797</v>
      </c>
      <c r="EF248">
        <v>10.849110633663958</v>
      </c>
      <c r="EG248">
        <v>25.369141249999998</v>
      </c>
      <c r="EI248" t="s">
        <v>6652</v>
      </c>
      <c r="EJ248">
        <v>2948.7464420472052</v>
      </c>
      <c r="EK248">
        <v>17.726227857869475</v>
      </c>
      <c r="EL248">
        <v>166.34934774000001</v>
      </c>
      <c r="EV248" s="18"/>
      <c r="EW248" s="18"/>
      <c r="EX248" s="18"/>
      <c r="EY248" s="18"/>
      <c r="EZ248" s="18"/>
      <c r="FA248" s="50"/>
      <c r="FB248" s="50"/>
      <c r="FC248" s="18"/>
    </row>
    <row r="249" spans="134:159" x14ac:dyDescent="0.25">
      <c r="ED249" s="25" t="s">
        <v>6654</v>
      </c>
      <c r="EE249">
        <v>732.01610880019302</v>
      </c>
      <c r="EF249">
        <v>12.787836685380494</v>
      </c>
      <c r="EG249">
        <v>57.243154320000002</v>
      </c>
      <c r="EI249" t="s">
        <v>6660</v>
      </c>
      <c r="EJ249">
        <v>160.2244606489912</v>
      </c>
      <c r="EK249">
        <v>6.5013610000000002</v>
      </c>
      <c r="EL249">
        <v>24.644756789999999</v>
      </c>
      <c r="EV249" s="18"/>
      <c r="EW249" s="18"/>
      <c r="EX249" s="18"/>
      <c r="EY249" s="18"/>
      <c r="EZ249" s="18"/>
      <c r="FA249" s="50"/>
      <c r="FB249" s="50"/>
      <c r="FC249" s="18"/>
    </row>
    <row r="250" spans="134:159" x14ac:dyDescent="0.25">
      <c r="ED250" s="25" t="s">
        <v>6655</v>
      </c>
      <c r="EE250">
        <v>34995.708093519817</v>
      </c>
      <c r="EF250">
        <v>53.856478000000003</v>
      </c>
      <c r="EG250">
        <v>649.79570505000004</v>
      </c>
      <c r="EI250" t="s">
        <v>4629</v>
      </c>
      <c r="EJ250">
        <v>2962.4741325869454</v>
      </c>
      <c r="EK250">
        <v>80.941916190900145</v>
      </c>
      <c r="EL250">
        <v>36.6</v>
      </c>
      <c r="EV250" s="18"/>
      <c r="EW250" s="18"/>
      <c r="EX250" s="18"/>
      <c r="EY250" s="18"/>
      <c r="EZ250" s="18"/>
      <c r="FA250" s="50"/>
      <c r="FB250" s="50"/>
      <c r="FC250" s="18"/>
    </row>
    <row r="251" spans="134:159" x14ac:dyDescent="0.25">
      <c r="ED251" s="25" t="s">
        <v>4872</v>
      </c>
      <c r="EE251">
        <v>1386020.6399460689</v>
      </c>
      <c r="EF251">
        <v>11833.165479351446</v>
      </c>
      <c r="EG251">
        <v>138.56365978688473</v>
      </c>
      <c r="EI251" t="s">
        <v>4488</v>
      </c>
      <c r="EJ251">
        <v>124340.38756808947</v>
      </c>
      <c r="EK251">
        <v>49.22461285049345</v>
      </c>
      <c r="EL251">
        <v>2525.98</v>
      </c>
    </row>
  </sheetData>
  <autoFilter ref="EU50:FC246" xr:uid="{ACF66CD9-B3C9-4197-B909-41014E9CCC11}">
    <sortState xmlns:xlrd2="http://schemas.microsoft.com/office/spreadsheetml/2017/richdata2" ref="EU51:FC246">
      <sortCondition descending="1" ref="EZ50:EZ246"/>
    </sortState>
  </autoFilter>
  <mergeCells count="26">
    <mergeCell ref="DP103:DQ103"/>
    <mergeCell ref="DT103:DU103"/>
    <mergeCell ref="EI50:EJ50"/>
    <mergeCell ref="EN50:EO50"/>
    <mergeCell ref="FI90:FO90"/>
    <mergeCell ref="FI70:FO70"/>
    <mergeCell ref="AD52:AL52"/>
    <mergeCell ref="DI55:DK55"/>
    <mergeCell ref="CR51:DL53"/>
    <mergeCell ref="AD79:AL79"/>
    <mergeCell ref="AD108:AH108"/>
    <mergeCell ref="AV51:AX51"/>
    <mergeCell ref="DA65:DK65"/>
    <mergeCell ref="EU49:FD49"/>
    <mergeCell ref="BH59:BJ59"/>
    <mergeCell ref="BN59:BP59"/>
    <mergeCell ref="BH51:BQ53"/>
    <mergeCell ref="BT51:CC53"/>
    <mergeCell ref="CF51:CO53"/>
    <mergeCell ref="DN51:DQ51"/>
    <mergeCell ref="DP55:DQ55"/>
    <mergeCell ref="DT55:DU55"/>
    <mergeCell ref="CR55:CT55"/>
    <mergeCell ref="CW55:CY55"/>
    <mergeCell ref="DA55:DC55"/>
    <mergeCell ref="DE55:DG55"/>
  </mergeCells>
  <conditionalFormatting sqref="EZ51:EZ250">
    <cfRule type="cellIs" dxfId="30" priority="2" operator="lessThan">
      <formula>0</formula>
    </cfRule>
    <cfRule type="cellIs" dxfId="29" priority="3" operator="greaterThan">
      <formula>0</formula>
    </cfRule>
  </conditionalFormatting>
  <conditionalFormatting sqref="FJ72">
    <cfRule type="expression" dxfId="28" priority="1">
      <formula>"iserror(FL72"</formula>
    </cfRule>
  </conditionalFormatting>
  <pageMargins left="0.7" right="0.7" top="0.75" bottom="0.75" header="0.3" footer="0.3"/>
  <pageSetup paperSize="9" orientation="portrait" r:id="rId12"/>
  <drawing r:id="rId1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13936-1590-4242-BD62-EAAE7D461D36}">
  <sheetPr codeName="Sheet2"/>
  <dimension ref="A1:U922"/>
  <sheetViews>
    <sheetView workbookViewId="0"/>
  </sheetViews>
  <sheetFormatPr defaultColWidth="9.140625" defaultRowHeight="15" x14ac:dyDescent="0.25"/>
  <cols>
    <col min="7" max="7" width="26.7109375" customWidth="1"/>
  </cols>
  <sheetData>
    <row r="1" spans="1:21" x14ac:dyDescent="0.25">
      <c r="A1" s="22" t="s">
        <v>1039</v>
      </c>
      <c r="B1" s="22" t="s">
        <v>1040</v>
      </c>
      <c r="C1" s="22" t="s">
        <v>1041</v>
      </c>
      <c r="D1" s="22" t="s">
        <v>1042</v>
      </c>
      <c r="E1" s="22" t="s">
        <v>1043</v>
      </c>
      <c r="F1" s="22" t="s">
        <v>1044</v>
      </c>
      <c r="G1" s="22" t="s">
        <v>1045</v>
      </c>
      <c r="H1" s="22" t="s">
        <v>1046</v>
      </c>
      <c r="I1" s="22" t="s">
        <v>1047</v>
      </c>
      <c r="J1" s="22" t="s">
        <v>1048</v>
      </c>
      <c r="K1" s="22" t="s">
        <v>1049</v>
      </c>
      <c r="L1" s="22" t="s">
        <v>94</v>
      </c>
      <c r="M1" s="22" t="s">
        <v>100</v>
      </c>
      <c r="N1" s="22" t="s">
        <v>106</v>
      </c>
      <c r="O1" s="22" t="s">
        <v>1050</v>
      </c>
      <c r="P1" s="22" t="s">
        <v>1051</v>
      </c>
      <c r="Q1" s="22" t="s">
        <v>1052</v>
      </c>
      <c r="R1" s="22" t="s">
        <v>1053</v>
      </c>
      <c r="S1" s="22" t="s">
        <v>2817</v>
      </c>
      <c r="T1" s="22" t="s">
        <v>2818</v>
      </c>
      <c r="U1" s="22" t="s">
        <v>1054</v>
      </c>
    </row>
    <row r="2" spans="1:21" x14ac:dyDescent="0.25">
      <c r="A2" t="s">
        <v>1055</v>
      </c>
      <c r="B2" t="s">
        <v>696</v>
      </c>
      <c r="C2" t="s">
        <v>695</v>
      </c>
      <c r="D2" t="s">
        <v>586</v>
      </c>
      <c r="E2" t="s">
        <v>1056</v>
      </c>
      <c r="F2" t="s">
        <v>1057</v>
      </c>
      <c r="G2" t="s">
        <v>1058</v>
      </c>
      <c r="H2" t="s">
        <v>90</v>
      </c>
      <c r="I2" t="s">
        <v>90</v>
      </c>
      <c r="J2">
        <v>64.952448390000001</v>
      </c>
      <c r="K2">
        <v>6.4940441699999996</v>
      </c>
      <c r="L2">
        <v>5.5328199500000004</v>
      </c>
      <c r="M2">
        <v>4.8964739699999997</v>
      </c>
      <c r="N2">
        <v>5.8121051799999996</v>
      </c>
      <c r="O2">
        <v>46.667330142016908</v>
      </c>
      <c r="P2">
        <v>124.55759757</v>
      </c>
      <c r="Q2">
        <v>33.70030154954668</v>
      </c>
      <c r="R2" t="s">
        <v>30</v>
      </c>
      <c r="S2">
        <v>64.952448390000001</v>
      </c>
      <c r="T2" t="s">
        <v>2819</v>
      </c>
      <c r="U2" t="s">
        <v>1059</v>
      </c>
    </row>
    <row r="3" spans="1:21" x14ac:dyDescent="0.25">
      <c r="A3" t="s">
        <v>1197</v>
      </c>
      <c r="B3" t="s">
        <v>478</v>
      </c>
      <c r="C3" t="s">
        <v>4279</v>
      </c>
      <c r="D3" t="s">
        <v>422</v>
      </c>
      <c r="E3" t="s">
        <v>4801</v>
      </c>
      <c r="F3" t="s">
        <v>1198</v>
      </c>
      <c r="G3" t="s">
        <v>1119</v>
      </c>
      <c r="H3">
        <v>6467.13</v>
      </c>
      <c r="I3">
        <v>4925.1899999999996</v>
      </c>
      <c r="J3">
        <v>0.76</v>
      </c>
      <c r="K3">
        <v>6.8</v>
      </c>
      <c r="L3">
        <v>5.4</v>
      </c>
      <c r="M3">
        <v>5.0999999999999996</v>
      </c>
      <c r="N3">
        <v>5.5</v>
      </c>
      <c r="O3">
        <v>0</v>
      </c>
      <c r="Q3">
        <v>34</v>
      </c>
      <c r="R3" t="s">
        <v>30</v>
      </c>
      <c r="S3">
        <v>0.76</v>
      </c>
      <c r="T3" t="s">
        <v>2819</v>
      </c>
      <c r="U3" t="s">
        <v>1062</v>
      </c>
    </row>
    <row r="4" spans="1:21" x14ac:dyDescent="0.25">
      <c r="A4" t="s">
        <v>1197</v>
      </c>
      <c r="B4" t="s">
        <v>478</v>
      </c>
      <c r="C4" t="s">
        <v>477</v>
      </c>
      <c r="D4" t="s">
        <v>422</v>
      </c>
      <c r="E4" t="s">
        <v>4801</v>
      </c>
      <c r="F4" t="s">
        <v>1198</v>
      </c>
      <c r="G4" t="s">
        <v>1119</v>
      </c>
      <c r="H4">
        <v>6467.13</v>
      </c>
      <c r="I4">
        <v>4925.1899999999996</v>
      </c>
      <c r="J4">
        <v>0.76</v>
      </c>
      <c r="K4">
        <v>6.8</v>
      </c>
      <c r="L4">
        <v>5.4</v>
      </c>
      <c r="M4">
        <v>5.0999999999999996</v>
      </c>
      <c r="N4">
        <v>5.5</v>
      </c>
      <c r="O4">
        <v>0</v>
      </c>
      <c r="Q4">
        <v>34</v>
      </c>
      <c r="R4" t="s">
        <v>30</v>
      </c>
      <c r="S4">
        <v>0.76</v>
      </c>
      <c r="T4" t="s">
        <v>2819</v>
      </c>
      <c r="U4" t="s">
        <v>1062</v>
      </c>
    </row>
    <row r="5" spans="1:21" x14ac:dyDescent="0.25">
      <c r="A5" t="s">
        <v>1064</v>
      </c>
      <c r="B5" t="s">
        <v>1065</v>
      </c>
      <c r="C5" t="s">
        <v>1066</v>
      </c>
      <c r="D5" t="s">
        <v>586</v>
      </c>
      <c r="E5" t="s">
        <v>1056</v>
      </c>
      <c r="F5" t="s">
        <v>1057</v>
      </c>
      <c r="G5" t="s">
        <v>1067</v>
      </c>
      <c r="H5" t="s">
        <v>90</v>
      </c>
      <c r="I5" t="s">
        <v>90</v>
      </c>
      <c r="J5">
        <v>137.8531011</v>
      </c>
      <c r="K5">
        <v>5.7553481599999996</v>
      </c>
      <c r="L5">
        <v>3.9689710900000001</v>
      </c>
      <c r="M5">
        <v>4.6223773499999998</v>
      </c>
      <c r="N5">
        <v>6.12774939</v>
      </c>
      <c r="O5">
        <v>4.3181954275470664</v>
      </c>
      <c r="P5">
        <v>157.19519779999999</v>
      </c>
      <c r="Q5">
        <v>26.09413896051927</v>
      </c>
      <c r="R5" t="s">
        <v>30</v>
      </c>
      <c r="S5">
        <v>137.8531011</v>
      </c>
      <c r="T5" t="s">
        <v>2819</v>
      </c>
      <c r="U5" t="s">
        <v>1059</v>
      </c>
    </row>
    <row r="6" spans="1:21" x14ac:dyDescent="0.25">
      <c r="A6" t="s">
        <v>1068</v>
      </c>
      <c r="B6" t="s">
        <v>1069</v>
      </c>
      <c r="C6" t="s">
        <v>1070</v>
      </c>
      <c r="D6" t="s">
        <v>586</v>
      </c>
      <c r="E6" t="s">
        <v>1056</v>
      </c>
      <c r="F6" t="s">
        <v>1071</v>
      </c>
      <c r="G6" t="s">
        <v>1072</v>
      </c>
      <c r="H6" t="s">
        <v>90</v>
      </c>
      <c r="I6" t="s">
        <v>90</v>
      </c>
      <c r="J6">
        <v>66.914147060000005</v>
      </c>
      <c r="K6">
        <v>6.6714443599999997</v>
      </c>
      <c r="L6">
        <v>5.85210074</v>
      </c>
      <c r="M6">
        <v>5.19368389</v>
      </c>
      <c r="N6">
        <v>5.7869867199999998</v>
      </c>
      <c r="O6">
        <v>32.497819221554892</v>
      </c>
      <c r="P6">
        <v>154.44955077</v>
      </c>
      <c r="Q6">
        <v>23.104292208972801</v>
      </c>
      <c r="R6" t="s">
        <v>30</v>
      </c>
      <c r="S6">
        <v>66.914147060000005</v>
      </c>
      <c r="T6" t="s">
        <v>2819</v>
      </c>
      <c r="U6" t="s">
        <v>1059</v>
      </c>
    </row>
    <row r="7" spans="1:21" x14ac:dyDescent="0.25">
      <c r="A7" t="s">
        <v>1197</v>
      </c>
      <c r="B7" t="s">
        <v>374</v>
      </c>
      <c r="C7" t="s">
        <v>3364</v>
      </c>
      <c r="D7" t="s">
        <v>350</v>
      </c>
      <c r="E7" t="s">
        <v>4802</v>
      </c>
      <c r="F7" t="s">
        <v>1198</v>
      </c>
      <c r="G7" t="s">
        <v>1119</v>
      </c>
      <c r="H7">
        <v>6467.13</v>
      </c>
      <c r="I7">
        <v>4925.1899999999996</v>
      </c>
      <c r="J7">
        <v>0.76</v>
      </c>
      <c r="K7">
        <v>6.8</v>
      </c>
      <c r="L7">
        <v>5.4</v>
      </c>
      <c r="M7">
        <v>5.0999999999999996</v>
      </c>
      <c r="N7">
        <v>5.5</v>
      </c>
      <c r="O7">
        <v>0</v>
      </c>
      <c r="Q7">
        <v>34</v>
      </c>
      <c r="R7" t="s">
        <v>30</v>
      </c>
      <c r="S7">
        <v>0.76</v>
      </c>
      <c r="T7" t="s">
        <v>2819</v>
      </c>
      <c r="U7" t="s">
        <v>1062</v>
      </c>
    </row>
    <row r="8" spans="1:21" x14ac:dyDescent="0.25">
      <c r="A8" t="s">
        <v>1074</v>
      </c>
      <c r="B8" t="s">
        <v>1075</v>
      </c>
      <c r="C8" t="s">
        <v>1076</v>
      </c>
      <c r="D8" t="s">
        <v>586</v>
      </c>
      <c r="E8" t="s">
        <v>1056</v>
      </c>
      <c r="F8" t="s">
        <v>1057</v>
      </c>
      <c r="G8" t="s">
        <v>1067</v>
      </c>
      <c r="H8" t="s">
        <v>90</v>
      </c>
      <c r="I8" t="s">
        <v>90</v>
      </c>
      <c r="J8">
        <v>68.875805850000006</v>
      </c>
      <c r="K8">
        <v>5.8373263099999999</v>
      </c>
      <c r="L8">
        <v>4.28972555</v>
      </c>
      <c r="M8">
        <v>4.6380136800000002</v>
      </c>
      <c r="N8">
        <v>6.1564648699999998</v>
      </c>
      <c r="O8">
        <v>4.0692084969218776</v>
      </c>
      <c r="P8">
        <v>127.8452832</v>
      </c>
      <c r="Q8">
        <v>25.103868966745061</v>
      </c>
      <c r="R8" t="s">
        <v>30</v>
      </c>
      <c r="S8">
        <v>68.875805850000006</v>
      </c>
      <c r="T8" t="s">
        <v>2819</v>
      </c>
      <c r="U8" t="s">
        <v>1059</v>
      </c>
    </row>
    <row r="9" spans="1:21" x14ac:dyDescent="0.25">
      <c r="A9" t="s">
        <v>1077</v>
      </c>
      <c r="B9" t="s">
        <v>1078</v>
      </c>
      <c r="C9" t="s">
        <v>1079</v>
      </c>
      <c r="D9" t="s">
        <v>586</v>
      </c>
      <c r="E9" t="s">
        <v>1056</v>
      </c>
      <c r="F9" t="s">
        <v>1080</v>
      </c>
      <c r="G9" t="s">
        <v>1081</v>
      </c>
      <c r="H9" t="s">
        <v>90</v>
      </c>
      <c r="I9" t="s">
        <v>90</v>
      </c>
      <c r="J9">
        <v>53.06057852</v>
      </c>
      <c r="K9">
        <v>7.6358505799999996</v>
      </c>
      <c r="L9">
        <v>5.7384424100000002</v>
      </c>
      <c r="M9">
        <v>4.75660536</v>
      </c>
      <c r="N9">
        <v>6.9967747100000004</v>
      </c>
      <c r="O9">
        <v>68.808462383075238</v>
      </c>
      <c r="P9">
        <v>71.907944499999999</v>
      </c>
      <c r="Q9">
        <v>98.1482037035926</v>
      </c>
      <c r="R9" t="s">
        <v>1073</v>
      </c>
      <c r="S9">
        <v>53.06057852</v>
      </c>
      <c r="T9" t="s">
        <v>2819</v>
      </c>
      <c r="U9" t="s">
        <v>1059</v>
      </c>
    </row>
    <row r="10" spans="1:21" x14ac:dyDescent="0.25">
      <c r="A10" t="s">
        <v>1223</v>
      </c>
      <c r="B10" t="s">
        <v>453</v>
      </c>
      <c r="C10" t="s">
        <v>452</v>
      </c>
      <c r="D10" t="s">
        <v>422</v>
      </c>
      <c r="E10" t="s">
        <v>4801</v>
      </c>
      <c r="F10" t="s">
        <v>1198</v>
      </c>
      <c r="G10" t="s">
        <v>1119</v>
      </c>
      <c r="H10">
        <v>7031.91</v>
      </c>
      <c r="I10">
        <v>5410</v>
      </c>
      <c r="J10">
        <v>0.77</v>
      </c>
      <c r="K10">
        <v>5</v>
      </c>
      <c r="L10">
        <v>4.2</v>
      </c>
      <c r="M10">
        <v>4.2</v>
      </c>
      <c r="N10">
        <v>4.5999999999999996</v>
      </c>
      <c r="O10">
        <v>0</v>
      </c>
      <c r="Q10">
        <v>35</v>
      </c>
      <c r="R10" t="s">
        <v>1063</v>
      </c>
      <c r="S10">
        <v>0.77</v>
      </c>
      <c r="T10" t="s">
        <v>2819</v>
      </c>
      <c r="U10" t="s">
        <v>1062</v>
      </c>
    </row>
    <row r="11" spans="1:21" x14ac:dyDescent="0.25">
      <c r="A11" t="s">
        <v>1083</v>
      </c>
      <c r="B11" t="s">
        <v>1084</v>
      </c>
      <c r="C11" t="s">
        <v>1085</v>
      </c>
      <c r="D11" t="s">
        <v>586</v>
      </c>
      <c r="E11" t="s">
        <v>1056</v>
      </c>
      <c r="F11" t="s">
        <v>1086</v>
      </c>
      <c r="G11" t="s">
        <v>1087</v>
      </c>
      <c r="H11" t="s">
        <v>90</v>
      </c>
      <c r="I11" t="s">
        <v>90</v>
      </c>
      <c r="J11">
        <v>94.380058090000006</v>
      </c>
      <c r="K11">
        <v>6.7009381699999997</v>
      </c>
      <c r="L11">
        <v>6.1905789499999999</v>
      </c>
      <c r="M11">
        <v>5.2444966099999997</v>
      </c>
      <c r="N11">
        <v>5.7249052100000002</v>
      </c>
      <c r="O11">
        <v>5.4389269235751936</v>
      </c>
      <c r="P11">
        <v>241.02618383000001</v>
      </c>
      <c r="Q11">
        <v>3.8630950601413101</v>
      </c>
      <c r="R11" t="s">
        <v>30</v>
      </c>
      <c r="S11">
        <v>94.380058090000006</v>
      </c>
      <c r="T11" t="s">
        <v>2819</v>
      </c>
      <c r="U11" t="s">
        <v>1059</v>
      </c>
    </row>
    <row r="12" spans="1:21" x14ac:dyDescent="0.25">
      <c r="A12" t="s">
        <v>1223</v>
      </c>
      <c r="B12" t="s">
        <v>1225</v>
      </c>
      <c r="C12" t="s">
        <v>4071</v>
      </c>
      <c r="D12" t="s">
        <v>224</v>
      </c>
      <c r="E12" t="s">
        <v>4803</v>
      </c>
      <c r="F12" t="s">
        <v>1198</v>
      </c>
      <c r="G12" t="s">
        <v>1119</v>
      </c>
      <c r="H12">
        <v>7031.91</v>
      </c>
      <c r="I12">
        <v>5410</v>
      </c>
      <c r="J12">
        <v>0.77</v>
      </c>
      <c r="K12">
        <v>5</v>
      </c>
      <c r="L12">
        <v>4.2</v>
      </c>
      <c r="M12">
        <v>4.2</v>
      </c>
      <c r="N12">
        <v>4.5999999999999996</v>
      </c>
      <c r="O12">
        <v>0</v>
      </c>
      <c r="Q12">
        <v>35</v>
      </c>
      <c r="R12" t="s">
        <v>1063</v>
      </c>
      <c r="S12">
        <v>0.77</v>
      </c>
      <c r="T12" t="s">
        <v>2819</v>
      </c>
      <c r="U12" t="s">
        <v>1062</v>
      </c>
    </row>
    <row r="13" spans="1:21" x14ac:dyDescent="0.25">
      <c r="A13" t="s">
        <v>1223</v>
      </c>
      <c r="B13" t="s">
        <v>1226</v>
      </c>
      <c r="C13" t="s">
        <v>4070</v>
      </c>
      <c r="D13" t="s">
        <v>224</v>
      </c>
      <c r="E13" t="s">
        <v>4803</v>
      </c>
      <c r="F13" t="s">
        <v>1198</v>
      </c>
      <c r="G13" t="s">
        <v>1119</v>
      </c>
      <c r="H13">
        <v>7031.91</v>
      </c>
      <c r="I13">
        <v>5410</v>
      </c>
      <c r="J13">
        <v>0.77</v>
      </c>
      <c r="K13">
        <v>5</v>
      </c>
      <c r="L13">
        <v>4.2</v>
      </c>
      <c r="M13">
        <v>4.2</v>
      </c>
      <c r="N13">
        <v>4.5999999999999996</v>
      </c>
      <c r="O13">
        <v>0</v>
      </c>
      <c r="Q13">
        <v>35</v>
      </c>
      <c r="R13" t="s">
        <v>1063</v>
      </c>
      <c r="S13">
        <v>0.77</v>
      </c>
      <c r="T13" t="s">
        <v>2819</v>
      </c>
      <c r="U13" t="s">
        <v>1062</v>
      </c>
    </row>
    <row r="14" spans="1:21" x14ac:dyDescent="0.25">
      <c r="A14" t="s">
        <v>1088</v>
      </c>
      <c r="B14" t="s">
        <v>1089</v>
      </c>
      <c r="C14" t="s">
        <v>1090</v>
      </c>
      <c r="D14" t="s">
        <v>586</v>
      </c>
      <c r="E14" t="s">
        <v>1056</v>
      </c>
      <c r="F14" t="s">
        <v>1091</v>
      </c>
      <c r="G14" t="s">
        <v>1092</v>
      </c>
      <c r="H14" t="s">
        <v>90</v>
      </c>
      <c r="I14" t="s">
        <v>90</v>
      </c>
      <c r="J14">
        <v>50.218717230000003</v>
      </c>
      <c r="K14">
        <v>7.15428219</v>
      </c>
      <c r="L14">
        <v>7.1150136399999999</v>
      </c>
      <c r="M14">
        <v>5.1210524800000004</v>
      </c>
      <c r="N14">
        <v>5.7270327099999996</v>
      </c>
      <c r="O14">
        <v>48.598328911353143</v>
      </c>
      <c r="P14">
        <v>89.229790980000004</v>
      </c>
      <c r="Q14">
        <v>49.695493179087208</v>
      </c>
      <c r="R14" t="s">
        <v>1073</v>
      </c>
      <c r="S14">
        <v>50.218717230000003</v>
      </c>
      <c r="T14" t="s">
        <v>2819</v>
      </c>
      <c r="U14" t="s">
        <v>1059</v>
      </c>
    </row>
    <row r="15" spans="1:21" x14ac:dyDescent="0.25">
      <c r="A15" t="s">
        <v>1223</v>
      </c>
      <c r="B15" t="s">
        <v>1236</v>
      </c>
      <c r="C15" t="s">
        <v>4074</v>
      </c>
      <c r="D15" t="s">
        <v>224</v>
      </c>
      <c r="E15" t="s">
        <v>4803</v>
      </c>
      <c r="F15" t="s">
        <v>1198</v>
      </c>
      <c r="G15" t="s">
        <v>1119</v>
      </c>
      <c r="H15">
        <v>7031.91</v>
      </c>
      <c r="I15">
        <v>5410</v>
      </c>
      <c r="J15">
        <v>0.77</v>
      </c>
      <c r="K15">
        <v>5</v>
      </c>
      <c r="L15">
        <v>4.2</v>
      </c>
      <c r="M15">
        <v>4.2</v>
      </c>
      <c r="N15">
        <v>4.5999999999999996</v>
      </c>
      <c r="O15">
        <v>0</v>
      </c>
      <c r="Q15">
        <v>35</v>
      </c>
      <c r="R15" t="s">
        <v>1063</v>
      </c>
      <c r="S15">
        <v>0.77</v>
      </c>
      <c r="T15" t="s">
        <v>2819</v>
      </c>
      <c r="U15" t="s">
        <v>1062</v>
      </c>
    </row>
    <row r="16" spans="1:21" x14ac:dyDescent="0.25">
      <c r="A16" t="s">
        <v>1093</v>
      </c>
      <c r="B16" t="s">
        <v>1094</v>
      </c>
      <c r="C16" t="s">
        <v>1095</v>
      </c>
      <c r="D16" t="s">
        <v>586</v>
      </c>
      <c r="E16" t="s">
        <v>1056</v>
      </c>
      <c r="F16" t="s">
        <v>1096</v>
      </c>
      <c r="G16" t="s">
        <v>1097</v>
      </c>
      <c r="H16" t="s">
        <v>90</v>
      </c>
      <c r="I16" t="s">
        <v>90</v>
      </c>
      <c r="J16">
        <v>200.71120275000001</v>
      </c>
      <c r="K16">
        <v>7.19639381</v>
      </c>
      <c r="L16">
        <v>5.8597153899999999</v>
      </c>
      <c r="M16">
        <v>5.32556881</v>
      </c>
      <c r="N16">
        <v>5.62637506</v>
      </c>
      <c r="O16">
        <v>3.4293789652381421</v>
      </c>
      <c r="P16">
        <v>607.05249957000001</v>
      </c>
      <c r="Q16">
        <v>52.548481071149467</v>
      </c>
      <c r="R16" t="s">
        <v>1073</v>
      </c>
      <c r="S16">
        <v>200.71120275000001</v>
      </c>
      <c r="T16" t="s">
        <v>2819</v>
      </c>
      <c r="U16" t="s">
        <v>1059</v>
      </c>
    </row>
    <row r="17" spans="1:21" x14ac:dyDescent="0.25">
      <c r="A17" t="s">
        <v>1099</v>
      </c>
      <c r="B17" t="s">
        <v>1100</v>
      </c>
      <c r="C17" t="s">
        <v>1101</v>
      </c>
      <c r="D17" t="s">
        <v>586</v>
      </c>
      <c r="E17" t="s">
        <v>1056</v>
      </c>
      <c r="F17" t="s">
        <v>1102</v>
      </c>
      <c r="G17" t="s">
        <v>1103</v>
      </c>
      <c r="H17" t="s">
        <v>90</v>
      </c>
      <c r="I17" t="s">
        <v>90</v>
      </c>
      <c r="J17">
        <v>12.82811903</v>
      </c>
      <c r="K17">
        <v>8.2276995799999995</v>
      </c>
      <c r="L17">
        <v>6.3225802599999996</v>
      </c>
      <c r="M17">
        <v>5.8598951499999998</v>
      </c>
      <c r="N17">
        <v>7.1389991200000003</v>
      </c>
      <c r="O17">
        <v>3.5308622963704419</v>
      </c>
      <c r="P17">
        <v>20.85297169</v>
      </c>
      <c r="Q17">
        <v>72.863158336824867</v>
      </c>
      <c r="R17" t="s">
        <v>1073</v>
      </c>
      <c r="S17">
        <v>12.82811903</v>
      </c>
      <c r="T17" t="s">
        <v>2819</v>
      </c>
      <c r="U17" t="s">
        <v>1059</v>
      </c>
    </row>
    <row r="18" spans="1:21" x14ac:dyDescent="0.25">
      <c r="A18" t="s">
        <v>1223</v>
      </c>
      <c r="B18" t="s">
        <v>1237</v>
      </c>
      <c r="C18" t="s">
        <v>3223</v>
      </c>
      <c r="D18" t="s">
        <v>224</v>
      </c>
      <c r="E18" t="s">
        <v>4803</v>
      </c>
      <c r="F18" t="s">
        <v>1198</v>
      </c>
      <c r="G18" t="s">
        <v>1119</v>
      </c>
      <c r="H18">
        <v>7031.91</v>
      </c>
      <c r="I18">
        <v>5410</v>
      </c>
      <c r="J18">
        <v>0.77</v>
      </c>
      <c r="K18">
        <v>5</v>
      </c>
      <c r="L18">
        <v>4.2</v>
      </c>
      <c r="M18">
        <v>4.2</v>
      </c>
      <c r="N18">
        <v>4.5999999999999996</v>
      </c>
      <c r="O18">
        <v>0</v>
      </c>
      <c r="Q18">
        <v>35</v>
      </c>
      <c r="R18" t="s">
        <v>1063</v>
      </c>
      <c r="S18">
        <v>0.77</v>
      </c>
      <c r="T18" t="s">
        <v>2819</v>
      </c>
      <c r="U18" t="s">
        <v>1062</v>
      </c>
    </row>
    <row r="19" spans="1:21" x14ac:dyDescent="0.25">
      <c r="A19" t="s">
        <v>1104</v>
      </c>
      <c r="B19" t="s">
        <v>1105</v>
      </c>
      <c r="C19" t="s">
        <v>1106</v>
      </c>
      <c r="D19" t="s">
        <v>586</v>
      </c>
      <c r="E19" t="s">
        <v>1056</v>
      </c>
      <c r="F19" t="s">
        <v>1107</v>
      </c>
      <c r="G19" t="s">
        <v>1108</v>
      </c>
      <c r="H19" t="s">
        <v>90</v>
      </c>
      <c r="I19" t="s">
        <v>90</v>
      </c>
      <c r="J19">
        <v>47.595696859999997</v>
      </c>
      <c r="K19">
        <v>8.0819711400000003</v>
      </c>
      <c r="L19">
        <v>8.1723458099999995</v>
      </c>
      <c r="M19">
        <v>5.6516695800000001</v>
      </c>
      <c r="N19">
        <v>5.86721527</v>
      </c>
      <c r="O19">
        <v>60.678236860073028</v>
      </c>
      <c r="P19">
        <v>72.674917320000006</v>
      </c>
      <c r="Q19">
        <v>69.564113406689216</v>
      </c>
      <c r="R19" t="s">
        <v>1073</v>
      </c>
      <c r="S19">
        <v>47.595696859999997</v>
      </c>
      <c r="T19" t="s">
        <v>2819</v>
      </c>
      <c r="U19" t="s">
        <v>1059</v>
      </c>
    </row>
    <row r="20" spans="1:21" x14ac:dyDescent="0.25">
      <c r="A20" t="s">
        <v>1223</v>
      </c>
      <c r="B20" t="s">
        <v>1243</v>
      </c>
      <c r="C20" t="s">
        <v>3770</v>
      </c>
      <c r="D20" t="s">
        <v>350</v>
      </c>
      <c r="E20" t="s">
        <v>4802</v>
      </c>
      <c r="F20" t="s">
        <v>1198</v>
      </c>
      <c r="G20" t="s">
        <v>1119</v>
      </c>
      <c r="H20">
        <v>7031.91</v>
      </c>
      <c r="I20">
        <v>5410</v>
      </c>
      <c r="J20">
        <v>0.77</v>
      </c>
      <c r="K20">
        <v>5</v>
      </c>
      <c r="L20">
        <v>4.2</v>
      </c>
      <c r="M20">
        <v>4.2</v>
      </c>
      <c r="N20">
        <v>4.5999999999999996</v>
      </c>
      <c r="O20">
        <v>0</v>
      </c>
      <c r="Q20">
        <v>35</v>
      </c>
      <c r="R20" t="s">
        <v>1063</v>
      </c>
      <c r="S20">
        <v>0.77</v>
      </c>
      <c r="T20" t="s">
        <v>2819</v>
      </c>
      <c r="U20" t="s">
        <v>1062</v>
      </c>
    </row>
    <row r="21" spans="1:21" x14ac:dyDescent="0.25">
      <c r="A21" t="s">
        <v>1109</v>
      </c>
      <c r="B21" t="s">
        <v>1110</v>
      </c>
      <c r="C21" t="s">
        <v>1111</v>
      </c>
      <c r="D21" t="s">
        <v>586</v>
      </c>
      <c r="E21" t="s">
        <v>1056</v>
      </c>
      <c r="F21" t="s">
        <v>1112</v>
      </c>
      <c r="G21" t="s">
        <v>1113</v>
      </c>
      <c r="H21" t="s">
        <v>90</v>
      </c>
      <c r="I21" t="s">
        <v>90</v>
      </c>
      <c r="J21">
        <v>69.906951609999993</v>
      </c>
      <c r="K21">
        <v>7.4976514400000003</v>
      </c>
      <c r="L21">
        <v>5.4943629600000001</v>
      </c>
      <c r="M21">
        <v>4.9681222199999997</v>
      </c>
      <c r="N21">
        <v>6.8034422699999997</v>
      </c>
      <c r="O21">
        <v>36.413676013582418</v>
      </c>
      <c r="P21">
        <v>225.72274512000001</v>
      </c>
      <c r="Q21">
        <v>66.98782941178824</v>
      </c>
      <c r="R21" t="s">
        <v>1073</v>
      </c>
      <c r="S21">
        <v>69.906951609999993</v>
      </c>
      <c r="T21" t="s">
        <v>2819</v>
      </c>
      <c r="U21" t="s">
        <v>1059</v>
      </c>
    </row>
    <row r="22" spans="1:21" x14ac:dyDescent="0.25">
      <c r="A22" t="s">
        <v>1223</v>
      </c>
      <c r="B22" t="s">
        <v>4994</v>
      </c>
      <c r="C22" t="s">
        <v>4993</v>
      </c>
      <c r="D22" t="s">
        <v>224</v>
      </c>
      <c r="E22" t="s">
        <v>4803</v>
      </c>
      <c r="F22" t="s">
        <v>1198</v>
      </c>
      <c r="G22" t="s">
        <v>1119</v>
      </c>
      <c r="H22">
        <v>7031.91</v>
      </c>
      <c r="I22">
        <v>5410</v>
      </c>
      <c r="J22">
        <v>0.77</v>
      </c>
      <c r="K22">
        <v>5</v>
      </c>
      <c r="L22">
        <v>4.2</v>
      </c>
      <c r="M22">
        <v>4.2</v>
      </c>
      <c r="N22">
        <v>4.5999999999999996</v>
      </c>
      <c r="O22">
        <v>0</v>
      </c>
      <c r="Q22">
        <v>35</v>
      </c>
      <c r="R22" t="s">
        <v>1063</v>
      </c>
      <c r="S22">
        <v>0.77</v>
      </c>
      <c r="T22" t="s">
        <v>2819</v>
      </c>
      <c r="U22" t="s">
        <v>1062</v>
      </c>
    </row>
    <row r="23" spans="1:21" x14ac:dyDescent="0.25">
      <c r="A23" t="s">
        <v>1114</v>
      </c>
      <c r="B23" t="s">
        <v>1115</v>
      </c>
      <c r="C23" t="s">
        <v>1116</v>
      </c>
      <c r="D23" t="s">
        <v>586</v>
      </c>
      <c r="E23" t="s">
        <v>1056</v>
      </c>
      <c r="F23" t="s">
        <v>1117</v>
      </c>
      <c r="G23" t="s">
        <v>1118</v>
      </c>
      <c r="H23" t="s">
        <v>90</v>
      </c>
      <c r="I23" t="s">
        <v>90</v>
      </c>
      <c r="J23">
        <v>72.125265709999994</v>
      </c>
      <c r="K23">
        <v>7.3619735200000003</v>
      </c>
      <c r="L23">
        <v>6.6821729200000002</v>
      </c>
      <c r="M23">
        <v>4.4827449399999999</v>
      </c>
      <c r="N23">
        <v>6.3506426200000003</v>
      </c>
      <c r="O23">
        <v>44.423354907929188</v>
      </c>
      <c r="P23">
        <v>118.47603551</v>
      </c>
      <c r="Q23">
        <v>59.514316853858517</v>
      </c>
      <c r="R23" t="s">
        <v>1073</v>
      </c>
      <c r="S23">
        <v>72.125265709999994</v>
      </c>
      <c r="T23" t="s">
        <v>2819</v>
      </c>
      <c r="U23" t="s">
        <v>1059</v>
      </c>
    </row>
    <row r="24" spans="1:21" x14ac:dyDescent="0.25">
      <c r="A24" t="s">
        <v>5373</v>
      </c>
      <c r="B24" t="s">
        <v>1273</v>
      </c>
      <c r="C24" t="s">
        <v>3119</v>
      </c>
      <c r="D24" t="s">
        <v>191</v>
      </c>
      <c r="E24" t="s">
        <v>4804</v>
      </c>
      <c r="F24" t="s">
        <v>1168</v>
      </c>
      <c r="G24" t="s">
        <v>1176</v>
      </c>
      <c r="H24">
        <v>54358.5</v>
      </c>
      <c r="I24">
        <v>10000000</v>
      </c>
      <c r="J24">
        <v>183.96</v>
      </c>
      <c r="K24">
        <v>2</v>
      </c>
      <c r="L24">
        <v>3.5</v>
      </c>
      <c r="M24">
        <v>0.4</v>
      </c>
      <c r="N24">
        <v>5</v>
      </c>
      <c r="O24">
        <v>20</v>
      </c>
      <c r="Q24">
        <v>42</v>
      </c>
      <c r="R24" t="s">
        <v>21</v>
      </c>
      <c r="S24">
        <v>183.96</v>
      </c>
      <c r="T24" t="s">
        <v>2819</v>
      </c>
      <c r="U24" t="s">
        <v>1062</v>
      </c>
    </row>
    <row r="25" spans="1:21" x14ac:dyDescent="0.25">
      <c r="A25" t="s">
        <v>1120</v>
      </c>
      <c r="B25" t="s">
        <v>1121</v>
      </c>
      <c r="C25" t="s">
        <v>1122</v>
      </c>
      <c r="D25" t="s">
        <v>586</v>
      </c>
      <c r="E25" t="s">
        <v>1056</v>
      </c>
      <c r="F25" t="s">
        <v>1123</v>
      </c>
      <c r="G25" t="s">
        <v>1124</v>
      </c>
      <c r="H25" t="s">
        <v>90</v>
      </c>
      <c r="I25" t="s">
        <v>90</v>
      </c>
      <c r="J25">
        <v>60.130926520000003</v>
      </c>
      <c r="K25">
        <v>7.7160487</v>
      </c>
      <c r="L25">
        <v>5.5802639599999999</v>
      </c>
      <c r="M25">
        <v>4.55939315</v>
      </c>
      <c r="N25">
        <v>7.3537307800000002</v>
      </c>
      <c r="O25">
        <v>60.868796027538572</v>
      </c>
      <c r="P25">
        <v>121.17347477</v>
      </c>
      <c r="Q25">
        <v>94.714279431637365</v>
      </c>
      <c r="R25" t="s">
        <v>1073</v>
      </c>
      <c r="S25">
        <v>60.130926520000003</v>
      </c>
      <c r="T25" t="s">
        <v>2819</v>
      </c>
      <c r="U25" t="s">
        <v>1059</v>
      </c>
    </row>
    <row r="26" spans="1:21" x14ac:dyDescent="0.25">
      <c r="A26" t="s">
        <v>5747</v>
      </c>
      <c r="B26" t="s">
        <v>864</v>
      </c>
      <c r="C26" t="s">
        <v>3015</v>
      </c>
      <c r="D26" t="s">
        <v>823</v>
      </c>
      <c r="E26" t="s">
        <v>4805</v>
      </c>
      <c r="F26" t="s">
        <v>1296</v>
      </c>
      <c r="G26" t="s">
        <v>1203</v>
      </c>
      <c r="H26">
        <v>58527.57</v>
      </c>
      <c r="I26">
        <v>12927441</v>
      </c>
      <c r="J26">
        <v>220.88</v>
      </c>
      <c r="K26">
        <v>5.7</v>
      </c>
      <c r="L26">
        <v>5.9</v>
      </c>
      <c r="M26">
        <v>6.2</v>
      </c>
      <c r="N26">
        <v>4.8</v>
      </c>
      <c r="O26">
        <v>6</v>
      </c>
      <c r="Q26">
        <v>37</v>
      </c>
      <c r="R26" t="s">
        <v>1063</v>
      </c>
      <c r="S26">
        <v>220.88</v>
      </c>
      <c r="T26" t="s">
        <v>2819</v>
      </c>
      <c r="U26" t="s">
        <v>1062</v>
      </c>
    </row>
    <row r="27" spans="1:21" x14ac:dyDescent="0.25">
      <c r="A27" t="s">
        <v>5747</v>
      </c>
      <c r="B27" t="s">
        <v>958</v>
      </c>
      <c r="C27" t="s">
        <v>957</v>
      </c>
      <c r="D27" t="s">
        <v>823</v>
      </c>
      <c r="E27" t="s">
        <v>4805</v>
      </c>
      <c r="F27" t="s">
        <v>1296</v>
      </c>
      <c r="G27" t="s">
        <v>1203</v>
      </c>
      <c r="H27">
        <v>58527.57</v>
      </c>
      <c r="I27">
        <v>12927441</v>
      </c>
      <c r="J27">
        <v>220.88</v>
      </c>
      <c r="K27">
        <v>5.7</v>
      </c>
      <c r="L27">
        <v>5.9</v>
      </c>
      <c r="M27">
        <v>6.2</v>
      </c>
      <c r="N27">
        <v>4.8</v>
      </c>
      <c r="O27">
        <v>6</v>
      </c>
      <c r="Q27">
        <v>37</v>
      </c>
      <c r="R27" t="s">
        <v>1063</v>
      </c>
      <c r="S27">
        <v>220.88</v>
      </c>
      <c r="T27" t="s">
        <v>2819</v>
      </c>
      <c r="U27" t="s">
        <v>1062</v>
      </c>
    </row>
    <row r="28" spans="1:21" x14ac:dyDescent="0.25">
      <c r="A28" t="s">
        <v>1125</v>
      </c>
      <c r="B28" t="s">
        <v>1126</v>
      </c>
      <c r="C28" t="s">
        <v>1127</v>
      </c>
      <c r="D28" t="s">
        <v>586</v>
      </c>
      <c r="E28" t="s">
        <v>1056</v>
      </c>
      <c r="F28" t="s">
        <v>1128</v>
      </c>
      <c r="G28" t="s">
        <v>1129</v>
      </c>
      <c r="H28" t="s">
        <v>90</v>
      </c>
      <c r="I28" t="s">
        <v>90</v>
      </c>
      <c r="J28">
        <v>70.184065790000005</v>
      </c>
      <c r="K28">
        <v>7.76821319</v>
      </c>
      <c r="L28">
        <v>6.79030004</v>
      </c>
      <c r="M28">
        <v>5.5506982799999998</v>
      </c>
      <c r="N28">
        <v>6.1437758699999998</v>
      </c>
      <c r="O28">
        <v>50.041694412948672</v>
      </c>
      <c r="P28">
        <v>88.767981140000003</v>
      </c>
      <c r="Q28">
        <v>60.912937666352697</v>
      </c>
      <c r="R28" t="s">
        <v>1073</v>
      </c>
      <c r="S28">
        <v>70.184065790000005</v>
      </c>
      <c r="T28" t="s">
        <v>2819</v>
      </c>
      <c r="U28" t="s">
        <v>1059</v>
      </c>
    </row>
    <row r="29" spans="1:21" x14ac:dyDescent="0.25">
      <c r="A29" t="s">
        <v>5747</v>
      </c>
      <c r="B29" t="s">
        <v>1306</v>
      </c>
      <c r="C29" t="s">
        <v>3014</v>
      </c>
      <c r="D29" t="s">
        <v>823</v>
      </c>
      <c r="E29" t="s">
        <v>4805</v>
      </c>
      <c r="F29" t="s">
        <v>1296</v>
      </c>
      <c r="G29" t="s">
        <v>1203</v>
      </c>
      <c r="H29">
        <v>58527.57</v>
      </c>
      <c r="I29">
        <v>12927441</v>
      </c>
      <c r="J29">
        <v>220.88</v>
      </c>
      <c r="K29">
        <v>5.7</v>
      </c>
      <c r="L29">
        <v>5.9</v>
      </c>
      <c r="M29">
        <v>6.2</v>
      </c>
      <c r="N29">
        <v>4.8</v>
      </c>
      <c r="O29">
        <v>6</v>
      </c>
      <c r="Q29">
        <v>37</v>
      </c>
      <c r="R29" t="s">
        <v>1063</v>
      </c>
      <c r="S29">
        <v>220.88</v>
      </c>
      <c r="T29" t="s">
        <v>2819</v>
      </c>
      <c r="U29" t="s">
        <v>1062</v>
      </c>
    </row>
    <row r="30" spans="1:21" x14ac:dyDescent="0.25">
      <c r="A30" t="s">
        <v>1130</v>
      </c>
      <c r="B30" t="s">
        <v>930</v>
      </c>
      <c r="C30" t="s">
        <v>929</v>
      </c>
      <c r="D30" t="s">
        <v>586</v>
      </c>
      <c r="E30" t="s">
        <v>1056</v>
      </c>
      <c r="F30" t="s">
        <v>1131</v>
      </c>
      <c r="G30" t="s">
        <v>1132</v>
      </c>
      <c r="H30" t="s">
        <v>90</v>
      </c>
      <c r="I30" t="s">
        <v>90</v>
      </c>
      <c r="J30">
        <v>143.81986660000001</v>
      </c>
      <c r="K30">
        <v>5.4046272799999997</v>
      </c>
      <c r="L30">
        <v>5.3884180300000004</v>
      </c>
      <c r="M30">
        <v>5.2368868800000001</v>
      </c>
      <c r="N30">
        <v>4.2788819599999997</v>
      </c>
      <c r="O30">
        <v>14.77826307323652</v>
      </c>
      <c r="P30">
        <v>216.64295475</v>
      </c>
      <c r="Q30">
        <v>0</v>
      </c>
      <c r="R30" t="s">
        <v>1063</v>
      </c>
      <c r="S30">
        <v>143.81986660000001</v>
      </c>
      <c r="T30" t="s">
        <v>2819</v>
      </c>
      <c r="U30" t="s">
        <v>1059</v>
      </c>
    </row>
    <row r="31" spans="1:21" x14ac:dyDescent="0.25">
      <c r="A31" t="s">
        <v>1133</v>
      </c>
      <c r="B31" t="s">
        <v>1134</v>
      </c>
      <c r="C31" t="s">
        <v>1135</v>
      </c>
      <c r="D31" t="s">
        <v>586</v>
      </c>
      <c r="E31" t="s">
        <v>1056</v>
      </c>
      <c r="F31" t="s">
        <v>1136</v>
      </c>
      <c r="G31" t="s">
        <v>1137</v>
      </c>
      <c r="H31" t="s">
        <v>90</v>
      </c>
      <c r="I31" t="s">
        <v>90</v>
      </c>
      <c r="J31">
        <v>229.47740114000001</v>
      </c>
      <c r="K31">
        <v>4.4246719600000004</v>
      </c>
      <c r="L31">
        <v>4.2252633900000003</v>
      </c>
      <c r="M31">
        <v>4.3452248899999999</v>
      </c>
      <c r="N31">
        <v>4.7898020700000004</v>
      </c>
      <c r="O31">
        <v>2.8493452758957898</v>
      </c>
      <c r="P31">
        <v>511.49504445000002</v>
      </c>
      <c r="Q31">
        <v>9.4735324712766751</v>
      </c>
      <c r="R31" t="s">
        <v>1063</v>
      </c>
      <c r="S31">
        <v>229.47740114000001</v>
      </c>
      <c r="T31" t="s">
        <v>2819</v>
      </c>
      <c r="U31" t="s">
        <v>1059</v>
      </c>
    </row>
    <row r="32" spans="1:21" x14ac:dyDescent="0.25">
      <c r="A32" t="s">
        <v>5747</v>
      </c>
      <c r="B32" t="s">
        <v>1310</v>
      </c>
      <c r="C32" t="s">
        <v>3003</v>
      </c>
      <c r="D32" t="s">
        <v>823</v>
      </c>
      <c r="E32" t="s">
        <v>4805</v>
      </c>
      <c r="F32" t="s">
        <v>1296</v>
      </c>
      <c r="G32" t="s">
        <v>1203</v>
      </c>
      <c r="H32">
        <v>58527.57</v>
      </c>
      <c r="I32">
        <v>12927441</v>
      </c>
      <c r="J32">
        <v>220.88</v>
      </c>
      <c r="K32">
        <v>5.7</v>
      </c>
      <c r="L32">
        <v>5.9</v>
      </c>
      <c r="M32">
        <v>6.2</v>
      </c>
      <c r="N32">
        <v>4.8</v>
      </c>
      <c r="O32">
        <v>6</v>
      </c>
      <c r="Q32">
        <v>37</v>
      </c>
      <c r="R32" t="s">
        <v>1063</v>
      </c>
      <c r="S32">
        <v>220.88</v>
      </c>
      <c r="T32" t="s">
        <v>2819</v>
      </c>
      <c r="U32" t="s">
        <v>1062</v>
      </c>
    </row>
    <row r="33" spans="1:21" x14ac:dyDescent="0.25">
      <c r="A33" t="s">
        <v>5747</v>
      </c>
      <c r="B33" t="s">
        <v>826</v>
      </c>
      <c r="C33" t="s">
        <v>825</v>
      </c>
      <c r="D33" t="s">
        <v>823</v>
      </c>
      <c r="E33" t="s">
        <v>4805</v>
      </c>
      <c r="F33" t="s">
        <v>1296</v>
      </c>
      <c r="G33" t="s">
        <v>1203</v>
      </c>
      <c r="H33">
        <v>58527.57</v>
      </c>
      <c r="I33">
        <v>12927441</v>
      </c>
      <c r="J33">
        <v>220.88</v>
      </c>
      <c r="K33">
        <v>5.7</v>
      </c>
      <c r="L33">
        <v>5.9</v>
      </c>
      <c r="M33">
        <v>6.2</v>
      </c>
      <c r="N33">
        <v>4.8</v>
      </c>
      <c r="O33">
        <v>6</v>
      </c>
      <c r="Q33">
        <v>37</v>
      </c>
      <c r="R33" t="s">
        <v>1063</v>
      </c>
      <c r="S33">
        <v>220.88</v>
      </c>
      <c r="T33" t="s">
        <v>2819</v>
      </c>
      <c r="U33" t="s">
        <v>1062</v>
      </c>
    </row>
    <row r="34" spans="1:21" x14ac:dyDescent="0.25">
      <c r="A34" t="s">
        <v>1141</v>
      </c>
      <c r="B34" t="s">
        <v>621</v>
      </c>
      <c r="C34" t="s">
        <v>620</v>
      </c>
      <c r="D34" t="s">
        <v>586</v>
      </c>
      <c r="E34" t="s">
        <v>1056</v>
      </c>
      <c r="F34" t="s">
        <v>1057</v>
      </c>
      <c r="G34" t="s">
        <v>1058</v>
      </c>
      <c r="H34" t="s">
        <v>90</v>
      </c>
      <c r="I34" t="s">
        <v>90</v>
      </c>
      <c r="J34">
        <v>25.310893870000001</v>
      </c>
      <c r="K34">
        <v>6.4170408099999996</v>
      </c>
      <c r="L34">
        <v>6.0415788299999997</v>
      </c>
      <c r="M34">
        <v>4.9069701200000004</v>
      </c>
      <c r="N34">
        <v>5.3628919599999998</v>
      </c>
      <c r="O34">
        <v>56.726228398502833</v>
      </c>
      <c r="P34">
        <v>94.229533579999995</v>
      </c>
      <c r="Q34">
        <v>20.590905471052</v>
      </c>
      <c r="R34" t="s">
        <v>30</v>
      </c>
      <c r="S34">
        <v>25.310893870000001</v>
      </c>
      <c r="T34" t="s">
        <v>2819</v>
      </c>
      <c r="U34" t="s">
        <v>1059</v>
      </c>
    </row>
    <row r="35" spans="1:21" x14ac:dyDescent="0.25">
      <c r="A35" t="s">
        <v>1142</v>
      </c>
      <c r="B35" t="s">
        <v>1143</v>
      </c>
      <c r="C35" t="s">
        <v>1144</v>
      </c>
      <c r="D35" t="s">
        <v>586</v>
      </c>
      <c r="E35" t="s">
        <v>1056</v>
      </c>
      <c r="F35" t="s">
        <v>1057</v>
      </c>
      <c r="G35" t="s">
        <v>1067</v>
      </c>
      <c r="H35" t="s">
        <v>90</v>
      </c>
      <c r="I35" t="s">
        <v>90</v>
      </c>
      <c r="J35">
        <v>59.47308623</v>
      </c>
      <c r="K35">
        <v>5.7507783000000003</v>
      </c>
      <c r="L35">
        <v>4.35428733</v>
      </c>
      <c r="M35">
        <v>4.5257659500000003</v>
      </c>
      <c r="N35">
        <v>6.25297868</v>
      </c>
      <c r="O35">
        <v>2.7529316990890851</v>
      </c>
      <c r="P35">
        <v>111.88593032</v>
      </c>
      <c r="Q35">
        <v>26.45374674827044</v>
      </c>
      <c r="R35" t="s">
        <v>30</v>
      </c>
      <c r="S35">
        <v>59.47308623</v>
      </c>
      <c r="T35" t="s">
        <v>2819</v>
      </c>
      <c r="U35" t="s">
        <v>1059</v>
      </c>
    </row>
    <row r="36" spans="1:21" x14ac:dyDescent="0.25">
      <c r="A36" t="s">
        <v>5747</v>
      </c>
      <c r="B36" t="s">
        <v>960</v>
      </c>
      <c r="C36" t="s">
        <v>959</v>
      </c>
      <c r="D36" t="s">
        <v>823</v>
      </c>
      <c r="E36" t="s">
        <v>4805</v>
      </c>
      <c r="F36" t="s">
        <v>1296</v>
      </c>
      <c r="G36" t="s">
        <v>1203</v>
      </c>
      <c r="H36">
        <v>58527.57</v>
      </c>
      <c r="I36">
        <v>12927441</v>
      </c>
      <c r="J36">
        <v>220.88</v>
      </c>
      <c r="K36">
        <v>5.7</v>
      </c>
      <c r="L36">
        <v>5.9</v>
      </c>
      <c r="M36">
        <v>6.2</v>
      </c>
      <c r="N36">
        <v>4.8</v>
      </c>
      <c r="O36">
        <v>6</v>
      </c>
      <c r="Q36">
        <v>37</v>
      </c>
      <c r="R36" t="s">
        <v>1063</v>
      </c>
      <c r="S36">
        <v>220.88</v>
      </c>
      <c r="T36" t="s">
        <v>2819</v>
      </c>
      <c r="U36" t="s">
        <v>1062</v>
      </c>
    </row>
    <row r="37" spans="1:21" x14ac:dyDescent="0.25">
      <c r="A37" t="s">
        <v>5747</v>
      </c>
      <c r="B37" t="s">
        <v>4777</v>
      </c>
      <c r="C37" t="s">
        <v>4815</v>
      </c>
      <c r="D37" t="s">
        <v>191</v>
      </c>
      <c r="E37" t="s">
        <v>4804</v>
      </c>
      <c r="F37" t="s">
        <v>1296</v>
      </c>
      <c r="G37" t="s">
        <v>1203</v>
      </c>
      <c r="H37">
        <v>58527.57</v>
      </c>
      <c r="I37">
        <v>12927441</v>
      </c>
      <c r="J37">
        <v>220.88</v>
      </c>
      <c r="K37">
        <v>5.7</v>
      </c>
      <c r="L37">
        <v>5.9</v>
      </c>
      <c r="M37">
        <v>6.2</v>
      </c>
      <c r="N37">
        <v>4.8</v>
      </c>
      <c r="O37">
        <v>6</v>
      </c>
      <c r="Q37">
        <v>37</v>
      </c>
      <c r="R37" t="s">
        <v>1063</v>
      </c>
      <c r="S37">
        <v>220.88</v>
      </c>
      <c r="T37" t="s">
        <v>2819</v>
      </c>
      <c r="U37" t="s">
        <v>1062</v>
      </c>
    </row>
    <row r="38" spans="1:21" x14ac:dyDescent="0.25">
      <c r="A38" t="s">
        <v>1146</v>
      </c>
      <c r="B38" t="s">
        <v>934</v>
      </c>
      <c r="C38" t="s">
        <v>933</v>
      </c>
      <c r="D38" t="s">
        <v>586</v>
      </c>
      <c r="E38" t="s">
        <v>1056</v>
      </c>
      <c r="F38" t="s">
        <v>1057</v>
      </c>
      <c r="G38" t="s">
        <v>1067</v>
      </c>
      <c r="H38" t="s">
        <v>90</v>
      </c>
      <c r="I38" t="s">
        <v>90</v>
      </c>
      <c r="J38">
        <v>52.218443720000003</v>
      </c>
      <c r="K38">
        <v>5.3827598500000002</v>
      </c>
      <c r="L38">
        <v>4.2248331700000001</v>
      </c>
      <c r="M38">
        <v>4.3688441300000003</v>
      </c>
      <c r="N38">
        <v>6.1324276099999997</v>
      </c>
      <c r="O38">
        <v>2.585896492676317</v>
      </c>
      <c r="P38">
        <v>113.8682417</v>
      </c>
      <c r="Q38">
        <v>22.072015531504171</v>
      </c>
      <c r="R38" t="s">
        <v>1063</v>
      </c>
      <c r="S38">
        <v>52.218443720000003</v>
      </c>
      <c r="T38" t="s">
        <v>2819</v>
      </c>
      <c r="U38" t="s">
        <v>1059</v>
      </c>
    </row>
    <row r="39" spans="1:21" x14ac:dyDescent="0.25">
      <c r="A39" t="s">
        <v>5747</v>
      </c>
      <c r="B39" t="s">
        <v>4816</v>
      </c>
      <c r="C39" t="s">
        <v>4817</v>
      </c>
      <c r="D39" t="s">
        <v>823</v>
      </c>
      <c r="E39" t="s">
        <v>4805</v>
      </c>
      <c r="F39" t="s">
        <v>1296</v>
      </c>
      <c r="G39" t="s">
        <v>1203</v>
      </c>
      <c r="H39">
        <v>58527.57</v>
      </c>
      <c r="I39">
        <v>12927441</v>
      </c>
      <c r="J39">
        <v>220.88</v>
      </c>
      <c r="K39">
        <v>5.7</v>
      </c>
      <c r="L39">
        <v>5.9</v>
      </c>
      <c r="M39">
        <v>6.2</v>
      </c>
      <c r="N39">
        <v>4.8</v>
      </c>
      <c r="O39">
        <v>6</v>
      </c>
      <c r="Q39">
        <v>37</v>
      </c>
      <c r="R39" t="s">
        <v>1063</v>
      </c>
      <c r="S39">
        <v>220.88</v>
      </c>
      <c r="T39" t="s">
        <v>2819</v>
      </c>
      <c r="U39" t="s">
        <v>1062</v>
      </c>
    </row>
    <row r="40" spans="1:21" x14ac:dyDescent="0.25">
      <c r="A40" t="s">
        <v>1149</v>
      </c>
      <c r="B40" t="s">
        <v>1150</v>
      </c>
      <c r="C40" t="s">
        <v>1151</v>
      </c>
      <c r="D40" t="s">
        <v>586</v>
      </c>
      <c r="E40" t="s">
        <v>1056</v>
      </c>
      <c r="F40" t="s">
        <v>1057</v>
      </c>
      <c r="G40" t="s">
        <v>1058</v>
      </c>
      <c r="H40" t="s">
        <v>90</v>
      </c>
      <c r="I40" t="s">
        <v>90</v>
      </c>
      <c r="J40">
        <v>49.987713560000003</v>
      </c>
      <c r="K40">
        <v>6.3937466799999996</v>
      </c>
      <c r="L40">
        <v>5.8483129399999996</v>
      </c>
      <c r="M40">
        <v>4.7062803000000004</v>
      </c>
      <c r="N40">
        <v>5.8759717499999997</v>
      </c>
      <c r="O40">
        <v>45.680900000000001</v>
      </c>
      <c r="P40">
        <v>165.64004979000001</v>
      </c>
      <c r="Q40">
        <v>31.404</v>
      </c>
      <c r="R40" t="s">
        <v>30</v>
      </c>
      <c r="S40">
        <v>49.987713560000003</v>
      </c>
      <c r="T40" t="s">
        <v>2819</v>
      </c>
      <c r="U40" t="s">
        <v>1059</v>
      </c>
    </row>
    <row r="41" spans="1:21" x14ac:dyDescent="0.25">
      <c r="A41" t="s">
        <v>1152</v>
      </c>
      <c r="B41" t="s">
        <v>1153</v>
      </c>
      <c r="C41" t="s">
        <v>1154</v>
      </c>
      <c r="D41" t="s">
        <v>586</v>
      </c>
      <c r="E41" t="s">
        <v>1056</v>
      </c>
      <c r="F41" t="s">
        <v>1057</v>
      </c>
      <c r="G41" t="s">
        <v>1155</v>
      </c>
      <c r="H41" t="s">
        <v>90</v>
      </c>
      <c r="I41" t="s">
        <v>90</v>
      </c>
      <c r="J41">
        <v>2.6161214099999999</v>
      </c>
      <c r="K41">
        <v>6.5218430500000002</v>
      </c>
      <c r="L41">
        <v>6.8953179699999998</v>
      </c>
      <c r="M41">
        <v>4.7693777300000004</v>
      </c>
      <c r="N41">
        <v>5.7682112999999999</v>
      </c>
      <c r="O41">
        <v>67.312899999999999</v>
      </c>
      <c r="P41">
        <v>12.89367872</v>
      </c>
      <c r="Q41">
        <v>33.241200000000013</v>
      </c>
      <c r="R41" t="s">
        <v>30</v>
      </c>
      <c r="S41">
        <v>2.6161214099999999</v>
      </c>
      <c r="T41" t="s">
        <v>2819</v>
      </c>
      <c r="U41" t="s">
        <v>1059</v>
      </c>
    </row>
    <row r="42" spans="1:21" x14ac:dyDescent="0.25">
      <c r="A42" t="s">
        <v>5747</v>
      </c>
      <c r="B42" t="s">
        <v>5622</v>
      </c>
      <c r="C42" t="s">
        <v>5623</v>
      </c>
      <c r="D42" t="s">
        <v>823</v>
      </c>
      <c r="E42" t="s">
        <v>4805</v>
      </c>
      <c r="F42" t="s">
        <v>1296</v>
      </c>
      <c r="G42" t="s">
        <v>1203</v>
      </c>
      <c r="H42">
        <v>58527.57</v>
      </c>
      <c r="I42">
        <v>12927441</v>
      </c>
      <c r="J42">
        <v>220.88</v>
      </c>
      <c r="K42">
        <v>5.7</v>
      </c>
      <c r="L42">
        <v>5.9</v>
      </c>
      <c r="M42">
        <v>6.2</v>
      </c>
      <c r="N42">
        <v>4.8</v>
      </c>
      <c r="O42">
        <v>6</v>
      </c>
      <c r="Q42">
        <v>37</v>
      </c>
      <c r="R42" t="s">
        <v>1063</v>
      </c>
      <c r="S42">
        <v>220.88</v>
      </c>
      <c r="T42" t="s">
        <v>2819</v>
      </c>
      <c r="U42" t="s">
        <v>1062</v>
      </c>
    </row>
    <row r="43" spans="1:21" x14ac:dyDescent="0.25">
      <c r="A43" t="s">
        <v>1156</v>
      </c>
      <c r="B43" t="s">
        <v>1157</v>
      </c>
      <c r="C43" t="s">
        <v>1158</v>
      </c>
      <c r="D43" t="s">
        <v>586</v>
      </c>
      <c r="E43" t="s">
        <v>1056</v>
      </c>
      <c r="F43" t="s">
        <v>1057</v>
      </c>
      <c r="G43" t="s">
        <v>1159</v>
      </c>
      <c r="H43" t="s">
        <v>90</v>
      </c>
      <c r="I43" t="s">
        <v>90</v>
      </c>
      <c r="J43">
        <v>8.4462456499999998</v>
      </c>
      <c r="K43">
        <v>6.1661027099999997</v>
      </c>
      <c r="L43">
        <v>7.26703309</v>
      </c>
      <c r="M43">
        <v>4.3204943099999999</v>
      </c>
      <c r="N43">
        <v>5.5154107000000003</v>
      </c>
      <c r="O43">
        <v>52.657200000000003</v>
      </c>
      <c r="P43">
        <v>27.040973919999999</v>
      </c>
      <c r="Q43">
        <v>36.287999999999997</v>
      </c>
      <c r="R43" t="s">
        <v>30</v>
      </c>
      <c r="S43">
        <v>8.4462456499999998</v>
      </c>
      <c r="T43" t="s">
        <v>2819</v>
      </c>
      <c r="U43" t="s">
        <v>1059</v>
      </c>
    </row>
    <row r="44" spans="1:21" x14ac:dyDescent="0.25">
      <c r="A44" t="s">
        <v>1160</v>
      </c>
      <c r="B44" t="s">
        <v>1161</v>
      </c>
      <c r="C44" t="s">
        <v>1162</v>
      </c>
      <c r="D44" t="s">
        <v>586</v>
      </c>
      <c r="E44" t="s">
        <v>1056</v>
      </c>
      <c r="F44" t="s">
        <v>1163</v>
      </c>
      <c r="G44" t="s">
        <v>1164</v>
      </c>
      <c r="H44" t="s">
        <v>90</v>
      </c>
      <c r="I44" t="s">
        <v>90</v>
      </c>
      <c r="J44">
        <v>50.76605052</v>
      </c>
      <c r="K44">
        <v>7.8300854800000002</v>
      </c>
      <c r="L44">
        <v>6.4502992600000004</v>
      </c>
      <c r="M44">
        <v>5.1379458700000002</v>
      </c>
      <c r="N44">
        <v>6.5661282099999996</v>
      </c>
      <c r="O44">
        <v>45.209290540877547</v>
      </c>
      <c r="P44">
        <v>79.236278679999998</v>
      </c>
      <c r="Q44">
        <v>69.330920654934459</v>
      </c>
      <c r="R44" t="s">
        <v>1073</v>
      </c>
      <c r="S44">
        <v>50.76605052</v>
      </c>
      <c r="T44" t="s">
        <v>2819</v>
      </c>
      <c r="U44" t="s">
        <v>1059</v>
      </c>
    </row>
    <row r="45" spans="1:21" x14ac:dyDescent="0.25">
      <c r="A45" t="s">
        <v>1165</v>
      </c>
      <c r="B45" t="s">
        <v>1166</v>
      </c>
      <c r="C45" t="s">
        <v>1167</v>
      </c>
      <c r="D45" t="s">
        <v>586</v>
      </c>
      <c r="E45" t="s">
        <v>1056</v>
      </c>
      <c r="F45" t="s">
        <v>1057</v>
      </c>
      <c r="G45" t="s">
        <v>1067</v>
      </c>
      <c r="H45" t="s">
        <v>90</v>
      </c>
      <c r="I45" t="s">
        <v>90</v>
      </c>
      <c r="J45">
        <v>64.781447139999997</v>
      </c>
      <c r="K45">
        <v>5.83488965</v>
      </c>
      <c r="L45">
        <v>4.4131172400000001</v>
      </c>
      <c r="M45">
        <v>4.5768471000000002</v>
      </c>
      <c r="N45">
        <v>6.26404958</v>
      </c>
      <c r="O45">
        <v>3.1414645546064128</v>
      </c>
      <c r="P45">
        <v>92.405913369999993</v>
      </c>
      <c r="Q45">
        <v>26.468275517934611</v>
      </c>
      <c r="R45" t="s">
        <v>30</v>
      </c>
      <c r="S45">
        <v>64.781447139999997</v>
      </c>
      <c r="T45" t="s">
        <v>2819</v>
      </c>
      <c r="U45" t="s">
        <v>1059</v>
      </c>
    </row>
    <row r="46" spans="1:21" x14ac:dyDescent="0.25">
      <c r="A46" t="s">
        <v>1169</v>
      </c>
      <c r="B46" t="s">
        <v>938</v>
      </c>
      <c r="C46" t="s">
        <v>937</v>
      </c>
      <c r="D46" t="s">
        <v>586</v>
      </c>
      <c r="E46" t="s">
        <v>1056</v>
      </c>
      <c r="F46" t="s">
        <v>1170</v>
      </c>
      <c r="G46" t="s">
        <v>1171</v>
      </c>
      <c r="H46" t="s">
        <v>90</v>
      </c>
      <c r="I46" t="s">
        <v>90</v>
      </c>
      <c r="J46">
        <v>110.41442962000001</v>
      </c>
      <c r="K46">
        <v>5.9981302799999998</v>
      </c>
      <c r="L46">
        <v>5.4534358899999997</v>
      </c>
      <c r="M46">
        <v>5.0125477299999996</v>
      </c>
      <c r="N46">
        <v>4.8819940500000003</v>
      </c>
      <c r="O46">
        <v>37.325134466122087</v>
      </c>
      <c r="P46">
        <v>134.70538984000001</v>
      </c>
      <c r="Q46">
        <v>18.48756517275309</v>
      </c>
      <c r="R46" t="s">
        <v>30</v>
      </c>
      <c r="S46">
        <v>110.41442962000001</v>
      </c>
      <c r="T46" t="s">
        <v>2819</v>
      </c>
      <c r="U46" t="s">
        <v>1059</v>
      </c>
    </row>
    <row r="47" spans="1:21" x14ac:dyDescent="0.25">
      <c r="A47" t="s">
        <v>1172</v>
      </c>
      <c r="B47" t="s">
        <v>932</v>
      </c>
      <c r="C47" t="s">
        <v>931</v>
      </c>
      <c r="D47" t="s">
        <v>586</v>
      </c>
      <c r="E47" t="s">
        <v>1056</v>
      </c>
      <c r="F47" t="s">
        <v>1163</v>
      </c>
      <c r="G47" t="s">
        <v>1164</v>
      </c>
      <c r="H47" t="s">
        <v>90</v>
      </c>
      <c r="I47" t="s">
        <v>90</v>
      </c>
      <c r="J47">
        <v>55.131466279999998</v>
      </c>
      <c r="K47">
        <v>7.7751402900000004</v>
      </c>
      <c r="L47">
        <v>6.8358159199999999</v>
      </c>
      <c r="M47">
        <v>5.2555170699999998</v>
      </c>
      <c r="N47">
        <v>6.4037091799999999</v>
      </c>
      <c r="O47">
        <v>40.77283127215086</v>
      </c>
      <c r="P47">
        <v>82.862622340000001</v>
      </c>
      <c r="Q47">
        <v>63.666362598635182</v>
      </c>
      <c r="R47" t="s">
        <v>1073</v>
      </c>
      <c r="S47">
        <v>55.131466279999998</v>
      </c>
      <c r="T47" t="s">
        <v>2819</v>
      </c>
      <c r="U47" t="s">
        <v>1059</v>
      </c>
    </row>
    <row r="48" spans="1:21" x14ac:dyDescent="0.25">
      <c r="A48" t="s">
        <v>1173</v>
      </c>
      <c r="B48" t="s">
        <v>607</v>
      </c>
      <c r="C48" t="s">
        <v>606</v>
      </c>
      <c r="D48" t="s">
        <v>586</v>
      </c>
      <c r="E48" t="s">
        <v>1056</v>
      </c>
      <c r="F48" t="s">
        <v>1174</v>
      </c>
      <c r="G48" t="s">
        <v>1175</v>
      </c>
      <c r="H48" t="s">
        <v>90</v>
      </c>
      <c r="I48" t="s">
        <v>90</v>
      </c>
      <c r="J48">
        <v>105.17508407</v>
      </c>
      <c r="K48">
        <v>4.8212122900000001</v>
      </c>
      <c r="L48">
        <v>5.6430785099999996</v>
      </c>
      <c r="M48">
        <v>4.5361840600000001</v>
      </c>
      <c r="N48">
        <v>4.2455955400000001</v>
      </c>
      <c r="O48">
        <v>38.560769140392424</v>
      </c>
      <c r="P48">
        <v>158.88040563000001</v>
      </c>
      <c r="Q48">
        <v>3.6509475855833959</v>
      </c>
      <c r="R48" t="s">
        <v>1063</v>
      </c>
      <c r="S48">
        <v>105.17508407</v>
      </c>
      <c r="T48" t="s">
        <v>2819</v>
      </c>
      <c r="U48" t="s">
        <v>1059</v>
      </c>
    </row>
    <row r="49" spans="1:21" x14ac:dyDescent="0.25">
      <c r="A49" t="s">
        <v>1177</v>
      </c>
      <c r="B49" t="s">
        <v>1178</v>
      </c>
      <c r="C49" t="s">
        <v>1179</v>
      </c>
      <c r="D49" t="s">
        <v>586</v>
      </c>
      <c r="E49" t="s">
        <v>1056</v>
      </c>
      <c r="F49" t="s">
        <v>1180</v>
      </c>
      <c r="G49" t="s">
        <v>1181</v>
      </c>
      <c r="H49" t="s">
        <v>90</v>
      </c>
      <c r="I49" t="s">
        <v>90</v>
      </c>
      <c r="J49">
        <v>66.227803359999996</v>
      </c>
      <c r="K49">
        <v>6.5952585399999997</v>
      </c>
      <c r="L49">
        <v>5.2341404300000001</v>
      </c>
      <c r="M49">
        <v>5.8437783300000001</v>
      </c>
      <c r="N49">
        <v>5.4052845100000004</v>
      </c>
      <c r="O49">
        <v>8.8711588593095829</v>
      </c>
      <c r="P49">
        <v>169.84597073</v>
      </c>
      <c r="Q49">
        <v>4.2533405462266813</v>
      </c>
      <c r="R49" t="s">
        <v>30</v>
      </c>
      <c r="S49">
        <v>66.227803359999996</v>
      </c>
      <c r="T49" t="s">
        <v>2819</v>
      </c>
      <c r="U49" t="s">
        <v>1059</v>
      </c>
    </row>
    <row r="50" spans="1:21" x14ac:dyDescent="0.25">
      <c r="A50" t="s">
        <v>1182</v>
      </c>
      <c r="B50" t="s">
        <v>1183</v>
      </c>
      <c r="C50" t="s">
        <v>1184</v>
      </c>
      <c r="D50" t="s">
        <v>586</v>
      </c>
      <c r="E50" t="s">
        <v>1056</v>
      </c>
      <c r="F50" t="s">
        <v>1057</v>
      </c>
      <c r="G50" t="s">
        <v>1058</v>
      </c>
      <c r="H50" t="s">
        <v>90</v>
      </c>
      <c r="I50" t="s">
        <v>90</v>
      </c>
      <c r="J50">
        <v>8.5141325400000003</v>
      </c>
      <c r="K50">
        <v>6.9567151999999997</v>
      </c>
      <c r="L50">
        <v>6.4822044099999996</v>
      </c>
      <c r="M50">
        <v>4.88983306</v>
      </c>
      <c r="N50">
        <v>5.4667998600000001</v>
      </c>
      <c r="O50">
        <v>74.020665561463744</v>
      </c>
      <c r="P50">
        <v>22.34217086</v>
      </c>
      <c r="Q50">
        <v>27.91360619446905</v>
      </c>
      <c r="R50" t="s">
        <v>30</v>
      </c>
      <c r="S50">
        <v>8.5141325400000003</v>
      </c>
      <c r="T50" t="s">
        <v>2819</v>
      </c>
      <c r="U50" t="s">
        <v>1059</v>
      </c>
    </row>
    <row r="51" spans="1:21" x14ac:dyDescent="0.25">
      <c r="A51" t="s">
        <v>1186</v>
      </c>
      <c r="B51" t="s">
        <v>1187</v>
      </c>
      <c r="C51" t="s">
        <v>1188</v>
      </c>
      <c r="D51" t="s">
        <v>586</v>
      </c>
      <c r="E51" t="s">
        <v>1056</v>
      </c>
      <c r="F51" t="s">
        <v>1057</v>
      </c>
      <c r="G51" t="s">
        <v>1189</v>
      </c>
      <c r="H51" t="s">
        <v>90</v>
      </c>
      <c r="I51" t="s">
        <v>90</v>
      </c>
      <c r="J51">
        <v>166.10266064999999</v>
      </c>
      <c r="K51">
        <v>6.9284507</v>
      </c>
      <c r="L51">
        <v>5.3681503700000004</v>
      </c>
      <c r="M51">
        <v>4.6002706099999999</v>
      </c>
      <c r="N51">
        <v>6.5123833400000004</v>
      </c>
      <c r="O51">
        <v>19.09288837440846</v>
      </c>
      <c r="P51">
        <v>606.96809088999998</v>
      </c>
      <c r="Q51">
        <v>47.844280370505871</v>
      </c>
      <c r="R51" t="s">
        <v>30</v>
      </c>
      <c r="S51">
        <v>166.10266064999999</v>
      </c>
      <c r="T51" t="s">
        <v>2819</v>
      </c>
      <c r="U51" t="s">
        <v>1059</v>
      </c>
    </row>
    <row r="52" spans="1:21" x14ac:dyDescent="0.25">
      <c r="A52" t="s">
        <v>1190</v>
      </c>
      <c r="B52" t="s">
        <v>1191</v>
      </c>
      <c r="C52" t="s">
        <v>1192</v>
      </c>
      <c r="D52" t="s">
        <v>586</v>
      </c>
      <c r="E52" t="s">
        <v>1056</v>
      </c>
      <c r="F52" t="s">
        <v>1057</v>
      </c>
      <c r="G52" t="s">
        <v>1155</v>
      </c>
      <c r="H52" t="s">
        <v>90</v>
      </c>
      <c r="I52" t="s">
        <v>90</v>
      </c>
      <c r="J52">
        <v>2.5178347200000002</v>
      </c>
      <c r="K52">
        <v>6.5750545300000001</v>
      </c>
      <c r="L52">
        <v>7.1221295199999997</v>
      </c>
      <c r="M52">
        <v>4.8273864</v>
      </c>
      <c r="N52">
        <v>5.7131382400000001</v>
      </c>
      <c r="O52">
        <v>72.942599999999999</v>
      </c>
      <c r="P52">
        <v>11.53187696</v>
      </c>
      <c r="Q52">
        <v>34.060499999999998</v>
      </c>
      <c r="R52" t="s">
        <v>30</v>
      </c>
      <c r="S52">
        <v>2.5178347200000002</v>
      </c>
      <c r="T52" t="s">
        <v>2819</v>
      </c>
      <c r="U52" t="s">
        <v>1059</v>
      </c>
    </row>
    <row r="53" spans="1:21" x14ac:dyDescent="0.25">
      <c r="A53" t="s">
        <v>1193</v>
      </c>
      <c r="B53" t="s">
        <v>1194</v>
      </c>
      <c r="C53" t="s">
        <v>1195</v>
      </c>
      <c r="D53" t="s">
        <v>586</v>
      </c>
      <c r="E53" t="s">
        <v>1056</v>
      </c>
      <c r="F53" t="s">
        <v>1057</v>
      </c>
      <c r="G53" t="s">
        <v>1196</v>
      </c>
      <c r="H53" t="s">
        <v>90</v>
      </c>
      <c r="I53" t="s">
        <v>90</v>
      </c>
      <c r="J53">
        <v>25.627612589999998</v>
      </c>
      <c r="K53">
        <v>6.8319633</v>
      </c>
      <c r="L53">
        <v>5.3040113099999999</v>
      </c>
      <c r="M53">
        <v>4.4207889500000004</v>
      </c>
      <c r="N53">
        <v>6.1536213200000001</v>
      </c>
      <c r="O53">
        <v>69.525305145289693</v>
      </c>
      <c r="P53">
        <v>37.428284689999998</v>
      </c>
      <c r="Q53">
        <v>30.126770321887602</v>
      </c>
      <c r="R53" t="s">
        <v>30</v>
      </c>
      <c r="S53">
        <v>25.627612589999998</v>
      </c>
      <c r="T53" t="s">
        <v>2819</v>
      </c>
      <c r="U53" t="s">
        <v>1059</v>
      </c>
    </row>
    <row r="54" spans="1:21" x14ac:dyDescent="0.25">
      <c r="A54" t="s">
        <v>1199</v>
      </c>
      <c r="B54" t="s">
        <v>1200</v>
      </c>
      <c r="C54" t="s">
        <v>1201</v>
      </c>
      <c r="D54" t="s">
        <v>586</v>
      </c>
      <c r="E54" t="s">
        <v>1056</v>
      </c>
      <c r="F54" t="s">
        <v>1057</v>
      </c>
      <c r="G54" t="s">
        <v>1202</v>
      </c>
      <c r="H54" t="s">
        <v>90</v>
      </c>
      <c r="I54" t="s">
        <v>90</v>
      </c>
      <c r="J54">
        <v>10.850977670000001</v>
      </c>
      <c r="K54">
        <v>5.9512684599999996</v>
      </c>
      <c r="L54">
        <v>6.2355375400000002</v>
      </c>
      <c r="M54">
        <v>4.1480837800000003</v>
      </c>
      <c r="N54">
        <v>5.45391621</v>
      </c>
      <c r="O54">
        <v>56.236400000000003</v>
      </c>
      <c r="P54">
        <v>58.160910370000003</v>
      </c>
      <c r="Q54">
        <v>17.756699999999999</v>
      </c>
      <c r="R54" t="s">
        <v>30</v>
      </c>
      <c r="S54">
        <v>10.850977670000001</v>
      </c>
      <c r="T54" t="s">
        <v>2819</v>
      </c>
      <c r="U54" t="s">
        <v>1059</v>
      </c>
    </row>
    <row r="55" spans="1:21" x14ac:dyDescent="0.25">
      <c r="A55" t="s">
        <v>1204</v>
      </c>
      <c r="B55" t="s">
        <v>714</v>
      </c>
      <c r="C55" t="s">
        <v>713</v>
      </c>
      <c r="D55" t="s">
        <v>586</v>
      </c>
      <c r="E55" t="s">
        <v>1056</v>
      </c>
      <c r="F55" t="s">
        <v>1057</v>
      </c>
      <c r="G55" t="s">
        <v>1205</v>
      </c>
      <c r="H55" t="s">
        <v>90</v>
      </c>
      <c r="I55" t="s">
        <v>90</v>
      </c>
      <c r="J55">
        <v>195.81351094999999</v>
      </c>
      <c r="K55">
        <v>6.5602316199999997</v>
      </c>
      <c r="L55">
        <v>5.1331824299999997</v>
      </c>
      <c r="M55">
        <v>6.1148558099999999</v>
      </c>
      <c r="N55">
        <v>5.4857842400000001</v>
      </c>
      <c r="O55">
        <v>52.838598756494683</v>
      </c>
      <c r="P55">
        <v>389.41432148000001</v>
      </c>
      <c r="Q55">
        <v>35.723487203230597</v>
      </c>
      <c r="R55" t="s">
        <v>30</v>
      </c>
      <c r="S55">
        <v>195.81351094999999</v>
      </c>
      <c r="T55" t="s">
        <v>2819</v>
      </c>
      <c r="U55" t="s">
        <v>1059</v>
      </c>
    </row>
    <row r="56" spans="1:21" x14ac:dyDescent="0.25">
      <c r="A56" t="s">
        <v>1206</v>
      </c>
      <c r="B56" t="s">
        <v>1207</v>
      </c>
      <c r="C56" t="s">
        <v>1208</v>
      </c>
      <c r="D56" t="s">
        <v>586</v>
      </c>
      <c r="E56" t="s">
        <v>1056</v>
      </c>
      <c r="F56" t="s">
        <v>1057</v>
      </c>
      <c r="G56" t="s">
        <v>1159</v>
      </c>
      <c r="H56" t="s">
        <v>90</v>
      </c>
      <c r="I56" t="s">
        <v>90</v>
      </c>
      <c r="J56">
        <v>7.5609378500000002</v>
      </c>
      <c r="K56">
        <v>6.3112575800000004</v>
      </c>
      <c r="L56">
        <v>7.2809403399999999</v>
      </c>
      <c r="M56">
        <v>4.3963713599999998</v>
      </c>
      <c r="N56">
        <v>5.6629904700000004</v>
      </c>
      <c r="O56">
        <v>47.128216611319601</v>
      </c>
      <c r="P56">
        <v>24.22957693</v>
      </c>
      <c r="Q56">
        <v>34.599851652515007</v>
      </c>
      <c r="R56" t="s">
        <v>30</v>
      </c>
      <c r="S56">
        <v>7.5609378500000002</v>
      </c>
      <c r="T56" t="s">
        <v>2819</v>
      </c>
      <c r="U56" t="s">
        <v>1059</v>
      </c>
    </row>
    <row r="57" spans="1:21" x14ac:dyDescent="0.25">
      <c r="A57" t="s">
        <v>1209</v>
      </c>
      <c r="B57" t="s">
        <v>1210</v>
      </c>
      <c r="C57" t="s">
        <v>1211</v>
      </c>
      <c r="D57" t="s">
        <v>586</v>
      </c>
      <c r="E57" t="s">
        <v>1056</v>
      </c>
      <c r="F57" t="s">
        <v>1057</v>
      </c>
      <c r="G57" t="s">
        <v>1212</v>
      </c>
      <c r="H57" t="s">
        <v>90</v>
      </c>
      <c r="I57" t="s">
        <v>90</v>
      </c>
      <c r="J57">
        <v>32.93981445</v>
      </c>
      <c r="K57">
        <v>6.9251260700000001</v>
      </c>
      <c r="L57">
        <v>5.5397916499999997</v>
      </c>
      <c r="M57">
        <v>4.8099145500000002</v>
      </c>
      <c r="N57">
        <v>6.3093219899999999</v>
      </c>
      <c r="O57">
        <v>42.039073882778347</v>
      </c>
      <c r="P57">
        <v>91.730764100000002</v>
      </c>
      <c r="Q57">
        <v>30.880707357877931</v>
      </c>
      <c r="R57" t="s">
        <v>30</v>
      </c>
      <c r="S57">
        <v>32.93981445</v>
      </c>
      <c r="T57" t="s">
        <v>2819</v>
      </c>
      <c r="U57" t="s">
        <v>1059</v>
      </c>
    </row>
    <row r="58" spans="1:21" x14ac:dyDescent="0.25">
      <c r="A58" t="s">
        <v>1213</v>
      </c>
      <c r="B58" t="s">
        <v>1214</v>
      </c>
      <c r="C58" t="s">
        <v>1215</v>
      </c>
      <c r="D58" t="s">
        <v>586</v>
      </c>
      <c r="E58" t="s">
        <v>1056</v>
      </c>
      <c r="F58" t="s">
        <v>1057</v>
      </c>
      <c r="G58" t="s">
        <v>1216</v>
      </c>
      <c r="H58" t="s">
        <v>90</v>
      </c>
      <c r="I58" t="s">
        <v>90</v>
      </c>
      <c r="J58">
        <v>2.6195459099999998</v>
      </c>
      <c r="K58">
        <v>7.3258189399999996</v>
      </c>
      <c r="L58">
        <v>5.6882905299999997</v>
      </c>
      <c r="M58">
        <v>5.7758389899999996</v>
      </c>
      <c r="N58">
        <v>5.5878215100000004</v>
      </c>
      <c r="O58">
        <v>43.365202904937931</v>
      </c>
      <c r="P58">
        <v>18.813679879999999</v>
      </c>
      <c r="Q58">
        <v>14.62312657586487</v>
      </c>
      <c r="R58" t="s">
        <v>1073</v>
      </c>
      <c r="S58">
        <v>2.6195459099999998</v>
      </c>
      <c r="T58" t="s">
        <v>2819</v>
      </c>
      <c r="U58" t="s">
        <v>1059</v>
      </c>
    </row>
    <row r="59" spans="1:21" x14ac:dyDescent="0.25">
      <c r="A59" t="s">
        <v>1218</v>
      </c>
      <c r="B59" t="s">
        <v>1219</v>
      </c>
      <c r="C59" t="s">
        <v>1220</v>
      </c>
      <c r="D59" t="s">
        <v>586</v>
      </c>
      <c r="E59" t="s">
        <v>1056</v>
      </c>
      <c r="F59" t="s">
        <v>1057</v>
      </c>
      <c r="G59" t="s">
        <v>1221</v>
      </c>
      <c r="H59" t="s">
        <v>90</v>
      </c>
      <c r="I59" t="s">
        <v>90</v>
      </c>
      <c r="J59">
        <v>344.30377815000003</v>
      </c>
      <c r="K59">
        <v>6.5673128099999998</v>
      </c>
      <c r="L59">
        <v>6.1286144499999997</v>
      </c>
      <c r="M59">
        <v>5.6534659100000004</v>
      </c>
      <c r="N59">
        <v>6.6771601799999996</v>
      </c>
      <c r="O59">
        <v>43.608487216974432</v>
      </c>
      <c r="P59">
        <v>1773.0039777</v>
      </c>
      <c r="Q59">
        <v>39.70347940695882</v>
      </c>
      <c r="R59" t="s">
        <v>30</v>
      </c>
      <c r="S59">
        <v>344.30377815000003</v>
      </c>
      <c r="T59" t="s">
        <v>2819</v>
      </c>
      <c r="U59" t="s">
        <v>1059</v>
      </c>
    </row>
    <row r="60" spans="1:21" x14ac:dyDescent="0.25">
      <c r="A60" t="s">
        <v>1424</v>
      </c>
      <c r="B60" t="s">
        <v>459</v>
      </c>
      <c r="C60" t="s">
        <v>458</v>
      </c>
      <c r="D60" t="s">
        <v>422</v>
      </c>
      <c r="E60" t="s">
        <v>4801</v>
      </c>
      <c r="F60" t="s">
        <v>1198</v>
      </c>
      <c r="G60" t="s">
        <v>1119</v>
      </c>
      <c r="H60">
        <v>22133.02</v>
      </c>
      <c r="I60">
        <v>19184.02</v>
      </c>
      <c r="J60">
        <v>0.87</v>
      </c>
      <c r="K60">
        <v>7.3</v>
      </c>
      <c r="L60">
        <v>6.3</v>
      </c>
      <c r="M60">
        <v>4.8</v>
      </c>
      <c r="N60">
        <v>5.4</v>
      </c>
      <c r="O60">
        <v>0</v>
      </c>
      <c r="Q60">
        <v>32</v>
      </c>
      <c r="R60" t="s">
        <v>1073</v>
      </c>
      <c r="S60">
        <v>0.87</v>
      </c>
      <c r="T60" t="s">
        <v>2819</v>
      </c>
      <c r="U60" t="s">
        <v>1062</v>
      </c>
    </row>
    <row r="61" spans="1:21" x14ac:dyDescent="0.25">
      <c r="A61" t="s">
        <v>1218</v>
      </c>
      <c r="B61" t="s">
        <v>1219</v>
      </c>
      <c r="C61" t="s">
        <v>1222</v>
      </c>
      <c r="D61" t="s">
        <v>586</v>
      </c>
      <c r="E61" t="s">
        <v>1056</v>
      </c>
      <c r="F61" t="s">
        <v>1057</v>
      </c>
      <c r="G61" t="s">
        <v>1221</v>
      </c>
      <c r="H61" t="s">
        <v>90</v>
      </c>
      <c r="I61" t="s">
        <v>90</v>
      </c>
      <c r="J61">
        <v>344.30377815000003</v>
      </c>
      <c r="K61">
        <v>6.5673128099999998</v>
      </c>
      <c r="L61">
        <v>6.1286144499999997</v>
      </c>
      <c r="M61">
        <v>5.6534659100000004</v>
      </c>
      <c r="N61">
        <v>6.6771601799999996</v>
      </c>
      <c r="O61">
        <v>43.608487216974432</v>
      </c>
      <c r="P61">
        <v>1773.0039777</v>
      </c>
      <c r="Q61">
        <v>39.70347940695882</v>
      </c>
      <c r="R61" t="s">
        <v>30</v>
      </c>
      <c r="S61">
        <v>344.30377815000003</v>
      </c>
      <c r="T61" t="s">
        <v>2819</v>
      </c>
      <c r="U61" t="s">
        <v>1059</v>
      </c>
    </row>
    <row r="62" spans="1:21" x14ac:dyDescent="0.25">
      <c r="A62" t="s">
        <v>1224</v>
      </c>
      <c r="B62" t="s">
        <v>717</v>
      </c>
      <c r="C62" t="s">
        <v>716</v>
      </c>
      <c r="D62" t="s">
        <v>586</v>
      </c>
      <c r="E62" t="s">
        <v>1056</v>
      </c>
      <c r="F62" t="s">
        <v>1057</v>
      </c>
      <c r="G62" t="s">
        <v>1058</v>
      </c>
      <c r="H62" t="s">
        <v>90</v>
      </c>
      <c r="I62" t="s">
        <v>90</v>
      </c>
      <c r="J62">
        <v>25.31514555</v>
      </c>
      <c r="K62">
        <v>6.4173466899999996</v>
      </c>
      <c r="L62">
        <v>6.0416586499999996</v>
      </c>
      <c r="M62">
        <v>4.9062309300000004</v>
      </c>
      <c r="N62">
        <v>5.3619176299999998</v>
      </c>
      <c r="O62">
        <v>57.007542045252293</v>
      </c>
      <c r="P62">
        <v>94.238956079999994</v>
      </c>
      <c r="Q62">
        <v>20.692724156344941</v>
      </c>
      <c r="R62" t="s">
        <v>30</v>
      </c>
      <c r="S62">
        <v>25.31514555</v>
      </c>
      <c r="T62" t="s">
        <v>2819</v>
      </c>
      <c r="U62" t="s">
        <v>1059</v>
      </c>
    </row>
    <row r="63" spans="1:21" x14ac:dyDescent="0.25">
      <c r="A63" t="s">
        <v>5776</v>
      </c>
      <c r="B63" t="s">
        <v>325</v>
      </c>
      <c r="C63" t="s">
        <v>324</v>
      </c>
      <c r="D63" t="s">
        <v>249</v>
      </c>
      <c r="E63" t="s">
        <v>4806</v>
      </c>
      <c r="F63" t="s">
        <v>1198</v>
      </c>
      <c r="G63" t="s">
        <v>1284</v>
      </c>
      <c r="H63">
        <v>1707.72</v>
      </c>
      <c r="I63">
        <v>3564</v>
      </c>
      <c r="J63">
        <v>2.09</v>
      </c>
      <c r="K63">
        <v>6.2</v>
      </c>
      <c r="L63">
        <v>9</v>
      </c>
      <c r="M63">
        <v>6.9</v>
      </c>
      <c r="N63">
        <v>3.9</v>
      </c>
      <c r="O63">
        <v>1</v>
      </c>
      <c r="Q63">
        <v>26</v>
      </c>
      <c r="R63" t="s">
        <v>30</v>
      </c>
      <c r="S63">
        <v>2.09</v>
      </c>
      <c r="T63" t="s">
        <v>2819</v>
      </c>
      <c r="U63" t="s">
        <v>1062</v>
      </c>
    </row>
    <row r="64" spans="1:21" x14ac:dyDescent="0.25">
      <c r="A64" t="s">
        <v>5374</v>
      </c>
      <c r="B64" t="s">
        <v>694</v>
      </c>
      <c r="C64" t="s">
        <v>693</v>
      </c>
      <c r="D64" t="s">
        <v>586</v>
      </c>
      <c r="E64" t="s">
        <v>1056</v>
      </c>
      <c r="F64" t="s">
        <v>1057</v>
      </c>
      <c r="G64" t="s">
        <v>1058</v>
      </c>
      <c r="H64" t="s">
        <v>90</v>
      </c>
      <c r="I64" t="s">
        <v>90</v>
      </c>
      <c r="J64">
        <v>10.37252563</v>
      </c>
      <c r="K64">
        <v>6.3727722599999996</v>
      </c>
      <c r="L64">
        <v>6.0112054800000001</v>
      </c>
      <c r="M64">
        <v>5.0511355299999998</v>
      </c>
      <c r="N64">
        <v>5.2623369899999997</v>
      </c>
      <c r="O64">
        <v>52.487790048839813</v>
      </c>
      <c r="P64">
        <v>58.055059980000003</v>
      </c>
      <c r="Q64">
        <v>15.959336162655349</v>
      </c>
      <c r="R64" t="s">
        <v>30</v>
      </c>
      <c r="S64">
        <v>10.37252563</v>
      </c>
      <c r="T64" t="s">
        <v>2819</v>
      </c>
      <c r="U64" t="s">
        <v>1059</v>
      </c>
    </row>
    <row r="65" spans="1:21" x14ac:dyDescent="0.25">
      <c r="A65" t="s">
        <v>5776</v>
      </c>
      <c r="B65" t="s">
        <v>330</v>
      </c>
      <c r="C65" t="s">
        <v>329</v>
      </c>
      <c r="D65" t="s">
        <v>249</v>
      </c>
      <c r="E65" t="s">
        <v>4806</v>
      </c>
      <c r="F65" t="s">
        <v>1198</v>
      </c>
      <c r="G65" t="s">
        <v>1284</v>
      </c>
      <c r="H65">
        <v>1707.72</v>
      </c>
      <c r="I65">
        <v>3564</v>
      </c>
      <c r="J65">
        <v>2.09</v>
      </c>
      <c r="K65">
        <v>6.2</v>
      </c>
      <c r="L65">
        <v>9</v>
      </c>
      <c r="M65">
        <v>6.9</v>
      </c>
      <c r="N65">
        <v>3.9</v>
      </c>
      <c r="O65">
        <v>1</v>
      </c>
      <c r="Q65">
        <v>26</v>
      </c>
      <c r="R65" t="s">
        <v>30</v>
      </c>
      <c r="S65">
        <v>2.09</v>
      </c>
      <c r="T65" t="s">
        <v>2819</v>
      </c>
      <c r="U65" t="s">
        <v>1062</v>
      </c>
    </row>
    <row r="66" spans="1:21" x14ac:dyDescent="0.25">
      <c r="A66" t="s">
        <v>1227</v>
      </c>
      <c r="B66" t="s">
        <v>1228</v>
      </c>
      <c r="C66" t="s">
        <v>1229</v>
      </c>
      <c r="D66" t="s">
        <v>586</v>
      </c>
      <c r="E66" t="s">
        <v>1056</v>
      </c>
      <c r="F66" t="s">
        <v>1057</v>
      </c>
      <c r="G66" t="s">
        <v>1058</v>
      </c>
      <c r="H66" t="s">
        <v>90</v>
      </c>
      <c r="I66" t="s">
        <v>90</v>
      </c>
      <c r="J66">
        <v>27.03073904</v>
      </c>
      <c r="K66">
        <v>6.2937521900000002</v>
      </c>
      <c r="L66">
        <v>5.8927229499999996</v>
      </c>
      <c r="M66">
        <v>4.8448266200000001</v>
      </c>
      <c r="N66">
        <v>5.4134831400000003</v>
      </c>
      <c r="O66">
        <v>50.866514988624168</v>
      </c>
      <c r="P66">
        <v>93.821927819999999</v>
      </c>
      <c r="Q66">
        <v>20.567042528189631</v>
      </c>
      <c r="R66" t="s">
        <v>30</v>
      </c>
      <c r="S66">
        <v>27.03073904</v>
      </c>
      <c r="T66" t="s">
        <v>2819</v>
      </c>
      <c r="U66" t="s">
        <v>1059</v>
      </c>
    </row>
    <row r="67" spans="1:21" x14ac:dyDescent="0.25">
      <c r="A67" t="s">
        <v>5776</v>
      </c>
      <c r="B67" t="s">
        <v>5777</v>
      </c>
      <c r="C67" t="s">
        <v>3713</v>
      </c>
      <c r="D67" t="s">
        <v>249</v>
      </c>
      <c r="E67" t="s">
        <v>4806</v>
      </c>
      <c r="F67" t="s">
        <v>1198</v>
      </c>
      <c r="G67" t="s">
        <v>1284</v>
      </c>
      <c r="H67">
        <v>1707.72</v>
      </c>
      <c r="I67">
        <v>3564</v>
      </c>
      <c r="J67">
        <v>2.09</v>
      </c>
      <c r="K67">
        <v>6.2</v>
      </c>
      <c r="L67">
        <v>9</v>
      </c>
      <c r="M67">
        <v>6.9</v>
      </c>
      <c r="N67">
        <v>3.9</v>
      </c>
      <c r="O67">
        <v>1</v>
      </c>
      <c r="Q67">
        <v>26</v>
      </c>
      <c r="R67" t="s">
        <v>30</v>
      </c>
      <c r="S67">
        <v>2.09</v>
      </c>
      <c r="T67" t="s">
        <v>2819</v>
      </c>
      <c r="U67" t="s">
        <v>1062</v>
      </c>
    </row>
    <row r="68" spans="1:21" x14ac:dyDescent="0.25">
      <c r="A68" t="s">
        <v>5776</v>
      </c>
      <c r="B68" t="s">
        <v>322</v>
      </c>
      <c r="C68" t="s">
        <v>321</v>
      </c>
      <c r="D68" t="s">
        <v>249</v>
      </c>
      <c r="E68" t="s">
        <v>4806</v>
      </c>
      <c r="F68" t="s">
        <v>1198</v>
      </c>
      <c r="G68" t="s">
        <v>1284</v>
      </c>
      <c r="H68">
        <v>1707.72</v>
      </c>
      <c r="I68">
        <v>3564</v>
      </c>
      <c r="J68">
        <v>2.09</v>
      </c>
      <c r="K68">
        <v>6.2</v>
      </c>
      <c r="L68">
        <v>9</v>
      </c>
      <c r="M68">
        <v>6.9</v>
      </c>
      <c r="N68">
        <v>3.9</v>
      </c>
      <c r="O68">
        <v>1</v>
      </c>
      <c r="Q68">
        <v>26</v>
      </c>
      <c r="R68" t="s">
        <v>30</v>
      </c>
      <c r="S68">
        <v>2.09</v>
      </c>
      <c r="T68" t="s">
        <v>2819</v>
      </c>
      <c r="U68" t="s">
        <v>1062</v>
      </c>
    </row>
    <row r="69" spans="1:21" x14ac:dyDescent="0.25">
      <c r="A69" t="s">
        <v>1230</v>
      </c>
      <c r="B69" t="s">
        <v>1231</v>
      </c>
      <c r="C69" t="s">
        <v>1232</v>
      </c>
      <c r="D69" t="s">
        <v>586</v>
      </c>
      <c r="E69" t="s">
        <v>1056</v>
      </c>
      <c r="F69" t="s">
        <v>1057</v>
      </c>
      <c r="G69" t="s">
        <v>1058</v>
      </c>
      <c r="H69" t="s">
        <v>90</v>
      </c>
      <c r="I69" t="s">
        <v>90</v>
      </c>
      <c r="J69">
        <v>48.602713399999999</v>
      </c>
      <c r="K69">
        <v>6.4973903599999998</v>
      </c>
      <c r="L69">
        <v>5.88963489</v>
      </c>
      <c r="M69">
        <v>4.7918385800000003</v>
      </c>
      <c r="N69">
        <v>5.8455375299999996</v>
      </c>
      <c r="O69">
        <v>53.293313173252677</v>
      </c>
      <c r="P69">
        <v>170.33488091999999</v>
      </c>
      <c r="Q69">
        <v>29.441217764871048</v>
      </c>
      <c r="R69" t="s">
        <v>30</v>
      </c>
      <c r="S69">
        <v>48.602713399999999</v>
      </c>
      <c r="T69" t="s">
        <v>2819</v>
      </c>
      <c r="U69" t="s">
        <v>1059</v>
      </c>
    </row>
    <row r="70" spans="1:21" x14ac:dyDescent="0.25">
      <c r="A70" t="s">
        <v>1233</v>
      </c>
      <c r="B70" t="s">
        <v>1234</v>
      </c>
      <c r="C70" t="s">
        <v>1235</v>
      </c>
      <c r="D70" t="s">
        <v>586</v>
      </c>
      <c r="E70" t="s">
        <v>1056</v>
      </c>
      <c r="F70" t="s">
        <v>1057</v>
      </c>
      <c r="G70" t="s">
        <v>1155</v>
      </c>
      <c r="H70" t="s">
        <v>90</v>
      </c>
      <c r="I70" t="s">
        <v>90</v>
      </c>
      <c r="J70">
        <v>2.2255142600000002</v>
      </c>
      <c r="K70">
        <v>6.6745615300000001</v>
      </c>
      <c r="L70">
        <v>5.5357289500000002</v>
      </c>
      <c r="M70">
        <v>4.3250470400000003</v>
      </c>
      <c r="N70">
        <v>6.34608887</v>
      </c>
      <c r="O70">
        <v>17.519509587335239</v>
      </c>
      <c r="P70">
        <v>22.520604769999998</v>
      </c>
      <c r="Q70">
        <v>25.240114507073191</v>
      </c>
      <c r="R70" t="s">
        <v>30</v>
      </c>
      <c r="S70">
        <v>2.2255142600000002</v>
      </c>
      <c r="T70" t="s">
        <v>2819</v>
      </c>
      <c r="U70" t="s">
        <v>1059</v>
      </c>
    </row>
    <row r="71" spans="1:21" x14ac:dyDescent="0.25">
      <c r="A71" t="s">
        <v>1496</v>
      </c>
      <c r="B71" t="s">
        <v>1497</v>
      </c>
      <c r="C71" t="s">
        <v>4258</v>
      </c>
      <c r="D71" t="s">
        <v>512</v>
      </c>
      <c r="E71" t="s">
        <v>4797</v>
      </c>
      <c r="F71" t="s">
        <v>1185</v>
      </c>
      <c r="G71" t="s">
        <v>1140</v>
      </c>
      <c r="H71">
        <v>8680.83</v>
      </c>
      <c r="I71">
        <v>1159733.26</v>
      </c>
      <c r="J71">
        <v>121.28</v>
      </c>
      <c r="K71">
        <v>5</v>
      </c>
      <c r="L71">
        <v>3</v>
      </c>
      <c r="M71">
        <v>5.2</v>
      </c>
      <c r="N71">
        <v>5.0999999999999996</v>
      </c>
      <c r="O71">
        <v>0</v>
      </c>
      <c r="Q71">
        <v>32</v>
      </c>
      <c r="R71" t="s">
        <v>1063</v>
      </c>
      <c r="S71">
        <v>121.28</v>
      </c>
      <c r="T71" t="s">
        <v>2819</v>
      </c>
      <c r="U71" t="s">
        <v>1062</v>
      </c>
    </row>
    <row r="72" spans="1:21" x14ac:dyDescent="0.25">
      <c r="A72" t="s">
        <v>1238</v>
      </c>
      <c r="B72" t="s">
        <v>1239</v>
      </c>
      <c r="C72" t="s">
        <v>1240</v>
      </c>
      <c r="D72" t="s">
        <v>586</v>
      </c>
      <c r="E72" t="s">
        <v>1056</v>
      </c>
      <c r="F72" t="s">
        <v>1241</v>
      </c>
      <c r="G72" t="s">
        <v>1242</v>
      </c>
      <c r="H72" t="s">
        <v>90</v>
      </c>
      <c r="I72" t="s">
        <v>90</v>
      </c>
      <c r="J72">
        <v>146.86072797</v>
      </c>
      <c r="K72">
        <v>5.24539081</v>
      </c>
      <c r="L72">
        <v>5.5004852</v>
      </c>
      <c r="M72">
        <v>4.8070906000000004</v>
      </c>
      <c r="N72">
        <v>4.2498759599999998</v>
      </c>
      <c r="O72">
        <v>35.722735722735727</v>
      </c>
      <c r="P72">
        <v>190.71099353</v>
      </c>
      <c r="Q72">
        <v>2.8972028972028969</v>
      </c>
      <c r="R72" t="s">
        <v>1063</v>
      </c>
      <c r="S72">
        <v>146.86072797</v>
      </c>
      <c r="T72" t="s">
        <v>2819</v>
      </c>
      <c r="U72" t="s">
        <v>1059</v>
      </c>
    </row>
    <row r="73" spans="1:21" x14ac:dyDescent="0.25">
      <c r="A73" t="s">
        <v>1514</v>
      </c>
      <c r="B73" t="s">
        <v>476</v>
      </c>
      <c r="C73" t="s">
        <v>4292</v>
      </c>
      <c r="D73" t="s">
        <v>422</v>
      </c>
      <c r="E73" t="s">
        <v>4801</v>
      </c>
      <c r="F73" t="s">
        <v>1217</v>
      </c>
      <c r="G73" t="s">
        <v>1148</v>
      </c>
      <c r="H73">
        <v>1774.87</v>
      </c>
      <c r="I73">
        <v>108017</v>
      </c>
      <c r="J73">
        <v>60.86</v>
      </c>
      <c r="K73">
        <v>4.7</v>
      </c>
      <c r="L73">
        <v>3.2</v>
      </c>
      <c r="M73">
        <v>3.5</v>
      </c>
      <c r="N73">
        <v>6.9</v>
      </c>
      <c r="O73">
        <v>1</v>
      </c>
      <c r="Q73">
        <v>90</v>
      </c>
      <c r="R73" t="s">
        <v>1063</v>
      </c>
      <c r="S73">
        <v>60.86</v>
      </c>
      <c r="T73" t="s">
        <v>2819</v>
      </c>
      <c r="U73" t="s">
        <v>1062</v>
      </c>
    </row>
    <row r="74" spans="1:21" x14ac:dyDescent="0.25">
      <c r="A74" t="s">
        <v>1244</v>
      </c>
      <c r="B74" t="s">
        <v>1245</v>
      </c>
      <c r="C74" t="s">
        <v>1246</v>
      </c>
      <c r="D74" t="s">
        <v>586</v>
      </c>
      <c r="E74" t="s">
        <v>1056</v>
      </c>
      <c r="F74" t="s">
        <v>1057</v>
      </c>
      <c r="G74" t="s">
        <v>1067</v>
      </c>
      <c r="H74" t="s">
        <v>90</v>
      </c>
      <c r="I74" t="s">
        <v>90</v>
      </c>
      <c r="J74">
        <v>63.732739410000001</v>
      </c>
      <c r="K74">
        <v>6.6961596700000001</v>
      </c>
      <c r="L74">
        <v>5.3812529299999996</v>
      </c>
      <c r="M74">
        <v>5.0058715300000003</v>
      </c>
      <c r="N74">
        <v>6.3298929800000003</v>
      </c>
      <c r="O74">
        <v>12.88426250161393</v>
      </c>
      <c r="P74">
        <v>197.63918901</v>
      </c>
      <c r="Q74">
        <v>35.075434196574939</v>
      </c>
      <c r="R74" t="s">
        <v>30</v>
      </c>
      <c r="S74">
        <v>63.732739410000001</v>
      </c>
      <c r="T74" t="s">
        <v>2819</v>
      </c>
      <c r="U74" t="s">
        <v>1059</v>
      </c>
    </row>
    <row r="75" spans="1:21" x14ac:dyDescent="0.25">
      <c r="A75" t="s">
        <v>1522</v>
      </c>
      <c r="B75" t="s">
        <v>499</v>
      </c>
      <c r="C75" t="s">
        <v>498</v>
      </c>
      <c r="D75" t="s">
        <v>491</v>
      </c>
      <c r="E75" t="s">
        <v>4807</v>
      </c>
      <c r="F75" t="s">
        <v>1198</v>
      </c>
      <c r="G75" t="s">
        <v>1147</v>
      </c>
      <c r="H75">
        <v>3115.87</v>
      </c>
      <c r="I75">
        <v>511222</v>
      </c>
      <c r="J75">
        <v>164.07</v>
      </c>
      <c r="K75">
        <v>5.5</v>
      </c>
      <c r="L75">
        <v>3.2</v>
      </c>
      <c r="M75">
        <v>6.6</v>
      </c>
      <c r="N75">
        <v>4.0999999999999996</v>
      </c>
      <c r="O75">
        <v>0</v>
      </c>
      <c r="Q75">
        <v>15</v>
      </c>
      <c r="R75" t="s">
        <v>1063</v>
      </c>
      <c r="S75">
        <v>164.07</v>
      </c>
      <c r="T75" t="s">
        <v>2819</v>
      </c>
      <c r="U75" t="s">
        <v>1062</v>
      </c>
    </row>
    <row r="76" spans="1:21" x14ac:dyDescent="0.25">
      <c r="A76" t="s">
        <v>1247</v>
      </c>
      <c r="B76" t="s">
        <v>1248</v>
      </c>
      <c r="C76" t="s">
        <v>1249</v>
      </c>
      <c r="D76" t="s">
        <v>586</v>
      </c>
      <c r="E76" t="s">
        <v>1056</v>
      </c>
      <c r="F76" t="s">
        <v>1057</v>
      </c>
      <c r="G76" t="s">
        <v>1250</v>
      </c>
      <c r="H76" t="s">
        <v>90</v>
      </c>
      <c r="I76" t="s">
        <v>90</v>
      </c>
      <c r="J76">
        <v>10.722039349999999</v>
      </c>
      <c r="K76">
        <v>8.4242029400000007</v>
      </c>
      <c r="L76">
        <v>5.8769729999999996</v>
      </c>
      <c r="M76">
        <v>6.3898277999999999</v>
      </c>
      <c r="N76">
        <v>6.2043495399999999</v>
      </c>
      <c r="O76">
        <v>6.0493735847339014</v>
      </c>
      <c r="P76">
        <v>113.67708994</v>
      </c>
      <c r="Q76">
        <v>32.107338332517827</v>
      </c>
      <c r="R76" t="s">
        <v>1073</v>
      </c>
      <c r="S76">
        <v>10.722039349999999</v>
      </c>
      <c r="T76" t="s">
        <v>2819</v>
      </c>
      <c r="U76" t="s">
        <v>1059</v>
      </c>
    </row>
    <row r="77" spans="1:21" x14ac:dyDescent="0.25">
      <c r="A77" t="s">
        <v>1522</v>
      </c>
      <c r="B77" t="s">
        <v>341</v>
      </c>
      <c r="C77" t="s">
        <v>340</v>
      </c>
      <c r="D77" t="s">
        <v>249</v>
      </c>
      <c r="E77" t="s">
        <v>4806</v>
      </c>
      <c r="F77" t="s">
        <v>1198</v>
      </c>
      <c r="G77" t="s">
        <v>1147</v>
      </c>
      <c r="H77">
        <v>3115.87</v>
      </c>
      <c r="I77">
        <v>511222</v>
      </c>
      <c r="J77">
        <v>164.07</v>
      </c>
      <c r="K77">
        <v>5.5</v>
      </c>
      <c r="L77">
        <v>3.2</v>
      </c>
      <c r="M77">
        <v>6.6</v>
      </c>
      <c r="N77">
        <v>4.0999999999999996</v>
      </c>
      <c r="O77">
        <v>0</v>
      </c>
      <c r="Q77">
        <v>15</v>
      </c>
      <c r="R77" t="s">
        <v>1063</v>
      </c>
      <c r="S77">
        <v>164.07</v>
      </c>
      <c r="T77" t="s">
        <v>2819</v>
      </c>
      <c r="U77" t="s">
        <v>1062</v>
      </c>
    </row>
    <row r="78" spans="1:21" x14ac:dyDescent="0.25">
      <c r="A78" t="s">
        <v>1251</v>
      </c>
      <c r="B78" t="s">
        <v>1252</v>
      </c>
      <c r="C78" t="s">
        <v>1253</v>
      </c>
      <c r="D78" t="s">
        <v>586</v>
      </c>
      <c r="E78" t="s">
        <v>1056</v>
      </c>
      <c r="F78" t="s">
        <v>1057</v>
      </c>
      <c r="G78" t="s">
        <v>1216</v>
      </c>
      <c r="H78" t="s">
        <v>90</v>
      </c>
      <c r="I78" t="s">
        <v>90</v>
      </c>
      <c r="J78">
        <v>7.77261427</v>
      </c>
      <c r="K78">
        <v>7.8755995099999998</v>
      </c>
      <c r="L78">
        <v>5.4252532000000002</v>
      </c>
      <c r="M78">
        <v>6.7965831899999998</v>
      </c>
      <c r="N78">
        <v>6.6684808599999998</v>
      </c>
      <c r="O78">
        <v>0</v>
      </c>
      <c r="P78">
        <v>47.065599020000001</v>
      </c>
      <c r="Q78">
        <v>36.466090190754933</v>
      </c>
      <c r="R78" t="s">
        <v>1073</v>
      </c>
      <c r="S78">
        <v>7.77261427</v>
      </c>
      <c r="T78" t="s">
        <v>2819</v>
      </c>
      <c r="U78" t="s">
        <v>1059</v>
      </c>
    </row>
    <row r="79" spans="1:21" x14ac:dyDescent="0.25">
      <c r="A79" t="s">
        <v>1532</v>
      </c>
      <c r="B79" t="s">
        <v>1533</v>
      </c>
      <c r="C79" t="s">
        <v>4267</v>
      </c>
      <c r="D79" t="s">
        <v>512</v>
      </c>
      <c r="E79" t="s">
        <v>4797</v>
      </c>
      <c r="F79" t="s">
        <v>1061</v>
      </c>
      <c r="G79" t="s">
        <v>1147</v>
      </c>
      <c r="H79">
        <v>79094.73</v>
      </c>
      <c r="I79">
        <v>3619454</v>
      </c>
      <c r="J79">
        <v>45.76</v>
      </c>
      <c r="K79">
        <v>2.2000000000000002</v>
      </c>
      <c r="L79">
        <v>1.7</v>
      </c>
      <c r="M79">
        <v>3.6</v>
      </c>
      <c r="N79">
        <v>3.4</v>
      </c>
      <c r="O79">
        <v>6</v>
      </c>
      <c r="Q79">
        <v>9</v>
      </c>
      <c r="R79" t="s">
        <v>21</v>
      </c>
      <c r="S79">
        <v>45.76</v>
      </c>
      <c r="T79" t="s">
        <v>2819</v>
      </c>
      <c r="U79" t="s">
        <v>1062</v>
      </c>
    </row>
    <row r="80" spans="1:21" x14ac:dyDescent="0.25">
      <c r="A80" t="s">
        <v>1254</v>
      </c>
      <c r="B80" t="s">
        <v>1255</v>
      </c>
      <c r="C80" t="s">
        <v>1256</v>
      </c>
      <c r="D80" t="s">
        <v>586</v>
      </c>
      <c r="E80" t="s">
        <v>1056</v>
      </c>
      <c r="F80" t="s">
        <v>1057</v>
      </c>
      <c r="G80" t="s">
        <v>1216</v>
      </c>
      <c r="H80" t="s">
        <v>90</v>
      </c>
      <c r="I80" t="s">
        <v>90</v>
      </c>
      <c r="J80">
        <v>0.81452555999999998</v>
      </c>
      <c r="K80">
        <v>7.2764069600000001</v>
      </c>
      <c r="L80">
        <v>6.3510473200000002</v>
      </c>
      <c r="M80">
        <v>5.5922956700000004</v>
      </c>
      <c r="N80">
        <v>5.4997926100000001</v>
      </c>
      <c r="O80">
        <v>33.191335629953151</v>
      </c>
      <c r="P80">
        <v>15.47257688</v>
      </c>
      <c r="Q80">
        <v>13.912025607247511</v>
      </c>
      <c r="R80" t="s">
        <v>1073</v>
      </c>
      <c r="S80">
        <v>0.81452555999999998</v>
      </c>
      <c r="T80" t="s">
        <v>2819</v>
      </c>
      <c r="U80" t="s">
        <v>1059</v>
      </c>
    </row>
    <row r="81" spans="1:21" x14ac:dyDescent="0.25">
      <c r="A81" t="s">
        <v>1257</v>
      </c>
      <c r="B81" t="s">
        <v>1258</v>
      </c>
      <c r="C81" t="s">
        <v>1259</v>
      </c>
      <c r="D81" t="s">
        <v>586</v>
      </c>
      <c r="E81" t="s">
        <v>1056</v>
      </c>
      <c r="F81" t="s">
        <v>1260</v>
      </c>
      <c r="G81" t="s">
        <v>1261</v>
      </c>
      <c r="H81" t="s">
        <v>90</v>
      </c>
      <c r="I81" t="s">
        <v>90</v>
      </c>
      <c r="J81">
        <v>49.971789960000002</v>
      </c>
      <c r="K81">
        <v>7.6727128200000001</v>
      </c>
      <c r="L81">
        <v>6.2658147599999996</v>
      </c>
      <c r="M81">
        <v>5.1551623900000001</v>
      </c>
      <c r="N81">
        <v>6.4784432599999997</v>
      </c>
      <c r="O81">
        <v>41.980216584318882</v>
      </c>
      <c r="P81">
        <v>79.532258279999994</v>
      </c>
      <c r="Q81">
        <v>59.9901461914232</v>
      </c>
      <c r="R81" t="s">
        <v>1073</v>
      </c>
      <c r="S81">
        <v>49.971789960000002</v>
      </c>
      <c r="T81" t="s">
        <v>2819</v>
      </c>
      <c r="U81" t="s">
        <v>1059</v>
      </c>
    </row>
    <row r="82" spans="1:21" x14ac:dyDescent="0.25">
      <c r="A82" t="s">
        <v>1532</v>
      </c>
      <c r="B82" t="s">
        <v>1535</v>
      </c>
      <c r="C82" t="s">
        <v>3088</v>
      </c>
      <c r="D82" t="s">
        <v>191</v>
      </c>
      <c r="E82" t="s">
        <v>4804</v>
      </c>
      <c r="F82" t="s">
        <v>1061</v>
      </c>
      <c r="G82" t="s">
        <v>1147</v>
      </c>
      <c r="H82">
        <v>79094.73</v>
      </c>
      <c r="I82">
        <v>3619454</v>
      </c>
      <c r="J82">
        <v>45.76</v>
      </c>
      <c r="K82">
        <v>2.2000000000000002</v>
      </c>
      <c r="L82">
        <v>1.7</v>
      </c>
      <c r="M82">
        <v>3.6</v>
      </c>
      <c r="N82">
        <v>3.4</v>
      </c>
      <c r="O82">
        <v>6</v>
      </c>
      <c r="Q82">
        <v>9</v>
      </c>
      <c r="R82" t="s">
        <v>21</v>
      </c>
      <c r="S82">
        <v>45.76</v>
      </c>
      <c r="T82" t="s">
        <v>2819</v>
      </c>
      <c r="U82" t="s">
        <v>1062</v>
      </c>
    </row>
    <row r="83" spans="1:21" x14ac:dyDescent="0.25">
      <c r="A83" t="s">
        <v>1262</v>
      </c>
      <c r="B83" t="s">
        <v>1263</v>
      </c>
      <c r="C83" t="s">
        <v>1264</v>
      </c>
      <c r="D83" t="s">
        <v>586</v>
      </c>
      <c r="E83" t="s">
        <v>1056</v>
      </c>
      <c r="F83" t="s">
        <v>1265</v>
      </c>
      <c r="G83" t="s">
        <v>1266</v>
      </c>
      <c r="H83" t="s">
        <v>90</v>
      </c>
      <c r="I83" t="s">
        <v>90</v>
      </c>
      <c r="J83">
        <v>62.039973680000003</v>
      </c>
      <c r="K83">
        <v>7.3613771400000001</v>
      </c>
      <c r="L83">
        <v>5.90867918</v>
      </c>
      <c r="M83">
        <v>4.6903959500000001</v>
      </c>
      <c r="N83">
        <v>6.74567139</v>
      </c>
      <c r="O83">
        <v>41.302193518542524</v>
      </c>
      <c r="P83">
        <v>139.99525589000001</v>
      </c>
      <c r="Q83">
        <v>67.754818821868597</v>
      </c>
      <c r="R83" t="s">
        <v>1073</v>
      </c>
      <c r="S83">
        <v>62.039973680000003</v>
      </c>
      <c r="T83" t="s">
        <v>2819</v>
      </c>
      <c r="U83" t="s">
        <v>1059</v>
      </c>
    </row>
    <row r="84" spans="1:21" x14ac:dyDescent="0.25">
      <c r="A84" t="s">
        <v>1532</v>
      </c>
      <c r="B84" t="s">
        <v>851</v>
      </c>
      <c r="C84" t="s">
        <v>850</v>
      </c>
      <c r="D84" t="s">
        <v>191</v>
      </c>
      <c r="E84" t="s">
        <v>4804</v>
      </c>
      <c r="F84" t="s">
        <v>1061</v>
      </c>
      <c r="G84" t="s">
        <v>1147</v>
      </c>
      <c r="H84">
        <v>79094.73</v>
      </c>
      <c r="I84">
        <v>3619454</v>
      </c>
      <c r="J84">
        <v>45.76</v>
      </c>
      <c r="K84">
        <v>2.2000000000000002</v>
      </c>
      <c r="L84">
        <v>1.7</v>
      </c>
      <c r="M84">
        <v>3.6</v>
      </c>
      <c r="N84">
        <v>3.4</v>
      </c>
      <c r="O84">
        <v>6</v>
      </c>
      <c r="Q84">
        <v>9</v>
      </c>
      <c r="R84" t="s">
        <v>21</v>
      </c>
      <c r="S84">
        <v>45.76</v>
      </c>
      <c r="T84" t="s">
        <v>2819</v>
      </c>
      <c r="U84" t="s">
        <v>1062</v>
      </c>
    </row>
    <row r="85" spans="1:21" x14ac:dyDescent="0.25">
      <c r="A85" t="s">
        <v>1532</v>
      </c>
      <c r="B85" t="s">
        <v>852</v>
      </c>
      <c r="C85" t="s">
        <v>3091</v>
      </c>
      <c r="D85" t="s">
        <v>191</v>
      </c>
      <c r="E85" t="s">
        <v>4804</v>
      </c>
      <c r="F85" t="s">
        <v>1061</v>
      </c>
      <c r="G85" t="s">
        <v>1147</v>
      </c>
      <c r="H85">
        <v>79094.73</v>
      </c>
      <c r="I85">
        <v>3619454</v>
      </c>
      <c r="J85">
        <v>45.76</v>
      </c>
      <c r="K85">
        <v>2.2000000000000002</v>
      </c>
      <c r="L85">
        <v>1.7</v>
      </c>
      <c r="M85">
        <v>3.6</v>
      </c>
      <c r="N85">
        <v>3.4</v>
      </c>
      <c r="O85">
        <v>6</v>
      </c>
      <c r="Q85">
        <v>9</v>
      </c>
      <c r="R85" t="s">
        <v>21</v>
      </c>
      <c r="S85">
        <v>45.76</v>
      </c>
      <c r="T85" t="s">
        <v>2819</v>
      </c>
      <c r="U85" t="s">
        <v>1062</v>
      </c>
    </row>
    <row r="86" spans="1:21" x14ac:dyDescent="0.25">
      <c r="A86" t="s">
        <v>1267</v>
      </c>
      <c r="B86" t="s">
        <v>1268</v>
      </c>
      <c r="C86" t="s">
        <v>1269</v>
      </c>
      <c r="D86" t="s">
        <v>586</v>
      </c>
      <c r="E86" t="s">
        <v>1056</v>
      </c>
      <c r="F86" t="s">
        <v>1071</v>
      </c>
      <c r="G86" t="s">
        <v>1205</v>
      </c>
      <c r="H86" t="s">
        <v>90</v>
      </c>
      <c r="I86" t="s">
        <v>90</v>
      </c>
      <c r="J86">
        <v>228.90079108</v>
      </c>
      <c r="K86">
        <v>6.5424885699999997</v>
      </c>
      <c r="L86">
        <v>5.2381411</v>
      </c>
      <c r="M86">
        <v>5.9573516700000004</v>
      </c>
      <c r="N86">
        <v>5.6719728800000002</v>
      </c>
      <c r="O86">
        <v>62.36656236656237</v>
      </c>
      <c r="P86">
        <v>411.76360147999998</v>
      </c>
      <c r="Q86">
        <v>48.296248296248287</v>
      </c>
      <c r="R86" t="s">
        <v>30</v>
      </c>
      <c r="S86">
        <v>228.90079108</v>
      </c>
      <c r="T86" t="s">
        <v>2819</v>
      </c>
      <c r="U86" t="s">
        <v>1059</v>
      </c>
    </row>
    <row r="87" spans="1:21" x14ac:dyDescent="0.25">
      <c r="A87" t="s">
        <v>1270</v>
      </c>
      <c r="B87" t="s">
        <v>1271</v>
      </c>
      <c r="C87" t="s">
        <v>1272</v>
      </c>
      <c r="D87" t="s">
        <v>586</v>
      </c>
      <c r="E87" t="s">
        <v>1056</v>
      </c>
      <c r="F87" t="s">
        <v>1071</v>
      </c>
      <c r="G87" t="s">
        <v>1155</v>
      </c>
      <c r="H87" t="s">
        <v>90</v>
      </c>
      <c r="I87" t="s">
        <v>90</v>
      </c>
      <c r="J87">
        <v>3.1403585299999999</v>
      </c>
      <c r="K87">
        <v>6.8910472800000004</v>
      </c>
      <c r="L87">
        <v>6.7144584099999998</v>
      </c>
      <c r="M87">
        <v>4.8316123299999996</v>
      </c>
      <c r="N87">
        <v>5.8790536900000001</v>
      </c>
      <c r="O87">
        <v>64.340857363429436</v>
      </c>
      <c r="P87">
        <v>13.06415629</v>
      </c>
      <c r="Q87">
        <v>41.758167032668133</v>
      </c>
      <c r="R87" t="s">
        <v>30</v>
      </c>
      <c r="S87">
        <v>3.1403585299999999</v>
      </c>
      <c r="T87" t="s">
        <v>2819</v>
      </c>
      <c r="U87" t="s">
        <v>1059</v>
      </c>
    </row>
    <row r="88" spans="1:21" x14ac:dyDescent="0.25">
      <c r="A88" t="s">
        <v>1532</v>
      </c>
      <c r="B88" t="s">
        <v>849</v>
      </c>
      <c r="C88" t="s">
        <v>848</v>
      </c>
      <c r="D88" t="s">
        <v>191</v>
      </c>
      <c r="E88" t="s">
        <v>4804</v>
      </c>
      <c r="F88" t="s">
        <v>1061</v>
      </c>
      <c r="G88" t="s">
        <v>1147</v>
      </c>
      <c r="H88">
        <v>79094.73</v>
      </c>
      <c r="I88">
        <v>3619454</v>
      </c>
      <c r="J88">
        <v>45.76</v>
      </c>
      <c r="K88">
        <v>2.2000000000000002</v>
      </c>
      <c r="L88">
        <v>1.7</v>
      </c>
      <c r="M88">
        <v>3.6</v>
      </c>
      <c r="N88">
        <v>3.4</v>
      </c>
      <c r="O88">
        <v>6</v>
      </c>
      <c r="Q88">
        <v>9</v>
      </c>
      <c r="R88" t="s">
        <v>21</v>
      </c>
      <c r="S88">
        <v>45.76</v>
      </c>
      <c r="T88" t="s">
        <v>2819</v>
      </c>
      <c r="U88" t="s">
        <v>1062</v>
      </c>
    </row>
    <row r="89" spans="1:21" x14ac:dyDescent="0.25">
      <c r="A89" t="s">
        <v>1274</v>
      </c>
      <c r="B89" t="s">
        <v>1275</v>
      </c>
      <c r="C89" t="s">
        <v>1276</v>
      </c>
      <c r="D89" t="s">
        <v>586</v>
      </c>
      <c r="E89" t="s">
        <v>1056</v>
      </c>
      <c r="F89" t="s">
        <v>1057</v>
      </c>
      <c r="G89" t="s">
        <v>1277</v>
      </c>
      <c r="H89" t="s">
        <v>90</v>
      </c>
      <c r="I89" t="s">
        <v>90</v>
      </c>
      <c r="J89">
        <v>217.85821207999999</v>
      </c>
      <c r="K89">
        <v>5.8574351399999998</v>
      </c>
      <c r="L89">
        <v>5.9088355999999997</v>
      </c>
      <c r="M89">
        <v>7.1561199599999998</v>
      </c>
      <c r="N89">
        <v>6.6758591599999999</v>
      </c>
      <c r="O89">
        <v>0</v>
      </c>
      <c r="Q89">
        <v>0</v>
      </c>
      <c r="R89" t="s">
        <v>30</v>
      </c>
      <c r="S89">
        <v>217.85821207999999</v>
      </c>
      <c r="T89" t="s">
        <v>2819</v>
      </c>
      <c r="U89" t="s">
        <v>1278</v>
      </c>
    </row>
    <row r="90" spans="1:21" x14ac:dyDescent="0.25">
      <c r="A90" t="s">
        <v>1579</v>
      </c>
      <c r="B90" t="s">
        <v>910</v>
      </c>
      <c r="C90" t="s">
        <v>909</v>
      </c>
      <c r="D90" t="s">
        <v>202</v>
      </c>
      <c r="E90" t="s">
        <v>4800</v>
      </c>
      <c r="F90" t="s">
        <v>1296</v>
      </c>
      <c r="G90" t="s">
        <v>1119</v>
      </c>
      <c r="H90">
        <v>17201.68</v>
      </c>
      <c r="I90">
        <v>15267.7</v>
      </c>
      <c r="J90">
        <v>0.89</v>
      </c>
      <c r="K90">
        <v>8.1999999999999993</v>
      </c>
      <c r="L90">
        <v>6</v>
      </c>
      <c r="M90">
        <v>5.6</v>
      </c>
      <c r="N90">
        <v>6.1</v>
      </c>
      <c r="O90">
        <v>0</v>
      </c>
      <c r="Q90">
        <v>61</v>
      </c>
      <c r="R90" t="s">
        <v>1073</v>
      </c>
      <c r="S90">
        <v>0.89</v>
      </c>
      <c r="T90" t="s">
        <v>2819</v>
      </c>
      <c r="U90" t="s">
        <v>1062</v>
      </c>
    </row>
    <row r="91" spans="1:21" x14ac:dyDescent="0.25">
      <c r="A91" t="s">
        <v>1579</v>
      </c>
      <c r="B91" t="s">
        <v>5258</v>
      </c>
      <c r="C91" t="s">
        <v>5259</v>
      </c>
      <c r="D91" t="s">
        <v>202</v>
      </c>
      <c r="E91" t="s">
        <v>4800</v>
      </c>
      <c r="F91" t="s">
        <v>1296</v>
      </c>
      <c r="G91" t="s">
        <v>1119</v>
      </c>
      <c r="H91">
        <v>17201.68</v>
      </c>
      <c r="I91">
        <v>15267.7</v>
      </c>
      <c r="J91">
        <v>0.89</v>
      </c>
      <c r="K91">
        <v>8.1999999999999993</v>
      </c>
      <c r="L91">
        <v>6</v>
      </c>
      <c r="M91">
        <v>5.6</v>
      </c>
      <c r="N91">
        <v>6.1</v>
      </c>
      <c r="O91">
        <v>0</v>
      </c>
      <c r="Q91">
        <v>61</v>
      </c>
      <c r="R91" t="s">
        <v>1073</v>
      </c>
      <c r="S91">
        <v>0.89</v>
      </c>
      <c r="T91" t="s">
        <v>2819</v>
      </c>
      <c r="U91" t="s">
        <v>1062</v>
      </c>
    </row>
    <row r="92" spans="1:21" x14ac:dyDescent="0.25">
      <c r="A92" t="s">
        <v>1279</v>
      </c>
      <c r="B92" t="s">
        <v>942</v>
      </c>
      <c r="C92" t="s">
        <v>941</v>
      </c>
      <c r="D92" t="s">
        <v>586</v>
      </c>
      <c r="E92" t="s">
        <v>1056</v>
      </c>
      <c r="F92" t="s">
        <v>1057</v>
      </c>
      <c r="G92" t="s">
        <v>1280</v>
      </c>
      <c r="H92" t="s">
        <v>90</v>
      </c>
      <c r="I92" t="s">
        <v>90</v>
      </c>
      <c r="J92">
        <v>217.85821207999999</v>
      </c>
      <c r="K92">
        <v>5.8574351399999998</v>
      </c>
      <c r="L92">
        <v>5.9088355999999997</v>
      </c>
      <c r="M92">
        <v>7.1561199599999998</v>
      </c>
      <c r="N92">
        <v>6.6758591599999999</v>
      </c>
      <c r="O92">
        <v>0</v>
      </c>
      <c r="Q92">
        <v>0</v>
      </c>
      <c r="R92" t="s">
        <v>30</v>
      </c>
      <c r="S92">
        <v>217.85821207999999</v>
      </c>
      <c r="T92" t="s">
        <v>2819</v>
      </c>
      <c r="U92" t="s">
        <v>1278</v>
      </c>
    </row>
    <row r="93" spans="1:21" x14ac:dyDescent="0.25">
      <c r="A93" t="s">
        <v>1281</v>
      </c>
      <c r="B93" t="s">
        <v>944</v>
      </c>
      <c r="C93" t="s">
        <v>943</v>
      </c>
      <c r="D93" t="s">
        <v>586</v>
      </c>
      <c r="E93" t="s">
        <v>1056</v>
      </c>
      <c r="F93" t="s">
        <v>1057</v>
      </c>
      <c r="G93" t="s">
        <v>1280</v>
      </c>
      <c r="H93" t="s">
        <v>90</v>
      </c>
      <c r="I93" t="s">
        <v>90</v>
      </c>
      <c r="J93">
        <v>217.85821207999999</v>
      </c>
      <c r="K93">
        <v>5.8574351399999998</v>
      </c>
      <c r="L93">
        <v>5.9088355999999997</v>
      </c>
      <c r="M93">
        <v>7.1561199599999998</v>
      </c>
      <c r="N93">
        <v>6.6758591599999999</v>
      </c>
      <c r="O93">
        <v>0</v>
      </c>
      <c r="Q93">
        <v>0</v>
      </c>
      <c r="R93" t="s">
        <v>30</v>
      </c>
      <c r="S93">
        <v>217.85821207999999</v>
      </c>
      <c r="T93" t="s">
        <v>2819</v>
      </c>
      <c r="U93" t="s">
        <v>1278</v>
      </c>
    </row>
    <row r="94" spans="1:21" x14ac:dyDescent="0.25">
      <c r="A94" t="s">
        <v>1282</v>
      </c>
      <c r="B94" t="s">
        <v>940</v>
      </c>
      <c r="C94" t="s">
        <v>939</v>
      </c>
      <c r="D94" t="s">
        <v>586</v>
      </c>
      <c r="E94" t="s">
        <v>1056</v>
      </c>
      <c r="F94" t="s">
        <v>1057</v>
      </c>
      <c r="G94" t="s">
        <v>1283</v>
      </c>
      <c r="H94" t="s">
        <v>90</v>
      </c>
      <c r="I94" t="s">
        <v>90</v>
      </c>
      <c r="J94">
        <v>46.448889520000002</v>
      </c>
      <c r="K94">
        <v>6.5296470800000002</v>
      </c>
      <c r="L94">
        <v>6.1654906799999996</v>
      </c>
      <c r="M94">
        <v>4.74793354</v>
      </c>
      <c r="N94">
        <v>5.6691445299999996</v>
      </c>
      <c r="O94">
        <v>60.1304568690351</v>
      </c>
      <c r="P94">
        <v>145.68635861000001</v>
      </c>
      <c r="Q94">
        <v>34.303376718958788</v>
      </c>
      <c r="R94" t="s">
        <v>30</v>
      </c>
      <c r="S94">
        <v>46.448889520000002</v>
      </c>
      <c r="T94" t="s">
        <v>2819</v>
      </c>
      <c r="U94" t="s">
        <v>1059</v>
      </c>
    </row>
    <row r="95" spans="1:21" x14ac:dyDescent="0.25">
      <c r="A95" t="s">
        <v>1285</v>
      </c>
      <c r="B95" t="s">
        <v>1286</v>
      </c>
      <c r="C95" t="s">
        <v>1287</v>
      </c>
      <c r="D95" t="s">
        <v>586</v>
      </c>
      <c r="E95" t="s">
        <v>1056</v>
      </c>
      <c r="F95" t="s">
        <v>1057</v>
      </c>
      <c r="G95" t="s">
        <v>1288</v>
      </c>
      <c r="H95" t="s">
        <v>90</v>
      </c>
      <c r="I95" t="s">
        <v>90</v>
      </c>
      <c r="J95">
        <v>130.19105200000001</v>
      </c>
      <c r="K95">
        <v>5.36978665</v>
      </c>
      <c r="L95">
        <v>4.8263845500000002</v>
      </c>
      <c r="M95">
        <v>4.4960858400000001</v>
      </c>
      <c r="N95">
        <v>5.7276332300000004</v>
      </c>
      <c r="O95">
        <v>9.8889000000000031</v>
      </c>
      <c r="P95">
        <v>255.79365748999999</v>
      </c>
      <c r="Q95">
        <v>16.2227</v>
      </c>
      <c r="R95" t="s">
        <v>1063</v>
      </c>
      <c r="S95">
        <v>130.19105200000001</v>
      </c>
      <c r="T95" t="s">
        <v>2819</v>
      </c>
      <c r="U95" t="s">
        <v>1059</v>
      </c>
    </row>
    <row r="96" spans="1:21" x14ac:dyDescent="0.25">
      <c r="A96" t="s">
        <v>1289</v>
      </c>
      <c r="B96" t="s">
        <v>623</v>
      </c>
      <c r="C96" t="s">
        <v>622</v>
      </c>
      <c r="D96" t="s">
        <v>586</v>
      </c>
      <c r="E96" t="s">
        <v>1056</v>
      </c>
      <c r="F96" t="s">
        <v>1290</v>
      </c>
      <c r="G96" t="s">
        <v>1291</v>
      </c>
      <c r="H96" t="s">
        <v>90</v>
      </c>
      <c r="I96" t="s">
        <v>90</v>
      </c>
      <c r="J96">
        <v>65.669109719999994</v>
      </c>
      <c r="K96">
        <v>6.23066561</v>
      </c>
      <c r="L96">
        <v>6.2748203199999999</v>
      </c>
      <c r="M96">
        <v>5.2166417899999997</v>
      </c>
      <c r="N96">
        <v>4.5667795299999998</v>
      </c>
      <c r="O96">
        <v>40.543291036487652</v>
      </c>
      <c r="P96">
        <v>99.041890269999996</v>
      </c>
      <c r="Q96">
        <v>4.8513912173314102</v>
      </c>
      <c r="R96" t="s">
        <v>30</v>
      </c>
      <c r="S96">
        <v>65.669109719999994</v>
      </c>
      <c r="T96" t="s">
        <v>2819</v>
      </c>
      <c r="U96" t="s">
        <v>1059</v>
      </c>
    </row>
    <row r="97" spans="1:21" x14ac:dyDescent="0.25">
      <c r="A97" t="s">
        <v>1292</v>
      </c>
      <c r="B97" t="s">
        <v>619</v>
      </c>
      <c r="C97" t="s">
        <v>618</v>
      </c>
      <c r="D97" t="s">
        <v>586</v>
      </c>
      <c r="E97" t="s">
        <v>1056</v>
      </c>
      <c r="F97" t="s">
        <v>1136</v>
      </c>
      <c r="G97" t="s">
        <v>1137</v>
      </c>
      <c r="H97" t="s">
        <v>90</v>
      </c>
      <c r="I97" t="s">
        <v>90</v>
      </c>
      <c r="J97">
        <v>116.18409371</v>
      </c>
      <c r="K97">
        <v>5.9616909700000003</v>
      </c>
      <c r="L97">
        <v>5.5212686299999998</v>
      </c>
      <c r="M97">
        <v>5.1974696700000003</v>
      </c>
      <c r="N97">
        <v>4.7815025999999996</v>
      </c>
      <c r="O97">
        <v>24.598533324319082</v>
      </c>
      <c r="P97">
        <v>297.28361536</v>
      </c>
      <c r="Q97">
        <v>10.06510162933032</v>
      </c>
      <c r="R97" t="s">
        <v>30</v>
      </c>
      <c r="S97">
        <v>116.18409371</v>
      </c>
      <c r="T97" t="s">
        <v>2819</v>
      </c>
      <c r="U97" t="s">
        <v>1059</v>
      </c>
    </row>
    <row r="98" spans="1:21" x14ac:dyDescent="0.25">
      <c r="A98" t="s">
        <v>1293</v>
      </c>
      <c r="B98" t="s">
        <v>1294</v>
      </c>
      <c r="C98" t="s">
        <v>1295</v>
      </c>
      <c r="D98" t="s">
        <v>586</v>
      </c>
      <c r="E98" t="s">
        <v>1056</v>
      </c>
      <c r="F98" t="s">
        <v>1057</v>
      </c>
      <c r="G98" t="s">
        <v>1058</v>
      </c>
      <c r="H98" t="s">
        <v>90</v>
      </c>
      <c r="I98" t="s">
        <v>90</v>
      </c>
      <c r="J98">
        <v>58.222886670000001</v>
      </c>
      <c r="K98">
        <v>6.8051661699999997</v>
      </c>
      <c r="L98">
        <v>5.6870329599999998</v>
      </c>
      <c r="M98">
        <v>5.0538566200000004</v>
      </c>
      <c r="N98">
        <v>6.1655150499999998</v>
      </c>
      <c r="O98">
        <v>27.176048838290662</v>
      </c>
      <c r="P98">
        <v>196.64100732</v>
      </c>
      <c r="Q98">
        <v>33.229036983705569</v>
      </c>
      <c r="R98" t="s">
        <v>30</v>
      </c>
      <c r="S98">
        <v>58.222886670000001</v>
      </c>
      <c r="T98" t="s">
        <v>2819</v>
      </c>
      <c r="U98" t="s">
        <v>1059</v>
      </c>
    </row>
    <row r="99" spans="1:21" x14ac:dyDescent="0.25">
      <c r="A99" t="s">
        <v>1297</v>
      </c>
      <c r="B99" t="s">
        <v>1298</v>
      </c>
      <c r="C99" t="s">
        <v>1299</v>
      </c>
      <c r="D99" t="s">
        <v>586</v>
      </c>
      <c r="E99" t="s">
        <v>1056</v>
      </c>
      <c r="F99" t="s">
        <v>1163</v>
      </c>
      <c r="G99" t="s">
        <v>1164</v>
      </c>
      <c r="H99" t="s">
        <v>90</v>
      </c>
      <c r="I99" t="s">
        <v>90</v>
      </c>
      <c r="J99">
        <v>55.379937869999999</v>
      </c>
      <c r="K99">
        <v>7.7834526100000003</v>
      </c>
      <c r="L99">
        <v>6.4248500100000001</v>
      </c>
      <c r="M99">
        <v>5.1517854600000001</v>
      </c>
      <c r="N99">
        <v>6.6016701800000002</v>
      </c>
      <c r="O99">
        <v>38.382279338382268</v>
      </c>
      <c r="P99">
        <v>77.488261379999997</v>
      </c>
      <c r="Q99">
        <v>67.881950167881939</v>
      </c>
      <c r="R99" t="s">
        <v>1073</v>
      </c>
      <c r="S99">
        <v>55.379937869999999</v>
      </c>
      <c r="T99" t="s">
        <v>2819</v>
      </c>
      <c r="U99" t="s">
        <v>1059</v>
      </c>
    </row>
    <row r="100" spans="1:21" x14ac:dyDescent="0.25">
      <c r="A100" t="s">
        <v>1300</v>
      </c>
      <c r="B100" t="s">
        <v>1301</v>
      </c>
      <c r="C100" t="s">
        <v>1302</v>
      </c>
      <c r="D100" t="s">
        <v>586</v>
      </c>
      <c r="E100" t="s">
        <v>1056</v>
      </c>
      <c r="F100" t="s">
        <v>1136</v>
      </c>
      <c r="G100" t="s">
        <v>1137</v>
      </c>
      <c r="H100" t="s">
        <v>90</v>
      </c>
      <c r="I100" t="s">
        <v>90</v>
      </c>
      <c r="J100">
        <v>138.86036806000001</v>
      </c>
      <c r="K100">
        <v>5.7863131399999999</v>
      </c>
      <c r="L100">
        <v>5.3614520199999998</v>
      </c>
      <c r="M100">
        <v>5.1569066499999998</v>
      </c>
      <c r="N100">
        <v>4.7705316900000003</v>
      </c>
      <c r="O100">
        <v>17.556878634912831</v>
      </c>
      <c r="P100">
        <v>389.28401322000002</v>
      </c>
      <c r="Q100">
        <v>9.6952673135845124</v>
      </c>
      <c r="R100" t="s">
        <v>30</v>
      </c>
      <c r="S100">
        <v>138.86036806000001</v>
      </c>
      <c r="T100" t="s">
        <v>2819</v>
      </c>
      <c r="U100" t="s">
        <v>1059</v>
      </c>
    </row>
    <row r="101" spans="1:21" x14ac:dyDescent="0.25">
      <c r="A101" t="s">
        <v>1685</v>
      </c>
      <c r="B101" t="s">
        <v>448</v>
      </c>
      <c r="C101" t="s">
        <v>447</v>
      </c>
      <c r="D101" t="s">
        <v>422</v>
      </c>
      <c r="E101" t="s">
        <v>4801</v>
      </c>
      <c r="F101" t="s">
        <v>1198</v>
      </c>
      <c r="G101" t="s">
        <v>1082</v>
      </c>
      <c r="H101">
        <v>2258.75</v>
      </c>
      <c r="I101">
        <v>4601917</v>
      </c>
      <c r="J101">
        <v>2037.37</v>
      </c>
      <c r="K101">
        <v>4.7</v>
      </c>
      <c r="L101">
        <v>2.7</v>
      </c>
      <c r="M101">
        <v>5.5</v>
      </c>
      <c r="N101">
        <v>4.0999999999999996</v>
      </c>
      <c r="O101">
        <v>0</v>
      </c>
      <c r="Q101">
        <v>10</v>
      </c>
      <c r="R101" t="s">
        <v>1063</v>
      </c>
      <c r="S101">
        <v>2037.37</v>
      </c>
      <c r="T101" t="s">
        <v>2819</v>
      </c>
      <c r="U101" t="s">
        <v>1062</v>
      </c>
    </row>
    <row r="102" spans="1:21" x14ac:dyDescent="0.25">
      <c r="A102" t="s">
        <v>1303</v>
      </c>
      <c r="B102" t="s">
        <v>1304</v>
      </c>
      <c r="C102" t="s">
        <v>1305</v>
      </c>
      <c r="D102" t="s">
        <v>586</v>
      </c>
      <c r="E102" t="s">
        <v>1056</v>
      </c>
      <c r="F102" t="s">
        <v>1057</v>
      </c>
      <c r="G102" t="s">
        <v>1205</v>
      </c>
      <c r="H102" t="s">
        <v>90</v>
      </c>
      <c r="I102" t="s">
        <v>90</v>
      </c>
      <c r="J102">
        <v>202.30442407000001</v>
      </c>
      <c r="K102">
        <v>6.3889381099999998</v>
      </c>
      <c r="L102">
        <v>4.9568165799999999</v>
      </c>
      <c r="M102">
        <v>6.1080761399999997</v>
      </c>
      <c r="N102">
        <v>5.5907058999999997</v>
      </c>
      <c r="O102">
        <v>46.740146740146741</v>
      </c>
      <c r="P102">
        <v>396.26480710999999</v>
      </c>
      <c r="Q102">
        <v>37.538337538337537</v>
      </c>
      <c r="R102" t="s">
        <v>30</v>
      </c>
      <c r="S102">
        <v>202.30442407000001</v>
      </c>
      <c r="T102" t="s">
        <v>2819</v>
      </c>
      <c r="U102" t="s">
        <v>1059</v>
      </c>
    </row>
    <row r="103" spans="1:21" x14ac:dyDescent="0.25">
      <c r="A103" t="s">
        <v>1730</v>
      </c>
      <c r="B103" t="s">
        <v>440</v>
      </c>
      <c r="C103" t="s">
        <v>439</v>
      </c>
      <c r="D103" t="s">
        <v>422</v>
      </c>
      <c r="E103" t="s">
        <v>4801</v>
      </c>
      <c r="F103" t="s">
        <v>1198</v>
      </c>
      <c r="G103" t="s">
        <v>1148</v>
      </c>
      <c r="H103">
        <v>4243.4799999999996</v>
      </c>
      <c r="I103">
        <v>247811.62</v>
      </c>
      <c r="J103">
        <v>58.4</v>
      </c>
      <c r="K103">
        <v>2.2000000000000002</v>
      </c>
      <c r="L103">
        <v>1.5</v>
      </c>
      <c r="M103">
        <v>4.5</v>
      </c>
      <c r="N103">
        <v>5.3</v>
      </c>
      <c r="O103">
        <v>0</v>
      </c>
      <c r="Q103">
        <v>57</v>
      </c>
      <c r="R103" t="s">
        <v>21</v>
      </c>
      <c r="S103">
        <v>58.4</v>
      </c>
      <c r="T103" t="s">
        <v>2819</v>
      </c>
      <c r="U103" t="s">
        <v>1062</v>
      </c>
    </row>
    <row r="104" spans="1:21" x14ac:dyDescent="0.25">
      <c r="A104" t="s">
        <v>1307</v>
      </c>
      <c r="B104" t="s">
        <v>1308</v>
      </c>
      <c r="C104" t="s">
        <v>1309</v>
      </c>
      <c r="D104" t="s">
        <v>586</v>
      </c>
      <c r="E104" t="s">
        <v>1056</v>
      </c>
      <c r="F104" t="s">
        <v>1057</v>
      </c>
      <c r="G104" t="s">
        <v>1216</v>
      </c>
      <c r="H104" t="s">
        <v>90</v>
      </c>
      <c r="I104" t="s">
        <v>90</v>
      </c>
      <c r="J104">
        <v>3.2351257100000002</v>
      </c>
      <c r="K104">
        <v>7.0636405499999997</v>
      </c>
      <c r="L104">
        <v>5.4697748500000003</v>
      </c>
      <c r="M104">
        <v>5.6236893400000003</v>
      </c>
      <c r="N104">
        <v>5.4972875700000001</v>
      </c>
      <c r="O104">
        <v>39.56252087495826</v>
      </c>
      <c r="P104">
        <v>22.98887891</v>
      </c>
      <c r="Q104">
        <v>12.38677522644954</v>
      </c>
      <c r="R104" t="s">
        <v>30</v>
      </c>
      <c r="S104">
        <v>3.2351257100000002</v>
      </c>
      <c r="T104" t="s">
        <v>2819</v>
      </c>
      <c r="U104" t="s">
        <v>1059</v>
      </c>
    </row>
    <row r="105" spans="1:21" x14ac:dyDescent="0.25">
      <c r="A105" t="s">
        <v>1730</v>
      </c>
      <c r="B105" t="s">
        <v>507</v>
      </c>
      <c r="C105" t="s">
        <v>506</v>
      </c>
      <c r="D105" t="s">
        <v>501</v>
      </c>
      <c r="E105" t="s">
        <v>4808</v>
      </c>
      <c r="F105" t="s">
        <v>1198</v>
      </c>
      <c r="G105" t="s">
        <v>1148</v>
      </c>
      <c r="H105">
        <v>4243.4799999999996</v>
      </c>
      <c r="I105">
        <v>247811.62</v>
      </c>
      <c r="J105">
        <v>58.4</v>
      </c>
      <c r="K105">
        <v>2.2000000000000002</v>
      </c>
      <c r="L105">
        <v>1.5</v>
      </c>
      <c r="M105">
        <v>4.5</v>
      </c>
      <c r="N105">
        <v>5.3</v>
      </c>
      <c r="O105">
        <v>0</v>
      </c>
      <c r="Q105">
        <v>57</v>
      </c>
      <c r="R105" t="s">
        <v>21</v>
      </c>
      <c r="S105">
        <v>58.4</v>
      </c>
      <c r="T105" t="s">
        <v>2819</v>
      </c>
      <c r="U105" t="s">
        <v>1062</v>
      </c>
    </row>
    <row r="106" spans="1:21" x14ac:dyDescent="0.25">
      <c r="A106" t="s">
        <v>1730</v>
      </c>
      <c r="B106" t="s">
        <v>308</v>
      </c>
      <c r="C106" t="s">
        <v>307</v>
      </c>
      <c r="D106" t="s">
        <v>249</v>
      </c>
      <c r="E106" t="s">
        <v>4806</v>
      </c>
      <c r="F106" t="s">
        <v>1198</v>
      </c>
      <c r="G106" t="s">
        <v>1148</v>
      </c>
      <c r="H106">
        <v>4243.4799999999996</v>
      </c>
      <c r="I106">
        <v>247811.62</v>
      </c>
      <c r="J106">
        <v>58.4</v>
      </c>
      <c r="K106">
        <v>2.2000000000000002</v>
      </c>
      <c r="L106">
        <v>1.5</v>
      </c>
      <c r="M106">
        <v>4.5</v>
      </c>
      <c r="N106">
        <v>5.3</v>
      </c>
      <c r="O106">
        <v>0</v>
      </c>
      <c r="Q106">
        <v>57</v>
      </c>
      <c r="R106" t="s">
        <v>21</v>
      </c>
      <c r="S106">
        <v>58.4</v>
      </c>
      <c r="T106" t="s">
        <v>2819</v>
      </c>
      <c r="U106" t="s">
        <v>1062</v>
      </c>
    </row>
    <row r="107" spans="1:21" x14ac:dyDescent="0.25">
      <c r="A107" t="s">
        <v>1311</v>
      </c>
      <c r="B107" t="s">
        <v>1312</v>
      </c>
      <c r="C107" t="s">
        <v>1313</v>
      </c>
      <c r="D107" t="s">
        <v>586</v>
      </c>
      <c r="E107" t="s">
        <v>1056</v>
      </c>
      <c r="F107" t="s">
        <v>1057</v>
      </c>
      <c r="G107" t="s">
        <v>1189</v>
      </c>
      <c r="H107" t="s">
        <v>90</v>
      </c>
      <c r="I107" t="s">
        <v>90</v>
      </c>
      <c r="J107">
        <v>216.60441184000001</v>
      </c>
      <c r="K107">
        <v>6.8895018200000004</v>
      </c>
      <c r="L107">
        <v>5.3387629600000004</v>
      </c>
      <c r="M107">
        <v>4.6325941400000001</v>
      </c>
      <c r="N107">
        <v>6.5817817500000002</v>
      </c>
      <c r="O107">
        <v>16.699366601266799</v>
      </c>
      <c r="P107">
        <v>587.22827099000006</v>
      </c>
      <c r="Q107">
        <v>48.481403037193921</v>
      </c>
      <c r="R107" t="s">
        <v>30</v>
      </c>
      <c r="S107">
        <v>216.60441184000001</v>
      </c>
      <c r="T107" t="s">
        <v>2819</v>
      </c>
      <c r="U107" t="s">
        <v>1059</v>
      </c>
    </row>
    <row r="108" spans="1:21" x14ac:dyDescent="0.25">
      <c r="A108" t="s">
        <v>1314</v>
      </c>
      <c r="B108" t="s">
        <v>1315</v>
      </c>
      <c r="C108" t="s">
        <v>1316</v>
      </c>
      <c r="D108" t="s">
        <v>586</v>
      </c>
      <c r="E108" t="s">
        <v>1056</v>
      </c>
      <c r="F108" t="s">
        <v>1057</v>
      </c>
      <c r="G108" t="s">
        <v>1221</v>
      </c>
      <c r="H108" t="s">
        <v>90</v>
      </c>
      <c r="I108" t="s">
        <v>90</v>
      </c>
      <c r="J108">
        <v>347.89119204999997</v>
      </c>
      <c r="K108">
        <v>6.5147189399999998</v>
      </c>
      <c r="L108">
        <v>6.0505206100000004</v>
      </c>
      <c r="M108">
        <v>5.6190013099999998</v>
      </c>
      <c r="N108">
        <v>6.6838535600000002</v>
      </c>
      <c r="O108">
        <v>41.243217513564971</v>
      </c>
      <c r="P108">
        <v>1750.83371889</v>
      </c>
      <c r="Q108">
        <v>39.842020315959367</v>
      </c>
      <c r="R108" t="s">
        <v>30</v>
      </c>
      <c r="S108">
        <v>347.89119204999997</v>
      </c>
      <c r="T108" t="s">
        <v>2819</v>
      </c>
      <c r="U108" t="s">
        <v>1059</v>
      </c>
    </row>
    <row r="109" spans="1:21" x14ac:dyDescent="0.25">
      <c r="A109" t="s">
        <v>1730</v>
      </c>
      <c r="B109" t="s">
        <v>5778</v>
      </c>
      <c r="C109" t="s">
        <v>5779</v>
      </c>
      <c r="D109" t="s">
        <v>249</v>
      </c>
      <c r="E109" t="s">
        <v>4806</v>
      </c>
      <c r="F109" t="s">
        <v>1198</v>
      </c>
      <c r="G109" t="s">
        <v>1148</v>
      </c>
      <c r="H109">
        <v>4243.4799999999996</v>
      </c>
      <c r="I109">
        <v>247811.62</v>
      </c>
      <c r="J109">
        <v>58.4</v>
      </c>
      <c r="K109">
        <v>2.2000000000000002</v>
      </c>
      <c r="L109">
        <v>1.5</v>
      </c>
      <c r="M109">
        <v>4.5</v>
      </c>
      <c r="N109">
        <v>5.3</v>
      </c>
      <c r="O109">
        <v>0</v>
      </c>
      <c r="Q109">
        <v>57</v>
      </c>
      <c r="R109" t="s">
        <v>21</v>
      </c>
      <c r="S109">
        <v>58.4</v>
      </c>
      <c r="T109" t="s">
        <v>2819</v>
      </c>
      <c r="U109" t="s">
        <v>1062</v>
      </c>
    </row>
    <row r="110" spans="1:21" x14ac:dyDescent="0.25">
      <c r="A110" t="s">
        <v>1317</v>
      </c>
      <c r="B110" t="s">
        <v>1318</v>
      </c>
      <c r="C110" t="s">
        <v>1319</v>
      </c>
      <c r="D110" t="s">
        <v>586</v>
      </c>
      <c r="E110" t="s">
        <v>1056</v>
      </c>
      <c r="F110" t="s">
        <v>1057</v>
      </c>
      <c r="G110" t="s">
        <v>1212</v>
      </c>
      <c r="H110" t="s">
        <v>90</v>
      </c>
      <c r="I110" t="s">
        <v>90</v>
      </c>
      <c r="J110">
        <v>151.41788751999999</v>
      </c>
      <c r="K110">
        <v>6.5898315299999997</v>
      </c>
      <c r="L110">
        <v>6.9549515</v>
      </c>
      <c r="M110">
        <v>3.9074142100000002</v>
      </c>
      <c r="N110">
        <v>5.9736421899999996</v>
      </c>
      <c r="O110">
        <v>51.720100000000023</v>
      </c>
      <c r="P110">
        <v>280.53832718000001</v>
      </c>
      <c r="Q110">
        <v>28.982099999999999</v>
      </c>
      <c r="R110" t="s">
        <v>30</v>
      </c>
      <c r="S110">
        <v>151.41788751999999</v>
      </c>
      <c r="T110" t="s">
        <v>2819</v>
      </c>
      <c r="U110" t="s">
        <v>1059</v>
      </c>
    </row>
    <row r="111" spans="1:21" x14ac:dyDescent="0.25">
      <c r="A111" t="s">
        <v>5780</v>
      </c>
      <c r="B111" t="s">
        <v>1761</v>
      </c>
      <c r="C111" t="s">
        <v>4068</v>
      </c>
      <c r="D111" t="s">
        <v>350</v>
      </c>
      <c r="E111" t="s">
        <v>4802</v>
      </c>
      <c r="F111" t="s">
        <v>1198</v>
      </c>
      <c r="G111" t="s">
        <v>1119</v>
      </c>
      <c r="H111">
        <v>6610.65</v>
      </c>
      <c r="I111">
        <v>2659</v>
      </c>
      <c r="J111">
        <v>0.4</v>
      </c>
      <c r="K111">
        <v>5</v>
      </c>
      <c r="L111">
        <v>3.1</v>
      </c>
      <c r="M111">
        <v>5.0999999999999996</v>
      </c>
      <c r="N111">
        <v>3.8</v>
      </c>
      <c r="O111">
        <v>0</v>
      </c>
      <c r="Q111">
        <v>10</v>
      </c>
      <c r="R111" t="s">
        <v>1063</v>
      </c>
      <c r="S111">
        <v>0.4</v>
      </c>
      <c r="T111" t="s">
        <v>2819</v>
      </c>
      <c r="U111" t="s">
        <v>1062</v>
      </c>
    </row>
    <row r="112" spans="1:21" x14ac:dyDescent="0.25">
      <c r="A112" t="s">
        <v>1320</v>
      </c>
      <c r="B112" t="s">
        <v>1321</v>
      </c>
      <c r="C112" t="s">
        <v>1322</v>
      </c>
      <c r="D112" t="s">
        <v>586</v>
      </c>
      <c r="E112" t="s">
        <v>1056</v>
      </c>
      <c r="F112" t="s">
        <v>1057</v>
      </c>
      <c r="G112" t="s">
        <v>1323</v>
      </c>
      <c r="H112" t="s">
        <v>90</v>
      </c>
      <c r="I112" t="s">
        <v>90</v>
      </c>
      <c r="J112">
        <v>217.85821207999999</v>
      </c>
      <c r="K112">
        <v>5.8574351399999998</v>
      </c>
      <c r="L112">
        <v>5.9088355999999997</v>
      </c>
      <c r="M112">
        <v>7.1561199599999998</v>
      </c>
      <c r="N112">
        <v>6.6758591599999999</v>
      </c>
      <c r="O112">
        <v>0</v>
      </c>
      <c r="Q112">
        <v>0</v>
      </c>
      <c r="R112" t="s">
        <v>30</v>
      </c>
      <c r="S112">
        <v>217.85821207999999</v>
      </c>
      <c r="T112" t="s">
        <v>2819</v>
      </c>
      <c r="U112" t="s">
        <v>1278</v>
      </c>
    </row>
    <row r="113" spans="1:21" x14ac:dyDescent="0.25">
      <c r="A113" t="s">
        <v>5780</v>
      </c>
      <c r="B113" t="s">
        <v>1767</v>
      </c>
      <c r="C113" t="s">
        <v>3312</v>
      </c>
      <c r="D113" t="s">
        <v>350</v>
      </c>
      <c r="E113" t="s">
        <v>4802</v>
      </c>
      <c r="F113" t="s">
        <v>1198</v>
      </c>
      <c r="G113" t="s">
        <v>1119</v>
      </c>
      <c r="H113">
        <v>6610.65</v>
      </c>
      <c r="I113">
        <v>2659</v>
      </c>
      <c r="J113">
        <v>0.4</v>
      </c>
      <c r="K113">
        <v>5</v>
      </c>
      <c r="L113">
        <v>3.1</v>
      </c>
      <c r="M113">
        <v>5.0999999999999996</v>
      </c>
      <c r="N113">
        <v>3.8</v>
      </c>
      <c r="O113">
        <v>0</v>
      </c>
      <c r="Q113">
        <v>10</v>
      </c>
      <c r="R113" t="s">
        <v>1063</v>
      </c>
      <c r="S113">
        <v>0.4</v>
      </c>
      <c r="T113" t="s">
        <v>2819</v>
      </c>
      <c r="U113" t="s">
        <v>1062</v>
      </c>
    </row>
    <row r="114" spans="1:21" x14ac:dyDescent="0.25">
      <c r="A114" t="s">
        <v>5780</v>
      </c>
      <c r="B114" t="s">
        <v>244</v>
      </c>
      <c r="C114" t="s">
        <v>3309</v>
      </c>
      <c r="D114" t="s">
        <v>224</v>
      </c>
      <c r="E114" t="s">
        <v>4803</v>
      </c>
      <c r="F114" t="s">
        <v>1198</v>
      </c>
      <c r="G114" t="s">
        <v>1119</v>
      </c>
      <c r="H114">
        <v>6610.65</v>
      </c>
      <c r="I114">
        <v>2659</v>
      </c>
      <c r="J114">
        <v>0.4</v>
      </c>
      <c r="K114">
        <v>5</v>
      </c>
      <c r="L114">
        <v>3.1</v>
      </c>
      <c r="M114">
        <v>5.0999999999999996</v>
      </c>
      <c r="N114">
        <v>3.8</v>
      </c>
      <c r="O114">
        <v>0</v>
      </c>
      <c r="Q114">
        <v>10</v>
      </c>
      <c r="R114" t="s">
        <v>1063</v>
      </c>
      <c r="S114">
        <v>0.4</v>
      </c>
      <c r="T114" t="s">
        <v>2819</v>
      </c>
      <c r="U114" t="s">
        <v>1062</v>
      </c>
    </row>
    <row r="115" spans="1:21" x14ac:dyDescent="0.25">
      <c r="A115" t="s">
        <v>1325</v>
      </c>
      <c r="B115" t="s">
        <v>1326</v>
      </c>
      <c r="C115" t="s">
        <v>1327</v>
      </c>
      <c r="D115" t="s">
        <v>586</v>
      </c>
      <c r="E115" t="s">
        <v>1056</v>
      </c>
      <c r="F115" t="s">
        <v>1057</v>
      </c>
      <c r="G115" t="s">
        <v>1328</v>
      </c>
      <c r="H115" t="s">
        <v>90</v>
      </c>
      <c r="I115" t="s">
        <v>90</v>
      </c>
      <c r="J115">
        <v>32.984166610000003</v>
      </c>
      <c r="K115">
        <v>5.8594686899999999</v>
      </c>
      <c r="L115">
        <v>5.3941510399999997</v>
      </c>
      <c r="M115">
        <v>4.1753947299999998</v>
      </c>
      <c r="N115">
        <v>6.0503290700000001</v>
      </c>
      <c r="O115">
        <v>13.161962563687</v>
      </c>
      <c r="P115">
        <v>120.30138608</v>
      </c>
      <c r="Q115">
        <v>21.231863132535899</v>
      </c>
      <c r="R115" t="s">
        <v>30</v>
      </c>
      <c r="S115">
        <v>32.984166610000003</v>
      </c>
      <c r="T115" t="s">
        <v>2819</v>
      </c>
      <c r="U115" t="s">
        <v>1059</v>
      </c>
    </row>
    <row r="116" spans="1:21" x14ac:dyDescent="0.25">
      <c r="A116" t="s">
        <v>5780</v>
      </c>
      <c r="B116" t="s">
        <v>4818</v>
      </c>
      <c r="C116" t="s">
        <v>4819</v>
      </c>
      <c r="D116" t="s">
        <v>224</v>
      </c>
      <c r="E116" t="s">
        <v>4803</v>
      </c>
      <c r="F116" t="s">
        <v>1198</v>
      </c>
      <c r="G116" t="s">
        <v>1119</v>
      </c>
      <c r="H116">
        <v>6610.65</v>
      </c>
      <c r="I116">
        <v>2659</v>
      </c>
      <c r="J116">
        <v>0.4</v>
      </c>
      <c r="K116">
        <v>5</v>
      </c>
      <c r="L116">
        <v>3.1</v>
      </c>
      <c r="M116">
        <v>5.0999999999999996</v>
      </c>
      <c r="N116">
        <v>3.8</v>
      </c>
      <c r="O116">
        <v>0</v>
      </c>
      <c r="Q116">
        <v>10</v>
      </c>
      <c r="R116" t="s">
        <v>1063</v>
      </c>
      <c r="S116">
        <v>0.4</v>
      </c>
      <c r="T116" t="s">
        <v>2819</v>
      </c>
      <c r="U116" t="s">
        <v>1062</v>
      </c>
    </row>
    <row r="117" spans="1:21" x14ac:dyDescent="0.25">
      <c r="A117" t="s">
        <v>5780</v>
      </c>
      <c r="B117" t="s">
        <v>5781</v>
      </c>
      <c r="C117" t="s">
        <v>5782</v>
      </c>
      <c r="D117" t="s">
        <v>224</v>
      </c>
      <c r="E117" t="s">
        <v>4803</v>
      </c>
      <c r="F117" t="s">
        <v>1198</v>
      </c>
      <c r="G117" t="s">
        <v>1119</v>
      </c>
      <c r="H117">
        <v>6610.65</v>
      </c>
      <c r="I117">
        <v>2659</v>
      </c>
      <c r="J117">
        <v>0.4</v>
      </c>
      <c r="K117">
        <v>5</v>
      </c>
      <c r="L117">
        <v>3.1</v>
      </c>
      <c r="M117">
        <v>5.0999999999999996</v>
      </c>
      <c r="N117">
        <v>3.8</v>
      </c>
      <c r="O117">
        <v>0</v>
      </c>
      <c r="Q117">
        <v>10</v>
      </c>
      <c r="R117" t="s">
        <v>1063</v>
      </c>
      <c r="S117">
        <v>0.4</v>
      </c>
      <c r="T117" t="s">
        <v>2819</v>
      </c>
      <c r="U117" t="s">
        <v>1062</v>
      </c>
    </row>
    <row r="118" spans="1:21" x14ac:dyDescent="0.25">
      <c r="A118" t="s">
        <v>1325</v>
      </c>
      <c r="B118" t="s">
        <v>1326</v>
      </c>
      <c r="C118" t="s">
        <v>1329</v>
      </c>
      <c r="D118" t="s">
        <v>586</v>
      </c>
      <c r="E118" t="s">
        <v>1056</v>
      </c>
      <c r="F118" t="s">
        <v>1057</v>
      </c>
      <c r="G118" t="s">
        <v>1328</v>
      </c>
      <c r="H118" t="s">
        <v>90</v>
      </c>
      <c r="I118" t="s">
        <v>90</v>
      </c>
      <c r="J118">
        <v>32.984166610000003</v>
      </c>
      <c r="K118">
        <v>5.8594686899999999</v>
      </c>
      <c r="L118">
        <v>5.3941510399999997</v>
      </c>
      <c r="M118">
        <v>4.1753947299999998</v>
      </c>
      <c r="N118">
        <v>6.0503290700000001</v>
      </c>
      <c r="O118">
        <v>13.161962563687</v>
      </c>
      <c r="P118">
        <v>120.30138608</v>
      </c>
      <c r="Q118">
        <v>21.231863132535899</v>
      </c>
      <c r="R118" t="s">
        <v>30</v>
      </c>
      <c r="S118">
        <v>32.984166610000003</v>
      </c>
      <c r="T118" t="s">
        <v>2819</v>
      </c>
      <c r="U118" t="s">
        <v>1059</v>
      </c>
    </row>
    <row r="119" spans="1:21" x14ac:dyDescent="0.25">
      <c r="A119" t="s">
        <v>1778</v>
      </c>
      <c r="B119" t="s">
        <v>1779</v>
      </c>
      <c r="C119" t="s">
        <v>3095</v>
      </c>
      <c r="D119" t="s">
        <v>191</v>
      </c>
      <c r="E119" t="s">
        <v>4804</v>
      </c>
      <c r="F119" t="s">
        <v>1185</v>
      </c>
      <c r="G119" t="s">
        <v>1148</v>
      </c>
      <c r="H119">
        <v>10000.790000000001</v>
      </c>
      <c r="I119">
        <v>3183733.16</v>
      </c>
      <c r="J119">
        <v>273.56</v>
      </c>
      <c r="K119">
        <v>1.9</v>
      </c>
      <c r="L119">
        <v>2.4</v>
      </c>
      <c r="M119">
        <v>5.0999999999999996</v>
      </c>
      <c r="N119">
        <v>3.6</v>
      </c>
      <c r="O119">
        <v>3</v>
      </c>
      <c r="Q119">
        <v>8</v>
      </c>
      <c r="R119" t="s">
        <v>21</v>
      </c>
      <c r="S119">
        <v>273.56</v>
      </c>
      <c r="T119" t="s">
        <v>2819</v>
      </c>
      <c r="U119" t="s">
        <v>1062</v>
      </c>
    </row>
    <row r="120" spans="1:21" x14ac:dyDescent="0.25">
      <c r="A120" t="s">
        <v>5783</v>
      </c>
      <c r="B120" t="s">
        <v>1330</v>
      </c>
      <c r="C120" t="s">
        <v>1331</v>
      </c>
      <c r="D120" t="s">
        <v>586</v>
      </c>
      <c r="E120" t="s">
        <v>1056</v>
      </c>
      <c r="F120" t="s">
        <v>1136</v>
      </c>
      <c r="G120" t="s">
        <v>1137</v>
      </c>
      <c r="H120" t="s">
        <v>90</v>
      </c>
      <c r="I120" t="s">
        <v>90</v>
      </c>
      <c r="J120">
        <v>180.53784866999999</v>
      </c>
      <c r="K120">
        <v>5.5472160099999996</v>
      </c>
      <c r="L120">
        <v>5.0913641900000002</v>
      </c>
      <c r="M120">
        <v>5.0258195600000004</v>
      </c>
      <c r="N120">
        <v>4.7740167199999997</v>
      </c>
      <c r="O120">
        <v>16.467207836556359</v>
      </c>
      <c r="P120">
        <v>381.87603691999999</v>
      </c>
      <c r="Q120">
        <v>10.970886100649841</v>
      </c>
      <c r="R120" t="s">
        <v>1063</v>
      </c>
      <c r="S120">
        <v>180.53784866999999</v>
      </c>
      <c r="T120" t="s">
        <v>2819</v>
      </c>
      <c r="U120" t="s">
        <v>1059</v>
      </c>
    </row>
    <row r="121" spans="1:21" x14ac:dyDescent="0.25">
      <c r="A121" t="s">
        <v>1778</v>
      </c>
      <c r="B121" t="s">
        <v>1783</v>
      </c>
      <c r="C121" t="s">
        <v>3093</v>
      </c>
      <c r="D121" t="s">
        <v>191</v>
      </c>
      <c r="E121" t="s">
        <v>4804</v>
      </c>
      <c r="F121" t="s">
        <v>1185</v>
      </c>
      <c r="G121" t="s">
        <v>1148</v>
      </c>
      <c r="H121">
        <v>10000.790000000001</v>
      </c>
      <c r="I121">
        <v>3183733.16</v>
      </c>
      <c r="J121">
        <v>273.56</v>
      </c>
      <c r="K121">
        <v>1.9</v>
      </c>
      <c r="L121">
        <v>2.4</v>
      </c>
      <c r="M121">
        <v>5.0999999999999996</v>
      </c>
      <c r="N121">
        <v>3.6</v>
      </c>
      <c r="O121">
        <v>3</v>
      </c>
      <c r="Q121">
        <v>8</v>
      </c>
      <c r="R121" t="s">
        <v>21</v>
      </c>
      <c r="S121">
        <v>273.56</v>
      </c>
      <c r="T121" t="s">
        <v>2819</v>
      </c>
      <c r="U121" t="s">
        <v>1062</v>
      </c>
    </row>
    <row r="122" spans="1:21" x14ac:dyDescent="0.25">
      <c r="A122" t="s">
        <v>1332</v>
      </c>
      <c r="B122" t="s">
        <v>1333</v>
      </c>
      <c r="C122" t="s">
        <v>1334</v>
      </c>
      <c r="D122" t="s">
        <v>586</v>
      </c>
      <c r="E122" t="s">
        <v>1056</v>
      </c>
      <c r="F122" t="s">
        <v>1057</v>
      </c>
      <c r="G122" t="s">
        <v>1202</v>
      </c>
      <c r="H122" t="s">
        <v>90</v>
      </c>
      <c r="I122" t="s">
        <v>90</v>
      </c>
      <c r="J122">
        <v>41.62224028</v>
      </c>
      <c r="K122">
        <v>5.6644798400000003</v>
      </c>
      <c r="L122">
        <v>5.0408567499999997</v>
      </c>
      <c r="M122">
        <v>5.0966947100000004</v>
      </c>
      <c r="N122">
        <v>4.9325862300000001</v>
      </c>
      <c r="O122">
        <v>8.7221486378229152</v>
      </c>
      <c r="P122">
        <v>112.37365909</v>
      </c>
      <c r="Q122">
        <v>18.30123921455812</v>
      </c>
      <c r="R122" t="s">
        <v>1063</v>
      </c>
      <c r="S122">
        <v>41.62224028</v>
      </c>
      <c r="T122" t="s">
        <v>2819</v>
      </c>
      <c r="U122" t="s">
        <v>1059</v>
      </c>
    </row>
    <row r="123" spans="1:21" x14ac:dyDescent="0.25">
      <c r="A123" t="s">
        <v>1335</v>
      </c>
      <c r="B123" t="s">
        <v>1336</v>
      </c>
      <c r="C123" t="s">
        <v>1337</v>
      </c>
      <c r="D123" t="s">
        <v>586</v>
      </c>
      <c r="E123" t="s">
        <v>1056</v>
      </c>
      <c r="F123" t="s">
        <v>1057</v>
      </c>
      <c r="G123" t="s">
        <v>1058</v>
      </c>
      <c r="H123" t="s">
        <v>90</v>
      </c>
      <c r="I123" t="s">
        <v>90</v>
      </c>
      <c r="J123">
        <v>41.406600560000001</v>
      </c>
      <c r="K123">
        <v>6.4521702999999997</v>
      </c>
      <c r="L123">
        <v>5.5368855000000003</v>
      </c>
      <c r="M123">
        <v>4.97048545</v>
      </c>
      <c r="N123">
        <v>5.61835693</v>
      </c>
      <c r="O123">
        <v>42.221760457030491</v>
      </c>
      <c r="P123">
        <v>115.56655287</v>
      </c>
      <c r="Q123">
        <v>22.842158251483848</v>
      </c>
      <c r="R123" t="s">
        <v>30</v>
      </c>
      <c r="S123">
        <v>41.406600560000001</v>
      </c>
      <c r="T123" t="s">
        <v>2819</v>
      </c>
      <c r="U123" t="s">
        <v>1059</v>
      </c>
    </row>
    <row r="124" spans="1:21" x14ac:dyDescent="0.25">
      <c r="A124" t="s">
        <v>1778</v>
      </c>
      <c r="B124" t="s">
        <v>1787</v>
      </c>
      <c r="C124" t="s">
        <v>3094</v>
      </c>
      <c r="D124" t="s">
        <v>191</v>
      </c>
      <c r="E124" t="s">
        <v>4804</v>
      </c>
      <c r="F124" t="s">
        <v>1185</v>
      </c>
      <c r="G124" t="s">
        <v>1148</v>
      </c>
      <c r="H124">
        <v>10000.790000000001</v>
      </c>
      <c r="I124">
        <v>3183733.16</v>
      </c>
      <c r="J124">
        <v>273.56</v>
      </c>
      <c r="K124">
        <v>1.9</v>
      </c>
      <c r="L124">
        <v>2.4</v>
      </c>
      <c r="M124">
        <v>5.0999999999999996</v>
      </c>
      <c r="N124">
        <v>3.6</v>
      </c>
      <c r="O124">
        <v>3</v>
      </c>
      <c r="Q124">
        <v>8</v>
      </c>
      <c r="R124" t="s">
        <v>21</v>
      </c>
      <c r="S124">
        <v>273.56</v>
      </c>
      <c r="T124" t="s">
        <v>2819</v>
      </c>
      <c r="U124" t="s">
        <v>1062</v>
      </c>
    </row>
    <row r="125" spans="1:21" x14ac:dyDescent="0.25">
      <c r="A125" t="s">
        <v>5784</v>
      </c>
      <c r="B125" t="s">
        <v>1338</v>
      </c>
      <c r="C125" t="s">
        <v>1339</v>
      </c>
      <c r="D125" t="s">
        <v>586</v>
      </c>
      <c r="E125" t="s">
        <v>1056</v>
      </c>
      <c r="F125" t="s">
        <v>1260</v>
      </c>
      <c r="G125" t="s">
        <v>1261</v>
      </c>
      <c r="H125" t="s">
        <v>90</v>
      </c>
      <c r="I125" t="s">
        <v>90</v>
      </c>
      <c r="J125">
        <v>87.808843080000003</v>
      </c>
      <c r="K125">
        <v>7.2724417299999997</v>
      </c>
      <c r="L125">
        <v>5.6877782100000003</v>
      </c>
      <c r="M125">
        <v>5.1054959599999998</v>
      </c>
      <c r="N125">
        <v>6.4566030100000003</v>
      </c>
      <c r="O125">
        <v>26.922904255900569</v>
      </c>
      <c r="P125">
        <v>128.70519544999999</v>
      </c>
      <c r="Q125">
        <v>54.111753499738469</v>
      </c>
      <c r="R125" t="s">
        <v>1073</v>
      </c>
      <c r="S125">
        <v>87.808843080000003</v>
      </c>
      <c r="T125" t="s">
        <v>2819</v>
      </c>
      <c r="U125" t="s">
        <v>1059</v>
      </c>
    </row>
    <row r="126" spans="1:21" x14ac:dyDescent="0.25">
      <c r="A126" t="s">
        <v>1340</v>
      </c>
      <c r="B126" t="s">
        <v>604</v>
      </c>
      <c r="C126" t="s">
        <v>603</v>
      </c>
      <c r="D126" t="s">
        <v>586</v>
      </c>
      <c r="E126" t="s">
        <v>1056</v>
      </c>
      <c r="F126" t="s">
        <v>1057</v>
      </c>
      <c r="G126" t="s">
        <v>1205</v>
      </c>
      <c r="H126" t="s">
        <v>90</v>
      </c>
      <c r="I126" t="s">
        <v>90</v>
      </c>
      <c r="J126">
        <v>208.88849012</v>
      </c>
      <c r="K126">
        <v>6.7405078300000003</v>
      </c>
      <c r="L126">
        <v>4.1054751300000003</v>
      </c>
      <c r="M126">
        <v>5.6568883100000003</v>
      </c>
      <c r="N126">
        <v>6.3973305199999997</v>
      </c>
      <c r="O126">
        <v>33.832900000000002</v>
      </c>
      <c r="P126">
        <v>273.26034040000002</v>
      </c>
      <c r="Q126">
        <v>26.0458</v>
      </c>
      <c r="R126" t="s">
        <v>30</v>
      </c>
      <c r="S126">
        <v>208.88849012</v>
      </c>
      <c r="T126" t="s">
        <v>2819</v>
      </c>
      <c r="U126" t="s">
        <v>1059</v>
      </c>
    </row>
    <row r="127" spans="1:21" x14ac:dyDescent="0.25">
      <c r="A127" t="s">
        <v>5785</v>
      </c>
      <c r="B127" t="s">
        <v>5786</v>
      </c>
      <c r="C127" t="s">
        <v>5787</v>
      </c>
      <c r="D127" t="s">
        <v>202</v>
      </c>
      <c r="E127" t="s">
        <v>4800</v>
      </c>
      <c r="F127" t="s">
        <v>1384</v>
      </c>
      <c r="G127" t="s">
        <v>1119</v>
      </c>
      <c r="H127">
        <v>28147.58</v>
      </c>
      <c r="I127">
        <v>4631</v>
      </c>
      <c r="J127">
        <v>0.16</v>
      </c>
      <c r="K127">
        <v>6.4</v>
      </c>
      <c r="L127">
        <v>3.5</v>
      </c>
      <c r="M127">
        <v>5.3</v>
      </c>
      <c r="N127">
        <v>5</v>
      </c>
      <c r="O127">
        <v>0</v>
      </c>
      <c r="Q127">
        <v>33</v>
      </c>
      <c r="R127" t="s">
        <v>30</v>
      </c>
      <c r="S127">
        <v>0.16</v>
      </c>
      <c r="T127" t="s">
        <v>2819</v>
      </c>
      <c r="U127" t="s">
        <v>1062</v>
      </c>
    </row>
    <row r="128" spans="1:21" x14ac:dyDescent="0.25">
      <c r="A128" t="s">
        <v>1341</v>
      </c>
      <c r="B128" t="s">
        <v>1342</v>
      </c>
      <c r="C128" t="s">
        <v>1343</v>
      </c>
      <c r="D128" t="s">
        <v>586</v>
      </c>
      <c r="E128" t="s">
        <v>1056</v>
      </c>
      <c r="F128" t="s">
        <v>1057</v>
      </c>
      <c r="G128" t="s">
        <v>1205</v>
      </c>
      <c r="H128" t="s">
        <v>90</v>
      </c>
      <c r="I128" t="s">
        <v>90</v>
      </c>
      <c r="J128">
        <v>67.882521209999993</v>
      </c>
      <c r="K128">
        <v>6.57397279</v>
      </c>
      <c r="L128">
        <v>7.30726794</v>
      </c>
      <c r="M128">
        <v>6.3499942599999999</v>
      </c>
      <c r="N128">
        <v>6.2834402000000003</v>
      </c>
      <c r="O128">
        <v>0</v>
      </c>
      <c r="P128">
        <v>118.59624673</v>
      </c>
      <c r="Q128">
        <v>45.052</v>
      </c>
      <c r="R128" t="s">
        <v>30</v>
      </c>
      <c r="S128">
        <v>67.882521209999993</v>
      </c>
      <c r="T128" t="s">
        <v>2819</v>
      </c>
      <c r="U128" t="s">
        <v>1059</v>
      </c>
    </row>
    <row r="129" spans="1:21" x14ac:dyDescent="0.25">
      <c r="A129" t="s">
        <v>1840</v>
      </c>
      <c r="B129" t="s">
        <v>1841</v>
      </c>
      <c r="C129" t="s">
        <v>4243</v>
      </c>
      <c r="D129" t="s">
        <v>512</v>
      </c>
      <c r="E129" t="s">
        <v>4797</v>
      </c>
      <c r="F129" t="s">
        <v>1384</v>
      </c>
      <c r="G129" t="s">
        <v>1098</v>
      </c>
      <c r="H129">
        <v>12335.11</v>
      </c>
      <c r="I129">
        <v>727664</v>
      </c>
      <c r="J129">
        <v>58.99</v>
      </c>
      <c r="K129">
        <v>5.9</v>
      </c>
      <c r="L129">
        <v>2.5</v>
      </c>
      <c r="M129">
        <v>5.4</v>
      </c>
      <c r="N129">
        <v>5.8</v>
      </c>
      <c r="O129">
        <v>1</v>
      </c>
      <c r="Q129">
        <v>48</v>
      </c>
      <c r="R129" t="s">
        <v>30</v>
      </c>
      <c r="S129">
        <v>58.99</v>
      </c>
      <c r="T129" t="s">
        <v>2819</v>
      </c>
      <c r="U129" t="s">
        <v>1062</v>
      </c>
    </row>
    <row r="130" spans="1:21" x14ac:dyDescent="0.25">
      <c r="A130" t="s">
        <v>1344</v>
      </c>
      <c r="B130" t="s">
        <v>1345</v>
      </c>
      <c r="C130" t="s">
        <v>1346</v>
      </c>
      <c r="D130" t="s">
        <v>586</v>
      </c>
      <c r="E130" t="s">
        <v>1056</v>
      </c>
      <c r="F130" t="s">
        <v>1057</v>
      </c>
      <c r="G130" t="s">
        <v>1155</v>
      </c>
      <c r="H130" t="s">
        <v>90</v>
      </c>
      <c r="I130" t="s">
        <v>90</v>
      </c>
      <c r="J130">
        <v>2.9915558500000001</v>
      </c>
      <c r="K130">
        <v>5.6122760600000001</v>
      </c>
      <c r="L130">
        <v>9.6022388099999993</v>
      </c>
      <c r="M130">
        <v>4.6983828900000004</v>
      </c>
      <c r="N130">
        <v>6.0673204500000004</v>
      </c>
      <c r="O130">
        <v>58.230926536101968</v>
      </c>
      <c r="P130">
        <v>14.279334609999999</v>
      </c>
      <c r="Q130">
        <v>40.865487017694747</v>
      </c>
      <c r="R130" t="s">
        <v>1063</v>
      </c>
      <c r="S130">
        <v>2.9915558500000001</v>
      </c>
      <c r="T130" t="s">
        <v>2819</v>
      </c>
      <c r="U130" t="s">
        <v>1059</v>
      </c>
    </row>
    <row r="131" spans="1:21" x14ac:dyDescent="0.25">
      <c r="A131" t="s">
        <v>1840</v>
      </c>
      <c r="B131" t="s">
        <v>1848</v>
      </c>
      <c r="C131" t="s">
        <v>3076</v>
      </c>
      <c r="D131" t="s">
        <v>191</v>
      </c>
      <c r="E131" t="s">
        <v>4804</v>
      </c>
      <c r="F131" t="s">
        <v>1384</v>
      </c>
      <c r="G131" t="s">
        <v>1098</v>
      </c>
      <c r="H131">
        <v>12335.11</v>
      </c>
      <c r="I131">
        <v>727664</v>
      </c>
      <c r="J131">
        <v>58.99</v>
      </c>
      <c r="K131">
        <v>5.9</v>
      </c>
      <c r="L131">
        <v>2.5</v>
      </c>
      <c r="M131">
        <v>5.4</v>
      </c>
      <c r="N131">
        <v>5.8</v>
      </c>
      <c r="O131">
        <v>1</v>
      </c>
      <c r="Q131">
        <v>48</v>
      </c>
      <c r="R131" t="s">
        <v>30</v>
      </c>
      <c r="S131">
        <v>58.99</v>
      </c>
      <c r="T131" t="s">
        <v>2819</v>
      </c>
      <c r="U131" t="s">
        <v>1062</v>
      </c>
    </row>
    <row r="132" spans="1:21" x14ac:dyDescent="0.25">
      <c r="A132" t="s">
        <v>1347</v>
      </c>
      <c r="B132" t="s">
        <v>1348</v>
      </c>
      <c r="C132" t="s">
        <v>1349</v>
      </c>
      <c r="D132" t="s">
        <v>586</v>
      </c>
      <c r="E132" t="s">
        <v>1056</v>
      </c>
      <c r="F132" t="s">
        <v>1057</v>
      </c>
      <c r="G132" t="s">
        <v>1159</v>
      </c>
      <c r="H132" t="s">
        <v>90</v>
      </c>
      <c r="I132" t="s">
        <v>90</v>
      </c>
      <c r="J132">
        <v>1.3903094</v>
      </c>
      <c r="K132">
        <v>6.1806924900000002</v>
      </c>
      <c r="L132">
        <v>3.54647369</v>
      </c>
      <c r="M132">
        <v>4.5113561500000001</v>
      </c>
      <c r="N132">
        <v>6.1622622299999996</v>
      </c>
      <c r="O132">
        <v>3.7139999999999991</v>
      </c>
      <c r="P132">
        <v>5.7605381400000004</v>
      </c>
      <c r="Q132">
        <v>11.188700000000001</v>
      </c>
      <c r="R132" t="s">
        <v>30</v>
      </c>
      <c r="S132">
        <v>1.3903094</v>
      </c>
      <c r="T132" t="s">
        <v>2819</v>
      </c>
      <c r="U132" t="s">
        <v>1059</v>
      </c>
    </row>
    <row r="133" spans="1:21" x14ac:dyDescent="0.25">
      <c r="A133" t="s">
        <v>1909</v>
      </c>
      <c r="B133" t="s">
        <v>1910</v>
      </c>
      <c r="C133" t="s">
        <v>4261</v>
      </c>
      <c r="D133" t="s">
        <v>4798</v>
      </c>
      <c r="E133" t="s">
        <v>4799</v>
      </c>
      <c r="F133" t="s">
        <v>1185</v>
      </c>
      <c r="G133" t="s">
        <v>1911</v>
      </c>
      <c r="H133">
        <v>24363.62</v>
      </c>
      <c r="I133">
        <v>603900</v>
      </c>
      <c r="J133">
        <v>24.79</v>
      </c>
      <c r="K133">
        <v>3.7</v>
      </c>
      <c r="L133">
        <v>6.1</v>
      </c>
      <c r="M133">
        <v>5.5</v>
      </c>
      <c r="N133">
        <v>1.3</v>
      </c>
      <c r="O133">
        <v>0</v>
      </c>
      <c r="Q133">
        <v>0</v>
      </c>
      <c r="R133" t="s">
        <v>1138</v>
      </c>
      <c r="S133">
        <v>24.79</v>
      </c>
      <c r="T133" t="s">
        <v>2819</v>
      </c>
      <c r="U133" t="s">
        <v>1062</v>
      </c>
    </row>
    <row r="134" spans="1:21" x14ac:dyDescent="0.25">
      <c r="A134" t="s">
        <v>1350</v>
      </c>
      <c r="B134" t="s">
        <v>1351</v>
      </c>
      <c r="C134" t="s">
        <v>1352</v>
      </c>
      <c r="D134" t="s">
        <v>586</v>
      </c>
      <c r="E134" t="s">
        <v>1056</v>
      </c>
      <c r="F134" t="s">
        <v>1057</v>
      </c>
      <c r="G134" t="s">
        <v>1202</v>
      </c>
      <c r="H134" t="s">
        <v>90</v>
      </c>
      <c r="I134" t="s">
        <v>90</v>
      </c>
      <c r="J134">
        <v>20.044836249999999</v>
      </c>
      <c r="K134">
        <v>6.4003934899999999</v>
      </c>
      <c r="L134">
        <v>4.7600634800000003</v>
      </c>
      <c r="M134">
        <v>5.4488659500000001</v>
      </c>
      <c r="N134">
        <v>6.3528536400000002</v>
      </c>
      <c r="O134">
        <v>0</v>
      </c>
      <c r="P134">
        <v>53.968892760000003</v>
      </c>
      <c r="Q134">
        <v>13.77571936223781</v>
      </c>
      <c r="R134" t="s">
        <v>30</v>
      </c>
      <c r="S134">
        <v>20.044836249999999</v>
      </c>
      <c r="T134" t="s">
        <v>2819</v>
      </c>
      <c r="U134" t="s">
        <v>1059</v>
      </c>
    </row>
    <row r="135" spans="1:21" x14ac:dyDescent="0.25">
      <c r="A135" t="s">
        <v>5260</v>
      </c>
      <c r="B135" t="s">
        <v>481</v>
      </c>
      <c r="C135" t="s">
        <v>480</v>
      </c>
      <c r="D135" t="s">
        <v>422</v>
      </c>
      <c r="E135" t="s">
        <v>4801</v>
      </c>
      <c r="F135" t="s">
        <v>1198</v>
      </c>
      <c r="G135" t="s">
        <v>1147</v>
      </c>
      <c r="H135">
        <v>488.18</v>
      </c>
      <c r="I135">
        <v>135620</v>
      </c>
      <c r="J135">
        <v>277.81</v>
      </c>
      <c r="K135">
        <v>4.7</v>
      </c>
      <c r="L135">
        <v>3.4</v>
      </c>
      <c r="M135">
        <v>5.8</v>
      </c>
      <c r="N135">
        <v>2.4</v>
      </c>
      <c r="O135">
        <v>2</v>
      </c>
      <c r="Q135">
        <v>2</v>
      </c>
      <c r="R135" t="s">
        <v>1063</v>
      </c>
      <c r="S135">
        <v>277.81</v>
      </c>
      <c r="T135" t="s">
        <v>2819</v>
      </c>
      <c r="U135" t="s">
        <v>1062</v>
      </c>
    </row>
    <row r="136" spans="1:21" x14ac:dyDescent="0.25">
      <c r="A136" t="s">
        <v>1967</v>
      </c>
      <c r="B136" t="s">
        <v>195</v>
      </c>
      <c r="C136" t="s">
        <v>194</v>
      </c>
      <c r="D136" t="s">
        <v>191</v>
      </c>
      <c r="E136" t="s">
        <v>4804</v>
      </c>
      <c r="F136" t="s">
        <v>1384</v>
      </c>
      <c r="G136" t="s">
        <v>1324</v>
      </c>
      <c r="H136">
        <v>4630.78</v>
      </c>
      <c r="I136">
        <v>8487731</v>
      </c>
      <c r="J136">
        <v>1832.89</v>
      </c>
      <c r="K136">
        <v>5.6</v>
      </c>
      <c r="L136">
        <v>5.5</v>
      </c>
      <c r="M136">
        <v>7.4</v>
      </c>
      <c r="N136">
        <v>5.2</v>
      </c>
      <c r="O136">
        <v>3</v>
      </c>
      <c r="Q136">
        <v>29</v>
      </c>
      <c r="R136" t="s">
        <v>1063</v>
      </c>
      <c r="S136">
        <v>1832.89</v>
      </c>
      <c r="T136" t="s">
        <v>2819</v>
      </c>
      <c r="U136" t="s">
        <v>1062</v>
      </c>
    </row>
    <row r="137" spans="1:21" x14ac:dyDescent="0.25">
      <c r="A137" t="s">
        <v>1353</v>
      </c>
      <c r="B137" t="s">
        <v>1354</v>
      </c>
      <c r="C137" t="s">
        <v>1355</v>
      </c>
      <c r="D137" t="s">
        <v>586</v>
      </c>
      <c r="E137" t="s">
        <v>1056</v>
      </c>
      <c r="F137" t="s">
        <v>1057</v>
      </c>
      <c r="G137" t="s">
        <v>1202</v>
      </c>
      <c r="H137" t="s">
        <v>90</v>
      </c>
      <c r="I137" t="s">
        <v>90</v>
      </c>
      <c r="J137">
        <v>12.67583393</v>
      </c>
      <c r="K137">
        <v>6.9986992900000002</v>
      </c>
      <c r="L137">
        <v>5.2475176000000001</v>
      </c>
      <c r="M137">
        <v>5.61462431</v>
      </c>
      <c r="N137">
        <v>6.2895550699999996</v>
      </c>
      <c r="O137">
        <v>7.3286219858659587</v>
      </c>
      <c r="P137">
        <v>27.444928019999999</v>
      </c>
      <c r="Q137">
        <v>19.873959621878871</v>
      </c>
      <c r="R137" t="s">
        <v>30</v>
      </c>
      <c r="S137">
        <v>12.67583393</v>
      </c>
      <c r="T137" t="s">
        <v>2819</v>
      </c>
      <c r="U137" t="s">
        <v>1059</v>
      </c>
    </row>
    <row r="138" spans="1:21" x14ac:dyDescent="0.25">
      <c r="A138" t="s">
        <v>4712</v>
      </c>
      <c r="B138" t="s">
        <v>435</v>
      </c>
      <c r="C138" t="s">
        <v>434</v>
      </c>
      <c r="D138" t="s">
        <v>422</v>
      </c>
      <c r="E138" t="s">
        <v>4801</v>
      </c>
      <c r="F138" t="s">
        <v>1198</v>
      </c>
      <c r="G138" t="s">
        <v>1140</v>
      </c>
      <c r="H138">
        <v>2126.96</v>
      </c>
      <c r="I138">
        <v>86013.58</v>
      </c>
      <c r="J138">
        <v>40.44</v>
      </c>
      <c r="K138">
        <v>4.2</v>
      </c>
      <c r="L138">
        <v>2.9</v>
      </c>
      <c r="M138">
        <v>3.6</v>
      </c>
      <c r="N138">
        <v>5.5</v>
      </c>
      <c r="O138">
        <v>3</v>
      </c>
      <c r="Q138">
        <v>34</v>
      </c>
      <c r="R138" t="s">
        <v>1138</v>
      </c>
      <c r="S138">
        <v>40.44</v>
      </c>
      <c r="T138" t="s">
        <v>2819</v>
      </c>
      <c r="U138" t="s">
        <v>1062</v>
      </c>
    </row>
    <row r="139" spans="1:21" x14ac:dyDescent="0.25">
      <c r="A139" t="s">
        <v>1356</v>
      </c>
      <c r="B139" t="s">
        <v>1357</v>
      </c>
      <c r="C139" t="s">
        <v>1358</v>
      </c>
      <c r="D139" t="s">
        <v>586</v>
      </c>
      <c r="E139" t="s">
        <v>1056</v>
      </c>
      <c r="F139" t="s">
        <v>1057</v>
      </c>
      <c r="G139" t="s">
        <v>1359</v>
      </c>
      <c r="H139" t="s">
        <v>90</v>
      </c>
      <c r="I139" t="s">
        <v>90</v>
      </c>
      <c r="J139">
        <v>23.264296359999999</v>
      </c>
      <c r="K139">
        <v>6.7452258499999997</v>
      </c>
      <c r="L139">
        <v>5.8867478799999997</v>
      </c>
      <c r="M139">
        <v>4.9789647099999996</v>
      </c>
      <c r="N139">
        <v>5.9271280900000001</v>
      </c>
      <c r="O139">
        <v>53.174353174353158</v>
      </c>
      <c r="P139">
        <v>84.166847680000004</v>
      </c>
      <c r="Q139">
        <v>26.770326770326768</v>
      </c>
      <c r="R139" t="s">
        <v>30</v>
      </c>
      <c r="S139">
        <v>23.264296359999999</v>
      </c>
      <c r="T139" t="s">
        <v>2819</v>
      </c>
      <c r="U139" t="s">
        <v>1059</v>
      </c>
    </row>
    <row r="140" spans="1:21" x14ac:dyDescent="0.25">
      <c r="A140" t="s">
        <v>4712</v>
      </c>
      <c r="B140" t="s">
        <v>5624</v>
      </c>
      <c r="C140" t="s">
        <v>4273</v>
      </c>
      <c r="D140" t="s">
        <v>491</v>
      </c>
      <c r="E140" t="s">
        <v>4807</v>
      </c>
      <c r="F140" t="s">
        <v>1198</v>
      </c>
      <c r="G140" t="s">
        <v>1140</v>
      </c>
      <c r="H140">
        <v>2126.96</v>
      </c>
      <c r="I140">
        <v>86013.58</v>
      </c>
      <c r="J140">
        <v>40.44</v>
      </c>
      <c r="K140">
        <v>4.2</v>
      </c>
      <c r="L140">
        <v>2.9</v>
      </c>
      <c r="M140">
        <v>3.6</v>
      </c>
      <c r="N140">
        <v>5.5</v>
      </c>
      <c r="O140">
        <v>3</v>
      </c>
      <c r="Q140">
        <v>34</v>
      </c>
      <c r="R140" t="s">
        <v>1138</v>
      </c>
      <c r="S140">
        <v>40.44</v>
      </c>
      <c r="T140" t="s">
        <v>2819</v>
      </c>
      <c r="U140" t="s">
        <v>1062</v>
      </c>
    </row>
    <row r="141" spans="1:21" x14ac:dyDescent="0.25">
      <c r="A141" t="s">
        <v>4712</v>
      </c>
      <c r="B141" t="s">
        <v>304</v>
      </c>
      <c r="C141" t="s">
        <v>303</v>
      </c>
      <c r="D141" t="s">
        <v>249</v>
      </c>
      <c r="E141" t="s">
        <v>4806</v>
      </c>
      <c r="F141" t="s">
        <v>1198</v>
      </c>
      <c r="G141" t="s">
        <v>1140</v>
      </c>
      <c r="H141">
        <v>2126.96</v>
      </c>
      <c r="I141">
        <v>86013.58</v>
      </c>
      <c r="J141">
        <v>40.44</v>
      </c>
      <c r="K141">
        <v>4.2</v>
      </c>
      <c r="L141">
        <v>2.9</v>
      </c>
      <c r="M141">
        <v>3.6</v>
      </c>
      <c r="N141">
        <v>5.5</v>
      </c>
      <c r="O141">
        <v>3</v>
      </c>
      <c r="Q141">
        <v>34</v>
      </c>
      <c r="R141" t="s">
        <v>1138</v>
      </c>
      <c r="S141">
        <v>40.44</v>
      </c>
      <c r="T141" t="s">
        <v>2819</v>
      </c>
      <c r="U141" t="s">
        <v>1062</v>
      </c>
    </row>
    <row r="142" spans="1:21" x14ac:dyDescent="0.25">
      <c r="A142" t="s">
        <v>1360</v>
      </c>
      <c r="B142" t="s">
        <v>1361</v>
      </c>
      <c r="C142" t="s">
        <v>1362</v>
      </c>
      <c r="D142" t="s">
        <v>586</v>
      </c>
      <c r="E142" t="s">
        <v>1056</v>
      </c>
      <c r="F142" t="s">
        <v>1057</v>
      </c>
      <c r="G142" t="s">
        <v>1155</v>
      </c>
      <c r="H142" t="s">
        <v>90</v>
      </c>
      <c r="I142" t="s">
        <v>90</v>
      </c>
      <c r="J142">
        <v>3.5650418300000002</v>
      </c>
      <c r="K142">
        <v>4.9893592299999998</v>
      </c>
      <c r="L142">
        <v>4.85584244</v>
      </c>
      <c r="M142">
        <v>3.70685697</v>
      </c>
      <c r="N142">
        <v>5.9975083199999997</v>
      </c>
      <c r="O142">
        <v>8.7080912919087083</v>
      </c>
      <c r="P142">
        <v>40.349000500000002</v>
      </c>
      <c r="Q142">
        <v>14.75418524581475</v>
      </c>
      <c r="R142" t="s">
        <v>1063</v>
      </c>
      <c r="S142">
        <v>3.5650418300000002</v>
      </c>
      <c r="T142" t="s">
        <v>2819</v>
      </c>
      <c r="U142" t="s">
        <v>1059</v>
      </c>
    </row>
    <row r="143" spans="1:21" x14ac:dyDescent="0.25">
      <c r="A143" t="s">
        <v>4712</v>
      </c>
      <c r="B143" t="s">
        <v>5625</v>
      </c>
      <c r="C143" t="s">
        <v>5626</v>
      </c>
      <c r="D143" t="s">
        <v>249</v>
      </c>
      <c r="E143" t="s">
        <v>4806</v>
      </c>
      <c r="F143" t="s">
        <v>1198</v>
      </c>
      <c r="G143" t="s">
        <v>1140</v>
      </c>
      <c r="H143">
        <v>2126.96</v>
      </c>
      <c r="I143">
        <v>86013.58</v>
      </c>
      <c r="J143">
        <v>40.44</v>
      </c>
      <c r="K143">
        <v>4.2</v>
      </c>
      <c r="L143">
        <v>2.9</v>
      </c>
      <c r="M143">
        <v>3.6</v>
      </c>
      <c r="N143">
        <v>5.5</v>
      </c>
      <c r="O143">
        <v>3</v>
      </c>
      <c r="Q143">
        <v>34</v>
      </c>
      <c r="R143" t="s">
        <v>1138</v>
      </c>
      <c r="S143">
        <v>40.44</v>
      </c>
      <c r="T143" t="s">
        <v>2819</v>
      </c>
      <c r="U143" t="s">
        <v>1062</v>
      </c>
    </row>
    <row r="144" spans="1:21" x14ac:dyDescent="0.25">
      <c r="A144" t="s">
        <v>5375</v>
      </c>
      <c r="B144" t="s">
        <v>5376</v>
      </c>
      <c r="C144" t="s">
        <v>5377</v>
      </c>
      <c r="D144" t="s">
        <v>586</v>
      </c>
      <c r="E144" t="s">
        <v>1056</v>
      </c>
      <c r="F144" t="s">
        <v>1057</v>
      </c>
      <c r="G144" t="s">
        <v>1216</v>
      </c>
      <c r="H144" t="s">
        <v>90</v>
      </c>
      <c r="I144" t="s">
        <v>90</v>
      </c>
      <c r="J144">
        <v>10.527908249999999</v>
      </c>
      <c r="K144">
        <v>6.2302067900000004</v>
      </c>
      <c r="L144">
        <v>4.9628459600000001</v>
      </c>
      <c r="M144">
        <v>5.5578234399999999</v>
      </c>
      <c r="N144">
        <v>6.3851649500000001</v>
      </c>
      <c r="O144">
        <v>0</v>
      </c>
      <c r="P144">
        <v>56.41319712</v>
      </c>
      <c r="Q144">
        <v>37.009811029433081</v>
      </c>
      <c r="R144" t="s">
        <v>30</v>
      </c>
      <c r="S144">
        <v>10.527908249999999</v>
      </c>
      <c r="T144" t="s">
        <v>2819</v>
      </c>
      <c r="U144" t="s">
        <v>1059</v>
      </c>
    </row>
    <row r="145" spans="1:21" x14ac:dyDescent="0.25">
      <c r="A145" t="s">
        <v>4712</v>
      </c>
      <c r="B145" t="s">
        <v>306</v>
      </c>
      <c r="C145" t="s">
        <v>305</v>
      </c>
      <c r="D145" t="s">
        <v>249</v>
      </c>
      <c r="E145" t="s">
        <v>4806</v>
      </c>
      <c r="F145" t="s">
        <v>1198</v>
      </c>
      <c r="G145" t="s">
        <v>1140</v>
      </c>
      <c r="H145">
        <v>2126.96</v>
      </c>
      <c r="I145">
        <v>86013.58</v>
      </c>
      <c r="J145">
        <v>40.44</v>
      </c>
      <c r="K145">
        <v>4.2</v>
      </c>
      <c r="L145">
        <v>2.9</v>
      </c>
      <c r="M145">
        <v>3.6</v>
      </c>
      <c r="N145">
        <v>5.5</v>
      </c>
      <c r="O145">
        <v>3</v>
      </c>
      <c r="Q145">
        <v>34</v>
      </c>
      <c r="R145" t="s">
        <v>1138</v>
      </c>
      <c r="S145">
        <v>40.44</v>
      </c>
      <c r="T145" t="s">
        <v>2819</v>
      </c>
      <c r="U145" t="s">
        <v>1062</v>
      </c>
    </row>
    <row r="146" spans="1:21" x14ac:dyDescent="0.25">
      <c r="A146" t="s">
        <v>1363</v>
      </c>
      <c r="B146" t="s">
        <v>863</v>
      </c>
      <c r="C146" t="s">
        <v>862</v>
      </c>
      <c r="D146" t="s">
        <v>586</v>
      </c>
      <c r="E146" t="s">
        <v>1056</v>
      </c>
      <c r="F146" t="s">
        <v>1071</v>
      </c>
      <c r="G146" t="s">
        <v>1364</v>
      </c>
      <c r="H146" t="s">
        <v>90</v>
      </c>
      <c r="I146" t="s">
        <v>90</v>
      </c>
      <c r="J146">
        <v>84.708399080000007</v>
      </c>
      <c r="K146">
        <v>6.8023344300000002</v>
      </c>
      <c r="L146">
        <v>3.3753686300000001</v>
      </c>
      <c r="M146">
        <v>5.1691223800000001</v>
      </c>
      <c r="N146">
        <v>6.9570154200000003</v>
      </c>
      <c r="O146">
        <v>25.960948078103851</v>
      </c>
      <c r="P146">
        <v>277.50256760000002</v>
      </c>
      <c r="Q146">
        <v>89.05952188095624</v>
      </c>
      <c r="R146" t="s">
        <v>30</v>
      </c>
      <c r="S146">
        <v>84.708399080000007</v>
      </c>
      <c r="T146" t="s">
        <v>2819</v>
      </c>
      <c r="U146" t="s">
        <v>1059</v>
      </c>
    </row>
    <row r="147" spans="1:21" x14ac:dyDescent="0.25">
      <c r="A147" t="s">
        <v>2009</v>
      </c>
      <c r="B147" t="s">
        <v>199</v>
      </c>
      <c r="C147" t="s">
        <v>3033</v>
      </c>
      <c r="D147" t="s">
        <v>191</v>
      </c>
      <c r="E147" t="s">
        <v>4804</v>
      </c>
      <c r="F147" t="s">
        <v>1185</v>
      </c>
      <c r="G147" t="s">
        <v>1441</v>
      </c>
      <c r="H147">
        <v>5773.58</v>
      </c>
      <c r="I147">
        <v>253053</v>
      </c>
      <c r="J147">
        <v>39.03</v>
      </c>
      <c r="K147">
        <v>3.1</v>
      </c>
      <c r="L147">
        <v>3</v>
      </c>
      <c r="M147">
        <v>4.3</v>
      </c>
      <c r="N147">
        <v>4.2</v>
      </c>
      <c r="O147">
        <v>1</v>
      </c>
      <c r="Q147">
        <v>15</v>
      </c>
      <c r="R147" t="s">
        <v>1138</v>
      </c>
      <c r="S147">
        <v>39.03</v>
      </c>
      <c r="T147" t="s">
        <v>2819</v>
      </c>
      <c r="U147" t="s">
        <v>1062</v>
      </c>
    </row>
    <row r="148" spans="1:21" x14ac:dyDescent="0.25">
      <c r="A148" t="s">
        <v>1365</v>
      </c>
      <c r="B148" t="s">
        <v>641</v>
      </c>
      <c r="C148" t="s">
        <v>640</v>
      </c>
      <c r="D148" t="s">
        <v>586</v>
      </c>
      <c r="E148" t="s">
        <v>1056</v>
      </c>
      <c r="F148" t="s">
        <v>1057</v>
      </c>
      <c r="G148" t="s">
        <v>1216</v>
      </c>
      <c r="H148" t="s">
        <v>90</v>
      </c>
      <c r="I148" t="s">
        <v>90</v>
      </c>
      <c r="J148">
        <v>2.1835958</v>
      </c>
      <c r="K148">
        <v>5.7286438400000002</v>
      </c>
      <c r="L148">
        <v>6.7390269800000002</v>
      </c>
      <c r="M148">
        <v>4.8795799500000001</v>
      </c>
      <c r="N148">
        <v>4.41224243</v>
      </c>
      <c r="O148">
        <v>46.125807196378723</v>
      </c>
      <c r="P148">
        <v>25.468688050000001</v>
      </c>
      <c r="Q148">
        <v>3.4329770891656541</v>
      </c>
      <c r="R148" t="s">
        <v>30</v>
      </c>
      <c r="S148">
        <v>2.1835958</v>
      </c>
      <c r="T148" t="s">
        <v>2819</v>
      </c>
      <c r="U148" t="s">
        <v>1059</v>
      </c>
    </row>
    <row r="149" spans="1:21" x14ac:dyDescent="0.25">
      <c r="A149" t="s">
        <v>2018</v>
      </c>
      <c r="B149" t="s">
        <v>5059</v>
      </c>
      <c r="C149" t="s">
        <v>5060</v>
      </c>
      <c r="D149" t="s">
        <v>191</v>
      </c>
      <c r="E149" t="s">
        <v>4804</v>
      </c>
      <c r="F149" t="s">
        <v>1185</v>
      </c>
      <c r="G149" t="s">
        <v>1284</v>
      </c>
      <c r="H149">
        <v>98249.08</v>
      </c>
      <c r="I149">
        <v>1726865</v>
      </c>
      <c r="J149">
        <v>17.579999999999998</v>
      </c>
      <c r="K149">
        <v>6</v>
      </c>
      <c r="L149">
        <v>10</v>
      </c>
      <c r="M149">
        <v>6.3</v>
      </c>
      <c r="N149">
        <v>4.0999999999999996</v>
      </c>
      <c r="O149">
        <v>3</v>
      </c>
      <c r="Q149">
        <v>24</v>
      </c>
      <c r="R149" t="s">
        <v>30</v>
      </c>
      <c r="S149">
        <v>17.579999999999998</v>
      </c>
      <c r="T149" t="s">
        <v>2819</v>
      </c>
      <c r="U149" t="s">
        <v>1062</v>
      </c>
    </row>
    <row r="150" spans="1:21" x14ac:dyDescent="0.25">
      <c r="A150" t="s">
        <v>1366</v>
      </c>
      <c r="B150" t="s">
        <v>1367</v>
      </c>
      <c r="C150" t="s">
        <v>1368</v>
      </c>
      <c r="D150" t="s">
        <v>586</v>
      </c>
      <c r="E150" t="s">
        <v>1056</v>
      </c>
      <c r="F150" t="s">
        <v>1057</v>
      </c>
      <c r="G150" t="s">
        <v>1155</v>
      </c>
      <c r="H150" t="s">
        <v>90</v>
      </c>
      <c r="I150" t="s">
        <v>90</v>
      </c>
      <c r="J150">
        <v>3.69225892</v>
      </c>
      <c r="K150">
        <v>6.4863932000000002</v>
      </c>
      <c r="L150">
        <v>4.68018453</v>
      </c>
      <c r="M150">
        <v>4.2973128100000002</v>
      </c>
      <c r="N150">
        <v>6.4315109899999996</v>
      </c>
      <c r="O150">
        <v>7.9831995784897831</v>
      </c>
      <c r="P150">
        <v>27.64042594</v>
      </c>
      <c r="Q150">
        <v>25.510166334570741</v>
      </c>
      <c r="R150" t="s">
        <v>30</v>
      </c>
      <c r="S150">
        <v>3.69225892</v>
      </c>
      <c r="T150" t="s">
        <v>2819</v>
      </c>
      <c r="U150" t="s">
        <v>1059</v>
      </c>
    </row>
    <row r="151" spans="1:21" x14ac:dyDescent="0.25">
      <c r="A151" t="s">
        <v>1369</v>
      </c>
      <c r="B151" t="s">
        <v>1370</v>
      </c>
      <c r="C151" t="s">
        <v>1371</v>
      </c>
      <c r="D151" t="s">
        <v>586</v>
      </c>
      <c r="E151" t="s">
        <v>1056</v>
      </c>
      <c r="F151" t="s">
        <v>1057</v>
      </c>
      <c r="G151" t="s">
        <v>1058</v>
      </c>
      <c r="H151" t="s">
        <v>90</v>
      </c>
      <c r="I151" t="s">
        <v>90</v>
      </c>
      <c r="J151">
        <v>44.767546600000003</v>
      </c>
      <c r="K151">
        <v>6.5550098099999996</v>
      </c>
      <c r="L151">
        <v>5.9058831600000001</v>
      </c>
      <c r="M151">
        <v>4.9246926100000001</v>
      </c>
      <c r="N151">
        <v>5.5450241399999998</v>
      </c>
      <c r="O151">
        <v>61.415507975840768</v>
      </c>
      <c r="P151">
        <v>171.11501856999999</v>
      </c>
      <c r="Q151">
        <v>25.346765877768529</v>
      </c>
      <c r="R151" t="s">
        <v>30</v>
      </c>
      <c r="S151">
        <v>44.767546600000003</v>
      </c>
      <c r="T151" t="s">
        <v>2819</v>
      </c>
      <c r="U151" t="s">
        <v>1059</v>
      </c>
    </row>
    <row r="152" spans="1:21" x14ac:dyDescent="0.25">
      <c r="A152" t="s">
        <v>2018</v>
      </c>
      <c r="B152" t="s">
        <v>5378</v>
      </c>
      <c r="C152" t="s">
        <v>5379</v>
      </c>
      <c r="D152" t="s">
        <v>191</v>
      </c>
      <c r="E152" t="s">
        <v>4804</v>
      </c>
      <c r="F152" t="s">
        <v>1185</v>
      </c>
      <c r="G152" t="s">
        <v>1284</v>
      </c>
      <c r="H152">
        <v>98249.08</v>
      </c>
      <c r="I152">
        <v>1726865</v>
      </c>
      <c r="J152">
        <v>17.579999999999998</v>
      </c>
      <c r="K152">
        <v>6</v>
      </c>
      <c r="L152">
        <v>10</v>
      </c>
      <c r="M152">
        <v>6.3</v>
      </c>
      <c r="N152">
        <v>4.0999999999999996</v>
      </c>
      <c r="O152">
        <v>3</v>
      </c>
      <c r="Q152">
        <v>24</v>
      </c>
      <c r="R152" t="s">
        <v>30</v>
      </c>
      <c r="S152">
        <v>17.579999999999998</v>
      </c>
      <c r="T152" t="s">
        <v>2819</v>
      </c>
      <c r="U152" t="s">
        <v>1062</v>
      </c>
    </row>
    <row r="153" spans="1:21" x14ac:dyDescent="0.25">
      <c r="A153" t="s">
        <v>2025</v>
      </c>
      <c r="B153" t="s">
        <v>5261</v>
      </c>
      <c r="C153" t="s">
        <v>5262</v>
      </c>
      <c r="D153" t="s">
        <v>191</v>
      </c>
      <c r="E153" t="s">
        <v>4804</v>
      </c>
      <c r="F153" t="s">
        <v>1217</v>
      </c>
      <c r="G153" t="s">
        <v>1147</v>
      </c>
      <c r="H153">
        <v>28288.31</v>
      </c>
      <c r="I153">
        <v>2070309</v>
      </c>
      <c r="J153">
        <v>73.19</v>
      </c>
      <c r="K153">
        <v>7.3</v>
      </c>
      <c r="L153">
        <v>3.8</v>
      </c>
      <c r="M153">
        <v>6</v>
      </c>
      <c r="N153">
        <v>6.5</v>
      </c>
      <c r="O153">
        <v>1</v>
      </c>
      <c r="Q153">
        <v>57</v>
      </c>
      <c r="R153" t="s">
        <v>1073</v>
      </c>
      <c r="S153">
        <v>73.19</v>
      </c>
      <c r="T153" t="s">
        <v>2819</v>
      </c>
      <c r="U153" t="s">
        <v>1062</v>
      </c>
    </row>
    <row r="154" spans="1:21" x14ac:dyDescent="0.25">
      <c r="A154" t="s">
        <v>1372</v>
      </c>
      <c r="B154" t="s">
        <v>1373</v>
      </c>
      <c r="C154" t="s">
        <v>1374</v>
      </c>
      <c r="D154" t="s">
        <v>586</v>
      </c>
      <c r="E154" t="s">
        <v>1056</v>
      </c>
      <c r="F154" t="s">
        <v>1375</v>
      </c>
      <c r="G154" t="s">
        <v>1376</v>
      </c>
      <c r="H154" t="s">
        <v>90</v>
      </c>
      <c r="I154" t="s">
        <v>90</v>
      </c>
      <c r="J154">
        <v>102.65176412</v>
      </c>
      <c r="K154">
        <v>6.96014892</v>
      </c>
      <c r="L154">
        <v>5.5024743899999997</v>
      </c>
      <c r="M154">
        <v>5.0662925699999999</v>
      </c>
      <c r="N154">
        <v>5.8264842000000003</v>
      </c>
      <c r="O154">
        <v>38.80362824954392</v>
      </c>
      <c r="P154">
        <v>102.03867845000001</v>
      </c>
      <c r="Q154">
        <v>25.714191099626859</v>
      </c>
      <c r="R154" t="s">
        <v>30</v>
      </c>
      <c r="S154">
        <v>102.65176412</v>
      </c>
      <c r="T154" t="s">
        <v>2819</v>
      </c>
      <c r="U154" t="s">
        <v>1059</v>
      </c>
    </row>
    <row r="155" spans="1:21" x14ac:dyDescent="0.25">
      <c r="A155" t="s">
        <v>1377</v>
      </c>
      <c r="B155" t="s">
        <v>1378</v>
      </c>
      <c r="C155" t="s">
        <v>1379</v>
      </c>
      <c r="D155" t="s">
        <v>586</v>
      </c>
      <c r="E155" t="s">
        <v>1056</v>
      </c>
      <c r="F155" t="s">
        <v>1375</v>
      </c>
      <c r="G155" t="s">
        <v>1380</v>
      </c>
      <c r="H155" t="s">
        <v>90</v>
      </c>
      <c r="I155" t="s">
        <v>90</v>
      </c>
      <c r="J155">
        <v>112.75862255</v>
      </c>
      <c r="K155">
        <v>5.08964938</v>
      </c>
      <c r="L155">
        <v>4.4672980999999998</v>
      </c>
      <c r="M155">
        <v>4.95594833</v>
      </c>
      <c r="N155">
        <v>4.9035714300000004</v>
      </c>
      <c r="O155">
        <v>1.1677160581406181</v>
      </c>
      <c r="P155">
        <v>101.82061773</v>
      </c>
      <c r="Q155">
        <v>3.8918642220341102</v>
      </c>
      <c r="R155" t="s">
        <v>1063</v>
      </c>
      <c r="S155">
        <v>112.75862255</v>
      </c>
      <c r="T155" t="s">
        <v>2819</v>
      </c>
      <c r="U155" t="s">
        <v>1059</v>
      </c>
    </row>
    <row r="156" spans="1:21" x14ac:dyDescent="0.25">
      <c r="A156" t="s">
        <v>1381</v>
      </c>
      <c r="B156" t="s">
        <v>1382</v>
      </c>
      <c r="C156" t="s">
        <v>1383</v>
      </c>
      <c r="D156" t="s">
        <v>586</v>
      </c>
      <c r="E156" t="s">
        <v>1056</v>
      </c>
      <c r="F156" t="s">
        <v>1057</v>
      </c>
      <c r="G156" t="s">
        <v>1067</v>
      </c>
      <c r="H156" t="s">
        <v>90</v>
      </c>
      <c r="I156" t="s">
        <v>90</v>
      </c>
      <c r="J156">
        <v>37.28597268</v>
      </c>
      <c r="K156">
        <v>6.2511913300000002</v>
      </c>
      <c r="L156">
        <v>5.0738261900000001</v>
      </c>
      <c r="M156">
        <v>4.9298185700000001</v>
      </c>
      <c r="N156">
        <v>6.0927686799999998</v>
      </c>
      <c r="O156">
        <v>7.6664363833048199</v>
      </c>
      <c r="P156">
        <v>165.10650583</v>
      </c>
      <c r="Q156">
        <v>24.658649073151121</v>
      </c>
      <c r="R156" t="s">
        <v>30</v>
      </c>
      <c r="S156">
        <v>37.28597268</v>
      </c>
      <c r="T156" t="s">
        <v>2819</v>
      </c>
      <c r="U156" t="s">
        <v>1059</v>
      </c>
    </row>
    <row r="157" spans="1:21" x14ac:dyDescent="0.25">
      <c r="A157" t="s">
        <v>1385</v>
      </c>
      <c r="B157" t="s">
        <v>1386</v>
      </c>
      <c r="C157" t="s">
        <v>1387</v>
      </c>
      <c r="D157" t="s">
        <v>586</v>
      </c>
      <c r="E157" t="s">
        <v>1056</v>
      </c>
      <c r="F157" t="s">
        <v>1057</v>
      </c>
      <c r="G157" t="s">
        <v>1189</v>
      </c>
      <c r="H157" t="s">
        <v>90</v>
      </c>
      <c r="I157" t="s">
        <v>90</v>
      </c>
      <c r="J157">
        <v>689.27322233999996</v>
      </c>
      <c r="K157">
        <v>5.85939853</v>
      </c>
      <c r="L157">
        <v>2.9881571199999999</v>
      </c>
      <c r="M157">
        <v>4.7373762800000003</v>
      </c>
      <c r="N157">
        <v>6.5604009000000003</v>
      </c>
      <c r="O157">
        <v>16.393050820847542</v>
      </c>
      <c r="P157">
        <v>644.04881923999994</v>
      </c>
      <c r="Q157">
        <v>47.634057097828702</v>
      </c>
      <c r="R157" t="s">
        <v>30</v>
      </c>
      <c r="S157">
        <v>689.27322233999996</v>
      </c>
      <c r="T157" t="s">
        <v>2819</v>
      </c>
      <c r="U157" t="s">
        <v>1059</v>
      </c>
    </row>
    <row r="158" spans="1:21" x14ac:dyDescent="0.25">
      <c r="A158" t="s">
        <v>1388</v>
      </c>
      <c r="B158" t="s">
        <v>719</v>
      </c>
      <c r="C158" t="s">
        <v>718</v>
      </c>
      <c r="D158" t="s">
        <v>586</v>
      </c>
      <c r="E158" t="s">
        <v>1056</v>
      </c>
      <c r="F158" t="s">
        <v>1057</v>
      </c>
      <c r="G158" t="s">
        <v>1205</v>
      </c>
      <c r="H158" t="s">
        <v>90</v>
      </c>
      <c r="I158" t="s">
        <v>90</v>
      </c>
      <c r="J158">
        <v>256.94276176</v>
      </c>
      <c r="K158">
        <v>5.91672668</v>
      </c>
      <c r="L158">
        <v>3.6785714899999999</v>
      </c>
      <c r="M158">
        <v>5.3542655000000003</v>
      </c>
      <c r="N158">
        <v>6.3286903499999996</v>
      </c>
      <c r="O158">
        <v>14.580350787392129</v>
      </c>
      <c r="P158">
        <v>321.65641089000002</v>
      </c>
      <c r="Q158">
        <v>40.491510241296297</v>
      </c>
      <c r="R158" t="s">
        <v>30</v>
      </c>
      <c r="S158">
        <v>256.94276176</v>
      </c>
      <c r="T158" t="s">
        <v>2819</v>
      </c>
      <c r="U158" t="s">
        <v>1059</v>
      </c>
    </row>
    <row r="159" spans="1:21" x14ac:dyDescent="0.25">
      <c r="A159" t="s">
        <v>1388</v>
      </c>
      <c r="B159" t="s">
        <v>719</v>
      </c>
      <c r="C159" t="s">
        <v>1389</v>
      </c>
      <c r="D159" t="s">
        <v>586</v>
      </c>
      <c r="E159" t="s">
        <v>1056</v>
      </c>
      <c r="F159" t="s">
        <v>1057</v>
      </c>
      <c r="G159" t="s">
        <v>1205</v>
      </c>
      <c r="H159" t="s">
        <v>90</v>
      </c>
      <c r="I159" t="s">
        <v>90</v>
      </c>
      <c r="J159">
        <v>256.94276176</v>
      </c>
      <c r="K159">
        <v>5.91672668</v>
      </c>
      <c r="L159">
        <v>3.6785714899999999</v>
      </c>
      <c r="M159">
        <v>5.3542655000000003</v>
      </c>
      <c r="N159">
        <v>6.3286903499999996</v>
      </c>
      <c r="O159">
        <v>14.580350787392129</v>
      </c>
      <c r="P159">
        <v>321.65641089000002</v>
      </c>
      <c r="Q159">
        <v>40.491510241296297</v>
      </c>
      <c r="R159" t="s">
        <v>30</v>
      </c>
      <c r="S159">
        <v>256.94276176</v>
      </c>
      <c r="T159" t="s">
        <v>2819</v>
      </c>
      <c r="U159" t="s">
        <v>1059</v>
      </c>
    </row>
    <row r="160" spans="1:21" x14ac:dyDescent="0.25">
      <c r="A160" t="s">
        <v>2092</v>
      </c>
      <c r="B160" t="s">
        <v>2093</v>
      </c>
      <c r="C160" t="s">
        <v>3065</v>
      </c>
      <c r="D160" t="s">
        <v>202</v>
      </c>
      <c r="E160" t="s">
        <v>4800</v>
      </c>
      <c r="F160" t="s">
        <v>1296</v>
      </c>
      <c r="G160" t="s">
        <v>1119</v>
      </c>
      <c r="H160">
        <v>9212.48</v>
      </c>
      <c r="I160">
        <v>4445</v>
      </c>
      <c r="J160">
        <v>0.48</v>
      </c>
      <c r="K160">
        <v>5.5</v>
      </c>
      <c r="L160">
        <v>3.9</v>
      </c>
      <c r="M160">
        <v>4.9000000000000004</v>
      </c>
      <c r="N160">
        <v>4.2</v>
      </c>
      <c r="O160">
        <v>0</v>
      </c>
      <c r="Q160">
        <v>11</v>
      </c>
      <c r="R160" t="s">
        <v>1063</v>
      </c>
      <c r="S160">
        <v>0.48</v>
      </c>
      <c r="T160" t="s">
        <v>2819</v>
      </c>
      <c r="U160" t="s">
        <v>1062</v>
      </c>
    </row>
    <row r="161" spans="1:21" x14ac:dyDescent="0.25">
      <c r="A161" t="s">
        <v>1390</v>
      </c>
      <c r="B161" t="s">
        <v>1391</v>
      </c>
      <c r="C161" t="s">
        <v>1392</v>
      </c>
      <c r="D161" t="s">
        <v>586</v>
      </c>
      <c r="E161" t="s">
        <v>1056</v>
      </c>
      <c r="F161" t="s">
        <v>1057</v>
      </c>
      <c r="G161" t="s">
        <v>1202</v>
      </c>
      <c r="H161" t="s">
        <v>90</v>
      </c>
      <c r="I161" t="s">
        <v>90</v>
      </c>
      <c r="J161">
        <v>23.425294650000001</v>
      </c>
      <c r="K161">
        <v>6.9034904399999997</v>
      </c>
      <c r="L161">
        <v>4.11202091</v>
      </c>
      <c r="M161">
        <v>5.50199704</v>
      </c>
      <c r="N161">
        <v>6.1577526899999997</v>
      </c>
      <c r="O161">
        <v>20.313778117331299</v>
      </c>
      <c r="P161">
        <v>19.159998009999999</v>
      </c>
      <c r="Q161">
        <v>21.56207062757624</v>
      </c>
      <c r="R161" t="s">
        <v>30</v>
      </c>
      <c r="S161">
        <v>23.425294650000001</v>
      </c>
      <c r="T161" t="s">
        <v>2819</v>
      </c>
      <c r="U161" t="s">
        <v>1059</v>
      </c>
    </row>
    <row r="162" spans="1:21" x14ac:dyDescent="0.25">
      <c r="A162" t="s">
        <v>2104</v>
      </c>
      <c r="B162" t="s">
        <v>2111</v>
      </c>
      <c r="C162" t="s">
        <v>3575</v>
      </c>
      <c r="D162" t="s">
        <v>224</v>
      </c>
      <c r="E162" t="s">
        <v>4803</v>
      </c>
      <c r="F162" t="s">
        <v>1198</v>
      </c>
      <c r="G162" t="s">
        <v>1119</v>
      </c>
      <c r="H162">
        <v>15944.71</v>
      </c>
      <c r="I162">
        <v>9614</v>
      </c>
      <c r="J162">
        <v>0.6</v>
      </c>
      <c r="K162">
        <v>5.9</v>
      </c>
      <c r="L162">
        <v>4</v>
      </c>
      <c r="M162">
        <v>5.2</v>
      </c>
      <c r="N162">
        <v>4.0999999999999996</v>
      </c>
      <c r="O162">
        <v>0</v>
      </c>
      <c r="Q162">
        <v>13</v>
      </c>
      <c r="R162" t="s">
        <v>30</v>
      </c>
      <c r="S162">
        <v>0.6</v>
      </c>
      <c r="T162" t="s">
        <v>2819</v>
      </c>
      <c r="U162" t="s">
        <v>1062</v>
      </c>
    </row>
    <row r="163" spans="1:21" x14ac:dyDescent="0.25">
      <c r="A163" t="s">
        <v>1393</v>
      </c>
      <c r="B163" t="s">
        <v>1394</v>
      </c>
      <c r="C163" t="s">
        <v>1395</v>
      </c>
      <c r="D163" t="s">
        <v>586</v>
      </c>
      <c r="E163" t="s">
        <v>1056</v>
      </c>
      <c r="F163" t="s">
        <v>1057</v>
      </c>
      <c r="G163" t="s">
        <v>1159</v>
      </c>
      <c r="H163" t="s">
        <v>90</v>
      </c>
      <c r="I163" t="s">
        <v>90</v>
      </c>
      <c r="J163">
        <v>1.48767805</v>
      </c>
      <c r="K163">
        <v>5.0305533699999998</v>
      </c>
      <c r="L163">
        <v>1.5367143299999999</v>
      </c>
      <c r="M163">
        <v>4.0774880500000004</v>
      </c>
      <c r="N163">
        <v>6.1241952399999997</v>
      </c>
      <c r="O163">
        <v>4.3121913756172487</v>
      </c>
      <c r="P163">
        <v>5.7924428499999996</v>
      </c>
      <c r="Q163">
        <v>17.181865636268721</v>
      </c>
      <c r="R163" t="s">
        <v>1063</v>
      </c>
      <c r="S163">
        <v>1.48767805</v>
      </c>
      <c r="T163" t="s">
        <v>2819</v>
      </c>
      <c r="U163" t="s">
        <v>1059</v>
      </c>
    </row>
    <row r="164" spans="1:21" x14ac:dyDescent="0.25">
      <c r="A164" t="s">
        <v>2104</v>
      </c>
      <c r="B164" t="s">
        <v>2121</v>
      </c>
      <c r="C164" t="s">
        <v>3307</v>
      </c>
      <c r="D164" t="s">
        <v>224</v>
      </c>
      <c r="E164" t="s">
        <v>4803</v>
      </c>
      <c r="F164" t="s">
        <v>1198</v>
      </c>
      <c r="G164" t="s">
        <v>1119</v>
      </c>
      <c r="H164">
        <v>15944.71</v>
      </c>
      <c r="I164">
        <v>9614</v>
      </c>
      <c r="J164">
        <v>0.6</v>
      </c>
      <c r="K164">
        <v>5.9</v>
      </c>
      <c r="L164">
        <v>4</v>
      </c>
      <c r="M164">
        <v>5.2</v>
      </c>
      <c r="N164">
        <v>4.0999999999999996</v>
      </c>
      <c r="O164">
        <v>0</v>
      </c>
      <c r="Q164">
        <v>13</v>
      </c>
      <c r="R164" t="s">
        <v>30</v>
      </c>
      <c r="S164">
        <v>0.6</v>
      </c>
      <c r="T164" t="s">
        <v>2819</v>
      </c>
      <c r="U164" t="s">
        <v>1062</v>
      </c>
    </row>
    <row r="165" spans="1:21" x14ac:dyDescent="0.25">
      <c r="A165" t="s">
        <v>1396</v>
      </c>
      <c r="B165" t="s">
        <v>1397</v>
      </c>
      <c r="C165" t="s">
        <v>1398</v>
      </c>
      <c r="D165" t="s">
        <v>586</v>
      </c>
      <c r="E165" t="s">
        <v>1056</v>
      </c>
      <c r="F165" t="s">
        <v>1057</v>
      </c>
      <c r="G165" t="s">
        <v>1277</v>
      </c>
      <c r="H165" t="s">
        <v>90</v>
      </c>
      <c r="I165" t="s">
        <v>90</v>
      </c>
      <c r="J165">
        <v>217.85821207999999</v>
      </c>
      <c r="K165">
        <v>5.8574351399999998</v>
      </c>
      <c r="L165">
        <v>5.9088355999999997</v>
      </c>
      <c r="M165">
        <v>7.1561199599999998</v>
      </c>
      <c r="N165">
        <v>6.6758591599999999</v>
      </c>
      <c r="O165">
        <v>0</v>
      </c>
      <c r="Q165">
        <v>0</v>
      </c>
      <c r="R165" t="s">
        <v>30</v>
      </c>
      <c r="S165">
        <v>217.85821207999999</v>
      </c>
      <c r="T165" t="s">
        <v>2819</v>
      </c>
      <c r="U165" t="s">
        <v>1278</v>
      </c>
    </row>
    <row r="166" spans="1:21" x14ac:dyDescent="0.25">
      <c r="A166" t="s">
        <v>2104</v>
      </c>
      <c r="B166" t="s">
        <v>912</v>
      </c>
      <c r="C166" t="s">
        <v>911</v>
      </c>
      <c r="D166" t="s">
        <v>224</v>
      </c>
      <c r="E166" t="s">
        <v>4803</v>
      </c>
      <c r="F166" t="s">
        <v>1198</v>
      </c>
      <c r="G166" t="s">
        <v>1119</v>
      </c>
      <c r="H166">
        <v>15944.71</v>
      </c>
      <c r="I166">
        <v>9614</v>
      </c>
      <c r="J166">
        <v>0.6</v>
      </c>
      <c r="K166">
        <v>5.9</v>
      </c>
      <c r="L166">
        <v>4</v>
      </c>
      <c r="M166">
        <v>5.2</v>
      </c>
      <c r="N166">
        <v>4.0999999999999996</v>
      </c>
      <c r="O166">
        <v>0</v>
      </c>
      <c r="Q166">
        <v>13</v>
      </c>
      <c r="R166" t="s">
        <v>30</v>
      </c>
      <c r="S166">
        <v>0.6</v>
      </c>
      <c r="T166" t="s">
        <v>2819</v>
      </c>
      <c r="U166" t="s">
        <v>1062</v>
      </c>
    </row>
    <row r="167" spans="1:21" x14ac:dyDescent="0.25">
      <c r="A167" t="s">
        <v>2104</v>
      </c>
      <c r="B167" t="s">
        <v>4998</v>
      </c>
      <c r="C167" t="s">
        <v>4845</v>
      </c>
      <c r="D167" t="s">
        <v>350</v>
      </c>
      <c r="E167" t="s">
        <v>4802</v>
      </c>
      <c r="F167" t="s">
        <v>1198</v>
      </c>
      <c r="G167" t="s">
        <v>1119</v>
      </c>
      <c r="H167">
        <v>15944.71</v>
      </c>
      <c r="I167">
        <v>9614</v>
      </c>
      <c r="J167">
        <v>0.6</v>
      </c>
      <c r="K167">
        <v>5.9</v>
      </c>
      <c r="L167">
        <v>4</v>
      </c>
      <c r="M167">
        <v>5.2</v>
      </c>
      <c r="N167">
        <v>4.0999999999999996</v>
      </c>
      <c r="O167">
        <v>0</v>
      </c>
      <c r="Q167">
        <v>13</v>
      </c>
      <c r="R167" t="s">
        <v>30</v>
      </c>
      <c r="S167">
        <v>0.6</v>
      </c>
      <c r="T167" t="s">
        <v>2819</v>
      </c>
      <c r="U167" t="s">
        <v>1062</v>
      </c>
    </row>
    <row r="168" spans="1:21" x14ac:dyDescent="0.25">
      <c r="A168" t="s">
        <v>1400</v>
      </c>
      <c r="B168" t="s">
        <v>1401</v>
      </c>
      <c r="C168" t="s">
        <v>1402</v>
      </c>
      <c r="D168" t="s">
        <v>586</v>
      </c>
      <c r="E168" t="s">
        <v>1056</v>
      </c>
      <c r="F168" t="s">
        <v>1057</v>
      </c>
      <c r="G168" t="s">
        <v>1280</v>
      </c>
      <c r="H168" t="s">
        <v>90</v>
      </c>
      <c r="I168" t="s">
        <v>90</v>
      </c>
      <c r="J168">
        <v>217.85821207999999</v>
      </c>
      <c r="K168">
        <v>5.8574351399999998</v>
      </c>
      <c r="L168">
        <v>5.9088355999999997</v>
      </c>
      <c r="M168">
        <v>7.1561199599999998</v>
      </c>
      <c r="N168">
        <v>6.6758591599999999</v>
      </c>
      <c r="O168">
        <v>0</v>
      </c>
      <c r="Q168">
        <v>0</v>
      </c>
      <c r="R168" t="s">
        <v>30</v>
      </c>
      <c r="S168">
        <v>217.85821207999999</v>
      </c>
      <c r="T168" t="s">
        <v>2819</v>
      </c>
      <c r="U168" t="s">
        <v>1278</v>
      </c>
    </row>
    <row r="169" spans="1:21" x14ac:dyDescent="0.25">
      <c r="A169" t="s">
        <v>2104</v>
      </c>
      <c r="B169" t="s">
        <v>5380</v>
      </c>
      <c r="C169" t="s">
        <v>5381</v>
      </c>
      <c r="D169" t="s">
        <v>224</v>
      </c>
      <c r="E169" t="s">
        <v>4803</v>
      </c>
      <c r="F169" t="s">
        <v>1198</v>
      </c>
      <c r="G169" t="s">
        <v>1119</v>
      </c>
      <c r="H169">
        <v>15944.71</v>
      </c>
      <c r="I169">
        <v>9614</v>
      </c>
      <c r="J169">
        <v>0.6</v>
      </c>
      <c r="K169">
        <v>5.9</v>
      </c>
      <c r="L169">
        <v>4</v>
      </c>
      <c r="M169">
        <v>5.2</v>
      </c>
      <c r="N169">
        <v>4.0999999999999996</v>
      </c>
      <c r="O169">
        <v>0</v>
      </c>
      <c r="Q169">
        <v>13</v>
      </c>
      <c r="R169" t="s">
        <v>30</v>
      </c>
      <c r="S169">
        <v>0.6</v>
      </c>
      <c r="T169" t="s">
        <v>2819</v>
      </c>
      <c r="U169" t="s">
        <v>1062</v>
      </c>
    </row>
    <row r="170" spans="1:21" x14ac:dyDescent="0.25">
      <c r="A170" t="s">
        <v>1403</v>
      </c>
      <c r="B170" t="s">
        <v>1404</v>
      </c>
      <c r="C170" t="s">
        <v>1405</v>
      </c>
      <c r="D170" t="s">
        <v>586</v>
      </c>
      <c r="E170" t="s">
        <v>1056</v>
      </c>
      <c r="F170" t="s">
        <v>1057</v>
      </c>
      <c r="G170" t="s">
        <v>1280</v>
      </c>
      <c r="H170" t="s">
        <v>90</v>
      </c>
      <c r="I170" t="s">
        <v>90</v>
      </c>
      <c r="J170">
        <v>217.85821207999999</v>
      </c>
      <c r="K170">
        <v>5.8574351399999998</v>
      </c>
      <c r="L170">
        <v>5.9088355999999997</v>
      </c>
      <c r="M170">
        <v>7.1561199599999998</v>
      </c>
      <c r="N170">
        <v>6.6758591599999999</v>
      </c>
      <c r="O170">
        <v>0</v>
      </c>
      <c r="Q170">
        <v>0</v>
      </c>
      <c r="R170" t="s">
        <v>30</v>
      </c>
      <c r="S170">
        <v>217.85821207999999</v>
      </c>
      <c r="T170" t="s">
        <v>2819</v>
      </c>
      <c r="U170" t="s">
        <v>1278</v>
      </c>
    </row>
    <row r="171" spans="1:21" x14ac:dyDescent="0.25">
      <c r="A171" t="s">
        <v>5061</v>
      </c>
      <c r="B171" t="s">
        <v>5062</v>
      </c>
      <c r="C171" t="s">
        <v>5063</v>
      </c>
      <c r="D171" t="s">
        <v>586</v>
      </c>
      <c r="E171" t="s">
        <v>1056</v>
      </c>
      <c r="F171" t="s">
        <v>1057</v>
      </c>
      <c r="G171" t="s">
        <v>5064</v>
      </c>
      <c r="H171" t="s">
        <v>90</v>
      </c>
      <c r="I171" t="s">
        <v>90</v>
      </c>
      <c r="J171">
        <v>217.85821207999999</v>
      </c>
      <c r="K171">
        <v>5.8574351399999998</v>
      </c>
      <c r="L171">
        <v>5.9088355999999997</v>
      </c>
      <c r="M171">
        <v>7.1561199599999998</v>
      </c>
      <c r="N171">
        <v>6.6758591599999999</v>
      </c>
      <c r="O171">
        <v>0</v>
      </c>
      <c r="Q171">
        <v>0</v>
      </c>
      <c r="R171" t="s">
        <v>30</v>
      </c>
      <c r="S171">
        <v>217.85821207999999</v>
      </c>
      <c r="T171" t="s">
        <v>2819</v>
      </c>
      <c r="U171" t="s">
        <v>1278</v>
      </c>
    </row>
    <row r="172" spans="1:21" x14ac:dyDescent="0.25">
      <c r="A172" t="s">
        <v>2164</v>
      </c>
      <c r="B172" t="s">
        <v>456</v>
      </c>
      <c r="C172" t="s">
        <v>455</v>
      </c>
      <c r="D172" t="s">
        <v>422</v>
      </c>
      <c r="E172" t="s">
        <v>4801</v>
      </c>
      <c r="F172" t="s">
        <v>1198</v>
      </c>
      <c r="G172" t="s">
        <v>1082</v>
      </c>
      <c r="H172">
        <v>864.1</v>
      </c>
      <c r="I172">
        <v>2182701</v>
      </c>
      <c r="J172">
        <v>2525.98</v>
      </c>
      <c r="K172">
        <v>5.0999999999999996</v>
      </c>
      <c r="L172">
        <v>2.2000000000000002</v>
      </c>
      <c r="M172">
        <v>6</v>
      </c>
      <c r="N172">
        <v>5.3</v>
      </c>
      <c r="O172">
        <v>0</v>
      </c>
      <c r="Q172">
        <v>37</v>
      </c>
      <c r="R172" t="s">
        <v>1063</v>
      </c>
      <c r="S172">
        <v>2525.98</v>
      </c>
      <c r="T172" t="s">
        <v>2819</v>
      </c>
      <c r="U172" t="s">
        <v>1062</v>
      </c>
    </row>
    <row r="173" spans="1:21" x14ac:dyDescent="0.25">
      <c r="A173" t="s">
        <v>1406</v>
      </c>
      <c r="B173" t="s">
        <v>1407</v>
      </c>
      <c r="C173" t="s">
        <v>1408</v>
      </c>
      <c r="D173" t="s">
        <v>586</v>
      </c>
      <c r="E173" t="s">
        <v>1056</v>
      </c>
      <c r="F173" t="s">
        <v>1057</v>
      </c>
      <c r="G173" t="s">
        <v>1189</v>
      </c>
      <c r="H173" t="s">
        <v>90</v>
      </c>
      <c r="I173" t="s">
        <v>90</v>
      </c>
      <c r="J173">
        <v>203.76033727000001</v>
      </c>
      <c r="K173">
        <v>6.94455548</v>
      </c>
      <c r="L173">
        <v>5.4046010100000004</v>
      </c>
      <c r="M173">
        <v>4.2061236800000001</v>
      </c>
      <c r="N173">
        <v>6.6809667499999996</v>
      </c>
      <c r="O173">
        <v>21.038878961121039</v>
      </c>
      <c r="P173">
        <v>465.81868716999998</v>
      </c>
      <c r="Q173">
        <v>43.844956155043853</v>
      </c>
      <c r="R173" t="s">
        <v>30</v>
      </c>
      <c r="S173">
        <v>203.76033727000001</v>
      </c>
      <c r="T173" t="s">
        <v>2819</v>
      </c>
      <c r="U173" t="s">
        <v>1059</v>
      </c>
    </row>
    <row r="174" spans="1:21" x14ac:dyDescent="0.25">
      <c r="A174" t="s">
        <v>2164</v>
      </c>
      <c r="B174" t="s">
        <v>312</v>
      </c>
      <c r="C174" t="s">
        <v>311</v>
      </c>
      <c r="D174" t="s">
        <v>249</v>
      </c>
      <c r="E174" t="s">
        <v>4806</v>
      </c>
      <c r="F174" t="s">
        <v>1198</v>
      </c>
      <c r="G174" t="s">
        <v>1082</v>
      </c>
      <c r="H174">
        <v>864.1</v>
      </c>
      <c r="I174">
        <v>2182701</v>
      </c>
      <c r="J174">
        <v>2525.98</v>
      </c>
      <c r="K174">
        <v>5.0999999999999996</v>
      </c>
      <c r="L174">
        <v>2.2000000000000002</v>
      </c>
      <c r="M174">
        <v>6</v>
      </c>
      <c r="N174">
        <v>5.3</v>
      </c>
      <c r="O174">
        <v>0</v>
      </c>
      <c r="Q174">
        <v>37</v>
      </c>
      <c r="R174" t="s">
        <v>1063</v>
      </c>
      <c r="S174">
        <v>2525.98</v>
      </c>
      <c r="T174" t="s">
        <v>2819</v>
      </c>
      <c r="U174" t="s">
        <v>1062</v>
      </c>
    </row>
    <row r="175" spans="1:21" x14ac:dyDescent="0.25">
      <c r="A175" t="s">
        <v>1409</v>
      </c>
      <c r="B175" t="s">
        <v>1410</v>
      </c>
      <c r="C175" t="s">
        <v>1411</v>
      </c>
      <c r="D175" t="s">
        <v>586</v>
      </c>
      <c r="E175" t="s">
        <v>1056</v>
      </c>
      <c r="F175" t="s">
        <v>1260</v>
      </c>
      <c r="G175" t="s">
        <v>1261</v>
      </c>
      <c r="H175" t="s">
        <v>90</v>
      </c>
      <c r="I175" t="s">
        <v>90</v>
      </c>
      <c r="J175">
        <v>79.304892780000003</v>
      </c>
      <c r="K175">
        <v>7.1199676099999998</v>
      </c>
      <c r="L175">
        <v>5.9360444499999998</v>
      </c>
      <c r="M175">
        <v>5.1827032099999997</v>
      </c>
      <c r="N175">
        <v>5.9906433200000002</v>
      </c>
      <c r="O175">
        <v>33.284206456447521</v>
      </c>
      <c r="P175">
        <v>175.99913398999999</v>
      </c>
      <c r="Q175">
        <v>44.341739709264623</v>
      </c>
      <c r="R175" t="s">
        <v>30</v>
      </c>
      <c r="S175">
        <v>79.304892780000003</v>
      </c>
      <c r="T175" t="s">
        <v>2819</v>
      </c>
      <c r="U175" t="s">
        <v>1059</v>
      </c>
    </row>
    <row r="176" spans="1:21" x14ac:dyDescent="0.25">
      <c r="A176" t="s">
        <v>1412</v>
      </c>
      <c r="B176" t="s">
        <v>637</v>
      </c>
      <c r="C176" t="s">
        <v>1413</v>
      </c>
      <c r="D176" t="s">
        <v>586</v>
      </c>
      <c r="E176" t="s">
        <v>1056</v>
      </c>
      <c r="F176" t="s">
        <v>1136</v>
      </c>
      <c r="G176" t="s">
        <v>1137</v>
      </c>
      <c r="H176" t="s">
        <v>90</v>
      </c>
      <c r="I176" t="s">
        <v>90</v>
      </c>
      <c r="J176">
        <v>137.87013315999999</v>
      </c>
      <c r="K176">
        <v>5.8281030600000001</v>
      </c>
      <c r="L176">
        <v>5.4132420699999999</v>
      </c>
      <c r="M176">
        <v>5.1464343699999997</v>
      </c>
      <c r="N176">
        <v>4.7741536399999998</v>
      </c>
      <c r="O176">
        <v>19.701109123646951</v>
      </c>
      <c r="P176">
        <v>351.62413932999999</v>
      </c>
      <c r="Q176">
        <v>8.6923375841335027</v>
      </c>
      <c r="R176" t="s">
        <v>30</v>
      </c>
      <c r="S176">
        <v>137.87013315999999</v>
      </c>
      <c r="T176" t="s">
        <v>2819</v>
      </c>
      <c r="U176" t="s">
        <v>1059</v>
      </c>
    </row>
    <row r="177" spans="1:21" x14ac:dyDescent="0.25">
      <c r="A177" t="s">
        <v>2164</v>
      </c>
      <c r="B177" t="s">
        <v>315</v>
      </c>
      <c r="C177" t="s">
        <v>3678</v>
      </c>
      <c r="D177" t="s">
        <v>249</v>
      </c>
      <c r="E177" t="s">
        <v>4806</v>
      </c>
      <c r="F177" t="s">
        <v>1198</v>
      </c>
      <c r="G177" t="s">
        <v>1082</v>
      </c>
      <c r="H177">
        <v>864.1</v>
      </c>
      <c r="I177">
        <v>2182701</v>
      </c>
      <c r="J177">
        <v>2525.98</v>
      </c>
      <c r="K177">
        <v>5.0999999999999996</v>
      </c>
      <c r="L177">
        <v>2.2000000000000002</v>
      </c>
      <c r="M177">
        <v>6</v>
      </c>
      <c r="N177">
        <v>5.3</v>
      </c>
      <c r="O177">
        <v>0</v>
      </c>
      <c r="Q177">
        <v>37</v>
      </c>
      <c r="R177" t="s">
        <v>1063</v>
      </c>
      <c r="S177">
        <v>2525.98</v>
      </c>
      <c r="T177" t="s">
        <v>2819</v>
      </c>
      <c r="U177" t="s">
        <v>1062</v>
      </c>
    </row>
    <row r="178" spans="1:21" x14ac:dyDescent="0.25">
      <c r="A178" t="s">
        <v>1412</v>
      </c>
      <c r="B178" t="s">
        <v>637</v>
      </c>
      <c r="C178" t="s">
        <v>636</v>
      </c>
      <c r="D178" t="s">
        <v>586</v>
      </c>
      <c r="E178" t="s">
        <v>1056</v>
      </c>
      <c r="F178" t="s">
        <v>1136</v>
      </c>
      <c r="G178" t="s">
        <v>1137</v>
      </c>
      <c r="H178" t="s">
        <v>90</v>
      </c>
      <c r="I178" t="s">
        <v>90</v>
      </c>
      <c r="J178">
        <v>137.87013315999999</v>
      </c>
      <c r="K178">
        <v>5.8281030600000001</v>
      </c>
      <c r="L178">
        <v>5.4132420699999999</v>
      </c>
      <c r="M178">
        <v>5.1464343699999997</v>
      </c>
      <c r="N178">
        <v>4.7741536399999998</v>
      </c>
      <c r="O178">
        <v>19.701109123646951</v>
      </c>
      <c r="P178">
        <v>351.62413932999999</v>
      </c>
      <c r="Q178">
        <v>8.6923375841335027</v>
      </c>
      <c r="R178" t="s">
        <v>30</v>
      </c>
      <c r="S178">
        <v>137.87013315999999</v>
      </c>
      <c r="T178" t="s">
        <v>2819</v>
      </c>
      <c r="U178" t="s">
        <v>1059</v>
      </c>
    </row>
    <row r="179" spans="1:21" x14ac:dyDescent="0.25">
      <c r="A179" t="s">
        <v>1414</v>
      </c>
      <c r="B179" t="s">
        <v>617</v>
      </c>
      <c r="C179" t="s">
        <v>616</v>
      </c>
      <c r="D179" t="s">
        <v>586</v>
      </c>
      <c r="E179" t="s">
        <v>1056</v>
      </c>
      <c r="F179" t="s">
        <v>1057</v>
      </c>
      <c r="G179" t="s">
        <v>1288</v>
      </c>
      <c r="H179" t="s">
        <v>90</v>
      </c>
      <c r="I179" t="s">
        <v>90</v>
      </c>
      <c r="J179">
        <v>131.74588779000001</v>
      </c>
      <c r="K179">
        <v>5.4940038700000002</v>
      </c>
      <c r="L179">
        <v>4.8730655399999998</v>
      </c>
      <c r="M179">
        <v>4.6856331999999998</v>
      </c>
      <c r="N179">
        <v>5.5734671999999996</v>
      </c>
      <c r="O179">
        <v>12.46235979957028</v>
      </c>
      <c r="P179">
        <v>244.90939191000001</v>
      </c>
      <c r="Q179">
        <v>18.322702978818128</v>
      </c>
      <c r="R179" t="s">
        <v>1063</v>
      </c>
      <c r="S179">
        <v>131.74588779000001</v>
      </c>
      <c r="T179" t="s">
        <v>2819</v>
      </c>
      <c r="U179" t="s">
        <v>1059</v>
      </c>
    </row>
    <row r="180" spans="1:21" x14ac:dyDescent="0.25">
      <c r="A180" t="s">
        <v>1415</v>
      </c>
      <c r="B180" t="s">
        <v>1416</v>
      </c>
      <c r="C180" t="s">
        <v>1417</v>
      </c>
      <c r="D180" t="s">
        <v>586</v>
      </c>
      <c r="E180" t="s">
        <v>1056</v>
      </c>
      <c r="F180" t="s">
        <v>1057</v>
      </c>
      <c r="G180" t="s">
        <v>1205</v>
      </c>
      <c r="H180" t="s">
        <v>90</v>
      </c>
      <c r="I180" t="s">
        <v>90</v>
      </c>
      <c r="J180">
        <v>193.36563226999999</v>
      </c>
      <c r="K180">
        <v>6.5216936199999997</v>
      </c>
      <c r="L180">
        <v>4.6331599299999997</v>
      </c>
      <c r="M180">
        <v>5.9359288100000001</v>
      </c>
      <c r="N180">
        <v>6.4177650799999997</v>
      </c>
      <c r="O180">
        <v>15.78793157586315</v>
      </c>
      <c r="P180">
        <v>386.63193138000003</v>
      </c>
      <c r="Q180">
        <v>38.569277138554277</v>
      </c>
      <c r="R180" t="s">
        <v>30</v>
      </c>
      <c r="S180">
        <v>193.36563226999999</v>
      </c>
      <c r="T180" t="s">
        <v>2819</v>
      </c>
      <c r="U180" t="s">
        <v>1059</v>
      </c>
    </row>
    <row r="181" spans="1:21" x14ac:dyDescent="0.25">
      <c r="A181" t="s">
        <v>1418</v>
      </c>
      <c r="B181" t="s">
        <v>1419</v>
      </c>
      <c r="C181" t="s">
        <v>1420</v>
      </c>
      <c r="D181" t="s">
        <v>586</v>
      </c>
      <c r="E181" t="s">
        <v>1056</v>
      </c>
      <c r="F181" t="s">
        <v>1057</v>
      </c>
      <c r="G181" t="s">
        <v>1277</v>
      </c>
      <c r="H181" t="s">
        <v>90</v>
      </c>
      <c r="I181" t="s">
        <v>90</v>
      </c>
      <c r="J181">
        <v>9.4179360000000004E-2</v>
      </c>
      <c r="K181">
        <v>5.8567938000000002</v>
      </c>
      <c r="L181">
        <v>5.9086919499999997</v>
      </c>
      <c r="M181">
        <v>7.1540461500000001</v>
      </c>
      <c r="N181">
        <v>6.6754691099999999</v>
      </c>
      <c r="O181">
        <v>0</v>
      </c>
      <c r="P181">
        <v>1.6168763900000001</v>
      </c>
      <c r="Q181">
        <v>0</v>
      </c>
      <c r="R181" t="s">
        <v>30</v>
      </c>
      <c r="S181">
        <v>9.4179360000000004E-2</v>
      </c>
      <c r="T181" t="s">
        <v>2819</v>
      </c>
      <c r="U181" t="s">
        <v>1059</v>
      </c>
    </row>
    <row r="182" spans="1:21" x14ac:dyDescent="0.25">
      <c r="A182" t="s">
        <v>5382</v>
      </c>
      <c r="B182" t="s">
        <v>5383</v>
      </c>
      <c r="C182" t="s">
        <v>5384</v>
      </c>
      <c r="D182" t="s">
        <v>586</v>
      </c>
      <c r="E182" t="s">
        <v>1056</v>
      </c>
      <c r="F182" t="s">
        <v>1057</v>
      </c>
      <c r="G182" t="s">
        <v>1280</v>
      </c>
      <c r="H182" t="s">
        <v>90</v>
      </c>
      <c r="I182" t="s">
        <v>90</v>
      </c>
      <c r="J182">
        <v>217.85821207999999</v>
      </c>
      <c r="K182">
        <v>5.8574351399999998</v>
      </c>
      <c r="L182">
        <v>5.9088355999999997</v>
      </c>
      <c r="M182">
        <v>7.1561199599999998</v>
      </c>
      <c r="N182">
        <v>6.6758591599999999</v>
      </c>
      <c r="O182">
        <v>0</v>
      </c>
      <c r="Q182">
        <v>0</v>
      </c>
      <c r="R182" t="s">
        <v>30</v>
      </c>
      <c r="S182">
        <v>217.85821207999999</v>
      </c>
      <c r="T182" t="s">
        <v>2819</v>
      </c>
      <c r="U182" t="s">
        <v>1278</v>
      </c>
    </row>
    <row r="183" spans="1:21" x14ac:dyDescent="0.25">
      <c r="A183" t="s">
        <v>2261</v>
      </c>
      <c r="B183" t="s">
        <v>2271</v>
      </c>
      <c r="C183" t="s">
        <v>3097</v>
      </c>
      <c r="D183" t="s">
        <v>191</v>
      </c>
      <c r="E183" t="s">
        <v>4804</v>
      </c>
      <c r="F183" t="s">
        <v>1185</v>
      </c>
      <c r="G183" t="s">
        <v>1399</v>
      </c>
      <c r="H183">
        <v>11603.7</v>
      </c>
      <c r="I183">
        <v>202760.1</v>
      </c>
      <c r="J183">
        <v>17.47</v>
      </c>
      <c r="K183">
        <v>3.2</v>
      </c>
      <c r="L183">
        <v>3.6</v>
      </c>
      <c r="M183">
        <v>4.4000000000000004</v>
      </c>
      <c r="N183">
        <v>3.7</v>
      </c>
      <c r="O183">
        <v>0</v>
      </c>
      <c r="Q183">
        <v>12</v>
      </c>
      <c r="R183" t="s">
        <v>1138</v>
      </c>
      <c r="S183">
        <v>17.47</v>
      </c>
      <c r="T183" t="s">
        <v>2819</v>
      </c>
      <c r="U183" t="s">
        <v>1062</v>
      </c>
    </row>
    <row r="184" spans="1:21" x14ac:dyDescent="0.25">
      <c r="A184" t="s">
        <v>1421</v>
      </c>
      <c r="B184" t="s">
        <v>1422</v>
      </c>
      <c r="C184" t="s">
        <v>1423</v>
      </c>
      <c r="D184" t="s">
        <v>586</v>
      </c>
      <c r="E184" t="s">
        <v>1056</v>
      </c>
      <c r="F184" t="s">
        <v>1071</v>
      </c>
      <c r="G184" t="s">
        <v>1212</v>
      </c>
      <c r="H184" t="s">
        <v>90</v>
      </c>
      <c r="I184" t="s">
        <v>90</v>
      </c>
      <c r="J184">
        <v>188.05966506999999</v>
      </c>
      <c r="K184">
        <v>7.2870564900000003</v>
      </c>
      <c r="L184">
        <v>4.8694194099999999</v>
      </c>
      <c r="M184">
        <v>5.5970583400000002</v>
      </c>
      <c r="N184">
        <v>5.9382111200000001</v>
      </c>
      <c r="O184">
        <v>31.753104740685782</v>
      </c>
      <c r="P184">
        <v>284.14694754999999</v>
      </c>
      <c r="Q184">
        <v>30.388108835673499</v>
      </c>
      <c r="R184" t="s">
        <v>1073</v>
      </c>
      <c r="S184">
        <v>188.05966506999999</v>
      </c>
      <c r="T184" t="s">
        <v>2819</v>
      </c>
      <c r="U184" t="s">
        <v>1059</v>
      </c>
    </row>
    <row r="185" spans="1:21" x14ac:dyDescent="0.25">
      <c r="A185" t="s">
        <v>1425</v>
      </c>
      <c r="B185" t="s">
        <v>1426</v>
      </c>
      <c r="C185" t="s">
        <v>1427</v>
      </c>
      <c r="D185" t="s">
        <v>586</v>
      </c>
      <c r="E185" t="s">
        <v>1056</v>
      </c>
      <c r="F185" t="s">
        <v>1057</v>
      </c>
      <c r="G185" t="s">
        <v>1288</v>
      </c>
      <c r="H185" t="s">
        <v>90</v>
      </c>
      <c r="I185" t="s">
        <v>90</v>
      </c>
      <c r="J185">
        <v>131.61772644999999</v>
      </c>
      <c r="K185">
        <v>5.4112694399999999</v>
      </c>
      <c r="L185">
        <v>4.7379191199999999</v>
      </c>
      <c r="M185">
        <v>4.57442818</v>
      </c>
      <c r="N185">
        <v>5.65455196</v>
      </c>
      <c r="O185">
        <v>10.80950557378098</v>
      </c>
      <c r="P185">
        <v>235.98513231000001</v>
      </c>
      <c r="Q185">
        <v>16.94131457042042</v>
      </c>
      <c r="R185" t="s">
        <v>1063</v>
      </c>
      <c r="S185">
        <v>131.61772644999999</v>
      </c>
      <c r="T185" t="s">
        <v>2819</v>
      </c>
      <c r="U185" t="s">
        <v>1059</v>
      </c>
    </row>
    <row r="186" spans="1:21" x14ac:dyDescent="0.25">
      <c r="A186" t="s">
        <v>2261</v>
      </c>
      <c r="B186" t="s">
        <v>5788</v>
      </c>
      <c r="C186" t="s">
        <v>5789</v>
      </c>
      <c r="D186" t="s">
        <v>191</v>
      </c>
      <c r="E186" t="s">
        <v>4804</v>
      </c>
      <c r="F186" t="s">
        <v>1185</v>
      </c>
      <c r="G186" t="s">
        <v>1399</v>
      </c>
      <c r="H186">
        <v>11603.7</v>
      </c>
      <c r="I186">
        <v>202760.1</v>
      </c>
      <c r="J186">
        <v>17.47</v>
      </c>
      <c r="K186">
        <v>3.2</v>
      </c>
      <c r="L186">
        <v>3.6</v>
      </c>
      <c r="M186">
        <v>4.4000000000000004</v>
      </c>
      <c r="N186">
        <v>3.7</v>
      </c>
      <c r="O186">
        <v>0</v>
      </c>
      <c r="Q186">
        <v>12</v>
      </c>
      <c r="R186" t="s">
        <v>1138</v>
      </c>
      <c r="S186">
        <v>17.47</v>
      </c>
      <c r="T186" t="s">
        <v>2819</v>
      </c>
      <c r="U186" t="s">
        <v>1062</v>
      </c>
    </row>
    <row r="187" spans="1:21" x14ac:dyDescent="0.25">
      <c r="A187" t="s">
        <v>1428</v>
      </c>
      <c r="B187" t="s">
        <v>1429</v>
      </c>
      <c r="C187" t="s">
        <v>1430</v>
      </c>
      <c r="D187" t="s">
        <v>586</v>
      </c>
      <c r="E187" t="s">
        <v>1056</v>
      </c>
      <c r="F187" t="s">
        <v>1431</v>
      </c>
      <c r="G187" t="s">
        <v>1432</v>
      </c>
      <c r="H187" t="s">
        <v>90</v>
      </c>
      <c r="I187" t="s">
        <v>90</v>
      </c>
      <c r="J187">
        <v>151.43875691</v>
      </c>
      <c r="K187">
        <v>6.0320722900000003</v>
      </c>
      <c r="L187">
        <v>5.3674943400000004</v>
      </c>
      <c r="M187">
        <v>5.6244765900000004</v>
      </c>
      <c r="N187">
        <v>4.8272365400000004</v>
      </c>
      <c r="O187">
        <v>2.4732700431343999</v>
      </c>
      <c r="P187">
        <v>249.19620019000001</v>
      </c>
      <c r="Q187">
        <v>0</v>
      </c>
      <c r="R187" t="s">
        <v>30</v>
      </c>
      <c r="S187">
        <v>151.43875691</v>
      </c>
      <c r="T187" t="s">
        <v>2819</v>
      </c>
      <c r="U187" t="s">
        <v>1059</v>
      </c>
    </row>
    <row r="188" spans="1:21" x14ac:dyDescent="0.25">
      <c r="A188" t="s">
        <v>5627</v>
      </c>
      <c r="B188" t="s">
        <v>5628</v>
      </c>
      <c r="C188" t="s">
        <v>3970</v>
      </c>
      <c r="D188" t="s">
        <v>249</v>
      </c>
      <c r="E188" t="s">
        <v>4806</v>
      </c>
      <c r="F188" t="s">
        <v>1198</v>
      </c>
      <c r="G188" t="s">
        <v>1324</v>
      </c>
      <c r="H188">
        <v>1277.3</v>
      </c>
      <c r="I188">
        <v>19334.810000000001</v>
      </c>
      <c r="J188">
        <v>15.14</v>
      </c>
      <c r="K188">
        <v>7.1</v>
      </c>
      <c r="L188">
        <v>7.9</v>
      </c>
      <c r="M188">
        <v>7.6</v>
      </c>
      <c r="N188">
        <v>5.2</v>
      </c>
      <c r="O188">
        <v>0</v>
      </c>
      <c r="R188" t="s">
        <v>30</v>
      </c>
      <c r="S188">
        <v>15.14</v>
      </c>
      <c r="T188" t="s">
        <v>2819</v>
      </c>
      <c r="U188" t="s">
        <v>1062</v>
      </c>
    </row>
    <row r="189" spans="1:21" x14ac:dyDescent="0.25">
      <c r="A189" t="s">
        <v>1433</v>
      </c>
      <c r="B189" t="s">
        <v>1434</v>
      </c>
      <c r="C189" t="s">
        <v>1435</v>
      </c>
      <c r="D189" t="s">
        <v>586</v>
      </c>
      <c r="E189" t="s">
        <v>1056</v>
      </c>
      <c r="F189" t="s">
        <v>1136</v>
      </c>
      <c r="G189" t="s">
        <v>1137</v>
      </c>
      <c r="H189" t="s">
        <v>90</v>
      </c>
      <c r="I189" t="s">
        <v>90</v>
      </c>
      <c r="J189">
        <v>178.62294661000001</v>
      </c>
      <c r="K189">
        <v>5.1086473300000002</v>
      </c>
      <c r="L189">
        <v>4.3898025000000001</v>
      </c>
      <c r="M189">
        <v>4.7463932099999999</v>
      </c>
      <c r="N189">
        <v>5.12384079</v>
      </c>
      <c r="O189">
        <v>2.1571741139106342</v>
      </c>
      <c r="P189">
        <v>338.80320660000001</v>
      </c>
      <c r="Q189">
        <v>16.124306508321911</v>
      </c>
      <c r="R189" t="s">
        <v>1063</v>
      </c>
      <c r="S189">
        <v>178.62294661000001</v>
      </c>
      <c r="T189" t="s">
        <v>2819</v>
      </c>
      <c r="U189" t="s">
        <v>1059</v>
      </c>
    </row>
    <row r="190" spans="1:21" x14ac:dyDescent="0.25">
      <c r="A190" t="s">
        <v>1436</v>
      </c>
      <c r="B190" t="s">
        <v>615</v>
      </c>
      <c r="C190" t="s">
        <v>614</v>
      </c>
      <c r="D190" t="s">
        <v>586</v>
      </c>
      <c r="E190" t="s">
        <v>1056</v>
      </c>
      <c r="F190" t="s">
        <v>1136</v>
      </c>
      <c r="G190" t="s">
        <v>1437</v>
      </c>
      <c r="H190" t="s">
        <v>90</v>
      </c>
      <c r="I190" t="s">
        <v>90</v>
      </c>
      <c r="J190">
        <v>440.85698079999997</v>
      </c>
      <c r="K190">
        <v>3.9303903500000001</v>
      </c>
      <c r="L190">
        <v>5.0336442000000003</v>
      </c>
      <c r="M190">
        <v>5.6338713900000004</v>
      </c>
      <c r="N190">
        <v>5.3011427400000004</v>
      </c>
      <c r="O190">
        <v>4.1968622282399464</v>
      </c>
      <c r="P190">
        <v>731.65957760000003</v>
      </c>
      <c r="Q190">
        <v>0</v>
      </c>
      <c r="R190" t="s">
        <v>1138</v>
      </c>
      <c r="S190">
        <v>440.85698079999997</v>
      </c>
      <c r="T190" t="s">
        <v>2819</v>
      </c>
      <c r="U190" t="s">
        <v>1059</v>
      </c>
    </row>
    <row r="191" spans="1:21" x14ac:dyDescent="0.25">
      <c r="A191" t="s">
        <v>5627</v>
      </c>
      <c r="B191" t="s">
        <v>252</v>
      </c>
      <c r="C191" t="s">
        <v>251</v>
      </c>
      <c r="D191" t="s">
        <v>249</v>
      </c>
      <c r="E191" t="s">
        <v>4806</v>
      </c>
      <c r="F191" t="s">
        <v>1198</v>
      </c>
      <c r="G191" t="s">
        <v>1324</v>
      </c>
      <c r="H191">
        <v>1277.3</v>
      </c>
      <c r="I191">
        <v>19334.810000000001</v>
      </c>
      <c r="J191">
        <v>15.14</v>
      </c>
      <c r="K191">
        <v>7.1</v>
      </c>
      <c r="L191">
        <v>7.9</v>
      </c>
      <c r="M191">
        <v>7.6</v>
      </c>
      <c r="N191">
        <v>5.2</v>
      </c>
      <c r="O191">
        <v>0</v>
      </c>
      <c r="R191" t="s">
        <v>30</v>
      </c>
      <c r="S191">
        <v>15.14</v>
      </c>
      <c r="T191" t="s">
        <v>2819</v>
      </c>
      <c r="U191" t="s">
        <v>1062</v>
      </c>
    </row>
    <row r="192" spans="1:21" x14ac:dyDescent="0.25">
      <c r="A192" t="s">
        <v>1438</v>
      </c>
      <c r="B192" t="s">
        <v>1439</v>
      </c>
      <c r="C192" t="s">
        <v>1440</v>
      </c>
      <c r="D192" t="s">
        <v>586</v>
      </c>
      <c r="E192" t="s">
        <v>1056</v>
      </c>
      <c r="F192" t="s">
        <v>1136</v>
      </c>
      <c r="G192" t="s">
        <v>1137</v>
      </c>
      <c r="H192" t="s">
        <v>90</v>
      </c>
      <c r="I192" t="s">
        <v>90</v>
      </c>
      <c r="J192">
        <v>187.21612076</v>
      </c>
      <c r="K192">
        <v>4.5221831300000002</v>
      </c>
      <c r="L192">
        <v>4.2705201500000003</v>
      </c>
      <c r="M192">
        <v>4.4511470299999996</v>
      </c>
      <c r="N192">
        <v>4.8474209000000004</v>
      </c>
      <c r="O192">
        <v>2.0473056878293932</v>
      </c>
      <c r="P192">
        <v>430.19899361</v>
      </c>
      <c r="Q192">
        <v>13.73800979749879</v>
      </c>
      <c r="R192" t="s">
        <v>1063</v>
      </c>
      <c r="S192">
        <v>187.21612076</v>
      </c>
      <c r="T192" t="s">
        <v>2819</v>
      </c>
      <c r="U192" t="s">
        <v>1059</v>
      </c>
    </row>
    <row r="193" spans="1:21" x14ac:dyDescent="0.25">
      <c r="A193" t="s">
        <v>1442</v>
      </c>
      <c r="B193" t="s">
        <v>1443</v>
      </c>
      <c r="C193" t="s">
        <v>1444</v>
      </c>
      <c r="D193" t="s">
        <v>586</v>
      </c>
      <c r="E193" t="s">
        <v>1056</v>
      </c>
      <c r="F193" t="s">
        <v>1071</v>
      </c>
      <c r="G193" t="s">
        <v>1445</v>
      </c>
      <c r="H193" t="s">
        <v>90</v>
      </c>
      <c r="I193" t="s">
        <v>90</v>
      </c>
      <c r="J193">
        <v>40.057249800000001</v>
      </c>
      <c r="K193">
        <v>6.6706100499999996</v>
      </c>
      <c r="L193">
        <v>6.0141561699999997</v>
      </c>
      <c r="M193">
        <v>4.99510874</v>
      </c>
      <c r="N193">
        <v>5.5959549099999997</v>
      </c>
      <c r="O193">
        <v>48.48081156435294</v>
      </c>
      <c r="P193">
        <v>113.39615698999999</v>
      </c>
      <c r="Q193">
        <v>29.465310333954029</v>
      </c>
      <c r="R193" t="s">
        <v>30</v>
      </c>
      <c r="S193">
        <v>40.057249800000001</v>
      </c>
      <c r="T193" t="s">
        <v>2819</v>
      </c>
      <c r="U193" t="s">
        <v>1059</v>
      </c>
    </row>
    <row r="194" spans="1:21" x14ac:dyDescent="0.25">
      <c r="A194" t="s">
        <v>2368</v>
      </c>
      <c r="B194" t="s">
        <v>2369</v>
      </c>
      <c r="C194" t="s">
        <v>4266</v>
      </c>
      <c r="D194" t="s">
        <v>512</v>
      </c>
      <c r="E194" t="s">
        <v>4797</v>
      </c>
      <c r="F194" t="s">
        <v>1185</v>
      </c>
      <c r="G194" t="s">
        <v>1147</v>
      </c>
      <c r="H194">
        <v>55174.33</v>
      </c>
      <c r="I194">
        <v>5786167</v>
      </c>
      <c r="J194">
        <v>104.87</v>
      </c>
      <c r="K194">
        <v>2.9</v>
      </c>
      <c r="L194">
        <v>2.9</v>
      </c>
      <c r="M194">
        <v>3.6</v>
      </c>
      <c r="N194">
        <v>2.7</v>
      </c>
      <c r="O194">
        <v>12</v>
      </c>
      <c r="Q194">
        <v>3</v>
      </c>
      <c r="R194" t="s">
        <v>1138</v>
      </c>
      <c r="S194">
        <v>104.87</v>
      </c>
      <c r="T194" t="s">
        <v>2819</v>
      </c>
      <c r="U194" t="s">
        <v>1062</v>
      </c>
    </row>
    <row r="195" spans="1:21" x14ac:dyDescent="0.25">
      <c r="A195" t="s">
        <v>1446</v>
      </c>
      <c r="B195" t="s">
        <v>1447</v>
      </c>
      <c r="C195" t="s">
        <v>1448</v>
      </c>
      <c r="D195" t="s">
        <v>586</v>
      </c>
      <c r="E195" t="s">
        <v>1056</v>
      </c>
      <c r="F195" t="s">
        <v>1071</v>
      </c>
      <c r="G195" t="s">
        <v>1328</v>
      </c>
      <c r="H195" t="s">
        <v>90</v>
      </c>
      <c r="I195" t="s">
        <v>90</v>
      </c>
      <c r="J195">
        <v>231.36475204000001</v>
      </c>
      <c r="K195">
        <v>6.3044009799999996</v>
      </c>
      <c r="L195">
        <v>6.5589850399999996</v>
      </c>
      <c r="M195">
        <v>4.8098161399999997</v>
      </c>
      <c r="N195">
        <v>6.0379163499999997</v>
      </c>
      <c r="O195">
        <v>15.48053500620229</v>
      </c>
      <c r="P195">
        <v>435.22276794999999</v>
      </c>
      <c r="Q195">
        <v>34.31710342580292</v>
      </c>
      <c r="R195" t="s">
        <v>30</v>
      </c>
      <c r="S195">
        <v>231.36475204000001</v>
      </c>
      <c r="T195" t="s">
        <v>2819</v>
      </c>
      <c r="U195" t="s">
        <v>1059</v>
      </c>
    </row>
    <row r="196" spans="1:21" x14ac:dyDescent="0.25">
      <c r="A196" t="s">
        <v>5790</v>
      </c>
      <c r="B196" t="s">
        <v>2378</v>
      </c>
      <c r="C196" t="s">
        <v>3437</v>
      </c>
      <c r="D196" t="s">
        <v>191</v>
      </c>
      <c r="E196" t="s">
        <v>4804</v>
      </c>
      <c r="F196" t="s">
        <v>1185</v>
      </c>
      <c r="G196" t="s">
        <v>1749</v>
      </c>
      <c r="H196">
        <v>8421.8799999999992</v>
      </c>
      <c r="I196">
        <v>166456.75</v>
      </c>
      <c r="J196">
        <v>19.760000000000002</v>
      </c>
      <c r="K196">
        <v>4.8</v>
      </c>
      <c r="L196">
        <v>10</v>
      </c>
      <c r="M196">
        <v>5.9</v>
      </c>
      <c r="N196">
        <v>3.4</v>
      </c>
      <c r="O196">
        <v>1</v>
      </c>
      <c r="Q196">
        <v>9</v>
      </c>
      <c r="R196" t="s">
        <v>1063</v>
      </c>
      <c r="S196">
        <v>19.760000000000002</v>
      </c>
      <c r="T196" t="s">
        <v>2819</v>
      </c>
      <c r="U196" t="s">
        <v>1062</v>
      </c>
    </row>
    <row r="197" spans="1:21" x14ac:dyDescent="0.25">
      <c r="A197" t="s">
        <v>1449</v>
      </c>
      <c r="B197" t="s">
        <v>625</v>
      </c>
      <c r="C197" t="s">
        <v>624</v>
      </c>
      <c r="D197" t="s">
        <v>586</v>
      </c>
      <c r="E197" t="s">
        <v>1056</v>
      </c>
      <c r="F197" t="s">
        <v>1265</v>
      </c>
      <c r="G197" t="s">
        <v>1266</v>
      </c>
      <c r="H197" t="s">
        <v>90</v>
      </c>
      <c r="I197" t="s">
        <v>90</v>
      </c>
      <c r="J197">
        <v>109.76560809999999</v>
      </c>
      <c r="K197">
        <v>6.1207292500000001</v>
      </c>
      <c r="L197">
        <v>5.6685068699999999</v>
      </c>
      <c r="M197">
        <v>5.2115288</v>
      </c>
      <c r="N197">
        <v>4.9387841799999999</v>
      </c>
      <c r="O197">
        <v>25.113535593714161</v>
      </c>
      <c r="P197">
        <v>260.38054880999999</v>
      </c>
      <c r="Q197">
        <v>9.0655421795118762</v>
      </c>
      <c r="R197" t="s">
        <v>30</v>
      </c>
      <c r="S197">
        <v>109.76560809999999</v>
      </c>
      <c r="T197" t="s">
        <v>2819</v>
      </c>
      <c r="U197" t="s">
        <v>1059</v>
      </c>
    </row>
    <row r="198" spans="1:21" x14ac:dyDescent="0.25">
      <c r="A198" t="s">
        <v>1450</v>
      </c>
      <c r="B198" t="s">
        <v>1451</v>
      </c>
      <c r="C198" t="s">
        <v>1452</v>
      </c>
      <c r="D198" t="s">
        <v>586</v>
      </c>
      <c r="E198" t="s">
        <v>1056</v>
      </c>
      <c r="F198" t="s">
        <v>1071</v>
      </c>
      <c r="G198" t="s">
        <v>1445</v>
      </c>
      <c r="H198" t="s">
        <v>90</v>
      </c>
      <c r="I198" t="s">
        <v>90</v>
      </c>
      <c r="J198">
        <v>45.484029649999997</v>
      </c>
      <c r="K198">
        <v>6.5743543600000001</v>
      </c>
      <c r="L198">
        <v>5.9020461900000001</v>
      </c>
      <c r="M198">
        <v>4.9548157100000001</v>
      </c>
      <c r="N198">
        <v>5.6203429399999996</v>
      </c>
      <c r="O198">
        <v>43.556843032575379</v>
      </c>
      <c r="P198">
        <v>122.40891796</v>
      </c>
      <c r="Q198">
        <v>28.842540605023309</v>
      </c>
      <c r="R198" t="s">
        <v>30</v>
      </c>
      <c r="S198">
        <v>45.484029649999997</v>
      </c>
      <c r="T198" t="s">
        <v>2819</v>
      </c>
      <c r="U198" t="s">
        <v>1059</v>
      </c>
    </row>
    <row r="199" spans="1:21" x14ac:dyDescent="0.25">
      <c r="A199" t="s">
        <v>1453</v>
      </c>
      <c r="B199" t="s">
        <v>1454</v>
      </c>
      <c r="C199" t="s">
        <v>1455</v>
      </c>
      <c r="D199" t="s">
        <v>586</v>
      </c>
      <c r="E199" t="s">
        <v>1056</v>
      </c>
      <c r="F199" t="s">
        <v>1057</v>
      </c>
      <c r="G199" t="s">
        <v>1456</v>
      </c>
      <c r="H199" t="s">
        <v>90</v>
      </c>
      <c r="I199" t="s">
        <v>90</v>
      </c>
      <c r="J199">
        <v>62.961532179999999</v>
      </c>
      <c r="K199">
        <v>5.9026109599999996</v>
      </c>
      <c r="L199">
        <v>5.6319415299999998</v>
      </c>
      <c r="M199">
        <v>4.6673962199999997</v>
      </c>
      <c r="N199">
        <v>5.5425991000000003</v>
      </c>
      <c r="O199">
        <v>21.957297615678542</v>
      </c>
      <c r="P199">
        <v>247.07649702000001</v>
      </c>
      <c r="Q199">
        <v>19.52977576798191</v>
      </c>
      <c r="R199" t="s">
        <v>30</v>
      </c>
      <c r="S199">
        <v>62.961532179999999</v>
      </c>
      <c r="T199" t="s">
        <v>2819</v>
      </c>
      <c r="U199" t="s">
        <v>1059</v>
      </c>
    </row>
    <row r="200" spans="1:21" x14ac:dyDescent="0.25">
      <c r="A200" t="s">
        <v>2430</v>
      </c>
      <c r="B200" t="s">
        <v>2431</v>
      </c>
      <c r="C200" t="s">
        <v>4109</v>
      </c>
      <c r="D200" t="s">
        <v>512</v>
      </c>
      <c r="E200" t="s">
        <v>4797</v>
      </c>
      <c r="F200" t="s">
        <v>1139</v>
      </c>
      <c r="H200">
        <v>618.11</v>
      </c>
      <c r="I200">
        <v>86035</v>
      </c>
      <c r="J200">
        <v>139.19</v>
      </c>
      <c r="S200">
        <v>139.19</v>
      </c>
      <c r="T200" t="s">
        <v>2819</v>
      </c>
      <c r="U200" t="s">
        <v>1062</v>
      </c>
    </row>
    <row r="201" spans="1:21" x14ac:dyDescent="0.25">
      <c r="A201" t="s">
        <v>1457</v>
      </c>
      <c r="B201" t="s">
        <v>822</v>
      </c>
      <c r="C201" t="s">
        <v>821</v>
      </c>
      <c r="D201" t="s">
        <v>820</v>
      </c>
      <c r="E201" t="s">
        <v>1458</v>
      </c>
      <c r="F201" t="s">
        <v>1459</v>
      </c>
      <c r="G201" t="s">
        <v>1460</v>
      </c>
      <c r="H201" t="s">
        <v>90</v>
      </c>
      <c r="I201" t="s">
        <v>90</v>
      </c>
      <c r="J201">
        <v>88.118576559999994</v>
      </c>
      <c r="K201">
        <v>5.3299029400000002</v>
      </c>
      <c r="L201">
        <v>3.36076899</v>
      </c>
      <c r="M201">
        <v>4.7646235399999997</v>
      </c>
      <c r="N201">
        <v>5.1479707499999998</v>
      </c>
      <c r="O201">
        <v>29.029884064939338</v>
      </c>
      <c r="P201">
        <v>233.61591318999999</v>
      </c>
      <c r="Q201">
        <v>16.150151358299681</v>
      </c>
      <c r="R201" t="s">
        <v>1063</v>
      </c>
      <c r="S201">
        <v>88.118576559999994</v>
      </c>
      <c r="T201" t="s">
        <v>2819</v>
      </c>
      <c r="U201" t="s">
        <v>1059</v>
      </c>
    </row>
    <row r="202" spans="1:21" x14ac:dyDescent="0.25">
      <c r="A202" t="s">
        <v>1461</v>
      </c>
      <c r="B202" t="s">
        <v>1462</v>
      </c>
      <c r="C202" t="s">
        <v>1463</v>
      </c>
      <c r="D202" t="s">
        <v>586</v>
      </c>
      <c r="E202" t="s">
        <v>1056</v>
      </c>
      <c r="F202" t="s">
        <v>1174</v>
      </c>
      <c r="G202" t="s">
        <v>1175</v>
      </c>
      <c r="H202" t="s">
        <v>90</v>
      </c>
      <c r="I202" t="s">
        <v>90</v>
      </c>
      <c r="J202">
        <v>109.07709991999999</v>
      </c>
      <c r="K202">
        <v>4.8406437100000002</v>
      </c>
      <c r="L202">
        <v>5.0983689099999996</v>
      </c>
      <c r="M202">
        <v>4.4762815800000002</v>
      </c>
      <c r="N202">
        <v>4.79150148</v>
      </c>
      <c r="O202">
        <v>6.8546862906274191</v>
      </c>
      <c r="P202">
        <v>179.88367496000001</v>
      </c>
      <c r="Q202">
        <v>11.069277861444281</v>
      </c>
      <c r="R202" t="s">
        <v>1063</v>
      </c>
      <c r="S202">
        <v>109.07709991999999</v>
      </c>
      <c r="T202" t="s">
        <v>2819</v>
      </c>
      <c r="U202" t="s">
        <v>1059</v>
      </c>
    </row>
    <row r="203" spans="1:21" x14ac:dyDescent="0.25">
      <c r="A203" t="s">
        <v>2447</v>
      </c>
      <c r="B203" t="s">
        <v>2448</v>
      </c>
      <c r="C203" t="s">
        <v>4296</v>
      </c>
      <c r="D203" t="s">
        <v>422</v>
      </c>
      <c r="E203" t="s">
        <v>4801</v>
      </c>
      <c r="F203" t="s">
        <v>1198</v>
      </c>
      <c r="G203" t="s">
        <v>1324</v>
      </c>
      <c r="H203">
        <v>2969.72</v>
      </c>
      <c r="I203">
        <v>323603</v>
      </c>
      <c r="J203">
        <v>108.97</v>
      </c>
      <c r="Q203">
        <v>8</v>
      </c>
      <c r="S203">
        <v>108.97</v>
      </c>
      <c r="T203" t="s">
        <v>2819</v>
      </c>
      <c r="U203" t="s">
        <v>1062</v>
      </c>
    </row>
    <row r="204" spans="1:21" x14ac:dyDescent="0.25">
      <c r="A204" t="s">
        <v>5263</v>
      </c>
      <c r="B204" t="s">
        <v>5264</v>
      </c>
      <c r="C204" t="s">
        <v>5265</v>
      </c>
      <c r="D204" t="s">
        <v>586</v>
      </c>
      <c r="E204" t="s">
        <v>1056</v>
      </c>
      <c r="F204" t="s">
        <v>1057</v>
      </c>
      <c r="G204" t="s">
        <v>1280</v>
      </c>
      <c r="H204" t="s">
        <v>90</v>
      </c>
      <c r="I204" t="s">
        <v>90</v>
      </c>
      <c r="J204">
        <v>217.85821207999999</v>
      </c>
      <c r="K204">
        <v>5.8574351399999998</v>
      </c>
      <c r="L204">
        <v>5.9088355999999997</v>
      </c>
      <c r="M204">
        <v>7.1561199599999998</v>
      </c>
      <c r="N204">
        <v>6.6758591599999999</v>
      </c>
      <c r="O204">
        <v>0</v>
      </c>
      <c r="Q204">
        <v>0</v>
      </c>
      <c r="R204" t="s">
        <v>30</v>
      </c>
      <c r="S204">
        <v>217.85821207999999</v>
      </c>
      <c r="T204" t="s">
        <v>2819</v>
      </c>
      <c r="U204" t="s">
        <v>1278</v>
      </c>
    </row>
    <row r="205" spans="1:21" x14ac:dyDescent="0.25">
      <c r="A205" t="s">
        <v>2447</v>
      </c>
      <c r="B205" t="s">
        <v>2454</v>
      </c>
      <c r="C205" t="s">
        <v>3614</v>
      </c>
      <c r="D205" t="s">
        <v>249</v>
      </c>
      <c r="E205" t="s">
        <v>4806</v>
      </c>
      <c r="F205" t="s">
        <v>1198</v>
      </c>
      <c r="G205" t="s">
        <v>1324</v>
      </c>
      <c r="H205">
        <v>2969.72</v>
      </c>
      <c r="I205">
        <v>323603</v>
      </c>
      <c r="J205">
        <v>108.97</v>
      </c>
      <c r="Q205">
        <v>8</v>
      </c>
      <c r="S205">
        <v>108.97</v>
      </c>
      <c r="T205" t="s">
        <v>2819</v>
      </c>
      <c r="U205" t="s">
        <v>1062</v>
      </c>
    </row>
    <row r="206" spans="1:21" x14ac:dyDescent="0.25">
      <c r="A206" t="s">
        <v>1464</v>
      </c>
      <c r="B206" t="s">
        <v>1465</v>
      </c>
      <c r="C206" t="s">
        <v>1466</v>
      </c>
      <c r="D206" t="s">
        <v>586</v>
      </c>
      <c r="E206" t="s">
        <v>1056</v>
      </c>
      <c r="F206" t="s">
        <v>1071</v>
      </c>
      <c r="G206" t="s">
        <v>1364</v>
      </c>
      <c r="H206" t="s">
        <v>90</v>
      </c>
      <c r="I206" t="s">
        <v>90</v>
      </c>
      <c r="J206">
        <v>129.73178263</v>
      </c>
      <c r="K206">
        <v>5.8201421800000004</v>
      </c>
      <c r="L206">
        <v>2.7767203899999999</v>
      </c>
      <c r="M206">
        <v>5.1844617900000003</v>
      </c>
      <c r="N206">
        <v>6.8896337000000001</v>
      </c>
      <c r="O206">
        <v>17.885182114817891</v>
      </c>
      <c r="P206">
        <v>399.62120167</v>
      </c>
      <c r="Q206">
        <v>68.976431023568978</v>
      </c>
      <c r="R206" t="s">
        <v>30</v>
      </c>
      <c r="S206">
        <v>129.73178263</v>
      </c>
      <c r="T206" t="s">
        <v>2819</v>
      </c>
      <c r="U206" t="s">
        <v>1059</v>
      </c>
    </row>
    <row r="207" spans="1:21" x14ac:dyDescent="0.25">
      <c r="A207" t="s">
        <v>2447</v>
      </c>
      <c r="B207" t="s">
        <v>2455</v>
      </c>
      <c r="C207" t="s">
        <v>3616</v>
      </c>
      <c r="D207" t="s">
        <v>249</v>
      </c>
      <c r="E207" t="s">
        <v>4806</v>
      </c>
      <c r="F207" t="s">
        <v>1198</v>
      </c>
      <c r="G207" t="s">
        <v>1324</v>
      </c>
      <c r="H207">
        <v>2969.72</v>
      </c>
      <c r="I207">
        <v>323603</v>
      </c>
      <c r="J207">
        <v>108.97</v>
      </c>
      <c r="Q207">
        <v>8</v>
      </c>
      <c r="S207">
        <v>108.97</v>
      </c>
      <c r="T207" t="s">
        <v>2819</v>
      </c>
      <c r="U207" t="s">
        <v>1062</v>
      </c>
    </row>
    <row r="208" spans="1:21" x14ac:dyDescent="0.25">
      <c r="A208" t="s">
        <v>1467</v>
      </c>
      <c r="B208" t="s">
        <v>682</v>
      </c>
      <c r="C208" t="s">
        <v>681</v>
      </c>
      <c r="D208" t="s">
        <v>586</v>
      </c>
      <c r="E208" t="s">
        <v>1056</v>
      </c>
      <c r="F208" t="s">
        <v>1290</v>
      </c>
      <c r="G208" t="s">
        <v>1216</v>
      </c>
      <c r="H208" t="s">
        <v>90</v>
      </c>
      <c r="I208" t="s">
        <v>90</v>
      </c>
      <c r="J208">
        <v>23.386974599999999</v>
      </c>
      <c r="K208">
        <v>4.4911540399999996</v>
      </c>
      <c r="L208">
        <v>5.2530172500000001</v>
      </c>
      <c r="M208">
        <v>4.5032981300000001</v>
      </c>
      <c r="N208">
        <v>4.2353173999999996</v>
      </c>
      <c r="O208">
        <v>20.604312374705671</v>
      </c>
      <c r="P208">
        <v>84.092395440000004</v>
      </c>
      <c r="Q208">
        <v>0.37764524143999101</v>
      </c>
      <c r="R208" t="s">
        <v>1063</v>
      </c>
      <c r="S208">
        <v>23.386974599999999</v>
      </c>
      <c r="T208" t="s">
        <v>2819</v>
      </c>
      <c r="U208" t="s">
        <v>1059</v>
      </c>
    </row>
    <row r="209" spans="1:21" x14ac:dyDescent="0.25">
      <c r="A209" t="s">
        <v>1468</v>
      </c>
      <c r="B209" t="s">
        <v>1469</v>
      </c>
      <c r="C209" t="s">
        <v>1470</v>
      </c>
      <c r="D209" t="s">
        <v>586</v>
      </c>
      <c r="E209" t="s">
        <v>1056</v>
      </c>
      <c r="F209" t="s">
        <v>1163</v>
      </c>
      <c r="G209" t="s">
        <v>1164</v>
      </c>
      <c r="H209" t="s">
        <v>90</v>
      </c>
      <c r="I209" t="s">
        <v>90</v>
      </c>
      <c r="J209">
        <v>59.644419079999999</v>
      </c>
      <c r="K209">
        <v>7.5385817599999996</v>
      </c>
      <c r="L209">
        <v>6.1302963200000002</v>
      </c>
      <c r="M209">
        <v>5.1420985899999998</v>
      </c>
      <c r="N209">
        <v>6.4280197599999997</v>
      </c>
      <c r="O209">
        <v>37.772886681339948</v>
      </c>
      <c r="P209">
        <v>87.647124759999997</v>
      </c>
      <c r="Q209">
        <v>56.30613108160675</v>
      </c>
      <c r="R209" t="s">
        <v>1073</v>
      </c>
      <c r="S209">
        <v>59.644419079999999</v>
      </c>
      <c r="T209" t="s">
        <v>2819</v>
      </c>
      <c r="U209" t="s">
        <v>1059</v>
      </c>
    </row>
    <row r="210" spans="1:21" x14ac:dyDescent="0.25">
      <c r="A210" t="s">
        <v>2447</v>
      </c>
      <c r="B210" t="s">
        <v>2462</v>
      </c>
      <c r="C210" t="s">
        <v>3617</v>
      </c>
      <c r="D210" t="s">
        <v>249</v>
      </c>
      <c r="E210" t="s">
        <v>4806</v>
      </c>
      <c r="F210" t="s">
        <v>1198</v>
      </c>
      <c r="G210" t="s">
        <v>1324</v>
      </c>
      <c r="H210">
        <v>2969.72</v>
      </c>
      <c r="I210">
        <v>323603</v>
      </c>
      <c r="J210">
        <v>108.97</v>
      </c>
      <c r="Q210">
        <v>8</v>
      </c>
      <c r="S210">
        <v>108.97</v>
      </c>
      <c r="T210" t="s">
        <v>2819</v>
      </c>
      <c r="U210" t="s">
        <v>1062</v>
      </c>
    </row>
    <row r="211" spans="1:21" x14ac:dyDescent="0.25">
      <c r="A211" t="s">
        <v>2447</v>
      </c>
      <c r="B211" t="s">
        <v>2466</v>
      </c>
      <c r="C211" t="s">
        <v>3619</v>
      </c>
      <c r="D211" t="s">
        <v>249</v>
      </c>
      <c r="E211" t="s">
        <v>4806</v>
      </c>
      <c r="F211" t="s">
        <v>1198</v>
      </c>
      <c r="G211" t="s">
        <v>1324</v>
      </c>
      <c r="H211">
        <v>2969.72</v>
      </c>
      <c r="I211">
        <v>323603</v>
      </c>
      <c r="J211">
        <v>108.97</v>
      </c>
      <c r="Q211">
        <v>8</v>
      </c>
      <c r="S211">
        <v>108.97</v>
      </c>
      <c r="T211" t="s">
        <v>2819</v>
      </c>
      <c r="U211" t="s">
        <v>1062</v>
      </c>
    </row>
    <row r="212" spans="1:21" x14ac:dyDescent="0.25">
      <c r="A212" t="s">
        <v>1471</v>
      </c>
      <c r="B212" t="s">
        <v>1472</v>
      </c>
      <c r="C212" t="s">
        <v>1473</v>
      </c>
      <c r="D212" t="s">
        <v>586</v>
      </c>
      <c r="E212" t="s">
        <v>1056</v>
      </c>
      <c r="F212" t="s">
        <v>1163</v>
      </c>
      <c r="G212" t="s">
        <v>1159</v>
      </c>
      <c r="H212" t="s">
        <v>90</v>
      </c>
      <c r="I212" t="s">
        <v>90</v>
      </c>
      <c r="J212">
        <v>0.43640410000000002</v>
      </c>
      <c r="K212">
        <v>8.2158472499999995</v>
      </c>
      <c r="L212">
        <v>8.4508790299999994</v>
      </c>
      <c r="M212">
        <v>5.1907337299999998</v>
      </c>
      <c r="N212">
        <v>6.4548948599999996</v>
      </c>
      <c r="O212">
        <v>43.944886077366618</v>
      </c>
      <c r="P212">
        <v>1.6768769299999999</v>
      </c>
      <c r="Q212">
        <v>84.155297062563477</v>
      </c>
      <c r="R212" t="s">
        <v>1073</v>
      </c>
      <c r="S212">
        <v>0.43640410000000002</v>
      </c>
      <c r="T212" t="s">
        <v>2819</v>
      </c>
      <c r="U212" t="s">
        <v>1059</v>
      </c>
    </row>
    <row r="213" spans="1:21" x14ac:dyDescent="0.25">
      <c r="A213" t="s">
        <v>1471</v>
      </c>
      <c r="B213" t="s">
        <v>1472</v>
      </c>
      <c r="C213" t="s">
        <v>1474</v>
      </c>
      <c r="D213" t="s">
        <v>586</v>
      </c>
      <c r="E213" t="s">
        <v>1056</v>
      </c>
      <c r="F213" t="s">
        <v>1163</v>
      </c>
      <c r="G213" t="s">
        <v>1159</v>
      </c>
      <c r="H213" t="s">
        <v>90</v>
      </c>
      <c r="I213" t="s">
        <v>90</v>
      </c>
      <c r="J213">
        <v>0.43640410000000002</v>
      </c>
      <c r="K213">
        <v>8.2158472499999995</v>
      </c>
      <c r="L213">
        <v>8.4508790299999994</v>
      </c>
      <c r="M213">
        <v>5.1907337299999998</v>
      </c>
      <c r="N213">
        <v>6.4548948599999996</v>
      </c>
      <c r="O213">
        <v>43.944886077366618</v>
      </c>
      <c r="P213">
        <v>1.6768769299999999</v>
      </c>
      <c r="Q213">
        <v>84.155297062563477</v>
      </c>
      <c r="R213" t="s">
        <v>1073</v>
      </c>
      <c r="S213">
        <v>0.43640410000000002</v>
      </c>
      <c r="T213" t="s">
        <v>2819</v>
      </c>
      <c r="U213" t="s">
        <v>1059</v>
      </c>
    </row>
    <row r="214" spans="1:21" x14ac:dyDescent="0.25">
      <c r="A214" t="s">
        <v>2447</v>
      </c>
      <c r="B214" t="s">
        <v>2471</v>
      </c>
      <c r="C214" t="s">
        <v>3620</v>
      </c>
      <c r="D214" t="s">
        <v>249</v>
      </c>
      <c r="E214" t="s">
        <v>4806</v>
      </c>
      <c r="F214" t="s">
        <v>1198</v>
      </c>
      <c r="G214" t="s">
        <v>1324</v>
      </c>
      <c r="H214">
        <v>2969.72</v>
      </c>
      <c r="I214">
        <v>323603</v>
      </c>
      <c r="J214">
        <v>108.97</v>
      </c>
      <c r="Q214">
        <v>8</v>
      </c>
      <c r="S214">
        <v>108.97</v>
      </c>
      <c r="T214" t="s">
        <v>2819</v>
      </c>
      <c r="U214" t="s">
        <v>1062</v>
      </c>
    </row>
    <row r="215" spans="1:21" x14ac:dyDescent="0.25">
      <c r="A215" t="s">
        <v>2447</v>
      </c>
      <c r="B215" t="s">
        <v>2473</v>
      </c>
      <c r="C215" t="s">
        <v>3621</v>
      </c>
      <c r="D215" t="s">
        <v>249</v>
      </c>
      <c r="E215" t="s">
        <v>4806</v>
      </c>
      <c r="F215" t="s">
        <v>1198</v>
      </c>
      <c r="G215" t="s">
        <v>1324</v>
      </c>
      <c r="H215">
        <v>2969.72</v>
      </c>
      <c r="I215">
        <v>323603</v>
      </c>
      <c r="J215">
        <v>108.97</v>
      </c>
      <c r="Q215">
        <v>8</v>
      </c>
      <c r="S215">
        <v>108.97</v>
      </c>
      <c r="T215" t="s">
        <v>2819</v>
      </c>
      <c r="U215" t="s">
        <v>1062</v>
      </c>
    </row>
    <row r="216" spans="1:21" x14ac:dyDescent="0.25">
      <c r="A216" t="s">
        <v>1475</v>
      </c>
      <c r="B216" t="s">
        <v>1476</v>
      </c>
      <c r="C216" t="s">
        <v>1477</v>
      </c>
      <c r="D216" t="s">
        <v>586</v>
      </c>
      <c r="E216" t="s">
        <v>1056</v>
      </c>
      <c r="F216" t="s">
        <v>1071</v>
      </c>
      <c r="G216" t="s">
        <v>1189</v>
      </c>
      <c r="H216" t="s">
        <v>90</v>
      </c>
      <c r="I216" t="s">
        <v>90</v>
      </c>
      <c r="J216">
        <v>136.92276124</v>
      </c>
      <c r="K216">
        <v>5.77666243</v>
      </c>
      <c r="L216">
        <v>3.3052270300000002</v>
      </c>
      <c r="M216">
        <v>4.4421331999999998</v>
      </c>
      <c r="N216">
        <v>6.1656634600000002</v>
      </c>
      <c r="O216">
        <v>45.097568754005181</v>
      </c>
      <c r="P216">
        <v>288.35048398999999</v>
      </c>
      <c r="Q216">
        <v>44.172917485196493</v>
      </c>
      <c r="R216" t="s">
        <v>30</v>
      </c>
      <c r="S216">
        <v>136.92276124</v>
      </c>
      <c r="T216" t="s">
        <v>2819</v>
      </c>
      <c r="U216" t="s">
        <v>1059</v>
      </c>
    </row>
    <row r="217" spans="1:21" x14ac:dyDescent="0.25">
      <c r="A217" t="s">
        <v>1478</v>
      </c>
      <c r="B217" t="s">
        <v>1479</v>
      </c>
      <c r="C217" t="s">
        <v>1480</v>
      </c>
      <c r="D217" t="s">
        <v>586</v>
      </c>
      <c r="E217" t="s">
        <v>1056</v>
      </c>
      <c r="F217" t="s">
        <v>1481</v>
      </c>
      <c r="G217" t="s">
        <v>1482</v>
      </c>
      <c r="H217" t="s">
        <v>90</v>
      </c>
      <c r="I217" t="s">
        <v>90</v>
      </c>
      <c r="J217">
        <v>341.54808193000002</v>
      </c>
      <c r="K217">
        <v>5.9739241200000004</v>
      </c>
      <c r="L217">
        <v>5.7269463800000002</v>
      </c>
      <c r="M217">
        <v>4.5122580000000001</v>
      </c>
      <c r="N217">
        <v>5.4757430999999999</v>
      </c>
      <c r="O217">
        <v>1.952215959042251</v>
      </c>
      <c r="P217">
        <v>151.31870631000001</v>
      </c>
      <c r="Q217">
        <v>24.96002084485303</v>
      </c>
      <c r="R217" t="s">
        <v>30</v>
      </c>
      <c r="S217">
        <v>341.54808193000002</v>
      </c>
      <c r="T217" t="s">
        <v>2819</v>
      </c>
      <c r="U217" t="s">
        <v>1059</v>
      </c>
    </row>
    <row r="218" spans="1:21" x14ac:dyDescent="0.25">
      <c r="A218" t="s">
        <v>2447</v>
      </c>
      <c r="B218" t="s">
        <v>5629</v>
      </c>
      <c r="C218" t="s">
        <v>5630</v>
      </c>
      <c r="D218" t="s">
        <v>249</v>
      </c>
      <c r="E218" t="s">
        <v>4806</v>
      </c>
      <c r="F218" t="s">
        <v>1198</v>
      </c>
      <c r="G218" t="s">
        <v>1324</v>
      </c>
      <c r="H218">
        <v>2969.72</v>
      </c>
      <c r="I218">
        <v>323603</v>
      </c>
      <c r="J218">
        <v>108.97</v>
      </c>
      <c r="Q218">
        <v>8</v>
      </c>
      <c r="S218">
        <v>108.97</v>
      </c>
      <c r="T218" t="s">
        <v>2819</v>
      </c>
      <c r="U218" t="s">
        <v>1062</v>
      </c>
    </row>
    <row r="219" spans="1:21" x14ac:dyDescent="0.25">
      <c r="A219" t="s">
        <v>2447</v>
      </c>
      <c r="B219" t="s">
        <v>5748</v>
      </c>
      <c r="C219" t="s">
        <v>5749</v>
      </c>
      <c r="D219" t="s">
        <v>249</v>
      </c>
      <c r="E219" t="s">
        <v>4806</v>
      </c>
      <c r="F219" t="s">
        <v>1198</v>
      </c>
      <c r="G219" t="s">
        <v>1324</v>
      </c>
      <c r="H219">
        <v>2969.72</v>
      </c>
      <c r="I219">
        <v>323603</v>
      </c>
      <c r="J219">
        <v>108.97</v>
      </c>
      <c r="Q219">
        <v>8</v>
      </c>
      <c r="S219">
        <v>108.97</v>
      </c>
      <c r="T219" t="s">
        <v>2819</v>
      </c>
      <c r="U219" t="s">
        <v>1062</v>
      </c>
    </row>
    <row r="220" spans="1:21" x14ac:dyDescent="0.25">
      <c r="A220" t="s">
        <v>1483</v>
      </c>
      <c r="B220" t="s">
        <v>936</v>
      </c>
      <c r="C220" t="s">
        <v>935</v>
      </c>
      <c r="D220" t="s">
        <v>586</v>
      </c>
      <c r="E220" t="s">
        <v>1056</v>
      </c>
      <c r="F220" t="s">
        <v>1174</v>
      </c>
      <c r="G220" t="s">
        <v>1175</v>
      </c>
      <c r="H220" t="s">
        <v>90</v>
      </c>
      <c r="I220" t="s">
        <v>90</v>
      </c>
      <c r="J220">
        <v>136.39347074</v>
      </c>
      <c r="K220">
        <v>4.98789426</v>
      </c>
      <c r="L220">
        <v>5.29563644</v>
      </c>
      <c r="M220">
        <v>4.7323883599999998</v>
      </c>
      <c r="N220">
        <v>4.6167458100000003</v>
      </c>
      <c r="O220">
        <v>3.6598348623681112</v>
      </c>
      <c r="P220">
        <v>191.36945577</v>
      </c>
      <c r="Q220">
        <v>8.4032037038252927</v>
      </c>
      <c r="R220" t="s">
        <v>1063</v>
      </c>
      <c r="S220">
        <v>136.39347074</v>
      </c>
      <c r="T220" t="s">
        <v>2819</v>
      </c>
      <c r="U220" t="s">
        <v>1059</v>
      </c>
    </row>
    <row r="221" spans="1:21" x14ac:dyDescent="0.25">
      <c r="A221" t="s">
        <v>1483</v>
      </c>
      <c r="B221" t="s">
        <v>936</v>
      </c>
      <c r="C221" t="s">
        <v>1484</v>
      </c>
      <c r="D221" t="s">
        <v>586</v>
      </c>
      <c r="E221" t="s">
        <v>1056</v>
      </c>
      <c r="F221" t="s">
        <v>1174</v>
      </c>
      <c r="G221" t="s">
        <v>1175</v>
      </c>
      <c r="H221" t="s">
        <v>90</v>
      </c>
      <c r="I221" t="s">
        <v>90</v>
      </c>
      <c r="J221">
        <v>136.39347074</v>
      </c>
      <c r="K221">
        <v>4.98789426</v>
      </c>
      <c r="L221">
        <v>5.29563644</v>
      </c>
      <c r="M221">
        <v>4.7323883599999998</v>
      </c>
      <c r="N221">
        <v>4.6167458100000003</v>
      </c>
      <c r="O221">
        <v>3.6598348623681112</v>
      </c>
      <c r="P221">
        <v>191.36945577</v>
      </c>
      <c r="Q221">
        <v>8.4032037038252927</v>
      </c>
      <c r="R221" t="s">
        <v>1063</v>
      </c>
      <c r="S221">
        <v>136.39347074</v>
      </c>
      <c r="T221" t="s">
        <v>2819</v>
      </c>
      <c r="U221" t="s">
        <v>1059</v>
      </c>
    </row>
    <row r="222" spans="1:21" x14ac:dyDescent="0.25">
      <c r="A222" t="s">
        <v>2583</v>
      </c>
      <c r="B222" t="s">
        <v>847</v>
      </c>
      <c r="C222" t="s">
        <v>3078</v>
      </c>
      <c r="D222" t="s">
        <v>191</v>
      </c>
      <c r="E222" t="s">
        <v>4804</v>
      </c>
      <c r="F222" t="s">
        <v>1384</v>
      </c>
      <c r="G222" t="s">
        <v>1399</v>
      </c>
      <c r="H222">
        <v>16869.57</v>
      </c>
      <c r="I222">
        <v>311030</v>
      </c>
      <c r="J222">
        <v>18.440000000000001</v>
      </c>
      <c r="K222">
        <v>6.3</v>
      </c>
      <c r="L222">
        <v>4.9000000000000004</v>
      </c>
      <c r="M222">
        <v>5.6</v>
      </c>
      <c r="N222">
        <v>5.5</v>
      </c>
      <c r="O222">
        <v>0</v>
      </c>
      <c r="Q222">
        <v>52</v>
      </c>
      <c r="R222" t="s">
        <v>30</v>
      </c>
      <c r="S222">
        <v>18.440000000000001</v>
      </c>
      <c r="T222" t="s">
        <v>2819</v>
      </c>
      <c r="U222" t="s">
        <v>1062</v>
      </c>
    </row>
    <row r="223" spans="1:21" x14ac:dyDescent="0.25">
      <c r="A223" t="s">
        <v>1485</v>
      </c>
      <c r="B223" t="s">
        <v>1486</v>
      </c>
      <c r="C223" t="s">
        <v>1487</v>
      </c>
      <c r="D223" t="s">
        <v>586</v>
      </c>
      <c r="E223" t="s">
        <v>1056</v>
      </c>
      <c r="F223" t="s">
        <v>1488</v>
      </c>
      <c r="G223" t="s">
        <v>1489</v>
      </c>
      <c r="H223" t="s">
        <v>90</v>
      </c>
      <c r="I223" t="s">
        <v>90</v>
      </c>
      <c r="J223">
        <v>39.093716469999997</v>
      </c>
      <c r="K223">
        <v>7.0721835100000003</v>
      </c>
      <c r="L223">
        <v>7.1914534999999997</v>
      </c>
      <c r="M223">
        <v>4.6791106100000004</v>
      </c>
      <c r="N223">
        <v>6.8933786399999999</v>
      </c>
      <c r="O223">
        <v>1.4862002121429341</v>
      </c>
      <c r="P223">
        <v>60.760896969999997</v>
      </c>
      <c r="Q223">
        <v>73.270590211233184</v>
      </c>
      <c r="R223" t="s">
        <v>30</v>
      </c>
      <c r="S223">
        <v>39.093716469999997</v>
      </c>
      <c r="T223" t="s">
        <v>2819</v>
      </c>
      <c r="U223" t="s">
        <v>1059</v>
      </c>
    </row>
    <row r="224" spans="1:21" x14ac:dyDescent="0.25">
      <c r="A224" t="s">
        <v>2583</v>
      </c>
      <c r="B224" t="s">
        <v>2591</v>
      </c>
      <c r="C224" t="s">
        <v>3081</v>
      </c>
      <c r="D224" t="s">
        <v>191</v>
      </c>
      <c r="E224" t="s">
        <v>4804</v>
      </c>
      <c r="F224" t="s">
        <v>1384</v>
      </c>
      <c r="G224" t="s">
        <v>1399</v>
      </c>
      <c r="H224">
        <v>16869.57</v>
      </c>
      <c r="I224">
        <v>311030</v>
      </c>
      <c r="J224">
        <v>18.440000000000001</v>
      </c>
      <c r="K224">
        <v>6.3</v>
      </c>
      <c r="L224">
        <v>4.9000000000000004</v>
      </c>
      <c r="M224">
        <v>5.6</v>
      </c>
      <c r="N224">
        <v>5.5</v>
      </c>
      <c r="O224">
        <v>0</v>
      </c>
      <c r="Q224">
        <v>52</v>
      </c>
      <c r="R224" t="s">
        <v>30</v>
      </c>
      <c r="S224">
        <v>18.440000000000001</v>
      </c>
      <c r="T224" t="s">
        <v>2819</v>
      </c>
      <c r="U224" t="s">
        <v>1062</v>
      </c>
    </row>
    <row r="225" spans="1:21" x14ac:dyDescent="0.25">
      <c r="A225" t="s">
        <v>1493</v>
      </c>
      <c r="B225" t="s">
        <v>724</v>
      </c>
      <c r="C225" t="s">
        <v>723</v>
      </c>
      <c r="D225" t="s">
        <v>586</v>
      </c>
      <c r="E225" t="s">
        <v>1056</v>
      </c>
      <c r="F225" t="s">
        <v>1136</v>
      </c>
      <c r="G225" t="s">
        <v>1494</v>
      </c>
      <c r="H225" t="s">
        <v>90</v>
      </c>
      <c r="I225" t="s">
        <v>90</v>
      </c>
      <c r="J225">
        <v>122.7666241</v>
      </c>
      <c r="K225">
        <v>4.8135923700000003</v>
      </c>
      <c r="L225">
        <v>5.4639753600000001</v>
      </c>
      <c r="M225">
        <v>6.1345466399999999</v>
      </c>
      <c r="N225">
        <v>5.7945628300000003</v>
      </c>
      <c r="O225">
        <v>1.657652450352999</v>
      </c>
      <c r="P225">
        <v>299.65301814999998</v>
      </c>
      <c r="Q225">
        <v>0</v>
      </c>
      <c r="R225" t="s">
        <v>1063</v>
      </c>
      <c r="S225">
        <v>122.7666241</v>
      </c>
      <c r="T225" t="s">
        <v>2819</v>
      </c>
      <c r="U225" t="s">
        <v>1059</v>
      </c>
    </row>
    <row r="226" spans="1:21" x14ac:dyDescent="0.25">
      <c r="A226" t="s">
        <v>2601</v>
      </c>
      <c r="B226" t="s">
        <v>2602</v>
      </c>
      <c r="C226" t="s">
        <v>4278</v>
      </c>
      <c r="D226" t="s">
        <v>422</v>
      </c>
      <c r="E226" t="s">
        <v>4801</v>
      </c>
      <c r="F226" t="s">
        <v>1198</v>
      </c>
      <c r="G226" t="s">
        <v>1119</v>
      </c>
      <c r="H226">
        <v>7497.37</v>
      </c>
      <c r="I226">
        <v>3057.65</v>
      </c>
      <c r="J226">
        <v>0.41</v>
      </c>
      <c r="K226">
        <v>4.3</v>
      </c>
      <c r="L226">
        <v>1.3</v>
      </c>
      <c r="M226">
        <v>4.7</v>
      </c>
      <c r="N226">
        <v>4.4000000000000004</v>
      </c>
      <c r="O226">
        <v>0</v>
      </c>
      <c r="Q226">
        <v>17</v>
      </c>
      <c r="R226" t="s">
        <v>1063</v>
      </c>
      <c r="S226">
        <v>0.41</v>
      </c>
      <c r="T226" t="s">
        <v>2819</v>
      </c>
      <c r="U226" t="s">
        <v>1062</v>
      </c>
    </row>
    <row r="227" spans="1:21" x14ac:dyDescent="0.25">
      <c r="A227" t="s">
        <v>1495</v>
      </c>
      <c r="B227" t="s">
        <v>726</v>
      </c>
      <c r="C227" t="s">
        <v>725</v>
      </c>
      <c r="D227" t="s">
        <v>586</v>
      </c>
      <c r="E227" t="s">
        <v>1056</v>
      </c>
      <c r="F227" t="s">
        <v>1057</v>
      </c>
      <c r="G227" t="s">
        <v>1058</v>
      </c>
      <c r="H227" t="s">
        <v>90</v>
      </c>
      <c r="I227" t="s">
        <v>90</v>
      </c>
      <c r="J227">
        <v>24.76886798</v>
      </c>
      <c r="K227">
        <v>6.3942343900000003</v>
      </c>
      <c r="L227">
        <v>6.0857444699999999</v>
      </c>
      <c r="M227">
        <v>4.8961779500000002</v>
      </c>
      <c r="N227">
        <v>5.32816943</v>
      </c>
      <c r="O227">
        <v>57.386514773029553</v>
      </c>
      <c r="P227">
        <v>92.404722960000001</v>
      </c>
      <c r="Q227">
        <v>20.254540509081011</v>
      </c>
      <c r="R227" t="s">
        <v>30</v>
      </c>
      <c r="S227">
        <v>24.76886798</v>
      </c>
      <c r="T227" t="s">
        <v>2819</v>
      </c>
      <c r="U227" t="s">
        <v>1059</v>
      </c>
    </row>
    <row r="228" spans="1:21" x14ac:dyDescent="0.25">
      <c r="A228" t="s">
        <v>1498</v>
      </c>
      <c r="B228" t="s">
        <v>1499</v>
      </c>
      <c r="C228" t="s">
        <v>1500</v>
      </c>
      <c r="D228" t="s">
        <v>586</v>
      </c>
      <c r="E228" t="s">
        <v>1056</v>
      </c>
      <c r="F228" t="s">
        <v>1501</v>
      </c>
      <c r="G228" t="s">
        <v>1502</v>
      </c>
      <c r="H228" t="s">
        <v>90</v>
      </c>
      <c r="I228" t="s">
        <v>90</v>
      </c>
      <c r="J228">
        <v>64.834544469999997</v>
      </c>
      <c r="K228">
        <v>6.2858718900000001</v>
      </c>
      <c r="L228">
        <v>5.4742192599999999</v>
      </c>
      <c r="M228">
        <v>4.6370712899999997</v>
      </c>
      <c r="N228">
        <v>5.3160915900000001</v>
      </c>
      <c r="O228">
        <v>18.882000000000001</v>
      </c>
      <c r="P228">
        <v>277.22895804000001</v>
      </c>
      <c r="Q228">
        <v>25.987400000000001</v>
      </c>
      <c r="R228" t="s">
        <v>30</v>
      </c>
      <c r="S228">
        <v>64.834544469999997</v>
      </c>
      <c r="T228" t="s">
        <v>2819</v>
      </c>
      <c r="U228" t="s">
        <v>1059</v>
      </c>
    </row>
    <row r="229" spans="1:21" x14ac:dyDescent="0.25">
      <c r="A229" t="s">
        <v>1503</v>
      </c>
      <c r="B229" t="s">
        <v>1504</v>
      </c>
      <c r="C229" t="s">
        <v>1505</v>
      </c>
      <c r="D229" t="s">
        <v>586</v>
      </c>
      <c r="E229" t="s">
        <v>1056</v>
      </c>
      <c r="F229" t="s">
        <v>1375</v>
      </c>
      <c r="G229" t="s">
        <v>1376</v>
      </c>
      <c r="H229" t="s">
        <v>90</v>
      </c>
      <c r="I229" t="s">
        <v>90</v>
      </c>
      <c r="J229">
        <v>27.852460919999999</v>
      </c>
      <c r="K229">
        <v>7.5912702100000002</v>
      </c>
      <c r="L229">
        <v>5.5837302600000003</v>
      </c>
      <c r="M229">
        <v>5.6203853600000002</v>
      </c>
      <c r="N229">
        <v>6.3315699099999998</v>
      </c>
      <c r="O229">
        <v>33.277407937810963</v>
      </c>
      <c r="P229">
        <v>48.881684759999999</v>
      </c>
      <c r="Q229">
        <v>35.810029420752713</v>
      </c>
      <c r="R229" t="s">
        <v>1073</v>
      </c>
      <c r="S229">
        <v>27.852460919999999</v>
      </c>
      <c r="T229" t="s">
        <v>2819</v>
      </c>
      <c r="U229" t="s">
        <v>1059</v>
      </c>
    </row>
    <row r="230" spans="1:21" x14ac:dyDescent="0.25">
      <c r="A230" t="s">
        <v>1506</v>
      </c>
      <c r="B230" t="s">
        <v>1507</v>
      </c>
      <c r="C230" t="s">
        <v>1508</v>
      </c>
      <c r="D230" t="s">
        <v>586</v>
      </c>
      <c r="E230" t="s">
        <v>1056</v>
      </c>
      <c r="F230" t="s">
        <v>1509</v>
      </c>
      <c r="G230" t="s">
        <v>1510</v>
      </c>
      <c r="H230" t="s">
        <v>90</v>
      </c>
      <c r="I230" t="s">
        <v>90</v>
      </c>
      <c r="J230">
        <v>14.956742159999999</v>
      </c>
      <c r="K230">
        <v>6.6305817999999999</v>
      </c>
      <c r="L230">
        <v>6.0081975999999999</v>
      </c>
      <c r="M230">
        <v>5.3907202400000003</v>
      </c>
      <c r="N230">
        <v>5.3199771499999997</v>
      </c>
      <c r="O230">
        <v>33.300297521715898</v>
      </c>
      <c r="P230">
        <v>52.796722199999998</v>
      </c>
      <c r="Q230">
        <v>20.570176837974302</v>
      </c>
      <c r="R230" t="s">
        <v>30</v>
      </c>
      <c r="S230">
        <v>14.956742159999999</v>
      </c>
      <c r="T230" t="s">
        <v>2819</v>
      </c>
      <c r="U230" t="s">
        <v>1059</v>
      </c>
    </row>
    <row r="231" spans="1:21" x14ac:dyDescent="0.25">
      <c r="A231" t="s">
        <v>2622</v>
      </c>
      <c r="B231" t="s">
        <v>2623</v>
      </c>
      <c r="C231" t="s">
        <v>3053</v>
      </c>
      <c r="D231" t="s">
        <v>202</v>
      </c>
      <c r="E231" t="s">
        <v>4800</v>
      </c>
      <c r="F231" t="s">
        <v>1296</v>
      </c>
      <c r="G231" t="s">
        <v>1572</v>
      </c>
      <c r="H231">
        <v>7615.16</v>
      </c>
      <c r="I231">
        <v>8511</v>
      </c>
      <c r="J231">
        <v>1.1200000000000001</v>
      </c>
      <c r="K231">
        <v>4.4000000000000004</v>
      </c>
      <c r="L231">
        <v>10</v>
      </c>
      <c r="M231">
        <v>5.5</v>
      </c>
      <c r="N231">
        <v>4.0999999999999996</v>
      </c>
      <c r="O231">
        <v>0</v>
      </c>
      <c r="Q231">
        <v>14</v>
      </c>
      <c r="R231" t="s">
        <v>1063</v>
      </c>
      <c r="S231">
        <v>1.1200000000000001</v>
      </c>
      <c r="T231" t="s">
        <v>2819</v>
      </c>
      <c r="U231" t="s">
        <v>1062</v>
      </c>
    </row>
    <row r="232" spans="1:21" x14ac:dyDescent="0.25">
      <c r="A232" t="s">
        <v>1511</v>
      </c>
      <c r="B232" t="s">
        <v>1512</v>
      </c>
      <c r="C232" t="s">
        <v>1513</v>
      </c>
      <c r="D232" t="s">
        <v>586</v>
      </c>
      <c r="E232" t="s">
        <v>1056</v>
      </c>
      <c r="F232" t="s">
        <v>1265</v>
      </c>
      <c r="G232" t="s">
        <v>1266</v>
      </c>
      <c r="H232" t="s">
        <v>90</v>
      </c>
      <c r="I232" t="s">
        <v>90</v>
      </c>
      <c r="J232">
        <v>14.08701718</v>
      </c>
      <c r="K232">
        <v>6.19558695</v>
      </c>
      <c r="L232">
        <v>5.6833611399999997</v>
      </c>
      <c r="M232">
        <v>5.4367042899999998</v>
      </c>
      <c r="N232">
        <v>5.0176775200000003</v>
      </c>
      <c r="O232">
        <v>18.292699951140229</v>
      </c>
      <c r="P232">
        <v>60.62909303</v>
      </c>
      <c r="Q232">
        <v>10.674264859852229</v>
      </c>
      <c r="R232" t="s">
        <v>30</v>
      </c>
      <c r="S232">
        <v>14.08701718</v>
      </c>
      <c r="T232" t="s">
        <v>2819</v>
      </c>
      <c r="U232" t="s">
        <v>1059</v>
      </c>
    </row>
    <row r="233" spans="1:21" x14ac:dyDescent="0.25">
      <c r="A233" t="s">
        <v>2624</v>
      </c>
      <c r="B233" t="s">
        <v>489</v>
      </c>
      <c r="C233" t="s">
        <v>488</v>
      </c>
      <c r="D233" t="s">
        <v>422</v>
      </c>
      <c r="E233" t="s">
        <v>4801</v>
      </c>
      <c r="F233" t="s">
        <v>1198</v>
      </c>
      <c r="G233" t="s">
        <v>1147</v>
      </c>
      <c r="H233">
        <v>1136.46</v>
      </c>
      <c r="I233">
        <v>183516</v>
      </c>
      <c r="J233">
        <v>161.47999999999999</v>
      </c>
      <c r="K233">
        <v>4.5</v>
      </c>
      <c r="L233">
        <v>2.7</v>
      </c>
      <c r="M233">
        <v>4.7</v>
      </c>
      <c r="N233">
        <v>4.5</v>
      </c>
      <c r="O233">
        <v>1</v>
      </c>
      <c r="Q233">
        <v>41</v>
      </c>
      <c r="R233" t="s">
        <v>1063</v>
      </c>
      <c r="S233">
        <v>161.47999999999999</v>
      </c>
      <c r="T233" t="s">
        <v>2819</v>
      </c>
      <c r="U233" t="s">
        <v>1062</v>
      </c>
    </row>
    <row r="234" spans="1:21" x14ac:dyDescent="0.25">
      <c r="A234" t="s">
        <v>1515</v>
      </c>
      <c r="B234" t="s">
        <v>1516</v>
      </c>
      <c r="C234" t="s">
        <v>1517</v>
      </c>
      <c r="D234" t="s">
        <v>586</v>
      </c>
      <c r="E234" t="s">
        <v>1056</v>
      </c>
      <c r="F234" t="s">
        <v>1290</v>
      </c>
      <c r="G234" t="s">
        <v>1291</v>
      </c>
      <c r="H234" t="s">
        <v>90</v>
      </c>
      <c r="I234" t="s">
        <v>90</v>
      </c>
      <c r="J234">
        <v>52.514813840000002</v>
      </c>
      <c r="K234">
        <v>5.4058061999999998</v>
      </c>
      <c r="L234">
        <v>5.6518321599999997</v>
      </c>
      <c r="M234">
        <v>5.01888019</v>
      </c>
      <c r="N234">
        <v>4.5942051299999997</v>
      </c>
      <c r="O234">
        <v>24.081317668509651</v>
      </c>
      <c r="P234">
        <v>67.424784059999993</v>
      </c>
      <c r="Q234">
        <v>8.1470611461924687</v>
      </c>
      <c r="R234" t="s">
        <v>1063</v>
      </c>
      <c r="S234">
        <v>52.514813840000002</v>
      </c>
      <c r="T234" t="s">
        <v>2819</v>
      </c>
      <c r="U234" t="s">
        <v>1059</v>
      </c>
    </row>
    <row r="235" spans="1:21" x14ac:dyDescent="0.25">
      <c r="A235" t="s">
        <v>2624</v>
      </c>
      <c r="B235" t="s">
        <v>486</v>
      </c>
      <c r="C235" t="s">
        <v>485</v>
      </c>
      <c r="D235" t="s">
        <v>422</v>
      </c>
      <c r="E235" t="s">
        <v>4801</v>
      </c>
      <c r="F235" t="s">
        <v>1198</v>
      </c>
      <c r="G235" t="s">
        <v>1147</v>
      </c>
      <c r="H235">
        <v>1136.46</v>
      </c>
      <c r="I235">
        <v>183516</v>
      </c>
      <c r="J235">
        <v>161.47999999999999</v>
      </c>
      <c r="K235">
        <v>4.5</v>
      </c>
      <c r="L235">
        <v>2.7</v>
      </c>
      <c r="M235">
        <v>4.7</v>
      </c>
      <c r="N235">
        <v>4.5</v>
      </c>
      <c r="O235">
        <v>1</v>
      </c>
      <c r="Q235">
        <v>41</v>
      </c>
      <c r="R235" t="s">
        <v>1063</v>
      </c>
      <c r="S235">
        <v>161.47999999999999</v>
      </c>
      <c r="T235" t="s">
        <v>2819</v>
      </c>
      <c r="U235" t="s">
        <v>1062</v>
      </c>
    </row>
    <row r="236" spans="1:21" x14ac:dyDescent="0.25">
      <c r="A236" t="s">
        <v>1518</v>
      </c>
      <c r="B236" t="s">
        <v>1519</v>
      </c>
      <c r="C236" t="s">
        <v>1520</v>
      </c>
      <c r="D236" t="s">
        <v>586</v>
      </c>
      <c r="E236" t="s">
        <v>1056</v>
      </c>
      <c r="F236" t="s">
        <v>1057</v>
      </c>
      <c r="G236" t="s">
        <v>1323</v>
      </c>
      <c r="H236" t="s">
        <v>90</v>
      </c>
      <c r="I236" t="s">
        <v>90</v>
      </c>
      <c r="J236">
        <v>217.85821207999999</v>
      </c>
      <c r="K236">
        <v>5.8574351399999998</v>
      </c>
      <c r="L236">
        <v>5.9088355999999997</v>
      </c>
      <c r="M236">
        <v>7.1561199599999998</v>
      </c>
      <c r="N236">
        <v>6.6758591599999999</v>
      </c>
      <c r="O236">
        <v>0</v>
      </c>
      <c r="Q236">
        <v>0</v>
      </c>
      <c r="R236" t="s">
        <v>30</v>
      </c>
      <c r="S236">
        <v>217.85821207999999</v>
      </c>
      <c r="T236" t="s">
        <v>2819</v>
      </c>
      <c r="U236" t="s">
        <v>1278</v>
      </c>
    </row>
    <row r="237" spans="1:21" x14ac:dyDescent="0.25">
      <c r="A237" t="s">
        <v>2624</v>
      </c>
      <c r="B237" t="s">
        <v>345</v>
      </c>
      <c r="C237" t="s">
        <v>344</v>
      </c>
      <c r="D237" t="s">
        <v>249</v>
      </c>
      <c r="E237" t="s">
        <v>4806</v>
      </c>
      <c r="F237" t="s">
        <v>1198</v>
      </c>
      <c r="G237" t="s">
        <v>1147</v>
      </c>
      <c r="H237">
        <v>1136.46</v>
      </c>
      <c r="I237">
        <v>183516</v>
      </c>
      <c r="J237">
        <v>161.47999999999999</v>
      </c>
      <c r="K237">
        <v>4.5</v>
      </c>
      <c r="L237">
        <v>2.7</v>
      </c>
      <c r="M237">
        <v>4.7</v>
      </c>
      <c r="N237">
        <v>4.5</v>
      </c>
      <c r="O237">
        <v>1</v>
      </c>
      <c r="Q237">
        <v>41</v>
      </c>
      <c r="R237" t="s">
        <v>1063</v>
      </c>
      <c r="S237">
        <v>161.47999999999999</v>
      </c>
      <c r="T237" t="s">
        <v>2819</v>
      </c>
      <c r="U237" t="s">
        <v>1062</v>
      </c>
    </row>
    <row r="238" spans="1:21" x14ac:dyDescent="0.25">
      <c r="A238" t="s">
        <v>2624</v>
      </c>
      <c r="B238" t="s">
        <v>345</v>
      </c>
      <c r="C238" t="s">
        <v>3319</v>
      </c>
      <c r="D238" t="s">
        <v>249</v>
      </c>
      <c r="E238" t="s">
        <v>4806</v>
      </c>
      <c r="F238" t="s">
        <v>1198</v>
      </c>
      <c r="G238" t="s">
        <v>1147</v>
      </c>
      <c r="H238">
        <v>1136.46</v>
      </c>
      <c r="I238">
        <v>183516</v>
      </c>
      <c r="J238">
        <v>161.47999999999999</v>
      </c>
      <c r="K238">
        <v>4.5</v>
      </c>
      <c r="L238">
        <v>2.7</v>
      </c>
      <c r="M238">
        <v>4.7</v>
      </c>
      <c r="N238">
        <v>4.5</v>
      </c>
      <c r="O238">
        <v>1</v>
      </c>
      <c r="Q238">
        <v>41</v>
      </c>
      <c r="R238" t="s">
        <v>1063</v>
      </c>
      <c r="S238">
        <v>161.47999999999999</v>
      </c>
      <c r="T238" t="s">
        <v>2819</v>
      </c>
      <c r="U238" t="s">
        <v>1062</v>
      </c>
    </row>
    <row r="239" spans="1:21" x14ac:dyDescent="0.25">
      <c r="A239" t="s">
        <v>1521</v>
      </c>
      <c r="B239" t="s">
        <v>611</v>
      </c>
      <c r="C239" t="s">
        <v>610</v>
      </c>
      <c r="D239" t="s">
        <v>586</v>
      </c>
      <c r="E239" t="s">
        <v>1056</v>
      </c>
      <c r="F239" t="s">
        <v>1290</v>
      </c>
      <c r="G239" t="s">
        <v>1291</v>
      </c>
      <c r="H239" t="s">
        <v>90</v>
      </c>
      <c r="I239" t="s">
        <v>90</v>
      </c>
      <c r="J239">
        <v>110.39004758999999</v>
      </c>
      <c r="K239">
        <v>5.4891403900000002</v>
      </c>
      <c r="L239">
        <v>5.8782711900000004</v>
      </c>
      <c r="M239">
        <v>4.9102530199999999</v>
      </c>
      <c r="N239">
        <v>4.3222166</v>
      </c>
      <c r="O239">
        <v>41.865025595076801</v>
      </c>
      <c r="P239">
        <v>190.35649629</v>
      </c>
      <c r="Q239">
        <v>4.2662127986383958</v>
      </c>
      <c r="R239" t="s">
        <v>1063</v>
      </c>
      <c r="S239">
        <v>110.39004758999999</v>
      </c>
      <c r="T239" t="s">
        <v>2819</v>
      </c>
      <c r="U239" t="s">
        <v>1059</v>
      </c>
    </row>
    <row r="240" spans="1:21" x14ac:dyDescent="0.25">
      <c r="A240" t="s">
        <v>1523</v>
      </c>
      <c r="B240" t="s">
        <v>1524</v>
      </c>
      <c r="C240" t="s">
        <v>1525</v>
      </c>
      <c r="D240" t="s">
        <v>586</v>
      </c>
      <c r="E240" t="s">
        <v>1056</v>
      </c>
      <c r="F240" t="s">
        <v>1057</v>
      </c>
      <c r="G240" t="s">
        <v>1155</v>
      </c>
      <c r="H240" t="s">
        <v>90</v>
      </c>
      <c r="I240" t="s">
        <v>90</v>
      </c>
      <c r="J240">
        <v>5.6254186600000002</v>
      </c>
      <c r="K240">
        <v>6.3346561899999996</v>
      </c>
      <c r="L240">
        <v>8.0580209699999994</v>
      </c>
      <c r="M240">
        <v>5.0835753600000002</v>
      </c>
      <c r="N240">
        <v>6.13484067</v>
      </c>
      <c r="O240">
        <v>16.54681654681654</v>
      </c>
      <c r="P240">
        <v>21.345323870000001</v>
      </c>
      <c r="Q240">
        <v>30.44983044983044</v>
      </c>
      <c r="R240" t="s">
        <v>30</v>
      </c>
      <c r="S240">
        <v>5.6254186600000002</v>
      </c>
      <c r="T240" t="s">
        <v>2819</v>
      </c>
      <c r="U240" t="s">
        <v>1059</v>
      </c>
    </row>
    <row r="241" spans="1:21" x14ac:dyDescent="0.25">
      <c r="A241" t="s">
        <v>1526</v>
      </c>
      <c r="B241" t="s">
        <v>1527</v>
      </c>
      <c r="C241" t="s">
        <v>1528</v>
      </c>
      <c r="D241" t="s">
        <v>586</v>
      </c>
      <c r="E241" t="s">
        <v>1056</v>
      </c>
      <c r="F241" t="s">
        <v>1260</v>
      </c>
      <c r="G241" t="s">
        <v>1261</v>
      </c>
      <c r="H241" t="s">
        <v>90</v>
      </c>
      <c r="I241" t="s">
        <v>90</v>
      </c>
      <c r="J241">
        <v>49.8659119</v>
      </c>
      <c r="K241">
        <v>7.6643202800000001</v>
      </c>
      <c r="L241">
        <v>6.2613764200000004</v>
      </c>
      <c r="M241">
        <v>5.1581710000000003</v>
      </c>
      <c r="N241">
        <v>6.4781631500000003</v>
      </c>
      <c r="O241">
        <v>40.852483547462278</v>
      </c>
      <c r="P241">
        <v>79.388016590000007</v>
      </c>
      <c r="Q241">
        <v>58.474408385916391</v>
      </c>
      <c r="R241" t="s">
        <v>1073</v>
      </c>
      <c r="S241">
        <v>49.8659119</v>
      </c>
      <c r="T241" t="s">
        <v>2819</v>
      </c>
      <c r="U241" t="s">
        <v>1059</v>
      </c>
    </row>
    <row r="242" spans="1:21" x14ac:dyDescent="0.25">
      <c r="A242" t="s">
        <v>1529</v>
      </c>
      <c r="B242" t="s">
        <v>1530</v>
      </c>
      <c r="C242" t="s">
        <v>1531</v>
      </c>
      <c r="D242" t="s">
        <v>586</v>
      </c>
      <c r="E242" t="s">
        <v>1056</v>
      </c>
      <c r="F242" t="s">
        <v>1136</v>
      </c>
      <c r="G242" t="s">
        <v>1137</v>
      </c>
      <c r="H242" t="s">
        <v>90</v>
      </c>
      <c r="I242" t="s">
        <v>90</v>
      </c>
      <c r="J242">
        <v>311.94377059999999</v>
      </c>
      <c r="K242">
        <v>5.1515354499999999</v>
      </c>
      <c r="L242">
        <v>5.31981065</v>
      </c>
      <c r="M242">
        <v>4.9335300599999998</v>
      </c>
      <c r="N242">
        <v>4.3722036900000001</v>
      </c>
      <c r="O242">
        <v>19.8994198994199</v>
      </c>
      <c r="P242">
        <v>472.83894615999998</v>
      </c>
      <c r="Q242">
        <v>9.7241097241097201</v>
      </c>
      <c r="R242" t="s">
        <v>1063</v>
      </c>
      <c r="S242">
        <v>311.94377059999999</v>
      </c>
      <c r="T242" t="s">
        <v>2819</v>
      </c>
      <c r="U242" t="s">
        <v>1059</v>
      </c>
    </row>
    <row r="243" spans="1:21" x14ac:dyDescent="0.25">
      <c r="A243" t="s">
        <v>1534</v>
      </c>
      <c r="B243" t="s">
        <v>684</v>
      </c>
      <c r="C243" t="s">
        <v>683</v>
      </c>
      <c r="D243" t="s">
        <v>586</v>
      </c>
      <c r="E243" t="s">
        <v>1056</v>
      </c>
      <c r="F243" t="s">
        <v>1057</v>
      </c>
      <c r="G243" t="s">
        <v>1216</v>
      </c>
      <c r="H243" t="s">
        <v>90</v>
      </c>
      <c r="I243" t="s">
        <v>90</v>
      </c>
      <c r="J243">
        <v>3.6839501600000002</v>
      </c>
      <c r="K243">
        <v>7.2152328399999996</v>
      </c>
      <c r="L243">
        <v>6.1010820099999998</v>
      </c>
      <c r="M243">
        <v>5.4556763000000004</v>
      </c>
      <c r="N243">
        <v>5.45125876</v>
      </c>
      <c r="O243">
        <v>28.20351538945383</v>
      </c>
      <c r="P243">
        <v>18.99041574</v>
      </c>
      <c r="Q243">
        <v>4.6628860113419668</v>
      </c>
      <c r="R243" t="s">
        <v>1073</v>
      </c>
      <c r="S243">
        <v>3.6839501600000002</v>
      </c>
      <c r="T243" t="s">
        <v>2819</v>
      </c>
      <c r="U243" t="s">
        <v>1059</v>
      </c>
    </row>
    <row r="244" spans="1:21" x14ac:dyDescent="0.25">
      <c r="A244" t="s">
        <v>1536</v>
      </c>
      <c r="B244" t="s">
        <v>1537</v>
      </c>
      <c r="C244" t="s">
        <v>1538</v>
      </c>
      <c r="D244" t="s">
        <v>586</v>
      </c>
      <c r="E244" t="s">
        <v>1056</v>
      </c>
      <c r="F244" t="s">
        <v>1136</v>
      </c>
      <c r="G244" t="s">
        <v>1137</v>
      </c>
      <c r="H244" t="s">
        <v>90</v>
      </c>
      <c r="I244" t="s">
        <v>90</v>
      </c>
      <c r="J244">
        <v>99.324201029999998</v>
      </c>
      <c r="K244">
        <v>5.5806479500000004</v>
      </c>
      <c r="L244">
        <v>5.2521931400000001</v>
      </c>
      <c r="M244">
        <v>5.25544981</v>
      </c>
      <c r="N244">
        <v>4.5132041300000001</v>
      </c>
      <c r="O244">
        <v>9.1124139049747797</v>
      </c>
      <c r="P244">
        <v>317.53421537000003</v>
      </c>
      <c r="Q244">
        <v>7.4005149032342192</v>
      </c>
      <c r="R244" t="s">
        <v>1063</v>
      </c>
      <c r="S244">
        <v>99.324201029999998</v>
      </c>
      <c r="T244" t="s">
        <v>2819</v>
      </c>
      <c r="U244" t="s">
        <v>1059</v>
      </c>
    </row>
    <row r="245" spans="1:21" x14ac:dyDescent="0.25">
      <c r="A245" t="s">
        <v>1539</v>
      </c>
      <c r="B245" t="s">
        <v>1540</v>
      </c>
      <c r="C245" t="s">
        <v>1541</v>
      </c>
      <c r="D245" t="s">
        <v>586</v>
      </c>
      <c r="E245" t="s">
        <v>1056</v>
      </c>
      <c r="F245" t="s">
        <v>1136</v>
      </c>
      <c r="G245" t="s">
        <v>1494</v>
      </c>
      <c r="H245" t="s">
        <v>90</v>
      </c>
      <c r="I245" t="s">
        <v>90</v>
      </c>
      <c r="J245">
        <v>683.10903201999997</v>
      </c>
      <c r="K245">
        <v>4.4573985499999997</v>
      </c>
      <c r="L245">
        <v>5.4522605000000004</v>
      </c>
      <c r="M245">
        <v>5.9749379100000004</v>
      </c>
      <c r="N245">
        <v>5.6647323600000004</v>
      </c>
      <c r="O245">
        <v>0</v>
      </c>
      <c r="Q245">
        <v>0</v>
      </c>
      <c r="R245" t="s">
        <v>1063</v>
      </c>
      <c r="S245">
        <v>683.10903201999997</v>
      </c>
      <c r="T245" t="s">
        <v>2819</v>
      </c>
      <c r="U245" t="s">
        <v>1278</v>
      </c>
    </row>
    <row r="246" spans="1:21" x14ac:dyDescent="0.25">
      <c r="A246" t="s">
        <v>1542</v>
      </c>
      <c r="B246" t="s">
        <v>1543</v>
      </c>
      <c r="C246" t="s">
        <v>1544</v>
      </c>
      <c r="D246" t="s">
        <v>586</v>
      </c>
      <c r="E246" t="s">
        <v>1056</v>
      </c>
      <c r="F246" t="s">
        <v>1057</v>
      </c>
      <c r="G246" t="s">
        <v>1159</v>
      </c>
      <c r="H246" t="s">
        <v>90</v>
      </c>
      <c r="I246" t="s">
        <v>90</v>
      </c>
      <c r="J246">
        <v>1.0762770500000001</v>
      </c>
      <c r="K246">
        <v>6.5156115899999998</v>
      </c>
      <c r="L246">
        <v>6.5292100499999997</v>
      </c>
      <c r="M246">
        <v>4.4971320400000003</v>
      </c>
      <c r="N246">
        <v>5.5202116200000004</v>
      </c>
      <c r="O246">
        <v>49.051752844741458</v>
      </c>
      <c r="P246">
        <v>4.5060754899999997</v>
      </c>
      <c r="Q246">
        <v>25.760522718431851</v>
      </c>
      <c r="R246" t="s">
        <v>30</v>
      </c>
      <c r="S246">
        <v>1.0762770500000001</v>
      </c>
      <c r="T246" t="s">
        <v>2819</v>
      </c>
      <c r="U246" t="s">
        <v>1059</v>
      </c>
    </row>
    <row r="247" spans="1:21" x14ac:dyDescent="0.25">
      <c r="A247" t="s">
        <v>1542</v>
      </c>
      <c r="B247" t="s">
        <v>1543</v>
      </c>
      <c r="C247" t="s">
        <v>1545</v>
      </c>
      <c r="D247" t="s">
        <v>586</v>
      </c>
      <c r="E247" t="s">
        <v>1056</v>
      </c>
      <c r="F247" t="s">
        <v>1057</v>
      </c>
      <c r="G247" t="s">
        <v>1159</v>
      </c>
      <c r="H247" t="s">
        <v>90</v>
      </c>
      <c r="I247" t="s">
        <v>90</v>
      </c>
      <c r="J247">
        <v>1.0762770500000001</v>
      </c>
      <c r="K247">
        <v>6.5156115899999998</v>
      </c>
      <c r="L247">
        <v>6.5292100499999997</v>
      </c>
      <c r="M247">
        <v>4.4971320400000003</v>
      </c>
      <c r="N247">
        <v>5.5202116200000004</v>
      </c>
      <c r="O247">
        <v>49.051752844741458</v>
      </c>
      <c r="P247">
        <v>4.5060754899999997</v>
      </c>
      <c r="Q247">
        <v>25.760522718431851</v>
      </c>
      <c r="R247" t="s">
        <v>30</v>
      </c>
      <c r="S247">
        <v>1.0762770500000001</v>
      </c>
      <c r="T247" t="s">
        <v>2819</v>
      </c>
      <c r="U247" t="s">
        <v>1059</v>
      </c>
    </row>
    <row r="248" spans="1:21" x14ac:dyDescent="0.25">
      <c r="A248" t="s">
        <v>1546</v>
      </c>
      <c r="B248" t="s">
        <v>1547</v>
      </c>
      <c r="C248" t="s">
        <v>1548</v>
      </c>
      <c r="D248" t="s">
        <v>586</v>
      </c>
      <c r="E248" t="s">
        <v>1056</v>
      </c>
      <c r="F248" t="s">
        <v>1057</v>
      </c>
      <c r="G248" t="s">
        <v>1216</v>
      </c>
      <c r="H248" t="s">
        <v>90</v>
      </c>
      <c r="I248" t="s">
        <v>90</v>
      </c>
      <c r="J248">
        <v>5.7287979800000004</v>
      </c>
      <c r="K248">
        <v>8.4563647799999995</v>
      </c>
      <c r="L248">
        <v>5.6715598099999998</v>
      </c>
      <c r="M248">
        <v>7.2508403499999998</v>
      </c>
      <c r="N248">
        <v>6.5199995700000004</v>
      </c>
      <c r="O248">
        <v>0</v>
      </c>
      <c r="P248">
        <v>49.23894679</v>
      </c>
      <c r="Q248">
        <v>33.214166785833207</v>
      </c>
      <c r="R248" t="s">
        <v>1073</v>
      </c>
      <c r="S248">
        <v>5.7287979800000004</v>
      </c>
      <c r="T248" t="s">
        <v>2819</v>
      </c>
      <c r="U248" t="s">
        <v>1059</v>
      </c>
    </row>
    <row r="249" spans="1:21" x14ac:dyDescent="0.25">
      <c r="A249" t="s">
        <v>1549</v>
      </c>
      <c r="B249" t="s">
        <v>1550</v>
      </c>
      <c r="C249" t="s">
        <v>1551</v>
      </c>
      <c r="D249" t="s">
        <v>586</v>
      </c>
      <c r="E249" t="s">
        <v>1056</v>
      </c>
      <c r="F249" t="s">
        <v>1057</v>
      </c>
      <c r="G249" t="s">
        <v>1205</v>
      </c>
      <c r="H249" t="s">
        <v>90</v>
      </c>
      <c r="I249" t="s">
        <v>90</v>
      </c>
      <c r="J249">
        <v>91.601017060000004</v>
      </c>
      <c r="K249">
        <v>6.0555289200000004</v>
      </c>
      <c r="L249">
        <v>6.9962242899999998</v>
      </c>
      <c r="M249">
        <v>6.1310021900000002</v>
      </c>
      <c r="N249">
        <v>6.1377516200000004</v>
      </c>
      <c r="O249">
        <v>0</v>
      </c>
      <c r="P249">
        <v>158.02109204999999</v>
      </c>
      <c r="Q249">
        <v>38.602400000000003</v>
      </c>
      <c r="R249" t="s">
        <v>30</v>
      </c>
      <c r="S249">
        <v>91.601017060000004</v>
      </c>
      <c r="T249" t="s">
        <v>2819</v>
      </c>
      <c r="U249" t="s">
        <v>1059</v>
      </c>
    </row>
    <row r="250" spans="1:21" x14ac:dyDescent="0.25">
      <c r="A250" t="s">
        <v>1552</v>
      </c>
      <c r="B250" t="s">
        <v>1553</v>
      </c>
      <c r="C250" t="s">
        <v>1554</v>
      </c>
      <c r="D250" t="s">
        <v>586</v>
      </c>
      <c r="E250" t="s">
        <v>1056</v>
      </c>
      <c r="F250" t="s">
        <v>1071</v>
      </c>
      <c r="G250" t="s">
        <v>1189</v>
      </c>
      <c r="H250" t="s">
        <v>90</v>
      </c>
      <c r="I250" t="s">
        <v>90</v>
      </c>
      <c r="J250">
        <v>581.975505</v>
      </c>
      <c r="K250">
        <v>5.6269661299999996</v>
      </c>
      <c r="L250">
        <v>3.2347960100000002</v>
      </c>
      <c r="M250">
        <v>4.1852031500000004</v>
      </c>
      <c r="N250">
        <v>6.3039692900000004</v>
      </c>
      <c r="O250">
        <v>61.32222769483554</v>
      </c>
      <c r="P250">
        <v>665.01335583000002</v>
      </c>
      <c r="Q250">
        <v>55.352382015884729</v>
      </c>
      <c r="R250" t="s">
        <v>1063</v>
      </c>
      <c r="S250">
        <v>581.975505</v>
      </c>
      <c r="T250" t="s">
        <v>2819</v>
      </c>
      <c r="U250" t="s">
        <v>1059</v>
      </c>
    </row>
    <row r="251" spans="1:21" x14ac:dyDescent="0.25">
      <c r="A251" t="s">
        <v>1555</v>
      </c>
      <c r="B251" t="s">
        <v>1556</v>
      </c>
      <c r="C251" t="s">
        <v>1557</v>
      </c>
      <c r="D251" t="s">
        <v>586</v>
      </c>
      <c r="E251" t="s">
        <v>1056</v>
      </c>
      <c r="F251" t="s">
        <v>1071</v>
      </c>
      <c r="G251" t="s">
        <v>1558</v>
      </c>
      <c r="H251" t="s">
        <v>90</v>
      </c>
      <c r="I251" t="s">
        <v>90</v>
      </c>
      <c r="J251">
        <v>175.08959672</v>
      </c>
      <c r="K251">
        <v>6.8859768600000004</v>
      </c>
      <c r="L251">
        <v>4.9455745000000002</v>
      </c>
      <c r="M251">
        <v>5.2804638099999996</v>
      </c>
      <c r="N251">
        <v>5.8068594999999998</v>
      </c>
      <c r="O251">
        <v>19.851990078236941</v>
      </c>
      <c r="P251">
        <v>275.05280789</v>
      </c>
      <c r="Q251">
        <v>24.75213018181601</v>
      </c>
      <c r="R251" t="s">
        <v>30</v>
      </c>
      <c r="S251">
        <v>175.08959672</v>
      </c>
      <c r="T251" t="s">
        <v>2819</v>
      </c>
      <c r="U251" t="s">
        <v>1059</v>
      </c>
    </row>
    <row r="252" spans="1:21" x14ac:dyDescent="0.25">
      <c r="A252" t="s">
        <v>1559</v>
      </c>
      <c r="B252" t="s">
        <v>1560</v>
      </c>
      <c r="C252" t="s">
        <v>1561</v>
      </c>
      <c r="D252" t="s">
        <v>586</v>
      </c>
      <c r="E252" t="s">
        <v>1056</v>
      </c>
      <c r="F252" t="s">
        <v>1501</v>
      </c>
      <c r="G252" t="s">
        <v>1502</v>
      </c>
      <c r="H252" t="s">
        <v>90</v>
      </c>
      <c r="I252" t="s">
        <v>90</v>
      </c>
      <c r="J252">
        <v>204.60305163000001</v>
      </c>
      <c r="K252">
        <v>5.4587117699999999</v>
      </c>
      <c r="L252">
        <v>5.1464730300000001</v>
      </c>
      <c r="M252">
        <v>4.49691551</v>
      </c>
      <c r="N252">
        <v>4.7516857300000002</v>
      </c>
      <c r="O252">
        <v>22.130793277390531</v>
      </c>
      <c r="P252">
        <v>583.09238813000002</v>
      </c>
      <c r="Q252">
        <v>15.54208735603148</v>
      </c>
      <c r="R252" t="s">
        <v>1063</v>
      </c>
      <c r="S252">
        <v>204.60305163000001</v>
      </c>
      <c r="T252" t="s">
        <v>2819</v>
      </c>
      <c r="U252" t="s">
        <v>1059</v>
      </c>
    </row>
    <row r="253" spans="1:21" x14ac:dyDescent="0.25">
      <c r="A253" t="s">
        <v>1559</v>
      </c>
      <c r="B253" t="s">
        <v>1560</v>
      </c>
      <c r="C253" t="s">
        <v>1562</v>
      </c>
      <c r="D253" t="s">
        <v>586</v>
      </c>
      <c r="E253" t="s">
        <v>1056</v>
      </c>
      <c r="F253" t="s">
        <v>1501</v>
      </c>
      <c r="G253" t="s">
        <v>1502</v>
      </c>
      <c r="H253" t="s">
        <v>90</v>
      </c>
      <c r="I253" t="s">
        <v>90</v>
      </c>
      <c r="J253">
        <v>204.60305163000001</v>
      </c>
      <c r="K253">
        <v>5.4587117699999999</v>
      </c>
      <c r="L253">
        <v>5.1464730300000001</v>
      </c>
      <c r="M253">
        <v>4.49691551</v>
      </c>
      <c r="N253">
        <v>4.7516857300000002</v>
      </c>
      <c r="O253">
        <v>22.130793277390531</v>
      </c>
      <c r="P253">
        <v>583.09238813000002</v>
      </c>
      <c r="Q253">
        <v>15.54208735603148</v>
      </c>
      <c r="R253" t="s">
        <v>1063</v>
      </c>
      <c r="S253">
        <v>204.60305163000001</v>
      </c>
      <c r="T253" t="s">
        <v>2819</v>
      </c>
      <c r="U253" t="s">
        <v>1059</v>
      </c>
    </row>
    <row r="254" spans="1:21" x14ac:dyDescent="0.25">
      <c r="A254" t="s">
        <v>1563</v>
      </c>
      <c r="B254" t="s">
        <v>1564</v>
      </c>
      <c r="C254" t="s">
        <v>1565</v>
      </c>
      <c r="D254" t="s">
        <v>586</v>
      </c>
      <c r="E254" t="s">
        <v>1056</v>
      </c>
      <c r="F254" t="s">
        <v>1136</v>
      </c>
      <c r="G254" t="s">
        <v>1437</v>
      </c>
      <c r="H254" t="s">
        <v>90</v>
      </c>
      <c r="I254" t="s">
        <v>90</v>
      </c>
      <c r="J254">
        <v>390.24354935999997</v>
      </c>
      <c r="K254">
        <v>3.9588538400000002</v>
      </c>
      <c r="L254">
        <v>4.9115487699999996</v>
      </c>
      <c r="M254">
        <v>5.0758264500000001</v>
      </c>
      <c r="N254">
        <v>4.6345801900000003</v>
      </c>
      <c r="O254">
        <v>15.871551739661969</v>
      </c>
      <c r="P254">
        <v>537.7267683</v>
      </c>
      <c r="Q254">
        <v>4.2838763378359728</v>
      </c>
      <c r="R254" t="s">
        <v>1138</v>
      </c>
      <c r="S254">
        <v>390.24354935999997</v>
      </c>
      <c r="T254" t="s">
        <v>2819</v>
      </c>
      <c r="U254" t="s">
        <v>1059</v>
      </c>
    </row>
    <row r="255" spans="1:21" x14ac:dyDescent="0.25">
      <c r="A255" t="s">
        <v>1566</v>
      </c>
      <c r="B255" t="s">
        <v>1567</v>
      </c>
      <c r="C255" t="s">
        <v>1568</v>
      </c>
      <c r="D255" t="s">
        <v>586</v>
      </c>
      <c r="E255" t="s">
        <v>1056</v>
      </c>
      <c r="F255" t="s">
        <v>1136</v>
      </c>
      <c r="G255" t="s">
        <v>1437</v>
      </c>
      <c r="H255" t="s">
        <v>90</v>
      </c>
      <c r="I255" t="s">
        <v>90</v>
      </c>
      <c r="J255">
        <v>230.78193916000001</v>
      </c>
      <c r="K255">
        <v>5.49423365</v>
      </c>
      <c r="L255">
        <v>5.2456883999999997</v>
      </c>
      <c r="M255">
        <v>5.2701538399999999</v>
      </c>
      <c r="N255">
        <v>4.5069229499999999</v>
      </c>
      <c r="O255">
        <v>21.246121913262709</v>
      </c>
      <c r="P255">
        <v>469.24718438000002</v>
      </c>
      <c r="Q255">
        <v>11.225725124807971</v>
      </c>
      <c r="R255" t="s">
        <v>1063</v>
      </c>
      <c r="S255">
        <v>230.78193916000001</v>
      </c>
      <c r="T255" t="s">
        <v>2819</v>
      </c>
      <c r="U255" t="s">
        <v>1059</v>
      </c>
    </row>
    <row r="256" spans="1:21" x14ac:dyDescent="0.25">
      <c r="A256" t="s">
        <v>1569</v>
      </c>
      <c r="B256" t="s">
        <v>1570</v>
      </c>
      <c r="C256" t="s">
        <v>1571</v>
      </c>
      <c r="D256" t="s">
        <v>586</v>
      </c>
      <c r="E256" t="s">
        <v>1056</v>
      </c>
      <c r="F256" t="s">
        <v>1057</v>
      </c>
      <c r="G256" t="s">
        <v>1288</v>
      </c>
      <c r="H256" t="s">
        <v>90</v>
      </c>
      <c r="I256" t="s">
        <v>90</v>
      </c>
      <c r="J256">
        <v>87.145043419999993</v>
      </c>
      <c r="K256">
        <v>6.1505982100000001</v>
      </c>
      <c r="L256">
        <v>5.6230385299999996</v>
      </c>
      <c r="M256">
        <v>4.5972809699999999</v>
      </c>
      <c r="N256">
        <v>6.0129873500000004</v>
      </c>
      <c r="O256">
        <v>15.23493174197394</v>
      </c>
      <c r="P256">
        <v>204.5413897</v>
      </c>
      <c r="Q256">
        <v>25.470340537664139</v>
      </c>
      <c r="R256" t="s">
        <v>30</v>
      </c>
      <c r="S256">
        <v>87.145043419999993</v>
      </c>
      <c r="T256" t="s">
        <v>2819</v>
      </c>
      <c r="U256" t="s">
        <v>1059</v>
      </c>
    </row>
    <row r="257" spans="1:21" x14ac:dyDescent="0.25">
      <c r="A257" t="s">
        <v>1575</v>
      </c>
      <c r="B257" t="s">
        <v>1576</v>
      </c>
      <c r="C257" t="s">
        <v>1577</v>
      </c>
      <c r="D257" t="s">
        <v>586</v>
      </c>
      <c r="E257" t="s">
        <v>1056</v>
      </c>
      <c r="F257" t="s">
        <v>1290</v>
      </c>
      <c r="G257" t="s">
        <v>1291</v>
      </c>
      <c r="H257" t="s">
        <v>90</v>
      </c>
      <c r="I257" t="s">
        <v>90</v>
      </c>
      <c r="J257">
        <v>64.43098105</v>
      </c>
      <c r="K257">
        <v>5.3785297600000002</v>
      </c>
      <c r="L257">
        <v>5.6706393200000003</v>
      </c>
      <c r="M257">
        <v>4.69494202</v>
      </c>
      <c r="N257">
        <v>4.6456212099999998</v>
      </c>
      <c r="O257">
        <v>35.315864346932443</v>
      </c>
      <c r="P257">
        <v>118.52822154</v>
      </c>
      <c r="Q257">
        <v>5.1948090897912307</v>
      </c>
      <c r="R257" t="s">
        <v>1063</v>
      </c>
      <c r="S257">
        <v>64.43098105</v>
      </c>
      <c r="T257" t="s">
        <v>2819</v>
      </c>
      <c r="U257" t="s">
        <v>1059</v>
      </c>
    </row>
    <row r="258" spans="1:21" x14ac:dyDescent="0.25">
      <c r="A258" t="s">
        <v>1578</v>
      </c>
      <c r="B258" t="s">
        <v>609</v>
      </c>
      <c r="C258" t="s">
        <v>608</v>
      </c>
      <c r="D258" t="s">
        <v>586</v>
      </c>
      <c r="E258" t="s">
        <v>1056</v>
      </c>
      <c r="F258" t="s">
        <v>1136</v>
      </c>
      <c r="G258" t="s">
        <v>1137</v>
      </c>
      <c r="H258" t="s">
        <v>90</v>
      </c>
      <c r="I258" t="s">
        <v>90</v>
      </c>
      <c r="J258">
        <v>125.53718458</v>
      </c>
      <c r="K258">
        <v>5.8023782500000003</v>
      </c>
      <c r="L258">
        <v>5.3792370299999996</v>
      </c>
      <c r="M258">
        <v>5.1255941500000004</v>
      </c>
      <c r="N258">
        <v>4.7900828500000001</v>
      </c>
      <c r="O258">
        <v>21.448331717833039</v>
      </c>
      <c r="P258">
        <v>317.58546095000003</v>
      </c>
      <c r="Q258">
        <v>10.642477662761239</v>
      </c>
      <c r="R258" t="s">
        <v>30</v>
      </c>
      <c r="S258">
        <v>125.53718458</v>
      </c>
      <c r="T258" t="s">
        <v>2819</v>
      </c>
      <c r="U258" t="s">
        <v>1059</v>
      </c>
    </row>
    <row r="259" spans="1:21" x14ac:dyDescent="0.25">
      <c r="A259" t="s">
        <v>1580</v>
      </c>
      <c r="B259" t="s">
        <v>1581</v>
      </c>
      <c r="C259" t="s">
        <v>1582</v>
      </c>
      <c r="D259" t="s">
        <v>586</v>
      </c>
      <c r="E259" t="s">
        <v>1056</v>
      </c>
      <c r="F259" t="s">
        <v>1057</v>
      </c>
      <c r="G259" t="s">
        <v>1583</v>
      </c>
      <c r="H259" t="s">
        <v>90</v>
      </c>
      <c r="I259" t="s">
        <v>90</v>
      </c>
      <c r="J259">
        <v>69.03872853</v>
      </c>
      <c r="K259">
        <v>5.2772927200000002</v>
      </c>
      <c r="L259">
        <v>5.11794365</v>
      </c>
      <c r="M259">
        <v>5.21180047</v>
      </c>
      <c r="N259">
        <v>6.1082913899999998</v>
      </c>
      <c r="O259">
        <v>0.17440378695424899</v>
      </c>
      <c r="P259">
        <v>137.04794760999999</v>
      </c>
      <c r="Q259">
        <v>0.96004718035613201</v>
      </c>
      <c r="R259" t="s">
        <v>1063</v>
      </c>
      <c r="S259">
        <v>69.03872853</v>
      </c>
      <c r="T259" t="s">
        <v>2819</v>
      </c>
      <c r="U259" t="s">
        <v>1059</v>
      </c>
    </row>
    <row r="260" spans="1:21" x14ac:dyDescent="0.25">
      <c r="A260" t="s">
        <v>1584</v>
      </c>
      <c r="B260" t="s">
        <v>1585</v>
      </c>
      <c r="C260" t="s">
        <v>1586</v>
      </c>
      <c r="D260" t="s">
        <v>586</v>
      </c>
      <c r="E260" t="s">
        <v>1056</v>
      </c>
      <c r="F260" t="s">
        <v>1057</v>
      </c>
      <c r="G260" t="s">
        <v>1058</v>
      </c>
      <c r="H260" t="s">
        <v>90</v>
      </c>
      <c r="I260" t="s">
        <v>90</v>
      </c>
      <c r="J260">
        <v>46.999353319999997</v>
      </c>
      <c r="K260">
        <v>6.8028234400000001</v>
      </c>
      <c r="L260">
        <v>5.7948297699999998</v>
      </c>
      <c r="M260">
        <v>4.9790459199999999</v>
      </c>
      <c r="N260">
        <v>5.9171251099999997</v>
      </c>
      <c r="O260">
        <v>51.72829999999999</v>
      </c>
      <c r="P260">
        <v>107.08931755</v>
      </c>
      <c r="Q260">
        <v>38.820099999999996</v>
      </c>
      <c r="R260" t="s">
        <v>30</v>
      </c>
      <c r="S260">
        <v>46.999353319999997</v>
      </c>
      <c r="T260" t="s">
        <v>2819</v>
      </c>
      <c r="U260" t="s">
        <v>1059</v>
      </c>
    </row>
    <row r="261" spans="1:21" x14ac:dyDescent="0.25">
      <c r="A261" t="s">
        <v>1587</v>
      </c>
      <c r="B261" t="s">
        <v>1588</v>
      </c>
      <c r="C261" t="s">
        <v>1589</v>
      </c>
      <c r="D261" t="s">
        <v>586</v>
      </c>
      <c r="E261" t="s">
        <v>1056</v>
      </c>
      <c r="F261" t="s">
        <v>1136</v>
      </c>
      <c r="G261" t="s">
        <v>1137</v>
      </c>
      <c r="H261" t="s">
        <v>90</v>
      </c>
      <c r="I261" t="s">
        <v>90</v>
      </c>
      <c r="J261">
        <v>35.396800829999997</v>
      </c>
      <c r="K261">
        <v>4.7819292400000002</v>
      </c>
      <c r="L261">
        <v>3.8961019700000001</v>
      </c>
      <c r="M261">
        <v>4.26148419</v>
      </c>
      <c r="N261">
        <v>5.4957427399999998</v>
      </c>
      <c r="O261">
        <v>0</v>
      </c>
      <c r="P261">
        <v>349.33267798999998</v>
      </c>
      <c r="Q261">
        <v>23.604341637149279</v>
      </c>
      <c r="R261" t="s">
        <v>1063</v>
      </c>
      <c r="S261">
        <v>35.396800829999997</v>
      </c>
      <c r="T261" t="s">
        <v>2819</v>
      </c>
      <c r="U261" t="s">
        <v>1059</v>
      </c>
    </row>
    <row r="262" spans="1:21" x14ac:dyDescent="0.25">
      <c r="A262" t="s">
        <v>1590</v>
      </c>
      <c r="B262" t="s">
        <v>1591</v>
      </c>
      <c r="C262" t="s">
        <v>1592</v>
      </c>
      <c r="D262" t="s">
        <v>586</v>
      </c>
      <c r="E262" t="s">
        <v>1056</v>
      </c>
      <c r="F262" t="s">
        <v>1057</v>
      </c>
      <c r="G262" t="s">
        <v>1067</v>
      </c>
      <c r="H262" t="s">
        <v>90</v>
      </c>
      <c r="I262" t="s">
        <v>90</v>
      </c>
      <c r="J262">
        <v>59.28302446</v>
      </c>
      <c r="K262">
        <v>5.7446112899999999</v>
      </c>
      <c r="L262">
        <v>4.3464828500000001</v>
      </c>
      <c r="M262">
        <v>4.5073766600000003</v>
      </c>
      <c r="N262">
        <v>6.2522954999999998</v>
      </c>
      <c r="O262">
        <v>2.9253666324962579</v>
      </c>
      <c r="P262">
        <v>111.47462858</v>
      </c>
      <c r="Q262">
        <v>28.29969246632416</v>
      </c>
      <c r="R262" t="s">
        <v>30</v>
      </c>
      <c r="S262">
        <v>59.28302446</v>
      </c>
      <c r="T262" t="s">
        <v>2819</v>
      </c>
      <c r="U262" t="s">
        <v>1059</v>
      </c>
    </row>
    <row r="263" spans="1:21" x14ac:dyDescent="0.25">
      <c r="A263" t="s">
        <v>1593</v>
      </c>
      <c r="B263" t="s">
        <v>1594</v>
      </c>
      <c r="C263" t="s">
        <v>1595</v>
      </c>
      <c r="D263" t="s">
        <v>586</v>
      </c>
      <c r="E263" t="s">
        <v>1056</v>
      </c>
      <c r="F263" t="s">
        <v>1057</v>
      </c>
      <c r="G263" t="s">
        <v>1058</v>
      </c>
      <c r="H263" t="s">
        <v>90</v>
      </c>
      <c r="I263" t="s">
        <v>90</v>
      </c>
      <c r="J263">
        <v>8.5181605900000008</v>
      </c>
      <c r="K263">
        <v>6.8525730600000001</v>
      </c>
      <c r="L263">
        <v>5.8189705700000003</v>
      </c>
      <c r="M263">
        <v>5.25184636</v>
      </c>
      <c r="N263">
        <v>5.6038021200000001</v>
      </c>
      <c r="O263">
        <v>46.399600000000021</v>
      </c>
      <c r="P263">
        <v>42.558807909999999</v>
      </c>
      <c r="Q263">
        <v>26.394300000000008</v>
      </c>
      <c r="R263" t="s">
        <v>30</v>
      </c>
      <c r="S263">
        <v>8.5181605900000008</v>
      </c>
      <c r="T263" t="s">
        <v>2819</v>
      </c>
      <c r="U263" t="s">
        <v>1059</v>
      </c>
    </row>
    <row r="264" spans="1:21" x14ac:dyDescent="0.25">
      <c r="A264" t="s">
        <v>1596</v>
      </c>
      <c r="B264" t="s">
        <v>946</v>
      </c>
      <c r="C264" t="s">
        <v>1597</v>
      </c>
      <c r="D264" t="s">
        <v>586</v>
      </c>
      <c r="E264" t="s">
        <v>1056</v>
      </c>
      <c r="F264" t="s">
        <v>1290</v>
      </c>
      <c r="G264" t="s">
        <v>1216</v>
      </c>
      <c r="H264" t="s">
        <v>90</v>
      </c>
      <c r="I264" t="s">
        <v>90</v>
      </c>
      <c r="J264">
        <v>7.8019129899999999</v>
      </c>
      <c r="K264">
        <v>5.4774143400000002</v>
      </c>
      <c r="L264">
        <v>6.5500529600000004</v>
      </c>
      <c r="M264">
        <v>5.1618865200000004</v>
      </c>
      <c r="N264">
        <v>4.2481185200000002</v>
      </c>
      <c r="O264">
        <v>23.581525633509209</v>
      </c>
      <c r="P264">
        <v>18.804755889999999</v>
      </c>
      <c r="Q264">
        <v>0.75584849866655601</v>
      </c>
      <c r="R264" t="s">
        <v>1063</v>
      </c>
      <c r="S264">
        <v>7.8019129899999999</v>
      </c>
      <c r="T264" t="s">
        <v>2819</v>
      </c>
      <c r="U264" t="s">
        <v>1059</v>
      </c>
    </row>
    <row r="265" spans="1:21" x14ac:dyDescent="0.25">
      <c r="A265" t="s">
        <v>1596</v>
      </c>
      <c r="B265" t="s">
        <v>946</v>
      </c>
      <c r="C265" t="s">
        <v>945</v>
      </c>
      <c r="D265" t="s">
        <v>586</v>
      </c>
      <c r="E265" t="s">
        <v>1056</v>
      </c>
      <c r="F265" t="s">
        <v>1290</v>
      </c>
      <c r="G265" t="s">
        <v>1216</v>
      </c>
      <c r="H265" t="s">
        <v>90</v>
      </c>
      <c r="I265" t="s">
        <v>90</v>
      </c>
      <c r="J265">
        <v>7.8019129899999999</v>
      </c>
      <c r="K265">
        <v>5.4774143400000002</v>
      </c>
      <c r="L265">
        <v>6.5500529600000004</v>
      </c>
      <c r="M265">
        <v>5.1618865200000004</v>
      </c>
      <c r="N265">
        <v>4.2481185200000002</v>
      </c>
      <c r="O265">
        <v>23.581525633509209</v>
      </c>
      <c r="P265">
        <v>18.804755889999999</v>
      </c>
      <c r="Q265">
        <v>0.75584849866655601</v>
      </c>
      <c r="R265" t="s">
        <v>1063</v>
      </c>
      <c r="S265">
        <v>7.8019129899999999</v>
      </c>
      <c r="T265" t="s">
        <v>2819</v>
      </c>
      <c r="U265" t="s">
        <v>1059</v>
      </c>
    </row>
    <row r="266" spans="1:21" x14ac:dyDescent="0.25">
      <c r="A266" t="s">
        <v>1598</v>
      </c>
      <c r="B266" t="s">
        <v>1599</v>
      </c>
      <c r="C266" t="s">
        <v>1600</v>
      </c>
      <c r="D266" t="s">
        <v>586</v>
      </c>
      <c r="E266" t="s">
        <v>1056</v>
      </c>
      <c r="F266" t="s">
        <v>1057</v>
      </c>
      <c r="G266" t="s">
        <v>1359</v>
      </c>
      <c r="H266" t="s">
        <v>90</v>
      </c>
      <c r="I266" t="s">
        <v>90</v>
      </c>
      <c r="J266">
        <v>34.260921840000002</v>
      </c>
      <c r="K266">
        <v>6.4660823900000004</v>
      </c>
      <c r="L266">
        <v>5.6020986099999996</v>
      </c>
      <c r="M266">
        <v>4.8849766900000002</v>
      </c>
      <c r="N266">
        <v>5.5153228299999997</v>
      </c>
      <c r="O266">
        <v>60.119879760240472</v>
      </c>
      <c r="P266">
        <v>84.061563520000007</v>
      </c>
      <c r="Q266">
        <v>29.124741750516499</v>
      </c>
      <c r="R266" t="s">
        <v>30</v>
      </c>
      <c r="S266">
        <v>34.260921840000002</v>
      </c>
      <c r="T266" t="s">
        <v>2819</v>
      </c>
      <c r="U266" t="s">
        <v>1059</v>
      </c>
    </row>
    <row r="267" spans="1:21" x14ac:dyDescent="0.25">
      <c r="A267" t="s">
        <v>1601</v>
      </c>
      <c r="B267" t="s">
        <v>1602</v>
      </c>
      <c r="C267" t="s">
        <v>1603</v>
      </c>
      <c r="D267" t="s">
        <v>586</v>
      </c>
      <c r="E267" t="s">
        <v>1056</v>
      </c>
      <c r="F267" t="s">
        <v>1163</v>
      </c>
      <c r="G267" t="s">
        <v>1164</v>
      </c>
      <c r="H267" t="s">
        <v>90</v>
      </c>
      <c r="I267" t="s">
        <v>90</v>
      </c>
      <c r="J267">
        <v>49.499812050000003</v>
      </c>
      <c r="K267">
        <v>7.7651619900000002</v>
      </c>
      <c r="L267">
        <v>6.4366673499999996</v>
      </c>
      <c r="M267">
        <v>5.1047168999999997</v>
      </c>
      <c r="N267">
        <v>6.5522872000000003</v>
      </c>
      <c r="O267">
        <v>42.503851527190733</v>
      </c>
      <c r="P267">
        <v>76.778274780000004</v>
      </c>
      <c r="Q267">
        <v>65.230762273025334</v>
      </c>
      <c r="R267" t="s">
        <v>1073</v>
      </c>
      <c r="S267">
        <v>49.499812050000003</v>
      </c>
      <c r="T267" t="s">
        <v>2819</v>
      </c>
      <c r="U267" t="s">
        <v>1059</v>
      </c>
    </row>
    <row r="268" spans="1:21" x14ac:dyDescent="0.25">
      <c r="A268" t="s">
        <v>1604</v>
      </c>
      <c r="B268" t="s">
        <v>627</v>
      </c>
      <c r="C268" t="s">
        <v>626</v>
      </c>
      <c r="D268" t="s">
        <v>586</v>
      </c>
      <c r="E268" t="s">
        <v>1056</v>
      </c>
      <c r="F268" t="s">
        <v>1605</v>
      </c>
      <c r="G268" t="s">
        <v>1606</v>
      </c>
      <c r="H268" t="s">
        <v>90</v>
      </c>
      <c r="I268" t="s">
        <v>90</v>
      </c>
      <c r="J268">
        <v>170.82291154999999</v>
      </c>
      <c r="K268">
        <v>4.5990256799999996</v>
      </c>
      <c r="L268">
        <v>4.9225032500000001</v>
      </c>
      <c r="M268">
        <v>4.2952502199999998</v>
      </c>
      <c r="N268">
        <v>4.4973673099999996</v>
      </c>
      <c r="O268">
        <v>18.289981710018289</v>
      </c>
      <c r="P268">
        <v>299.22779193000002</v>
      </c>
      <c r="Q268">
        <v>8.9318910681089285</v>
      </c>
      <c r="R268" t="s">
        <v>1063</v>
      </c>
      <c r="S268">
        <v>170.82291154999999</v>
      </c>
      <c r="T268" t="s">
        <v>2819</v>
      </c>
      <c r="U268" t="s">
        <v>1059</v>
      </c>
    </row>
    <row r="269" spans="1:21" x14ac:dyDescent="0.25">
      <c r="A269" t="s">
        <v>1607</v>
      </c>
      <c r="B269" t="s">
        <v>1608</v>
      </c>
      <c r="C269" t="s">
        <v>1609</v>
      </c>
      <c r="D269" t="s">
        <v>586</v>
      </c>
      <c r="E269" t="s">
        <v>1056</v>
      </c>
      <c r="F269" t="s">
        <v>1375</v>
      </c>
      <c r="G269" t="s">
        <v>1376</v>
      </c>
      <c r="H269" t="s">
        <v>90</v>
      </c>
      <c r="I269" t="s">
        <v>90</v>
      </c>
      <c r="J269">
        <v>47.15283471</v>
      </c>
      <c r="K269">
        <v>7.5262051400000001</v>
      </c>
      <c r="L269">
        <v>5.9001300099999998</v>
      </c>
      <c r="M269">
        <v>5.5555066100000001</v>
      </c>
      <c r="N269">
        <v>6.1365845400000003</v>
      </c>
      <c r="O269">
        <v>36.584745090650898</v>
      </c>
      <c r="P269">
        <v>60.950275699999999</v>
      </c>
      <c r="Q269">
        <v>34.030222601502047</v>
      </c>
      <c r="R269" t="s">
        <v>1073</v>
      </c>
      <c r="S269">
        <v>47.15283471</v>
      </c>
      <c r="T269" t="s">
        <v>2819</v>
      </c>
      <c r="U269" t="s">
        <v>1059</v>
      </c>
    </row>
    <row r="270" spans="1:21" x14ac:dyDescent="0.25">
      <c r="A270" t="s">
        <v>1610</v>
      </c>
      <c r="B270" t="s">
        <v>1611</v>
      </c>
      <c r="C270" t="s">
        <v>1612</v>
      </c>
      <c r="D270" t="s">
        <v>586</v>
      </c>
      <c r="E270" t="s">
        <v>1056</v>
      </c>
      <c r="F270" t="s">
        <v>1290</v>
      </c>
      <c r="G270" t="s">
        <v>1291</v>
      </c>
      <c r="H270" t="s">
        <v>90</v>
      </c>
      <c r="I270" t="s">
        <v>90</v>
      </c>
      <c r="J270">
        <v>90.228602379999998</v>
      </c>
      <c r="K270">
        <v>4.9836823800000003</v>
      </c>
      <c r="L270">
        <v>5.3240122699999999</v>
      </c>
      <c r="M270">
        <v>4.3770428900000002</v>
      </c>
      <c r="N270">
        <v>4.6272524400000004</v>
      </c>
      <c r="O270">
        <v>26.185871198150458</v>
      </c>
      <c r="P270">
        <v>167.05786139</v>
      </c>
      <c r="Q270">
        <v>8.9596158593936632</v>
      </c>
      <c r="R270" t="s">
        <v>1063</v>
      </c>
      <c r="S270">
        <v>90.228602379999998</v>
      </c>
      <c r="T270" t="s">
        <v>2819</v>
      </c>
      <c r="U270" t="s">
        <v>1059</v>
      </c>
    </row>
    <row r="271" spans="1:21" x14ac:dyDescent="0.25">
      <c r="A271" t="s">
        <v>5631</v>
      </c>
      <c r="B271" t="s">
        <v>5632</v>
      </c>
      <c r="C271" t="s">
        <v>5633</v>
      </c>
      <c r="D271" t="s">
        <v>586</v>
      </c>
      <c r="E271" t="s">
        <v>1056</v>
      </c>
      <c r="F271" t="s">
        <v>1057</v>
      </c>
      <c r="G271" t="s">
        <v>1212</v>
      </c>
      <c r="H271" t="s">
        <v>90</v>
      </c>
      <c r="I271" t="s">
        <v>90</v>
      </c>
      <c r="J271">
        <v>34.066149920000001</v>
      </c>
      <c r="K271">
        <v>6.1510466499999996</v>
      </c>
      <c r="L271">
        <v>3.9840233600000001</v>
      </c>
      <c r="M271">
        <v>5.0011171000000001</v>
      </c>
      <c r="N271">
        <v>6.2679028900000002</v>
      </c>
      <c r="O271">
        <v>0</v>
      </c>
      <c r="P271">
        <v>71.628224739999993</v>
      </c>
      <c r="Q271">
        <v>32.397364794729583</v>
      </c>
      <c r="R271" t="s">
        <v>30</v>
      </c>
      <c r="S271">
        <v>34.066149920000001</v>
      </c>
      <c r="T271" t="s">
        <v>2819</v>
      </c>
      <c r="U271" t="s">
        <v>1059</v>
      </c>
    </row>
    <row r="272" spans="1:21" x14ac:dyDescent="0.25">
      <c r="A272" t="s">
        <v>1613</v>
      </c>
      <c r="B272" t="s">
        <v>1614</v>
      </c>
      <c r="C272" t="s">
        <v>1615</v>
      </c>
      <c r="D272" t="s">
        <v>586</v>
      </c>
      <c r="E272" t="s">
        <v>1056</v>
      </c>
      <c r="F272" t="s">
        <v>1163</v>
      </c>
      <c r="G272" t="s">
        <v>1164</v>
      </c>
      <c r="H272" t="s">
        <v>90</v>
      </c>
      <c r="I272" t="s">
        <v>90</v>
      </c>
      <c r="J272">
        <v>55.131466279999998</v>
      </c>
      <c r="K272">
        <v>7.7749147399999998</v>
      </c>
      <c r="L272">
        <v>6.8356918200000001</v>
      </c>
      <c r="M272">
        <v>5.2556595699999997</v>
      </c>
      <c r="N272">
        <v>6.4037504099999998</v>
      </c>
      <c r="O272">
        <v>40.69596783973558</v>
      </c>
      <c r="P272">
        <v>82.862622340000001</v>
      </c>
      <c r="Q272">
        <v>63.546341128306977</v>
      </c>
      <c r="R272" t="s">
        <v>1073</v>
      </c>
      <c r="S272">
        <v>55.131466279999998</v>
      </c>
      <c r="T272" t="s">
        <v>2819</v>
      </c>
      <c r="U272" t="s">
        <v>1059</v>
      </c>
    </row>
    <row r="273" spans="1:21" x14ac:dyDescent="0.25">
      <c r="A273" t="s">
        <v>1616</v>
      </c>
      <c r="B273" t="s">
        <v>1617</v>
      </c>
      <c r="C273" t="s">
        <v>1618</v>
      </c>
      <c r="D273" t="s">
        <v>586</v>
      </c>
      <c r="E273" t="s">
        <v>1056</v>
      </c>
      <c r="F273" t="s">
        <v>1071</v>
      </c>
      <c r="G273" t="s">
        <v>1445</v>
      </c>
      <c r="H273" t="s">
        <v>90</v>
      </c>
      <c r="I273" t="s">
        <v>90</v>
      </c>
      <c r="J273">
        <v>7.1426447700000004</v>
      </c>
      <c r="K273">
        <v>6.7407080800000001</v>
      </c>
      <c r="L273">
        <v>6.26030205</v>
      </c>
      <c r="M273">
        <v>5.0429902999999996</v>
      </c>
      <c r="N273">
        <v>5.6146929500000002</v>
      </c>
      <c r="O273">
        <v>42.100674244383853</v>
      </c>
      <c r="P273">
        <v>38.203925900000002</v>
      </c>
      <c r="Q273">
        <v>29.978956703942679</v>
      </c>
      <c r="R273" t="s">
        <v>30</v>
      </c>
      <c r="S273">
        <v>7.1426447700000004</v>
      </c>
      <c r="T273" t="s">
        <v>2819</v>
      </c>
      <c r="U273" t="s">
        <v>1059</v>
      </c>
    </row>
    <row r="274" spans="1:21" x14ac:dyDescent="0.25">
      <c r="A274" t="s">
        <v>1619</v>
      </c>
      <c r="B274" t="s">
        <v>1620</v>
      </c>
      <c r="C274" t="s">
        <v>1621</v>
      </c>
      <c r="D274" t="s">
        <v>586</v>
      </c>
      <c r="E274" t="s">
        <v>1056</v>
      </c>
      <c r="F274" t="s">
        <v>1136</v>
      </c>
      <c r="G274" t="s">
        <v>1137</v>
      </c>
      <c r="H274" t="s">
        <v>90</v>
      </c>
      <c r="I274" t="s">
        <v>90</v>
      </c>
      <c r="J274">
        <v>85.389719420000006</v>
      </c>
      <c r="K274">
        <v>6.0646748300000004</v>
      </c>
      <c r="L274">
        <v>5.44386072</v>
      </c>
      <c r="M274">
        <v>5.1555703099999999</v>
      </c>
      <c r="N274">
        <v>5.0396971700000002</v>
      </c>
      <c r="O274">
        <v>21.571464876743459</v>
      </c>
      <c r="P274">
        <v>224.44426429000001</v>
      </c>
      <c r="Q274">
        <v>10.74661524125594</v>
      </c>
      <c r="R274" t="s">
        <v>30</v>
      </c>
      <c r="S274">
        <v>85.389719420000006</v>
      </c>
      <c r="T274" t="s">
        <v>2819</v>
      </c>
      <c r="U274" t="s">
        <v>1059</v>
      </c>
    </row>
    <row r="275" spans="1:21" x14ac:dyDescent="0.25">
      <c r="A275" t="s">
        <v>1622</v>
      </c>
      <c r="B275" t="s">
        <v>1623</v>
      </c>
      <c r="C275" t="s">
        <v>1624</v>
      </c>
      <c r="D275" t="s">
        <v>586</v>
      </c>
      <c r="E275" t="s">
        <v>1056</v>
      </c>
      <c r="F275" t="s">
        <v>1625</v>
      </c>
      <c r="G275" t="s">
        <v>1626</v>
      </c>
      <c r="H275" t="s">
        <v>90</v>
      </c>
      <c r="I275" t="s">
        <v>90</v>
      </c>
      <c r="J275">
        <v>116.79190411</v>
      </c>
      <c r="K275">
        <v>4.4151213900000004</v>
      </c>
      <c r="L275">
        <v>4.3764866900000001</v>
      </c>
      <c r="M275">
        <v>5.2187937700000004</v>
      </c>
      <c r="N275">
        <v>3.6124911700000002</v>
      </c>
      <c r="O275">
        <v>0</v>
      </c>
      <c r="P275">
        <v>1151.5482263599999</v>
      </c>
      <c r="Q275">
        <v>0.34517069481895701</v>
      </c>
      <c r="R275" t="s">
        <v>1063</v>
      </c>
      <c r="S275">
        <v>116.79190411</v>
      </c>
      <c r="T275" t="s">
        <v>2819</v>
      </c>
      <c r="U275" t="s">
        <v>1059</v>
      </c>
    </row>
    <row r="276" spans="1:21" x14ac:dyDescent="0.25">
      <c r="A276" t="s">
        <v>1627</v>
      </c>
      <c r="B276" t="s">
        <v>1628</v>
      </c>
      <c r="C276" t="s">
        <v>1629</v>
      </c>
      <c r="D276" t="s">
        <v>586</v>
      </c>
      <c r="E276" t="s">
        <v>1056</v>
      </c>
      <c r="F276" t="s">
        <v>1057</v>
      </c>
      <c r="G276" t="s">
        <v>1058</v>
      </c>
      <c r="H276" t="s">
        <v>90</v>
      </c>
      <c r="I276" t="s">
        <v>90</v>
      </c>
      <c r="J276">
        <v>27.807801269999999</v>
      </c>
      <c r="K276">
        <v>6.5633477300000003</v>
      </c>
      <c r="L276">
        <v>5.9495569399999999</v>
      </c>
      <c r="M276">
        <v>4.9711111700000004</v>
      </c>
      <c r="N276">
        <v>5.5827645199999996</v>
      </c>
      <c r="O276">
        <v>49.50467365974324</v>
      </c>
      <c r="P276">
        <v>80.070003529999994</v>
      </c>
      <c r="Q276">
        <v>24.250592540850992</v>
      </c>
      <c r="R276" t="s">
        <v>30</v>
      </c>
      <c r="S276">
        <v>27.807801269999999</v>
      </c>
      <c r="T276" t="s">
        <v>2819</v>
      </c>
      <c r="U276" t="s">
        <v>1059</v>
      </c>
    </row>
    <row r="277" spans="1:21" x14ac:dyDescent="0.25">
      <c r="A277" t="s">
        <v>1630</v>
      </c>
      <c r="B277" t="s">
        <v>1631</v>
      </c>
      <c r="C277" t="s">
        <v>1632</v>
      </c>
      <c r="D277" t="s">
        <v>586</v>
      </c>
      <c r="E277" t="s">
        <v>1056</v>
      </c>
      <c r="F277" t="s">
        <v>1057</v>
      </c>
      <c r="G277" t="s">
        <v>1456</v>
      </c>
      <c r="H277" t="s">
        <v>90</v>
      </c>
      <c r="I277" t="s">
        <v>90</v>
      </c>
      <c r="J277">
        <v>66.83289268</v>
      </c>
      <c r="K277">
        <v>5.9248802899999999</v>
      </c>
      <c r="L277">
        <v>5.4271723500000002</v>
      </c>
      <c r="M277">
        <v>4.7724396499999999</v>
      </c>
      <c r="N277">
        <v>5.6375466899999997</v>
      </c>
      <c r="O277">
        <v>14.01593949739966</v>
      </c>
      <c r="P277">
        <v>238.71002945000001</v>
      </c>
      <c r="Q277">
        <v>19.367382587637469</v>
      </c>
      <c r="R277" t="s">
        <v>30</v>
      </c>
      <c r="S277">
        <v>66.83289268</v>
      </c>
      <c r="T277" t="s">
        <v>2819</v>
      </c>
      <c r="U277" t="s">
        <v>1059</v>
      </c>
    </row>
    <row r="278" spans="1:21" x14ac:dyDescent="0.25">
      <c r="A278" t="s">
        <v>1633</v>
      </c>
      <c r="B278" t="s">
        <v>1634</v>
      </c>
      <c r="C278" t="s">
        <v>1635</v>
      </c>
      <c r="D278" t="s">
        <v>586</v>
      </c>
      <c r="E278" t="s">
        <v>1056</v>
      </c>
      <c r="F278" t="s">
        <v>1057</v>
      </c>
      <c r="G278" t="s">
        <v>1216</v>
      </c>
      <c r="H278" t="s">
        <v>90</v>
      </c>
      <c r="I278" t="s">
        <v>90</v>
      </c>
      <c r="J278">
        <v>1.4783120999999999</v>
      </c>
      <c r="K278">
        <v>6.6387534300000004</v>
      </c>
      <c r="L278">
        <v>6.8683480799999996</v>
      </c>
      <c r="M278">
        <v>4.7157341800000001</v>
      </c>
      <c r="N278">
        <v>5.9245026699999999</v>
      </c>
      <c r="O278">
        <v>28.762971237028768</v>
      </c>
      <c r="P278">
        <v>9.8867648599999995</v>
      </c>
      <c r="Q278">
        <v>19.900380099619898</v>
      </c>
      <c r="R278" t="s">
        <v>30</v>
      </c>
      <c r="S278">
        <v>1.4783120999999999</v>
      </c>
      <c r="T278" t="s">
        <v>2819</v>
      </c>
      <c r="U278" t="s">
        <v>1059</v>
      </c>
    </row>
    <row r="279" spans="1:21" x14ac:dyDescent="0.25">
      <c r="A279" t="s">
        <v>1636</v>
      </c>
      <c r="B279" t="s">
        <v>1637</v>
      </c>
      <c r="C279" t="s">
        <v>1638</v>
      </c>
      <c r="D279" t="s">
        <v>586</v>
      </c>
      <c r="E279" t="s">
        <v>1056</v>
      </c>
      <c r="F279" t="s">
        <v>1057</v>
      </c>
      <c r="G279" t="s">
        <v>1288</v>
      </c>
      <c r="H279" t="s">
        <v>90</v>
      </c>
      <c r="I279" t="s">
        <v>90</v>
      </c>
      <c r="J279">
        <v>137.80481209999999</v>
      </c>
      <c r="K279">
        <v>6.1211477099999998</v>
      </c>
      <c r="L279">
        <v>5.2217698199999996</v>
      </c>
      <c r="M279">
        <v>4.7098015899999996</v>
      </c>
      <c r="N279">
        <v>5.9794996200000003</v>
      </c>
      <c r="O279">
        <v>19.279052021018749</v>
      </c>
      <c r="P279">
        <v>241.72886315</v>
      </c>
      <c r="Q279">
        <v>31.64901924346723</v>
      </c>
      <c r="R279" t="s">
        <v>30</v>
      </c>
      <c r="S279">
        <v>137.80481209999999</v>
      </c>
      <c r="T279" t="s">
        <v>2819</v>
      </c>
      <c r="U279" t="s">
        <v>1059</v>
      </c>
    </row>
    <row r="280" spans="1:21" x14ac:dyDescent="0.25">
      <c r="A280" t="s">
        <v>1639</v>
      </c>
      <c r="B280" t="s">
        <v>857</v>
      </c>
      <c r="C280" t="s">
        <v>856</v>
      </c>
      <c r="D280" t="s">
        <v>586</v>
      </c>
      <c r="E280" t="s">
        <v>1056</v>
      </c>
      <c r="F280" t="s">
        <v>1136</v>
      </c>
      <c r="G280" t="s">
        <v>1137</v>
      </c>
      <c r="H280" t="s">
        <v>90</v>
      </c>
      <c r="I280" t="s">
        <v>90</v>
      </c>
      <c r="J280">
        <v>118.38348954999999</v>
      </c>
      <c r="K280">
        <v>6.1699050399999997</v>
      </c>
      <c r="L280">
        <v>5.4109583499999996</v>
      </c>
      <c r="M280">
        <v>5.3488402300000004</v>
      </c>
      <c r="N280">
        <v>4.9899569100000001</v>
      </c>
      <c r="O280">
        <v>16.971481188220981</v>
      </c>
      <c r="P280">
        <v>343.62783424000003</v>
      </c>
      <c r="Q280">
        <v>12.62013482486064</v>
      </c>
      <c r="R280" t="s">
        <v>30</v>
      </c>
      <c r="S280">
        <v>118.38348954999999</v>
      </c>
      <c r="T280" t="s">
        <v>2819</v>
      </c>
      <c r="U280" t="s">
        <v>1059</v>
      </c>
    </row>
    <row r="281" spans="1:21" x14ac:dyDescent="0.25">
      <c r="A281" t="s">
        <v>1640</v>
      </c>
      <c r="B281" t="s">
        <v>1641</v>
      </c>
      <c r="C281" t="s">
        <v>1642</v>
      </c>
      <c r="D281" t="s">
        <v>586</v>
      </c>
      <c r="E281" t="s">
        <v>1056</v>
      </c>
      <c r="F281" t="s">
        <v>1290</v>
      </c>
      <c r="G281" t="s">
        <v>1291</v>
      </c>
      <c r="H281" t="s">
        <v>90</v>
      </c>
      <c r="I281" t="s">
        <v>90</v>
      </c>
      <c r="J281">
        <v>105.84082503</v>
      </c>
      <c r="K281">
        <v>6.6645625600000002</v>
      </c>
      <c r="L281">
        <v>7.3562390000000004</v>
      </c>
      <c r="M281">
        <v>4.3403185799999999</v>
      </c>
      <c r="N281">
        <v>4.62365578</v>
      </c>
      <c r="O281">
        <v>28.465156066683861</v>
      </c>
      <c r="P281">
        <v>409.11073048999998</v>
      </c>
      <c r="Q281">
        <v>0</v>
      </c>
      <c r="R281" t="s">
        <v>30</v>
      </c>
      <c r="S281">
        <v>105.84082503</v>
      </c>
      <c r="T281" t="s">
        <v>2819</v>
      </c>
      <c r="U281" t="s">
        <v>1059</v>
      </c>
    </row>
    <row r="282" spans="1:21" x14ac:dyDescent="0.25">
      <c r="A282" t="s">
        <v>5791</v>
      </c>
      <c r="B282" t="s">
        <v>5792</v>
      </c>
      <c r="C282" t="s">
        <v>5793</v>
      </c>
      <c r="D282" t="s">
        <v>586</v>
      </c>
      <c r="E282" t="s">
        <v>1056</v>
      </c>
      <c r="F282" t="s">
        <v>1057</v>
      </c>
      <c r="G282" t="s">
        <v>1058</v>
      </c>
      <c r="H282" t="s">
        <v>90</v>
      </c>
      <c r="I282" t="s">
        <v>90</v>
      </c>
      <c r="J282">
        <v>23.751572700000001</v>
      </c>
      <c r="K282">
        <v>6.6629550599999998</v>
      </c>
      <c r="L282">
        <v>5.65944453</v>
      </c>
      <c r="M282">
        <v>5.0171393499999999</v>
      </c>
      <c r="N282">
        <v>5.8350820600000004</v>
      </c>
      <c r="O282">
        <v>36.149093912685217</v>
      </c>
      <c r="P282">
        <v>90.053764689999994</v>
      </c>
      <c r="Q282">
        <v>25.426144033983519</v>
      </c>
      <c r="R282" t="s">
        <v>30</v>
      </c>
      <c r="S282">
        <v>23.751572700000001</v>
      </c>
      <c r="T282" t="s">
        <v>2819</v>
      </c>
      <c r="U282" t="s">
        <v>1059</v>
      </c>
    </row>
    <row r="283" spans="1:21" x14ac:dyDescent="0.25">
      <c r="A283" t="s">
        <v>1643</v>
      </c>
      <c r="B283" t="s">
        <v>1644</v>
      </c>
      <c r="C283" t="s">
        <v>1645</v>
      </c>
      <c r="D283" t="s">
        <v>586</v>
      </c>
      <c r="E283" t="s">
        <v>1056</v>
      </c>
      <c r="F283" t="s">
        <v>1071</v>
      </c>
      <c r="G283" t="s">
        <v>1328</v>
      </c>
      <c r="H283" t="s">
        <v>90</v>
      </c>
      <c r="I283" t="s">
        <v>90</v>
      </c>
      <c r="J283">
        <v>38.197763209999998</v>
      </c>
      <c r="K283">
        <v>6.4796129799999997</v>
      </c>
      <c r="L283">
        <v>6.3068114900000003</v>
      </c>
      <c r="M283">
        <v>3.9386810400000001</v>
      </c>
      <c r="N283">
        <v>5.1088637700000001</v>
      </c>
      <c r="O283">
        <v>48.336851663148337</v>
      </c>
      <c r="P283">
        <v>103.68751075</v>
      </c>
      <c r="Q283">
        <v>14.57358542641458</v>
      </c>
      <c r="R283" t="s">
        <v>30</v>
      </c>
      <c r="S283">
        <v>38.197763209999998</v>
      </c>
      <c r="T283" t="s">
        <v>2819</v>
      </c>
      <c r="U283" t="s">
        <v>1059</v>
      </c>
    </row>
    <row r="284" spans="1:21" x14ac:dyDescent="0.25">
      <c r="A284" t="s">
        <v>1646</v>
      </c>
      <c r="B284" t="s">
        <v>1647</v>
      </c>
      <c r="C284" t="s">
        <v>1648</v>
      </c>
      <c r="D284" t="s">
        <v>586</v>
      </c>
      <c r="E284" t="s">
        <v>1056</v>
      </c>
      <c r="F284" t="s">
        <v>1290</v>
      </c>
      <c r="G284" t="s">
        <v>1291</v>
      </c>
      <c r="H284" t="s">
        <v>90</v>
      </c>
      <c r="I284" t="s">
        <v>90</v>
      </c>
      <c r="J284">
        <v>17.520982440000001</v>
      </c>
      <c r="K284">
        <v>5.8528633900000004</v>
      </c>
      <c r="L284">
        <v>6.1194453600000003</v>
      </c>
      <c r="M284">
        <v>4.8768972699999997</v>
      </c>
      <c r="N284">
        <v>5.15624781</v>
      </c>
      <c r="O284">
        <v>0.69583607773134704</v>
      </c>
      <c r="P284">
        <v>78.645246549999996</v>
      </c>
      <c r="Q284">
        <v>6.498801127010573</v>
      </c>
      <c r="R284" t="s">
        <v>30</v>
      </c>
      <c r="S284">
        <v>17.520982440000001</v>
      </c>
      <c r="T284" t="s">
        <v>2819</v>
      </c>
      <c r="U284" t="s">
        <v>1059</v>
      </c>
    </row>
    <row r="285" spans="1:21" x14ac:dyDescent="0.25">
      <c r="A285" t="s">
        <v>1649</v>
      </c>
      <c r="B285" t="s">
        <v>859</v>
      </c>
      <c r="C285" t="s">
        <v>858</v>
      </c>
      <c r="D285" t="s">
        <v>586</v>
      </c>
      <c r="E285" t="s">
        <v>1056</v>
      </c>
      <c r="F285" t="s">
        <v>1057</v>
      </c>
      <c r="G285" t="s">
        <v>1250</v>
      </c>
      <c r="H285" t="s">
        <v>90</v>
      </c>
      <c r="I285" t="s">
        <v>90</v>
      </c>
      <c r="J285">
        <v>4.3391726999999998</v>
      </c>
      <c r="K285">
        <v>4.4374586599999999</v>
      </c>
      <c r="L285">
        <v>8.8134845399999993</v>
      </c>
      <c r="M285">
        <v>4.5420487999999999</v>
      </c>
      <c r="N285">
        <v>3.73912887</v>
      </c>
      <c r="O285">
        <v>58.234970533590086</v>
      </c>
      <c r="P285">
        <v>12.188843070000001</v>
      </c>
      <c r="Q285">
        <v>5.1440175151175707</v>
      </c>
      <c r="R285" t="s">
        <v>1063</v>
      </c>
      <c r="S285">
        <v>4.3391726999999998</v>
      </c>
      <c r="T285" t="s">
        <v>2819</v>
      </c>
      <c r="U285" t="s">
        <v>1059</v>
      </c>
    </row>
    <row r="286" spans="1:21" x14ac:dyDescent="0.25">
      <c r="A286" t="s">
        <v>1650</v>
      </c>
      <c r="B286" t="s">
        <v>686</v>
      </c>
      <c r="C286" t="s">
        <v>685</v>
      </c>
      <c r="D286" t="s">
        <v>586</v>
      </c>
      <c r="E286" t="s">
        <v>1056</v>
      </c>
      <c r="F286" t="s">
        <v>1375</v>
      </c>
      <c r="G286" t="s">
        <v>1376</v>
      </c>
      <c r="H286" t="s">
        <v>90</v>
      </c>
      <c r="I286" t="s">
        <v>90</v>
      </c>
      <c r="J286">
        <v>48.254501769999997</v>
      </c>
      <c r="K286">
        <v>7.4802862899999996</v>
      </c>
      <c r="L286">
        <v>5.88547596</v>
      </c>
      <c r="M286">
        <v>5.54713484</v>
      </c>
      <c r="N286">
        <v>6.0872578300000004</v>
      </c>
      <c r="O286">
        <v>36.93310107735045</v>
      </c>
      <c r="P286">
        <v>62.089520360000002</v>
      </c>
      <c r="Q286">
        <v>33.328666881323457</v>
      </c>
      <c r="R286" t="s">
        <v>1073</v>
      </c>
      <c r="S286">
        <v>48.254501769999997</v>
      </c>
      <c r="T286" t="s">
        <v>2819</v>
      </c>
      <c r="U286" t="s">
        <v>1059</v>
      </c>
    </row>
    <row r="287" spans="1:21" x14ac:dyDescent="0.25">
      <c r="A287" t="s">
        <v>5794</v>
      </c>
      <c r="B287" t="s">
        <v>5795</v>
      </c>
      <c r="C287" t="s">
        <v>5796</v>
      </c>
      <c r="D287" t="s">
        <v>586</v>
      </c>
      <c r="E287" t="s">
        <v>1056</v>
      </c>
      <c r="F287" t="s">
        <v>1163</v>
      </c>
      <c r="G287" t="s">
        <v>1164</v>
      </c>
      <c r="H287" t="s">
        <v>90</v>
      </c>
      <c r="I287" t="s">
        <v>90</v>
      </c>
      <c r="J287">
        <v>52.185210560000002</v>
      </c>
      <c r="K287">
        <v>7.8104674100000002</v>
      </c>
      <c r="L287">
        <v>6.4414111700000003</v>
      </c>
      <c r="M287">
        <v>5.1377426399999999</v>
      </c>
      <c r="N287">
        <v>6.5349452799999996</v>
      </c>
      <c r="O287">
        <v>44.369955630044373</v>
      </c>
      <c r="P287">
        <v>79.387467380000004</v>
      </c>
      <c r="Q287">
        <v>67.468832531167521</v>
      </c>
      <c r="R287" t="s">
        <v>1073</v>
      </c>
      <c r="S287">
        <v>52.185210560000002</v>
      </c>
      <c r="T287" t="s">
        <v>2819</v>
      </c>
      <c r="U287" t="s">
        <v>1059</v>
      </c>
    </row>
    <row r="288" spans="1:21" x14ac:dyDescent="0.25">
      <c r="A288" t="s">
        <v>1651</v>
      </c>
      <c r="B288" t="s">
        <v>1652</v>
      </c>
      <c r="C288" t="s">
        <v>1653</v>
      </c>
      <c r="D288" t="s">
        <v>586</v>
      </c>
      <c r="E288" t="s">
        <v>1056</v>
      </c>
      <c r="F288" t="s">
        <v>1057</v>
      </c>
      <c r="G288" t="s">
        <v>1216</v>
      </c>
      <c r="H288" t="s">
        <v>90</v>
      </c>
      <c r="I288" t="s">
        <v>90</v>
      </c>
      <c r="J288">
        <v>1.8761490199999999</v>
      </c>
      <c r="K288">
        <v>6.8087591700000001</v>
      </c>
      <c r="L288">
        <v>5.8460955300000004</v>
      </c>
      <c r="M288">
        <v>5.3115868300000004</v>
      </c>
      <c r="N288">
        <v>5.6689787999999997</v>
      </c>
      <c r="O288">
        <v>4.1843764619327724</v>
      </c>
      <c r="P288">
        <v>15.856874749999999</v>
      </c>
      <c r="Q288">
        <v>7.639535860086287</v>
      </c>
      <c r="R288" t="s">
        <v>30</v>
      </c>
      <c r="S288">
        <v>1.8761490199999999</v>
      </c>
      <c r="T288" t="s">
        <v>2819</v>
      </c>
      <c r="U288" t="s">
        <v>1059</v>
      </c>
    </row>
    <row r="289" spans="1:21" x14ac:dyDescent="0.25">
      <c r="A289" t="s">
        <v>5065</v>
      </c>
      <c r="B289" t="s">
        <v>5066</v>
      </c>
      <c r="C289" t="s">
        <v>5067</v>
      </c>
      <c r="D289" t="s">
        <v>586</v>
      </c>
      <c r="E289" t="s">
        <v>1056</v>
      </c>
      <c r="F289" t="s">
        <v>1057</v>
      </c>
      <c r="G289" t="s">
        <v>1058</v>
      </c>
      <c r="H289" t="s">
        <v>90</v>
      </c>
      <c r="I289" t="s">
        <v>90</v>
      </c>
      <c r="J289">
        <v>10.36515026</v>
      </c>
      <c r="K289">
        <v>6.3725807699999999</v>
      </c>
      <c r="L289">
        <v>6.0112683999999996</v>
      </c>
      <c r="M289">
        <v>5.0511238199999999</v>
      </c>
      <c r="N289">
        <v>5.2619087899999997</v>
      </c>
      <c r="O289">
        <v>52.511247488752517</v>
      </c>
      <c r="P289">
        <v>58.006550060000002</v>
      </c>
      <c r="Q289">
        <v>15.945784054215951</v>
      </c>
      <c r="R289" t="s">
        <v>30</v>
      </c>
      <c r="S289">
        <v>10.36515026</v>
      </c>
      <c r="T289" t="s">
        <v>2819</v>
      </c>
      <c r="U289" t="s">
        <v>1059</v>
      </c>
    </row>
    <row r="290" spans="1:21" x14ac:dyDescent="0.25">
      <c r="A290" t="s">
        <v>5065</v>
      </c>
      <c r="B290" t="s">
        <v>5066</v>
      </c>
      <c r="C290" t="s">
        <v>5068</v>
      </c>
      <c r="D290" t="s">
        <v>586</v>
      </c>
      <c r="E290" t="s">
        <v>1056</v>
      </c>
      <c r="F290" t="s">
        <v>1057</v>
      </c>
      <c r="G290" t="s">
        <v>1058</v>
      </c>
      <c r="H290" t="s">
        <v>90</v>
      </c>
      <c r="I290" t="s">
        <v>90</v>
      </c>
      <c r="J290">
        <v>10.36515026</v>
      </c>
      <c r="K290">
        <v>6.3725807699999999</v>
      </c>
      <c r="L290">
        <v>6.0112683999999996</v>
      </c>
      <c r="M290">
        <v>5.0511238199999999</v>
      </c>
      <c r="N290">
        <v>5.2619087899999997</v>
      </c>
      <c r="O290">
        <v>52.511247488752517</v>
      </c>
      <c r="P290">
        <v>58.006550060000002</v>
      </c>
      <c r="Q290">
        <v>15.945784054215951</v>
      </c>
      <c r="R290" t="s">
        <v>30</v>
      </c>
      <c r="S290">
        <v>10.36515026</v>
      </c>
      <c r="T290" t="s">
        <v>2819</v>
      </c>
      <c r="U290" t="s">
        <v>1059</v>
      </c>
    </row>
    <row r="291" spans="1:21" x14ac:dyDescent="0.25">
      <c r="A291" t="s">
        <v>1655</v>
      </c>
      <c r="B291" t="s">
        <v>613</v>
      </c>
      <c r="C291" t="s">
        <v>612</v>
      </c>
      <c r="D291" t="s">
        <v>586</v>
      </c>
      <c r="E291" t="s">
        <v>1056</v>
      </c>
      <c r="F291" t="s">
        <v>1260</v>
      </c>
      <c r="G291" t="s">
        <v>1261</v>
      </c>
      <c r="H291" t="s">
        <v>90</v>
      </c>
      <c r="I291" t="s">
        <v>90</v>
      </c>
      <c r="J291">
        <v>35.534614079999997</v>
      </c>
      <c r="K291">
        <v>8.0146288200000004</v>
      </c>
      <c r="L291">
        <v>6.7455716600000004</v>
      </c>
      <c r="M291">
        <v>5.2181429499999998</v>
      </c>
      <c r="N291">
        <v>6.57160995</v>
      </c>
      <c r="O291">
        <v>39.342645295990231</v>
      </c>
      <c r="P291">
        <v>44.872269709999998</v>
      </c>
      <c r="Q291">
        <v>63.794088928052624</v>
      </c>
      <c r="R291" t="s">
        <v>1073</v>
      </c>
      <c r="S291">
        <v>35.534614079999997</v>
      </c>
      <c r="T291" t="s">
        <v>2819</v>
      </c>
      <c r="U291" t="s">
        <v>1059</v>
      </c>
    </row>
    <row r="292" spans="1:21" x14ac:dyDescent="0.25">
      <c r="A292" t="s">
        <v>1656</v>
      </c>
      <c r="B292" t="s">
        <v>1657</v>
      </c>
      <c r="C292" t="s">
        <v>1658</v>
      </c>
      <c r="D292" t="s">
        <v>586</v>
      </c>
      <c r="E292" t="s">
        <v>1056</v>
      </c>
      <c r="F292" t="s">
        <v>1057</v>
      </c>
      <c r="G292" t="s">
        <v>1058</v>
      </c>
      <c r="H292" t="s">
        <v>90</v>
      </c>
      <c r="I292" t="s">
        <v>90</v>
      </c>
      <c r="J292">
        <v>14.430878959999999</v>
      </c>
      <c r="K292">
        <v>6.65862949</v>
      </c>
      <c r="L292">
        <v>6.3567717200000002</v>
      </c>
      <c r="M292">
        <v>4.9664004100000003</v>
      </c>
      <c r="N292">
        <v>5.50469645</v>
      </c>
      <c r="O292">
        <v>52.185163171660022</v>
      </c>
      <c r="P292">
        <v>41.578230550000001</v>
      </c>
      <c r="Q292">
        <v>20.56702637209251</v>
      </c>
      <c r="R292" t="s">
        <v>30</v>
      </c>
      <c r="S292">
        <v>14.430878959999999</v>
      </c>
      <c r="T292" t="s">
        <v>2819</v>
      </c>
      <c r="U292" t="s">
        <v>1059</v>
      </c>
    </row>
    <row r="293" spans="1:21" x14ac:dyDescent="0.25">
      <c r="A293" t="s">
        <v>4778</v>
      </c>
      <c r="B293" t="s">
        <v>4779</v>
      </c>
      <c r="C293" t="s">
        <v>4780</v>
      </c>
      <c r="D293" t="s">
        <v>586</v>
      </c>
      <c r="E293" t="s">
        <v>1056</v>
      </c>
      <c r="F293" t="s">
        <v>1071</v>
      </c>
      <c r="G293" t="s">
        <v>1216</v>
      </c>
      <c r="H293" t="s">
        <v>90</v>
      </c>
      <c r="I293" t="s">
        <v>90</v>
      </c>
      <c r="J293">
        <v>6.2094308900000001</v>
      </c>
      <c r="K293">
        <v>6.4008435199999996</v>
      </c>
      <c r="L293">
        <v>5.7042743199999997</v>
      </c>
      <c r="M293">
        <v>5.1785517299999997</v>
      </c>
      <c r="N293">
        <v>5.5214775400000002</v>
      </c>
      <c r="O293">
        <v>29.440329440329439</v>
      </c>
      <c r="P293">
        <v>36.021658019999997</v>
      </c>
      <c r="Q293">
        <v>20.234420234420231</v>
      </c>
      <c r="R293" t="s">
        <v>30</v>
      </c>
      <c r="S293">
        <v>6.2094308900000001</v>
      </c>
      <c r="T293" t="s">
        <v>2819</v>
      </c>
      <c r="U293" t="s">
        <v>1059</v>
      </c>
    </row>
    <row r="294" spans="1:21" x14ac:dyDescent="0.25">
      <c r="A294" t="s">
        <v>5634</v>
      </c>
      <c r="B294" t="s">
        <v>5635</v>
      </c>
      <c r="C294" t="s">
        <v>5636</v>
      </c>
      <c r="D294" t="s">
        <v>586</v>
      </c>
      <c r="E294" t="s">
        <v>1056</v>
      </c>
      <c r="F294" t="s">
        <v>1057</v>
      </c>
      <c r="G294" t="s">
        <v>1216</v>
      </c>
      <c r="H294" t="s">
        <v>90</v>
      </c>
      <c r="I294" t="s">
        <v>90</v>
      </c>
      <c r="J294">
        <v>2.0780746899999998</v>
      </c>
      <c r="K294">
        <v>5.6277966900000003</v>
      </c>
      <c r="L294">
        <v>6.1975629999999997</v>
      </c>
      <c r="M294">
        <v>5.6816783900000001</v>
      </c>
      <c r="N294">
        <v>5.6488879799999996</v>
      </c>
      <c r="O294">
        <v>32.728234675158077</v>
      </c>
      <c r="P294">
        <v>13.61311639</v>
      </c>
      <c r="Q294">
        <v>0</v>
      </c>
      <c r="R294" t="s">
        <v>1063</v>
      </c>
      <c r="S294">
        <v>2.0780746899999998</v>
      </c>
      <c r="T294" t="s">
        <v>2819</v>
      </c>
      <c r="U294" t="s">
        <v>1059</v>
      </c>
    </row>
    <row r="295" spans="1:21" x14ac:dyDescent="0.25">
      <c r="A295" t="s">
        <v>5069</v>
      </c>
      <c r="B295" t="s">
        <v>1659</v>
      </c>
      <c r="C295" t="s">
        <v>1660</v>
      </c>
      <c r="D295" t="s">
        <v>586</v>
      </c>
      <c r="E295" t="s">
        <v>1056</v>
      </c>
      <c r="F295" t="s">
        <v>1605</v>
      </c>
      <c r="G295" t="s">
        <v>1606</v>
      </c>
      <c r="H295" t="s">
        <v>90</v>
      </c>
      <c r="I295" t="s">
        <v>90</v>
      </c>
      <c r="J295">
        <v>24.521316169999999</v>
      </c>
      <c r="K295">
        <v>6.1516131600000001</v>
      </c>
      <c r="L295">
        <v>5.8827481300000004</v>
      </c>
      <c r="M295">
        <v>5.3842726000000001</v>
      </c>
      <c r="N295">
        <v>4.8006463899999998</v>
      </c>
      <c r="O295">
        <v>23.106116826028011</v>
      </c>
      <c r="P295">
        <v>67.526032029999996</v>
      </c>
      <c r="Q295">
        <v>3.9993903793493999</v>
      </c>
      <c r="R295" t="s">
        <v>30</v>
      </c>
      <c r="S295">
        <v>24.521316169999999</v>
      </c>
      <c r="T295" t="s">
        <v>2819</v>
      </c>
      <c r="U295" t="s">
        <v>1059</v>
      </c>
    </row>
    <row r="296" spans="1:21" x14ac:dyDescent="0.25">
      <c r="A296" t="s">
        <v>1661</v>
      </c>
      <c r="B296" t="s">
        <v>1662</v>
      </c>
      <c r="C296" t="s">
        <v>1663</v>
      </c>
      <c r="D296" t="s">
        <v>586</v>
      </c>
      <c r="E296" t="s">
        <v>1056</v>
      </c>
      <c r="F296" t="s">
        <v>1071</v>
      </c>
      <c r="G296" t="s">
        <v>1202</v>
      </c>
      <c r="H296" t="s">
        <v>90</v>
      </c>
      <c r="I296" t="s">
        <v>90</v>
      </c>
      <c r="J296">
        <v>7.8875682400000002</v>
      </c>
      <c r="K296">
        <v>5.4117226900000004</v>
      </c>
      <c r="L296">
        <v>6.54877179</v>
      </c>
      <c r="M296">
        <v>4.3820055800000004</v>
      </c>
      <c r="N296">
        <v>4.7772487000000003</v>
      </c>
      <c r="O296">
        <v>37.559928136197499</v>
      </c>
      <c r="P296">
        <v>31.119795629999999</v>
      </c>
      <c r="Q296">
        <v>9.0789002999654294</v>
      </c>
      <c r="R296" t="s">
        <v>1063</v>
      </c>
      <c r="S296">
        <v>7.8875682400000002</v>
      </c>
      <c r="T296" t="s">
        <v>2819</v>
      </c>
      <c r="U296" t="s">
        <v>1059</v>
      </c>
    </row>
    <row r="297" spans="1:21" x14ac:dyDescent="0.25">
      <c r="A297" t="s">
        <v>1664</v>
      </c>
      <c r="B297" t="s">
        <v>1665</v>
      </c>
      <c r="C297" t="s">
        <v>1666</v>
      </c>
      <c r="D297" t="s">
        <v>586</v>
      </c>
      <c r="E297" t="s">
        <v>1056</v>
      </c>
      <c r="F297" t="s">
        <v>1375</v>
      </c>
      <c r="G297" t="s">
        <v>1376</v>
      </c>
      <c r="H297" t="s">
        <v>90</v>
      </c>
      <c r="I297" t="s">
        <v>90</v>
      </c>
      <c r="J297">
        <v>39.834256889999999</v>
      </c>
      <c r="K297">
        <v>7.5098086999999998</v>
      </c>
      <c r="L297">
        <v>5.8917262399999997</v>
      </c>
      <c r="M297">
        <v>5.5416899300000004</v>
      </c>
      <c r="N297">
        <v>6.2075735500000002</v>
      </c>
      <c r="O297">
        <v>29.986834362314362</v>
      </c>
      <c r="P297">
        <v>63.880445420000001</v>
      </c>
      <c r="Q297">
        <v>27.830462492893538</v>
      </c>
      <c r="R297" t="s">
        <v>1073</v>
      </c>
      <c r="S297">
        <v>39.834256889999999</v>
      </c>
      <c r="T297" t="s">
        <v>2819</v>
      </c>
      <c r="U297" t="s">
        <v>1059</v>
      </c>
    </row>
    <row r="298" spans="1:21" x14ac:dyDescent="0.25">
      <c r="A298" t="s">
        <v>1667</v>
      </c>
      <c r="B298" t="s">
        <v>652</v>
      </c>
      <c r="C298" t="s">
        <v>651</v>
      </c>
      <c r="D298" t="s">
        <v>586</v>
      </c>
      <c r="E298" t="s">
        <v>1056</v>
      </c>
      <c r="F298" t="s">
        <v>1057</v>
      </c>
      <c r="G298" t="s">
        <v>1288</v>
      </c>
      <c r="H298" t="s">
        <v>90</v>
      </c>
      <c r="I298" t="s">
        <v>90</v>
      </c>
      <c r="J298">
        <v>102.44673340999999</v>
      </c>
      <c r="K298">
        <v>5.46395623</v>
      </c>
      <c r="L298">
        <v>5.2933079200000002</v>
      </c>
      <c r="M298">
        <v>4.7705586699999998</v>
      </c>
      <c r="N298">
        <v>5.4731498600000004</v>
      </c>
      <c r="O298">
        <v>9.8496405750798672</v>
      </c>
      <c r="P298">
        <v>149.83352152000001</v>
      </c>
      <c r="Q298">
        <v>13.099440894568691</v>
      </c>
      <c r="R298" t="s">
        <v>1063</v>
      </c>
      <c r="S298">
        <v>102.44673340999999</v>
      </c>
      <c r="T298" t="s">
        <v>2819</v>
      </c>
      <c r="U298" t="s">
        <v>1059</v>
      </c>
    </row>
    <row r="299" spans="1:21" x14ac:dyDescent="0.25">
      <c r="A299" t="s">
        <v>1668</v>
      </c>
      <c r="B299" t="s">
        <v>1669</v>
      </c>
      <c r="C299" t="s">
        <v>1670</v>
      </c>
      <c r="D299" t="s">
        <v>586</v>
      </c>
      <c r="E299" t="s">
        <v>1056</v>
      </c>
      <c r="F299" t="s">
        <v>1057</v>
      </c>
      <c r="G299" t="s">
        <v>1671</v>
      </c>
      <c r="H299" t="s">
        <v>90</v>
      </c>
      <c r="I299" t="s">
        <v>90</v>
      </c>
      <c r="J299">
        <v>1.2031492100000001</v>
      </c>
      <c r="K299">
        <v>7.6193227400000003</v>
      </c>
      <c r="L299">
        <v>6.6654199700000003</v>
      </c>
      <c r="M299">
        <v>4.9883335899999999</v>
      </c>
      <c r="N299">
        <v>6.6258647699999997</v>
      </c>
      <c r="O299">
        <v>23.857652284695419</v>
      </c>
      <c r="P299">
        <v>3.01881793</v>
      </c>
      <c r="Q299">
        <v>32.252735494528999</v>
      </c>
      <c r="R299" t="s">
        <v>1073</v>
      </c>
      <c r="S299">
        <v>1.2031492100000001</v>
      </c>
      <c r="T299" t="s">
        <v>2819</v>
      </c>
      <c r="U299" t="s">
        <v>1059</v>
      </c>
    </row>
    <row r="300" spans="1:21" x14ac:dyDescent="0.25">
      <c r="A300" t="s">
        <v>1672</v>
      </c>
      <c r="B300" t="s">
        <v>1673</v>
      </c>
      <c r="C300" t="s">
        <v>1674</v>
      </c>
      <c r="D300" t="s">
        <v>586</v>
      </c>
      <c r="E300" t="s">
        <v>1056</v>
      </c>
      <c r="F300" t="s">
        <v>1057</v>
      </c>
      <c r="G300" t="s">
        <v>1288</v>
      </c>
      <c r="H300" t="s">
        <v>90</v>
      </c>
      <c r="I300" t="s">
        <v>90</v>
      </c>
      <c r="J300">
        <v>102.44673340999999</v>
      </c>
      <c r="K300">
        <v>5.46395623</v>
      </c>
      <c r="L300">
        <v>5.2933079200000002</v>
      </c>
      <c r="M300">
        <v>4.7705586699999998</v>
      </c>
      <c r="N300">
        <v>5.4731498600000004</v>
      </c>
      <c r="O300">
        <v>9.8496405750798672</v>
      </c>
      <c r="P300">
        <v>149.83352152000001</v>
      </c>
      <c r="Q300">
        <v>13.099440894568691</v>
      </c>
      <c r="R300" t="s">
        <v>1063</v>
      </c>
      <c r="S300">
        <v>102.44673340999999</v>
      </c>
      <c r="T300" t="s">
        <v>2819</v>
      </c>
      <c r="U300" t="s">
        <v>1059</v>
      </c>
    </row>
    <row r="301" spans="1:21" x14ac:dyDescent="0.25">
      <c r="A301" t="s">
        <v>1675</v>
      </c>
      <c r="B301" t="s">
        <v>1676</v>
      </c>
      <c r="C301" t="s">
        <v>1677</v>
      </c>
      <c r="D301" t="s">
        <v>586</v>
      </c>
      <c r="E301" t="s">
        <v>1056</v>
      </c>
      <c r="F301" t="s">
        <v>1375</v>
      </c>
      <c r="G301" t="s">
        <v>1678</v>
      </c>
      <c r="H301" t="s">
        <v>90</v>
      </c>
      <c r="I301" t="s">
        <v>90</v>
      </c>
      <c r="J301">
        <v>21.302553880000001</v>
      </c>
      <c r="K301">
        <v>4.9216046899999997</v>
      </c>
      <c r="L301">
        <v>4.1066969699999998</v>
      </c>
      <c r="M301">
        <v>4.8164394499999998</v>
      </c>
      <c r="N301">
        <v>5.1332844099999999</v>
      </c>
      <c r="O301">
        <v>0</v>
      </c>
      <c r="P301">
        <v>25.71512091</v>
      </c>
      <c r="Q301">
        <v>5.1734999999999998</v>
      </c>
      <c r="R301" t="s">
        <v>1063</v>
      </c>
      <c r="S301">
        <v>21.302553880000001</v>
      </c>
      <c r="T301" t="s">
        <v>2819</v>
      </c>
      <c r="U301" t="s">
        <v>1059</v>
      </c>
    </row>
    <row r="302" spans="1:21" x14ac:dyDescent="0.25">
      <c r="A302" t="s">
        <v>1675</v>
      </c>
      <c r="B302" t="s">
        <v>1676</v>
      </c>
      <c r="C302" t="s">
        <v>5245</v>
      </c>
      <c r="D302" t="s">
        <v>586</v>
      </c>
      <c r="E302" t="s">
        <v>1056</v>
      </c>
      <c r="F302" t="s">
        <v>1375</v>
      </c>
      <c r="G302" t="s">
        <v>1678</v>
      </c>
      <c r="H302" t="s">
        <v>90</v>
      </c>
      <c r="I302" t="s">
        <v>90</v>
      </c>
      <c r="J302">
        <v>21.302553880000001</v>
      </c>
      <c r="K302">
        <v>4.9216046899999997</v>
      </c>
      <c r="L302">
        <v>4.1066969699999998</v>
      </c>
      <c r="M302">
        <v>4.8164394499999998</v>
      </c>
      <c r="N302">
        <v>5.1332844099999999</v>
      </c>
      <c r="O302">
        <v>0</v>
      </c>
      <c r="P302">
        <v>25.71512091</v>
      </c>
      <c r="Q302">
        <v>5.1734999999999998</v>
      </c>
      <c r="R302" t="s">
        <v>1063</v>
      </c>
      <c r="S302">
        <v>21.302553880000001</v>
      </c>
      <c r="T302" t="s">
        <v>2819</v>
      </c>
      <c r="U302" t="s">
        <v>1059</v>
      </c>
    </row>
    <row r="303" spans="1:21" x14ac:dyDescent="0.25">
      <c r="A303" t="s">
        <v>1679</v>
      </c>
      <c r="B303" t="s">
        <v>1680</v>
      </c>
      <c r="C303" t="s">
        <v>5385</v>
      </c>
      <c r="D303" t="s">
        <v>586</v>
      </c>
      <c r="E303" t="s">
        <v>1056</v>
      </c>
      <c r="F303" t="s">
        <v>1265</v>
      </c>
      <c r="G303" t="s">
        <v>1266</v>
      </c>
      <c r="H303" t="s">
        <v>90</v>
      </c>
      <c r="I303" t="s">
        <v>90</v>
      </c>
      <c r="J303">
        <v>30.807179609999999</v>
      </c>
      <c r="K303">
        <v>5.5739828200000003</v>
      </c>
      <c r="L303">
        <v>5.0422546199999996</v>
      </c>
      <c r="M303">
        <v>5.3529276499999998</v>
      </c>
      <c r="N303">
        <v>4.5998519199999999</v>
      </c>
      <c r="O303">
        <v>20.561299999999999</v>
      </c>
      <c r="P303">
        <v>98.023140010000006</v>
      </c>
      <c r="Q303">
        <v>0.88260000000000005</v>
      </c>
      <c r="R303" t="s">
        <v>1063</v>
      </c>
      <c r="S303">
        <v>30.807179609999999</v>
      </c>
      <c r="T303" t="s">
        <v>2819</v>
      </c>
      <c r="U303" t="s">
        <v>1059</v>
      </c>
    </row>
    <row r="304" spans="1:21" x14ac:dyDescent="0.25">
      <c r="A304" t="s">
        <v>1679</v>
      </c>
      <c r="B304" t="s">
        <v>1680</v>
      </c>
      <c r="C304" t="s">
        <v>1681</v>
      </c>
      <c r="D304" t="s">
        <v>586</v>
      </c>
      <c r="E304" t="s">
        <v>1056</v>
      </c>
      <c r="F304" t="s">
        <v>1265</v>
      </c>
      <c r="G304" t="s">
        <v>1266</v>
      </c>
      <c r="H304" t="s">
        <v>90</v>
      </c>
      <c r="I304" t="s">
        <v>90</v>
      </c>
      <c r="J304">
        <v>30.807179609999999</v>
      </c>
      <c r="K304">
        <v>5.5739828200000003</v>
      </c>
      <c r="L304">
        <v>5.0422546199999996</v>
      </c>
      <c r="M304">
        <v>5.3529276499999998</v>
      </c>
      <c r="N304">
        <v>4.5998519199999999</v>
      </c>
      <c r="O304">
        <v>20.561299999999999</v>
      </c>
      <c r="P304">
        <v>98.023140010000006</v>
      </c>
      <c r="Q304">
        <v>0.88260000000000005</v>
      </c>
      <c r="R304" t="s">
        <v>1063</v>
      </c>
      <c r="S304">
        <v>30.807179609999999</v>
      </c>
      <c r="T304" t="s">
        <v>2819</v>
      </c>
      <c r="U304" t="s">
        <v>1059</v>
      </c>
    </row>
    <row r="305" spans="1:21" x14ac:dyDescent="0.25">
      <c r="A305" t="s">
        <v>1682</v>
      </c>
      <c r="B305" t="s">
        <v>1683</v>
      </c>
      <c r="C305" t="s">
        <v>1684</v>
      </c>
      <c r="D305" t="s">
        <v>586</v>
      </c>
      <c r="E305" t="s">
        <v>1056</v>
      </c>
      <c r="F305" t="s">
        <v>1265</v>
      </c>
      <c r="G305" t="s">
        <v>1266</v>
      </c>
      <c r="H305" t="s">
        <v>90</v>
      </c>
      <c r="I305" t="s">
        <v>90</v>
      </c>
      <c r="J305">
        <v>77.103381519999999</v>
      </c>
      <c r="K305">
        <v>6.6017050599999996</v>
      </c>
      <c r="L305">
        <v>5.2923874499999997</v>
      </c>
      <c r="M305">
        <v>5.37929163</v>
      </c>
      <c r="N305">
        <v>5.23478361</v>
      </c>
      <c r="O305">
        <v>26.695663682382168</v>
      </c>
      <c r="P305">
        <v>158.06140757</v>
      </c>
      <c r="Q305">
        <v>20.362890586517882</v>
      </c>
      <c r="R305" t="s">
        <v>30</v>
      </c>
      <c r="S305">
        <v>77.103381519999999</v>
      </c>
      <c r="T305" t="s">
        <v>2819</v>
      </c>
      <c r="U305" t="s">
        <v>1059</v>
      </c>
    </row>
    <row r="306" spans="1:21" x14ac:dyDescent="0.25">
      <c r="A306" t="s">
        <v>1686</v>
      </c>
      <c r="B306" t="s">
        <v>1687</v>
      </c>
      <c r="C306" t="s">
        <v>1688</v>
      </c>
      <c r="D306" t="s">
        <v>586</v>
      </c>
      <c r="E306" t="s">
        <v>1056</v>
      </c>
      <c r="F306" t="s">
        <v>1689</v>
      </c>
      <c r="G306" t="s">
        <v>1690</v>
      </c>
      <c r="H306" t="s">
        <v>90</v>
      </c>
      <c r="I306" t="s">
        <v>90</v>
      </c>
      <c r="J306">
        <v>140.49742133999999</v>
      </c>
      <c r="K306">
        <v>7.5478974699999997</v>
      </c>
      <c r="L306">
        <v>6.7009617400000003</v>
      </c>
      <c r="M306">
        <v>4.9395472600000003</v>
      </c>
      <c r="N306">
        <v>6.2216738600000001</v>
      </c>
      <c r="O306">
        <v>54.022978173431973</v>
      </c>
      <c r="P306">
        <v>121.71363203</v>
      </c>
      <c r="Q306">
        <v>54.171498315539893</v>
      </c>
      <c r="R306" t="s">
        <v>1073</v>
      </c>
      <c r="S306">
        <v>140.49742133999999</v>
      </c>
      <c r="T306" t="s">
        <v>2819</v>
      </c>
      <c r="U306" t="s">
        <v>1059</v>
      </c>
    </row>
    <row r="307" spans="1:21" x14ac:dyDescent="0.25">
      <c r="A307" t="s">
        <v>1691</v>
      </c>
      <c r="B307" t="s">
        <v>1692</v>
      </c>
      <c r="C307" t="s">
        <v>1693</v>
      </c>
      <c r="D307" t="s">
        <v>586</v>
      </c>
      <c r="E307" t="s">
        <v>1056</v>
      </c>
      <c r="F307" t="s">
        <v>1080</v>
      </c>
      <c r="G307" t="s">
        <v>1081</v>
      </c>
      <c r="H307" t="s">
        <v>90</v>
      </c>
      <c r="I307" t="s">
        <v>90</v>
      </c>
      <c r="J307">
        <v>87.168113509999998</v>
      </c>
      <c r="K307">
        <v>7.4335900700000002</v>
      </c>
      <c r="L307">
        <v>5.7070641999999996</v>
      </c>
      <c r="M307">
        <v>4.6283715900000004</v>
      </c>
      <c r="N307">
        <v>7.2061225799999997</v>
      </c>
      <c r="O307">
        <v>53.689482570800664</v>
      </c>
      <c r="P307">
        <v>104.86789314000001</v>
      </c>
      <c r="Q307">
        <v>98.953778747869464</v>
      </c>
      <c r="R307" t="s">
        <v>1073</v>
      </c>
      <c r="S307">
        <v>87.168113509999998</v>
      </c>
      <c r="T307" t="s">
        <v>2819</v>
      </c>
      <c r="U307" t="s">
        <v>1059</v>
      </c>
    </row>
    <row r="308" spans="1:21" x14ac:dyDescent="0.25">
      <c r="A308" t="s">
        <v>4781</v>
      </c>
      <c r="B308" t="s">
        <v>1694</v>
      </c>
      <c r="C308" t="s">
        <v>1695</v>
      </c>
      <c r="D308" t="s">
        <v>586</v>
      </c>
      <c r="E308" t="s">
        <v>1056</v>
      </c>
      <c r="F308" t="s">
        <v>1080</v>
      </c>
      <c r="G308" t="s">
        <v>1696</v>
      </c>
      <c r="H308" t="s">
        <v>90</v>
      </c>
      <c r="I308" t="s">
        <v>90</v>
      </c>
      <c r="J308">
        <v>30.086985259999999</v>
      </c>
      <c r="K308">
        <v>8.06333199</v>
      </c>
      <c r="L308">
        <v>5.8384977100000004</v>
      </c>
      <c r="M308">
        <v>4.6844410400000003</v>
      </c>
      <c r="N308">
        <v>7.5590591700000003</v>
      </c>
      <c r="O308">
        <v>36.280536280536268</v>
      </c>
      <c r="P308">
        <v>36.126367469999998</v>
      </c>
      <c r="Q308">
        <v>95.605995605995588</v>
      </c>
      <c r="R308" t="s">
        <v>1073</v>
      </c>
      <c r="S308">
        <v>30.086985259999999</v>
      </c>
      <c r="T308" t="s">
        <v>2819</v>
      </c>
      <c r="U308" t="s">
        <v>1059</v>
      </c>
    </row>
    <row r="309" spans="1:21" x14ac:dyDescent="0.25">
      <c r="A309" t="s">
        <v>1697</v>
      </c>
      <c r="B309" t="s">
        <v>1698</v>
      </c>
      <c r="C309" t="s">
        <v>1699</v>
      </c>
      <c r="D309" t="s">
        <v>586</v>
      </c>
      <c r="E309" t="s">
        <v>1056</v>
      </c>
      <c r="F309" t="s">
        <v>1057</v>
      </c>
      <c r="G309" t="s">
        <v>1058</v>
      </c>
      <c r="H309" t="s">
        <v>90</v>
      </c>
      <c r="I309" t="s">
        <v>90</v>
      </c>
      <c r="J309">
        <v>26.600686639999999</v>
      </c>
      <c r="K309">
        <v>6.4149507100000003</v>
      </c>
      <c r="L309">
        <v>6.4746844799999996</v>
      </c>
      <c r="M309">
        <v>5.4958975700000003</v>
      </c>
      <c r="N309">
        <v>6.32955808</v>
      </c>
      <c r="O309">
        <v>10.24019806269437</v>
      </c>
      <c r="P309">
        <v>84.175868919999999</v>
      </c>
      <c r="Q309">
        <v>7.4034361054726991</v>
      </c>
      <c r="R309" t="s">
        <v>30</v>
      </c>
      <c r="S309">
        <v>26.600686639999999</v>
      </c>
      <c r="T309" t="s">
        <v>2819</v>
      </c>
      <c r="U309" t="s">
        <v>1059</v>
      </c>
    </row>
    <row r="310" spans="1:21" x14ac:dyDescent="0.25">
      <c r="A310" t="s">
        <v>1701</v>
      </c>
      <c r="B310" t="s">
        <v>1702</v>
      </c>
      <c r="C310" t="s">
        <v>1703</v>
      </c>
      <c r="D310" t="s">
        <v>586</v>
      </c>
      <c r="E310" t="s">
        <v>1056</v>
      </c>
      <c r="F310" t="s">
        <v>1071</v>
      </c>
      <c r="G310" t="s">
        <v>1445</v>
      </c>
      <c r="H310" t="s">
        <v>90</v>
      </c>
      <c r="I310" t="s">
        <v>90</v>
      </c>
      <c r="J310">
        <v>3.57966271</v>
      </c>
      <c r="K310">
        <v>6.6743613799999997</v>
      </c>
      <c r="L310">
        <v>6.1591770600000002</v>
      </c>
      <c r="M310">
        <v>4.9603231399999999</v>
      </c>
      <c r="N310">
        <v>5.3471720500000002</v>
      </c>
      <c r="O310">
        <v>55.10878978242043</v>
      </c>
      <c r="P310">
        <v>15.118649509999999</v>
      </c>
      <c r="Q310">
        <v>25.31014937970124</v>
      </c>
      <c r="R310" t="s">
        <v>30</v>
      </c>
      <c r="S310">
        <v>3.57966271</v>
      </c>
      <c r="T310" t="s">
        <v>2819</v>
      </c>
      <c r="U310" t="s">
        <v>1059</v>
      </c>
    </row>
    <row r="311" spans="1:21" x14ac:dyDescent="0.25">
      <c r="A311" t="s">
        <v>1704</v>
      </c>
      <c r="B311" t="s">
        <v>1705</v>
      </c>
      <c r="C311" t="s">
        <v>1706</v>
      </c>
      <c r="D311" t="s">
        <v>586</v>
      </c>
      <c r="E311" t="s">
        <v>1056</v>
      </c>
      <c r="F311" t="s">
        <v>1290</v>
      </c>
      <c r="G311" t="s">
        <v>1291</v>
      </c>
      <c r="H311" t="s">
        <v>90</v>
      </c>
      <c r="I311" t="s">
        <v>90</v>
      </c>
      <c r="J311">
        <v>74.789508609999999</v>
      </c>
      <c r="K311">
        <v>5.9756247199999999</v>
      </c>
      <c r="L311">
        <v>5.8428591499999998</v>
      </c>
      <c r="M311">
        <v>5.1082293700000001</v>
      </c>
      <c r="N311">
        <v>4.5255537199999996</v>
      </c>
      <c r="O311">
        <v>33.678487193687189</v>
      </c>
      <c r="P311">
        <v>88.812480100000002</v>
      </c>
      <c r="Q311">
        <v>5.2198706964706956</v>
      </c>
      <c r="R311" t="s">
        <v>30</v>
      </c>
      <c r="S311">
        <v>74.789508609999999</v>
      </c>
      <c r="T311" t="s">
        <v>2819</v>
      </c>
      <c r="U311" t="s">
        <v>1059</v>
      </c>
    </row>
    <row r="312" spans="1:21" x14ac:dyDescent="0.25">
      <c r="A312" t="s">
        <v>1707</v>
      </c>
      <c r="B312" t="s">
        <v>1708</v>
      </c>
      <c r="C312" t="s">
        <v>1709</v>
      </c>
      <c r="D312" t="s">
        <v>586</v>
      </c>
      <c r="E312" t="s">
        <v>1056</v>
      </c>
      <c r="F312" t="s">
        <v>1071</v>
      </c>
      <c r="G312" t="s">
        <v>1710</v>
      </c>
      <c r="H312" t="s">
        <v>90</v>
      </c>
      <c r="I312" t="s">
        <v>90</v>
      </c>
      <c r="J312">
        <v>33.761065469999998</v>
      </c>
      <c r="K312">
        <v>6.6118072799999998</v>
      </c>
      <c r="L312">
        <v>5.9233483299999996</v>
      </c>
      <c r="M312">
        <v>5.0710406199999998</v>
      </c>
      <c r="N312">
        <v>5.66539036</v>
      </c>
      <c r="O312">
        <v>26.693913551308409</v>
      </c>
      <c r="P312">
        <v>76.728211180000002</v>
      </c>
      <c r="Q312">
        <v>18.324646597172769</v>
      </c>
      <c r="R312" t="s">
        <v>30</v>
      </c>
      <c r="S312">
        <v>33.761065469999998</v>
      </c>
      <c r="T312" t="s">
        <v>2819</v>
      </c>
      <c r="U312" t="s">
        <v>1059</v>
      </c>
    </row>
    <row r="313" spans="1:21" x14ac:dyDescent="0.25">
      <c r="A313" t="s">
        <v>1711</v>
      </c>
      <c r="B313" t="s">
        <v>1712</v>
      </c>
      <c r="C313" t="s">
        <v>1713</v>
      </c>
      <c r="D313" t="s">
        <v>586</v>
      </c>
      <c r="E313" t="s">
        <v>1056</v>
      </c>
      <c r="F313" t="s">
        <v>1714</v>
      </c>
      <c r="G313" t="s">
        <v>1715</v>
      </c>
      <c r="H313" t="s">
        <v>90</v>
      </c>
      <c r="I313" t="s">
        <v>90</v>
      </c>
      <c r="J313">
        <v>22.88463561</v>
      </c>
      <c r="K313">
        <v>7.8654705900000002</v>
      </c>
      <c r="L313">
        <v>6.5971126399999998</v>
      </c>
      <c r="M313">
        <v>5.2382765100000004</v>
      </c>
      <c r="N313">
        <v>6.6502453199999998</v>
      </c>
      <c r="O313">
        <v>17.633464733070529</v>
      </c>
      <c r="P313">
        <v>54.102910100000003</v>
      </c>
      <c r="Q313">
        <v>55.033589932820142</v>
      </c>
      <c r="R313" t="s">
        <v>1073</v>
      </c>
      <c r="S313">
        <v>22.88463561</v>
      </c>
      <c r="T313" t="s">
        <v>2819</v>
      </c>
      <c r="U313" t="s">
        <v>1059</v>
      </c>
    </row>
    <row r="314" spans="1:21" x14ac:dyDescent="0.25">
      <c r="A314" t="s">
        <v>1716</v>
      </c>
      <c r="B314" t="s">
        <v>1717</v>
      </c>
      <c r="C314" t="s">
        <v>1718</v>
      </c>
      <c r="D314" t="s">
        <v>586</v>
      </c>
      <c r="E314" t="s">
        <v>1056</v>
      </c>
      <c r="F314" t="s">
        <v>1128</v>
      </c>
      <c r="G314" t="s">
        <v>1129</v>
      </c>
      <c r="H314" t="s">
        <v>90</v>
      </c>
      <c r="I314" t="s">
        <v>90</v>
      </c>
      <c r="J314">
        <v>22.9660431</v>
      </c>
      <c r="K314">
        <v>8.0322290200000008</v>
      </c>
      <c r="L314">
        <v>6.3647250800000004</v>
      </c>
      <c r="M314">
        <v>5.4399132000000003</v>
      </c>
      <c r="N314">
        <v>6.6368980100000003</v>
      </c>
      <c r="O314">
        <v>23.528023528023532</v>
      </c>
      <c r="P314">
        <v>53.056886599999999</v>
      </c>
      <c r="Q314">
        <v>70.330546671217647</v>
      </c>
      <c r="R314" t="s">
        <v>1073</v>
      </c>
      <c r="S314">
        <v>22.9660431</v>
      </c>
      <c r="T314" t="s">
        <v>2819</v>
      </c>
      <c r="U314" t="s">
        <v>1059</v>
      </c>
    </row>
    <row r="315" spans="1:21" x14ac:dyDescent="0.25">
      <c r="A315" t="s">
        <v>1719</v>
      </c>
      <c r="B315" t="s">
        <v>1720</v>
      </c>
      <c r="C315" t="s">
        <v>1721</v>
      </c>
      <c r="D315" t="s">
        <v>586</v>
      </c>
      <c r="E315" t="s">
        <v>1056</v>
      </c>
      <c r="F315" t="s">
        <v>1163</v>
      </c>
      <c r="G315" t="s">
        <v>1164</v>
      </c>
      <c r="H315" t="s">
        <v>90</v>
      </c>
      <c r="I315" t="s">
        <v>90</v>
      </c>
      <c r="J315">
        <v>6.8111460399999997</v>
      </c>
      <c r="K315">
        <v>8.1621627300000004</v>
      </c>
      <c r="L315">
        <v>6.0851114199999996</v>
      </c>
      <c r="M315">
        <v>5.5806156600000003</v>
      </c>
      <c r="N315">
        <v>6.8236523699999996</v>
      </c>
      <c r="O315">
        <v>14.15755752732742</v>
      </c>
      <c r="P315">
        <v>18.070945049999999</v>
      </c>
      <c r="Q315">
        <v>52.905541283376152</v>
      </c>
      <c r="R315" t="s">
        <v>1073</v>
      </c>
      <c r="S315">
        <v>6.8111460399999997</v>
      </c>
      <c r="T315" t="s">
        <v>2819</v>
      </c>
      <c r="U315" t="s">
        <v>1059</v>
      </c>
    </row>
    <row r="316" spans="1:21" x14ac:dyDescent="0.25">
      <c r="A316" t="s">
        <v>1722</v>
      </c>
      <c r="B316" t="s">
        <v>1723</v>
      </c>
      <c r="C316" t="s">
        <v>1724</v>
      </c>
      <c r="D316" t="s">
        <v>586</v>
      </c>
      <c r="E316" t="s">
        <v>1056</v>
      </c>
      <c r="F316" t="s">
        <v>1136</v>
      </c>
      <c r="G316" t="s">
        <v>1137</v>
      </c>
      <c r="H316" t="s">
        <v>90</v>
      </c>
      <c r="I316" t="s">
        <v>90</v>
      </c>
      <c r="J316">
        <v>22.661131449999999</v>
      </c>
      <c r="K316">
        <v>6.4667442199999998</v>
      </c>
      <c r="L316">
        <v>5.1766982400000003</v>
      </c>
      <c r="M316">
        <v>5.3655290600000001</v>
      </c>
      <c r="N316">
        <v>5.1217378199999999</v>
      </c>
      <c r="O316">
        <v>22.02045612327138</v>
      </c>
      <c r="P316">
        <v>73.094026439999993</v>
      </c>
      <c r="Q316">
        <v>13.394531468196639</v>
      </c>
      <c r="R316" t="s">
        <v>30</v>
      </c>
      <c r="S316">
        <v>22.661131449999999</v>
      </c>
      <c r="T316" t="s">
        <v>2819</v>
      </c>
      <c r="U316" t="s">
        <v>1059</v>
      </c>
    </row>
    <row r="317" spans="1:21" x14ac:dyDescent="0.25">
      <c r="A317" t="s">
        <v>5070</v>
      </c>
      <c r="B317" t="s">
        <v>1725</v>
      </c>
      <c r="C317" t="s">
        <v>1726</v>
      </c>
      <c r="D317" t="s">
        <v>586</v>
      </c>
      <c r="E317" t="s">
        <v>1056</v>
      </c>
      <c r="F317" t="s">
        <v>1163</v>
      </c>
      <c r="G317" t="s">
        <v>1727</v>
      </c>
      <c r="H317" t="s">
        <v>90</v>
      </c>
      <c r="I317" t="s">
        <v>90</v>
      </c>
      <c r="J317">
        <v>92.72754827</v>
      </c>
      <c r="K317">
        <v>6.1970255400000003</v>
      </c>
      <c r="L317">
        <v>6.2519326700000004</v>
      </c>
      <c r="M317">
        <v>5.03065433</v>
      </c>
      <c r="N317">
        <v>5.3352856400000004</v>
      </c>
      <c r="O317">
        <v>17.44991229770373</v>
      </c>
      <c r="P317">
        <v>146.41493979000001</v>
      </c>
      <c r="Q317">
        <v>25.277450722302419</v>
      </c>
      <c r="R317" t="s">
        <v>30</v>
      </c>
      <c r="S317">
        <v>92.72754827</v>
      </c>
      <c r="T317" t="s">
        <v>2819</v>
      </c>
      <c r="U317" t="s">
        <v>1059</v>
      </c>
    </row>
    <row r="318" spans="1:21" x14ac:dyDescent="0.25">
      <c r="A318" t="s">
        <v>5797</v>
      </c>
      <c r="B318" t="s">
        <v>1728</v>
      </c>
      <c r="C318" t="s">
        <v>1729</v>
      </c>
      <c r="D318" t="s">
        <v>586</v>
      </c>
      <c r="E318" t="s">
        <v>1056</v>
      </c>
      <c r="F318" t="s">
        <v>1071</v>
      </c>
      <c r="G318" t="s">
        <v>1155</v>
      </c>
      <c r="H318" t="s">
        <v>90</v>
      </c>
      <c r="I318" t="s">
        <v>90</v>
      </c>
      <c r="J318">
        <v>2.23559902</v>
      </c>
      <c r="K318">
        <v>6.7038626099999998</v>
      </c>
      <c r="L318">
        <v>7.4763253900000004</v>
      </c>
      <c r="M318">
        <v>4.8351145000000004</v>
      </c>
      <c r="N318">
        <v>6.0484256099999998</v>
      </c>
      <c r="O318">
        <v>47.008951331668349</v>
      </c>
      <c r="P318">
        <v>11.568944139999999</v>
      </c>
      <c r="Q318">
        <v>38.935758517777941</v>
      </c>
      <c r="R318" t="s">
        <v>30</v>
      </c>
      <c r="S318">
        <v>2.23559902</v>
      </c>
      <c r="T318" t="s">
        <v>2819</v>
      </c>
      <c r="U318" t="s">
        <v>1059</v>
      </c>
    </row>
    <row r="319" spans="1:21" x14ac:dyDescent="0.25">
      <c r="A319" t="s">
        <v>1731</v>
      </c>
      <c r="B319" t="s">
        <v>1732</v>
      </c>
      <c r="C319" t="s">
        <v>1733</v>
      </c>
      <c r="D319" t="s">
        <v>586</v>
      </c>
      <c r="E319" t="s">
        <v>1056</v>
      </c>
      <c r="F319" t="s">
        <v>1605</v>
      </c>
      <c r="G319" t="s">
        <v>1606</v>
      </c>
      <c r="H319" t="s">
        <v>90</v>
      </c>
      <c r="I319" t="s">
        <v>90</v>
      </c>
      <c r="J319">
        <v>179.06125542999999</v>
      </c>
      <c r="K319">
        <v>5.8659480400000001</v>
      </c>
      <c r="L319">
        <v>5.4446448900000002</v>
      </c>
      <c r="M319">
        <v>5.3008636400000002</v>
      </c>
      <c r="N319">
        <v>4.7710894100000001</v>
      </c>
      <c r="O319">
        <v>23.43442791471967</v>
      </c>
      <c r="P319">
        <v>245.54752973999999</v>
      </c>
      <c r="Q319">
        <v>3.396522436889077</v>
      </c>
      <c r="R319" t="s">
        <v>30</v>
      </c>
      <c r="S319">
        <v>179.06125542999999</v>
      </c>
      <c r="T319" t="s">
        <v>2819</v>
      </c>
      <c r="U319" t="s">
        <v>1059</v>
      </c>
    </row>
    <row r="320" spans="1:21" x14ac:dyDescent="0.25">
      <c r="A320" t="s">
        <v>1734</v>
      </c>
      <c r="B320" t="s">
        <v>1735</v>
      </c>
      <c r="C320" t="s">
        <v>1736</v>
      </c>
      <c r="D320" t="s">
        <v>586</v>
      </c>
      <c r="E320" t="s">
        <v>1056</v>
      </c>
      <c r="F320" t="s">
        <v>1737</v>
      </c>
      <c r="G320" t="s">
        <v>1738</v>
      </c>
      <c r="H320" t="s">
        <v>90</v>
      </c>
      <c r="I320" t="s">
        <v>90</v>
      </c>
      <c r="J320">
        <v>37.863648840000003</v>
      </c>
      <c r="K320">
        <v>7.6327727100000002</v>
      </c>
      <c r="L320">
        <v>6.8704700599999997</v>
      </c>
      <c r="M320">
        <v>5.1917117900000003</v>
      </c>
      <c r="N320">
        <v>6.3269110399999997</v>
      </c>
      <c r="O320">
        <v>32.897288226782123</v>
      </c>
      <c r="P320">
        <v>65.912933570000007</v>
      </c>
      <c r="Q320">
        <v>68.235342354243571</v>
      </c>
      <c r="R320" t="s">
        <v>1073</v>
      </c>
      <c r="S320">
        <v>37.863648840000003</v>
      </c>
      <c r="T320" t="s">
        <v>2819</v>
      </c>
      <c r="U320" t="s">
        <v>1059</v>
      </c>
    </row>
    <row r="321" spans="1:21" x14ac:dyDescent="0.25">
      <c r="A321" t="s">
        <v>1739</v>
      </c>
      <c r="B321" t="s">
        <v>1740</v>
      </c>
      <c r="C321" t="s">
        <v>1741</v>
      </c>
      <c r="D321" t="s">
        <v>586</v>
      </c>
      <c r="E321" t="s">
        <v>1056</v>
      </c>
      <c r="F321" t="s">
        <v>1136</v>
      </c>
      <c r="G321" t="s">
        <v>1494</v>
      </c>
      <c r="H321" t="s">
        <v>90</v>
      </c>
      <c r="I321" t="s">
        <v>90</v>
      </c>
      <c r="J321">
        <v>3.6458289700000002</v>
      </c>
      <c r="K321">
        <v>4.6599096500000003</v>
      </c>
      <c r="L321">
        <v>5.4650418700000003</v>
      </c>
      <c r="M321">
        <v>6.0745705599999997</v>
      </c>
      <c r="N321">
        <v>5.7805197799999997</v>
      </c>
      <c r="O321">
        <v>1.108207376715389</v>
      </c>
      <c r="P321">
        <v>4.3506435400000001</v>
      </c>
      <c r="Q321">
        <v>0</v>
      </c>
      <c r="R321" t="s">
        <v>1063</v>
      </c>
      <c r="S321">
        <v>3.6458289700000002</v>
      </c>
      <c r="T321" t="s">
        <v>2819</v>
      </c>
      <c r="U321" t="s">
        <v>1059</v>
      </c>
    </row>
    <row r="322" spans="1:21" x14ac:dyDescent="0.25">
      <c r="A322" t="s">
        <v>1742</v>
      </c>
      <c r="B322" t="s">
        <v>1743</v>
      </c>
      <c r="C322" t="s">
        <v>1744</v>
      </c>
      <c r="D322" t="s">
        <v>586</v>
      </c>
      <c r="E322" t="s">
        <v>1056</v>
      </c>
      <c r="F322" t="s">
        <v>1375</v>
      </c>
      <c r="G322" t="s">
        <v>1376</v>
      </c>
      <c r="H322" t="s">
        <v>90</v>
      </c>
      <c r="I322" t="s">
        <v>90</v>
      </c>
      <c r="J322">
        <v>17.628622839999998</v>
      </c>
      <c r="K322">
        <v>6.7573535800000002</v>
      </c>
      <c r="L322">
        <v>5.5496942300000001</v>
      </c>
      <c r="M322">
        <v>5.3666780799999998</v>
      </c>
      <c r="N322">
        <v>5.8649713099999996</v>
      </c>
      <c r="O322">
        <v>15.13571513571514</v>
      </c>
      <c r="P322">
        <v>50.59573915</v>
      </c>
      <c r="Q322">
        <v>26.56272656272656</v>
      </c>
      <c r="R322" t="s">
        <v>30</v>
      </c>
      <c r="S322">
        <v>17.628622839999998</v>
      </c>
      <c r="T322" t="s">
        <v>2819</v>
      </c>
      <c r="U322" t="s">
        <v>1059</v>
      </c>
    </row>
    <row r="323" spans="1:21" x14ac:dyDescent="0.25">
      <c r="A323" t="s">
        <v>1745</v>
      </c>
      <c r="B323" t="s">
        <v>699</v>
      </c>
      <c r="C323" t="s">
        <v>698</v>
      </c>
      <c r="D323" t="s">
        <v>586</v>
      </c>
      <c r="E323" t="s">
        <v>1056</v>
      </c>
      <c r="F323" t="s">
        <v>1375</v>
      </c>
      <c r="G323" t="s">
        <v>1678</v>
      </c>
      <c r="H323" t="s">
        <v>90</v>
      </c>
      <c r="I323" t="s">
        <v>90</v>
      </c>
      <c r="J323">
        <v>69.609144749999999</v>
      </c>
      <c r="K323">
        <v>5.2176548399999998</v>
      </c>
      <c r="L323">
        <v>4.9402911500000002</v>
      </c>
      <c r="M323">
        <v>4.8054402700000001</v>
      </c>
      <c r="N323">
        <v>4.9942724800000002</v>
      </c>
      <c r="O323">
        <v>2.3351317092809349</v>
      </c>
      <c r="P323">
        <v>77.948656240000005</v>
      </c>
      <c r="Q323">
        <v>5.9885520449467764</v>
      </c>
      <c r="R323" t="s">
        <v>1063</v>
      </c>
      <c r="S323">
        <v>69.609144749999999</v>
      </c>
      <c r="T323" t="s">
        <v>2819</v>
      </c>
      <c r="U323" t="s">
        <v>1059</v>
      </c>
    </row>
    <row r="324" spans="1:21" x14ac:dyDescent="0.25">
      <c r="A324" t="s">
        <v>1746</v>
      </c>
      <c r="B324" t="s">
        <v>1747</v>
      </c>
      <c r="C324" t="s">
        <v>1748</v>
      </c>
      <c r="D324" t="s">
        <v>586</v>
      </c>
      <c r="E324" t="s">
        <v>1056</v>
      </c>
      <c r="F324" t="s">
        <v>1071</v>
      </c>
      <c r="G324" t="s">
        <v>1445</v>
      </c>
      <c r="H324" t="s">
        <v>90</v>
      </c>
      <c r="I324" t="s">
        <v>90</v>
      </c>
      <c r="J324">
        <v>7.0414208699999996</v>
      </c>
      <c r="K324">
        <v>6.6085953200000001</v>
      </c>
      <c r="L324">
        <v>6.4325605799999996</v>
      </c>
      <c r="M324">
        <v>5.3027168700000002</v>
      </c>
      <c r="N324">
        <v>5.0469845600000003</v>
      </c>
      <c r="O324">
        <v>41.460054628240037</v>
      </c>
      <c r="P324">
        <v>35.038997139999999</v>
      </c>
      <c r="Q324">
        <v>9.3962721355064041</v>
      </c>
      <c r="R324" t="s">
        <v>30</v>
      </c>
      <c r="S324">
        <v>7.0414208699999996</v>
      </c>
      <c r="T324" t="s">
        <v>2819</v>
      </c>
      <c r="U324" t="s">
        <v>1059</v>
      </c>
    </row>
    <row r="325" spans="1:21" x14ac:dyDescent="0.25">
      <c r="A325" t="s">
        <v>1750</v>
      </c>
      <c r="B325" t="s">
        <v>1751</v>
      </c>
      <c r="C325" t="s">
        <v>1752</v>
      </c>
      <c r="D325" t="s">
        <v>586</v>
      </c>
      <c r="E325" t="s">
        <v>1056</v>
      </c>
      <c r="F325" t="s">
        <v>1071</v>
      </c>
      <c r="G325" t="s">
        <v>1753</v>
      </c>
      <c r="H325" t="s">
        <v>90</v>
      </c>
      <c r="I325" t="s">
        <v>90</v>
      </c>
      <c r="J325">
        <v>107.58312038</v>
      </c>
      <c r="K325">
        <v>6.0662122700000003</v>
      </c>
      <c r="L325">
        <v>5.2674914700000004</v>
      </c>
      <c r="M325">
        <v>4.6856089599999997</v>
      </c>
      <c r="N325">
        <v>5.7762328600000004</v>
      </c>
      <c r="O325">
        <v>16.827817248273181</v>
      </c>
      <c r="P325">
        <v>175.80805985000001</v>
      </c>
      <c r="Q325">
        <v>26.012916561028518</v>
      </c>
      <c r="R325" t="s">
        <v>30</v>
      </c>
      <c r="S325">
        <v>107.58312038</v>
      </c>
      <c r="T325" t="s">
        <v>2819</v>
      </c>
      <c r="U325" t="s">
        <v>1059</v>
      </c>
    </row>
    <row r="326" spans="1:21" x14ac:dyDescent="0.25">
      <c r="A326" t="s">
        <v>1754</v>
      </c>
      <c r="B326" t="s">
        <v>1755</v>
      </c>
      <c r="C326" t="s">
        <v>1756</v>
      </c>
      <c r="D326" t="s">
        <v>586</v>
      </c>
      <c r="E326" t="s">
        <v>1056</v>
      </c>
      <c r="F326" t="s">
        <v>1714</v>
      </c>
      <c r="G326" t="s">
        <v>1715</v>
      </c>
      <c r="H326" t="s">
        <v>90</v>
      </c>
      <c r="I326" t="s">
        <v>90</v>
      </c>
      <c r="J326">
        <v>22.954056949999998</v>
      </c>
      <c r="K326">
        <v>7.8198908100000004</v>
      </c>
      <c r="L326">
        <v>6.1607446399999999</v>
      </c>
      <c r="M326">
        <v>5.53618392</v>
      </c>
      <c r="N326">
        <v>6.5482041200000003</v>
      </c>
      <c r="O326">
        <v>22.067177932822069</v>
      </c>
      <c r="P326">
        <v>40.690355910000001</v>
      </c>
      <c r="Q326">
        <v>64.17483582516418</v>
      </c>
      <c r="R326" t="s">
        <v>1073</v>
      </c>
      <c r="S326">
        <v>22.954056949999998</v>
      </c>
      <c r="T326" t="s">
        <v>2819</v>
      </c>
      <c r="U326" t="s">
        <v>1059</v>
      </c>
    </row>
    <row r="327" spans="1:21" x14ac:dyDescent="0.25">
      <c r="A327" t="s">
        <v>1758</v>
      </c>
      <c r="B327" t="s">
        <v>1759</v>
      </c>
      <c r="C327" t="s">
        <v>1760</v>
      </c>
      <c r="D327" t="s">
        <v>586</v>
      </c>
      <c r="E327" t="s">
        <v>1056</v>
      </c>
      <c r="F327" t="s">
        <v>1375</v>
      </c>
      <c r="G327" t="s">
        <v>1678</v>
      </c>
      <c r="H327" t="s">
        <v>90</v>
      </c>
      <c r="I327" t="s">
        <v>90</v>
      </c>
      <c r="J327">
        <v>42.856185789999998</v>
      </c>
      <c r="K327">
        <v>4.88753481</v>
      </c>
      <c r="L327">
        <v>4.6997214700000001</v>
      </c>
      <c r="M327">
        <v>5.1029234299999997</v>
      </c>
      <c r="N327">
        <v>4.5335369999999999</v>
      </c>
      <c r="O327">
        <v>0</v>
      </c>
      <c r="P327">
        <v>47.778785489999997</v>
      </c>
      <c r="Q327">
        <v>4.6117861646415053</v>
      </c>
      <c r="R327" t="s">
        <v>1063</v>
      </c>
      <c r="S327">
        <v>42.856185789999998</v>
      </c>
      <c r="T327" t="s">
        <v>2819</v>
      </c>
      <c r="U327" t="s">
        <v>1059</v>
      </c>
    </row>
    <row r="328" spans="1:21" x14ac:dyDescent="0.25">
      <c r="A328" t="s">
        <v>1762</v>
      </c>
      <c r="B328" t="s">
        <v>1763</v>
      </c>
      <c r="C328" t="s">
        <v>1764</v>
      </c>
      <c r="D328" t="s">
        <v>586</v>
      </c>
      <c r="E328" t="s">
        <v>1056</v>
      </c>
      <c r="F328" t="s">
        <v>1375</v>
      </c>
      <c r="G328" t="s">
        <v>1376</v>
      </c>
      <c r="H328" t="s">
        <v>90</v>
      </c>
      <c r="I328" t="s">
        <v>90</v>
      </c>
      <c r="J328">
        <v>39.661327210000003</v>
      </c>
      <c r="K328">
        <v>6.8837757899999996</v>
      </c>
      <c r="L328">
        <v>5.8405899999999997</v>
      </c>
      <c r="M328">
        <v>5.5642243499999999</v>
      </c>
      <c r="N328">
        <v>5.4238122899999999</v>
      </c>
      <c r="O328">
        <v>25.6693330792002</v>
      </c>
      <c r="P328">
        <v>54.630167659999998</v>
      </c>
      <c r="Q328">
        <v>28.814925556859311</v>
      </c>
      <c r="R328" t="s">
        <v>30</v>
      </c>
      <c r="S328">
        <v>39.661327210000003</v>
      </c>
      <c r="T328" t="s">
        <v>2819</v>
      </c>
      <c r="U328" t="s">
        <v>1059</v>
      </c>
    </row>
    <row r="329" spans="1:21" x14ac:dyDescent="0.25">
      <c r="A329" t="s">
        <v>2625</v>
      </c>
      <c r="B329" t="s">
        <v>2626</v>
      </c>
      <c r="C329" t="s">
        <v>3107</v>
      </c>
      <c r="D329" t="s">
        <v>191</v>
      </c>
      <c r="E329" t="s">
        <v>4804</v>
      </c>
      <c r="F329" t="s">
        <v>1185</v>
      </c>
      <c r="G329" t="s">
        <v>1148</v>
      </c>
      <c r="H329">
        <v>6839.49</v>
      </c>
      <c r="I329">
        <v>824387</v>
      </c>
      <c r="J329">
        <v>120.53</v>
      </c>
      <c r="K329">
        <v>1.9</v>
      </c>
      <c r="L329">
        <v>2.5</v>
      </c>
      <c r="M329">
        <v>4.5999999999999996</v>
      </c>
      <c r="N329">
        <v>3.8</v>
      </c>
      <c r="O329">
        <v>2</v>
      </c>
      <c r="Q329">
        <v>11</v>
      </c>
      <c r="R329" t="s">
        <v>21</v>
      </c>
      <c r="S329">
        <v>120.53</v>
      </c>
      <c r="T329" t="s">
        <v>2819</v>
      </c>
      <c r="U329" t="s">
        <v>1062</v>
      </c>
    </row>
    <row r="330" spans="1:21" x14ac:dyDescent="0.25">
      <c r="A330" t="s">
        <v>1765</v>
      </c>
      <c r="B330" t="s">
        <v>711</v>
      </c>
      <c r="C330" t="s">
        <v>710</v>
      </c>
      <c r="D330" t="s">
        <v>586</v>
      </c>
      <c r="E330" t="s">
        <v>1056</v>
      </c>
      <c r="F330" t="s">
        <v>1766</v>
      </c>
      <c r="G330" t="s">
        <v>1266</v>
      </c>
      <c r="H330" t="s">
        <v>90</v>
      </c>
      <c r="I330" t="s">
        <v>90</v>
      </c>
      <c r="J330">
        <v>40.150213450000003</v>
      </c>
      <c r="K330">
        <v>6.3182244599999997</v>
      </c>
      <c r="L330">
        <v>5.7651252800000004</v>
      </c>
      <c r="M330">
        <v>5.2904141100000004</v>
      </c>
      <c r="N330">
        <v>5.0519476399999999</v>
      </c>
      <c r="O330">
        <v>30.073171078118978</v>
      </c>
      <c r="P330">
        <v>98.841472210000006</v>
      </c>
      <c r="Q330">
        <v>9.8735960548149588</v>
      </c>
      <c r="R330" t="s">
        <v>30</v>
      </c>
      <c r="S330">
        <v>40.150213450000003</v>
      </c>
      <c r="T330" t="s">
        <v>2819</v>
      </c>
      <c r="U330" t="s">
        <v>1059</v>
      </c>
    </row>
    <row r="331" spans="1:21" x14ac:dyDescent="0.25">
      <c r="A331" t="s">
        <v>2625</v>
      </c>
      <c r="B331" t="s">
        <v>2627</v>
      </c>
      <c r="C331" t="s">
        <v>3108</v>
      </c>
      <c r="D331" t="s">
        <v>191</v>
      </c>
      <c r="E331" t="s">
        <v>4804</v>
      </c>
      <c r="F331" t="s">
        <v>1185</v>
      </c>
      <c r="G331" t="s">
        <v>1148</v>
      </c>
      <c r="H331">
        <v>6839.49</v>
      </c>
      <c r="I331">
        <v>824387</v>
      </c>
      <c r="J331">
        <v>120.53</v>
      </c>
      <c r="K331">
        <v>1.9</v>
      </c>
      <c r="L331">
        <v>2.5</v>
      </c>
      <c r="M331">
        <v>4.5999999999999996</v>
      </c>
      <c r="N331">
        <v>3.8</v>
      </c>
      <c r="O331">
        <v>2</v>
      </c>
      <c r="Q331">
        <v>11</v>
      </c>
      <c r="R331" t="s">
        <v>21</v>
      </c>
      <c r="S331">
        <v>120.53</v>
      </c>
      <c r="T331" t="s">
        <v>2819</v>
      </c>
      <c r="U331" t="s">
        <v>1062</v>
      </c>
    </row>
    <row r="332" spans="1:21" x14ac:dyDescent="0.25">
      <c r="A332" t="s">
        <v>1768</v>
      </c>
      <c r="B332" t="s">
        <v>1769</v>
      </c>
      <c r="C332" t="s">
        <v>1770</v>
      </c>
      <c r="D332" t="s">
        <v>586</v>
      </c>
      <c r="E332" t="s">
        <v>1056</v>
      </c>
      <c r="F332" t="s">
        <v>1290</v>
      </c>
      <c r="G332" t="s">
        <v>1291</v>
      </c>
      <c r="H332" t="s">
        <v>90</v>
      </c>
      <c r="I332" t="s">
        <v>90</v>
      </c>
      <c r="J332">
        <v>111.29680488</v>
      </c>
      <c r="K332">
        <v>5.9822463199999998</v>
      </c>
      <c r="L332">
        <v>5.8083804399999996</v>
      </c>
      <c r="M332">
        <v>4.9403419900000003</v>
      </c>
      <c r="N332">
        <v>4.9697212100000003</v>
      </c>
      <c r="O332">
        <v>15.198452463248991</v>
      </c>
      <c r="P332">
        <v>145.05289292000001</v>
      </c>
      <c r="Q332">
        <v>5.551250201709701</v>
      </c>
      <c r="R332" t="s">
        <v>30</v>
      </c>
      <c r="S332">
        <v>111.29680488</v>
      </c>
      <c r="T332" t="s">
        <v>2819</v>
      </c>
      <c r="U332" t="s">
        <v>1059</v>
      </c>
    </row>
    <row r="333" spans="1:21" x14ac:dyDescent="0.25">
      <c r="A333" t="s">
        <v>1771</v>
      </c>
      <c r="B333" t="s">
        <v>1772</v>
      </c>
      <c r="C333" t="s">
        <v>1773</v>
      </c>
      <c r="D333" t="s">
        <v>586</v>
      </c>
      <c r="E333" t="s">
        <v>1056</v>
      </c>
      <c r="F333" t="s">
        <v>1136</v>
      </c>
      <c r="G333" t="s">
        <v>1137</v>
      </c>
      <c r="H333" t="s">
        <v>90</v>
      </c>
      <c r="I333" t="s">
        <v>90</v>
      </c>
      <c r="J333">
        <v>19.767100079999999</v>
      </c>
      <c r="K333">
        <v>6.2867240000000004</v>
      </c>
      <c r="L333">
        <v>5.9168034199999999</v>
      </c>
      <c r="M333">
        <v>5.3042923899999996</v>
      </c>
      <c r="N333">
        <v>5.0678427599999996</v>
      </c>
      <c r="O333">
        <v>16.366197605239101</v>
      </c>
      <c r="P333">
        <v>75.037437909999994</v>
      </c>
      <c r="Q333">
        <v>7.5489417394735927</v>
      </c>
      <c r="R333" t="s">
        <v>30</v>
      </c>
      <c r="S333">
        <v>19.767100079999999</v>
      </c>
      <c r="T333" t="s">
        <v>2819</v>
      </c>
      <c r="U333" t="s">
        <v>1059</v>
      </c>
    </row>
    <row r="334" spans="1:21" x14ac:dyDescent="0.25">
      <c r="A334" t="s">
        <v>1775</v>
      </c>
      <c r="B334" t="s">
        <v>1776</v>
      </c>
      <c r="C334" t="s">
        <v>1777</v>
      </c>
      <c r="D334" t="s">
        <v>586</v>
      </c>
      <c r="E334" t="s">
        <v>1056</v>
      </c>
      <c r="F334" t="s">
        <v>1689</v>
      </c>
      <c r="G334" t="s">
        <v>1690</v>
      </c>
      <c r="H334" t="s">
        <v>90</v>
      </c>
      <c r="I334" t="s">
        <v>90</v>
      </c>
      <c r="J334">
        <v>86.705237729999993</v>
      </c>
      <c r="K334">
        <v>7.8940739500000001</v>
      </c>
      <c r="L334">
        <v>6.5862313600000002</v>
      </c>
      <c r="M334">
        <v>5.23658701</v>
      </c>
      <c r="N334">
        <v>6.49664486</v>
      </c>
      <c r="O334">
        <v>42.676510598746333</v>
      </c>
      <c r="P334">
        <v>167.26641688000001</v>
      </c>
      <c r="Q334">
        <v>70.665739195508337</v>
      </c>
      <c r="R334" t="s">
        <v>1073</v>
      </c>
      <c r="S334">
        <v>86.705237729999993</v>
      </c>
      <c r="T334" t="s">
        <v>2819</v>
      </c>
      <c r="U334" t="s">
        <v>1059</v>
      </c>
    </row>
    <row r="335" spans="1:21" x14ac:dyDescent="0.25">
      <c r="A335" t="s">
        <v>5637</v>
      </c>
      <c r="B335" t="s">
        <v>1780</v>
      </c>
      <c r="C335" t="s">
        <v>1781</v>
      </c>
      <c r="D335" t="s">
        <v>586</v>
      </c>
      <c r="E335" t="s">
        <v>1056</v>
      </c>
      <c r="F335" t="s">
        <v>1163</v>
      </c>
      <c r="G335" t="s">
        <v>1782</v>
      </c>
      <c r="H335" t="s">
        <v>90</v>
      </c>
      <c r="I335" t="s">
        <v>90</v>
      </c>
      <c r="J335">
        <v>52.47150817</v>
      </c>
      <c r="K335">
        <v>6.4334321599999997</v>
      </c>
      <c r="L335">
        <v>6.8028904299999997</v>
      </c>
      <c r="M335">
        <v>5.1927028499999999</v>
      </c>
      <c r="N335">
        <v>5.4653068400000002</v>
      </c>
      <c r="O335">
        <v>13.783470897251179</v>
      </c>
      <c r="P335">
        <v>59.807411520000002</v>
      </c>
      <c r="Q335">
        <v>21.937146677658379</v>
      </c>
      <c r="R335" t="s">
        <v>30</v>
      </c>
      <c r="S335">
        <v>52.47150817</v>
      </c>
      <c r="T335" t="s">
        <v>2819</v>
      </c>
      <c r="U335" t="s">
        <v>1059</v>
      </c>
    </row>
    <row r="336" spans="1:21" x14ac:dyDescent="0.25">
      <c r="A336" t="s">
        <v>1784</v>
      </c>
      <c r="B336" t="s">
        <v>1785</v>
      </c>
      <c r="C336" t="s">
        <v>1786</v>
      </c>
      <c r="D336" t="s">
        <v>586</v>
      </c>
      <c r="E336" t="s">
        <v>1056</v>
      </c>
      <c r="F336" t="s">
        <v>1057</v>
      </c>
      <c r="G336" t="s">
        <v>1058</v>
      </c>
      <c r="H336" t="s">
        <v>90</v>
      </c>
      <c r="I336" t="s">
        <v>90</v>
      </c>
      <c r="J336">
        <v>31.92289946</v>
      </c>
      <c r="K336">
        <v>6.4481386699999996</v>
      </c>
      <c r="L336">
        <v>5.8684677900000004</v>
      </c>
      <c r="M336">
        <v>4.9588712399999997</v>
      </c>
      <c r="N336">
        <v>5.4958078700000002</v>
      </c>
      <c r="O336">
        <v>53.980800000000009</v>
      </c>
      <c r="P336">
        <v>99.214436359999993</v>
      </c>
      <c r="Q336">
        <v>26.843699999999998</v>
      </c>
      <c r="R336" t="s">
        <v>30</v>
      </c>
      <c r="S336">
        <v>31.92289946</v>
      </c>
      <c r="T336" t="s">
        <v>2819</v>
      </c>
      <c r="U336" t="s">
        <v>1059</v>
      </c>
    </row>
    <row r="337" spans="1:21" x14ac:dyDescent="0.25">
      <c r="A337" t="s">
        <v>1788</v>
      </c>
      <c r="B337" t="s">
        <v>1789</v>
      </c>
      <c r="C337" t="s">
        <v>1790</v>
      </c>
      <c r="D337" t="s">
        <v>586</v>
      </c>
      <c r="E337" t="s">
        <v>1056</v>
      </c>
      <c r="F337" t="s">
        <v>1163</v>
      </c>
      <c r="G337" t="s">
        <v>1791</v>
      </c>
      <c r="H337" t="s">
        <v>90</v>
      </c>
      <c r="I337" t="s">
        <v>90</v>
      </c>
      <c r="J337">
        <v>52.283745680000003</v>
      </c>
      <c r="K337">
        <v>7.1220801600000003</v>
      </c>
      <c r="L337">
        <v>5.4328658900000004</v>
      </c>
      <c r="M337">
        <v>4.8359269100000004</v>
      </c>
      <c r="N337">
        <v>6.9075240400000002</v>
      </c>
      <c r="O337">
        <v>2.7952140248006341</v>
      </c>
      <c r="P337">
        <v>63.192127800000002</v>
      </c>
      <c r="Q337">
        <v>70.666429671288739</v>
      </c>
      <c r="R337" t="s">
        <v>30</v>
      </c>
      <c r="S337">
        <v>52.283745680000003</v>
      </c>
      <c r="T337" t="s">
        <v>2819</v>
      </c>
      <c r="U337" t="s">
        <v>1059</v>
      </c>
    </row>
    <row r="338" spans="1:21" x14ac:dyDescent="0.25">
      <c r="A338" t="s">
        <v>1792</v>
      </c>
      <c r="B338" t="s">
        <v>1793</v>
      </c>
      <c r="C338" t="s">
        <v>1794</v>
      </c>
      <c r="D338" t="s">
        <v>586</v>
      </c>
      <c r="E338" t="s">
        <v>1056</v>
      </c>
      <c r="F338" t="s">
        <v>1795</v>
      </c>
      <c r="G338" t="s">
        <v>1796</v>
      </c>
      <c r="H338" t="s">
        <v>90</v>
      </c>
      <c r="I338" t="s">
        <v>90</v>
      </c>
      <c r="J338">
        <v>45.934509509999998</v>
      </c>
      <c r="K338">
        <v>6.2436051800000003</v>
      </c>
      <c r="L338">
        <v>5.0954046899999996</v>
      </c>
      <c r="M338">
        <v>4.6351699899999996</v>
      </c>
      <c r="N338">
        <v>5.4418108600000004</v>
      </c>
      <c r="O338">
        <v>0</v>
      </c>
      <c r="P338">
        <v>79.954818930000002</v>
      </c>
      <c r="Q338">
        <v>27.707103816393911</v>
      </c>
      <c r="R338" t="s">
        <v>30</v>
      </c>
      <c r="S338">
        <v>45.934509509999998</v>
      </c>
      <c r="T338" t="s">
        <v>2819</v>
      </c>
      <c r="U338" t="s">
        <v>1059</v>
      </c>
    </row>
    <row r="339" spans="1:21" x14ac:dyDescent="0.25">
      <c r="A339" t="s">
        <v>1797</v>
      </c>
      <c r="B339" t="s">
        <v>1798</v>
      </c>
      <c r="C339" t="s">
        <v>1799</v>
      </c>
      <c r="D339" t="s">
        <v>586</v>
      </c>
      <c r="E339" t="s">
        <v>1056</v>
      </c>
      <c r="F339" t="s">
        <v>1163</v>
      </c>
      <c r="G339" t="s">
        <v>1164</v>
      </c>
      <c r="H339" t="s">
        <v>90</v>
      </c>
      <c r="I339" t="s">
        <v>90</v>
      </c>
      <c r="J339">
        <v>49.655135710000003</v>
      </c>
      <c r="K339">
        <v>7.7169263099999998</v>
      </c>
      <c r="L339">
        <v>6.5282254499999999</v>
      </c>
      <c r="M339">
        <v>5.0312238999999996</v>
      </c>
      <c r="N339">
        <v>6.6215815899999999</v>
      </c>
      <c r="O339">
        <v>42.980800000000002</v>
      </c>
      <c r="P339">
        <v>57.739630239999997</v>
      </c>
      <c r="Q339">
        <v>70.761700000000005</v>
      </c>
      <c r="R339" t="s">
        <v>1073</v>
      </c>
      <c r="S339">
        <v>49.655135710000003</v>
      </c>
      <c r="T339" t="s">
        <v>2819</v>
      </c>
      <c r="U339" t="s">
        <v>1059</v>
      </c>
    </row>
    <row r="340" spans="1:21" x14ac:dyDescent="0.25">
      <c r="A340" t="s">
        <v>2628</v>
      </c>
      <c r="B340" t="s">
        <v>908</v>
      </c>
      <c r="C340" t="s">
        <v>907</v>
      </c>
      <c r="D340" t="s">
        <v>202</v>
      </c>
      <c r="E340" t="s">
        <v>4800</v>
      </c>
      <c r="F340" t="s">
        <v>1185</v>
      </c>
      <c r="G340" t="s">
        <v>1119</v>
      </c>
      <c r="H340">
        <v>199831.21</v>
      </c>
      <c r="I340">
        <v>241412</v>
      </c>
      <c r="J340">
        <v>1.21</v>
      </c>
      <c r="K340">
        <v>8</v>
      </c>
      <c r="L340">
        <v>7.6</v>
      </c>
      <c r="M340">
        <v>5.4</v>
      </c>
      <c r="N340">
        <v>5.2</v>
      </c>
      <c r="O340">
        <v>6</v>
      </c>
      <c r="Q340">
        <v>83</v>
      </c>
      <c r="R340" t="s">
        <v>1073</v>
      </c>
      <c r="S340">
        <v>1.21</v>
      </c>
      <c r="T340" t="s">
        <v>2819</v>
      </c>
      <c r="U340" t="s">
        <v>1062</v>
      </c>
    </row>
    <row r="341" spans="1:21" x14ac:dyDescent="0.25">
      <c r="A341" t="s">
        <v>1800</v>
      </c>
      <c r="B341" t="s">
        <v>1801</v>
      </c>
      <c r="C341" t="s">
        <v>1802</v>
      </c>
      <c r="D341" t="s">
        <v>586</v>
      </c>
      <c r="E341" t="s">
        <v>1056</v>
      </c>
      <c r="F341" t="s">
        <v>1071</v>
      </c>
      <c r="G341" t="s">
        <v>1155</v>
      </c>
      <c r="H341" t="s">
        <v>90</v>
      </c>
      <c r="I341" t="s">
        <v>90</v>
      </c>
      <c r="J341">
        <v>2.1649505100000002</v>
      </c>
      <c r="K341">
        <v>6.8091010399999998</v>
      </c>
      <c r="L341">
        <v>7.1192080600000001</v>
      </c>
      <c r="M341">
        <v>4.7784620100000001</v>
      </c>
      <c r="N341">
        <v>5.96459663</v>
      </c>
      <c r="O341">
        <v>62.786379349127209</v>
      </c>
      <c r="P341">
        <v>11.629113309999999</v>
      </c>
      <c r="Q341">
        <v>40.568465959572741</v>
      </c>
      <c r="R341" t="s">
        <v>30</v>
      </c>
      <c r="S341">
        <v>2.1649505100000002</v>
      </c>
      <c r="T341" t="s">
        <v>2819</v>
      </c>
      <c r="U341" t="s">
        <v>1059</v>
      </c>
    </row>
    <row r="342" spans="1:21" x14ac:dyDescent="0.25">
      <c r="A342" t="s">
        <v>1803</v>
      </c>
      <c r="B342" t="s">
        <v>1804</v>
      </c>
      <c r="C342" t="s">
        <v>1805</v>
      </c>
      <c r="D342" t="s">
        <v>586</v>
      </c>
      <c r="E342" t="s">
        <v>1056</v>
      </c>
      <c r="F342" t="s">
        <v>1714</v>
      </c>
      <c r="G342" t="s">
        <v>1715</v>
      </c>
      <c r="H342" t="s">
        <v>90</v>
      </c>
      <c r="I342" t="s">
        <v>90</v>
      </c>
      <c r="J342">
        <v>35.249319489999998</v>
      </c>
      <c r="K342">
        <v>8.1076312700000006</v>
      </c>
      <c r="L342">
        <v>7.5045040199999997</v>
      </c>
      <c r="M342">
        <v>5.3776907600000001</v>
      </c>
      <c r="N342">
        <v>6.5230451800000004</v>
      </c>
      <c r="O342">
        <v>42.360820322930003</v>
      </c>
      <c r="P342">
        <v>57.124016730000001</v>
      </c>
      <c r="Q342">
        <v>72.818659847591618</v>
      </c>
      <c r="R342" t="s">
        <v>1073</v>
      </c>
      <c r="S342">
        <v>35.249319489999998</v>
      </c>
      <c r="T342" t="s">
        <v>2819</v>
      </c>
      <c r="U342" t="s">
        <v>1059</v>
      </c>
    </row>
    <row r="343" spans="1:21" x14ac:dyDescent="0.25">
      <c r="A343" t="s">
        <v>2628</v>
      </c>
      <c r="B343" t="s">
        <v>5072</v>
      </c>
      <c r="C343" t="s">
        <v>4842</v>
      </c>
      <c r="D343" t="s">
        <v>202</v>
      </c>
      <c r="E343" t="s">
        <v>4800</v>
      </c>
      <c r="F343" t="s">
        <v>1185</v>
      </c>
      <c r="G343" t="s">
        <v>1119</v>
      </c>
      <c r="H343">
        <v>199831.21</v>
      </c>
      <c r="I343">
        <v>241412</v>
      </c>
      <c r="J343">
        <v>1.21</v>
      </c>
      <c r="K343">
        <v>8</v>
      </c>
      <c r="L343">
        <v>7.6</v>
      </c>
      <c r="M343">
        <v>5.4</v>
      </c>
      <c r="N343">
        <v>5.2</v>
      </c>
      <c r="O343">
        <v>6</v>
      </c>
      <c r="Q343">
        <v>83</v>
      </c>
      <c r="R343" t="s">
        <v>1073</v>
      </c>
      <c r="S343">
        <v>1.21</v>
      </c>
      <c r="T343" t="s">
        <v>2819</v>
      </c>
      <c r="U343" t="s">
        <v>1062</v>
      </c>
    </row>
    <row r="344" spans="1:21" x14ac:dyDescent="0.25">
      <c r="A344" t="s">
        <v>2628</v>
      </c>
      <c r="B344" t="s">
        <v>5798</v>
      </c>
      <c r="C344" t="s">
        <v>5799</v>
      </c>
      <c r="D344" t="s">
        <v>202</v>
      </c>
      <c r="E344" t="s">
        <v>4800</v>
      </c>
      <c r="F344" t="s">
        <v>1185</v>
      </c>
      <c r="G344" t="s">
        <v>1119</v>
      </c>
      <c r="H344">
        <v>199831.21</v>
      </c>
      <c r="I344">
        <v>241412</v>
      </c>
      <c r="J344">
        <v>1.21</v>
      </c>
      <c r="K344">
        <v>8</v>
      </c>
      <c r="L344">
        <v>7.6</v>
      </c>
      <c r="M344">
        <v>5.4</v>
      </c>
      <c r="N344">
        <v>5.2</v>
      </c>
      <c r="O344">
        <v>6</v>
      </c>
      <c r="Q344">
        <v>83</v>
      </c>
      <c r="R344" t="s">
        <v>1073</v>
      </c>
      <c r="S344">
        <v>1.21</v>
      </c>
      <c r="T344" t="s">
        <v>2819</v>
      </c>
      <c r="U344" t="s">
        <v>1062</v>
      </c>
    </row>
    <row r="345" spans="1:21" x14ac:dyDescent="0.25">
      <c r="A345" t="s">
        <v>1806</v>
      </c>
      <c r="B345" t="s">
        <v>1807</v>
      </c>
      <c r="C345" t="s">
        <v>1808</v>
      </c>
      <c r="D345" t="s">
        <v>586</v>
      </c>
      <c r="E345" t="s">
        <v>1056</v>
      </c>
      <c r="F345" t="s">
        <v>1375</v>
      </c>
      <c r="G345" t="s">
        <v>1678</v>
      </c>
      <c r="H345" t="s">
        <v>90</v>
      </c>
      <c r="I345" t="s">
        <v>90</v>
      </c>
      <c r="J345">
        <v>63.163601280000002</v>
      </c>
      <c r="K345">
        <v>4.84038726</v>
      </c>
      <c r="L345">
        <v>4.5625532099999999</v>
      </c>
      <c r="M345">
        <v>4.3520223600000003</v>
      </c>
      <c r="N345">
        <v>5.0208154900000004</v>
      </c>
      <c r="O345">
        <v>0</v>
      </c>
      <c r="P345">
        <v>96.396813539999997</v>
      </c>
      <c r="Q345">
        <v>5.5856167568502704</v>
      </c>
      <c r="R345" t="s">
        <v>1063</v>
      </c>
      <c r="S345">
        <v>63.163601280000002</v>
      </c>
      <c r="T345" t="s">
        <v>2819</v>
      </c>
      <c r="U345" t="s">
        <v>1059</v>
      </c>
    </row>
    <row r="346" spans="1:21" x14ac:dyDescent="0.25">
      <c r="A346" t="s">
        <v>1809</v>
      </c>
      <c r="B346" t="s">
        <v>1810</v>
      </c>
      <c r="C346" t="s">
        <v>1811</v>
      </c>
      <c r="D346" t="s">
        <v>586</v>
      </c>
      <c r="E346" t="s">
        <v>1056</v>
      </c>
      <c r="F346" t="s">
        <v>1689</v>
      </c>
      <c r="G346" t="s">
        <v>1690</v>
      </c>
      <c r="H346" t="s">
        <v>90</v>
      </c>
      <c r="I346" t="s">
        <v>90</v>
      </c>
      <c r="J346">
        <v>46.506846809999999</v>
      </c>
      <c r="K346">
        <v>7.8083986300000001</v>
      </c>
      <c r="L346">
        <v>6.7262075699999997</v>
      </c>
      <c r="M346">
        <v>5.1812097000000001</v>
      </c>
      <c r="N346">
        <v>6.5202368000000002</v>
      </c>
      <c r="O346">
        <v>38.972883528868081</v>
      </c>
      <c r="P346">
        <v>98.859179810000001</v>
      </c>
      <c r="Q346">
        <v>58.417535019851627</v>
      </c>
      <c r="R346" t="s">
        <v>1073</v>
      </c>
      <c r="S346">
        <v>46.506846809999999</v>
      </c>
      <c r="T346" t="s">
        <v>2819</v>
      </c>
      <c r="U346" t="s">
        <v>1059</v>
      </c>
    </row>
    <row r="347" spans="1:21" x14ac:dyDescent="0.25">
      <c r="A347" t="s">
        <v>2629</v>
      </c>
      <c r="B347" t="s">
        <v>5800</v>
      </c>
      <c r="C347" t="s">
        <v>5801</v>
      </c>
      <c r="D347" t="s">
        <v>191</v>
      </c>
      <c r="E347" t="s">
        <v>4804</v>
      </c>
      <c r="F347" t="s">
        <v>1185</v>
      </c>
      <c r="G347" t="s">
        <v>1147</v>
      </c>
      <c r="H347">
        <v>55174.33</v>
      </c>
      <c r="I347">
        <v>5786167</v>
      </c>
      <c r="J347">
        <v>104.87</v>
      </c>
      <c r="K347">
        <v>2.9</v>
      </c>
      <c r="L347">
        <v>2.9</v>
      </c>
      <c r="M347">
        <v>3.6</v>
      </c>
      <c r="N347">
        <v>2.7</v>
      </c>
      <c r="O347">
        <v>12</v>
      </c>
      <c r="Q347">
        <v>3</v>
      </c>
      <c r="R347" t="s">
        <v>1138</v>
      </c>
      <c r="S347">
        <v>104.87</v>
      </c>
      <c r="T347" t="s">
        <v>2819</v>
      </c>
      <c r="U347" t="s">
        <v>1062</v>
      </c>
    </row>
    <row r="348" spans="1:21" x14ac:dyDescent="0.25">
      <c r="A348" t="s">
        <v>5071</v>
      </c>
      <c r="B348" t="s">
        <v>1812</v>
      </c>
      <c r="C348" t="s">
        <v>1813</v>
      </c>
      <c r="D348" t="s">
        <v>586</v>
      </c>
      <c r="E348" t="s">
        <v>1056</v>
      </c>
      <c r="F348" t="s">
        <v>1136</v>
      </c>
      <c r="G348" t="s">
        <v>1137</v>
      </c>
      <c r="H348" t="s">
        <v>90</v>
      </c>
      <c r="I348" t="s">
        <v>90</v>
      </c>
      <c r="J348">
        <v>37.687857649999998</v>
      </c>
      <c r="K348">
        <v>6.1446485900000001</v>
      </c>
      <c r="L348">
        <v>5.6800852700000002</v>
      </c>
      <c r="M348">
        <v>5.2463495599999996</v>
      </c>
      <c r="N348">
        <v>4.7911613099999997</v>
      </c>
      <c r="O348">
        <v>25.7524246402286</v>
      </c>
      <c r="P348">
        <v>160.43392413999999</v>
      </c>
      <c r="Q348">
        <v>3.2417761390433841</v>
      </c>
      <c r="R348" t="s">
        <v>30</v>
      </c>
      <c r="S348">
        <v>37.687857649999998</v>
      </c>
      <c r="T348" t="s">
        <v>2819</v>
      </c>
      <c r="U348" t="s">
        <v>1059</v>
      </c>
    </row>
    <row r="349" spans="1:21" x14ac:dyDescent="0.25">
      <c r="A349" t="s">
        <v>2629</v>
      </c>
      <c r="B349" t="s">
        <v>2630</v>
      </c>
      <c r="C349" t="s">
        <v>3092</v>
      </c>
      <c r="D349" t="s">
        <v>191</v>
      </c>
      <c r="E349" t="s">
        <v>4804</v>
      </c>
      <c r="F349" t="s">
        <v>1185</v>
      </c>
      <c r="G349" t="s">
        <v>1147</v>
      </c>
      <c r="H349">
        <v>55174.33</v>
      </c>
      <c r="I349">
        <v>5786167</v>
      </c>
      <c r="J349">
        <v>104.87</v>
      </c>
      <c r="K349">
        <v>2.9</v>
      </c>
      <c r="L349">
        <v>2.9</v>
      </c>
      <c r="M349">
        <v>3.6</v>
      </c>
      <c r="N349">
        <v>2.7</v>
      </c>
      <c r="O349">
        <v>12</v>
      </c>
      <c r="Q349">
        <v>3</v>
      </c>
      <c r="R349" t="s">
        <v>1138</v>
      </c>
      <c r="S349">
        <v>104.87</v>
      </c>
      <c r="T349" t="s">
        <v>2819</v>
      </c>
      <c r="U349" t="s">
        <v>1062</v>
      </c>
    </row>
    <row r="350" spans="1:21" x14ac:dyDescent="0.25">
      <c r="A350" t="s">
        <v>2631</v>
      </c>
      <c r="B350" t="s">
        <v>2632</v>
      </c>
      <c r="C350" t="s">
        <v>3111</v>
      </c>
      <c r="D350" t="s">
        <v>191</v>
      </c>
      <c r="E350" t="s">
        <v>4804</v>
      </c>
      <c r="F350" t="s">
        <v>1384</v>
      </c>
      <c r="G350" t="s">
        <v>1836</v>
      </c>
      <c r="H350">
        <v>9167.56</v>
      </c>
      <c r="I350">
        <v>2248799</v>
      </c>
      <c r="J350">
        <v>245.3</v>
      </c>
      <c r="K350">
        <v>5</v>
      </c>
      <c r="L350">
        <v>4.3</v>
      </c>
      <c r="M350">
        <v>4.5999999999999996</v>
      </c>
      <c r="N350">
        <v>6</v>
      </c>
      <c r="O350">
        <v>0</v>
      </c>
      <c r="R350" t="s">
        <v>1063</v>
      </c>
      <c r="S350">
        <v>245.3</v>
      </c>
      <c r="T350" t="s">
        <v>2819</v>
      </c>
      <c r="U350" t="s">
        <v>1062</v>
      </c>
    </row>
    <row r="351" spans="1:21" x14ac:dyDescent="0.25">
      <c r="A351" t="s">
        <v>5638</v>
      </c>
      <c r="B351" t="s">
        <v>1814</v>
      </c>
      <c r="C351" t="s">
        <v>1815</v>
      </c>
      <c r="D351" t="s">
        <v>586</v>
      </c>
      <c r="E351" t="s">
        <v>1056</v>
      </c>
      <c r="F351" t="s">
        <v>1136</v>
      </c>
      <c r="G351" t="s">
        <v>1437</v>
      </c>
      <c r="H351" t="s">
        <v>90</v>
      </c>
      <c r="I351" t="s">
        <v>90</v>
      </c>
      <c r="J351">
        <v>512.63940818000003</v>
      </c>
      <c r="K351">
        <v>3.71927641</v>
      </c>
      <c r="L351">
        <v>5.1330224299999996</v>
      </c>
      <c r="M351">
        <v>5.12777672</v>
      </c>
      <c r="N351">
        <v>4.9006441499999998</v>
      </c>
      <c r="O351">
        <v>4.2720943158188671</v>
      </c>
      <c r="P351">
        <v>1194.9139740600001</v>
      </c>
      <c r="Q351">
        <v>1.52764418616183</v>
      </c>
      <c r="R351" t="s">
        <v>1138</v>
      </c>
      <c r="S351">
        <v>512.63940818000003</v>
      </c>
      <c r="T351" t="s">
        <v>2819</v>
      </c>
      <c r="U351" t="s">
        <v>1059</v>
      </c>
    </row>
    <row r="352" spans="1:21" x14ac:dyDescent="0.25">
      <c r="A352" t="s">
        <v>1816</v>
      </c>
      <c r="B352" t="s">
        <v>1817</v>
      </c>
      <c r="C352" t="s">
        <v>1818</v>
      </c>
      <c r="D352" t="s">
        <v>586</v>
      </c>
      <c r="E352" t="s">
        <v>1056</v>
      </c>
      <c r="F352" t="s">
        <v>1136</v>
      </c>
      <c r="G352" t="s">
        <v>1437</v>
      </c>
      <c r="H352" t="s">
        <v>90</v>
      </c>
      <c r="I352" t="s">
        <v>90</v>
      </c>
      <c r="J352">
        <v>571.21028350999995</v>
      </c>
      <c r="K352">
        <v>3.8774124400000001</v>
      </c>
      <c r="L352">
        <v>4.9883788500000001</v>
      </c>
      <c r="M352">
        <v>5.2385737499999996</v>
      </c>
      <c r="N352">
        <v>5.0372016899999998</v>
      </c>
      <c r="O352">
        <v>6.1104364386047516</v>
      </c>
      <c r="P352">
        <v>1040.09636413</v>
      </c>
      <c r="Q352">
        <v>1.7295869431909321</v>
      </c>
      <c r="R352" t="s">
        <v>1138</v>
      </c>
      <c r="S352">
        <v>571.21028350999995</v>
      </c>
      <c r="T352" t="s">
        <v>2819</v>
      </c>
      <c r="U352" t="s">
        <v>1059</v>
      </c>
    </row>
    <row r="353" spans="1:21" x14ac:dyDescent="0.25">
      <c r="A353" t="s">
        <v>4953</v>
      </c>
      <c r="B353" t="s">
        <v>5386</v>
      </c>
      <c r="C353" t="s">
        <v>3105</v>
      </c>
      <c r="D353" t="s">
        <v>823</v>
      </c>
      <c r="E353" t="s">
        <v>4805</v>
      </c>
      <c r="F353" t="s">
        <v>1185</v>
      </c>
      <c r="G353" t="s">
        <v>1324</v>
      </c>
      <c r="H353">
        <v>100328.73</v>
      </c>
      <c r="I353">
        <v>113655622</v>
      </c>
      <c r="J353">
        <v>1132.83</v>
      </c>
      <c r="Q353">
        <v>19</v>
      </c>
      <c r="S353">
        <v>1132.83</v>
      </c>
      <c r="T353" t="s">
        <v>2819</v>
      </c>
      <c r="U353" t="s">
        <v>1062</v>
      </c>
    </row>
    <row r="354" spans="1:21" x14ac:dyDescent="0.25">
      <c r="A354" t="s">
        <v>1819</v>
      </c>
      <c r="B354" t="s">
        <v>1820</v>
      </c>
      <c r="C354" t="s">
        <v>1821</v>
      </c>
      <c r="D354" t="s">
        <v>586</v>
      </c>
      <c r="E354" t="s">
        <v>1056</v>
      </c>
      <c r="F354" t="s">
        <v>1057</v>
      </c>
      <c r="G354" t="s">
        <v>1288</v>
      </c>
      <c r="H354" t="s">
        <v>90</v>
      </c>
      <c r="I354" t="s">
        <v>90</v>
      </c>
      <c r="J354">
        <v>97.665318810000002</v>
      </c>
      <c r="K354">
        <v>5.3207969899999998</v>
      </c>
      <c r="L354">
        <v>4.2089295800000004</v>
      </c>
      <c r="M354">
        <v>4.5091937299999998</v>
      </c>
      <c r="N354">
        <v>5.7972671800000004</v>
      </c>
      <c r="O354">
        <v>5.9330831192918891</v>
      </c>
      <c r="P354">
        <v>183.34598671000001</v>
      </c>
      <c r="Q354">
        <v>19.283636875658509</v>
      </c>
      <c r="R354" t="s">
        <v>1063</v>
      </c>
      <c r="S354">
        <v>97.665318810000002</v>
      </c>
      <c r="T354" t="s">
        <v>2819</v>
      </c>
      <c r="U354" t="s">
        <v>1059</v>
      </c>
    </row>
    <row r="355" spans="1:21" x14ac:dyDescent="0.25">
      <c r="A355" t="s">
        <v>4953</v>
      </c>
      <c r="B355" t="s">
        <v>5387</v>
      </c>
      <c r="C355" t="s">
        <v>5388</v>
      </c>
      <c r="D355" t="s">
        <v>823</v>
      </c>
      <c r="E355" t="s">
        <v>4805</v>
      </c>
      <c r="F355" t="s">
        <v>1185</v>
      </c>
      <c r="G355" t="s">
        <v>1324</v>
      </c>
      <c r="H355">
        <v>100328.73</v>
      </c>
      <c r="I355">
        <v>113655622</v>
      </c>
      <c r="J355">
        <v>1132.83</v>
      </c>
      <c r="Q355">
        <v>19</v>
      </c>
      <c r="S355">
        <v>1132.83</v>
      </c>
      <c r="T355" t="s">
        <v>2819</v>
      </c>
      <c r="U355" t="s">
        <v>1062</v>
      </c>
    </row>
    <row r="356" spans="1:21" x14ac:dyDescent="0.25">
      <c r="A356" t="s">
        <v>2633</v>
      </c>
      <c r="B356" t="s">
        <v>2634</v>
      </c>
      <c r="C356" t="s">
        <v>3070</v>
      </c>
      <c r="D356" t="s">
        <v>191</v>
      </c>
      <c r="E356" t="s">
        <v>4804</v>
      </c>
      <c r="F356" t="s">
        <v>1168</v>
      </c>
      <c r="G356" t="s">
        <v>1176</v>
      </c>
      <c r="H356">
        <v>54358.5</v>
      </c>
      <c r="I356">
        <v>10000000</v>
      </c>
      <c r="J356">
        <v>183.96</v>
      </c>
      <c r="K356">
        <v>2</v>
      </c>
      <c r="L356">
        <v>3.5</v>
      </c>
      <c r="M356">
        <v>0.4</v>
      </c>
      <c r="N356">
        <v>5</v>
      </c>
      <c r="O356">
        <v>20</v>
      </c>
      <c r="Q356">
        <v>42</v>
      </c>
      <c r="R356" t="s">
        <v>21</v>
      </c>
      <c r="S356">
        <v>183.96</v>
      </c>
      <c r="T356" t="s">
        <v>2819</v>
      </c>
      <c r="U356" t="s">
        <v>1062</v>
      </c>
    </row>
    <row r="357" spans="1:21" x14ac:dyDescent="0.25">
      <c r="A357" t="s">
        <v>1822</v>
      </c>
      <c r="B357" t="s">
        <v>1823</v>
      </c>
      <c r="C357" t="s">
        <v>1824</v>
      </c>
      <c r="D357" t="s">
        <v>586</v>
      </c>
      <c r="E357" t="s">
        <v>1056</v>
      </c>
      <c r="F357" t="s">
        <v>1136</v>
      </c>
      <c r="G357" t="s">
        <v>1437</v>
      </c>
      <c r="H357" t="s">
        <v>90</v>
      </c>
      <c r="I357" t="s">
        <v>90</v>
      </c>
      <c r="J357">
        <v>86.50338739</v>
      </c>
      <c r="K357">
        <v>3.9272781700000001</v>
      </c>
      <c r="L357">
        <v>5.0598568000000004</v>
      </c>
      <c r="M357">
        <v>5.3622009999999998</v>
      </c>
      <c r="N357">
        <v>5.2241668499999996</v>
      </c>
      <c r="O357">
        <v>1.340817154906947</v>
      </c>
      <c r="P357">
        <v>148.97330679999999</v>
      </c>
      <c r="Q357">
        <v>0.52342193307037099</v>
      </c>
      <c r="R357" t="s">
        <v>1138</v>
      </c>
      <c r="S357">
        <v>86.50338739</v>
      </c>
      <c r="T357" t="s">
        <v>2819</v>
      </c>
      <c r="U357" t="s">
        <v>1059</v>
      </c>
    </row>
    <row r="358" spans="1:21" x14ac:dyDescent="0.25">
      <c r="A358" t="s">
        <v>1825</v>
      </c>
      <c r="B358" t="s">
        <v>1826</v>
      </c>
      <c r="C358" t="s">
        <v>1827</v>
      </c>
      <c r="D358" t="s">
        <v>586</v>
      </c>
      <c r="E358" t="s">
        <v>1056</v>
      </c>
      <c r="F358" t="s">
        <v>1375</v>
      </c>
      <c r="G358" t="s">
        <v>1678</v>
      </c>
      <c r="H358" t="s">
        <v>90</v>
      </c>
      <c r="I358" t="s">
        <v>90</v>
      </c>
      <c r="J358">
        <v>63.163601280000002</v>
      </c>
      <c r="K358">
        <v>4.84038726</v>
      </c>
      <c r="L358">
        <v>4.5625532099999999</v>
      </c>
      <c r="M358">
        <v>4.3520223600000003</v>
      </c>
      <c r="N358">
        <v>5.0208154900000004</v>
      </c>
      <c r="O358">
        <v>0</v>
      </c>
      <c r="P358">
        <v>96.396813539999997</v>
      </c>
      <c r="Q358">
        <v>5.5856167568502704</v>
      </c>
      <c r="R358" t="s">
        <v>1063</v>
      </c>
      <c r="S358">
        <v>63.163601280000002</v>
      </c>
      <c r="T358" t="s">
        <v>2819</v>
      </c>
      <c r="U358" t="s">
        <v>1059</v>
      </c>
    </row>
    <row r="359" spans="1:21" x14ac:dyDescent="0.25">
      <c r="A359" t="s">
        <v>2633</v>
      </c>
      <c r="B359" t="s">
        <v>4782</v>
      </c>
      <c r="C359" t="s">
        <v>4820</v>
      </c>
      <c r="D359" t="s">
        <v>191</v>
      </c>
      <c r="E359" t="s">
        <v>4804</v>
      </c>
      <c r="F359" t="s">
        <v>1168</v>
      </c>
      <c r="G359" t="s">
        <v>1176</v>
      </c>
      <c r="H359">
        <v>54358.5</v>
      </c>
      <c r="I359">
        <v>10000000</v>
      </c>
      <c r="J359">
        <v>183.96</v>
      </c>
      <c r="K359">
        <v>2</v>
      </c>
      <c r="L359">
        <v>3.5</v>
      </c>
      <c r="M359">
        <v>0.4</v>
      </c>
      <c r="N359">
        <v>5</v>
      </c>
      <c r="O359">
        <v>20</v>
      </c>
      <c r="Q359">
        <v>42</v>
      </c>
      <c r="R359" t="s">
        <v>21</v>
      </c>
      <c r="S359">
        <v>183.96</v>
      </c>
      <c r="T359" t="s">
        <v>2819</v>
      </c>
      <c r="U359" t="s">
        <v>1062</v>
      </c>
    </row>
    <row r="360" spans="1:21" x14ac:dyDescent="0.25">
      <c r="A360" t="s">
        <v>1828</v>
      </c>
      <c r="B360" t="s">
        <v>599</v>
      </c>
      <c r="C360" t="s">
        <v>598</v>
      </c>
      <c r="D360" t="s">
        <v>586</v>
      </c>
      <c r="E360" t="s">
        <v>1056</v>
      </c>
      <c r="F360" t="s">
        <v>1265</v>
      </c>
      <c r="G360" t="s">
        <v>1829</v>
      </c>
      <c r="H360" t="s">
        <v>90</v>
      </c>
      <c r="I360" t="s">
        <v>90</v>
      </c>
      <c r="J360">
        <v>102.26559865</v>
      </c>
      <c r="K360">
        <v>5.0694951899999996</v>
      </c>
      <c r="L360">
        <v>4.3544538700000004</v>
      </c>
      <c r="M360">
        <v>4.9696051199999998</v>
      </c>
      <c r="N360">
        <v>5.1275096400000004</v>
      </c>
      <c r="O360">
        <v>0</v>
      </c>
      <c r="P360">
        <v>204.59585952</v>
      </c>
      <c r="Q360">
        <v>11.89309978789178</v>
      </c>
      <c r="R360" t="s">
        <v>1063</v>
      </c>
      <c r="S360">
        <v>102.26559865</v>
      </c>
      <c r="T360" t="s">
        <v>2819</v>
      </c>
      <c r="U360" t="s">
        <v>1059</v>
      </c>
    </row>
    <row r="361" spans="1:21" x14ac:dyDescent="0.25">
      <c r="A361" t="s">
        <v>2633</v>
      </c>
      <c r="B361" t="s">
        <v>5751</v>
      </c>
      <c r="C361" t="s">
        <v>5752</v>
      </c>
      <c r="D361" t="s">
        <v>191</v>
      </c>
      <c r="E361" t="s">
        <v>4804</v>
      </c>
      <c r="F361" t="s">
        <v>1168</v>
      </c>
      <c r="G361" t="s">
        <v>1176</v>
      </c>
      <c r="H361">
        <v>54358.5</v>
      </c>
      <c r="I361">
        <v>10000000</v>
      </c>
      <c r="J361">
        <v>183.96</v>
      </c>
      <c r="K361">
        <v>2</v>
      </c>
      <c r="L361">
        <v>3.5</v>
      </c>
      <c r="M361">
        <v>0.4</v>
      </c>
      <c r="N361">
        <v>5</v>
      </c>
      <c r="O361">
        <v>20</v>
      </c>
      <c r="Q361">
        <v>42</v>
      </c>
      <c r="R361" t="s">
        <v>21</v>
      </c>
      <c r="S361">
        <v>183.96</v>
      </c>
      <c r="T361" t="s">
        <v>2819</v>
      </c>
      <c r="U361" t="s">
        <v>1062</v>
      </c>
    </row>
    <row r="362" spans="1:21" x14ac:dyDescent="0.25">
      <c r="A362" t="s">
        <v>5389</v>
      </c>
      <c r="B362" t="s">
        <v>5390</v>
      </c>
      <c r="C362" t="s">
        <v>370</v>
      </c>
      <c r="D362" t="s">
        <v>350</v>
      </c>
      <c r="E362" t="s">
        <v>4802</v>
      </c>
      <c r="F362" t="s">
        <v>1198</v>
      </c>
      <c r="G362" t="s">
        <v>5391</v>
      </c>
      <c r="H362">
        <v>2786.38</v>
      </c>
      <c r="I362">
        <v>190</v>
      </c>
      <c r="J362">
        <v>7.0000000000000007E-2</v>
      </c>
      <c r="K362">
        <v>5.4</v>
      </c>
      <c r="L362">
        <v>3.2</v>
      </c>
      <c r="M362">
        <v>6.6</v>
      </c>
      <c r="N362">
        <v>6.6</v>
      </c>
      <c r="O362">
        <v>0</v>
      </c>
      <c r="R362" t="s">
        <v>1063</v>
      </c>
      <c r="S362">
        <v>7.0000000000000007E-2</v>
      </c>
      <c r="T362" t="s">
        <v>2819</v>
      </c>
      <c r="U362" t="s">
        <v>1062</v>
      </c>
    </row>
    <row r="363" spans="1:21" x14ac:dyDescent="0.25">
      <c r="A363" t="s">
        <v>1830</v>
      </c>
      <c r="B363" t="s">
        <v>1831</v>
      </c>
      <c r="C363" t="s">
        <v>1832</v>
      </c>
      <c r="D363" t="s">
        <v>586</v>
      </c>
      <c r="E363" t="s">
        <v>1056</v>
      </c>
      <c r="F363" t="s">
        <v>1071</v>
      </c>
      <c r="G363" t="s">
        <v>1155</v>
      </c>
      <c r="H363" t="s">
        <v>90</v>
      </c>
      <c r="I363" t="s">
        <v>90</v>
      </c>
      <c r="J363">
        <v>2.4446295899999999</v>
      </c>
      <c r="K363">
        <v>6.16885686</v>
      </c>
      <c r="L363">
        <v>6.0913534699999996</v>
      </c>
      <c r="M363">
        <v>4.4075293200000001</v>
      </c>
      <c r="N363">
        <v>5.8448076499999999</v>
      </c>
      <c r="O363">
        <v>48.264839453751662</v>
      </c>
      <c r="P363">
        <v>21.26076668</v>
      </c>
      <c r="Q363">
        <v>30.739538354710231</v>
      </c>
      <c r="R363" t="s">
        <v>30</v>
      </c>
      <c r="S363">
        <v>2.4446295899999999</v>
      </c>
      <c r="T363" t="s">
        <v>2819</v>
      </c>
      <c r="U363" t="s">
        <v>1059</v>
      </c>
    </row>
    <row r="364" spans="1:21" x14ac:dyDescent="0.25">
      <c r="A364" t="s">
        <v>1833</v>
      </c>
      <c r="B364" t="s">
        <v>1834</v>
      </c>
      <c r="C364" t="s">
        <v>1835</v>
      </c>
      <c r="D364" t="s">
        <v>586</v>
      </c>
      <c r="E364" t="s">
        <v>1056</v>
      </c>
      <c r="F364" t="s">
        <v>1057</v>
      </c>
      <c r="G364" t="s">
        <v>1288</v>
      </c>
      <c r="H364" t="s">
        <v>90</v>
      </c>
      <c r="I364" t="s">
        <v>90</v>
      </c>
      <c r="J364">
        <v>116.68727599</v>
      </c>
      <c r="K364">
        <v>5.22103348</v>
      </c>
      <c r="L364">
        <v>4.4079221500000001</v>
      </c>
      <c r="M364">
        <v>4.4134605100000002</v>
      </c>
      <c r="N364">
        <v>5.5067021299999999</v>
      </c>
      <c r="O364">
        <v>15.06385011814471</v>
      </c>
      <c r="P364">
        <v>204.40202919999999</v>
      </c>
      <c r="Q364">
        <v>12.781318343015471</v>
      </c>
      <c r="R364" t="s">
        <v>1063</v>
      </c>
      <c r="S364">
        <v>116.68727599</v>
      </c>
      <c r="T364" t="s">
        <v>2819</v>
      </c>
      <c r="U364" t="s">
        <v>1059</v>
      </c>
    </row>
    <row r="365" spans="1:21" x14ac:dyDescent="0.25">
      <c r="A365" t="s">
        <v>5389</v>
      </c>
      <c r="B365" t="s">
        <v>5392</v>
      </c>
      <c r="C365" t="s">
        <v>3797</v>
      </c>
      <c r="D365" t="s">
        <v>350</v>
      </c>
      <c r="E365" t="s">
        <v>4802</v>
      </c>
      <c r="F365" t="s">
        <v>1198</v>
      </c>
      <c r="G365" t="s">
        <v>5391</v>
      </c>
      <c r="H365">
        <v>2786.38</v>
      </c>
      <c r="I365">
        <v>190</v>
      </c>
      <c r="J365">
        <v>7.0000000000000007E-2</v>
      </c>
      <c r="K365">
        <v>5.4</v>
      </c>
      <c r="L365">
        <v>3.2</v>
      </c>
      <c r="M365">
        <v>6.6</v>
      </c>
      <c r="N365">
        <v>6.6</v>
      </c>
      <c r="O365">
        <v>0</v>
      </c>
      <c r="R365" t="s">
        <v>1063</v>
      </c>
      <c r="S365">
        <v>7.0000000000000007E-2</v>
      </c>
      <c r="T365" t="s">
        <v>2819</v>
      </c>
      <c r="U365" t="s">
        <v>1062</v>
      </c>
    </row>
    <row r="366" spans="1:21" x14ac:dyDescent="0.25">
      <c r="A366" t="s">
        <v>1837</v>
      </c>
      <c r="B366" t="s">
        <v>1838</v>
      </c>
      <c r="C366" t="s">
        <v>1839</v>
      </c>
      <c r="D366" t="s">
        <v>586</v>
      </c>
      <c r="E366" t="s">
        <v>1056</v>
      </c>
      <c r="F366" t="s">
        <v>1714</v>
      </c>
      <c r="G366" t="s">
        <v>1159</v>
      </c>
      <c r="H366" t="s">
        <v>90</v>
      </c>
      <c r="I366" t="s">
        <v>90</v>
      </c>
      <c r="J366">
        <v>0.39908696999999999</v>
      </c>
      <c r="K366">
        <v>7.9191656799999999</v>
      </c>
      <c r="L366">
        <v>7.88367927</v>
      </c>
      <c r="M366">
        <v>4.78421086</v>
      </c>
      <c r="N366">
        <v>6.18989075</v>
      </c>
      <c r="O366">
        <v>51.795999999999992</v>
      </c>
      <c r="P366">
        <v>1.79246829</v>
      </c>
      <c r="Q366">
        <v>84.279299999999978</v>
      </c>
      <c r="R366" t="s">
        <v>1073</v>
      </c>
      <c r="S366">
        <v>0.39908696999999999</v>
      </c>
      <c r="T366" t="s">
        <v>2819</v>
      </c>
      <c r="U366" t="s">
        <v>1059</v>
      </c>
    </row>
    <row r="367" spans="1:21" x14ac:dyDescent="0.25">
      <c r="A367" t="s">
        <v>5389</v>
      </c>
      <c r="B367" t="s">
        <v>4717</v>
      </c>
      <c r="C367" t="s">
        <v>3800</v>
      </c>
      <c r="D367" t="s">
        <v>350</v>
      </c>
      <c r="E367" t="s">
        <v>4802</v>
      </c>
      <c r="F367" t="s">
        <v>1198</v>
      </c>
      <c r="G367" t="s">
        <v>5391</v>
      </c>
      <c r="H367">
        <v>2786.38</v>
      </c>
      <c r="I367">
        <v>190</v>
      </c>
      <c r="J367">
        <v>7.0000000000000007E-2</v>
      </c>
      <c r="K367">
        <v>5.4</v>
      </c>
      <c r="L367">
        <v>3.2</v>
      </c>
      <c r="M367">
        <v>6.6</v>
      </c>
      <c r="N367">
        <v>6.6</v>
      </c>
      <c r="O367">
        <v>0</v>
      </c>
      <c r="R367" t="s">
        <v>1063</v>
      </c>
      <c r="S367">
        <v>7.0000000000000007E-2</v>
      </c>
      <c r="T367" t="s">
        <v>2819</v>
      </c>
      <c r="U367" t="s">
        <v>1062</v>
      </c>
    </row>
    <row r="368" spans="1:21" x14ac:dyDescent="0.25">
      <c r="A368" t="s">
        <v>1842</v>
      </c>
      <c r="B368" t="s">
        <v>1843</v>
      </c>
      <c r="C368" t="s">
        <v>1844</v>
      </c>
      <c r="D368" t="s">
        <v>586</v>
      </c>
      <c r="E368" t="s">
        <v>1056</v>
      </c>
      <c r="F368" t="s">
        <v>1714</v>
      </c>
      <c r="G368" t="s">
        <v>1715</v>
      </c>
      <c r="H368" t="s">
        <v>90</v>
      </c>
      <c r="I368" t="s">
        <v>90</v>
      </c>
      <c r="J368">
        <v>33.69213216</v>
      </c>
      <c r="K368">
        <v>7.8898336200000001</v>
      </c>
      <c r="L368">
        <v>6.6236448799999996</v>
      </c>
      <c r="M368">
        <v>5.4576828900000001</v>
      </c>
      <c r="N368">
        <v>6.5171958600000002</v>
      </c>
      <c r="O368">
        <v>37.743200000000002</v>
      </c>
      <c r="P368">
        <v>56.248684439999998</v>
      </c>
      <c r="Q368">
        <v>64.347300000000004</v>
      </c>
      <c r="R368" t="s">
        <v>1073</v>
      </c>
      <c r="S368">
        <v>33.69213216</v>
      </c>
      <c r="T368" t="s">
        <v>2819</v>
      </c>
      <c r="U368" t="s">
        <v>1059</v>
      </c>
    </row>
    <row r="369" spans="1:21" x14ac:dyDescent="0.25">
      <c r="A369" t="s">
        <v>5389</v>
      </c>
      <c r="B369" t="s">
        <v>4718</v>
      </c>
      <c r="C369" t="s">
        <v>3801</v>
      </c>
      <c r="D369" t="s">
        <v>350</v>
      </c>
      <c r="E369" t="s">
        <v>4802</v>
      </c>
      <c r="F369" t="s">
        <v>1198</v>
      </c>
      <c r="G369" t="s">
        <v>5391</v>
      </c>
      <c r="H369">
        <v>2786.38</v>
      </c>
      <c r="I369">
        <v>190</v>
      </c>
      <c r="J369">
        <v>7.0000000000000007E-2</v>
      </c>
      <c r="K369">
        <v>5.4</v>
      </c>
      <c r="L369">
        <v>3.2</v>
      </c>
      <c r="M369">
        <v>6.6</v>
      </c>
      <c r="N369">
        <v>6.6</v>
      </c>
      <c r="O369">
        <v>0</v>
      </c>
      <c r="R369" t="s">
        <v>1063</v>
      </c>
      <c r="S369">
        <v>7.0000000000000007E-2</v>
      </c>
      <c r="T369" t="s">
        <v>2819</v>
      </c>
      <c r="U369" t="s">
        <v>1062</v>
      </c>
    </row>
    <row r="370" spans="1:21" x14ac:dyDescent="0.25">
      <c r="A370" t="s">
        <v>5389</v>
      </c>
      <c r="B370" t="s">
        <v>5393</v>
      </c>
      <c r="C370" t="s">
        <v>3802</v>
      </c>
      <c r="D370" t="s">
        <v>350</v>
      </c>
      <c r="E370" t="s">
        <v>4802</v>
      </c>
      <c r="F370" t="s">
        <v>1198</v>
      </c>
      <c r="G370" t="s">
        <v>5391</v>
      </c>
      <c r="H370">
        <v>2786.38</v>
      </c>
      <c r="I370">
        <v>190</v>
      </c>
      <c r="J370">
        <v>7.0000000000000007E-2</v>
      </c>
      <c r="K370">
        <v>5.4</v>
      </c>
      <c r="L370">
        <v>3.2</v>
      </c>
      <c r="M370">
        <v>6.6</v>
      </c>
      <c r="N370">
        <v>6.6</v>
      </c>
      <c r="O370">
        <v>0</v>
      </c>
      <c r="R370" t="s">
        <v>1063</v>
      </c>
      <c r="S370">
        <v>7.0000000000000007E-2</v>
      </c>
      <c r="T370" t="s">
        <v>2819</v>
      </c>
      <c r="U370" t="s">
        <v>1062</v>
      </c>
    </row>
    <row r="371" spans="1:21" x14ac:dyDescent="0.25">
      <c r="A371" t="s">
        <v>1845</v>
      </c>
      <c r="B371" t="s">
        <v>1846</v>
      </c>
      <c r="C371" t="s">
        <v>1847</v>
      </c>
      <c r="D371" t="s">
        <v>586</v>
      </c>
      <c r="E371" t="s">
        <v>1056</v>
      </c>
      <c r="F371" t="s">
        <v>1163</v>
      </c>
      <c r="G371" t="s">
        <v>1164</v>
      </c>
      <c r="H371" t="s">
        <v>90</v>
      </c>
      <c r="I371" t="s">
        <v>90</v>
      </c>
      <c r="J371">
        <v>11.10260173</v>
      </c>
      <c r="K371">
        <v>7.9298628500000001</v>
      </c>
      <c r="L371">
        <v>6.2512713499999997</v>
      </c>
      <c r="M371">
        <v>5.5752962699999999</v>
      </c>
      <c r="N371">
        <v>6.7391140500000004</v>
      </c>
      <c r="O371">
        <v>8.8508999999999975</v>
      </c>
      <c r="P371">
        <v>41.216093710000003</v>
      </c>
      <c r="Q371">
        <v>57.505000000000003</v>
      </c>
      <c r="R371" t="s">
        <v>1073</v>
      </c>
      <c r="S371">
        <v>11.10260173</v>
      </c>
      <c r="T371" t="s">
        <v>2819</v>
      </c>
      <c r="U371" t="s">
        <v>1059</v>
      </c>
    </row>
    <row r="372" spans="1:21" x14ac:dyDescent="0.25">
      <c r="A372" t="s">
        <v>5389</v>
      </c>
      <c r="B372" t="s">
        <v>5394</v>
      </c>
      <c r="C372" t="s">
        <v>3369</v>
      </c>
      <c r="D372" t="s">
        <v>350</v>
      </c>
      <c r="E372" t="s">
        <v>4802</v>
      </c>
      <c r="F372" t="s">
        <v>1198</v>
      </c>
      <c r="G372" t="s">
        <v>5391</v>
      </c>
      <c r="H372">
        <v>2786.38</v>
      </c>
      <c r="I372">
        <v>190</v>
      </c>
      <c r="J372">
        <v>7.0000000000000007E-2</v>
      </c>
      <c r="K372">
        <v>5.4</v>
      </c>
      <c r="L372">
        <v>3.2</v>
      </c>
      <c r="M372">
        <v>6.6</v>
      </c>
      <c r="N372">
        <v>6.6</v>
      </c>
      <c r="O372">
        <v>0</v>
      </c>
      <c r="R372" t="s">
        <v>1063</v>
      </c>
      <c r="S372">
        <v>7.0000000000000007E-2</v>
      </c>
      <c r="T372" t="s">
        <v>2819</v>
      </c>
      <c r="U372" t="s">
        <v>1062</v>
      </c>
    </row>
    <row r="373" spans="1:21" x14ac:dyDescent="0.25">
      <c r="A373" t="s">
        <v>1849</v>
      </c>
      <c r="B373" t="s">
        <v>1850</v>
      </c>
      <c r="C373" t="s">
        <v>1851</v>
      </c>
      <c r="D373" t="s">
        <v>532</v>
      </c>
      <c r="E373" t="s">
        <v>1852</v>
      </c>
      <c r="F373" t="s">
        <v>1136</v>
      </c>
      <c r="G373" t="s">
        <v>1137</v>
      </c>
      <c r="H373" t="s">
        <v>90</v>
      </c>
      <c r="I373" t="s">
        <v>90</v>
      </c>
      <c r="J373">
        <v>54.244711799999997</v>
      </c>
      <c r="K373">
        <v>5.6734528900000001</v>
      </c>
      <c r="L373">
        <v>5.1220516099999998</v>
      </c>
      <c r="M373">
        <v>5.0579833900000004</v>
      </c>
      <c r="N373">
        <v>4.95683586</v>
      </c>
      <c r="O373">
        <v>21.46967853032147</v>
      </c>
      <c r="P373">
        <v>116.39988543</v>
      </c>
      <c r="Q373">
        <v>11.84068815931184</v>
      </c>
      <c r="R373" t="s">
        <v>1063</v>
      </c>
      <c r="S373">
        <v>54.244711799999997</v>
      </c>
      <c r="T373" t="s">
        <v>2819</v>
      </c>
      <c r="U373" t="s">
        <v>1059</v>
      </c>
    </row>
    <row r="374" spans="1:21" x14ac:dyDescent="0.25">
      <c r="A374" t="s">
        <v>5246</v>
      </c>
      <c r="B374" t="s">
        <v>5753</v>
      </c>
      <c r="C374" t="s">
        <v>5802</v>
      </c>
      <c r="D374" t="s">
        <v>202</v>
      </c>
      <c r="E374" t="s">
        <v>4800</v>
      </c>
      <c r="F374" t="s">
        <v>1185</v>
      </c>
      <c r="G374" t="s">
        <v>1119</v>
      </c>
      <c r="H374">
        <v>32520.51</v>
      </c>
      <c r="I374">
        <v>59163</v>
      </c>
      <c r="J374">
        <v>1.82</v>
      </c>
      <c r="K374">
        <v>7.5</v>
      </c>
      <c r="L374">
        <v>5.2</v>
      </c>
      <c r="M374">
        <v>5.8</v>
      </c>
      <c r="N374">
        <v>5.2</v>
      </c>
      <c r="O374">
        <v>1</v>
      </c>
      <c r="Q374">
        <v>46</v>
      </c>
      <c r="R374" t="s">
        <v>1073</v>
      </c>
      <c r="S374">
        <v>1.82</v>
      </c>
      <c r="T374" t="s">
        <v>2819</v>
      </c>
      <c r="U374" t="s">
        <v>1062</v>
      </c>
    </row>
    <row r="375" spans="1:21" x14ac:dyDescent="0.25">
      <c r="A375" t="s">
        <v>1853</v>
      </c>
      <c r="B375" t="s">
        <v>1854</v>
      </c>
      <c r="C375" t="s">
        <v>1855</v>
      </c>
      <c r="D375" t="s">
        <v>586</v>
      </c>
      <c r="E375" t="s">
        <v>1056</v>
      </c>
      <c r="F375" t="s">
        <v>1071</v>
      </c>
      <c r="G375" t="s">
        <v>1856</v>
      </c>
      <c r="H375" t="s">
        <v>90</v>
      </c>
      <c r="I375" t="s">
        <v>90</v>
      </c>
      <c r="J375">
        <v>119.33335889999999</v>
      </c>
      <c r="K375">
        <v>5.9841490200000003</v>
      </c>
      <c r="L375">
        <v>5.7206655499999997</v>
      </c>
      <c r="M375">
        <v>4.7353791300000001</v>
      </c>
      <c r="N375">
        <v>5.5383118700000002</v>
      </c>
      <c r="O375">
        <v>22.339600505085659</v>
      </c>
      <c r="P375">
        <v>229.43166835</v>
      </c>
      <c r="Q375">
        <v>15.801624625908509</v>
      </c>
      <c r="R375" t="s">
        <v>30</v>
      </c>
      <c r="S375">
        <v>119.33335889999999</v>
      </c>
      <c r="T375" t="s">
        <v>2819</v>
      </c>
      <c r="U375" t="s">
        <v>1059</v>
      </c>
    </row>
    <row r="376" spans="1:21" x14ac:dyDescent="0.25">
      <c r="A376" t="s">
        <v>1857</v>
      </c>
      <c r="B376" t="s">
        <v>1858</v>
      </c>
      <c r="C376" t="s">
        <v>1859</v>
      </c>
      <c r="D376" t="s">
        <v>586</v>
      </c>
      <c r="E376" t="s">
        <v>1056</v>
      </c>
      <c r="F376" t="s">
        <v>1766</v>
      </c>
      <c r="G376" t="s">
        <v>1266</v>
      </c>
      <c r="H376" t="s">
        <v>90</v>
      </c>
      <c r="I376" t="s">
        <v>90</v>
      </c>
      <c r="J376">
        <v>35.413706830000002</v>
      </c>
      <c r="K376">
        <v>6.32262097</v>
      </c>
      <c r="L376">
        <v>5.4504863099999996</v>
      </c>
      <c r="M376">
        <v>5.2527962400000003</v>
      </c>
      <c r="N376">
        <v>5.1545818099999998</v>
      </c>
      <c r="O376">
        <v>26.411879235637709</v>
      </c>
      <c r="P376">
        <v>89.616304630000002</v>
      </c>
      <c r="Q376">
        <v>12.945338836016511</v>
      </c>
      <c r="R376" t="s">
        <v>30</v>
      </c>
      <c r="S376">
        <v>35.413706830000002</v>
      </c>
      <c r="T376" t="s">
        <v>2819</v>
      </c>
      <c r="U376" t="s">
        <v>1059</v>
      </c>
    </row>
    <row r="377" spans="1:21" x14ac:dyDescent="0.25">
      <c r="A377" t="s">
        <v>1860</v>
      </c>
      <c r="B377" t="s">
        <v>1861</v>
      </c>
      <c r="C377" t="s">
        <v>1862</v>
      </c>
      <c r="D377" t="s">
        <v>586</v>
      </c>
      <c r="E377" t="s">
        <v>1056</v>
      </c>
      <c r="F377" t="s">
        <v>1163</v>
      </c>
      <c r="G377" t="s">
        <v>1164</v>
      </c>
      <c r="H377" t="s">
        <v>90</v>
      </c>
      <c r="I377" t="s">
        <v>90</v>
      </c>
      <c r="J377">
        <v>78.52272026</v>
      </c>
      <c r="K377">
        <v>7.2613698099999997</v>
      </c>
      <c r="L377">
        <v>6.4775005099999996</v>
      </c>
      <c r="M377">
        <v>4.93471583</v>
      </c>
      <c r="N377">
        <v>6.3120094900000003</v>
      </c>
      <c r="O377">
        <v>39.707361755829467</v>
      </c>
      <c r="P377">
        <v>74.559928029999995</v>
      </c>
      <c r="Q377">
        <v>52.177886932678398</v>
      </c>
      <c r="R377" t="s">
        <v>1073</v>
      </c>
      <c r="S377">
        <v>78.52272026</v>
      </c>
      <c r="T377" t="s">
        <v>2819</v>
      </c>
      <c r="U377" t="s">
        <v>1059</v>
      </c>
    </row>
    <row r="378" spans="1:21" x14ac:dyDescent="0.25">
      <c r="A378" t="s">
        <v>1863</v>
      </c>
      <c r="B378" t="s">
        <v>1864</v>
      </c>
      <c r="C378" t="s">
        <v>1865</v>
      </c>
      <c r="D378" t="s">
        <v>586</v>
      </c>
      <c r="E378" t="s">
        <v>1056</v>
      </c>
      <c r="F378" t="s">
        <v>1057</v>
      </c>
      <c r="G378" t="s">
        <v>1866</v>
      </c>
      <c r="H378" t="s">
        <v>90</v>
      </c>
      <c r="I378" t="s">
        <v>90</v>
      </c>
      <c r="J378">
        <v>33.32124426</v>
      </c>
      <c r="K378">
        <v>6.3460784800000001</v>
      </c>
      <c r="L378">
        <v>6.10415771</v>
      </c>
      <c r="M378">
        <v>5.1381993699999997</v>
      </c>
      <c r="N378">
        <v>5.94750874</v>
      </c>
      <c r="O378">
        <v>13.412286755895041</v>
      </c>
      <c r="P378">
        <v>152.77549827999999</v>
      </c>
      <c r="Q378">
        <v>9.6895919516625533</v>
      </c>
      <c r="R378" t="s">
        <v>30</v>
      </c>
      <c r="S378">
        <v>33.32124426</v>
      </c>
      <c r="T378" t="s">
        <v>2819</v>
      </c>
      <c r="U378" t="s">
        <v>1059</v>
      </c>
    </row>
    <row r="379" spans="1:21" x14ac:dyDescent="0.25">
      <c r="A379" t="s">
        <v>2635</v>
      </c>
      <c r="B379" t="s">
        <v>2636</v>
      </c>
      <c r="C379" t="s">
        <v>3324</v>
      </c>
      <c r="D379" t="s">
        <v>249</v>
      </c>
      <c r="E379" t="s">
        <v>4806</v>
      </c>
      <c r="F379" t="s">
        <v>1198</v>
      </c>
      <c r="G379" t="s">
        <v>1324</v>
      </c>
      <c r="H379">
        <v>15028.86</v>
      </c>
      <c r="I379">
        <v>691922.193500072</v>
      </c>
      <c r="J379">
        <v>46.04</v>
      </c>
      <c r="K379">
        <v>6.5</v>
      </c>
      <c r="L379">
        <v>7.9</v>
      </c>
      <c r="M379">
        <v>5.0999999999999996</v>
      </c>
      <c r="N379">
        <v>3.6</v>
      </c>
      <c r="O379">
        <v>0</v>
      </c>
      <c r="Q379">
        <v>14</v>
      </c>
      <c r="R379" t="s">
        <v>30</v>
      </c>
      <c r="S379">
        <v>46.04</v>
      </c>
      <c r="T379" t="s">
        <v>2819</v>
      </c>
      <c r="U379" t="s">
        <v>1062</v>
      </c>
    </row>
    <row r="380" spans="1:21" x14ac:dyDescent="0.25">
      <c r="A380" t="s">
        <v>1867</v>
      </c>
      <c r="B380" t="s">
        <v>1868</v>
      </c>
      <c r="C380" t="s">
        <v>1869</v>
      </c>
      <c r="D380" t="s">
        <v>586</v>
      </c>
      <c r="E380" t="s">
        <v>1056</v>
      </c>
      <c r="F380" t="s">
        <v>1057</v>
      </c>
      <c r="G380" t="s">
        <v>1283</v>
      </c>
      <c r="H380" t="s">
        <v>90</v>
      </c>
      <c r="I380" t="s">
        <v>90</v>
      </c>
      <c r="J380">
        <v>45.667960030000003</v>
      </c>
      <c r="K380">
        <v>6.5340184600000004</v>
      </c>
      <c r="L380">
        <v>6.1819558600000004</v>
      </c>
      <c r="M380">
        <v>4.7474935299999999</v>
      </c>
      <c r="N380">
        <v>5.6519442700000004</v>
      </c>
      <c r="O380">
        <v>60.859829889547527</v>
      </c>
      <c r="P380">
        <v>142.95521959000001</v>
      </c>
      <c r="Q380">
        <v>35.022325085311422</v>
      </c>
      <c r="R380" t="s">
        <v>30</v>
      </c>
      <c r="S380">
        <v>45.667960030000003</v>
      </c>
      <c r="T380" t="s">
        <v>2819</v>
      </c>
      <c r="U380" t="s">
        <v>1059</v>
      </c>
    </row>
    <row r="381" spans="1:21" x14ac:dyDescent="0.25">
      <c r="A381" t="s">
        <v>2635</v>
      </c>
      <c r="B381" t="s">
        <v>2637</v>
      </c>
      <c r="C381" t="s">
        <v>3322</v>
      </c>
      <c r="D381" t="s">
        <v>249</v>
      </c>
      <c r="E381" t="s">
        <v>4806</v>
      </c>
      <c r="F381" t="s">
        <v>1198</v>
      </c>
      <c r="G381" t="s">
        <v>1324</v>
      </c>
      <c r="H381">
        <v>15028.86</v>
      </c>
      <c r="I381">
        <v>691922.193500072</v>
      </c>
      <c r="J381">
        <v>46.04</v>
      </c>
      <c r="K381">
        <v>6.5</v>
      </c>
      <c r="L381">
        <v>7.9</v>
      </c>
      <c r="M381">
        <v>5.0999999999999996</v>
      </c>
      <c r="N381">
        <v>3.6</v>
      </c>
      <c r="O381">
        <v>0</v>
      </c>
      <c r="Q381">
        <v>14</v>
      </c>
      <c r="R381" t="s">
        <v>30</v>
      </c>
      <c r="S381">
        <v>46.04</v>
      </c>
      <c r="T381" t="s">
        <v>2819</v>
      </c>
      <c r="U381" t="s">
        <v>1062</v>
      </c>
    </row>
    <row r="382" spans="1:21" x14ac:dyDescent="0.25">
      <c r="A382" t="s">
        <v>1870</v>
      </c>
      <c r="B382" t="s">
        <v>1871</v>
      </c>
      <c r="C382" t="s">
        <v>1872</v>
      </c>
      <c r="D382" t="s">
        <v>586</v>
      </c>
      <c r="E382" t="s">
        <v>1056</v>
      </c>
      <c r="F382" t="s">
        <v>1375</v>
      </c>
      <c r="G382" t="s">
        <v>1376</v>
      </c>
      <c r="H382" t="s">
        <v>90</v>
      </c>
      <c r="I382" t="s">
        <v>90</v>
      </c>
      <c r="J382">
        <v>47.935835470000001</v>
      </c>
      <c r="K382">
        <v>7.5080988399999997</v>
      </c>
      <c r="L382">
        <v>5.8940738399999999</v>
      </c>
      <c r="M382">
        <v>5.5491859000000003</v>
      </c>
      <c r="N382">
        <v>6.1198809799999996</v>
      </c>
      <c r="O382">
        <v>36.936122068984133</v>
      </c>
      <c r="P382">
        <v>61.778834430000003</v>
      </c>
      <c r="Q382">
        <v>34.288275736620591</v>
      </c>
      <c r="R382" t="s">
        <v>1073</v>
      </c>
      <c r="S382">
        <v>47.935835470000001</v>
      </c>
      <c r="T382" t="s">
        <v>2819</v>
      </c>
      <c r="U382" t="s">
        <v>1059</v>
      </c>
    </row>
    <row r="383" spans="1:21" x14ac:dyDescent="0.25">
      <c r="A383" t="s">
        <v>1873</v>
      </c>
      <c r="B383" t="s">
        <v>1874</v>
      </c>
      <c r="C383" t="s">
        <v>1875</v>
      </c>
      <c r="D383" t="s">
        <v>586</v>
      </c>
      <c r="E383" t="s">
        <v>1056</v>
      </c>
      <c r="F383" t="s">
        <v>1136</v>
      </c>
      <c r="G383" t="s">
        <v>1437</v>
      </c>
      <c r="H383" t="s">
        <v>90</v>
      </c>
      <c r="I383" t="s">
        <v>90</v>
      </c>
      <c r="J383">
        <v>327.77238833000001</v>
      </c>
      <c r="K383">
        <v>4.0084573399999996</v>
      </c>
      <c r="L383">
        <v>5.1417589399999999</v>
      </c>
      <c r="M383">
        <v>5.4781807300000001</v>
      </c>
      <c r="N383">
        <v>5.1238441899999998</v>
      </c>
      <c r="O383">
        <v>2.411563654820212</v>
      </c>
      <c r="P383">
        <v>332.18850013999997</v>
      </c>
      <c r="Q383">
        <v>0.61736836497749104</v>
      </c>
      <c r="R383" t="s">
        <v>1138</v>
      </c>
      <c r="S383">
        <v>327.77238833000001</v>
      </c>
      <c r="T383" t="s">
        <v>2819</v>
      </c>
      <c r="U383" t="s">
        <v>1059</v>
      </c>
    </row>
    <row r="384" spans="1:21" x14ac:dyDescent="0.25">
      <c r="A384" t="s">
        <v>1876</v>
      </c>
      <c r="B384" t="s">
        <v>1877</v>
      </c>
      <c r="C384" t="s">
        <v>1878</v>
      </c>
      <c r="D384" t="s">
        <v>586</v>
      </c>
      <c r="E384" t="s">
        <v>1056</v>
      </c>
      <c r="F384" t="s">
        <v>1766</v>
      </c>
      <c r="G384" t="s">
        <v>1879</v>
      </c>
      <c r="H384" t="s">
        <v>90</v>
      </c>
      <c r="I384" t="s">
        <v>90</v>
      </c>
      <c r="J384">
        <v>33.86940105</v>
      </c>
      <c r="K384">
        <v>6.2347054699999997</v>
      </c>
      <c r="L384">
        <v>5.6127941400000001</v>
      </c>
      <c r="M384">
        <v>5.1770703999999999</v>
      </c>
      <c r="N384">
        <v>5.1290868700000001</v>
      </c>
      <c r="O384">
        <v>30.295518226890628</v>
      </c>
      <c r="P384">
        <v>100.86446048000001</v>
      </c>
      <c r="Q384">
        <v>8.9566462601224384</v>
      </c>
      <c r="R384" t="s">
        <v>30</v>
      </c>
      <c r="S384">
        <v>33.86940105</v>
      </c>
      <c r="T384" t="s">
        <v>2819</v>
      </c>
      <c r="U384" t="s">
        <v>1059</v>
      </c>
    </row>
    <row r="385" spans="1:21" x14ac:dyDescent="0.25">
      <c r="A385" t="s">
        <v>2638</v>
      </c>
      <c r="B385" t="s">
        <v>2639</v>
      </c>
      <c r="C385" t="s">
        <v>4093</v>
      </c>
      <c r="D385" t="s">
        <v>379</v>
      </c>
      <c r="E385" t="s">
        <v>4809</v>
      </c>
      <c r="F385" t="s">
        <v>1198</v>
      </c>
      <c r="G385" t="s">
        <v>1119</v>
      </c>
      <c r="H385">
        <v>7497.37</v>
      </c>
      <c r="I385">
        <v>3057.65</v>
      </c>
      <c r="J385">
        <v>0.41</v>
      </c>
      <c r="K385">
        <v>4.3</v>
      </c>
      <c r="L385">
        <v>1.3</v>
      </c>
      <c r="M385">
        <v>4.7</v>
      </c>
      <c r="N385">
        <v>4.4000000000000004</v>
      </c>
      <c r="O385">
        <v>0</v>
      </c>
      <c r="Q385">
        <v>17</v>
      </c>
      <c r="R385" t="s">
        <v>1063</v>
      </c>
      <c r="S385">
        <v>0.41</v>
      </c>
      <c r="T385" t="s">
        <v>2819</v>
      </c>
      <c r="U385" t="s">
        <v>1062</v>
      </c>
    </row>
    <row r="386" spans="1:21" x14ac:dyDescent="0.25">
      <c r="A386" t="s">
        <v>2640</v>
      </c>
      <c r="B386" t="s">
        <v>2641</v>
      </c>
      <c r="C386" t="s">
        <v>3246</v>
      </c>
      <c r="D386" t="s">
        <v>249</v>
      </c>
      <c r="E386" t="s">
        <v>4806</v>
      </c>
      <c r="F386" t="s">
        <v>1198</v>
      </c>
      <c r="G386" t="s">
        <v>1203</v>
      </c>
      <c r="H386">
        <v>58527.57</v>
      </c>
      <c r="I386">
        <v>12927441</v>
      </c>
      <c r="J386">
        <v>220.88</v>
      </c>
      <c r="K386">
        <v>5.7</v>
      </c>
      <c r="L386">
        <v>5.9</v>
      </c>
      <c r="M386">
        <v>6.2</v>
      </c>
      <c r="N386">
        <v>4.8</v>
      </c>
      <c r="O386">
        <v>6</v>
      </c>
      <c r="Q386">
        <v>37</v>
      </c>
      <c r="R386" t="s">
        <v>1063</v>
      </c>
      <c r="S386">
        <v>220.88</v>
      </c>
      <c r="T386" t="s">
        <v>2819</v>
      </c>
      <c r="U386" t="s">
        <v>1062</v>
      </c>
    </row>
    <row r="387" spans="1:21" x14ac:dyDescent="0.25">
      <c r="A387" t="s">
        <v>5395</v>
      </c>
      <c r="B387" t="s">
        <v>5396</v>
      </c>
      <c r="C387" t="s">
        <v>5397</v>
      </c>
      <c r="D387" t="s">
        <v>586</v>
      </c>
      <c r="E387" t="s">
        <v>1056</v>
      </c>
      <c r="F387" t="s">
        <v>1501</v>
      </c>
      <c r="G387" t="s">
        <v>1502</v>
      </c>
      <c r="H387" t="s">
        <v>90</v>
      </c>
      <c r="I387" t="s">
        <v>90</v>
      </c>
      <c r="J387">
        <v>111.96988128</v>
      </c>
      <c r="K387">
        <v>5.6237702799999996</v>
      </c>
      <c r="L387">
        <v>4.9676653000000002</v>
      </c>
      <c r="M387">
        <v>4.5243281700000004</v>
      </c>
      <c r="N387">
        <v>4.8677623299999997</v>
      </c>
      <c r="O387">
        <v>21.056465845395579</v>
      </c>
      <c r="P387">
        <v>400.19335855999998</v>
      </c>
      <c r="Q387">
        <v>21.02867630101866</v>
      </c>
      <c r="R387" t="s">
        <v>1063</v>
      </c>
      <c r="S387">
        <v>111.96988128</v>
      </c>
      <c r="T387" t="s">
        <v>2819</v>
      </c>
      <c r="U387" t="s">
        <v>1059</v>
      </c>
    </row>
    <row r="388" spans="1:21" x14ac:dyDescent="0.25">
      <c r="A388" t="s">
        <v>2640</v>
      </c>
      <c r="B388" t="s">
        <v>2642</v>
      </c>
      <c r="C388" t="s">
        <v>3247</v>
      </c>
      <c r="D388" t="s">
        <v>249</v>
      </c>
      <c r="E388" t="s">
        <v>4806</v>
      </c>
      <c r="F388" t="s">
        <v>1198</v>
      </c>
      <c r="G388" t="s">
        <v>1203</v>
      </c>
      <c r="H388">
        <v>58527.57</v>
      </c>
      <c r="I388">
        <v>12927441</v>
      </c>
      <c r="J388">
        <v>220.88</v>
      </c>
      <c r="K388">
        <v>5.7</v>
      </c>
      <c r="L388">
        <v>5.9</v>
      </c>
      <c r="M388">
        <v>6.2</v>
      </c>
      <c r="N388">
        <v>4.8</v>
      </c>
      <c r="O388">
        <v>6</v>
      </c>
      <c r="Q388">
        <v>37</v>
      </c>
      <c r="R388" t="s">
        <v>1063</v>
      </c>
      <c r="S388">
        <v>220.88</v>
      </c>
      <c r="T388" t="s">
        <v>2819</v>
      </c>
      <c r="U388" t="s">
        <v>1062</v>
      </c>
    </row>
    <row r="389" spans="1:21" x14ac:dyDescent="0.25">
      <c r="A389" t="s">
        <v>1880</v>
      </c>
      <c r="B389" t="s">
        <v>1881</v>
      </c>
      <c r="C389" t="s">
        <v>1882</v>
      </c>
      <c r="D389" t="s">
        <v>586</v>
      </c>
      <c r="E389" t="s">
        <v>1056</v>
      </c>
      <c r="F389" t="s">
        <v>1136</v>
      </c>
      <c r="G389" t="s">
        <v>1437</v>
      </c>
      <c r="H389" t="s">
        <v>90</v>
      </c>
      <c r="I389" t="s">
        <v>90</v>
      </c>
      <c r="J389">
        <v>577.96581717000004</v>
      </c>
      <c r="K389">
        <v>3.9954156599999999</v>
      </c>
      <c r="L389">
        <v>5.0050519299999996</v>
      </c>
      <c r="M389">
        <v>5.4932074899999996</v>
      </c>
      <c r="N389">
        <v>5.0203609599999997</v>
      </c>
      <c r="O389">
        <v>7.7309006793648081</v>
      </c>
      <c r="P389">
        <v>1079.2667732699999</v>
      </c>
      <c r="Q389">
        <v>1.0451833173564511</v>
      </c>
      <c r="R389" t="s">
        <v>1138</v>
      </c>
      <c r="S389">
        <v>577.96581717000004</v>
      </c>
      <c r="T389" t="s">
        <v>2819</v>
      </c>
      <c r="U389" t="s">
        <v>1059</v>
      </c>
    </row>
    <row r="390" spans="1:21" x14ac:dyDescent="0.25">
      <c r="A390" t="s">
        <v>1883</v>
      </c>
      <c r="B390" t="s">
        <v>1884</v>
      </c>
      <c r="C390" t="s">
        <v>1885</v>
      </c>
      <c r="D390" t="s">
        <v>586</v>
      </c>
      <c r="E390" t="s">
        <v>1056</v>
      </c>
      <c r="F390" t="s">
        <v>1071</v>
      </c>
      <c r="G390" t="s">
        <v>1886</v>
      </c>
      <c r="H390" t="s">
        <v>90</v>
      </c>
      <c r="I390" t="s">
        <v>90</v>
      </c>
      <c r="J390">
        <v>0.12</v>
      </c>
      <c r="K390">
        <v>4.8927091699999998</v>
      </c>
      <c r="L390">
        <v>5.5608897800000001</v>
      </c>
      <c r="M390">
        <v>5.5925066399999999</v>
      </c>
      <c r="N390">
        <v>6.1509964100000003</v>
      </c>
      <c r="O390">
        <v>0</v>
      </c>
      <c r="P390">
        <v>1.56</v>
      </c>
      <c r="Q390">
        <v>0</v>
      </c>
      <c r="R390" t="s">
        <v>1063</v>
      </c>
      <c r="S390">
        <v>0.12</v>
      </c>
      <c r="T390" t="s">
        <v>2819</v>
      </c>
      <c r="U390" t="s">
        <v>1059</v>
      </c>
    </row>
    <row r="391" spans="1:21" x14ac:dyDescent="0.25">
      <c r="A391" t="s">
        <v>1887</v>
      </c>
      <c r="B391" t="s">
        <v>1888</v>
      </c>
      <c r="C391" t="s">
        <v>1889</v>
      </c>
      <c r="D391" t="s">
        <v>586</v>
      </c>
      <c r="E391" t="s">
        <v>1056</v>
      </c>
      <c r="F391" t="s">
        <v>1057</v>
      </c>
      <c r="G391" t="s">
        <v>1067</v>
      </c>
      <c r="H391" t="s">
        <v>90</v>
      </c>
      <c r="I391" t="s">
        <v>90</v>
      </c>
      <c r="J391">
        <v>32.354592859999997</v>
      </c>
      <c r="K391">
        <v>5.8655685999999996</v>
      </c>
      <c r="L391">
        <v>4.6578047600000003</v>
      </c>
      <c r="M391">
        <v>4.5119951699999996</v>
      </c>
      <c r="N391">
        <v>6.1796231300000004</v>
      </c>
      <c r="O391">
        <v>1.8709566005548091</v>
      </c>
      <c r="P391">
        <v>110.69352616</v>
      </c>
      <c r="Q391">
        <v>26.663951518636189</v>
      </c>
      <c r="R391" t="s">
        <v>30</v>
      </c>
      <c r="S391">
        <v>32.354592859999997</v>
      </c>
      <c r="T391" t="s">
        <v>2819</v>
      </c>
      <c r="U391" t="s">
        <v>1059</v>
      </c>
    </row>
    <row r="392" spans="1:21" x14ac:dyDescent="0.25">
      <c r="A392" t="s">
        <v>1890</v>
      </c>
      <c r="B392" t="s">
        <v>1891</v>
      </c>
      <c r="C392" t="s">
        <v>1892</v>
      </c>
      <c r="D392" t="s">
        <v>586</v>
      </c>
      <c r="E392" t="s">
        <v>1056</v>
      </c>
      <c r="F392" t="s">
        <v>1071</v>
      </c>
      <c r="G392" t="s">
        <v>1893</v>
      </c>
      <c r="H392" t="s">
        <v>90</v>
      </c>
      <c r="I392" t="s">
        <v>90</v>
      </c>
      <c r="J392">
        <v>64.78362113</v>
      </c>
      <c r="K392">
        <v>5.7876047000000002</v>
      </c>
      <c r="L392">
        <v>5.4387960599999996</v>
      </c>
      <c r="M392">
        <v>4.8938781499999999</v>
      </c>
      <c r="N392">
        <v>5.4941006799999998</v>
      </c>
      <c r="O392">
        <v>13.270930971739871</v>
      </c>
      <c r="P392">
        <v>139.99193674</v>
      </c>
      <c r="Q392">
        <v>15.854603624961079</v>
      </c>
      <c r="R392" t="s">
        <v>30</v>
      </c>
      <c r="S392">
        <v>64.78362113</v>
      </c>
      <c r="T392" t="s">
        <v>2819</v>
      </c>
      <c r="U392" t="s">
        <v>1059</v>
      </c>
    </row>
    <row r="393" spans="1:21" x14ac:dyDescent="0.25">
      <c r="A393" t="s">
        <v>5754</v>
      </c>
      <c r="B393" t="s">
        <v>657</v>
      </c>
      <c r="C393" t="s">
        <v>656</v>
      </c>
      <c r="D393" t="s">
        <v>586</v>
      </c>
      <c r="E393" t="s">
        <v>1056</v>
      </c>
      <c r="F393" t="s">
        <v>1689</v>
      </c>
      <c r="G393" t="s">
        <v>1690</v>
      </c>
      <c r="H393" t="s">
        <v>90</v>
      </c>
      <c r="I393" t="s">
        <v>90</v>
      </c>
      <c r="J393">
        <v>46.345859349999998</v>
      </c>
      <c r="K393">
        <v>7.9855675699999997</v>
      </c>
      <c r="L393">
        <v>6.1074600800000001</v>
      </c>
      <c r="M393">
        <v>5.2274995400000002</v>
      </c>
      <c r="N393">
        <v>6.7639411000000003</v>
      </c>
      <c r="O393">
        <v>19.998243167568869</v>
      </c>
      <c r="P393">
        <v>122.7535654</v>
      </c>
      <c r="Q393">
        <v>62.944411226558508</v>
      </c>
      <c r="R393" t="s">
        <v>1073</v>
      </c>
      <c r="S393">
        <v>46.345859349999998</v>
      </c>
      <c r="T393" t="s">
        <v>2819</v>
      </c>
      <c r="U393" t="s">
        <v>1059</v>
      </c>
    </row>
    <row r="394" spans="1:21" x14ac:dyDescent="0.25">
      <c r="A394" t="s">
        <v>5755</v>
      </c>
      <c r="B394" t="s">
        <v>1894</v>
      </c>
      <c r="C394" t="s">
        <v>1895</v>
      </c>
      <c r="D394" t="s">
        <v>586</v>
      </c>
      <c r="E394" t="s">
        <v>1056</v>
      </c>
      <c r="F394" t="s">
        <v>1375</v>
      </c>
      <c r="G394" t="s">
        <v>1376</v>
      </c>
      <c r="H394" t="s">
        <v>90</v>
      </c>
      <c r="I394" t="s">
        <v>90</v>
      </c>
      <c r="J394">
        <v>69.404318470000007</v>
      </c>
      <c r="K394">
        <v>7.0920534799999997</v>
      </c>
      <c r="L394">
        <v>5.8786159199999997</v>
      </c>
      <c r="M394">
        <v>5.2513225300000004</v>
      </c>
      <c r="N394">
        <v>5.7397749300000003</v>
      </c>
      <c r="O394">
        <v>44.664210671578672</v>
      </c>
      <c r="P394">
        <v>78.556227440000001</v>
      </c>
      <c r="Q394">
        <v>29.653340693318611</v>
      </c>
      <c r="R394" t="s">
        <v>30</v>
      </c>
      <c r="S394">
        <v>69.404318470000007</v>
      </c>
      <c r="T394" t="s">
        <v>2819</v>
      </c>
      <c r="U394" t="s">
        <v>1059</v>
      </c>
    </row>
    <row r="395" spans="1:21" x14ac:dyDescent="0.25">
      <c r="A395" t="s">
        <v>2645</v>
      </c>
      <c r="B395" t="s">
        <v>2646</v>
      </c>
      <c r="C395" t="s">
        <v>3058</v>
      </c>
      <c r="D395" t="s">
        <v>191</v>
      </c>
      <c r="E395" t="s">
        <v>4804</v>
      </c>
      <c r="F395" t="s">
        <v>1296</v>
      </c>
      <c r="G395" t="s">
        <v>1324</v>
      </c>
      <c r="H395">
        <v>9485.2000000000007</v>
      </c>
      <c r="I395">
        <v>314444</v>
      </c>
      <c r="J395">
        <v>33.15</v>
      </c>
      <c r="K395">
        <v>6.9</v>
      </c>
      <c r="L395">
        <v>7.9</v>
      </c>
      <c r="M395">
        <v>5.5</v>
      </c>
      <c r="N395">
        <v>5.2</v>
      </c>
      <c r="O395">
        <v>0</v>
      </c>
      <c r="Q395">
        <v>67</v>
      </c>
      <c r="R395" t="s">
        <v>30</v>
      </c>
      <c r="S395">
        <v>33.15</v>
      </c>
      <c r="T395" t="s">
        <v>2819</v>
      </c>
      <c r="U395" t="s">
        <v>1062</v>
      </c>
    </row>
    <row r="396" spans="1:21" x14ac:dyDescent="0.25">
      <c r="A396" t="s">
        <v>1896</v>
      </c>
      <c r="B396" t="s">
        <v>1897</v>
      </c>
      <c r="C396" t="s">
        <v>1898</v>
      </c>
      <c r="D396" t="s">
        <v>586</v>
      </c>
      <c r="E396" t="s">
        <v>1056</v>
      </c>
      <c r="F396" t="s">
        <v>1136</v>
      </c>
      <c r="G396" t="s">
        <v>1494</v>
      </c>
      <c r="H396" t="s">
        <v>90</v>
      </c>
      <c r="I396" t="s">
        <v>90</v>
      </c>
      <c r="J396">
        <v>8.2087289999999993E-2</v>
      </c>
      <c r="K396">
        <v>4.3949308399999998</v>
      </c>
      <c r="L396">
        <v>4.9531458099999996</v>
      </c>
      <c r="M396">
        <v>5.6844629700000002</v>
      </c>
      <c r="N396">
        <v>5.5094255800000003</v>
      </c>
      <c r="O396">
        <v>6.1605875406859409</v>
      </c>
      <c r="P396">
        <v>3.8527745499999999</v>
      </c>
      <c r="Q396">
        <v>0</v>
      </c>
      <c r="R396" t="s">
        <v>1063</v>
      </c>
      <c r="S396">
        <v>8.2087289999999993E-2</v>
      </c>
      <c r="T396" t="s">
        <v>2819</v>
      </c>
      <c r="U396" t="s">
        <v>1059</v>
      </c>
    </row>
    <row r="397" spans="1:21" x14ac:dyDescent="0.25">
      <c r="A397" t="s">
        <v>1899</v>
      </c>
      <c r="B397" t="s">
        <v>1900</v>
      </c>
      <c r="C397" t="s">
        <v>1901</v>
      </c>
      <c r="D397" t="s">
        <v>586</v>
      </c>
      <c r="E397" t="s">
        <v>1056</v>
      </c>
      <c r="F397" t="s">
        <v>1071</v>
      </c>
      <c r="G397" t="s">
        <v>1886</v>
      </c>
      <c r="H397" t="s">
        <v>90</v>
      </c>
      <c r="I397" t="s">
        <v>90</v>
      </c>
      <c r="J397">
        <v>8.8800489999999996E-2</v>
      </c>
      <c r="K397">
        <v>4.4748993300000004</v>
      </c>
      <c r="L397">
        <v>5.2070871099999998</v>
      </c>
      <c r="M397">
        <v>5.7162487200000003</v>
      </c>
      <c r="N397">
        <v>5.6954577899999999</v>
      </c>
      <c r="O397">
        <v>3.5916126613983481</v>
      </c>
      <c r="P397">
        <v>1.2410717099999999</v>
      </c>
      <c r="Q397">
        <v>0</v>
      </c>
      <c r="R397" t="s">
        <v>1063</v>
      </c>
      <c r="S397">
        <v>8.8800489999999996E-2</v>
      </c>
      <c r="T397" t="s">
        <v>2819</v>
      </c>
      <c r="U397" t="s">
        <v>1059</v>
      </c>
    </row>
    <row r="398" spans="1:21" x14ac:dyDescent="0.25">
      <c r="A398" t="s">
        <v>1902</v>
      </c>
      <c r="B398" t="s">
        <v>705</v>
      </c>
      <c r="C398" t="s">
        <v>704</v>
      </c>
      <c r="D398" t="s">
        <v>586</v>
      </c>
      <c r="E398" t="s">
        <v>1056</v>
      </c>
      <c r="F398" t="s">
        <v>1375</v>
      </c>
      <c r="G398" t="s">
        <v>1376</v>
      </c>
      <c r="H398" t="s">
        <v>90</v>
      </c>
      <c r="I398" t="s">
        <v>90</v>
      </c>
      <c r="J398">
        <v>21.954398340000001</v>
      </c>
      <c r="K398">
        <v>7.3518064299999999</v>
      </c>
      <c r="L398">
        <v>5.6710686199999998</v>
      </c>
      <c r="M398">
        <v>5.4721566900000003</v>
      </c>
      <c r="N398">
        <v>6.1225711499999997</v>
      </c>
      <c r="O398">
        <v>34.212099999999992</v>
      </c>
      <c r="P398">
        <v>49.270956810000001</v>
      </c>
      <c r="Q398">
        <v>31.224</v>
      </c>
      <c r="R398" t="s">
        <v>1073</v>
      </c>
      <c r="S398">
        <v>21.954398340000001</v>
      </c>
      <c r="T398" t="s">
        <v>2819</v>
      </c>
      <c r="U398" t="s">
        <v>1059</v>
      </c>
    </row>
    <row r="399" spans="1:21" x14ac:dyDescent="0.25">
      <c r="A399" t="s">
        <v>1903</v>
      </c>
      <c r="B399" t="s">
        <v>1904</v>
      </c>
      <c r="C399" t="s">
        <v>1905</v>
      </c>
      <c r="D399" t="s">
        <v>586</v>
      </c>
      <c r="E399" t="s">
        <v>1056</v>
      </c>
      <c r="F399" t="s">
        <v>1057</v>
      </c>
      <c r="G399" t="s">
        <v>1058</v>
      </c>
      <c r="H399" t="s">
        <v>90</v>
      </c>
      <c r="I399" t="s">
        <v>90</v>
      </c>
      <c r="J399">
        <v>40.90696544</v>
      </c>
      <c r="K399">
        <v>6.4583593199999996</v>
      </c>
      <c r="L399">
        <v>6.0156166200000003</v>
      </c>
      <c r="M399">
        <v>4.6870227</v>
      </c>
      <c r="N399">
        <v>5.7340117800000003</v>
      </c>
      <c r="O399">
        <v>49.282311804655663</v>
      </c>
      <c r="P399">
        <v>177.83754500000001</v>
      </c>
      <c r="Q399">
        <v>29.989465829016719</v>
      </c>
      <c r="R399" t="s">
        <v>30</v>
      </c>
      <c r="S399">
        <v>40.90696544</v>
      </c>
      <c r="T399" t="s">
        <v>2819</v>
      </c>
      <c r="U399" t="s">
        <v>1059</v>
      </c>
    </row>
    <row r="400" spans="1:21" x14ac:dyDescent="0.25">
      <c r="A400" t="s">
        <v>1906</v>
      </c>
      <c r="B400" t="s">
        <v>1907</v>
      </c>
      <c r="C400" t="s">
        <v>1908</v>
      </c>
      <c r="D400" t="s">
        <v>586</v>
      </c>
      <c r="E400" t="s">
        <v>1056</v>
      </c>
      <c r="F400" t="s">
        <v>1766</v>
      </c>
      <c r="G400" t="s">
        <v>1266</v>
      </c>
      <c r="H400" t="s">
        <v>90</v>
      </c>
      <c r="I400" t="s">
        <v>90</v>
      </c>
      <c r="J400">
        <v>29.077078839999999</v>
      </c>
      <c r="K400">
        <v>6.9388565599999996</v>
      </c>
      <c r="L400">
        <v>5.7903775</v>
      </c>
      <c r="M400">
        <v>5.3970348000000001</v>
      </c>
      <c r="N400">
        <v>5.5660326700000002</v>
      </c>
      <c r="O400">
        <v>31.7806</v>
      </c>
      <c r="P400">
        <v>89.967691110000004</v>
      </c>
      <c r="Q400">
        <v>22.291799999999999</v>
      </c>
      <c r="R400" t="s">
        <v>30</v>
      </c>
      <c r="S400">
        <v>29.077078839999999</v>
      </c>
      <c r="T400" t="s">
        <v>2819</v>
      </c>
      <c r="U400" t="s">
        <v>1059</v>
      </c>
    </row>
    <row r="401" spans="1:21" x14ac:dyDescent="0.25">
      <c r="A401" t="s">
        <v>5803</v>
      </c>
      <c r="B401" t="s">
        <v>1912</v>
      </c>
      <c r="C401" t="s">
        <v>1913</v>
      </c>
      <c r="D401" t="s">
        <v>586</v>
      </c>
      <c r="E401" t="s">
        <v>1056</v>
      </c>
      <c r="F401" t="s">
        <v>1766</v>
      </c>
      <c r="G401" t="s">
        <v>1266</v>
      </c>
      <c r="H401" t="s">
        <v>90</v>
      </c>
      <c r="I401" t="s">
        <v>90</v>
      </c>
      <c r="J401">
        <v>22.61145716</v>
      </c>
      <c r="K401">
        <v>6.6490302000000003</v>
      </c>
      <c r="L401">
        <v>5.8314103099999999</v>
      </c>
      <c r="M401">
        <v>5.6768331700000001</v>
      </c>
      <c r="N401">
        <v>5.1925866300000001</v>
      </c>
      <c r="O401">
        <v>27.281072535331681</v>
      </c>
      <c r="P401">
        <v>81.119285689999998</v>
      </c>
      <c r="Q401">
        <v>8.9386944100285692</v>
      </c>
      <c r="R401" t="s">
        <v>30</v>
      </c>
      <c r="S401">
        <v>22.61145716</v>
      </c>
      <c r="T401" t="s">
        <v>2819</v>
      </c>
      <c r="U401" t="s">
        <v>1059</v>
      </c>
    </row>
    <row r="402" spans="1:21" x14ac:dyDescent="0.25">
      <c r="A402" t="s">
        <v>1914</v>
      </c>
      <c r="B402" t="s">
        <v>1915</v>
      </c>
      <c r="C402" t="s">
        <v>1916</v>
      </c>
      <c r="D402" t="s">
        <v>586</v>
      </c>
      <c r="E402" t="s">
        <v>1056</v>
      </c>
      <c r="F402" t="s">
        <v>1136</v>
      </c>
      <c r="G402" t="s">
        <v>1137</v>
      </c>
      <c r="H402" t="s">
        <v>90</v>
      </c>
      <c r="I402" t="s">
        <v>90</v>
      </c>
      <c r="J402">
        <v>92.10602677</v>
      </c>
      <c r="K402">
        <v>5.9896170499999997</v>
      </c>
      <c r="L402">
        <v>5.4330226899999996</v>
      </c>
      <c r="M402">
        <v>5.2449502800000003</v>
      </c>
      <c r="N402">
        <v>5.0321669499999997</v>
      </c>
      <c r="O402">
        <v>15.26943053886108</v>
      </c>
      <c r="P402">
        <v>289.99220955999999</v>
      </c>
      <c r="Q402">
        <v>7.333514667029335</v>
      </c>
      <c r="R402" t="s">
        <v>30</v>
      </c>
      <c r="S402">
        <v>92.10602677</v>
      </c>
      <c r="T402" t="s">
        <v>2819</v>
      </c>
      <c r="U402" t="s">
        <v>1059</v>
      </c>
    </row>
    <row r="403" spans="1:21" x14ac:dyDescent="0.25">
      <c r="A403" t="s">
        <v>1917</v>
      </c>
      <c r="B403" t="s">
        <v>1918</v>
      </c>
      <c r="C403" t="s">
        <v>1919</v>
      </c>
      <c r="D403" t="s">
        <v>586</v>
      </c>
      <c r="E403" t="s">
        <v>1056</v>
      </c>
      <c r="F403" t="s">
        <v>1163</v>
      </c>
      <c r="G403" t="s">
        <v>1164</v>
      </c>
      <c r="H403" t="s">
        <v>90</v>
      </c>
      <c r="I403" t="s">
        <v>90</v>
      </c>
      <c r="J403">
        <v>30.130578580000002</v>
      </c>
      <c r="K403">
        <v>7.9769355099999997</v>
      </c>
      <c r="L403">
        <v>6.2970470699999996</v>
      </c>
      <c r="M403">
        <v>5.2303455699999999</v>
      </c>
      <c r="N403">
        <v>6.8250494100000001</v>
      </c>
      <c r="O403">
        <v>21.076814034437991</v>
      </c>
      <c r="P403">
        <v>65.016228459999994</v>
      </c>
      <c r="Q403">
        <v>69.968659163980732</v>
      </c>
      <c r="R403" t="s">
        <v>1073</v>
      </c>
      <c r="S403">
        <v>30.130578580000002</v>
      </c>
      <c r="T403" t="s">
        <v>2819</v>
      </c>
      <c r="U403" t="s">
        <v>1059</v>
      </c>
    </row>
    <row r="404" spans="1:21" x14ac:dyDescent="0.25">
      <c r="A404" t="s">
        <v>5398</v>
      </c>
      <c r="B404" t="s">
        <v>829</v>
      </c>
      <c r="C404" t="s">
        <v>828</v>
      </c>
      <c r="D404" t="s">
        <v>823</v>
      </c>
      <c r="E404" t="s">
        <v>4805</v>
      </c>
      <c r="F404" t="s">
        <v>1296</v>
      </c>
      <c r="G404" t="s">
        <v>1324</v>
      </c>
      <c r="H404">
        <v>12803.3</v>
      </c>
      <c r="I404">
        <v>368228.6</v>
      </c>
      <c r="J404">
        <v>28.76</v>
      </c>
      <c r="K404">
        <v>6.7</v>
      </c>
      <c r="L404">
        <v>8.5</v>
      </c>
      <c r="M404">
        <v>4.2</v>
      </c>
      <c r="N404">
        <v>3.4</v>
      </c>
      <c r="O404">
        <v>1</v>
      </c>
      <c r="Q404">
        <v>17</v>
      </c>
      <c r="R404" t="s">
        <v>30</v>
      </c>
      <c r="S404">
        <v>28.76</v>
      </c>
      <c r="T404" t="s">
        <v>2819</v>
      </c>
      <c r="U404" t="s">
        <v>1062</v>
      </c>
    </row>
    <row r="405" spans="1:21" x14ac:dyDescent="0.25">
      <c r="A405" t="s">
        <v>5756</v>
      </c>
      <c r="B405" t="s">
        <v>5757</v>
      </c>
      <c r="C405" t="s">
        <v>5758</v>
      </c>
      <c r="D405" t="s">
        <v>586</v>
      </c>
      <c r="E405" t="s">
        <v>1056</v>
      </c>
      <c r="F405" t="s">
        <v>1136</v>
      </c>
      <c r="G405" t="s">
        <v>2071</v>
      </c>
      <c r="H405" t="s">
        <v>90</v>
      </c>
      <c r="I405" t="s">
        <v>90</v>
      </c>
      <c r="J405">
        <v>143.88380043999999</v>
      </c>
      <c r="K405">
        <v>3.8482361200000001</v>
      </c>
      <c r="L405">
        <v>5.1206735500000002</v>
      </c>
      <c r="M405">
        <v>5.0218532900000001</v>
      </c>
      <c r="N405">
        <v>4.8231023799999999</v>
      </c>
      <c r="O405">
        <v>4.918385206605282</v>
      </c>
      <c r="P405">
        <v>176.16496119999999</v>
      </c>
      <c r="Q405">
        <v>1.2840537249828781</v>
      </c>
      <c r="R405" t="s">
        <v>1138</v>
      </c>
      <c r="S405">
        <v>143.88380043999999</v>
      </c>
      <c r="T405" t="s">
        <v>2819</v>
      </c>
      <c r="U405" t="s">
        <v>1059</v>
      </c>
    </row>
    <row r="406" spans="1:21" x14ac:dyDescent="0.25">
      <c r="A406" t="s">
        <v>5398</v>
      </c>
      <c r="B406" t="s">
        <v>5399</v>
      </c>
      <c r="C406" t="s">
        <v>962</v>
      </c>
      <c r="D406" t="s">
        <v>823</v>
      </c>
      <c r="E406" t="s">
        <v>4805</v>
      </c>
      <c r="F406" t="s">
        <v>1296</v>
      </c>
      <c r="G406" t="s">
        <v>1324</v>
      </c>
      <c r="H406">
        <v>12803.3</v>
      </c>
      <c r="I406">
        <v>368228.6</v>
      </c>
      <c r="J406">
        <v>28.76</v>
      </c>
      <c r="K406">
        <v>6.7</v>
      </c>
      <c r="L406">
        <v>8.5</v>
      </c>
      <c r="M406">
        <v>4.2</v>
      </c>
      <c r="N406">
        <v>3.4</v>
      </c>
      <c r="O406">
        <v>1</v>
      </c>
      <c r="Q406">
        <v>17</v>
      </c>
      <c r="R406" t="s">
        <v>30</v>
      </c>
      <c r="S406">
        <v>28.76</v>
      </c>
      <c r="T406" t="s">
        <v>2819</v>
      </c>
      <c r="U406" t="s">
        <v>1062</v>
      </c>
    </row>
    <row r="407" spans="1:21" x14ac:dyDescent="0.25">
      <c r="A407" t="s">
        <v>1920</v>
      </c>
      <c r="B407" t="s">
        <v>1921</v>
      </c>
      <c r="C407" t="s">
        <v>1922</v>
      </c>
      <c r="D407" t="s">
        <v>586</v>
      </c>
      <c r="E407" t="s">
        <v>1056</v>
      </c>
      <c r="F407" t="s">
        <v>1136</v>
      </c>
      <c r="G407" t="s">
        <v>1437</v>
      </c>
      <c r="H407" t="s">
        <v>90</v>
      </c>
      <c r="I407" t="s">
        <v>90</v>
      </c>
      <c r="J407">
        <v>391.52103980999999</v>
      </c>
      <c r="K407">
        <v>4.0516351500000001</v>
      </c>
      <c r="L407">
        <v>5.08773871</v>
      </c>
      <c r="M407">
        <v>5.44981004</v>
      </c>
      <c r="N407">
        <v>5.1454622700000003</v>
      </c>
      <c r="O407">
        <v>10.62282720462224</v>
      </c>
      <c r="P407">
        <v>638.87392088000001</v>
      </c>
      <c r="Q407">
        <v>1.3874413301529791</v>
      </c>
      <c r="R407" t="s">
        <v>1138</v>
      </c>
      <c r="S407">
        <v>391.52103980999999</v>
      </c>
      <c r="T407" t="s">
        <v>2819</v>
      </c>
      <c r="U407" t="s">
        <v>1059</v>
      </c>
    </row>
    <row r="408" spans="1:21" x14ac:dyDescent="0.25">
      <c r="A408" t="s">
        <v>5398</v>
      </c>
      <c r="B408" t="s">
        <v>5400</v>
      </c>
      <c r="C408" t="s">
        <v>832</v>
      </c>
      <c r="D408" t="s">
        <v>823</v>
      </c>
      <c r="E408" t="s">
        <v>4805</v>
      </c>
      <c r="F408" t="s">
        <v>1296</v>
      </c>
      <c r="G408" t="s">
        <v>1324</v>
      </c>
      <c r="H408">
        <v>12803.3</v>
      </c>
      <c r="I408">
        <v>368228.6</v>
      </c>
      <c r="J408">
        <v>28.76</v>
      </c>
      <c r="K408">
        <v>6.7</v>
      </c>
      <c r="L408">
        <v>8.5</v>
      </c>
      <c r="M408">
        <v>4.2</v>
      </c>
      <c r="N408">
        <v>3.4</v>
      </c>
      <c r="O408">
        <v>1</v>
      </c>
      <c r="Q408">
        <v>17</v>
      </c>
      <c r="R408" t="s">
        <v>30</v>
      </c>
      <c r="S408">
        <v>28.76</v>
      </c>
      <c r="T408" t="s">
        <v>2819</v>
      </c>
      <c r="U408" t="s">
        <v>1062</v>
      </c>
    </row>
    <row r="409" spans="1:21" x14ac:dyDescent="0.25">
      <c r="A409" t="s">
        <v>5804</v>
      </c>
      <c r="B409" t="s">
        <v>1923</v>
      </c>
      <c r="C409" t="s">
        <v>1924</v>
      </c>
      <c r="D409" t="s">
        <v>586</v>
      </c>
      <c r="E409" t="s">
        <v>1056</v>
      </c>
      <c r="F409" t="s">
        <v>1071</v>
      </c>
      <c r="G409" t="s">
        <v>1925</v>
      </c>
      <c r="H409" t="s">
        <v>90</v>
      </c>
      <c r="I409" t="s">
        <v>90</v>
      </c>
      <c r="J409">
        <v>4.9450341</v>
      </c>
      <c r="K409">
        <v>6.7993998500000004</v>
      </c>
      <c r="L409">
        <v>6.3866642699999998</v>
      </c>
      <c r="M409">
        <v>4.5867844800000004</v>
      </c>
      <c r="N409">
        <v>6.2378251300000001</v>
      </c>
      <c r="O409">
        <v>49.368998737997472</v>
      </c>
      <c r="P409">
        <v>11.95217218</v>
      </c>
      <c r="Q409">
        <v>60.046420092840179</v>
      </c>
      <c r="R409" t="s">
        <v>30</v>
      </c>
      <c r="S409">
        <v>4.9450341</v>
      </c>
      <c r="T409" t="s">
        <v>2819</v>
      </c>
      <c r="U409" t="s">
        <v>1059</v>
      </c>
    </row>
    <row r="410" spans="1:21" x14ac:dyDescent="0.25">
      <c r="A410" t="s">
        <v>2647</v>
      </c>
      <c r="B410" t="s">
        <v>153</v>
      </c>
      <c r="C410" t="s">
        <v>4046</v>
      </c>
      <c r="D410" t="s">
        <v>151</v>
      </c>
      <c r="E410" t="s">
        <v>4810</v>
      </c>
      <c r="F410" t="s">
        <v>1198</v>
      </c>
      <c r="G410" t="s">
        <v>2643</v>
      </c>
      <c r="H410">
        <v>242631549613.26999</v>
      </c>
      <c r="I410">
        <v>58403362.783013001</v>
      </c>
      <c r="J410">
        <v>218.24608924969999</v>
      </c>
      <c r="S410">
        <v>141.98365630000001</v>
      </c>
      <c r="T410">
        <v>34.299999999999997</v>
      </c>
      <c r="U410" t="s">
        <v>2644</v>
      </c>
    </row>
    <row r="411" spans="1:21" x14ac:dyDescent="0.25">
      <c r="A411" t="s">
        <v>2647</v>
      </c>
      <c r="B411" t="s">
        <v>2648</v>
      </c>
      <c r="C411" t="s">
        <v>4100</v>
      </c>
      <c r="D411" t="s">
        <v>151</v>
      </c>
      <c r="E411" t="s">
        <v>4810</v>
      </c>
      <c r="F411" t="s">
        <v>1198</v>
      </c>
      <c r="G411" t="s">
        <v>2643</v>
      </c>
      <c r="H411">
        <v>242631549613.26999</v>
      </c>
      <c r="I411">
        <v>58403362.783013001</v>
      </c>
      <c r="J411">
        <v>218.24608924969999</v>
      </c>
      <c r="S411">
        <v>141.98365630000001</v>
      </c>
      <c r="T411">
        <v>34.299999999999997</v>
      </c>
      <c r="U411" t="s">
        <v>2644</v>
      </c>
    </row>
    <row r="412" spans="1:21" x14ac:dyDescent="0.25">
      <c r="A412" t="s">
        <v>1926</v>
      </c>
      <c r="B412" t="s">
        <v>1927</v>
      </c>
      <c r="C412" t="s">
        <v>1928</v>
      </c>
      <c r="D412" t="s">
        <v>586</v>
      </c>
      <c r="E412" t="s">
        <v>1056</v>
      </c>
      <c r="F412" t="s">
        <v>1057</v>
      </c>
      <c r="G412" t="s">
        <v>1288</v>
      </c>
      <c r="H412" t="s">
        <v>90</v>
      </c>
      <c r="I412" t="s">
        <v>90</v>
      </c>
      <c r="J412">
        <v>66.268616769999994</v>
      </c>
      <c r="K412">
        <v>6.1764270200000002</v>
      </c>
      <c r="L412">
        <v>5.2441578199999999</v>
      </c>
      <c r="M412">
        <v>4.9898288199999996</v>
      </c>
      <c r="N412">
        <v>5.6929452200000004</v>
      </c>
      <c r="O412">
        <v>2.0392687339448319</v>
      </c>
      <c r="P412">
        <v>109.88069701000001</v>
      </c>
      <c r="Q412">
        <v>9.4039721860350465</v>
      </c>
      <c r="R412" t="s">
        <v>30</v>
      </c>
      <c r="S412">
        <v>66.268616769999994</v>
      </c>
      <c r="T412" t="s">
        <v>2819</v>
      </c>
      <c r="U412" t="s">
        <v>1059</v>
      </c>
    </row>
    <row r="413" spans="1:21" x14ac:dyDescent="0.25">
      <c r="A413" t="s">
        <v>2647</v>
      </c>
      <c r="B413" t="s">
        <v>165</v>
      </c>
      <c r="C413" t="s">
        <v>164</v>
      </c>
      <c r="D413" t="s">
        <v>151</v>
      </c>
      <c r="E413" t="s">
        <v>4810</v>
      </c>
      <c r="F413" t="s">
        <v>1198</v>
      </c>
      <c r="G413" t="s">
        <v>2643</v>
      </c>
      <c r="H413">
        <v>242631549613.26999</v>
      </c>
      <c r="I413">
        <v>58403362.783013001</v>
      </c>
      <c r="J413">
        <v>218.24608924969999</v>
      </c>
      <c r="S413">
        <v>141.98365630000001</v>
      </c>
      <c r="T413">
        <v>34.299999999999997</v>
      </c>
      <c r="U413" t="s">
        <v>2644</v>
      </c>
    </row>
    <row r="414" spans="1:21" x14ac:dyDescent="0.25">
      <c r="A414" t="s">
        <v>1929</v>
      </c>
      <c r="B414" t="s">
        <v>1930</v>
      </c>
      <c r="C414" t="s">
        <v>1931</v>
      </c>
      <c r="D414" t="s">
        <v>586</v>
      </c>
      <c r="E414" t="s">
        <v>1056</v>
      </c>
      <c r="F414" t="s">
        <v>1057</v>
      </c>
      <c r="G414" t="s">
        <v>1288</v>
      </c>
      <c r="H414" t="s">
        <v>90</v>
      </c>
      <c r="I414" t="s">
        <v>90</v>
      </c>
      <c r="J414">
        <v>66.268616769999994</v>
      </c>
      <c r="K414">
        <v>6.1764270200000002</v>
      </c>
      <c r="L414">
        <v>5.2441578199999999</v>
      </c>
      <c r="M414">
        <v>4.9898288199999996</v>
      </c>
      <c r="N414">
        <v>5.6929452200000004</v>
      </c>
      <c r="O414">
        <v>2.0392687339448319</v>
      </c>
      <c r="P414">
        <v>109.88069701000001</v>
      </c>
      <c r="Q414">
        <v>9.4039721860350465</v>
      </c>
      <c r="R414" t="s">
        <v>30</v>
      </c>
      <c r="S414">
        <v>66.268616769999994</v>
      </c>
      <c r="T414" t="s">
        <v>2819</v>
      </c>
      <c r="U414" t="s">
        <v>1059</v>
      </c>
    </row>
    <row r="415" spans="1:21" x14ac:dyDescent="0.25">
      <c r="A415" t="s">
        <v>2647</v>
      </c>
      <c r="B415" t="s">
        <v>163</v>
      </c>
      <c r="C415" t="s">
        <v>162</v>
      </c>
      <c r="D415" t="s">
        <v>151</v>
      </c>
      <c r="E415" t="s">
        <v>4810</v>
      </c>
      <c r="F415" t="s">
        <v>1198</v>
      </c>
      <c r="G415" t="s">
        <v>2643</v>
      </c>
      <c r="H415">
        <v>242631549613.26999</v>
      </c>
      <c r="I415">
        <v>58403362.783013001</v>
      </c>
      <c r="J415">
        <v>218.24608924969999</v>
      </c>
      <c r="S415">
        <v>141.98365630000001</v>
      </c>
      <c r="T415">
        <v>34.299999999999997</v>
      </c>
      <c r="U415" t="s">
        <v>2644</v>
      </c>
    </row>
    <row r="416" spans="1:21" x14ac:dyDescent="0.25">
      <c r="A416" t="s">
        <v>1932</v>
      </c>
      <c r="B416" t="s">
        <v>1933</v>
      </c>
      <c r="C416" t="s">
        <v>1934</v>
      </c>
      <c r="D416" t="s">
        <v>586</v>
      </c>
      <c r="E416" t="s">
        <v>1056</v>
      </c>
      <c r="F416" t="s">
        <v>1071</v>
      </c>
      <c r="G416" t="s">
        <v>1893</v>
      </c>
      <c r="H416" t="s">
        <v>90</v>
      </c>
      <c r="I416" t="s">
        <v>90</v>
      </c>
      <c r="J416">
        <v>130.80150226000001</v>
      </c>
      <c r="K416">
        <v>5.5897191299999998</v>
      </c>
      <c r="L416">
        <v>5.1991402799999999</v>
      </c>
      <c r="M416">
        <v>4.8502648199999996</v>
      </c>
      <c r="N416">
        <v>5.6950983500000003</v>
      </c>
      <c r="O416">
        <v>14.261751770096589</v>
      </c>
      <c r="P416">
        <v>227.19170735</v>
      </c>
      <c r="Q416">
        <v>16.447087982134342</v>
      </c>
      <c r="R416" t="s">
        <v>1063</v>
      </c>
      <c r="S416">
        <v>130.80150226000001</v>
      </c>
      <c r="T416" t="s">
        <v>2819</v>
      </c>
      <c r="U416" t="s">
        <v>1059</v>
      </c>
    </row>
    <row r="417" spans="1:21" x14ac:dyDescent="0.25">
      <c r="A417" t="s">
        <v>1935</v>
      </c>
      <c r="B417" t="s">
        <v>1936</v>
      </c>
      <c r="C417" t="s">
        <v>1937</v>
      </c>
      <c r="D417" t="s">
        <v>586</v>
      </c>
      <c r="E417" t="s">
        <v>1056</v>
      </c>
      <c r="F417" t="s">
        <v>1163</v>
      </c>
      <c r="G417" t="s">
        <v>1791</v>
      </c>
      <c r="H417" t="s">
        <v>90</v>
      </c>
      <c r="I417" t="s">
        <v>90</v>
      </c>
      <c r="J417">
        <v>16.042052829999999</v>
      </c>
      <c r="K417">
        <v>7.4901780599999999</v>
      </c>
      <c r="L417">
        <v>6.17567602</v>
      </c>
      <c r="M417">
        <v>5.0175608699999996</v>
      </c>
      <c r="N417">
        <v>7.0108156099999999</v>
      </c>
      <c r="O417">
        <v>0.15328853974241299</v>
      </c>
      <c r="P417">
        <v>31.723389019999999</v>
      </c>
      <c r="Q417">
        <v>74.473420716815369</v>
      </c>
      <c r="R417" t="s">
        <v>1073</v>
      </c>
      <c r="S417">
        <v>16.042052829999999</v>
      </c>
      <c r="T417" t="s">
        <v>2819</v>
      </c>
      <c r="U417" t="s">
        <v>1059</v>
      </c>
    </row>
    <row r="418" spans="1:21" x14ac:dyDescent="0.25">
      <c r="A418" t="s">
        <v>2647</v>
      </c>
      <c r="B418" t="s">
        <v>158</v>
      </c>
      <c r="C418" t="s">
        <v>157</v>
      </c>
      <c r="D418" t="s">
        <v>151</v>
      </c>
      <c r="E418" t="s">
        <v>4810</v>
      </c>
      <c r="F418" t="s">
        <v>1198</v>
      </c>
      <c r="G418" t="s">
        <v>2643</v>
      </c>
      <c r="H418">
        <v>242631549613.26999</v>
      </c>
      <c r="I418">
        <v>58403362.783013001</v>
      </c>
      <c r="J418">
        <v>218.24608924969999</v>
      </c>
      <c r="S418">
        <v>141.98365630000001</v>
      </c>
      <c r="T418">
        <v>34.299999999999997</v>
      </c>
      <c r="U418" t="s">
        <v>2644</v>
      </c>
    </row>
    <row r="419" spans="1:21" x14ac:dyDescent="0.25">
      <c r="A419" t="s">
        <v>1938</v>
      </c>
      <c r="B419" t="s">
        <v>1939</v>
      </c>
      <c r="C419" t="s">
        <v>1940</v>
      </c>
      <c r="D419" t="s">
        <v>586</v>
      </c>
      <c r="E419" t="s">
        <v>1056</v>
      </c>
      <c r="F419" t="s">
        <v>1136</v>
      </c>
      <c r="G419" t="s">
        <v>1437</v>
      </c>
      <c r="H419" t="s">
        <v>90</v>
      </c>
      <c r="I419" t="s">
        <v>90</v>
      </c>
      <c r="J419">
        <v>392.35806029999998</v>
      </c>
      <c r="K419">
        <v>4.0502091599999996</v>
      </c>
      <c r="L419">
        <v>5.0363795900000001</v>
      </c>
      <c r="M419">
        <v>5.2990371999999999</v>
      </c>
      <c r="N419">
        <v>5.0425498900000001</v>
      </c>
      <c r="O419">
        <v>5.4231079623841971</v>
      </c>
      <c r="P419">
        <v>711.96358513999996</v>
      </c>
      <c r="Q419">
        <v>2.697987233291204</v>
      </c>
      <c r="R419" t="s">
        <v>1138</v>
      </c>
      <c r="S419">
        <v>392.35806029999998</v>
      </c>
      <c r="T419" t="s">
        <v>2819</v>
      </c>
      <c r="U419" t="s">
        <v>1059</v>
      </c>
    </row>
    <row r="420" spans="1:21" x14ac:dyDescent="0.25">
      <c r="A420" t="s">
        <v>2647</v>
      </c>
      <c r="B420" t="s">
        <v>2649</v>
      </c>
      <c r="C420" t="s">
        <v>4042</v>
      </c>
      <c r="D420" t="s">
        <v>151</v>
      </c>
      <c r="E420" t="s">
        <v>4810</v>
      </c>
      <c r="F420" t="s">
        <v>1198</v>
      </c>
      <c r="G420" t="s">
        <v>2643</v>
      </c>
      <c r="H420">
        <v>242631549613.26999</v>
      </c>
      <c r="I420">
        <v>58403362.783013001</v>
      </c>
      <c r="J420">
        <v>218.24608924969999</v>
      </c>
      <c r="S420">
        <v>141.98365630000001</v>
      </c>
      <c r="T420">
        <v>34.299999999999997</v>
      </c>
      <c r="U420" t="s">
        <v>2644</v>
      </c>
    </row>
    <row r="421" spans="1:21" x14ac:dyDescent="0.25">
      <c r="A421" t="s">
        <v>2647</v>
      </c>
      <c r="B421" t="s">
        <v>868</v>
      </c>
      <c r="C421" t="s">
        <v>867</v>
      </c>
      <c r="D421" t="s">
        <v>151</v>
      </c>
      <c r="E421" t="s">
        <v>4810</v>
      </c>
      <c r="F421" t="s">
        <v>1198</v>
      </c>
      <c r="G421" t="s">
        <v>2643</v>
      </c>
      <c r="H421">
        <v>242631549613.26999</v>
      </c>
      <c r="I421">
        <v>58403362.783013001</v>
      </c>
      <c r="J421">
        <v>218.24608924969999</v>
      </c>
      <c r="S421">
        <v>141.98365630000001</v>
      </c>
      <c r="T421">
        <v>34.299999999999997</v>
      </c>
      <c r="U421" t="s">
        <v>2644</v>
      </c>
    </row>
    <row r="422" spans="1:21" x14ac:dyDescent="0.25">
      <c r="A422" t="s">
        <v>1941</v>
      </c>
      <c r="B422" t="s">
        <v>1942</v>
      </c>
      <c r="C422" t="s">
        <v>1943</v>
      </c>
      <c r="D422" t="s">
        <v>586</v>
      </c>
      <c r="E422" t="s">
        <v>1056</v>
      </c>
      <c r="F422" t="s">
        <v>1375</v>
      </c>
      <c r="G422" t="s">
        <v>1678</v>
      </c>
      <c r="H422" t="s">
        <v>90</v>
      </c>
      <c r="I422" t="s">
        <v>90</v>
      </c>
      <c r="J422">
        <v>111.34594988000001</v>
      </c>
      <c r="K422">
        <v>5.1251664799999999</v>
      </c>
      <c r="L422">
        <v>4.5450552899999996</v>
      </c>
      <c r="M422">
        <v>5.0457733300000003</v>
      </c>
      <c r="N422">
        <v>4.9343591499999997</v>
      </c>
      <c r="O422">
        <v>1.8718093591466209</v>
      </c>
      <c r="P422">
        <v>97.364899379999997</v>
      </c>
      <c r="Q422">
        <v>3.8937547790983449</v>
      </c>
      <c r="R422" t="s">
        <v>1063</v>
      </c>
      <c r="S422">
        <v>111.34594988000001</v>
      </c>
      <c r="T422" t="s">
        <v>2819</v>
      </c>
      <c r="U422" t="s">
        <v>1059</v>
      </c>
    </row>
    <row r="423" spans="1:21" x14ac:dyDescent="0.25">
      <c r="A423" t="s">
        <v>2647</v>
      </c>
      <c r="B423" t="s">
        <v>2650</v>
      </c>
      <c r="C423" t="s">
        <v>4099</v>
      </c>
      <c r="D423" t="s">
        <v>151</v>
      </c>
      <c r="E423" t="s">
        <v>4810</v>
      </c>
      <c r="F423" t="s">
        <v>1198</v>
      </c>
      <c r="G423" t="s">
        <v>2643</v>
      </c>
      <c r="H423">
        <v>242631549613.26999</v>
      </c>
      <c r="I423">
        <v>58403362.783013001</v>
      </c>
      <c r="J423">
        <v>218.24608924969999</v>
      </c>
      <c r="S423">
        <v>141.98365630000001</v>
      </c>
      <c r="T423">
        <v>34.299999999999997</v>
      </c>
      <c r="U423" t="s">
        <v>2644</v>
      </c>
    </row>
    <row r="424" spans="1:21" x14ac:dyDescent="0.25">
      <c r="A424" t="s">
        <v>5759</v>
      </c>
      <c r="B424" t="s">
        <v>5073</v>
      </c>
      <c r="C424" t="s">
        <v>5074</v>
      </c>
      <c r="D424" t="s">
        <v>586</v>
      </c>
      <c r="E424" t="s">
        <v>1056</v>
      </c>
      <c r="F424" t="s">
        <v>1501</v>
      </c>
      <c r="G424" t="s">
        <v>1502</v>
      </c>
      <c r="H424" t="s">
        <v>90</v>
      </c>
      <c r="I424" t="s">
        <v>90</v>
      </c>
      <c r="J424">
        <v>77.361944579999999</v>
      </c>
      <c r="K424">
        <v>5.7643427100000002</v>
      </c>
      <c r="L424">
        <v>5.2968506900000003</v>
      </c>
      <c r="M424">
        <v>4.3813275100000002</v>
      </c>
      <c r="N424">
        <v>5.3367372499999997</v>
      </c>
      <c r="O424">
        <v>19.288799999999998</v>
      </c>
      <c r="P424">
        <v>275.60349744000001</v>
      </c>
      <c r="Q424">
        <v>27.3386</v>
      </c>
      <c r="R424" t="s">
        <v>30</v>
      </c>
      <c r="S424">
        <v>77.361944579999999</v>
      </c>
      <c r="T424" t="s">
        <v>2819</v>
      </c>
      <c r="U424" t="s">
        <v>1059</v>
      </c>
    </row>
    <row r="425" spans="1:21" x14ac:dyDescent="0.25">
      <c r="A425" t="s">
        <v>1944</v>
      </c>
      <c r="B425" t="s">
        <v>602</v>
      </c>
      <c r="C425" t="s">
        <v>601</v>
      </c>
      <c r="D425" t="s">
        <v>586</v>
      </c>
      <c r="E425" t="s">
        <v>1056</v>
      </c>
      <c r="F425" t="s">
        <v>1501</v>
      </c>
      <c r="G425" t="s">
        <v>1502</v>
      </c>
      <c r="H425" t="s">
        <v>90</v>
      </c>
      <c r="I425" t="s">
        <v>90</v>
      </c>
      <c r="J425">
        <v>308.68142432000002</v>
      </c>
      <c r="K425">
        <v>5.0199244399999996</v>
      </c>
      <c r="L425">
        <v>3.61012573</v>
      </c>
      <c r="M425">
        <v>4.89254824</v>
      </c>
      <c r="N425">
        <v>4.3327605599999996</v>
      </c>
      <c r="O425">
        <v>7.4538335868947341</v>
      </c>
      <c r="P425">
        <v>807.57196342999998</v>
      </c>
      <c r="Q425">
        <v>4.5820207374811543</v>
      </c>
      <c r="R425" t="s">
        <v>1063</v>
      </c>
      <c r="S425">
        <v>308.68142432000002</v>
      </c>
      <c r="T425" t="s">
        <v>2819</v>
      </c>
      <c r="U425" t="s">
        <v>1059</v>
      </c>
    </row>
    <row r="426" spans="1:21" x14ac:dyDescent="0.25">
      <c r="A426" t="s">
        <v>2647</v>
      </c>
      <c r="B426" t="s">
        <v>2651</v>
      </c>
      <c r="C426" t="s">
        <v>4097</v>
      </c>
      <c r="D426" t="s">
        <v>151</v>
      </c>
      <c r="E426" t="s">
        <v>4810</v>
      </c>
      <c r="F426" t="s">
        <v>1198</v>
      </c>
      <c r="G426" t="s">
        <v>2643</v>
      </c>
      <c r="H426">
        <v>242631549613.26999</v>
      </c>
      <c r="I426">
        <v>58403362.783013001</v>
      </c>
      <c r="J426">
        <v>218.24608924969999</v>
      </c>
      <c r="S426">
        <v>141.98365630000001</v>
      </c>
      <c r="T426">
        <v>34.299999999999997</v>
      </c>
      <c r="U426" t="s">
        <v>2644</v>
      </c>
    </row>
    <row r="427" spans="1:21" x14ac:dyDescent="0.25">
      <c r="A427" t="s">
        <v>1945</v>
      </c>
      <c r="B427" t="s">
        <v>951</v>
      </c>
      <c r="C427" t="s">
        <v>950</v>
      </c>
      <c r="D427" t="s">
        <v>586</v>
      </c>
      <c r="E427" t="s">
        <v>1056</v>
      </c>
      <c r="F427" t="s">
        <v>1290</v>
      </c>
      <c r="G427" t="s">
        <v>1291</v>
      </c>
      <c r="H427" t="s">
        <v>90</v>
      </c>
      <c r="I427" t="s">
        <v>90</v>
      </c>
      <c r="J427">
        <v>90.787831699999998</v>
      </c>
      <c r="K427">
        <v>5.84719224</v>
      </c>
      <c r="L427">
        <v>5.9964230199999999</v>
      </c>
      <c r="M427">
        <v>5.1534186499999999</v>
      </c>
      <c r="N427">
        <v>4.5256278400000003</v>
      </c>
      <c r="O427">
        <v>33.278569021532071</v>
      </c>
      <c r="P427">
        <v>128.77490685999999</v>
      </c>
      <c r="Q427">
        <v>7.8945605338970424</v>
      </c>
      <c r="R427" t="s">
        <v>30</v>
      </c>
      <c r="S427">
        <v>90.787831699999998</v>
      </c>
      <c r="T427" t="s">
        <v>2819</v>
      </c>
      <c r="U427" t="s">
        <v>1059</v>
      </c>
    </row>
    <row r="428" spans="1:21" x14ac:dyDescent="0.25">
      <c r="A428" t="s">
        <v>2647</v>
      </c>
      <c r="B428" t="s">
        <v>2652</v>
      </c>
      <c r="C428" t="s">
        <v>4098</v>
      </c>
      <c r="D428" t="s">
        <v>151</v>
      </c>
      <c r="E428" t="s">
        <v>4810</v>
      </c>
      <c r="F428" t="s">
        <v>1198</v>
      </c>
      <c r="G428" t="s">
        <v>2643</v>
      </c>
      <c r="H428">
        <v>242631549613.26999</v>
      </c>
      <c r="I428">
        <v>58403362.783013001</v>
      </c>
      <c r="J428">
        <v>218.24608924969999</v>
      </c>
      <c r="S428">
        <v>141.98365630000001</v>
      </c>
      <c r="T428">
        <v>34.299999999999997</v>
      </c>
      <c r="U428" t="s">
        <v>2644</v>
      </c>
    </row>
    <row r="429" spans="1:21" x14ac:dyDescent="0.25">
      <c r="A429" t="s">
        <v>1946</v>
      </c>
      <c r="B429" t="s">
        <v>1947</v>
      </c>
      <c r="C429" t="s">
        <v>1948</v>
      </c>
      <c r="D429" t="s">
        <v>586</v>
      </c>
      <c r="E429" t="s">
        <v>1056</v>
      </c>
      <c r="F429" t="s">
        <v>1136</v>
      </c>
      <c r="G429" t="s">
        <v>1494</v>
      </c>
      <c r="H429" t="s">
        <v>90</v>
      </c>
      <c r="I429" t="s">
        <v>90</v>
      </c>
      <c r="J429">
        <v>28.76</v>
      </c>
      <c r="K429">
        <v>4.4338013099999998</v>
      </c>
      <c r="L429">
        <v>5.5941738399999998</v>
      </c>
      <c r="M429">
        <v>5.72882114</v>
      </c>
      <c r="N429">
        <v>5.5984329199999996</v>
      </c>
      <c r="O429">
        <v>2.7174675292607038</v>
      </c>
      <c r="P429">
        <v>38.119999999999997</v>
      </c>
      <c r="Q429">
        <v>0</v>
      </c>
      <c r="R429" t="s">
        <v>1063</v>
      </c>
      <c r="S429">
        <v>28.76</v>
      </c>
      <c r="T429" t="s">
        <v>2819</v>
      </c>
      <c r="U429" t="s">
        <v>1059</v>
      </c>
    </row>
    <row r="430" spans="1:21" x14ac:dyDescent="0.25">
      <c r="A430" t="s">
        <v>2647</v>
      </c>
      <c r="B430" t="s">
        <v>171</v>
      </c>
      <c r="C430" t="s">
        <v>4047</v>
      </c>
      <c r="D430" t="s">
        <v>151</v>
      </c>
      <c r="E430" t="s">
        <v>4810</v>
      </c>
      <c r="F430" t="s">
        <v>1198</v>
      </c>
      <c r="G430" t="s">
        <v>2643</v>
      </c>
      <c r="H430">
        <v>242631549613.26999</v>
      </c>
      <c r="I430">
        <v>58403362.783013001</v>
      </c>
      <c r="J430">
        <v>218.24608924969999</v>
      </c>
      <c r="S430">
        <v>141.98365630000001</v>
      </c>
      <c r="T430">
        <v>34.299999999999997</v>
      </c>
      <c r="U430" t="s">
        <v>2644</v>
      </c>
    </row>
    <row r="431" spans="1:21" x14ac:dyDescent="0.25">
      <c r="A431" t="s">
        <v>2647</v>
      </c>
      <c r="B431" t="s">
        <v>173</v>
      </c>
      <c r="C431" t="s">
        <v>172</v>
      </c>
      <c r="D431" t="s">
        <v>151</v>
      </c>
      <c r="E431" t="s">
        <v>4810</v>
      </c>
      <c r="F431" t="s">
        <v>1198</v>
      </c>
      <c r="G431" t="s">
        <v>2643</v>
      </c>
      <c r="H431">
        <v>242631549613.26999</v>
      </c>
      <c r="I431">
        <v>58403362.783013001</v>
      </c>
      <c r="J431">
        <v>218.24608924969999</v>
      </c>
      <c r="S431">
        <v>141.98365630000001</v>
      </c>
      <c r="T431">
        <v>34.299999999999997</v>
      </c>
      <c r="U431" t="s">
        <v>2644</v>
      </c>
    </row>
    <row r="432" spans="1:21" x14ac:dyDescent="0.25">
      <c r="A432" t="s">
        <v>1950</v>
      </c>
      <c r="B432" t="s">
        <v>1951</v>
      </c>
      <c r="C432" t="s">
        <v>1952</v>
      </c>
      <c r="D432" t="s">
        <v>586</v>
      </c>
      <c r="E432" t="s">
        <v>1056</v>
      </c>
      <c r="F432" t="s">
        <v>1136</v>
      </c>
      <c r="G432" t="s">
        <v>1494</v>
      </c>
      <c r="H432" t="s">
        <v>90</v>
      </c>
      <c r="I432" t="s">
        <v>90</v>
      </c>
      <c r="J432">
        <v>28.76</v>
      </c>
      <c r="K432">
        <v>4.4338013099999998</v>
      </c>
      <c r="L432">
        <v>5.5941738399999998</v>
      </c>
      <c r="M432">
        <v>5.72882114</v>
      </c>
      <c r="N432">
        <v>5.5984329199999996</v>
      </c>
      <c r="O432">
        <v>2.7174675292607038</v>
      </c>
      <c r="P432">
        <v>38.119999999999997</v>
      </c>
      <c r="Q432">
        <v>0</v>
      </c>
      <c r="R432" t="s">
        <v>1063</v>
      </c>
      <c r="S432">
        <v>28.76</v>
      </c>
      <c r="T432" t="s">
        <v>2819</v>
      </c>
      <c r="U432" t="s">
        <v>1059</v>
      </c>
    </row>
    <row r="433" spans="1:21" x14ac:dyDescent="0.25">
      <c r="A433" t="s">
        <v>5639</v>
      </c>
      <c r="B433" t="s">
        <v>1953</v>
      </c>
      <c r="C433" t="s">
        <v>1954</v>
      </c>
      <c r="D433" t="s">
        <v>586</v>
      </c>
      <c r="E433" t="s">
        <v>1056</v>
      </c>
      <c r="F433" t="s">
        <v>1163</v>
      </c>
      <c r="G433" t="s">
        <v>1782</v>
      </c>
      <c r="H433" t="s">
        <v>90</v>
      </c>
      <c r="I433" t="s">
        <v>90</v>
      </c>
      <c r="J433">
        <v>52.47150817</v>
      </c>
      <c r="K433">
        <v>6.4334321599999997</v>
      </c>
      <c r="L433">
        <v>6.8028904299999997</v>
      </c>
      <c r="M433">
        <v>5.1927028499999999</v>
      </c>
      <c r="N433">
        <v>5.4653068400000002</v>
      </c>
      <c r="O433">
        <v>13.783470897251179</v>
      </c>
      <c r="P433">
        <v>59.807411520000002</v>
      </c>
      <c r="Q433">
        <v>21.937146677658379</v>
      </c>
      <c r="R433" t="s">
        <v>30</v>
      </c>
      <c r="S433">
        <v>52.47150817</v>
      </c>
      <c r="T433" t="s">
        <v>2819</v>
      </c>
      <c r="U433" t="s">
        <v>1059</v>
      </c>
    </row>
    <row r="434" spans="1:21" x14ac:dyDescent="0.25">
      <c r="A434" t="s">
        <v>2647</v>
      </c>
      <c r="B434" t="s">
        <v>170</v>
      </c>
      <c r="C434" t="s">
        <v>169</v>
      </c>
      <c r="D434" t="s">
        <v>151</v>
      </c>
      <c r="E434" t="s">
        <v>4810</v>
      </c>
      <c r="F434" t="s">
        <v>1198</v>
      </c>
      <c r="G434" t="s">
        <v>2643</v>
      </c>
      <c r="H434">
        <v>242631549613.26999</v>
      </c>
      <c r="I434">
        <v>58403362.783013001</v>
      </c>
      <c r="J434">
        <v>218.24608924969999</v>
      </c>
      <c r="S434">
        <v>141.98365630000001</v>
      </c>
      <c r="T434">
        <v>34.299999999999997</v>
      </c>
      <c r="U434" t="s">
        <v>2644</v>
      </c>
    </row>
    <row r="435" spans="1:21" x14ac:dyDescent="0.25">
      <c r="A435" t="s">
        <v>2647</v>
      </c>
      <c r="B435" t="s">
        <v>168</v>
      </c>
      <c r="C435" t="s">
        <v>167</v>
      </c>
      <c r="D435" t="s">
        <v>151</v>
      </c>
      <c r="E435" t="s">
        <v>4810</v>
      </c>
      <c r="F435" t="s">
        <v>1198</v>
      </c>
      <c r="G435" t="s">
        <v>2643</v>
      </c>
      <c r="H435">
        <v>242631549613.26999</v>
      </c>
      <c r="I435">
        <v>58403362.783013001</v>
      </c>
      <c r="J435">
        <v>218.24608924969999</v>
      </c>
      <c r="S435">
        <v>141.98365630000001</v>
      </c>
      <c r="T435">
        <v>34.299999999999997</v>
      </c>
      <c r="U435" t="s">
        <v>2644</v>
      </c>
    </row>
    <row r="436" spans="1:21" x14ac:dyDescent="0.25">
      <c r="A436" t="s">
        <v>1955</v>
      </c>
      <c r="B436" t="s">
        <v>1956</v>
      </c>
      <c r="C436" t="s">
        <v>1957</v>
      </c>
      <c r="D436" t="s">
        <v>586</v>
      </c>
      <c r="E436" t="s">
        <v>1056</v>
      </c>
      <c r="F436" t="s">
        <v>1241</v>
      </c>
      <c r="G436" t="s">
        <v>1958</v>
      </c>
      <c r="H436" t="s">
        <v>90</v>
      </c>
      <c r="I436" t="s">
        <v>90</v>
      </c>
      <c r="J436">
        <v>267.28234035999998</v>
      </c>
      <c r="K436">
        <v>5.0819103200000004</v>
      </c>
      <c r="L436">
        <v>4.9237389499999997</v>
      </c>
      <c r="M436">
        <v>5.04447154</v>
      </c>
      <c r="N436">
        <v>4.5337562599999996</v>
      </c>
      <c r="O436">
        <v>18.989443031670898</v>
      </c>
      <c r="P436">
        <v>415.75805217999999</v>
      </c>
      <c r="Q436">
        <v>7.7970766087701744</v>
      </c>
      <c r="R436" t="s">
        <v>1063</v>
      </c>
      <c r="S436">
        <v>267.28234035999998</v>
      </c>
      <c r="T436" t="s">
        <v>2819</v>
      </c>
      <c r="U436" t="s">
        <v>1059</v>
      </c>
    </row>
    <row r="437" spans="1:21" x14ac:dyDescent="0.25">
      <c r="A437" t="s">
        <v>5075</v>
      </c>
      <c r="B437" t="s">
        <v>1959</v>
      </c>
      <c r="C437" t="s">
        <v>1960</v>
      </c>
      <c r="D437" t="s">
        <v>586</v>
      </c>
      <c r="E437" t="s">
        <v>1056</v>
      </c>
      <c r="F437" t="s">
        <v>1265</v>
      </c>
      <c r="G437" t="s">
        <v>1829</v>
      </c>
      <c r="H437" t="s">
        <v>90</v>
      </c>
      <c r="I437" t="s">
        <v>90</v>
      </c>
      <c r="J437">
        <v>31.177118549999999</v>
      </c>
      <c r="K437">
        <v>5.3766203499999996</v>
      </c>
      <c r="L437">
        <v>4.3738951200000002</v>
      </c>
      <c r="M437">
        <v>4.5761047599999998</v>
      </c>
      <c r="N437">
        <v>5.9145526999999998</v>
      </c>
      <c r="O437">
        <v>0.13051977937672599</v>
      </c>
      <c r="P437">
        <v>88.040304860000006</v>
      </c>
      <c r="Q437">
        <v>27.312859264056812</v>
      </c>
      <c r="R437" t="s">
        <v>1063</v>
      </c>
      <c r="S437">
        <v>31.177118549999999</v>
      </c>
      <c r="T437" t="s">
        <v>2819</v>
      </c>
      <c r="U437" t="s">
        <v>1059</v>
      </c>
    </row>
    <row r="438" spans="1:21" x14ac:dyDescent="0.25">
      <c r="A438" t="s">
        <v>2647</v>
      </c>
      <c r="B438" t="s">
        <v>161</v>
      </c>
      <c r="C438" t="s">
        <v>160</v>
      </c>
      <c r="D438" t="s">
        <v>151</v>
      </c>
      <c r="E438" t="s">
        <v>4810</v>
      </c>
      <c r="F438" t="s">
        <v>1198</v>
      </c>
      <c r="G438" t="s">
        <v>2643</v>
      </c>
      <c r="H438">
        <v>242631549613.26999</v>
      </c>
      <c r="I438">
        <v>58403362.783013001</v>
      </c>
      <c r="J438">
        <v>218.24608924969999</v>
      </c>
      <c r="S438">
        <v>141.98365630000001</v>
      </c>
      <c r="T438">
        <v>34.299999999999997</v>
      </c>
      <c r="U438" t="s">
        <v>2644</v>
      </c>
    </row>
    <row r="439" spans="1:21" x14ac:dyDescent="0.25">
      <c r="A439" t="s">
        <v>2647</v>
      </c>
      <c r="B439" t="s">
        <v>866</v>
      </c>
      <c r="C439" t="s">
        <v>865</v>
      </c>
      <c r="D439" t="s">
        <v>151</v>
      </c>
      <c r="E439" t="s">
        <v>4810</v>
      </c>
      <c r="F439" t="s">
        <v>1198</v>
      </c>
      <c r="G439" t="s">
        <v>2643</v>
      </c>
      <c r="H439">
        <v>242631549613.26999</v>
      </c>
      <c r="I439">
        <v>58403362.783013001</v>
      </c>
      <c r="J439">
        <v>218.24608924969999</v>
      </c>
      <c r="S439">
        <v>141.98365630000001</v>
      </c>
      <c r="T439">
        <v>34.299999999999997</v>
      </c>
      <c r="U439" t="s">
        <v>2644</v>
      </c>
    </row>
    <row r="440" spans="1:21" x14ac:dyDescent="0.25">
      <c r="A440" t="s">
        <v>5076</v>
      </c>
      <c r="B440" t="s">
        <v>1961</v>
      </c>
      <c r="C440" t="s">
        <v>1962</v>
      </c>
      <c r="D440" t="s">
        <v>586</v>
      </c>
      <c r="E440" t="s">
        <v>1056</v>
      </c>
      <c r="F440" t="s">
        <v>1290</v>
      </c>
      <c r="G440" t="s">
        <v>1291</v>
      </c>
      <c r="H440" t="s">
        <v>90</v>
      </c>
      <c r="I440" t="s">
        <v>90</v>
      </c>
      <c r="J440">
        <v>20.627603109999999</v>
      </c>
      <c r="K440">
        <v>5.9177458200000004</v>
      </c>
      <c r="L440">
        <v>6.3645346900000002</v>
      </c>
      <c r="M440">
        <v>4.8905465399999999</v>
      </c>
      <c r="N440">
        <v>4.74357454</v>
      </c>
      <c r="O440">
        <v>28.426343147313709</v>
      </c>
      <c r="P440">
        <v>59.974572080000002</v>
      </c>
      <c r="Q440">
        <v>6.5786868426263174</v>
      </c>
      <c r="R440" t="s">
        <v>30</v>
      </c>
      <c r="S440">
        <v>20.627603109999999</v>
      </c>
      <c r="T440" t="s">
        <v>2819</v>
      </c>
      <c r="U440" t="s">
        <v>1059</v>
      </c>
    </row>
    <row r="441" spans="1:21" x14ac:dyDescent="0.25">
      <c r="A441" t="s">
        <v>1963</v>
      </c>
      <c r="B441" t="s">
        <v>1964</v>
      </c>
      <c r="C441" t="s">
        <v>1965</v>
      </c>
      <c r="D441" t="s">
        <v>586</v>
      </c>
      <c r="E441" t="s">
        <v>1056</v>
      </c>
      <c r="F441" t="s">
        <v>1071</v>
      </c>
      <c r="G441" t="s">
        <v>1966</v>
      </c>
      <c r="H441" t="s">
        <v>90</v>
      </c>
      <c r="I441" t="s">
        <v>90</v>
      </c>
      <c r="J441">
        <v>75.173460160000005</v>
      </c>
      <c r="K441">
        <v>6.4389227699999996</v>
      </c>
      <c r="L441">
        <v>6.2558668199999996</v>
      </c>
      <c r="M441">
        <v>4.8718528499999998</v>
      </c>
      <c r="N441">
        <v>5.81038897</v>
      </c>
      <c r="O441">
        <v>33.197331325406722</v>
      </c>
      <c r="P441">
        <v>206.22506537999999</v>
      </c>
      <c r="Q441">
        <v>28.455647585526599</v>
      </c>
      <c r="R441" t="s">
        <v>30</v>
      </c>
      <c r="S441">
        <v>75.173460160000005</v>
      </c>
      <c r="T441" t="s">
        <v>2819</v>
      </c>
      <c r="U441" t="s">
        <v>1059</v>
      </c>
    </row>
    <row r="442" spans="1:21" x14ac:dyDescent="0.25">
      <c r="A442" t="s">
        <v>2647</v>
      </c>
      <c r="B442" t="s">
        <v>5266</v>
      </c>
      <c r="C442" t="s">
        <v>5267</v>
      </c>
      <c r="D442" t="s">
        <v>151</v>
      </c>
      <c r="E442" t="s">
        <v>4810</v>
      </c>
      <c r="F442" t="s">
        <v>1198</v>
      </c>
      <c r="G442" t="s">
        <v>2643</v>
      </c>
      <c r="H442">
        <v>242631549613.26999</v>
      </c>
      <c r="I442">
        <v>58403362.783013001</v>
      </c>
      <c r="J442">
        <v>218.24608924969999</v>
      </c>
      <c r="S442">
        <v>141.98365630000001</v>
      </c>
      <c r="T442">
        <v>34.299999999999997</v>
      </c>
      <c r="U442" t="s">
        <v>2644</v>
      </c>
    </row>
    <row r="443" spans="1:21" x14ac:dyDescent="0.25">
      <c r="A443" t="s">
        <v>1968</v>
      </c>
      <c r="B443" t="s">
        <v>1969</v>
      </c>
      <c r="C443" t="s">
        <v>1970</v>
      </c>
      <c r="D443" t="s">
        <v>586</v>
      </c>
      <c r="E443" t="s">
        <v>1056</v>
      </c>
      <c r="F443" t="s">
        <v>1136</v>
      </c>
      <c r="G443" t="s">
        <v>1137</v>
      </c>
      <c r="H443" t="s">
        <v>90</v>
      </c>
      <c r="I443" t="s">
        <v>90</v>
      </c>
      <c r="J443">
        <v>54.194575780000001</v>
      </c>
      <c r="K443">
        <v>6.0784038200000001</v>
      </c>
      <c r="L443">
        <v>5.6583089700000002</v>
      </c>
      <c r="M443">
        <v>5.1376216899999996</v>
      </c>
      <c r="N443">
        <v>5.0126590999999996</v>
      </c>
      <c r="O443">
        <v>22.275492901576751</v>
      </c>
      <c r="P443">
        <v>193.43997239999999</v>
      </c>
      <c r="Q443">
        <v>13.95005288761344</v>
      </c>
      <c r="R443" t="s">
        <v>30</v>
      </c>
      <c r="S443">
        <v>54.194575780000001</v>
      </c>
      <c r="T443" t="s">
        <v>2819</v>
      </c>
      <c r="U443" t="s">
        <v>1059</v>
      </c>
    </row>
    <row r="444" spans="1:21" x14ac:dyDescent="0.25">
      <c r="A444" t="s">
        <v>2647</v>
      </c>
      <c r="B444" t="s">
        <v>2653</v>
      </c>
      <c r="C444" t="s">
        <v>4104</v>
      </c>
      <c r="D444" t="s">
        <v>151</v>
      </c>
      <c r="E444" t="s">
        <v>4810</v>
      </c>
      <c r="F444" t="s">
        <v>1198</v>
      </c>
      <c r="G444" t="s">
        <v>2643</v>
      </c>
      <c r="H444">
        <v>242631549613.26999</v>
      </c>
      <c r="I444">
        <v>58403362.783013001</v>
      </c>
      <c r="J444">
        <v>218.24608924969999</v>
      </c>
      <c r="S444">
        <v>141.98365630000001</v>
      </c>
      <c r="T444">
        <v>34.299999999999997</v>
      </c>
      <c r="U444" t="s">
        <v>2644</v>
      </c>
    </row>
    <row r="445" spans="1:21" x14ac:dyDescent="0.25">
      <c r="A445" t="s">
        <v>1971</v>
      </c>
      <c r="B445" t="s">
        <v>1972</v>
      </c>
      <c r="C445" t="s">
        <v>1973</v>
      </c>
      <c r="D445" t="s">
        <v>586</v>
      </c>
      <c r="E445" t="s">
        <v>1056</v>
      </c>
      <c r="F445" t="s">
        <v>1375</v>
      </c>
      <c r="G445" t="s">
        <v>1376</v>
      </c>
      <c r="H445" t="s">
        <v>90</v>
      </c>
      <c r="I445" t="s">
        <v>90</v>
      </c>
      <c r="J445">
        <v>21.954398340000001</v>
      </c>
      <c r="K445">
        <v>7.3518064299999999</v>
      </c>
      <c r="L445">
        <v>5.6710686199999998</v>
      </c>
      <c r="M445">
        <v>5.4721566900000003</v>
      </c>
      <c r="N445">
        <v>6.1225711499999997</v>
      </c>
      <c r="O445">
        <v>34.212099999999992</v>
      </c>
      <c r="P445">
        <v>49.270956810000001</v>
      </c>
      <c r="Q445">
        <v>31.224</v>
      </c>
      <c r="R445" t="s">
        <v>1073</v>
      </c>
      <c r="S445">
        <v>21.954398340000001</v>
      </c>
      <c r="T445" t="s">
        <v>2819</v>
      </c>
      <c r="U445" t="s">
        <v>1059</v>
      </c>
    </row>
    <row r="446" spans="1:21" x14ac:dyDescent="0.25">
      <c r="A446" t="s">
        <v>2647</v>
      </c>
      <c r="B446" t="s">
        <v>2654</v>
      </c>
      <c r="C446" t="s">
        <v>3416</v>
      </c>
      <c r="D446" t="s">
        <v>151</v>
      </c>
      <c r="E446" t="s">
        <v>4810</v>
      </c>
      <c r="F446" t="s">
        <v>1198</v>
      </c>
      <c r="G446" t="s">
        <v>2643</v>
      </c>
      <c r="H446">
        <v>242631549613.26999</v>
      </c>
      <c r="I446">
        <v>58403362.783013001</v>
      </c>
      <c r="J446">
        <v>218.24608924969999</v>
      </c>
      <c r="S446">
        <v>141.98365630000001</v>
      </c>
      <c r="T446">
        <v>34.299999999999997</v>
      </c>
      <c r="U446" t="s">
        <v>2644</v>
      </c>
    </row>
    <row r="447" spans="1:21" x14ac:dyDescent="0.25">
      <c r="A447" t="s">
        <v>1974</v>
      </c>
      <c r="B447" t="s">
        <v>1975</v>
      </c>
      <c r="C447" t="s">
        <v>1976</v>
      </c>
      <c r="D447" t="s">
        <v>586</v>
      </c>
      <c r="E447" t="s">
        <v>1056</v>
      </c>
      <c r="F447" t="s">
        <v>1605</v>
      </c>
      <c r="G447" t="s">
        <v>1606</v>
      </c>
      <c r="H447" t="s">
        <v>90</v>
      </c>
      <c r="I447" t="s">
        <v>90</v>
      </c>
      <c r="J447">
        <v>57.310149039999999</v>
      </c>
      <c r="K447">
        <v>5.8701849399999997</v>
      </c>
      <c r="L447">
        <v>6.0292771700000003</v>
      </c>
      <c r="M447">
        <v>5.18971246</v>
      </c>
      <c r="N447">
        <v>4.8635013000000002</v>
      </c>
      <c r="O447">
        <v>26.63449346202615</v>
      </c>
      <c r="P447">
        <v>160.8191085</v>
      </c>
      <c r="Q447">
        <v>6.4532741869032524</v>
      </c>
      <c r="R447" t="s">
        <v>30</v>
      </c>
      <c r="S447">
        <v>57.310149039999999</v>
      </c>
      <c r="T447" t="s">
        <v>2819</v>
      </c>
      <c r="U447" t="s">
        <v>1059</v>
      </c>
    </row>
    <row r="448" spans="1:21" x14ac:dyDescent="0.25">
      <c r="A448" t="s">
        <v>2647</v>
      </c>
      <c r="B448" t="s">
        <v>2655</v>
      </c>
      <c r="C448" t="s">
        <v>3412</v>
      </c>
      <c r="D448" t="s">
        <v>151</v>
      </c>
      <c r="E448" t="s">
        <v>4810</v>
      </c>
      <c r="F448" t="s">
        <v>1198</v>
      </c>
      <c r="G448" t="s">
        <v>2643</v>
      </c>
      <c r="H448">
        <v>242631549613.26999</v>
      </c>
      <c r="I448">
        <v>58403362.783013001</v>
      </c>
      <c r="J448">
        <v>218.24608924969999</v>
      </c>
      <c r="S448">
        <v>141.98365630000001</v>
      </c>
      <c r="T448">
        <v>34.299999999999997</v>
      </c>
      <c r="U448" t="s">
        <v>2644</v>
      </c>
    </row>
    <row r="449" spans="1:21" x14ac:dyDescent="0.25">
      <c r="A449" t="s">
        <v>2647</v>
      </c>
      <c r="B449" t="s">
        <v>2656</v>
      </c>
      <c r="C449" t="s">
        <v>3413</v>
      </c>
      <c r="D449" t="s">
        <v>151</v>
      </c>
      <c r="E449" t="s">
        <v>4810</v>
      </c>
      <c r="F449" t="s">
        <v>1198</v>
      </c>
      <c r="G449" t="s">
        <v>2643</v>
      </c>
      <c r="H449">
        <v>242631549613.26999</v>
      </c>
      <c r="I449">
        <v>58403362.783013001</v>
      </c>
      <c r="J449">
        <v>218.24608924969999</v>
      </c>
      <c r="S449">
        <v>141.98365630000001</v>
      </c>
      <c r="T449">
        <v>34.299999999999997</v>
      </c>
      <c r="U449" t="s">
        <v>2644</v>
      </c>
    </row>
    <row r="450" spans="1:21" x14ac:dyDescent="0.25">
      <c r="A450" t="s">
        <v>1977</v>
      </c>
      <c r="B450" t="s">
        <v>1978</v>
      </c>
      <c r="C450" t="s">
        <v>1979</v>
      </c>
      <c r="D450" t="s">
        <v>586</v>
      </c>
      <c r="E450" t="s">
        <v>1056</v>
      </c>
      <c r="F450" t="s">
        <v>1136</v>
      </c>
      <c r="G450" t="s">
        <v>1494</v>
      </c>
      <c r="H450" t="s">
        <v>90</v>
      </c>
      <c r="I450" t="s">
        <v>90</v>
      </c>
      <c r="J450">
        <v>2.8122100699999999</v>
      </c>
      <c r="K450">
        <v>4.5446748699999997</v>
      </c>
      <c r="L450">
        <v>5.3859243499999998</v>
      </c>
      <c r="M450">
        <v>5.89009859</v>
      </c>
      <c r="N450">
        <v>5.7492329</v>
      </c>
      <c r="O450">
        <v>0.33502961955661698</v>
      </c>
      <c r="P450">
        <v>29.056775760000001</v>
      </c>
      <c r="Q450">
        <v>2.5499400457203999E-2</v>
      </c>
      <c r="R450" t="s">
        <v>1063</v>
      </c>
      <c r="S450">
        <v>2.8122100699999999</v>
      </c>
      <c r="T450" t="s">
        <v>2819</v>
      </c>
      <c r="U450" t="s">
        <v>1059</v>
      </c>
    </row>
    <row r="451" spans="1:21" x14ac:dyDescent="0.25">
      <c r="A451" t="s">
        <v>2647</v>
      </c>
      <c r="B451" t="s">
        <v>526</v>
      </c>
      <c r="C451" t="s">
        <v>4061</v>
      </c>
      <c r="D451" t="s">
        <v>523</v>
      </c>
      <c r="E451" t="s">
        <v>4811</v>
      </c>
      <c r="F451" t="s">
        <v>1198</v>
      </c>
      <c r="G451" t="s">
        <v>2643</v>
      </c>
      <c r="H451">
        <v>242631549613.26999</v>
      </c>
      <c r="I451">
        <v>58403362.783013001</v>
      </c>
      <c r="J451">
        <v>218.24608924969999</v>
      </c>
      <c r="S451">
        <v>141.98365630000001</v>
      </c>
      <c r="T451">
        <v>34.299999999999997</v>
      </c>
      <c r="U451" t="s">
        <v>2644</v>
      </c>
    </row>
    <row r="452" spans="1:21" x14ac:dyDescent="0.25">
      <c r="A452" t="s">
        <v>1980</v>
      </c>
      <c r="B452" t="s">
        <v>1981</v>
      </c>
      <c r="C452" t="s">
        <v>1982</v>
      </c>
      <c r="D452" t="s">
        <v>586</v>
      </c>
      <c r="E452" t="s">
        <v>1056</v>
      </c>
      <c r="F452" t="s">
        <v>1501</v>
      </c>
      <c r="G452" t="s">
        <v>1502</v>
      </c>
      <c r="H452" t="s">
        <v>90</v>
      </c>
      <c r="I452" t="s">
        <v>90</v>
      </c>
      <c r="J452">
        <v>104.52306744000001</v>
      </c>
      <c r="K452">
        <v>5.9695874099999999</v>
      </c>
      <c r="L452">
        <v>5.3327588300000004</v>
      </c>
      <c r="M452">
        <v>4.5865876300000004</v>
      </c>
      <c r="N452">
        <v>5.2680763600000002</v>
      </c>
      <c r="O452">
        <v>17.824774311845271</v>
      </c>
      <c r="P452">
        <v>226.79416891</v>
      </c>
      <c r="Q452">
        <v>15.67068807070669</v>
      </c>
      <c r="R452" t="s">
        <v>30</v>
      </c>
      <c r="S452">
        <v>104.52306744000001</v>
      </c>
      <c r="T452" t="s">
        <v>2819</v>
      </c>
      <c r="U452" t="s">
        <v>1059</v>
      </c>
    </row>
    <row r="453" spans="1:21" x14ac:dyDescent="0.25">
      <c r="A453" t="s">
        <v>1983</v>
      </c>
      <c r="B453" t="s">
        <v>1984</v>
      </c>
      <c r="C453" t="s">
        <v>1985</v>
      </c>
      <c r="D453" t="s">
        <v>586</v>
      </c>
      <c r="E453" t="s">
        <v>1056</v>
      </c>
      <c r="F453" t="s">
        <v>1163</v>
      </c>
      <c r="G453" t="s">
        <v>1164</v>
      </c>
      <c r="H453" t="s">
        <v>90</v>
      </c>
      <c r="I453" t="s">
        <v>90</v>
      </c>
      <c r="J453">
        <v>15.8812043</v>
      </c>
      <c r="K453">
        <v>8.3436258999999993</v>
      </c>
      <c r="L453">
        <v>6.0237213699999996</v>
      </c>
      <c r="M453">
        <v>5.6496271499999997</v>
      </c>
      <c r="N453">
        <v>7.1451671599999997</v>
      </c>
      <c r="O453">
        <v>9.4679688878578965</v>
      </c>
      <c r="P453">
        <v>50.52421571</v>
      </c>
      <c r="Q453">
        <v>65.920685053998156</v>
      </c>
      <c r="R453" t="s">
        <v>1073</v>
      </c>
      <c r="S453">
        <v>15.8812043</v>
      </c>
      <c r="T453" t="s">
        <v>2819</v>
      </c>
      <c r="U453" t="s">
        <v>1059</v>
      </c>
    </row>
    <row r="454" spans="1:21" x14ac:dyDescent="0.25">
      <c r="A454" t="s">
        <v>2647</v>
      </c>
      <c r="B454" t="s">
        <v>528</v>
      </c>
      <c r="C454" t="s">
        <v>527</v>
      </c>
      <c r="D454" t="s">
        <v>523</v>
      </c>
      <c r="E454" t="s">
        <v>4811</v>
      </c>
      <c r="F454" t="s">
        <v>1198</v>
      </c>
      <c r="G454" t="s">
        <v>2643</v>
      </c>
      <c r="H454">
        <v>242631549613.26999</v>
      </c>
      <c r="I454">
        <v>58403362.783013001</v>
      </c>
      <c r="J454">
        <v>218.24608924969999</v>
      </c>
      <c r="S454">
        <v>141.98365630000001</v>
      </c>
      <c r="T454">
        <v>34.299999999999997</v>
      </c>
      <c r="U454" t="s">
        <v>2644</v>
      </c>
    </row>
    <row r="455" spans="1:21" x14ac:dyDescent="0.25">
      <c r="A455" t="s">
        <v>1983</v>
      </c>
      <c r="B455" t="s">
        <v>1984</v>
      </c>
      <c r="C455" t="s">
        <v>1986</v>
      </c>
      <c r="D455" t="s">
        <v>586</v>
      </c>
      <c r="E455" t="s">
        <v>1056</v>
      </c>
      <c r="F455" t="s">
        <v>1163</v>
      </c>
      <c r="G455" t="s">
        <v>1164</v>
      </c>
      <c r="H455" t="s">
        <v>90</v>
      </c>
      <c r="I455" t="s">
        <v>90</v>
      </c>
      <c r="J455">
        <v>15.8812043</v>
      </c>
      <c r="K455">
        <v>8.3436258999999993</v>
      </c>
      <c r="L455">
        <v>6.0237213699999996</v>
      </c>
      <c r="M455">
        <v>5.6496271499999997</v>
      </c>
      <c r="N455">
        <v>7.1451671599999997</v>
      </c>
      <c r="O455">
        <v>9.4679688878578965</v>
      </c>
      <c r="P455">
        <v>50.52421571</v>
      </c>
      <c r="Q455">
        <v>65.920685053998156</v>
      </c>
      <c r="R455" t="s">
        <v>1073</v>
      </c>
      <c r="S455">
        <v>15.8812043</v>
      </c>
      <c r="T455" t="s">
        <v>2819</v>
      </c>
      <c r="U455" t="s">
        <v>1059</v>
      </c>
    </row>
    <row r="456" spans="1:21" x14ac:dyDescent="0.25">
      <c r="A456" t="s">
        <v>2647</v>
      </c>
      <c r="B456" t="s">
        <v>2657</v>
      </c>
      <c r="C456" t="s">
        <v>3419</v>
      </c>
      <c r="D456" t="s">
        <v>151</v>
      </c>
      <c r="E456" t="s">
        <v>4810</v>
      </c>
      <c r="F456" t="s">
        <v>1198</v>
      </c>
      <c r="G456" t="s">
        <v>2643</v>
      </c>
      <c r="H456">
        <v>242631549613.26999</v>
      </c>
      <c r="I456">
        <v>58403362.783013001</v>
      </c>
      <c r="J456">
        <v>218.24608924969999</v>
      </c>
      <c r="S456">
        <v>141.98365630000001</v>
      </c>
      <c r="T456">
        <v>34.299999999999997</v>
      </c>
      <c r="U456" t="s">
        <v>2644</v>
      </c>
    </row>
    <row r="457" spans="1:21" x14ac:dyDescent="0.25">
      <c r="A457" t="s">
        <v>2647</v>
      </c>
      <c r="B457" t="s">
        <v>2658</v>
      </c>
      <c r="C457" t="s">
        <v>3421</v>
      </c>
      <c r="D457" t="s">
        <v>151</v>
      </c>
      <c r="E457" t="s">
        <v>4810</v>
      </c>
      <c r="F457" t="s">
        <v>1198</v>
      </c>
      <c r="G457" t="s">
        <v>2643</v>
      </c>
      <c r="H457">
        <v>242631549613.26999</v>
      </c>
      <c r="I457">
        <v>58403362.783013001</v>
      </c>
      <c r="J457">
        <v>218.24608924969999</v>
      </c>
      <c r="S457">
        <v>141.98365630000001</v>
      </c>
      <c r="T457">
        <v>34.299999999999997</v>
      </c>
      <c r="U457" t="s">
        <v>2644</v>
      </c>
    </row>
    <row r="458" spans="1:21" x14ac:dyDescent="0.25">
      <c r="A458" t="s">
        <v>5805</v>
      </c>
      <c r="B458" t="s">
        <v>5401</v>
      </c>
      <c r="C458" t="s">
        <v>5402</v>
      </c>
      <c r="D458" t="s">
        <v>586</v>
      </c>
      <c r="E458" t="s">
        <v>1056</v>
      </c>
      <c r="F458" t="s">
        <v>1501</v>
      </c>
      <c r="G458" t="s">
        <v>1502</v>
      </c>
      <c r="H458" t="s">
        <v>90</v>
      </c>
      <c r="I458" t="s">
        <v>90</v>
      </c>
      <c r="J458">
        <v>21.454692770000001</v>
      </c>
      <c r="K458">
        <v>5.4640331599999996</v>
      </c>
      <c r="L458">
        <v>5.1306475000000002</v>
      </c>
      <c r="M458">
        <v>4.4422058800000004</v>
      </c>
      <c r="N458">
        <v>4.9065420700000004</v>
      </c>
      <c r="O458">
        <v>15.80949841454302</v>
      </c>
      <c r="P458">
        <v>97.943574670000004</v>
      </c>
      <c r="Q458">
        <v>9.4104607327029992</v>
      </c>
      <c r="R458" t="s">
        <v>1063</v>
      </c>
      <c r="S458">
        <v>21.454692770000001</v>
      </c>
      <c r="T458" t="s">
        <v>2819</v>
      </c>
      <c r="U458" t="s">
        <v>1059</v>
      </c>
    </row>
    <row r="459" spans="1:21" x14ac:dyDescent="0.25">
      <c r="A459" t="s">
        <v>2647</v>
      </c>
      <c r="B459" t="s">
        <v>2659</v>
      </c>
      <c r="C459" t="s">
        <v>3415</v>
      </c>
      <c r="D459" t="s">
        <v>151</v>
      </c>
      <c r="E459" t="s">
        <v>4810</v>
      </c>
      <c r="F459" t="s">
        <v>1198</v>
      </c>
      <c r="G459" t="s">
        <v>2643</v>
      </c>
      <c r="H459">
        <v>242631549613.26999</v>
      </c>
      <c r="I459">
        <v>58403362.783013001</v>
      </c>
      <c r="J459">
        <v>218.24608924969999</v>
      </c>
      <c r="S459">
        <v>141.98365630000001</v>
      </c>
      <c r="T459">
        <v>34.299999999999997</v>
      </c>
      <c r="U459" t="s">
        <v>2644</v>
      </c>
    </row>
    <row r="460" spans="1:21" x14ac:dyDescent="0.25">
      <c r="A460" t="s">
        <v>2647</v>
      </c>
      <c r="B460" t="s">
        <v>2660</v>
      </c>
      <c r="C460" t="s">
        <v>4058</v>
      </c>
      <c r="D460" t="s">
        <v>523</v>
      </c>
      <c r="E460" t="s">
        <v>4811</v>
      </c>
      <c r="F460" t="s">
        <v>1198</v>
      </c>
      <c r="G460" t="s">
        <v>2643</v>
      </c>
      <c r="H460">
        <v>242631549613.26999</v>
      </c>
      <c r="I460">
        <v>58403362.783013001</v>
      </c>
      <c r="J460">
        <v>218.24608924969999</v>
      </c>
      <c r="S460">
        <v>141.98365630000001</v>
      </c>
      <c r="T460">
        <v>34.299999999999997</v>
      </c>
      <c r="U460" t="s">
        <v>2644</v>
      </c>
    </row>
    <row r="461" spans="1:21" x14ac:dyDescent="0.25">
      <c r="A461" t="s">
        <v>1987</v>
      </c>
      <c r="B461" t="s">
        <v>1988</v>
      </c>
      <c r="C461" t="s">
        <v>1989</v>
      </c>
      <c r="D461" t="s">
        <v>586</v>
      </c>
      <c r="E461" t="s">
        <v>1056</v>
      </c>
      <c r="F461" t="s">
        <v>1136</v>
      </c>
      <c r="G461" t="s">
        <v>1494</v>
      </c>
      <c r="H461" t="s">
        <v>90</v>
      </c>
      <c r="I461" t="s">
        <v>90</v>
      </c>
      <c r="J461">
        <v>28.114703209999998</v>
      </c>
      <c r="K461">
        <v>5.3308091600000003</v>
      </c>
      <c r="L461">
        <v>5.1520012700000004</v>
      </c>
      <c r="M461">
        <v>6.3957410100000001</v>
      </c>
      <c r="N461">
        <v>6.0043344699999999</v>
      </c>
      <c r="O461">
        <v>3.244944919847331</v>
      </c>
      <c r="P461">
        <v>90.664926080000001</v>
      </c>
      <c r="Q461">
        <v>0</v>
      </c>
      <c r="R461" t="s">
        <v>1063</v>
      </c>
      <c r="S461">
        <v>28.114703209999998</v>
      </c>
      <c r="T461" t="s">
        <v>2819</v>
      </c>
      <c r="U461" t="s">
        <v>1059</v>
      </c>
    </row>
    <row r="462" spans="1:21" x14ac:dyDescent="0.25">
      <c r="A462" t="s">
        <v>2647</v>
      </c>
      <c r="B462" t="s">
        <v>5806</v>
      </c>
      <c r="C462" t="s">
        <v>5807</v>
      </c>
      <c r="D462" t="s">
        <v>151</v>
      </c>
      <c r="E462" t="s">
        <v>4810</v>
      </c>
      <c r="F462" t="s">
        <v>1198</v>
      </c>
      <c r="G462" t="s">
        <v>2643</v>
      </c>
      <c r="H462">
        <v>242631549613.26999</v>
      </c>
      <c r="I462">
        <v>58403362.783013001</v>
      </c>
      <c r="J462">
        <v>218.24608924969999</v>
      </c>
      <c r="S462">
        <v>141.98365630000001</v>
      </c>
      <c r="T462">
        <v>34.299999999999997</v>
      </c>
      <c r="U462" t="s">
        <v>2644</v>
      </c>
    </row>
    <row r="463" spans="1:21" x14ac:dyDescent="0.25">
      <c r="A463" t="s">
        <v>1990</v>
      </c>
      <c r="B463" t="s">
        <v>1991</v>
      </c>
      <c r="C463" t="s">
        <v>1992</v>
      </c>
      <c r="D463" t="s">
        <v>586</v>
      </c>
      <c r="E463" t="s">
        <v>1056</v>
      </c>
      <c r="F463" t="s">
        <v>1071</v>
      </c>
      <c r="G463" t="s">
        <v>1993</v>
      </c>
      <c r="H463" t="s">
        <v>90</v>
      </c>
      <c r="I463" t="s">
        <v>90</v>
      </c>
      <c r="J463">
        <v>149.45867279000001</v>
      </c>
      <c r="K463">
        <v>7.0116934100000003</v>
      </c>
      <c r="L463">
        <v>4.9174446100000004</v>
      </c>
      <c r="M463">
        <v>5.0838731099999999</v>
      </c>
      <c r="N463">
        <v>6.3614136200000004</v>
      </c>
      <c r="O463">
        <v>31.77679533038599</v>
      </c>
      <c r="P463">
        <v>267.44868235000001</v>
      </c>
      <c r="Q463">
        <v>47.595442786328363</v>
      </c>
      <c r="R463" t="s">
        <v>30</v>
      </c>
      <c r="S463">
        <v>149.45867279000001</v>
      </c>
      <c r="T463" t="s">
        <v>2819</v>
      </c>
      <c r="U463" t="s">
        <v>1059</v>
      </c>
    </row>
    <row r="464" spans="1:21" x14ac:dyDescent="0.25">
      <c r="A464" t="s">
        <v>2647</v>
      </c>
      <c r="B464" t="s">
        <v>2661</v>
      </c>
      <c r="C464" t="s">
        <v>3409</v>
      </c>
      <c r="D464" t="s">
        <v>151</v>
      </c>
      <c r="E464" t="s">
        <v>4810</v>
      </c>
      <c r="F464" t="s">
        <v>1198</v>
      </c>
      <c r="G464" t="s">
        <v>2643</v>
      </c>
      <c r="H464">
        <v>242631549613.26999</v>
      </c>
      <c r="I464">
        <v>58403362.783013001</v>
      </c>
      <c r="J464">
        <v>218.24608924969999</v>
      </c>
      <c r="S464">
        <v>141.98365630000001</v>
      </c>
      <c r="T464">
        <v>34.299999999999997</v>
      </c>
      <c r="U464" t="s">
        <v>2644</v>
      </c>
    </row>
    <row r="465" spans="1:21" x14ac:dyDescent="0.25">
      <c r="A465" t="s">
        <v>1994</v>
      </c>
      <c r="B465" t="s">
        <v>1995</v>
      </c>
      <c r="C465" t="s">
        <v>1996</v>
      </c>
      <c r="D465" t="s">
        <v>586</v>
      </c>
      <c r="E465" t="s">
        <v>1056</v>
      </c>
      <c r="F465" t="s">
        <v>1057</v>
      </c>
      <c r="G465" t="s">
        <v>1288</v>
      </c>
      <c r="H465" t="s">
        <v>90</v>
      </c>
      <c r="I465" t="s">
        <v>90</v>
      </c>
      <c r="J465">
        <v>64.595339929999994</v>
      </c>
      <c r="K465">
        <v>5.9781409099999996</v>
      </c>
      <c r="L465">
        <v>5.16889077</v>
      </c>
      <c r="M465">
        <v>4.8277702199999997</v>
      </c>
      <c r="N465">
        <v>5.7605586999999998</v>
      </c>
      <c r="O465">
        <v>2.3173271191618552</v>
      </c>
      <c r="P465">
        <v>139.46514467</v>
      </c>
      <c r="Q465">
        <v>10.238477193469221</v>
      </c>
      <c r="R465" t="s">
        <v>30</v>
      </c>
      <c r="S465">
        <v>64.595339929999994</v>
      </c>
      <c r="T465" t="s">
        <v>2819</v>
      </c>
      <c r="U465" t="s">
        <v>1059</v>
      </c>
    </row>
    <row r="466" spans="1:21" x14ac:dyDescent="0.25">
      <c r="A466" t="s">
        <v>2647</v>
      </c>
      <c r="B466" t="s">
        <v>2662</v>
      </c>
      <c r="C466" t="s">
        <v>3410</v>
      </c>
      <c r="D466" t="s">
        <v>151</v>
      </c>
      <c r="E466" t="s">
        <v>4810</v>
      </c>
      <c r="F466" t="s">
        <v>1198</v>
      </c>
      <c r="G466" t="s">
        <v>2643</v>
      </c>
      <c r="H466">
        <v>242631549613.26999</v>
      </c>
      <c r="I466">
        <v>58403362.783013001</v>
      </c>
      <c r="J466">
        <v>218.24608924969999</v>
      </c>
      <c r="S466">
        <v>141.98365630000001</v>
      </c>
      <c r="T466">
        <v>34.299999999999997</v>
      </c>
      <c r="U466" t="s">
        <v>2644</v>
      </c>
    </row>
    <row r="467" spans="1:21" x14ac:dyDescent="0.25">
      <c r="A467" t="s">
        <v>1997</v>
      </c>
      <c r="B467" t="s">
        <v>1998</v>
      </c>
      <c r="C467" t="s">
        <v>1999</v>
      </c>
      <c r="D467" t="s">
        <v>586</v>
      </c>
      <c r="E467" t="s">
        <v>1056</v>
      </c>
      <c r="F467" t="s">
        <v>1501</v>
      </c>
      <c r="G467" t="s">
        <v>1502</v>
      </c>
      <c r="H467" t="s">
        <v>90</v>
      </c>
      <c r="I467" t="s">
        <v>90</v>
      </c>
      <c r="J467">
        <v>38.720770479999999</v>
      </c>
      <c r="K467">
        <v>5.6132238299999999</v>
      </c>
      <c r="L467">
        <v>5.30748453</v>
      </c>
      <c r="M467">
        <v>4.5551112700000003</v>
      </c>
      <c r="N467">
        <v>4.7206082900000004</v>
      </c>
      <c r="O467">
        <v>19.119025028434699</v>
      </c>
      <c r="P467">
        <v>100.84892120000001</v>
      </c>
      <c r="Q467">
        <v>14.167064457894041</v>
      </c>
      <c r="R467" t="s">
        <v>1063</v>
      </c>
      <c r="S467">
        <v>38.720770479999999</v>
      </c>
      <c r="T467" t="s">
        <v>2819</v>
      </c>
      <c r="U467" t="s">
        <v>1059</v>
      </c>
    </row>
    <row r="468" spans="1:21" x14ac:dyDescent="0.25">
      <c r="A468" t="s">
        <v>2000</v>
      </c>
      <c r="B468" t="s">
        <v>2001</v>
      </c>
      <c r="C468" t="s">
        <v>2002</v>
      </c>
      <c r="D468" t="s">
        <v>586</v>
      </c>
      <c r="E468" t="s">
        <v>1056</v>
      </c>
      <c r="F468" t="s">
        <v>1136</v>
      </c>
      <c r="G468" t="s">
        <v>1494</v>
      </c>
      <c r="H468" t="s">
        <v>90</v>
      </c>
      <c r="I468" t="s">
        <v>90</v>
      </c>
      <c r="J468">
        <v>0.47647453000000001</v>
      </c>
      <c r="K468">
        <v>4.3429268700000003</v>
      </c>
      <c r="L468">
        <v>5.3494962900000003</v>
      </c>
      <c r="M468">
        <v>5.7843975099999998</v>
      </c>
      <c r="N468">
        <v>5.5085508799999996</v>
      </c>
      <c r="O468">
        <v>0.52440233769822597</v>
      </c>
      <c r="P468">
        <v>16.44072572</v>
      </c>
      <c r="Q468">
        <v>0.79963130534788596</v>
      </c>
      <c r="R468" t="s">
        <v>1063</v>
      </c>
      <c r="S468">
        <v>0.47647453000000001</v>
      </c>
      <c r="T468" t="s">
        <v>2819</v>
      </c>
      <c r="U468" t="s">
        <v>1059</v>
      </c>
    </row>
    <row r="469" spans="1:21" x14ac:dyDescent="0.25">
      <c r="A469" t="s">
        <v>2647</v>
      </c>
      <c r="B469" t="s">
        <v>2663</v>
      </c>
      <c r="C469" t="s">
        <v>3411</v>
      </c>
      <c r="D469" t="s">
        <v>151</v>
      </c>
      <c r="E469" t="s">
        <v>4810</v>
      </c>
      <c r="F469" t="s">
        <v>1198</v>
      </c>
      <c r="G469" t="s">
        <v>2643</v>
      </c>
      <c r="H469">
        <v>242631549613.26999</v>
      </c>
      <c r="I469">
        <v>58403362.783013001</v>
      </c>
      <c r="J469">
        <v>218.24608924969999</v>
      </c>
      <c r="S469">
        <v>141.98365630000001</v>
      </c>
      <c r="T469">
        <v>34.299999999999997</v>
      </c>
      <c r="U469" t="s">
        <v>2644</v>
      </c>
    </row>
    <row r="470" spans="1:21" x14ac:dyDescent="0.25">
      <c r="A470" t="s">
        <v>2647</v>
      </c>
      <c r="B470" t="s">
        <v>2664</v>
      </c>
      <c r="C470" t="s">
        <v>3420</v>
      </c>
      <c r="D470" t="s">
        <v>151</v>
      </c>
      <c r="E470" t="s">
        <v>4810</v>
      </c>
      <c r="F470" t="s">
        <v>1198</v>
      </c>
      <c r="G470" t="s">
        <v>2643</v>
      </c>
      <c r="H470">
        <v>242631549613.26999</v>
      </c>
      <c r="I470">
        <v>58403362.783013001</v>
      </c>
      <c r="J470">
        <v>218.24608924969999</v>
      </c>
      <c r="S470">
        <v>141.98365630000001</v>
      </c>
      <c r="T470">
        <v>34.299999999999997</v>
      </c>
      <c r="U470" t="s">
        <v>2644</v>
      </c>
    </row>
    <row r="471" spans="1:21" x14ac:dyDescent="0.25">
      <c r="A471" t="s">
        <v>2003</v>
      </c>
      <c r="B471" t="s">
        <v>2004</v>
      </c>
      <c r="C471" t="s">
        <v>2005</v>
      </c>
      <c r="D471" t="s">
        <v>586</v>
      </c>
      <c r="E471" t="s">
        <v>1056</v>
      </c>
      <c r="F471" t="s">
        <v>1071</v>
      </c>
      <c r="G471" t="s">
        <v>1856</v>
      </c>
      <c r="H471" t="s">
        <v>90</v>
      </c>
      <c r="I471" t="s">
        <v>90</v>
      </c>
      <c r="J471">
        <v>91.104239179999993</v>
      </c>
      <c r="K471">
        <v>6.53168784</v>
      </c>
      <c r="L471">
        <v>6.0616403400000003</v>
      </c>
      <c r="M471">
        <v>4.9672262299999996</v>
      </c>
      <c r="N471">
        <v>5.7271597300000003</v>
      </c>
      <c r="O471">
        <v>18.5268445692701</v>
      </c>
      <c r="P471">
        <v>271.18739542999998</v>
      </c>
      <c r="Q471">
        <v>24.269974980615359</v>
      </c>
      <c r="R471" t="s">
        <v>30</v>
      </c>
      <c r="S471">
        <v>91.104239179999993</v>
      </c>
      <c r="T471" t="s">
        <v>2819</v>
      </c>
      <c r="U471" t="s">
        <v>1059</v>
      </c>
    </row>
    <row r="472" spans="1:21" x14ac:dyDescent="0.25">
      <c r="A472" t="s">
        <v>2006</v>
      </c>
      <c r="B472" t="s">
        <v>2007</v>
      </c>
      <c r="C472" t="s">
        <v>2008</v>
      </c>
      <c r="D472" t="s">
        <v>586</v>
      </c>
      <c r="E472" t="s">
        <v>1056</v>
      </c>
      <c r="F472" t="s">
        <v>1375</v>
      </c>
      <c r="G472" t="s">
        <v>1376</v>
      </c>
      <c r="H472" t="s">
        <v>90</v>
      </c>
      <c r="I472" t="s">
        <v>90</v>
      </c>
      <c r="J472">
        <v>47.951668269999999</v>
      </c>
      <c r="K472">
        <v>7.50808578</v>
      </c>
      <c r="L472">
        <v>5.8941211600000001</v>
      </c>
      <c r="M472">
        <v>5.5491333699999998</v>
      </c>
      <c r="N472">
        <v>6.1198557300000003</v>
      </c>
      <c r="O472">
        <v>29.514935147437821</v>
      </c>
      <c r="P472">
        <v>61.792952130000003</v>
      </c>
      <c r="Q472">
        <v>27.398148772671728</v>
      </c>
      <c r="R472" t="s">
        <v>1073</v>
      </c>
      <c r="S472">
        <v>47.951668269999999</v>
      </c>
      <c r="T472" t="s">
        <v>2819</v>
      </c>
      <c r="U472" t="s">
        <v>1059</v>
      </c>
    </row>
    <row r="473" spans="1:21" x14ac:dyDescent="0.25">
      <c r="A473" t="s">
        <v>2647</v>
      </c>
      <c r="B473" t="s">
        <v>2665</v>
      </c>
      <c r="C473" t="s">
        <v>3407</v>
      </c>
      <c r="D473" t="s">
        <v>151</v>
      </c>
      <c r="E473" t="s">
        <v>4810</v>
      </c>
      <c r="F473" t="s">
        <v>1198</v>
      </c>
      <c r="G473" t="s">
        <v>2643</v>
      </c>
      <c r="H473">
        <v>242631549613.26999</v>
      </c>
      <c r="I473">
        <v>58403362.783013001</v>
      </c>
      <c r="J473">
        <v>218.24608924969999</v>
      </c>
      <c r="S473">
        <v>141.98365630000001</v>
      </c>
      <c r="T473">
        <v>34.299999999999997</v>
      </c>
      <c r="U473" t="s">
        <v>2644</v>
      </c>
    </row>
    <row r="474" spans="1:21" x14ac:dyDescent="0.25">
      <c r="A474" t="s">
        <v>2647</v>
      </c>
      <c r="B474" t="s">
        <v>2666</v>
      </c>
      <c r="C474" t="s">
        <v>3408</v>
      </c>
      <c r="D474" t="s">
        <v>151</v>
      </c>
      <c r="E474" t="s">
        <v>4810</v>
      </c>
      <c r="F474" t="s">
        <v>1198</v>
      </c>
      <c r="G474" t="s">
        <v>2643</v>
      </c>
      <c r="H474">
        <v>242631549613.26999</v>
      </c>
      <c r="I474">
        <v>58403362.783013001</v>
      </c>
      <c r="J474">
        <v>218.24608924969999</v>
      </c>
      <c r="S474">
        <v>141.98365630000001</v>
      </c>
      <c r="T474">
        <v>34.299999999999997</v>
      </c>
      <c r="U474" t="s">
        <v>2644</v>
      </c>
    </row>
    <row r="475" spans="1:21" x14ac:dyDescent="0.25">
      <c r="A475" t="s">
        <v>2010</v>
      </c>
      <c r="B475" t="s">
        <v>2011</v>
      </c>
      <c r="C475" t="s">
        <v>2012</v>
      </c>
      <c r="D475" t="s">
        <v>586</v>
      </c>
      <c r="E475" t="s">
        <v>1056</v>
      </c>
      <c r="F475" t="s">
        <v>1128</v>
      </c>
      <c r="G475" t="s">
        <v>1129</v>
      </c>
      <c r="H475" t="s">
        <v>90</v>
      </c>
      <c r="I475" t="s">
        <v>90</v>
      </c>
      <c r="J475">
        <v>65.489864920000002</v>
      </c>
      <c r="K475">
        <v>7.6544870999999999</v>
      </c>
      <c r="L475">
        <v>6.6890930500000003</v>
      </c>
      <c r="M475">
        <v>5.4452367600000002</v>
      </c>
      <c r="N475">
        <v>6.1815805800000003</v>
      </c>
      <c r="O475">
        <v>56.460022479730227</v>
      </c>
      <c r="P475">
        <v>85.787803569999994</v>
      </c>
      <c r="Q475">
        <v>61.76235885169379</v>
      </c>
      <c r="R475" t="s">
        <v>1073</v>
      </c>
      <c r="S475">
        <v>65.489864920000002</v>
      </c>
      <c r="T475" t="s">
        <v>2819</v>
      </c>
      <c r="U475" t="s">
        <v>1059</v>
      </c>
    </row>
    <row r="476" spans="1:21" x14ac:dyDescent="0.25">
      <c r="A476" t="s">
        <v>5077</v>
      </c>
      <c r="B476" t="s">
        <v>2014</v>
      </c>
      <c r="C476" t="s">
        <v>2015</v>
      </c>
      <c r="D476" t="s">
        <v>586</v>
      </c>
      <c r="E476" t="s">
        <v>1056</v>
      </c>
      <c r="F476" t="s">
        <v>1375</v>
      </c>
      <c r="G476" t="s">
        <v>1678</v>
      </c>
      <c r="H476" t="s">
        <v>90</v>
      </c>
      <c r="I476" t="s">
        <v>90</v>
      </c>
      <c r="J476">
        <v>91.93031483</v>
      </c>
      <c r="K476">
        <v>5.6138613599999996</v>
      </c>
      <c r="L476">
        <v>4.6136153100000001</v>
      </c>
      <c r="M476">
        <v>5.3574708900000001</v>
      </c>
      <c r="N476">
        <v>4.8711807900000004</v>
      </c>
      <c r="O476">
        <v>1.0356958572165711</v>
      </c>
      <c r="P476">
        <v>93.215425420000003</v>
      </c>
      <c r="Q476">
        <v>5.3711785152859397</v>
      </c>
      <c r="R476" t="s">
        <v>1063</v>
      </c>
      <c r="S476">
        <v>91.93031483</v>
      </c>
      <c r="T476" t="s">
        <v>2819</v>
      </c>
      <c r="U476" t="s">
        <v>1059</v>
      </c>
    </row>
    <row r="477" spans="1:21" x14ac:dyDescent="0.25">
      <c r="A477" t="s">
        <v>2647</v>
      </c>
      <c r="B477" t="s">
        <v>923</v>
      </c>
      <c r="C477" t="s">
        <v>922</v>
      </c>
      <c r="D477" t="s">
        <v>523</v>
      </c>
      <c r="E477" t="s">
        <v>4811</v>
      </c>
      <c r="F477" t="s">
        <v>1198</v>
      </c>
      <c r="G477" t="s">
        <v>2643</v>
      </c>
      <c r="H477">
        <v>242631549613.26999</v>
      </c>
      <c r="I477">
        <v>58403362.783013001</v>
      </c>
      <c r="J477">
        <v>218.24608924969999</v>
      </c>
      <c r="S477">
        <v>141.98365630000001</v>
      </c>
      <c r="T477">
        <v>34.299999999999997</v>
      </c>
      <c r="U477" t="s">
        <v>2644</v>
      </c>
    </row>
    <row r="478" spans="1:21" x14ac:dyDescent="0.25">
      <c r="A478" t="s">
        <v>2647</v>
      </c>
      <c r="B478" t="s">
        <v>5403</v>
      </c>
      <c r="C478" t="s">
        <v>5404</v>
      </c>
      <c r="D478" t="s">
        <v>151</v>
      </c>
      <c r="E478" t="s">
        <v>4810</v>
      </c>
      <c r="F478" t="s">
        <v>1198</v>
      </c>
      <c r="G478" t="s">
        <v>2643</v>
      </c>
      <c r="H478">
        <v>242631549613.26999</v>
      </c>
      <c r="I478">
        <v>58403362.783013001</v>
      </c>
      <c r="J478">
        <v>218.24608924969999</v>
      </c>
      <c r="S478">
        <v>141.98365630000001</v>
      </c>
      <c r="T478">
        <v>34.299999999999997</v>
      </c>
      <c r="U478" t="s">
        <v>2644</v>
      </c>
    </row>
    <row r="479" spans="1:21" x14ac:dyDescent="0.25">
      <c r="A479" t="s">
        <v>5078</v>
      </c>
      <c r="B479" t="s">
        <v>2016</v>
      </c>
      <c r="C479" t="s">
        <v>2017</v>
      </c>
      <c r="D479" t="s">
        <v>586</v>
      </c>
      <c r="E479" t="s">
        <v>1056</v>
      </c>
      <c r="F479" t="s">
        <v>1375</v>
      </c>
      <c r="G479" t="s">
        <v>1678</v>
      </c>
      <c r="H479" t="s">
        <v>90</v>
      </c>
      <c r="I479" t="s">
        <v>90</v>
      </c>
      <c r="J479">
        <v>91.93031483</v>
      </c>
      <c r="K479">
        <v>5.6138613599999996</v>
      </c>
      <c r="L479">
        <v>4.6136153100000001</v>
      </c>
      <c r="M479">
        <v>5.3574708900000001</v>
      </c>
      <c r="N479">
        <v>4.8711807900000004</v>
      </c>
      <c r="O479">
        <v>1.0356958572165711</v>
      </c>
      <c r="P479">
        <v>93.215425420000003</v>
      </c>
      <c r="Q479">
        <v>5.3711785152859397</v>
      </c>
      <c r="R479" t="s">
        <v>1063</v>
      </c>
      <c r="S479">
        <v>91.93031483</v>
      </c>
      <c r="T479" t="s">
        <v>2819</v>
      </c>
      <c r="U479" t="s">
        <v>1059</v>
      </c>
    </row>
    <row r="480" spans="1:21" x14ac:dyDescent="0.25">
      <c r="A480" t="s">
        <v>2647</v>
      </c>
      <c r="B480" t="s">
        <v>5405</v>
      </c>
      <c r="C480" t="s">
        <v>5406</v>
      </c>
      <c r="D480" t="s">
        <v>151</v>
      </c>
      <c r="E480" t="s">
        <v>4810</v>
      </c>
      <c r="F480" t="s">
        <v>1198</v>
      </c>
      <c r="G480" t="s">
        <v>2643</v>
      </c>
      <c r="H480">
        <v>242631549613.26999</v>
      </c>
      <c r="I480">
        <v>58403362.783013001</v>
      </c>
      <c r="J480">
        <v>218.24608924969999</v>
      </c>
      <c r="S480">
        <v>141.98365630000001</v>
      </c>
      <c r="T480">
        <v>34.299999999999997</v>
      </c>
      <c r="U480" t="s">
        <v>2644</v>
      </c>
    </row>
    <row r="481" spans="1:21" x14ac:dyDescent="0.25">
      <c r="A481" t="s">
        <v>2019</v>
      </c>
      <c r="B481" t="s">
        <v>2020</v>
      </c>
      <c r="C481" t="s">
        <v>2021</v>
      </c>
      <c r="D481" t="s">
        <v>586</v>
      </c>
      <c r="E481" t="s">
        <v>1056</v>
      </c>
      <c r="F481" t="s">
        <v>1290</v>
      </c>
      <c r="G481" t="s">
        <v>1291</v>
      </c>
      <c r="H481" t="s">
        <v>90</v>
      </c>
      <c r="I481" t="s">
        <v>90</v>
      </c>
      <c r="J481">
        <v>28.690808270000002</v>
      </c>
      <c r="K481">
        <v>6.0769165699999999</v>
      </c>
      <c r="L481">
        <v>6.4857529899999999</v>
      </c>
      <c r="M481">
        <v>5.1378584800000002</v>
      </c>
      <c r="N481">
        <v>4.5480160200000004</v>
      </c>
      <c r="O481">
        <v>30.916169083830919</v>
      </c>
      <c r="P481">
        <v>68.122283319999994</v>
      </c>
      <c r="Q481">
        <v>6.7181932818067196</v>
      </c>
      <c r="R481" t="s">
        <v>30</v>
      </c>
      <c r="S481">
        <v>28.690808270000002</v>
      </c>
      <c r="T481" t="s">
        <v>2819</v>
      </c>
      <c r="U481" t="s">
        <v>1059</v>
      </c>
    </row>
    <row r="482" spans="1:21" x14ac:dyDescent="0.25">
      <c r="A482" t="s">
        <v>2647</v>
      </c>
      <c r="B482" t="s">
        <v>525</v>
      </c>
      <c r="C482" t="s">
        <v>4062</v>
      </c>
      <c r="D482" t="s">
        <v>523</v>
      </c>
      <c r="E482" t="s">
        <v>4811</v>
      </c>
      <c r="F482" t="s">
        <v>1198</v>
      </c>
      <c r="G482" t="s">
        <v>2643</v>
      </c>
      <c r="H482">
        <v>242631549613.26999</v>
      </c>
      <c r="I482">
        <v>58403362.783013001</v>
      </c>
      <c r="J482">
        <v>218.24608924969999</v>
      </c>
      <c r="S482">
        <v>141.98365630000001</v>
      </c>
      <c r="T482">
        <v>34.299999999999997</v>
      </c>
      <c r="U482" t="s">
        <v>2644</v>
      </c>
    </row>
    <row r="483" spans="1:21" x14ac:dyDescent="0.25">
      <c r="A483" t="s">
        <v>2022</v>
      </c>
      <c r="B483" t="s">
        <v>2023</v>
      </c>
      <c r="C483" t="s">
        <v>2024</v>
      </c>
      <c r="D483" t="s">
        <v>586</v>
      </c>
      <c r="E483" t="s">
        <v>1056</v>
      </c>
      <c r="F483" t="s">
        <v>1136</v>
      </c>
      <c r="G483" t="s">
        <v>1437</v>
      </c>
      <c r="H483" t="s">
        <v>90</v>
      </c>
      <c r="I483" t="s">
        <v>90</v>
      </c>
      <c r="J483">
        <v>422.66461863000001</v>
      </c>
      <c r="K483">
        <v>3.8859463299999999</v>
      </c>
      <c r="L483">
        <v>5.07715184</v>
      </c>
      <c r="M483">
        <v>5.3669748500000001</v>
      </c>
      <c r="N483">
        <v>5.1784243999999999</v>
      </c>
      <c r="O483">
        <v>5.6503792560805879</v>
      </c>
      <c r="P483">
        <v>735.04248017999998</v>
      </c>
      <c r="Q483">
        <v>0.67532954733755501</v>
      </c>
      <c r="R483" t="s">
        <v>1138</v>
      </c>
      <c r="S483">
        <v>422.66461863000001</v>
      </c>
      <c r="T483" t="s">
        <v>2819</v>
      </c>
      <c r="U483" t="s">
        <v>1059</v>
      </c>
    </row>
    <row r="484" spans="1:21" x14ac:dyDescent="0.25">
      <c r="A484" t="s">
        <v>2647</v>
      </c>
      <c r="B484" t="s">
        <v>531</v>
      </c>
      <c r="C484" t="s">
        <v>530</v>
      </c>
      <c r="D484" t="s">
        <v>523</v>
      </c>
      <c r="E484" t="s">
        <v>4811</v>
      </c>
      <c r="F484" t="s">
        <v>1198</v>
      </c>
      <c r="G484" t="s">
        <v>2643</v>
      </c>
      <c r="H484">
        <v>242631549613.26999</v>
      </c>
      <c r="I484">
        <v>58403362.783013001</v>
      </c>
      <c r="J484">
        <v>218.24608924969999</v>
      </c>
      <c r="S484">
        <v>141.98365630000001</v>
      </c>
      <c r="T484">
        <v>34.299999999999997</v>
      </c>
      <c r="U484" t="s">
        <v>2644</v>
      </c>
    </row>
    <row r="485" spans="1:21" x14ac:dyDescent="0.25">
      <c r="A485" t="s">
        <v>5343</v>
      </c>
      <c r="B485" t="s">
        <v>5344</v>
      </c>
      <c r="C485" t="s">
        <v>4228</v>
      </c>
      <c r="D485" t="s">
        <v>586</v>
      </c>
      <c r="E485" t="s">
        <v>1056</v>
      </c>
      <c r="F485" t="s">
        <v>1491</v>
      </c>
      <c r="G485" t="s">
        <v>1492</v>
      </c>
      <c r="H485" t="s">
        <v>90</v>
      </c>
      <c r="I485" t="s">
        <v>90</v>
      </c>
      <c r="J485">
        <v>128.65646093999999</v>
      </c>
      <c r="K485">
        <v>6.79466152</v>
      </c>
      <c r="L485">
        <v>5.6702592200000002</v>
      </c>
      <c r="M485">
        <v>7.3056638899999999</v>
      </c>
      <c r="N485">
        <v>6.9681595099999996</v>
      </c>
      <c r="O485">
        <v>0</v>
      </c>
      <c r="P485">
        <v>192.72190909</v>
      </c>
      <c r="Q485">
        <v>0</v>
      </c>
      <c r="R485" t="s">
        <v>30</v>
      </c>
      <c r="S485">
        <v>128.65646093999999</v>
      </c>
      <c r="T485" t="s">
        <v>2819</v>
      </c>
      <c r="U485" t="s">
        <v>1059</v>
      </c>
    </row>
    <row r="486" spans="1:21" x14ac:dyDescent="0.25">
      <c r="A486" t="s">
        <v>2647</v>
      </c>
      <c r="B486" t="s">
        <v>2667</v>
      </c>
      <c r="C486" t="s">
        <v>4063</v>
      </c>
      <c r="D486" t="s">
        <v>523</v>
      </c>
      <c r="E486" t="s">
        <v>4811</v>
      </c>
      <c r="F486" t="s">
        <v>1198</v>
      </c>
      <c r="G486" t="s">
        <v>2643</v>
      </c>
      <c r="H486">
        <v>242631549613.26999</v>
      </c>
      <c r="I486">
        <v>58403362.783013001</v>
      </c>
      <c r="J486">
        <v>218.24608924969999</v>
      </c>
      <c r="S486">
        <v>141.98365630000001</v>
      </c>
      <c r="T486">
        <v>34.299999999999997</v>
      </c>
      <c r="U486" t="s">
        <v>2644</v>
      </c>
    </row>
    <row r="487" spans="1:21" x14ac:dyDescent="0.25">
      <c r="A487" t="s">
        <v>2026</v>
      </c>
      <c r="B487" t="s">
        <v>655</v>
      </c>
      <c r="C487" t="s">
        <v>654</v>
      </c>
      <c r="D487" t="s">
        <v>586</v>
      </c>
      <c r="E487" t="s">
        <v>1056</v>
      </c>
      <c r="F487" t="s">
        <v>1136</v>
      </c>
      <c r="G487" t="s">
        <v>1494</v>
      </c>
      <c r="H487" t="s">
        <v>90</v>
      </c>
      <c r="I487" t="s">
        <v>90</v>
      </c>
      <c r="J487">
        <v>156.31333326000001</v>
      </c>
      <c r="K487">
        <v>4.7618817900000003</v>
      </c>
      <c r="L487">
        <v>5.4308103900000004</v>
      </c>
      <c r="M487">
        <v>5.8100357999999996</v>
      </c>
      <c r="N487">
        <v>5.7621392199999999</v>
      </c>
      <c r="O487">
        <v>2.2434389317205721</v>
      </c>
      <c r="P487">
        <v>368.26542518999997</v>
      </c>
      <c r="Q487">
        <v>0.818610167945099</v>
      </c>
      <c r="R487" t="s">
        <v>1063</v>
      </c>
      <c r="S487">
        <v>156.31333326000001</v>
      </c>
      <c r="T487" t="s">
        <v>2819</v>
      </c>
      <c r="U487" t="s">
        <v>1059</v>
      </c>
    </row>
    <row r="488" spans="1:21" x14ac:dyDescent="0.25">
      <c r="A488" t="s">
        <v>5760</v>
      </c>
      <c r="B488" t="s">
        <v>5686</v>
      </c>
      <c r="C488" t="s">
        <v>5685</v>
      </c>
      <c r="D488" t="s">
        <v>586</v>
      </c>
      <c r="E488" t="s">
        <v>1056</v>
      </c>
      <c r="F488" t="s">
        <v>1501</v>
      </c>
      <c r="G488" t="s">
        <v>1502</v>
      </c>
      <c r="H488" t="s">
        <v>90</v>
      </c>
      <c r="I488" t="s">
        <v>90</v>
      </c>
      <c r="J488">
        <v>112.2856343</v>
      </c>
      <c r="K488">
        <v>5.39555352</v>
      </c>
      <c r="L488">
        <v>4.9926660199999997</v>
      </c>
      <c r="M488">
        <v>4.1847611999999996</v>
      </c>
      <c r="N488">
        <v>5.1701153</v>
      </c>
      <c r="O488">
        <v>14.429026851677779</v>
      </c>
      <c r="P488">
        <v>270.04577346999997</v>
      </c>
      <c r="Q488">
        <v>17.089894921260939</v>
      </c>
      <c r="R488" t="s">
        <v>1063</v>
      </c>
      <c r="S488">
        <v>112.2856343</v>
      </c>
      <c r="T488" t="s">
        <v>2819</v>
      </c>
      <c r="U488" t="s">
        <v>1059</v>
      </c>
    </row>
    <row r="489" spans="1:21" x14ac:dyDescent="0.25">
      <c r="A489" t="s">
        <v>2668</v>
      </c>
      <c r="B489" t="s">
        <v>2669</v>
      </c>
      <c r="C489" t="s">
        <v>2939</v>
      </c>
      <c r="D489" t="s">
        <v>175</v>
      </c>
      <c r="E489" t="s">
        <v>4812</v>
      </c>
      <c r="F489" t="s">
        <v>2035</v>
      </c>
      <c r="G489" t="s">
        <v>2643</v>
      </c>
      <c r="H489">
        <v>1675418665067.0901</v>
      </c>
      <c r="I489">
        <v>373616423.91254002</v>
      </c>
      <c r="J489">
        <v>216.73658448929999</v>
      </c>
      <c r="S489">
        <v>295.9157755</v>
      </c>
      <c r="T489">
        <v>50.7</v>
      </c>
      <c r="U489" t="s">
        <v>2644</v>
      </c>
    </row>
    <row r="490" spans="1:21" x14ac:dyDescent="0.25">
      <c r="A490" t="s">
        <v>2668</v>
      </c>
      <c r="B490" t="s">
        <v>874</v>
      </c>
      <c r="C490" t="s">
        <v>873</v>
      </c>
      <c r="D490" t="s">
        <v>175</v>
      </c>
      <c r="E490" t="s">
        <v>4812</v>
      </c>
      <c r="F490" t="s">
        <v>2035</v>
      </c>
      <c r="G490" t="s">
        <v>2643</v>
      </c>
      <c r="H490">
        <v>1675418665067.0901</v>
      </c>
      <c r="I490">
        <v>373616423.91254002</v>
      </c>
      <c r="J490">
        <v>216.73658448929999</v>
      </c>
      <c r="S490">
        <v>295.9157755</v>
      </c>
      <c r="T490">
        <v>50.7</v>
      </c>
      <c r="U490" t="s">
        <v>2644</v>
      </c>
    </row>
    <row r="491" spans="1:21" x14ac:dyDescent="0.25">
      <c r="A491" t="s">
        <v>2027</v>
      </c>
      <c r="B491" t="s">
        <v>2028</v>
      </c>
      <c r="C491" t="s">
        <v>2029</v>
      </c>
      <c r="D491" t="s">
        <v>586</v>
      </c>
      <c r="E491" t="s">
        <v>1056</v>
      </c>
      <c r="F491" t="s">
        <v>1071</v>
      </c>
      <c r="G491" t="s">
        <v>1205</v>
      </c>
      <c r="H491" t="s">
        <v>90</v>
      </c>
      <c r="I491" t="s">
        <v>90</v>
      </c>
      <c r="J491">
        <v>381.04499546</v>
      </c>
      <c r="K491">
        <v>6.8101762399999997</v>
      </c>
      <c r="L491">
        <v>4.7895028999999996</v>
      </c>
      <c r="M491">
        <v>5.4810144699999999</v>
      </c>
      <c r="N491">
        <v>6.2957134899999998</v>
      </c>
      <c r="O491">
        <v>49.568549978097309</v>
      </c>
      <c r="P491">
        <v>521.07520780000004</v>
      </c>
      <c r="Q491">
        <v>61.113249929533687</v>
      </c>
      <c r="R491" t="s">
        <v>30</v>
      </c>
      <c r="S491">
        <v>381.04499546</v>
      </c>
      <c r="T491" t="s">
        <v>2819</v>
      </c>
      <c r="U491" t="s">
        <v>1059</v>
      </c>
    </row>
    <row r="492" spans="1:21" x14ac:dyDescent="0.25">
      <c r="A492" t="s">
        <v>2668</v>
      </c>
      <c r="B492" t="s">
        <v>2670</v>
      </c>
      <c r="C492" t="s">
        <v>2938</v>
      </c>
      <c r="D492" t="s">
        <v>175</v>
      </c>
      <c r="E492" t="s">
        <v>4812</v>
      </c>
      <c r="F492" t="s">
        <v>2035</v>
      </c>
      <c r="G492" t="s">
        <v>2643</v>
      </c>
      <c r="H492">
        <v>1675418665067.0901</v>
      </c>
      <c r="I492">
        <v>373616423.91254002</v>
      </c>
      <c r="J492">
        <v>216.73658448929999</v>
      </c>
      <c r="S492">
        <v>295.9157755</v>
      </c>
      <c r="T492">
        <v>50.7</v>
      </c>
      <c r="U492" t="s">
        <v>2644</v>
      </c>
    </row>
    <row r="493" spans="1:21" x14ac:dyDescent="0.25">
      <c r="A493" t="s">
        <v>2030</v>
      </c>
      <c r="B493" t="s">
        <v>2031</v>
      </c>
      <c r="C493" t="s">
        <v>2032</v>
      </c>
      <c r="D493" t="s">
        <v>586</v>
      </c>
      <c r="E493" t="s">
        <v>1056</v>
      </c>
      <c r="F493" t="s">
        <v>1071</v>
      </c>
      <c r="G493" t="s">
        <v>1205</v>
      </c>
      <c r="H493" t="s">
        <v>90</v>
      </c>
      <c r="I493" t="s">
        <v>90</v>
      </c>
      <c r="J493">
        <v>381.04499546</v>
      </c>
      <c r="K493">
        <v>6.8101762399999997</v>
      </c>
      <c r="L493">
        <v>4.7895028999999996</v>
      </c>
      <c r="M493">
        <v>5.4810144699999999</v>
      </c>
      <c r="N493">
        <v>6.2957134899999998</v>
      </c>
      <c r="O493">
        <v>49.568549978097309</v>
      </c>
      <c r="P493">
        <v>521.07520780000004</v>
      </c>
      <c r="Q493">
        <v>61.113249929533687</v>
      </c>
      <c r="R493" t="s">
        <v>30</v>
      </c>
      <c r="S493">
        <v>381.04499546</v>
      </c>
      <c r="T493" t="s">
        <v>2819</v>
      </c>
      <c r="U493" t="s">
        <v>1059</v>
      </c>
    </row>
    <row r="494" spans="1:21" x14ac:dyDescent="0.25">
      <c r="A494" t="s">
        <v>5407</v>
      </c>
      <c r="B494" t="s">
        <v>5408</v>
      </c>
      <c r="C494" t="s">
        <v>5409</v>
      </c>
      <c r="D494" t="s">
        <v>586</v>
      </c>
      <c r="E494" t="s">
        <v>1056</v>
      </c>
      <c r="F494" t="s">
        <v>1136</v>
      </c>
      <c r="G494" t="s">
        <v>1437</v>
      </c>
      <c r="H494" t="s">
        <v>90</v>
      </c>
      <c r="I494" t="s">
        <v>90</v>
      </c>
      <c r="J494">
        <v>412.6589864</v>
      </c>
      <c r="K494">
        <v>3.7022557900000002</v>
      </c>
      <c r="L494">
        <v>4.9439055400000003</v>
      </c>
      <c r="M494">
        <v>5.2195249300000004</v>
      </c>
      <c r="N494">
        <v>5.0999050700000002</v>
      </c>
      <c r="O494">
        <v>7.2078549264143827</v>
      </c>
      <c r="P494">
        <v>680.40888114999996</v>
      </c>
      <c r="Q494">
        <v>0</v>
      </c>
      <c r="R494" t="s">
        <v>1138</v>
      </c>
      <c r="S494">
        <v>412.6589864</v>
      </c>
      <c r="T494" t="s">
        <v>2819</v>
      </c>
      <c r="U494" t="s">
        <v>1059</v>
      </c>
    </row>
    <row r="495" spans="1:21" x14ac:dyDescent="0.25">
      <c r="A495" t="s">
        <v>2668</v>
      </c>
      <c r="B495" t="s">
        <v>5410</v>
      </c>
      <c r="C495" t="s">
        <v>5411</v>
      </c>
      <c r="D495" t="s">
        <v>175</v>
      </c>
      <c r="E495" t="s">
        <v>4812</v>
      </c>
      <c r="F495" t="s">
        <v>2035</v>
      </c>
      <c r="G495" t="s">
        <v>2643</v>
      </c>
      <c r="H495">
        <v>1675418665067.0901</v>
      </c>
      <c r="I495">
        <v>373616423.91254002</v>
      </c>
      <c r="J495">
        <v>216.73658448929999</v>
      </c>
      <c r="S495">
        <v>295.9157755</v>
      </c>
      <c r="T495">
        <v>50.7</v>
      </c>
      <c r="U495" t="s">
        <v>2644</v>
      </c>
    </row>
    <row r="496" spans="1:21" x14ac:dyDescent="0.25">
      <c r="A496" t="s">
        <v>2668</v>
      </c>
      <c r="B496" t="s">
        <v>2671</v>
      </c>
      <c r="C496" t="s">
        <v>4821</v>
      </c>
      <c r="D496" t="s">
        <v>175</v>
      </c>
      <c r="E496" t="s">
        <v>4812</v>
      </c>
      <c r="F496" t="s">
        <v>2035</v>
      </c>
      <c r="G496" t="s">
        <v>2643</v>
      </c>
      <c r="H496">
        <v>1675418665067.0901</v>
      </c>
      <c r="I496">
        <v>373616423.91254002</v>
      </c>
      <c r="J496">
        <v>216.73658448929999</v>
      </c>
      <c r="S496">
        <v>295.9157755</v>
      </c>
      <c r="T496">
        <v>50.7</v>
      </c>
      <c r="U496" t="s">
        <v>2644</v>
      </c>
    </row>
    <row r="497" spans="1:21" x14ac:dyDescent="0.25">
      <c r="A497" t="s">
        <v>5640</v>
      </c>
      <c r="B497" t="s">
        <v>2033</v>
      </c>
      <c r="C497" t="s">
        <v>2034</v>
      </c>
      <c r="D497" t="s">
        <v>586</v>
      </c>
      <c r="E497" t="s">
        <v>1056</v>
      </c>
      <c r="F497" t="s">
        <v>1136</v>
      </c>
      <c r="G497" t="s">
        <v>1437</v>
      </c>
      <c r="H497" t="s">
        <v>90</v>
      </c>
      <c r="I497" t="s">
        <v>90</v>
      </c>
      <c r="J497">
        <v>512.63940818000003</v>
      </c>
      <c r="K497">
        <v>3.71927641</v>
      </c>
      <c r="L497">
        <v>5.1330224299999996</v>
      </c>
      <c r="M497">
        <v>5.12777672</v>
      </c>
      <c r="N497">
        <v>4.9006441499999998</v>
      </c>
      <c r="O497">
        <v>4.2720943158188671</v>
      </c>
      <c r="P497">
        <v>1194.9139740600001</v>
      </c>
      <c r="Q497">
        <v>1.52764418616183</v>
      </c>
      <c r="R497" t="s">
        <v>1138</v>
      </c>
      <c r="S497">
        <v>512.63940818000003</v>
      </c>
      <c r="T497" t="s">
        <v>2819</v>
      </c>
      <c r="U497" t="s">
        <v>1059</v>
      </c>
    </row>
    <row r="498" spans="1:21" x14ac:dyDescent="0.25">
      <c r="A498" t="s">
        <v>2668</v>
      </c>
      <c r="B498" t="s">
        <v>872</v>
      </c>
      <c r="C498" t="s">
        <v>871</v>
      </c>
      <c r="D498" t="s">
        <v>175</v>
      </c>
      <c r="E498" t="s">
        <v>4812</v>
      </c>
      <c r="F498" t="s">
        <v>2035</v>
      </c>
      <c r="G498" t="s">
        <v>2643</v>
      </c>
      <c r="H498">
        <v>1675418665067.0901</v>
      </c>
      <c r="I498">
        <v>373616423.91254002</v>
      </c>
      <c r="J498">
        <v>216.73658448929999</v>
      </c>
      <c r="S498">
        <v>295.9157755</v>
      </c>
      <c r="T498">
        <v>50.7</v>
      </c>
      <c r="U498" t="s">
        <v>2644</v>
      </c>
    </row>
    <row r="499" spans="1:21" x14ac:dyDescent="0.25">
      <c r="A499" t="s">
        <v>2672</v>
      </c>
      <c r="B499" t="s">
        <v>2673</v>
      </c>
      <c r="C499" t="s">
        <v>3509</v>
      </c>
      <c r="D499" t="s">
        <v>175</v>
      </c>
      <c r="E499" t="s">
        <v>4812</v>
      </c>
      <c r="F499" t="s">
        <v>1185</v>
      </c>
      <c r="G499" t="s">
        <v>2643</v>
      </c>
      <c r="H499">
        <v>1414187193992.25</v>
      </c>
      <c r="I499">
        <v>487093936.52519</v>
      </c>
      <c r="J499">
        <v>272.28885085370001</v>
      </c>
      <c r="S499">
        <v>188.87169069999999</v>
      </c>
      <c r="T499">
        <v>54.1</v>
      </c>
      <c r="U499" t="s">
        <v>2644</v>
      </c>
    </row>
    <row r="500" spans="1:21" x14ac:dyDescent="0.25">
      <c r="A500" t="s">
        <v>2672</v>
      </c>
      <c r="B500" t="s">
        <v>2674</v>
      </c>
      <c r="C500" t="s">
        <v>3511</v>
      </c>
      <c r="D500" t="s">
        <v>175</v>
      </c>
      <c r="E500" t="s">
        <v>4812</v>
      </c>
      <c r="F500" t="s">
        <v>1185</v>
      </c>
      <c r="G500" t="s">
        <v>2643</v>
      </c>
      <c r="H500">
        <v>1414187193992.25</v>
      </c>
      <c r="I500">
        <v>487093936.52519</v>
      </c>
      <c r="J500">
        <v>272.28885085370001</v>
      </c>
      <c r="S500">
        <v>188.87169069999999</v>
      </c>
      <c r="T500">
        <v>54.1</v>
      </c>
      <c r="U500" t="s">
        <v>2644</v>
      </c>
    </row>
    <row r="501" spans="1:21" x14ac:dyDescent="0.25">
      <c r="A501" t="s">
        <v>2672</v>
      </c>
      <c r="B501" t="s">
        <v>2675</v>
      </c>
      <c r="C501" t="s">
        <v>3515</v>
      </c>
      <c r="D501" t="s">
        <v>175</v>
      </c>
      <c r="E501" t="s">
        <v>4812</v>
      </c>
      <c r="F501" t="s">
        <v>1185</v>
      </c>
      <c r="G501" t="s">
        <v>2643</v>
      </c>
      <c r="H501">
        <v>1414187193992.25</v>
      </c>
      <c r="I501">
        <v>487093936.52519</v>
      </c>
      <c r="J501">
        <v>272.28885085370001</v>
      </c>
      <c r="S501">
        <v>188.87169069999999</v>
      </c>
      <c r="T501">
        <v>54.1</v>
      </c>
      <c r="U501" t="s">
        <v>2644</v>
      </c>
    </row>
    <row r="502" spans="1:21" x14ac:dyDescent="0.25">
      <c r="A502" t="s">
        <v>2036</v>
      </c>
      <c r="B502" t="s">
        <v>2037</v>
      </c>
      <c r="C502" t="s">
        <v>2038</v>
      </c>
      <c r="D502" t="s">
        <v>586</v>
      </c>
      <c r="E502" t="s">
        <v>1056</v>
      </c>
      <c r="F502" t="s">
        <v>1737</v>
      </c>
      <c r="G502" t="s">
        <v>1738</v>
      </c>
      <c r="H502" t="s">
        <v>90</v>
      </c>
      <c r="I502" t="s">
        <v>90</v>
      </c>
      <c r="J502">
        <v>37.863648840000003</v>
      </c>
      <c r="K502">
        <v>7.6327727100000002</v>
      </c>
      <c r="L502">
        <v>6.8704700599999997</v>
      </c>
      <c r="M502">
        <v>5.1917117900000003</v>
      </c>
      <c r="N502">
        <v>6.3269110399999997</v>
      </c>
      <c r="O502">
        <v>32.897288226782123</v>
      </c>
      <c r="P502">
        <v>65.912933570000007</v>
      </c>
      <c r="Q502">
        <v>68.235342354243571</v>
      </c>
      <c r="R502" t="s">
        <v>1073</v>
      </c>
      <c r="S502">
        <v>37.863648840000003</v>
      </c>
      <c r="T502" t="s">
        <v>2819</v>
      </c>
      <c r="U502" t="s">
        <v>1059</v>
      </c>
    </row>
    <row r="503" spans="1:21" x14ac:dyDescent="0.25">
      <c r="A503" t="s">
        <v>2039</v>
      </c>
      <c r="B503" t="s">
        <v>2040</v>
      </c>
      <c r="C503" t="s">
        <v>2041</v>
      </c>
      <c r="D503" t="s">
        <v>586</v>
      </c>
      <c r="E503" t="s">
        <v>1056</v>
      </c>
      <c r="F503" t="s">
        <v>1136</v>
      </c>
      <c r="G503" t="s">
        <v>1437</v>
      </c>
      <c r="H503" t="s">
        <v>90</v>
      </c>
      <c r="I503" t="s">
        <v>90</v>
      </c>
      <c r="J503">
        <v>437.95348352000002</v>
      </c>
      <c r="K503">
        <v>3.9275697100000002</v>
      </c>
      <c r="L503">
        <v>5.0301915099999999</v>
      </c>
      <c r="M503">
        <v>5.6340087199999997</v>
      </c>
      <c r="N503">
        <v>5.2959661499999999</v>
      </c>
      <c r="O503">
        <v>4.254289585260369</v>
      </c>
      <c r="P503">
        <v>733.31828044999997</v>
      </c>
      <c r="Q503">
        <v>1.8099142521437E-2</v>
      </c>
      <c r="R503" t="s">
        <v>1138</v>
      </c>
      <c r="S503">
        <v>437.95348352000002</v>
      </c>
      <c r="T503" t="s">
        <v>2819</v>
      </c>
      <c r="U503" t="s">
        <v>1059</v>
      </c>
    </row>
    <row r="504" spans="1:21" x14ac:dyDescent="0.25">
      <c r="A504" t="s">
        <v>2672</v>
      </c>
      <c r="B504" t="s">
        <v>2676</v>
      </c>
      <c r="C504" t="s">
        <v>3516</v>
      </c>
      <c r="D504" t="s">
        <v>175</v>
      </c>
      <c r="E504" t="s">
        <v>4812</v>
      </c>
      <c r="F504" t="s">
        <v>1185</v>
      </c>
      <c r="G504" t="s">
        <v>2643</v>
      </c>
      <c r="H504">
        <v>1414187193992.25</v>
      </c>
      <c r="I504">
        <v>487093936.52519</v>
      </c>
      <c r="J504">
        <v>272.28885085370001</v>
      </c>
      <c r="S504">
        <v>188.87169069999999</v>
      </c>
      <c r="T504">
        <v>54.1</v>
      </c>
      <c r="U504" t="s">
        <v>2644</v>
      </c>
    </row>
    <row r="505" spans="1:21" x14ac:dyDescent="0.25">
      <c r="A505" t="s">
        <v>2672</v>
      </c>
      <c r="B505" t="s">
        <v>2677</v>
      </c>
      <c r="C505" t="s">
        <v>3519</v>
      </c>
      <c r="D505" t="s">
        <v>175</v>
      </c>
      <c r="E505" t="s">
        <v>4812</v>
      </c>
      <c r="F505" t="s">
        <v>1185</v>
      </c>
      <c r="G505" t="s">
        <v>2643</v>
      </c>
      <c r="H505">
        <v>1414187193992.25</v>
      </c>
      <c r="I505">
        <v>487093936.52519</v>
      </c>
      <c r="J505">
        <v>272.28885085370001</v>
      </c>
      <c r="S505">
        <v>188.87169069999999</v>
      </c>
      <c r="T505">
        <v>54.1</v>
      </c>
      <c r="U505" t="s">
        <v>2644</v>
      </c>
    </row>
    <row r="506" spans="1:21" x14ac:dyDescent="0.25">
      <c r="A506" t="s">
        <v>5412</v>
      </c>
      <c r="B506" t="s">
        <v>649</v>
      </c>
      <c r="C506" t="s">
        <v>648</v>
      </c>
      <c r="D506" t="s">
        <v>586</v>
      </c>
      <c r="E506" t="s">
        <v>1056</v>
      </c>
      <c r="F506" t="s">
        <v>1714</v>
      </c>
      <c r="G506" t="s">
        <v>2042</v>
      </c>
      <c r="H506" t="s">
        <v>90</v>
      </c>
      <c r="I506" t="s">
        <v>90</v>
      </c>
      <c r="J506">
        <v>14.74294033</v>
      </c>
      <c r="K506">
        <v>6.4274659500000002</v>
      </c>
      <c r="L506">
        <v>5.5520631600000003</v>
      </c>
      <c r="M506">
        <v>4.8182001999999997</v>
      </c>
      <c r="N506">
        <v>6.0182816900000002</v>
      </c>
      <c r="O506">
        <v>2.0733666814633689</v>
      </c>
      <c r="P506">
        <v>20.134411279999998</v>
      </c>
      <c r="Q506">
        <v>33.904249964083697</v>
      </c>
      <c r="R506" t="s">
        <v>30</v>
      </c>
      <c r="S506">
        <v>14.74294033</v>
      </c>
      <c r="T506" t="s">
        <v>2819</v>
      </c>
      <c r="U506" t="s">
        <v>1059</v>
      </c>
    </row>
    <row r="507" spans="1:21" x14ac:dyDescent="0.25">
      <c r="A507" t="s">
        <v>2043</v>
      </c>
      <c r="B507" t="s">
        <v>2044</v>
      </c>
      <c r="C507" t="s">
        <v>2045</v>
      </c>
      <c r="D507" t="s">
        <v>586</v>
      </c>
      <c r="E507" t="s">
        <v>1056</v>
      </c>
      <c r="F507" t="s">
        <v>1714</v>
      </c>
      <c r="G507" t="s">
        <v>2046</v>
      </c>
      <c r="H507" t="s">
        <v>90</v>
      </c>
      <c r="I507" t="s">
        <v>90</v>
      </c>
      <c r="J507">
        <v>1.1726660099999999</v>
      </c>
      <c r="K507">
        <v>7.1684569900000001</v>
      </c>
      <c r="L507">
        <v>6.49838512</v>
      </c>
      <c r="M507">
        <v>4.6290058900000002</v>
      </c>
      <c r="N507">
        <v>6.39103625</v>
      </c>
      <c r="O507">
        <v>33.495199392578243</v>
      </c>
      <c r="P507">
        <v>2.5471369199999998</v>
      </c>
      <c r="Q507">
        <v>42.224392852617413</v>
      </c>
      <c r="R507" t="s">
        <v>1073</v>
      </c>
      <c r="S507">
        <v>1.1726660099999999</v>
      </c>
      <c r="T507" t="s">
        <v>2819</v>
      </c>
      <c r="U507" t="s">
        <v>1059</v>
      </c>
    </row>
    <row r="508" spans="1:21" x14ac:dyDescent="0.25">
      <c r="A508" t="s">
        <v>2672</v>
      </c>
      <c r="B508" t="s">
        <v>894</v>
      </c>
      <c r="C508" t="s">
        <v>893</v>
      </c>
      <c r="D508" t="s">
        <v>175</v>
      </c>
      <c r="E508" t="s">
        <v>4812</v>
      </c>
      <c r="F508" t="s">
        <v>1185</v>
      </c>
      <c r="G508" t="s">
        <v>2643</v>
      </c>
      <c r="H508">
        <v>1414187193992.25</v>
      </c>
      <c r="I508">
        <v>487093936.52519</v>
      </c>
      <c r="J508">
        <v>272.28885085370001</v>
      </c>
      <c r="S508">
        <v>188.87169069999999</v>
      </c>
      <c r="T508">
        <v>54.1</v>
      </c>
      <c r="U508" t="s">
        <v>2644</v>
      </c>
    </row>
    <row r="509" spans="1:21" x14ac:dyDescent="0.25">
      <c r="A509" t="s">
        <v>2672</v>
      </c>
      <c r="B509" t="s">
        <v>2678</v>
      </c>
      <c r="C509" t="s">
        <v>3512</v>
      </c>
      <c r="D509" t="s">
        <v>175</v>
      </c>
      <c r="E509" t="s">
        <v>4812</v>
      </c>
      <c r="F509" t="s">
        <v>1185</v>
      </c>
      <c r="G509" t="s">
        <v>2643</v>
      </c>
      <c r="H509">
        <v>1414187193992.25</v>
      </c>
      <c r="I509">
        <v>487093936.52519</v>
      </c>
      <c r="J509">
        <v>272.28885085370001</v>
      </c>
      <c r="S509">
        <v>188.87169069999999</v>
      </c>
      <c r="T509">
        <v>54.1</v>
      </c>
      <c r="U509" t="s">
        <v>2644</v>
      </c>
    </row>
    <row r="510" spans="1:21" x14ac:dyDescent="0.25">
      <c r="A510" t="s">
        <v>2047</v>
      </c>
      <c r="B510" t="s">
        <v>2048</v>
      </c>
      <c r="C510" t="s">
        <v>2049</v>
      </c>
      <c r="D510" t="s">
        <v>586</v>
      </c>
      <c r="E510" t="s">
        <v>1056</v>
      </c>
      <c r="F510" t="s">
        <v>1163</v>
      </c>
      <c r="G510" t="s">
        <v>1791</v>
      </c>
      <c r="H510" t="s">
        <v>90</v>
      </c>
      <c r="I510" t="s">
        <v>90</v>
      </c>
      <c r="J510">
        <v>47.20078548</v>
      </c>
      <c r="K510">
        <v>7.4329153799999998</v>
      </c>
      <c r="L510">
        <v>6.2271936400000003</v>
      </c>
      <c r="M510">
        <v>5.12694838</v>
      </c>
      <c r="N510">
        <v>7.0241481600000002</v>
      </c>
      <c r="O510">
        <v>10.13894698225473</v>
      </c>
      <c r="P510">
        <v>47.625936299999999</v>
      </c>
      <c r="Q510">
        <v>71.624673280507949</v>
      </c>
      <c r="R510" t="s">
        <v>1073</v>
      </c>
      <c r="S510">
        <v>47.20078548</v>
      </c>
      <c r="T510" t="s">
        <v>2819</v>
      </c>
      <c r="U510" t="s">
        <v>1059</v>
      </c>
    </row>
    <row r="511" spans="1:21" x14ac:dyDescent="0.25">
      <c r="A511" t="s">
        <v>2672</v>
      </c>
      <c r="B511" t="s">
        <v>2679</v>
      </c>
      <c r="C511" t="s">
        <v>3544</v>
      </c>
      <c r="D511" t="s">
        <v>175</v>
      </c>
      <c r="E511" t="s">
        <v>4812</v>
      </c>
      <c r="F511" t="s">
        <v>1185</v>
      </c>
      <c r="G511" t="s">
        <v>2643</v>
      </c>
      <c r="H511">
        <v>1414187193992.25</v>
      </c>
      <c r="I511">
        <v>487093936.52519</v>
      </c>
      <c r="J511">
        <v>272.28885085370001</v>
      </c>
      <c r="S511">
        <v>188.87169069999999</v>
      </c>
      <c r="T511">
        <v>54.1</v>
      </c>
      <c r="U511" t="s">
        <v>2644</v>
      </c>
    </row>
    <row r="512" spans="1:21" x14ac:dyDescent="0.25">
      <c r="A512" t="s">
        <v>2050</v>
      </c>
      <c r="B512" t="s">
        <v>2051</v>
      </c>
      <c r="C512" t="s">
        <v>2052</v>
      </c>
      <c r="D512" t="s">
        <v>586</v>
      </c>
      <c r="E512" t="s">
        <v>1056</v>
      </c>
      <c r="F512" t="s">
        <v>1163</v>
      </c>
      <c r="G512" t="s">
        <v>2053</v>
      </c>
      <c r="H512" t="s">
        <v>90</v>
      </c>
      <c r="I512" t="s">
        <v>90</v>
      </c>
      <c r="J512">
        <v>103.7997812</v>
      </c>
      <c r="K512">
        <v>7.1803106200000002</v>
      </c>
      <c r="L512">
        <v>6.6626248099999996</v>
      </c>
      <c r="M512">
        <v>4.7265415700000002</v>
      </c>
      <c r="N512">
        <v>6.4351784399999996</v>
      </c>
      <c r="O512">
        <v>30.108734763527561</v>
      </c>
      <c r="P512">
        <v>136.24986623999999</v>
      </c>
      <c r="Q512">
        <v>43.730333002082183</v>
      </c>
      <c r="R512" t="s">
        <v>1073</v>
      </c>
      <c r="S512">
        <v>103.7997812</v>
      </c>
      <c r="T512" t="s">
        <v>2819</v>
      </c>
      <c r="U512" t="s">
        <v>1059</v>
      </c>
    </row>
    <row r="513" spans="1:21" x14ac:dyDescent="0.25">
      <c r="A513" t="s">
        <v>2056</v>
      </c>
      <c r="B513" t="s">
        <v>2057</v>
      </c>
      <c r="C513" t="s">
        <v>2058</v>
      </c>
      <c r="D513" t="s">
        <v>586</v>
      </c>
      <c r="E513" t="s">
        <v>1056</v>
      </c>
      <c r="F513" t="s">
        <v>1766</v>
      </c>
      <c r="G513" t="s">
        <v>1829</v>
      </c>
      <c r="H513" t="s">
        <v>90</v>
      </c>
      <c r="I513" t="s">
        <v>90</v>
      </c>
      <c r="J513">
        <v>236.70263252000001</v>
      </c>
      <c r="K513">
        <v>3.85086694</v>
      </c>
      <c r="L513">
        <v>4.3088458599999999</v>
      </c>
      <c r="M513">
        <v>3.7610371300000001</v>
      </c>
      <c r="N513">
        <v>4.7748039200000001</v>
      </c>
      <c r="O513">
        <v>2.563302563302563</v>
      </c>
      <c r="P513">
        <v>384.67033824999999</v>
      </c>
      <c r="Q513">
        <v>15.982515982515981</v>
      </c>
      <c r="R513" t="s">
        <v>1138</v>
      </c>
      <c r="S513">
        <v>236.70263252000001</v>
      </c>
      <c r="T513" t="s">
        <v>2819</v>
      </c>
      <c r="U513" t="s">
        <v>1059</v>
      </c>
    </row>
    <row r="514" spans="1:21" x14ac:dyDescent="0.25">
      <c r="A514" t="s">
        <v>2672</v>
      </c>
      <c r="B514" t="s">
        <v>892</v>
      </c>
      <c r="C514" t="s">
        <v>891</v>
      </c>
      <c r="D514" t="s">
        <v>175</v>
      </c>
      <c r="E514" t="s">
        <v>4812</v>
      </c>
      <c r="F514" t="s">
        <v>1185</v>
      </c>
      <c r="G514" t="s">
        <v>2643</v>
      </c>
      <c r="H514">
        <v>1414187193992.25</v>
      </c>
      <c r="I514">
        <v>487093936.52519</v>
      </c>
      <c r="J514">
        <v>272.28885085370001</v>
      </c>
      <c r="S514">
        <v>188.87169069999999</v>
      </c>
      <c r="T514">
        <v>54.1</v>
      </c>
      <c r="U514" t="s">
        <v>2644</v>
      </c>
    </row>
    <row r="515" spans="1:21" x14ac:dyDescent="0.25">
      <c r="A515" t="s">
        <v>2672</v>
      </c>
      <c r="B515" t="s">
        <v>896</v>
      </c>
      <c r="C515" t="s">
        <v>895</v>
      </c>
      <c r="D515" t="s">
        <v>175</v>
      </c>
      <c r="E515" t="s">
        <v>4812</v>
      </c>
      <c r="F515" t="s">
        <v>1185</v>
      </c>
      <c r="G515" t="s">
        <v>2643</v>
      </c>
      <c r="H515">
        <v>1414187193992.25</v>
      </c>
      <c r="I515">
        <v>487093936.52519</v>
      </c>
      <c r="J515">
        <v>272.28885085370001</v>
      </c>
      <c r="S515">
        <v>188.87169069999999</v>
      </c>
      <c r="T515">
        <v>54.1</v>
      </c>
      <c r="U515" t="s">
        <v>2644</v>
      </c>
    </row>
    <row r="516" spans="1:21" x14ac:dyDescent="0.25">
      <c r="A516" t="s">
        <v>2059</v>
      </c>
      <c r="B516" t="s">
        <v>2060</v>
      </c>
      <c r="C516" t="s">
        <v>2061</v>
      </c>
      <c r="D516" t="s">
        <v>586</v>
      </c>
      <c r="E516" t="s">
        <v>1056</v>
      </c>
      <c r="F516" t="s">
        <v>1163</v>
      </c>
      <c r="G516" t="s">
        <v>1727</v>
      </c>
      <c r="H516" t="s">
        <v>90</v>
      </c>
      <c r="I516" t="s">
        <v>90</v>
      </c>
      <c r="J516">
        <v>70.774043050000003</v>
      </c>
      <c r="K516">
        <v>5.8448958199999996</v>
      </c>
      <c r="L516">
        <v>6.06136461</v>
      </c>
      <c r="M516">
        <v>4.8162239099999997</v>
      </c>
      <c r="N516">
        <v>5.1355648299999999</v>
      </c>
      <c r="O516">
        <v>14.111160246526991</v>
      </c>
      <c r="P516">
        <v>94.172847320000002</v>
      </c>
      <c r="Q516">
        <v>14.375794300557351</v>
      </c>
      <c r="R516" t="s">
        <v>30</v>
      </c>
      <c r="S516">
        <v>70.774043050000003</v>
      </c>
      <c r="T516" t="s">
        <v>2819</v>
      </c>
      <c r="U516" t="s">
        <v>1059</v>
      </c>
    </row>
    <row r="517" spans="1:21" x14ac:dyDescent="0.25">
      <c r="A517" t="s">
        <v>2062</v>
      </c>
      <c r="B517" t="s">
        <v>2063</v>
      </c>
      <c r="C517" t="s">
        <v>2064</v>
      </c>
      <c r="D517" t="s">
        <v>586</v>
      </c>
      <c r="E517" t="s">
        <v>1056</v>
      </c>
      <c r="F517" t="s">
        <v>1375</v>
      </c>
      <c r="G517" t="s">
        <v>1376</v>
      </c>
      <c r="H517" t="s">
        <v>90</v>
      </c>
      <c r="I517" t="s">
        <v>90</v>
      </c>
      <c r="J517">
        <v>13.616730110000001</v>
      </c>
      <c r="K517">
        <v>7.3680670700000004</v>
      </c>
      <c r="L517">
        <v>5.49096794</v>
      </c>
      <c r="M517">
        <v>5.5197808899999998</v>
      </c>
      <c r="N517">
        <v>6.2884040800000003</v>
      </c>
      <c r="O517">
        <v>14.16382832765666</v>
      </c>
      <c r="P517">
        <v>43.669454850000001</v>
      </c>
      <c r="Q517">
        <v>42.333084666169341</v>
      </c>
      <c r="R517" t="s">
        <v>1073</v>
      </c>
      <c r="S517">
        <v>13.616730110000001</v>
      </c>
      <c r="T517" t="s">
        <v>2819</v>
      </c>
      <c r="U517" t="s">
        <v>1059</v>
      </c>
    </row>
    <row r="518" spans="1:21" x14ac:dyDescent="0.25">
      <c r="A518" t="s">
        <v>2672</v>
      </c>
      <c r="B518" t="s">
        <v>5079</v>
      </c>
      <c r="C518" t="s">
        <v>5080</v>
      </c>
      <c r="D518" t="s">
        <v>175</v>
      </c>
      <c r="E518" t="s">
        <v>4812</v>
      </c>
      <c r="F518" t="s">
        <v>1185</v>
      </c>
      <c r="G518" t="s">
        <v>2643</v>
      </c>
      <c r="H518">
        <v>1414187193992.25</v>
      </c>
      <c r="I518">
        <v>487093936.52519</v>
      </c>
      <c r="J518">
        <v>272.28885085370001</v>
      </c>
      <c r="S518">
        <v>188.87169069999999</v>
      </c>
      <c r="T518">
        <v>54.1</v>
      </c>
      <c r="U518" t="s">
        <v>2644</v>
      </c>
    </row>
    <row r="519" spans="1:21" x14ac:dyDescent="0.25">
      <c r="A519" t="s">
        <v>2065</v>
      </c>
      <c r="B519" t="s">
        <v>2066</v>
      </c>
      <c r="C519" t="s">
        <v>2067</v>
      </c>
      <c r="D519" t="s">
        <v>586</v>
      </c>
      <c r="E519" t="s">
        <v>1056</v>
      </c>
      <c r="F519" t="s">
        <v>1057</v>
      </c>
      <c r="G519" t="s">
        <v>1288</v>
      </c>
      <c r="H519" t="s">
        <v>90</v>
      </c>
      <c r="I519" t="s">
        <v>90</v>
      </c>
      <c r="J519">
        <v>147.32469997000001</v>
      </c>
      <c r="K519">
        <v>5.3918676300000001</v>
      </c>
      <c r="L519">
        <v>4.5834847999999999</v>
      </c>
      <c r="M519">
        <v>4.5628752600000002</v>
      </c>
      <c r="N519">
        <v>5.7674332799999997</v>
      </c>
      <c r="O519">
        <v>12.67066062273315</v>
      </c>
      <c r="P519">
        <v>295.50616308999997</v>
      </c>
      <c r="Q519">
        <v>18.783693379372831</v>
      </c>
      <c r="R519" t="s">
        <v>1063</v>
      </c>
      <c r="S519">
        <v>147.32469997000001</v>
      </c>
      <c r="T519" t="s">
        <v>2819</v>
      </c>
      <c r="U519" t="s">
        <v>1059</v>
      </c>
    </row>
    <row r="520" spans="1:21" x14ac:dyDescent="0.25">
      <c r="A520" t="s">
        <v>2672</v>
      </c>
      <c r="B520" t="s">
        <v>2680</v>
      </c>
      <c r="C520" t="s">
        <v>3172</v>
      </c>
      <c r="D520" t="s">
        <v>175</v>
      </c>
      <c r="E520" t="s">
        <v>4812</v>
      </c>
      <c r="F520" t="s">
        <v>1185</v>
      </c>
      <c r="G520" t="s">
        <v>2643</v>
      </c>
      <c r="H520">
        <v>1414187193992.25</v>
      </c>
      <c r="I520">
        <v>487093936.52519</v>
      </c>
      <c r="J520">
        <v>272.28885085370001</v>
      </c>
      <c r="S520">
        <v>188.87169069999999</v>
      </c>
      <c r="T520">
        <v>54.1</v>
      </c>
      <c r="U520" t="s">
        <v>2644</v>
      </c>
    </row>
    <row r="521" spans="1:21" x14ac:dyDescent="0.25">
      <c r="A521" t="s">
        <v>5268</v>
      </c>
      <c r="B521" t="s">
        <v>2068</v>
      </c>
      <c r="C521" t="s">
        <v>2069</v>
      </c>
      <c r="D521" t="s">
        <v>586</v>
      </c>
      <c r="E521" t="s">
        <v>1056</v>
      </c>
      <c r="F521" t="s">
        <v>1766</v>
      </c>
      <c r="G521" t="s">
        <v>1266</v>
      </c>
      <c r="H521" t="s">
        <v>90</v>
      </c>
      <c r="I521" t="s">
        <v>90</v>
      </c>
      <c r="J521">
        <v>100.24175173</v>
      </c>
      <c r="K521">
        <v>6.0398295800000001</v>
      </c>
      <c r="L521">
        <v>5.5778954399999998</v>
      </c>
      <c r="M521">
        <v>5.3139339999999997</v>
      </c>
      <c r="N521">
        <v>4.8687395100000002</v>
      </c>
      <c r="O521">
        <v>22.87751723271343</v>
      </c>
      <c r="P521">
        <v>313.05607923000002</v>
      </c>
      <c r="Q521">
        <v>10.949095059373301</v>
      </c>
      <c r="R521" t="s">
        <v>30</v>
      </c>
      <c r="S521">
        <v>100.24175173</v>
      </c>
      <c r="T521" t="s">
        <v>2819</v>
      </c>
      <c r="U521" t="s">
        <v>1059</v>
      </c>
    </row>
    <row r="522" spans="1:21" x14ac:dyDescent="0.25">
      <c r="A522" t="s">
        <v>2672</v>
      </c>
      <c r="B522" t="s">
        <v>2681</v>
      </c>
      <c r="C522" t="s">
        <v>3175</v>
      </c>
      <c r="D522" t="s">
        <v>175</v>
      </c>
      <c r="E522" t="s">
        <v>4812</v>
      </c>
      <c r="F522" t="s">
        <v>1185</v>
      </c>
      <c r="G522" t="s">
        <v>2643</v>
      </c>
      <c r="H522">
        <v>1414187193992.25</v>
      </c>
      <c r="I522">
        <v>487093936.52519</v>
      </c>
      <c r="J522">
        <v>272.28885085370001</v>
      </c>
      <c r="S522">
        <v>188.87169069999999</v>
      </c>
      <c r="T522">
        <v>54.1</v>
      </c>
      <c r="U522" t="s">
        <v>2644</v>
      </c>
    </row>
    <row r="523" spans="1:21" x14ac:dyDescent="0.25">
      <c r="A523" t="s">
        <v>2070</v>
      </c>
      <c r="B523" t="s">
        <v>679</v>
      </c>
      <c r="C523" t="s">
        <v>678</v>
      </c>
      <c r="D523" t="s">
        <v>586</v>
      </c>
      <c r="E523" t="s">
        <v>1056</v>
      </c>
      <c r="F523" t="s">
        <v>1071</v>
      </c>
      <c r="G523" t="s">
        <v>2071</v>
      </c>
      <c r="H523" t="s">
        <v>90</v>
      </c>
      <c r="I523" t="s">
        <v>90</v>
      </c>
      <c r="J523">
        <v>0.37731967999999999</v>
      </c>
      <c r="K523">
        <v>7.9595219699999999</v>
      </c>
      <c r="L523">
        <v>8.2596966900000002</v>
      </c>
      <c r="M523">
        <v>4.7983305300000003</v>
      </c>
      <c r="N523">
        <v>6.0415042899999998</v>
      </c>
      <c r="O523">
        <v>46.552566755345353</v>
      </c>
      <c r="P523">
        <v>1.55276802</v>
      </c>
      <c r="Q523">
        <v>65.779584195487246</v>
      </c>
      <c r="R523" t="s">
        <v>1073</v>
      </c>
      <c r="S523">
        <v>0.37731967999999999</v>
      </c>
      <c r="T523" t="s">
        <v>2819</v>
      </c>
      <c r="U523" t="s">
        <v>1059</v>
      </c>
    </row>
    <row r="524" spans="1:21" x14ac:dyDescent="0.25">
      <c r="A524" t="s">
        <v>2672</v>
      </c>
      <c r="B524" t="s">
        <v>2682</v>
      </c>
      <c r="C524" t="s">
        <v>3177</v>
      </c>
      <c r="D524" t="s">
        <v>175</v>
      </c>
      <c r="E524" t="s">
        <v>4812</v>
      </c>
      <c r="F524" t="s">
        <v>1185</v>
      </c>
      <c r="G524" t="s">
        <v>2643</v>
      </c>
      <c r="H524">
        <v>1414187193992.25</v>
      </c>
      <c r="I524">
        <v>487093936.52519</v>
      </c>
      <c r="J524">
        <v>272.28885085370001</v>
      </c>
      <c r="S524">
        <v>188.87169069999999</v>
      </c>
      <c r="T524">
        <v>54.1</v>
      </c>
      <c r="U524" t="s">
        <v>2644</v>
      </c>
    </row>
    <row r="525" spans="1:21" x14ac:dyDescent="0.25">
      <c r="A525" t="s">
        <v>2072</v>
      </c>
      <c r="B525" t="s">
        <v>2073</v>
      </c>
      <c r="C525" t="s">
        <v>2074</v>
      </c>
      <c r="D525" t="s">
        <v>586</v>
      </c>
      <c r="E525" t="s">
        <v>1056</v>
      </c>
      <c r="F525" t="s">
        <v>1071</v>
      </c>
      <c r="G525" t="s">
        <v>2071</v>
      </c>
      <c r="H525" t="s">
        <v>90</v>
      </c>
      <c r="I525" t="s">
        <v>90</v>
      </c>
      <c r="J525">
        <v>0.37731967999999999</v>
      </c>
      <c r="K525">
        <v>7.9595219699999999</v>
      </c>
      <c r="L525">
        <v>8.2596966900000002</v>
      </c>
      <c r="M525">
        <v>4.7983305300000003</v>
      </c>
      <c r="N525">
        <v>6.0415042899999998</v>
      </c>
      <c r="O525">
        <v>46.552566755345353</v>
      </c>
      <c r="P525">
        <v>1.55276802</v>
      </c>
      <c r="Q525">
        <v>65.779584195487246</v>
      </c>
      <c r="R525" t="s">
        <v>1073</v>
      </c>
      <c r="S525">
        <v>0.37731967999999999</v>
      </c>
      <c r="T525" t="s">
        <v>2819</v>
      </c>
      <c r="U525" t="s">
        <v>1059</v>
      </c>
    </row>
    <row r="526" spans="1:21" x14ac:dyDescent="0.25">
      <c r="A526" t="s">
        <v>2672</v>
      </c>
      <c r="B526" t="s">
        <v>2683</v>
      </c>
      <c r="C526" t="s">
        <v>3179</v>
      </c>
      <c r="D526" t="s">
        <v>175</v>
      </c>
      <c r="E526" t="s">
        <v>4812</v>
      </c>
      <c r="F526" t="s">
        <v>1185</v>
      </c>
      <c r="G526" t="s">
        <v>2643</v>
      </c>
      <c r="H526">
        <v>1414187193992.25</v>
      </c>
      <c r="I526">
        <v>487093936.52519</v>
      </c>
      <c r="J526">
        <v>272.28885085370001</v>
      </c>
      <c r="S526">
        <v>188.87169069999999</v>
      </c>
      <c r="T526">
        <v>54.1</v>
      </c>
      <c r="U526" t="s">
        <v>2644</v>
      </c>
    </row>
    <row r="527" spans="1:21" x14ac:dyDescent="0.25">
      <c r="A527" t="s">
        <v>2075</v>
      </c>
      <c r="B527" t="s">
        <v>2076</v>
      </c>
      <c r="C527" t="s">
        <v>2077</v>
      </c>
      <c r="D527" t="s">
        <v>586</v>
      </c>
      <c r="E527" t="s">
        <v>1056</v>
      </c>
      <c r="F527" t="s">
        <v>1136</v>
      </c>
      <c r="G527" t="s">
        <v>1137</v>
      </c>
      <c r="H527" t="s">
        <v>90</v>
      </c>
      <c r="I527" t="s">
        <v>90</v>
      </c>
      <c r="J527">
        <v>34.907103530000001</v>
      </c>
      <c r="K527">
        <v>6.61174938</v>
      </c>
      <c r="L527">
        <v>5.9662300699999999</v>
      </c>
      <c r="M527">
        <v>5.3885653299999996</v>
      </c>
      <c r="N527">
        <v>4.90277254</v>
      </c>
      <c r="O527">
        <v>31.936604190187431</v>
      </c>
      <c r="P527">
        <v>66.110493700000006</v>
      </c>
      <c r="Q527">
        <v>9.3680718957843112</v>
      </c>
      <c r="R527" t="s">
        <v>30</v>
      </c>
      <c r="S527">
        <v>34.907103530000001</v>
      </c>
      <c r="T527" t="s">
        <v>2819</v>
      </c>
      <c r="U527" t="s">
        <v>1059</v>
      </c>
    </row>
    <row r="528" spans="1:21" x14ac:dyDescent="0.25">
      <c r="A528" t="s">
        <v>2672</v>
      </c>
      <c r="B528" t="s">
        <v>2684</v>
      </c>
      <c r="C528" t="s">
        <v>3181</v>
      </c>
      <c r="D528" t="s">
        <v>175</v>
      </c>
      <c r="E528" t="s">
        <v>4812</v>
      </c>
      <c r="F528" t="s">
        <v>1185</v>
      </c>
      <c r="G528" t="s">
        <v>2643</v>
      </c>
      <c r="H528">
        <v>1414187193992.25</v>
      </c>
      <c r="I528">
        <v>487093936.52519</v>
      </c>
      <c r="J528">
        <v>272.28885085370001</v>
      </c>
      <c r="S528">
        <v>188.87169069999999</v>
      </c>
      <c r="T528">
        <v>54.1</v>
      </c>
      <c r="U528" t="s">
        <v>2644</v>
      </c>
    </row>
    <row r="529" spans="1:21" x14ac:dyDescent="0.25">
      <c r="A529" t="s">
        <v>2078</v>
      </c>
      <c r="B529" t="s">
        <v>2079</v>
      </c>
      <c r="C529" t="s">
        <v>2080</v>
      </c>
      <c r="D529" t="s">
        <v>586</v>
      </c>
      <c r="E529" t="s">
        <v>1056</v>
      </c>
      <c r="F529" t="s">
        <v>1071</v>
      </c>
      <c r="G529" t="s">
        <v>2081</v>
      </c>
      <c r="H529" t="s">
        <v>90</v>
      </c>
      <c r="I529" t="s">
        <v>90</v>
      </c>
      <c r="J529">
        <v>5.8332513400000003</v>
      </c>
      <c r="K529">
        <v>6.7468773300000002</v>
      </c>
      <c r="L529">
        <v>6.8957742900000003</v>
      </c>
      <c r="M529">
        <v>4.8110902099999997</v>
      </c>
      <c r="N529">
        <v>5.9480285000000004</v>
      </c>
      <c r="O529">
        <v>33.573127199250763</v>
      </c>
      <c r="P529">
        <v>37.17681949</v>
      </c>
      <c r="Q529">
        <v>34.504595948183599</v>
      </c>
      <c r="R529" t="s">
        <v>30</v>
      </c>
      <c r="S529">
        <v>5.8332513400000003</v>
      </c>
      <c r="T529" t="s">
        <v>2819</v>
      </c>
      <c r="U529" t="s">
        <v>1059</v>
      </c>
    </row>
    <row r="530" spans="1:21" x14ac:dyDescent="0.25">
      <c r="A530" t="s">
        <v>2672</v>
      </c>
      <c r="B530" t="s">
        <v>2685</v>
      </c>
      <c r="C530" t="s">
        <v>3182</v>
      </c>
      <c r="D530" t="s">
        <v>175</v>
      </c>
      <c r="E530" t="s">
        <v>4812</v>
      </c>
      <c r="F530" t="s">
        <v>1185</v>
      </c>
      <c r="G530" t="s">
        <v>2643</v>
      </c>
      <c r="H530">
        <v>1414187193992.25</v>
      </c>
      <c r="I530">
        <v>487093936.52519</v>
      </c>
      <c r="J530">
        <v>272.28885085370001</v>
      </c>
      <c r="S530">
        <v>188.87169069999999</v>
      </c>
      <c r="T530">
        <v>54.1</v>
      </c>
      <c r="U530" t="s">
        <v>2644</v>
      </c>
    </row>
    <row r="531" spans="1:21" x14ac:dyDescent="0.25">
      <c r="A531" t="s">
        <v>2672</v>
      </c>
      <c r="B531" t="s">
        <v>2686</v>
      </c>
      <c r="C531" t="s">
        <v>3183</v>
      </c>
      <c r="D531" t="s">
        <v>175</v>
      </c>
      <c r="E531" t="s">
        <v>4812</v>
      </c>
      <c r="F531" t="s">
        <v>1185</v>
      </c>
      <c r="G531" t="s">
        <v>2643</v>
      </c>
      <c r="H531">
        <v>1414187193992.25</v>
      </c>
      <c r="I531">
        <v>487093936.52519</v>
      </c>
      <c r="J531">
        <v>272.28885085370001</v>
      </c>
      <c r="S531">
        <v>188.87169069999999</v>
      </c>
      <c r="T531">
        <v>54.1</v>
      </c>
      <c r="U531" t="s">
        <v>2644</v>
      </c>
    </row>
    <row r="532" spans="1:21" x14ac:dyDescent="0.25">
      <c r="A532" t="s">
        <v>2672</v>
      </c>
      <c r="B532" t="s">
        <v>2687</v>
      </c>
      <c r="C532" t="s">
        <v>3189</v>
      </c>
      <c r="D532" t="s">
        <v>175</v>
      </c>
      <c r="E532" t="s">
        <v>4812</v>
      </c>
      <c r="F532" t="s">
        <v>1185</v>
      </c>
      <c r="G532" t="s">
        <v>2643</v>
      </c>
      <c r="H532">
        <v>1414187193992.25</v>
      </c>
      <c r="I532">
        <v>487093936.52519</v>
      </c>
      <c r="J532">
        <v>272.28885085370001</v>
      </c>
      <c r="S532">
        <v>188.87169069999999</v>
      </c>
      <c r="T532">
        <v>54.1</v>
      </c>
      <c r="U532" t="s">
        <v>2644</v>
      </c>
    </row>
    <row r="533" spans="1:21" x14ac:dyDescent="0.25">
      <c r="A533" t="s">
        <v>2083</v>
      </c>
      <c r="B533" t="s">
        <v>2084</v>
      </c>
      <c r="C533" t="s">
        <v>2085</v>
      </c>
      <c r="D533" t="s">
        <v>586</v>
      </c>
      <c r="E533" t="s">
        <v>1056</v>
      </c>
      <c r="F533" t="s">
        <v>1136</v>
      </c>
      <c r="G533" t="s">
        <v>1137</v>
      </c>
      <c r="H533" t="s">
        <v>90</v>
      </c>
      <c r="I533" t="s">
        <v>90</v>
      </c>
      <c r="J533">
        <v>62.524426759999997</v>
      </c>
      <c r="K533">
        <v>5.8638215300000001</v>
      </c>
      <c r="L533">
        <v>5.5539038400000003</v>
      </c>
      <c r="M533">
        <v>5.2699173200000002</v>
      </c>
      <c r="N533">
        <v>4.5860916100000004</v>
      </c>
      <c r="O533">
        <v>19.534130928890779</v>
      </c>
      <c r="P533">
        <v>138.80510765</v>
      </c>
      <c r="Q533">
        <v>9.8036316407323234</v>
      </c>
      <c r="R533" t="s">
        <v>30</v>
      </c>
      <c r="S533">
        <v>62.524426759999997</v>
      </c>
      <c r="T533" t="s">
        <v>2819</v>
      </c>
      <c r="U533" t="s">
        <v>1059</v>
      </c>
    </row>
    <row r="534" spans="1:21" x14ac:dyDescent="0.25">
      <c r="A534" t="s">
        <v>5761</v>
      </c>
      <c r="B534" t="s">
        <v>2086</v>
      </c>
      <c r="C534" t="s">
        <v>2087</v>
      </c>
      <c r="D534" t="s">
        <v>586</v>
      </c>
      <c r="E534" t="s">
        <v>1056</v>
      </c>
      <c r="F534" t="s">
        <v>1057</v>
      </c>
      <c r="G534" t="s">
        <v>1155</v>
      </c>
      <c r="H534" t="s">
        <v>90</v>
      </c>
      <c r="I534" t="s">
        <v>90</v>
      </c>
      <c r="J534">
        <v>3.16688064</v>
      </c>
      <c r="K534">
        <v>6.3350222399999998</v>
      </c>
      <c r="L534">
        <v>9.4320029099999996</v>
      </c>
      <c r="M534">
        <v>5.0639194700000001</v>
      </c>
      <c r="N534">
        <v>6.2905220599999998</v>
      </c>
      <c r="O534">
        <v>45.546145546145539</v>
      </c>
      <c r="P534">
        <v>16.220495769999999</v>
      </c>
      <c r="Q534">
        <v>46.495346495346482</v>
      </c>
      <c r="R534" t="s">
        <v>30</v>
      </c>
      <c r="S534">
        <v>3.16688064</v>
      </c>
      <c r="T534" t="s">
        <v>2819</v>
      </c>
      <c r="U534" t="s">
        <v>1059</v>
      </c>
    </row>
    <row r="535" spans="1:21" x14ac:dyDescent="0.25">
      <c r="A535" t="s">
        <v>2672</v>
      </c>
      <c r="B535" t="s">
        <v>2688</v>
      </c>
      <c r="C535" t="s">
        <v>3184</v>
      </c>
      <c r="D535" t="s">
        <v>175</v>
      </c>
      <c r="E535" t="s">
        <v>4812</v>
      </c>
      <c r="F535" t="s">
        <v>1185</v>
      </c>
      <c r="G535" t="s">
        <v>2643</v>
      </c>
      <c r="H535">
        <v>1414187193992.25</v>
      </c>
      <c r="I535">
        <v>487093936.52519</v>
      </c>
      <c r="J535">
        <v>272.28885085370001</v>
      </c>
      <c r="S535">
        <v>188.87169069999999</v>
      </c>
      <c r="T535">
        <v>54.1</v>
      </c>
      <c r="U535" t="s">
        <v>2644</v>
      </c>
    </row>
    <row r="536" spans="1:21" x14ac:dyDescent="0.25">
      <c r="A536" t="s">
        <v>2088</v>
      </c>
      <c r="B536" t="s">
        <v>635</v>
      </c>
      <c r="C536" t="s">
        <v>634</v>
      </c>
      <c r="D536" t="s">
        <v>586</v>
      </c>
      <c r="E536" t="s">
        <v>1056</v>
      </c>
      <c r="F536" t="s">
        <v>1071</v>
      </c>
      <c r="G536" t="s">
        <v>1753</v>
      </c>
      <c r="H536" t="s">
        <v>90</v>
      </c>
      <c r="I536" t="s">
        <v>90</v>
      </c>
      <c r="J536">
        <v>107.58312038</v>
      </c>
      <c r="K536">
        <v>6.0662122700000003</v>
      </c>
      <c r="L536">
        <v>5.2674914700000004</v>
      </c>
      <c r="M536">
        <v>4.6856089599999997</v>
      </c>
      <c r="N536">
        <v>5.7762328600000004</v>
      </c>
      <c r="O536">
        <v>16.827817248273181</v>
      </c>
      <c r="P536">
        <v>175.80805985000001</v>
      </c>
      <c r="Q536">
        <v>26.012916561028518</v>
      </c>
      <c r="R536" t="s">
        <v>30</v>
      </c>
      <c r="S536">
        <v>107.58312038</v>
      </c>
      <c r="T536" t="s">
        <v>2819</v>
      </c>
      <c r="U536" t="s">
        <v>1059</v>
      </c>
    </row>
    <row r="537" spans="1:21" x14ac:dyDescent="0.25">
      <c r="A537" t="s">
        <v>2672</v>
      </c>
      <c r="B537" t="s">
        <v>2689</v>
      </c>
      <c r="C537" t="s">
        <v>3186</v>
      </c>
      <c r="D537" t="s">
        <v>175</v>
      </c>
      <c r="E537" t="s">
        <v>4812</v>
      </c>
      <c r="F537" t="s">
        <v>1185</v>
      </c>
      <c r="G537" t="s">
        <v>2643</v>
      </c>
      <c r="H537">
        <v>1414187193992.25</v>
      </c>
      <c r="I537">
        <v>487093936.52519</v>
      </c>
      <c r="J537">
        <v>272.28885085370001</v>
      </c>
      <c r="S537">
        <v>188.87169069999999</v>
      </c>
      <c r="T537">
        <v>54.1</v>
      </c>
      <c r="U537" t="s">
        <v>2644</v>
      </c>
    </row>
    <row r="538" spans="1:21" x14ac:dyDescent="0.25">
      <c r="A538" t="s">
        <v>2089</v>
      </c>
      <c r="B538" t="s">
        <v>2090</v>
      </c>
      <c r="C538" t="s">
        <v>2091</v>
      </c>
      <c r="D538" t="s">
        <v>586</v>
      </c>
      <c r="E538" t="s">
        <v>1056</v>
      </c>
      <c r="F538" t="s">
        <v>1071</v>
      </c>
      <c r="G538" t="s">
        <v>1445</v>
      </c>
      <c r="H538" t="s">
        <v>90</v>
      </c>
      <c r="I538" t="s">
        <v>90</v>
      </c>
      <c r="J538">
        <v>32.071444909999997</v>
      </c>
      <c r="K538">
        <v>6.7492917300000004</v>
      </c>
      <c r="L538">
        <v>6.07319896</v>
      </c>
      <c r="M538">
        <v>4.9707485599999996</v>
      </c>
      <c r="N538">
        <v>5.6818000900000003</v>
      </c>
      <c r="O538">
        <v>51.210374106207553</v>
      </c>
      <c r="P538">
        <v>92.733899179999995</v>
      </c>
      <c r="Q538">
        <v>31.702447887763171</v>
      </c>
      <c r="R538" t="s">
        <v>30</v>
      </c>
      <c r="S538">
        <v>32.071444909999997</v>
      </c>
      <c r="T538" t="s">
        <v>2819</v>
      </c>
      <c r="U538" t="s">
        <v>1059</v>
      </c>
    </row>
    <row r="539" spans="1:21" x14ac:dyDescent="0.25">
      <c r="A539" t="s">
        <v>2672</v>
      </c>
      <c r="B539" t="s">
        <v>2690</v>
      </c>
      <c r="C539" t="s">
        <v>3190</v>
      </c>
      <c r="D539" t="s">
        <v>175</v>
      </c>
      <c r="E539" t="s">
        <v>4812</v>
      </c>
      <c r="F539" t="s">
        <v>1185</v>
      </c>
      <c r="G539" t="s">
        <v>2643</v>
      </c>
      <c r="H539">
        <v>1414187193992.25</v>
      </c>
      <c r="I539">
        <v>487093936.52519</v>
      </c>
      <c r="J539">
        <v>272.28885085370001</v>
      </c>
      <c r="S539">
        <v>188.87169069999999</v>
      </c>
      <c r="T539">
        <v>54.1</v>
      </c>
      <c r="U539" t="s">
        <v>2644</v>
      </c>
    </row>
    <row r="540" spans="1:21" x14ac:dyDescent="0.25">
      <c r="A540" t="s">
        <v>2094</v>
      </c>
      <c r="B540" t="s">
        <v>2095</v>
      </c>
      <c r="C540" t="s">
        <v>2096</v>
      </c>
      <c r="D540" t="s">
        <v>586</v>
      </c>
      <c r="E540" t="s">
        <v>1056</v>
      </c>
      <c r="F540" t="s">
        <v>1375</v>
      </c>
      <c r="G540" t="s">
        <v>1376</v>
      </c>
      <c r="H540" t="s">
        <v>90</v>
      </c>
      <c r="I540" t="s">
        <v>90</v>
      </c>
      <c r="J540">
        <v>60.544747450000003</v>
      </c>
      <c r="K540">
        <v>7.1541362599999996</v>
      </c>
      <c r="L540">
        <v>5.6950739700000002</v>
      </c>
      <c r="M540">
        <v>5.4705249199999999</v>
      </c>
      <c r="N540">
        <v>5.9391901499999999</v>
      </c>
      <c r="O540">
        <v>30.26057514721661</v>
      </c>
      <c r="P540">
        <v>74.57670109</v>
      </c>
      <c r="Q540">
        <v>29.367926028216392</v>
      </c>
      <c r="R540" t="s">
        <v>1073</v>
      </c>
      <c r="S540">
        <v>60.544747450000003</v>
      </c>
      <c r="T540" t="s">
        <v>2819</v>
      </c>
      <c r="U540" t="s">
        <v>1059</v>
      </c>
    </row>
    <row r="541" spans="1:21" x14ac:dyDescent="0.25">
      <c r="A541" t="s">
        <v>2672</v>
      </c>
      <c r="B541" t="s">
        <v>2691</v>
      </c>
      <c r="C541" t="s">
        <v>3164</v>
      </c>
      <c r="D541" t="s">
        <v>175</v>
      </c>
      <c r="E541" t="s">
        <v>4812</v>
      </c>
      <c r="F541" t="s">
        <v>1185</v>
      </c>
      <c r="G541" t="s">
        <v>2643</v>
      </c>
      <c r="H541">
        <v>1414187193992.25</v>
      </c>
      <c r="I541">
        <v>487093936.52519</v>
      </c>
      <c r="J541">
        <v>272.28885085370001</v>
      </c>
      <c r="S541">
        <v>188.87169069999999</v>
      </c>
      <c r="T541">
        <v>54.1</v>
      </c>
      <c r="U541" t="s">
        <v>2644</v>
      </c>
    </row>
    <row r="542" spans="1:21" x14ac:dyDescent="0.25">
      <c r="A542" t="s">
        <v>2097</v>
      </c>
      <c r="B542" t="s">
        <v>2098</v>
      </c>
      <c r="C542" t="s">
        <v>2099</v>
      </c>
      <c r="D542" t="s">
        <v>586</v>
      </c>
      <c r="E542" t="s">
        <v>1056</v>
      </c>
      <c r="F542" t="s">
        <v>1714</v>
      </c>
      <c r="G542" t="s">
        <v>1715</v>
      </c>
      <c r="H542" t="s">
        <v>90</v>
      </c>
      <c r="I542" t="s">
        <v>90</v>
      </c>
      <c r="J542">
        <v>55.095099509999997</v>
      </c>
      <c r="K542">
        <v>7.7771521899999998</v>
      </c>
      <c r="L542">
        <v>6.8372165300000001</v>
      </c>
      <c r="M542">
        <v>5.2545995899999998</v>
      </c>
      <c r="N542">
        <v>6.4027715199999999</v>
      </c>
      <c r="O542">
        <v>40.886246606315368</v>
      </c>
      <c r="P542">
        <v>82.819407589999997</v>
      </c>
      <c r="Q542">
        <v>63.774178991727332</v>
      </c>
      <c r="R542" t="s">
        <v>1073</v>
      </c>
      <c r="S542">
        <v>55.095099509999997</v>
      </c>
      <c r="T542" t="s">
        <v>2819</v>
      </c>
      <c r="U542" t="s">
        <v>1059</v>
      </c>
    </row>
    <row r="543" spans="1:21" x14ac:dyDescent="0.25">
      <c r="A543" t="s">
        <v>2672</v>
      </c>
      <c r="B543" t="s">
        <v>2692</v>
      </c>
      <c r="C543" t="s">
        <v>3185</v>
      </c>
      <c r="D543" t="s">
        <v>175</v>
      </c>
      <c r="E543" t="s">
        <v>4812</v>
      </c>
      <c r="F543" t="s">
        <v>1185</v>
      </c>
      <c r="G543" t="s">
        <v>2643</v>
      </c>
      <c r="H543">
        <v>1414187193992.25</v>
      </c>
      <c r="I543">
        <v>487093936.52519</v>
      </c>
      <c r="J543">
        <v>272.28885085370001</v>
      </c>
      <c r="S543">
        <v>188.87169069999999</v>
      </c>
      <c r="T543">
        <v>54.1</v>
      </c>
      <c r="U543" t="s">
        <v>2644</v>
      </c>
    </row>
    <row r="544" spans="1:21" x14ac:dyDescent="0.25">
      <c r="A544" t="s">
        <v>2097</v>
      </c>
      <c r="B544" t="s">
        <v>2098</v>
      </c>
      <c r="C544" t="s">
        <v>2100</v>
      </c>
      <c r="D544" t="s">
        <v>586</v>
      </c>
      <c r="E544" t="s">
        <v>1056</v>
      </c>
      <c r="F544" t="s">
        <v>1714</v>
      </c>
      <c r="G544" t="s">
        <v>1715</v>
      </c>
      <c r="H544" t="s">
        <v>90</v>
      </c>
      <c r="I544" t="s">
        <v>90</v>
      </c>
      <c r="J544">
        <v>55.095099509999997</v>
      </c>
      <c r="K544">
        <v>7.7771521899999998</v>
      </c>
      <c r="L544">
        <v>6.8372165300000001</v>
      </c>
      <c r="M544">
        <v>5.2545995899999998</v>
      </c>
      <c r="N544">
        <v>6.4027715199999999</v>
      </c>
      <c r="O544">
        <v>40.886246606315368</v>
      </c>
      <c r="P544">
        <v>82.819407589999997</v>
      </c>
      <c r="Q544">
        <v>63.774178991727332</v>
      </c>
      <c r="R544" t="s">
        <v>1073</v>
      </c>
      <c r="S544">
        <v>55.095099509999997</v>
      </c>
      <c r="T544" t="s">
        <v>2819</v>
      </c>
      <c r="U544" t="s">
        <v>1059</v>
      </c>
    </row>
    <row r="545" spans="1:21" x14ac:dyDescent="0.25">
      <c r="A545" t="s">
        <v>2672</v>
      </c>
      <c r="B545" t="s">
        <v>2693</v>
      </c>
      <c r="C545" t="s">
        <v>3165</v>
      </c>
      <c r="D545" t="s">
        <v>175</v>
      </c>
      <c r="E545" t="s">
        <v>4812</v>
      </c>
      <c r="F545" t="s">
        <v>1185</v>
      </c>
      <c r="G545" t="s">
        <v>2643</v>
      </c>
      <c r="H545">
        <v>1414187193992.25</v>
      </c>
      <c r="I545">
        <v>487093936.52519</v>
      </c>
      <c r="J545">
        <v>272.28885085370001</v>
      </c>
      <c r="S545">
        <v>188.87169069999999</v>
      </c>
      <c r="T545">
        <v>54.1</v>
      </c>
      <c r="U545" t="s">
        <v>2644</v>
      </c>
    </row>
    <row r="546" spans="1:21" x14ac:dyDescent="0.25">
      <c r="A546" t="s">
        <v>2101</v>
      </c>
      <c r="B546" t="s">
        <v>2102</v>
      </c>
      <c r="C546" t="s">
        <v>2103</v>
      </c>
      <c r="D546" t="s">
        <v>586</v>
      </c>
      <c r="E546" t="s">
        <v>1056</v>
      </c>
      <c r="F546" t="s">
        <v>1714</v>
      </c>
      <c r="G546" t="s">
        <v>1715</v>
      </c>
      <c r="H546" t="s">
        <v>90</v>
      </c>
      <c r="I546" t="s">
        <v>90</v>
      </c>
      <c r="J546">
        <v>33.18420227</v>
      </c>
      <c r="K546">
        <v>7.9018972300000003</v>
      </c>
      <c r="L546">
        <v>6.97061508</v>
      </c>
      <c r="M546">
        <v>5.2397379300000004</v>
      </c>
      <c r="N546">
        <v>6.4087611999999998</v>
      </c>
      <c r="O546">
        <v>48.621040111897337</v>
      </c>
      <c r="P546">
        <v>66.217059129999996</v>
      </c>
      <c r="Q546">
        <v>66.239081407297405</v>
      </c>
      <c r="R546" t="s">
        <v>1073</v>
      </c>
      <c r="S546">
        <v>33.18420227</v>
      </c>
      <c r="T546" t="s">
        <v>2819</v>
      </c>
      <c r="U546" t="s">
        <v>1059</v>
      </c>
    </row>
    <row r="547" spans="1:21" x14ac:dyDescent="0.25">
      <c r="A547" t="s">
        <v>2672</v>
      </c>
      <c r="B547" t="s">
        <v>2694</v>
      </c>
      <c r="C547" t="s">
        <v>3188</v>
      </c>
      <c r="D547" t="s">
        <v>175</v>
      </c>
      <c r="E547" t="s">
        <v>4812</v>
      </c>
      <c r="F547" t="s">
        <v>1185</v>
      </c>
      <c r="G547" t="s">
        <v>2643</v>
      </c>
      <c r="H547">
        <v>1414187193992.25</v>
      </c>
      <c r="I547">
        <v>487093936.52519</v>
      </c>
      <c r="J547">
        <v>272.28885085370001</v>
      </c>
      <c r="S547">
        <v>188.87169069999999</v>
      </c>
      <c r="T547">
        <v>54.1</v>
      </c>
      <c r="U547" t="s">
        <v>2644</v>
      </c>
    </row>
    <row r="548" spans="1:21" x14ac:dyDescent="0.25">
      <c r="A548" t="s">
        <v>2672</v>
      </c>
      <c r="B548" t="s">
        <v>2695</v>
      </c>
      <c r="C548" t="s">
        <v>3187</v>
      </c>
      <c r="D548" t="s">
        <v>175</v>
      </c>
      <c r="E548" t="s">
        <v>4812</v>
      </c>
      <c r="F548" t="s">
        <v>1185</v>
      </c>
      <c r="G548" t="s">
        <v>2643</v>
      </c>
      <c r="H548">
        <v>1414187193992.25</v>
      </c>
      <c r="I548">
        <v>487093936.52519</v>
      </c>
      <c r="J548">
        <v>272.28885085370001</v>
      </c>
      <c r="S548">
        <v>188.87169069999999</v>
      </c>
      <c r="T548">
        <v>54.1</v>
      </c>
      <c r="U548" t="s">
        <v>2644</v>
      </c>
    </row>
    <row r="549" spans="1:21" x14ac:dyDescent="0.25">
      <c r="A549" t="s">
        <v>2105</v>
      </c>
      <c r="B549" t="s">
        <v>2106</v>
      </c>
      <c r="C549" t="s">
        <v>2107</v>
      </c>
      <c r="D549" t="s">
        <v>586</v>
      </c>
      <c r="E549" t="s">
        <v>1056</v>
      </c>
      <c r="F549" t="s">
        <v>1241</v>
      </c>
      <c r="G549" t="s">
        <v>1958</v>
      </c>
      <c r="H549" t="s">
        <v>90</v>
      </c>
      <c r="I549" t="s">
        <v>90</v>
      </c>
      <c r="J549">
        <v>355.82575200000002</v>
      </c>
      <c r="K549">
        <v>5.0535085999999998</v>
      </c>
      <c r="L549">
        <v>5.0256088200000004</v>
      </c>
      <c r="M549">
        <v>4.9188840599999999</v>
      </c>
      <c r="N549">
        <v>4.5821361700000001</v>
      </c>
      <c r="O549">
        <v>15.77121074547105</v>
      </c>
      <c r="P549">
        <v>529.16715915999998</v>
      </c>
      <c r="Q549">
        <v>4.9620404555145337</v>
      </c>
      <c r="R549" t="s">
        <v>1063</v>
      </c>
      <c r="S549">
        <v>355.82575200000002</v>
      </c>
      <c r="T549" t="s">
        <v>2819</v>
      </c>
      <c r="U549" t="s">
        <v>1059</v>
      </c>
    </row>
    <row r="550" spans="1:21" x14ac:dyDescent="0.25">
      <c r="A550" t="s">
        <v>2108</v>
      </c>
      <c r="B550" t="s">
        <v>2109</v>
      </c>
      <c r="C550" t="s">
        <v>2110</v>
      </c>
      <c r="D550" t="s">
        <v>586</v>
      </c>
      <c r="E550" t="s">
        <v>1056</v>
      </c>
      <c r="F550" t="s">
        <v>1241</v>
      </c>
      <c r="G550" t="s">
        <v>1242</v>
      </c>
      <c r="H550" t="s">
        <v>90</v>
      </c>
      <c r="I550" t="s">
        <v>90</v>
      </c>
      <c r="J550">
        <v>124.64706541</v>
      </c>
      <c r="K550">
        <v>5.3801762799999997</v>
      </c>
      <c r="L550">
        <v>5.7892353700000001</v>
      </c>
      <c r="M550">
        <v>4.8576072899999998</v>
      </c>
      <c r="N550">
        <v>4.3901987599999996</v>
      </c>
      <c r="O550">
        <v>23.149829688546561</v>
      </c>
      <c r="P550">
        <v>256.13694020000003</v>
      </c>
      <c r="Q550">
        <v>0</v>
      </c>
      <c r="R550" t="s">
        <v>1063</v>
      </c>
      <c r="S550">
        <v>124.64706541</v>
      </c>
      <c r="T550" t="s">
        <v>2819</v>
      </c>
      <c r="U550" t="s">
        <v>1059</v>
      </c>
    </row>
    <row r="551" spans="1:21" x14ac:dyDescent="0.25">
      <c r="A551" t="s">
        <v>2672</v>
      </c>
      <c r="B551" t="s">
        <v>2696</v>
      </c>
      <c r="C551" t="s">
        <v>3191</v>
      </c>
      <c r="D551" t="s">
        <v>175</v>
      </c>
      <c r="E551" t="s">
        <v>4812</v>
      </c>
      <c r="F551" t="s">
        <v>1185</v>
      </c>
      <c r="G551" t="s">
        <v>2643</v>
      </c>
      <c r="H551">
        <v>1414187193992.25</v>
      </c>
      <c r="I551">
        <v>487093936.52519</v>
      </c>
      <c r="J551">
        <v>272.28885085370001</v>
      </c>
      <c r="S551">
        <v>188.87169069999999</v>
      </c>
      <c r="T551">
        <v>54.1</v>
      </c>
      <c r="U551" t="s">
        <v>2644</v>
      </c>
    </row>
    <row r="552" spans="1:21" x14ac:dyDescent="0.25">
      <c r="A552" t="s">
        <v>2112</v>
      </c>
      <c r="B552" t="s">
        <v>2113</v>
      </c>
      <c r="C552" t="s">
        <v>2114</v>
      </c>
      <c r="D552" t="s">
        <v>586</v>
      </c>
      <c r="E552" t="s">
        <v>1056</v>
      </c>
      <c r="F552" t="s">
        <v>1071</v>
      </c>
      <c r="G552" t="s">
        <v>1155</v>
      </c>
      <c r="H552" t="s">
        <v>90</v>
      </c>
      <c r="I552" t="s">
        <v>90</v>
      </c>
      <c r="J552">
        <v>3.6097712799999999</v>
      </c>
      <c r="K552">
        <v>7.3599891700000004</v>
      </c>
      <c r="L552">
        <v>6.16271244</v>
      </c>
      <c r="M552">
        <v>4.9640051200000004</v>
      </c>
      <c r="N552">
        <v>6.0842734500000004</v>
      </c>
      <c r="O552">
        <v>53.940592118815779</v>
      </c>
      <c r="P552">
        <v>14.74443917</v>
      </c>
      <c r="Q552">
        <v>36.425327149345712</v>
      </c>
      <c r="R552" t="s">
        <v>1073</v>
      </c>
      <c r="S552">
        <v>3.6097712799999999</v>
      </c>
      <c r="T552" t="s">
        <v>2819</v>
      </c>
      <c r="U552" t="s">
        <v>1059</v>
      </c>
    </row>
    <row r="553" spans="1:21" x14ac:dyDescent="0.25">
      <c r="A553" t="s">
        <v>2672</v>
      </c>
      <c r="B553" t="s">
        <v>2697</v>
      </c>
      <c r="C553" t="s">
        <v>3161</v>
      </c>
      <c r="D553" t="s">
        <v>175</v>
      </c>
      <c r="E553" t="s">
        <v>4812</v>
      </c>
      <c r="F553" t="s">
        <v>1185</v>
      </c>
      <c r="G553" t="s">
        <v>2643</v>
      </c>
      <c r="H553">
        <v>1414187193992.25</v>
      </c>
      <c r="I553">
        <v>487093936.52519</v>
      </c>
      <c r="J553">
        <v>272.28885085370001</v>
      </c>
      <c r="S553">
        <v>188.87169069999999</v>
      </c>
      <c r="T553">
        <v>54.1</v>
      </c>
      <c r="U553" t="s">
        <v>2644</v>
      </c>
    </row>
    <row r="554" spans="1:21" x14ac:dyDescent="0.25">
      <c r="A554" t="s">
        <v>2115</v>
      </c>
      <c r="B554" t="s">
        <v>2116</v>
      </c>
      <c r="C554" t="s">
        <v>2117</v>
      </c>
      <c r="D554" t="s">
        <v>586</v>
      </c>
      <c r="E554" t="s">
        <v>1056</v>
      </c>
      <c r="F554" t="s">
        <v>1057</v>
      </c>
      <c r="G554" t="s">
        <v>1067</v>
      </c>
      <c r="H554" t="s">
        <v>90</v>
      </c>
      <c r="I554" t="s">
        <v>90</v>
      </c>
      <c r="J554">
        <v>63.741478399999998</v>
      </c>
      <c r="K554">
        <v>5.7579311899999999</v>
      </c>
      <c r="L554">
        <v>4.0509736399999996</v>
      </c>
      <c r="M554">
        <v>4.69511726</v>
      </c>
      <c r="N554">
        <v>6.1489073400000001</v>
      </c>
      <c r="O554">
        <v>2.696673004338189</v>
      </c>
      <c r="P554">
        <v>86.026943029999998</v>
      </c>
      <c r="Q554">
        <v>25.027478839275229</v>
      </c>
      <c r="R554" t="s">
        <v>30</v>
      </c>
      <c r="S554">
        <v>63.741478399999998</v>
      </c>
      <c r="T554" t="s">
        <v>2819</v>
      </c>
      <c r="U554" t="s">
        <v>1059</v>
      </c>
    </row>
    <row r="555" spans="1:21" x14ac:dyDescent="0.25">
      <c r="A555" t="s">
        <v>2672</v>
      </c>
      <c r="B555" t="s">
        <v>5081</v>
      </c>
      <c r="C555" t="s">
        <v>5082</v>
      </c>
      <c r="D555" t="s">
        <v>175</v>
      </c>
      <c r="E555" t="s">
        <v>4812</v>
      </c>
      <c r="F555" t="s">
        <v>1185</v>
      </c>
      <c r="G555" t="s">
        <v>2643</v>
      </c>
      <c r="H555">
        <v>1414187193992.25</v>
      </c>
      <c r="I555">
        <v>487093936.52519</v>
      </c>
      <c r="J555">
        <v>272.28885085370001</v>
      </c>
      <c r="S555">
        <v>188.87169069999999</v>
      </c>
      <c r="T555">
        <v>54.1</v>
      </c>
      <c r="U555" t="s">
        <v>2644</v>
      </c>
    </row>
    <row r="556" spans="1:21" x14ac:dyDescent="0.25">
      <c r="A556" t="s">
        <v>2118</v>
      </c>
      <c r="B556" t="s">
        <v>2119</v>
      </c>
      <c r="C556" t="s">
        <v>2120</v>
      </c>
      <c r="D556" t="s">
        <v>586</v>
      </c>
      <c r="E556" t="s">
        <v>1056</v>
      </c>
      <c r="F556" t="s">
        <v>1057</v>
      </c>
      <c r="G556" t="s">
        <v>1058</v>
      </c>
      <c r="H556" t="s">
        <v>90</v>
      </c>
      <c r="I556" t="s">
        <v>90</v>
      </c>
      <c r="J556">
        <v>25.317455639999999</v>
      </c>
      <c r="K556">
        <v>6.4174923499999998</v>
      </c>
      <c r="L556">
        <v>6.0416740100000004</v>
      </c>
      <c r="M556">
        <v>4.9062114799999996</v>
      </c>
      <c r="N556">
        <v>5.3620940499999996</v>
      </c>
      <c r="O556">
        <v>57.000661977492783</v>
      </c>
      <c r="P556">
        <v>94.241766339999998</v>
      </c>
      <c r="Q556">
        <v>20.698596247727579</v>
      </c>
      <c r="R556" t="s">
        <v>30</v>
      </c>
      <c r="S556">
        <v>25.317455639999999</v>
      </c>
      <c r="T556" t="s">
        <v>2819</v>
      </c>
      <c r="U556" t="s">
        <v>1059</v>
      </c>
    </row>
    <row r="557" spans="1:21" x14ac:dyDescent="0.25">
      <c r="A557" t="s">
        <v>2672</v>
      </c>
      <c r="B557" t="s">
        <v>2698</v>
      </c>
      <c r="C557" t="s">
        <v>3162</v>
      </c>
      <c r="D557" t="s">
        <v>175</v>
      </c>
      <c r="E557" t="s">
        <v>4812</v>
      </c>
      <c r="F557" t="s">
        <v>1185</v>
      </c>
      <c r="G557" t="s">
        <v>2643</v>
      </c>
      <c r="H557">
        <v>1414187193992.25</v>
      </c>
      <c r="I557">
        <v>487093936.52519</v>
      </c>
      <c r="J557">
        <v>272.28885085370001</v>
      </c>
      <c r="S557">
        <v>188.87169069999999</v>
      </c>
      <c r="T557">
        <v>54.1</v>
      </c>
      <c r="U557" t="s">
        <v>2644</v>
      </c>
    </row>
    <row r="558" spans="1:21" x14ac:dyDescent="0.25">
      <c r="A558" t="s">
        <v>2672</v>
      </c>
      <c r="B558" t="s">
        <v>4783</v>
      </c>
      <c r="C558" t="s">
        <v>4822</v>
      </c>
      <c r="D558" t="s">
        <v>175</v>
      </c>
      <c r="E558" t="s">
        <v>4812</v>
      </c>
      <c r="F558" t="s">
        <v>1185</v>
      </c>
      <c r="G558" t="s">
        <v>2643</v>
      </c>
      <c r="H558">
        <v>1414187193992.25</v>
      </c>
      <c r="I558">
        <v>487093936.52519</v>
      </c>
      <c r="J558">
        <v>272.28885085370001</v>
      </c>
      <c r="S558">
        <v>188.87169069999999</v>
      </c>
      <c r="T558">
        <v>54.1</v>
      </c>
      <c r="U558" t="s">
        <v>2644</v>
      </c>
    </row>
    <row r="559" spans="1:21" x14ac:dyDescent="0.25">
      <c r="A559" t="s">
        <v>2122</v>
      </c>
      <c r="B559" t="s">
        <v>2123</v>
      </c>
      <c r="C559" t="s">
        <v>2124</v>
      </c>
      <c r="D559" t="s">
        <v>586</v>
      </c>
      <c r="E559" t="s">
        <v>1056</v>
      </c>
      <c r="F559" t="s">
        <v>1163</v>
      </c>
      <c r="G559" t="s">
        <v>1727</v>
      </c>
      <c r="H559" t="s">
        <v>90</v>
      </c>
      <c r="I559" t="s">
        <v>90</v>
      </c>
      <c r="J559">
        <v>114.37768977</v>
      </c>
      <c r="K559">
        <v>5.8907323399999996</v>
      </c>
      <c r="L559">
        <v>6.2125132799999996</v>
      </c>
      <c r="M559">
        <v>4.6483400499999998</v>
      </c>
      <c r="N559">
        <v>5.5502438200000004</v>
      </c>
      <c r="O559">
        <v>17.105067590163571</v>
      </c>
      <c r="P559">
        <v>125.49939222</v>
      </c>
      <c r="Q559">
        <v>18.923759484546039</v>
      </c>
      <c r="R559" t="s">
        <v>30</v>
      </c>
      <c r="S559">
        <v>114.37768977</v>
      </c>
      <c r="T559" t="s">
        <v>2819</v>
      </c>
      <c r="U559" t="s">
        <v>1059</v>
      </c>
    </row>
    <row r="560" spans="1:21" x14ac:dyDescent="0.25">
      <c r="A560" t="s">
        <v>2125</v>
      </c>
      <c r="B560" t="s">
        <v>2126</v>
      </c>
      <c r="C560" t="s">
        <v>2127</v>
      </c>
      <c r="D560" t="s">
        <v>586</v>
      </c>
      <c r="E560" t="s">
        <v>1056</v>
      </c>
      <c r="F560" t="s">
        <v>1136</v>
      </c>
      <c r="G560" t="s">
        <v>1437</v>
      </c>
      <c r="H560" t="s">
        <v>90</v>
      </c>
      <c r="I560" t="s">
        <v>90</v>
      </c>
      <c r="J560">
        <v>571.21028350999995</v>
      </c>
      <c r="K560">
        <v>3.8774124400000001</v>
      </c>
      <c r="L560">
        <v>4.9883788500000001</v>
      </c>
      <c r="M560">
        <v>5.2385737499999996</v>
      </c>
      <c r="N560">
        <v>5.0372016899999998</v>
      </c>
      <c r="O560">
        <v>6.1104364386047516</v>
      </c>
      <c r="P560">
        <v>1040.09636413</v>
      </c>
      <c r="Q560">
        <v>1.7295869431909321</v>
      </c>
      <c r="R560" t="s">
        <v>1138</v>
      </c>
      <c r="S560">
        <v>571.21028350999995</v>
      </c>
      <c r="T560" t="s">
        <v>2819</v>
      </c>
      <c r="U560" t="s">
        <v>1059</v>
      </c>
    </row>
    <row r="561" spans="1:21" x14ac:dyDescent="0.25">
      <c r="A561" t="s">
        <v>2672</v>
      </c>
      <c r="B561" t="s">
        <v>5346</v>
      </c>
      <c r="C561" t="s">
        <v>5347</v>
      </c>
      <c r="D561" t="s">
        <v>175</v>
      </c>
      <c r="E561" t="s">
        <v>4812</v>
      </c>
      <c r="F561" t="s">
        <v>1185</v>
      </c>
      <c r="G561" t="s">
        <v>2643</v>
      </c>
      <c r="H561">
        <v>1414187193992.25</v>
      </c>
      <c r="I561">
        <v>487093936.52519</v>
      </c>
      <c r="J561">
        <v>272.28885085370001</v>
      </c>
      <c r="S561">
        <v>188.87169069999999</v>
      </c>
      <c r="T561">
        <v>54.1</v>
      </c>
      <c r="U561" t="s">
        <v>2644</v>
      </c>
    </row>
    <row r="562" spans="1:21" x14ac:dyDescent="0.25">
      <c r="A562" t="s">
        <v>2672</v>
      </c>
      <c r="B562" t="s">
        <v>189</v>
      </c>
      <c r="C562" t="s">
        <v>188</v>
      </c>
      <c r="D562" t="s">
        <v>175</v>
      </c>
      <c r="E562" t="s">
        <v>4812</v>
      </c>
      <c r="F562" t="s">
        <v>1185</v>
      </c>
      <c r="G562" t="s">
        <v>2643</v>
      </c>
      <c r="H562">
        <v>1414187193992.25</v>
      </c>
      <c r="I562">
        <v>487093936.52519</v>
      </c>
      <c r="J562">
        <v>272.28885085370001</v>
      </c>
      <c r="S562">
        <v>188.87169069999999</v>
      </c>
      <c r="T562">
        <v>54.1</v>
      </c>
      <c r="U562" t="s">
        <v>2644</v>
      </c>
    </row>
    <row r="563" spans="1:21" x14ac:dyDescent="0.25">
      <c r="A563" t="s">
        <v>5345</v>
      </c>
      <c r="B563" t="s">
        <v>2128</v>
      </c>
      <c r="C563" t="s">
        <v>2129</v>
      </c>
      <c r="D563" t="s">
        <v>586</v>
      </c>
      <c r="E563" t="s">
        <v>1056</v>
      </c>
      <c r="F563" t="s">
        <v>1689</v>
      </c>
      <c r="G563" t="s">
        <v>1690</v>
      </c>
      <c r="H563" t="s">
        <v>90</v>
      </c>
      <c r="I563" t="s">
        <v>90</v>
      </c>
      <c r="J563">
        <v>44.870719299999998</v>
      </c>
      <c r="K563">
        <v>7.9736084800000002</v>
      </c>
      <c r="L563">
        <v>6.9761566699999999</v>
      </c>
      <c r="M563">
        <v>5.1176112900000001</v>
      </c>
      <c r="N563">
        <v>6.3575121599999997</v>
      </c>
      <c r="O563">
        <v>31.97409592228777</v>
      </c>
      <c r="P563">
        <v>43.168321659999997</v>
      </c>
      <c r="Q563">
        <v>51.932255796767393</v>
      </c>
      <c r="R563" t="s">
        <v>1073</v>
      </c>
      <c r="S563">
        <v>44.870719299999998</v>
      </c>
      <c r="T563" t="s">
        <v>2819</v>
      </c>
      <c r="U563" t="s">
        <v>1059</v>
      </c>
    </row>
    <row r="564" spans="1:21" x14ac:dyDescent="0.25">
      <c r="A564" t="s">
        <v>2699</v>
      </c>
      <c r="B564" t="s">
        <v>2700</v>
      </c>
      <c r="C564" t="s">
        <v>2937</v>
      </c>
      <c r="D564" t="s">
        <v>175</v>
      </c>
      <c r="E564" t="s">
        <v>4812</v>
      </c>
      <c r="F564" t="s">
        <v>1217</v>
      </c>
      <c r="G564" t="s">
        <v>2643</v>
      </c>
      <c r="H564">
        <v>3070667732359.21</v>
      </c>
      <c r="I564">
        <v>302103280.65789998</v>
      </c>
      <c r="J564">
        <v>90.449207159500006</v>
      </c>
      <c r="S564">
        <v>106.8755931</v>
      </c>
      <c r="T564">
        <v>101.9</v>
      </c>
      <c r="U564" t="s">
        <v>2644</v>
      </c>
    </row>
    <row r="565" spans="1:21" x14ac:dyDescent="0.25">
      <c r="A565" t="s">
        <v>5345</v>
      </c>
      <c r="B565" t="s">
        <v>2128</v>
      </c>
      <c r="C565" t="s">
        <v>5413</v>
      </c>
      <c r="D565" t="s">
        <v>586</v>
      </c>
      <c r="E565" t="s">
        <v>1056</v>
      </c>
      <c r="F565" t="s">
        <v>1689</v>
      </c>
      <c r="G565" t="s">
        <v>1690</v>
      </c>
      <c r="H565" t="s">
        <v>90</v>
      </c>
      <c r="I565" t="s">
        <v>90</v>
      </c>
      <c r="J565">
        <v>44.870719299999998</v>
      </c>
      <c r="K565">
        <v>7.9736084800000002</v>
      </c>
      <c r="L565">
        <v>6.9761566699999999</v>
      </c>
      <c r="M565">
        <v>5.1176112900000001</v>
      </c>
      <c r="N565">
        <v>6.3575121599999997</v>
      </c>
      <c r="O565">
        <v>31.97409592228777</v>
      </c>
      <c r="P565">
        <v>43.168321659999997</v>
      </c>
      <c r="Q565">
        <v>51.932255796767393</v>
      </c>
      <c r="R565" t="s">
        <v>1073</v>
      </c>
      <c r="S565">
        <v>44.870719299999998</v>
      </c>
      <c r="T565" t="s">
        <v>2819</v>
      </c>
      <c r="U565" t="s">
        <v>1059</v>
      </c>
    </row>
    <row r="566" spans="1:21" x14ac:dyDescent="0.25">
      <c r="A566" t="s">
        <v>2130</v>
      </c>
      <c r="B566" t="s">
        <v>2131</v>
      </c>
      <c r="C566" t="s">
        <v>2132</v>
      </c>
      <c r="D566" t="s">
        <v>586</v>
      </c>
      <c r="E566" t="s">
        <v>1056</v>
      </c>
      <c r="F566" t="s">
        <v>1057</v>
      </c>
      <c r="G566" t="s">
        <v>1288</v>
      </c>
      <c r="H566" t="s">
        <v>90</v>
      </c>
      <c r="I566" t="s">
        <v>90</v>
      </c>
      <c r="J566">
        <v>89.391164680000003</v>
      </c>
      <c r="K566">
        <v>5.2649015700000001</v>
      </c>
      <c r="L566">
        <v>4.3411043400000002</v>
      </c>
      <c r="M566">
        <v>4.6430529600000003</v>
      </c>
      <c r="N566">
        <v>5.5771151699999999</v>
      </c>
      <c r="O566">
        <v>9.4987376100121175</v>
      </c>
      <c r="P566">
        <v>174.79356945999999</v>
      </c>
      <c r="Q566">
        <v>14.194122954923319</v>
      </c>
      <c r="R566" t="s">
        <v>1063</v>
      </c>
      <c r="S566">
        <v>89.391164680000003</v>
      </c>
      <c r="T566" t="s">
        <v>2819</v>
      </c>
      <c r="U566" t="s">
        <v>1059</v>
      </c>
    </row>
    <row r="567" spans="1:21" x14ac:dyDescent="0.25">
      <c r="A567" t="s">
        <v>2699</v>
      </c>
      <c r="B567" t="s">
        <v>5269</v>
      </c>
      <c r="C567" t="s">
        <v>5270</v>
      </c>
      <c r="D567" t="s">
        <v>175</v>
      </c>
      <c r="E567" t="s">
        <v>4812</v>
      </c>
      <c r="F567" t="s">
        <v>1217</v>
      </c>
      <c r="G567" t="s">
        <v>2643</v>
      </c>
      <c r="H567">
        <v>3070667732359.21</v>
      </c>
      <c r="I567">
        <v>302103280.65789998</v>
      </c>
      <c r="J567">
        <v>90.449207159500006</v>
      </c>
      <c r="S567">
        <v>106.8755931</v>
      </c>
      <c r="T567">
        <v>101.9</v>
      </c>
      <c r="U567" t="s">
        <v>2644</v>
      </c>
    </row>
    <row r="568" spans="1:21" x14ac:dyDescent="0.25">
      <c r="A568" t="s">
        <v>2699</v>
      </c>
      <c r="B568" t="s">
        <v>2701</v>
      </c>
      <c r="C568" t="s">
        <v>2936</v>
      </c>
      <c r="D568" t="s">
        <v>175</v>
      </c>
      <c r="E568" t="s">
        <v>4812</v>
      </c>
      <c r="F568" t="s">
        <v>1217</v>
      </c>
      <c r="G568" t="s">
        <v>2643</v>
      </c>
      <c r="H568">
        <v>3070667732359.21</v>
      </c>
      <c r="I568">
        <v>302103280.65789998</v>
      </c>
      <c r="J568">
        <v>90.449207159500006</v>
      </c>
      <c r="S568">
        <v>106.8755931</v>
      </c>
      <c r="T568">
        <v>101.9</v>
      </c>
      <c r="U568" t="s">
        <v>2644</v>
      </c>
    </row>
    <row r="569" spans="1:21" x14ac:dyDescent="0.25">
      <c r="A569" t="s">
        <v>5808</v>
      </c>
      <c r="B569" t="s">
        <v>5809</v>
      </c>
      <c r="C569" t="s">
        <v>5810</v>
      </c>
      <c r="D569" t="s">
        <v>586</v>
      </c>
      <c r="E569" t="s">
        <v>1056</v>
      </c>
      <c r="F569" t="s">
        <v>1057</v>
      </c>
      <c r="G569" t="s">
        <v>1058</v>
      </c>
      <c r="H569" t="s">
        <v>90</v>
      </c>
      <c r="I569" t="s">
        <v>90</v>
      </c>
      <c r="J569">
        <v>25.954228969999999</v>
      </c>
      <c r="K569">
        <v>6.48119245</v>
      </c>
      <c r="L569">
        <v>6.0435967899999996</v>
      </c>
      <c r="M569">
        <v>4.9515747899999996</v>
      </c>
      <c r="N569">
        <v>5.3770178199999998</v>
      </c>
      <c r="O569">
        <v>56.195381850799663</v>
      </c>
      <c r="P569">
        <v>95.890832079999996</v>
      </c>
      <c r="Q569">
        <v>20.846770685522451</v>
      </c>
      <c r="R569" t="s">
        <v>30</v>
      </c>
      <c r="S569">
        <v>25.954228969999999</v>
      </c>
      <c r="T569" t="s">
        <v>2819</v>
      </c>
      <c r="U569" t="s">
        <v>1059</v>
      </c>
    </row>
    <row r="570" spans="1:21" x14ac:dyDescent="0.25">
      <c r="A570" t="s">
        <v>2699</v>
      </c>
      <c r="B570" t="s">
        <v>5414</v>
      </c>
      <c r="C570" t="s">
        <v>5415</v>
      </c>
      <c r="D570" t="s">
        <v>175</v>
      </c>
      <c r="E570" t="s">
        <v>4812</v>
      </c>
      <c r="F570" t="s">
        <v>1217</v>
      </c>
      <c r="G570" t="s">
        <v>2643</v>
      </c>
      <c r="H570">
        <v>3070667732359.21</v>
      </c>
      <c r="I570">
        <v>302103280.65789998</v>
      </c>
      <c r="J570">
        <v>90.449207159500006</v>
      </c>
      <c r="S570">
        <v>106.8755931</v>
      </c>
      <c r="T570">
        <v>101.9</v>
      </c>
      <c r="U570" t="s">
        <v>2644</v>
      </c>
    </row>
    <row r="571" spans="1:21" x14ac:dyDescent="0.25">
      <c r="A571" t="s">
        <v>2133</v>
      </c>
      <c r="B571" t="s">
        <v>2134</v>
      </c>
      <c r="C571" t="s">
        <v>2135</v>
      </c>
      <c r="D571" t="s">
        <v>586</v>
      </c>
      <c r="E571" t="s">
        <v>1056</v>
      </c>
      <c r="F571" t="s">
        <v>1375</v>
      </c>
      <c r="G571" t="s">
        <v>1376</v>
      </c>
      <c r="H571" t="s">
        <v>90</v>
      </c>
      <c r="I571" t="s">
        <v>90</v>
      </c>
      <c r="J571">
        <v>47.951668269999999</v>
      </c>
      <c r="K571">
        <v>7.50808578</v>
      </c>
      <c r="L571">
        <v>5.8941211600000001</v>
      </c>
      <c r="M571">
        <v>5.5491333699999998</v>
      </c>
      <c r="N571">
        <v>6.1198557300000003</v>
      </c>
      <c r="O571">
        <v>29.514935147437821</v>
      </c>
      <c r="P571">
        <v>61.792952130000003</v>
      </c>
      <c r="Q571">
        <v>27.398148772671728</v>
      </c>
      <c r="R571" t="s">
        <v>1073</v>
      </c>
      <c r="S571">
        <v>47.951668269999999</v>
      </c>
      <c r="T571" t="s">
        <v>2819</v>
      </c>
      <c r="U571" t="s">
        <v>1059</v>
      </c>
    </row>
    <row r="572" spans="1:21" x14ac:dyDescent="0.25">
      <c r="A572" t="s">
        <v>2136</v>
      </c>
      <c r="B572" t="s">
        <v>2137</v>
      </c>
      <c r="C572" t="s">
        <v>2138</v>
      </c>
      <c r="D572" t="s">
        <v>586</v>
      </c>
      <c r="E572" t="s">
        <v>1056</v>
      </c>
      <c r="F572" t="s">
        <v>1136</v>
      </c>
      <c r="G572" t="s">
        <v>1494</v>
      </c>
      <c r="H572" t="s">
        <v>90</v>
      </c>
      <c r="I572" t="s">
        <v>90</v>
      </c>
      <c r="J572">
        <v>766.20120553000004</v>
      </c>
      <c r="K572">
        <v>4.8039675500000003</v>
      </c>
      <c r="L572">
        <v>5.4673432399999999</v>
      </c>
      <c r="M572">
        <v>6.0005600399999999</v>
      </c>
      <c r="N572">
        <v>5.8891341099999996</v>
      </c>
      <c r="O572">
        <v>1.378829968330717</v>
      </c>
      <c r="P572">
        <v>1834.00174264</v>
      </c>
      <c r="Q572">
        <v>0.53369350260432002</v>
      </c>
      <c r="R572" t="s">
        <v>1063</v>
      </c>
      <c r="S572">
        <v>766.20120553000004</v>
      </c>
      <c r="T572" t="s">
        <v>2819</v>
      </c>
      <c r="U572" t="s">
        <v>1059</v>
      </c>
    </row>
    <row r="573" spans="1:21" x14ac:dyDescent="0.25">
      <c r="A573" t="s">
        <v>1057</v>
      </c>
      <c r="B573" t="s">
        <v>2702</v>
      </c>
      <c r="C573" t="s">
        <v>2959</v>
      </c>
      <c r="D573" t="s">
        <v>175</v>
      </c>
      <c r="E573" t="s">
        <v>4812</v>
      </c>
      <c r="F573" t="s">
        <v>1061</v>
      </c>
      <c r="G573" t="s">
        <v>2643</v>
      </c>
      <c r="H573">
        <v>25462700000000</v>
      </c>
      <c r="I573">
        <v>4682039413.6473999</v>
      </c>
      <c r="J573">
        <v>171.12132365529999</v>
      </c>
      <c r="S573">
        <v>225.35803540000001</v>
      </c>
      <c r="T573">
        <v>121.3</v>
      </c>
      <c r="U573" t="s">
        <v>2644</v>
      </c>
    </row>
    <row r="574" spans="1:21" x14ac:dyDescent="0.25">
      <c r="A574" t="s">
        <v>2139</v>
      </c>
      <c r="B574" t="s">
        <v>2140</v>
      </c>
      <c r="C574" t="s">
        <v>2141</v>
      </c>
      <c r="D574" t="s">
        <v>586</v>
      </c>
      <c r="E574" t="s">
        <v>1056</v>
      </c>
      <c r="F574" t="s">
        <v>1136</v>
      </c>
      <c r="G574" t="s">
        <v>1137</v>
      </c>
      <c r="H574" t="s">
        <v>90</v>
      </c>
      <c r="I574" t="s">
        <v>90</v>
      </c>
      <c r="J574">
        <v>31.91864752</v>
      </c>
      <c r="K574">
        <v>6.0357761099999996</v>
      </c>
      <c r="L574">
        <v>5.5153312699999999</v>
      </c>
      <c r="M574">
        <v>5.3862508900000003</v>
      </c>
      <c r="N574">
        <v>4.7543469800000002</v>
      </c>
      <c r="O574">
        <v>8.6178258534775587</v>
      </c>
      <c r="P574">
        <v>112.10109374</v>
      </c>
      <c r="Q574">
        <v>12.725738177214531</v>
      </c>
      <c r="R574" t="s">
        <v>30</v>
      </c>
      <c r="S574">
        <v>31.91864752</v>
      </c>
      <c r="T574" t="s">
        <v>2819</v>
      </c>
      <c r="U574" t="s">
        <v>1059</v>
      </c>
    </row>
    <row r="575" spans="1:21" x14ac:dyDescent="0.25">
      <c r="A575" t="s">
        <v>1057</v>
      </c>
      <c r="B575" t="s">
        <v>2703</v>
      </c>
      <c r="C575" t="s">
        <v>2961</v>
      </c>
      <c r="D575" t="s">
        <v>175</v>
      </c>
      <c r="E575" t="s">
        <v>4812</v>
      </c>
      <c r="F575" t="s">
        <v>1061</v>
      </c>
      <c r="G575" t="s">
        <v>2643</v>
      </c>
      <c r="H575">
        <v>25462700000000</v>
      </c>
      <c r="I575">
        <v>4682039413.6473999</v>
      </c>
      <c r="J575">
        <v>171.12132365529999</v>
      </c>
      <c r="S575">
        <v>225.35803540000001</v>
      </c>
      <c r="T575">
        <v>121.3</v>
      </c>
      <c r="U575" t="s">
        <v>2644</v>
      </c>
    </row>
    <row r="576" spans="1:21" x14ac:dyDescent="0.25">
      <c r="A576" t="s">
        <v>2142</v>
      </c>
      <c r="B576" t="s">
        <v>2143</v>
      </c>
      <c r="C576" t="s">
        <v>2144</v>
      </c>
      <c r="D576" t="s">
        <v>586</v>
      </c>
      <c r="E576" t="s">
        <v>1056</v>
      </c>
      <c r="F576" t="s">
        <v>1136</v>
      </c>
      <c r="G576" t="s">
        <v>2145</v>
      </c>
      <c r="H576" t="s">
        <v>90</v>
      </c>
      <c r="I576" t="s">
        <v>90</v>
      </c>
      <c r="J576">
        <v>52.827395430000003</v>
      </c>
      <c r="K576">
        <v>5.5752893700000001</v>
      </c>
      <c r="L576">
        <v>4.7394676000000002</v>
      </c>
      <c r="M576">
        <v>4.8471390699999999</v>
      </c>
      <c r="N576">
        <v>5.5204296800000003</v>
      </c>
      <c r="O576">
        <v>0.40607829093893399</v>
      </c>
      <c r="P576">
        <v>129.48650262000001</v>
      </c>
      <c r="Q576">
        <v>23.127790260402062</v>
      </c>
      <c r="R576" t="s">
        <v>1063</v>
      </c>
      <c r="S576">
        <v>52.827395430000003</v>
      </c>
      <c r="T576" t="s">
        <v>2819</v>
      </c>
      <c r="U576" t="s">
        <v>1059</v>
      </c>
    </row>
    <row r="577" spans="1:21" x14ac:dyDescent="0.25">
      <c r="A577" t="s">
        <v>1057</v>
      </c>
      <c r="B577" t="s">
        <v>2704</v>
      </c>
      <c r="C577" t="s">
        <v>2951</v>
      </c>
      <c r="D577" t="s">
        <v>175</v>
      </c>
      <c r="E577" t="s">
        <v>4812</v>
      </c>
      <c r="F577" t="s">
        <v>1061</v>
      </c>
      <c r="G577" t="s">
        <v>2643</v>
      </c>
      <c r="H577">
        <v>25462700000000</v>
      </c>
      <c r="I577">
        <v>4682039413.6473999</v>
      </c>
      <c r="J577">
        <v>171.12132365529999</v>
      </c>
      <c r="S577">
        <v>225.35803540000001</v>
      </c>
      <c r="T577">
        <v>121.3</v>
      </c>
      <c r="U577" t="s">
        <v>2644</v>
      </c>
    </row>
    <row r="578" spans="1:21" x14ac:dyDescent="0.25">
      <c r="A578" t="s">
        <v>5416</v>
      </c>
      <c r="B578" t="s">
        <v>2146</v>
      </c>
      <c r="C578" t="s">
        <v>2147</v>
      </c>
      <c r="D578" t="s">
        <v>586</v>
      </c>
      <c r="E578" t="s">
        <v>1056</v>
      </c>
      <c r="F578" t="s">
        <v>1136</v>
      </c>
      <c r="G578" t="s">
        <v>2148</v>
      </c>
      <c r="H578" t="s">
        <v>90</v>
      </c>
      <c r="I578" t="s">
        <v>90</v>
      </c>
      <c r="J578">
        <v>348.00742632999999</v>
      </c>
      <c r="K578">
        <v>5.2787411999999998</v>
      </c>
      <c r="L578">
        <v>5.2021790799999996</v>
      </c>
      <c r="M578">
        <v>5.1354869900000004</v>
      </c>
      <c r="N578">
        <v>4.4545988999999997</v>
      </c>
      <c r="O578">
        <v>7.6009186087178247</v>
      </c>
      <c r="P578">
        <v>659.57429508999996</v>
      </c>
      <c r="Q578">
        <v>7.1765013963472732</v>
      </c>
      <c r="R578" t="s">
        <v>1063</v>
      </c>
      <c r="S578">
        <v>348.00742632999999</v>
      </c>
      <c r="T578" t="s">
        <v>2819</v>
      </c>
      <c r="U578" t="s">
        <v>1059</v>
      </c>
    </row>
    <row r="579" spans="1:21" x14ac:dyDescent="0.25">
      <c r="A579" t="s">
        <v>1057</v>
      </c>
      <c r="B579" t="s">
        <v>2705</v>
      </c>
      <c r="C579" t="s">
        <v>2958</v>
      </c>
      <c r="D579" t="s">
        <v>175</v>
      </c>
      <c r="E579" t="s">
        <v>4812</v>
      </c>
      <c r="F579" t="s">
        <v>1061</v>
      </c>
      <c r="G579" t="s">
        <v>2643</v>
      </c>
      <c r="H579">
        <v>25462700000000</v>
      </c>
      <c r="I579">
        <v>4682039413.6473999</v>
      </c>
      <c r="J579">
        <v>171.12132365529999</v>
      </c>
      <c r="S579">
        <v>225.35803540000001</v>
      </c>
      <c r="T579">
        <v>121.3</v>
      </c>
      <c r="U579" t="s">
        <v>2644</v>
      </c>
    </row>
    <row r="580" spans="1:21" x14ac:dyDescent="0.25">
      <c r="A580" t="s">
        <v>2149</v>
      </c>
      <c r="B580" t="s">
        <v>2150</v>
      </c>
      <c r="C580" t="s">
        <v>2151</v>
      </c>
      <c r="D580" t="s">
        <v>586</v>
      </c>
      <c r="E580" t="s">
        <v>1056</v>
      </c>
      <c r="F580" t="s">
        <v>1136</v>
      </c>
      <c r="G580" t="s">
        <v>2148</v>
      </c>
      <c r="H580" t="s">
        <v>90</v>
      </c>
      <c r="I580" t="s">
        <v>90</v>
      </c>
      <c r="J580">
        <v>228.68330570000001</v>
      </c>
      <c r="K580">
        <v>5.2537264400000003</v>
      </c>
      <c r="L580">
        <v>5.3689618000000001</v>
      </c>
      <c r="M580">
        <v>5.0558452899999997</v>
      </c>
      <c r="N580">
        <v>4.2899893799999997</v>
      </c>
      <c r="O580">
        <v>15.500458033911039</v>
      </c>
      <c r="P580">
        <v>383.40086736000001</v>
      </c>
      <c r="Q580">
        <v>10.269535802768511</v>
      </c>
      <c r="R580" t="s">
        <v>1063</v>
      </c>
      <c r="S580">
        <v>228.68330570000001</v>
      </c>
      <c r="T580" t="s">
        <v>2819</v>
      </c>
      <c r="U580" t="s">
        <v>1059</v>
      </c>
    </row>
    <row r="581" spans="1:21" x14ac:dyDescent="0.25">
      <c r="A581" t="s">
        <v>1057</v>
      </c>
      <c r="B581" t="s">
        <v>2706</v>
      </c>
      <c r="C581" t="s">
        <v>2953</v>
      </c>
      <c r="D581" t="s">
        <v>175</v>
      </c>
      <c r="E581" t="s">
        <v>4812</v>
      </c>
      <c r="F581" t="s">
        <v>1061</v>
      </c>
      <c r="G581" t="s">
        <v>2643</v>
      </c>
      <c r="H581">
        <v>25462700000000</v>
      </c>
      <c r="I581">
        <v>4682039413.6473999</v>
      </c>
      <c r="J581">
        <v>171.12132365529999</v>
      </c>
      <c r="S581">
        <v>225.35803540000001</v>
      </c>
      <c r="T581">
        <v>121.3</v>
      </c>
      <c r="U581" t="s">
        <v>2644</v>
      </c>
    </row>
    <row r="582" spans="1:21" x14ac:dyDescent="0.25">
      <c r="A582" t="s">
        <v>5083</v>
      </c>
      <c r="B582" t="s">
        <v>2152</v>
      </c>
      <c r="C582" t="s">
        <v>2153</v>
      </c>
      <c r="D582" t="s">
        <v>586</v>
      </c>
      <c r="E582" t="s">
        <v>1056</v>
      </c>
      <c r="F582" t="s">
        <v>1136</v>
      </c>
      <c r="G582" t="s">
        <v>2148</v>
      </c>
      <c r="H582" t="s">
        <v>90</v>
      </c>
      <c r="I582" t="s">
        <v>90</v>
      </c>
      <c r="J582">
        <v>258.63179664</v>
      </c>
      <c r="K582">
        <v>5.3247370399999996</v>
      </c>
      <c r="L582">
        <v>5.3510634399999999</v>
      </c>
      <c r="M582">
        <v>5.1481404700000004</v>
      </c>
      <c r="N582">
        <v>4.4516209800000004</v>
      </c>
      <c r="O582">
        <v>13.46472924315527</v>
      </c>
      <c r="P582">
        <v>411.53034151999998</v>
      </c>
      <c r="Q582">
        <v>9.816383948024292</v>
      </c>
      <c r="R582" t="s">
        <v>1063</v>
      </c>
      <c r="S582">
        <v>258.63179664</v>
      </c>
      <c r="T582" t="s">
        <v>2819</v>
      </c>
      <c r="U582" t="s">
        <v>1059</v>
      </c>
    </row>
    <row r="583" spans="1:21" x14ac:dyDescent="0.25">
      <c r="A583" t="s">
        <v>1057</v>
      </c>
      <c r="B583" t="s">
        <v>2707</v>
      </c>
      <c r="C583" t="s">
        <v>2956</v>
      </c>
      <c r="D583" t="s">
        <v>175</v>
      </c>
      <c r="E583" t="s">
        <v>4812</v>
      </c>
      <c r="F583" t="s">
        <v>1061</v>
      </c>
      <c r="G583" t="s">
        <v>2643</v>
      </c>
      <c r="H583">
        <v>25462700000000</v>
      </c>
      <c r="I583">
        <v>4682039413.6473999</v>
      </c>
      <c r="J583">
        <v>171.12132365529999</v>
      </c>
      <c r="S583">
        <v>225.35803540000001</v>
      </c>
      <c r="T583">
        <v>121.3</v>
      </c>
      <c r="U583" t="s">
        <v>2644</v>
      </c>
    </row>
    <row r="584" spans="1:21" x14ac:dyDescent="0.25">
      <c r="A584" t="s">
        <v>2154</v>
      </c>
      <c r="B584" t="s">
        <v>2155</v>
      </c>
      <c r="C584" t="s">
        <v>2156</v>
      </c>
      <c r="D584" t="s">
        <v>586</v>
      </c>
      <c r="E584" t="s">
        <v>1056</v>
      </c>
      <c r="F584" t="s">
        <v>1136</v>
      </c>
      <c r="G584" t="s">
        <v>1137</v>
      </c>
      <c r="H584" t="s">
        <v>90</v>
      </c>
      <c r="I584" t="s">
        <v>90</v>
      </c>
      <c r="J584">
        <v>14.02974362</v>
      </c>
      <c r="K584">
        <v>6.0026286600000001</v>
      </c>
      <c r="L584">
        <v>5.4870383800000004</v>
      </c>
      <c r="M584">
        <v>5.4216948</v>
      </c>
      <c r="N584">
        <v>4.9112740700000002</v>
      </c>
      <c r="O584">
        <v>28.75649015056549</v>
      </c>
      <c r="P584">
        <v>58.627395389999997</v>
      </c>
      <c r="Q584">
        <v>6.0391138407896339</v>
      </c>
      <c r="R584" t="s">
        <v>30</v>
      </c>
      <c r="S584">
        <v>14.02974362</v>
      </c>
      <c r="T584" t="s">
        <v>2819</v>
      </c>
      <c r="U584" t="s">
        <v>1059</v>
      </c>
    </row>
    <row r="585" spans="1:21" x14ac:dyDescent="0.25">
      <c r="A585" t="s">
        <v>1057</v>
      </c>
      <c r="B585" t="s">
        <v>2708</v>
      </c>
      <c r="C585" t="s">
        <v>2955</v>
      </c>
      <c r="D585" t="s">
        <v>175</v>
      </c>
      <c r="E585" t="s">
        <v>4812</v>
      </c>
      <c r="F585" t="s">
        <v>1061</v>
      </c>
      <c r="G585" t="s">
        <v>2643</v>
      </c>
      <c r="H585">
        <v>25462700000000</v>
      </c>
      <c r="I585">
        <v>4682039413.6473999</v>
      </c>
      <c r="J585">
        <v>171.12132365529999</v>
      </c>
      <c r="S585">
        <v>225.35803540000001</v>
      </c>
      <c r="T585">
        <v>121.3</v>
      </c>
      <c r="U585" t="s">
        <v>2644</v>
      </c>
    </row>
    <row r="586" spans="1:21" x14ac:dyDescent="0.25">
      <c r="A586" t="s">
        <v>2157</v>
      </c>
      <c r="B586" t="s">
        <v>2158</v>
      </c>
      <c r="C586" t="s">
        <v>2159</v>
      </c>
      <c r="D586" t="s">
        <v>586</v>
      </c>
      <c r="E586" t="s">
        <v>1056</v>
      </c>
      <c r="F586" t="s">
        <v>1136</v>
      </c>
      <c r="G586" t="s">
        <v>1137</v>
      </c>
      <c r="H586" t="s">
        <v>90</v>
      </c>
      <c r="I586" t="s">
        <v>90</v>
      </c>
      <c r="J586">
        <v>14.02974362</v>
      </c>
      <c r="K586">
        <v>6.0026286600000001</v>
      </c>
      <c r="L586">
        <v>5.4870383800000004</v>
      </c>
      <c r="M586">
        <v>5.4216948</v>
      </c>
      <c r="N586">
        <v>4.9112740700000002</v>
      </c>
      <c r="O586">
        <v>28.75649015056549</v>
      </c>
      <c r="P586">
        <v>58.627395389999997</v>
      </c>
      <c r="Q586">
        <v>6.0391138407896339</v>
      </c>
      <c r="R586" t="s">
        <v>30</v>
      </c>
      <c r="S586">
        <v>14.02974362</v>
      </c>
      <c r="T586" t="s">
        <v>2819</v>
      </c>
      <c r="U586" t="s">
        <v>1059</v>
      </c>
    </row>
    <row r="587" spans="1:21" x14ac:dyDescent="0.25">
      <c r="A587" t="s">
        <v>1057</v>
      </c>
      <c r="B587" t="s">
        <v>2709</v>
      </c>
      <c r="C587" t="s">
        <v>2947</v>
      </c>
      <c r="D587" t="s">
        <v>175</v>
      </c>
      <c r="E587" t="s">
        <v>4812</v>
      </c>
      <c r="F587" t="s">
        <v>1061</v>
      </c>
      <c r="G587" t="s">
        <v>2643</v>
      </c>
      <c r="H587">
        <v>25462700000000</v>
      </c>
      <c r="I587">
        <v>4682039413.6473999</v>
      </c>
      <c r="J587">
        <v>171.12132365529999</v>
      </c>
      <c r="S587">
        <v>225.35803540000001</v>
      </c>
      <c r="T587">
        <v>121.3</v>
      </c>
      <c r="U587" t="s">
        <v>2644</v>
      </c>
    </row>
    <row r="588" spans="1:21" x14ac:dyDescent="0.25">
      <c r="A588" t="s">
        <v>2160</v>
      </c>
      <c r="B588" t="s">
        <v>702</v>
      </c>
      <c r="C588" t="s">
        <v>701</v>
      </c>
      <c r="D588" t="s">
        <v>586</v>
      </c>
      <c r="E588" t="s">
        <v>1056</v>
      </c>
      <c r="F588" t="s">
        <v>1136</v>
      </c>
      <c r="G588" t="s">
        <v>2148</v>
      </c>
      <c r="H588" t="s">
        <v>90</v>
      </c>
      <c r="I588" t="s">
        <v>90</v>
      </c>
      <c r="J588">
        <v>376.18007008000001</v>
      </c>
      <c r="K588">
        <v>5.6137448799999996</v>
      </c>
      <c r="L588">
        <v>5.1108065500000004</v>
      </c>
      <c r="M588">
        <v>5.0678725</v>
      </c>
      <c r="N588">
        <v>4.9389336500000001</v>
      </c>
      <c r="O588">
        <v>16.01381968103253</v>
      </c>
      <c r="P588">
        <v>655.58689182000001</v>
      </c>
      <c r="Q588">
        <v>15.14840780552499</v>
      </c>
      <c r="R588" t="s">
        <v>1063</v>
      </c>
      <c r="S588">
        <v>376.18007008000001</v>
      </c>
      <c r="T588" t="s">
        <v>2819</v>
      </c>
      <c r="U588" t="s">
        <v>1059</v>
      </c>
    </row>
    <row r="589" spans="1:21" x14ac:dyDescent="0.25">
      <c r="A589" t="s">
        <v>1057</v>
      </c>
      <c r="B589" t="s">
        <v>900</v>
      </c>
      <c r="C589" t="s">
        <v>899</v>
      </c>
      <c r="D589" t="s">
        <v>175</v>
      </c>
      <c r="E589" t="s">
        <v>4812</v>
      </c>
      <c r="F589" t="s">
        <v>1061</v>
      </c>
      <c r="G589" t="s">
        <v>2643</v>
      </c>
      <c r="H589">
        <v>25462700000000</v>
      </c>
      <c r="I589">
        <v>4682039413.6473999</v>
      </c>
      <c r="J589">
        <v>171.12132365529999</v>
      </c>
      <c r="S589">
        <v>225.35803540000001</v>
      </c>
      <c r="T589">
        <v>121.3</v>
      </c>
      <c r="U589" t="s">
        <v>2644</v>
      </c>
    </row>
    <row r="590" spans="1:21" x14ac:dyDescent="0.25">
      <c r="A590" t="s">
        <v>1057</v>
      </c>
      <c r="B590" t="s">
        <v>2710</v>
      </c>
      <c r="C590" t="s">
        <v>2948</v>
      </c>
      <c r="D590" t="s">
        <v>175</v>
      </c>
      <c r="E590" t="s">
        <v>4812</v>
      </c>
      <c r="F590" t="s">
        <v>1061</v>
      </c>
      <c r="G590" t="s">
        <v>2643</v>
      </c>
      <c r="H590">
        <v>25462700000000</v>
      </c>
      <c r="I590">
        <v>4682039413.6473999</v>
      </c>
      <c r="J590">
        <v>171.12132365529999</v>
      </c>
      <c r="S590">
        <v>225.35803540000001</v>
      </c>
      <c r="T590">
        <v>121.3</v>
      </c>
      <c r="U590" t="s">
        <v>2644</v>
      </c>
    </row>
    <row r="591" spans="1:21" x14ac:dyDescent="0.25">
      <c r="A591" t="s">
        <v>1057</v>
      </c>
      <c r="B591" t="s">
        <v>2711</v>
      </c>
      <c r="C591" t="s">
        <v>2950</v>
      </c>
      <c r="D591" t="s">
        <v>175</v>
      </c>
      <c r="E591" t="s">
        <v>4812</v>
      </c>
      <c r="F591" t="s">
        <v>1061</v>
      </c>
      <c r="G591" t="s">
        <v>2643</v>
      </c>
      <c r="H591">
        <v>25462700000000</v>
      </c>
      <c r="I591">
        <v>4682039413.6473999</v>
      </c>
      <c r="J591">
        <v>171.12132365529999</v>
      </c>
      <c r="S591">
        <v>225.35803540000001</v>
      </c>
      <c r="T591">
        <v>121.3</v>
      </c>
      <c r="U591" t="s">
        <v>2644</v>
      </c>
    </row>
    <row r="592" spans="1:21" x14ac:dyDescent="0.25">
      <c r="A592" t="s">
        <v>2161</v>
      </c>
      <c r="B592" t="s">
        <v>2162</v>
      </c>
      <c r="C592" t="s">
        <v>2163</v>
      </c>
      <c r="D592" t="s">
        <v>586</v>
      </c>
      <c r="E592" t="s">
        <v>1056</v>
      </c>
      <c r="F592" t="s">
        <v>1136</v>
      </c>
      <c r="G592" t="s">
        <v>1494</v>
      </c>
      <c r="H592" t="s">
        <v>90</v>
      </c>
      <c r="I592" t="s">
        <v>90</v>
      </c>
      <c r="J592">
        <v>742.46447468999997</v>
      </c>
      <c r="K592">
        <v>4.4224578499999998</v>
      </c>
      <c r="L592">
        <v>5.3956734300000004</v>
      </c>
      <c r="M592">
        <v>5.9086587599999998</v>
      </c>
      <c r="N592">
        <v>5.67064652</v>
      </c>
      <c r="O592">
        <v>0</v>
      </c>
      <c r="Q592">
        <v>0</v>
      </c>
      <c r="R592" t="s">
        <v>1063</v>
      </c>
      <c r="S592">
        <v>742.46447468999997</v>
      </c>
      <c r="T592" t="s">
        <v>2819</v>
      </c>
      <c r="U592" t="s">
        <v>1278</v>
      </c>
    </row>
    <row r="593" spans="1:21" x14ac:dyDescent="0.25">
      <c r="A593" t="s">
        <v>1057</v>
      </c>
      <c r="B593" t="s">
        <v>2712</v>
      </c>
      <c r="C593" t="s">
        <v>2952</v>
      </c>
      <c r="D593" t="s">
        <v>175</v>
      </c>
      <c r="E593" t="s">
        <v>4812</v>
      </c>
      <c r="F593" t="s">
        <v>1061</v>
      </c>
      <c r="G593" t="s">
        <v>2643</v>
      </c>
      <c r="H593">
        <v>25462700000000</v>
      </c>
      <c r="I593">
        <v>4682039413.6473999</v>
      </c>
      <c r="J593">
        <v>171.12132365529999</v>
      </c>
      <c r="S593">
        <v>225.35803540000001</v>
      </c>
      <c r="T593">
        <v>121.3</v>
      </c>
      <c r="U593" t="s">
        <v>2644</v>
      </c>
    </row>
    <row r="594" spans="1:21" x14ac:dyDescent="0.25">
      <c r="A594" t="s">
        <v>2165</v>
      </c>
      <c r="B594" t="s">
        <v>2166</v>
      </c>
      <c r="C594" t="s">
        <v>2167</v>
      </c>
      <c r="D594" t="s">
        <v>586</v>
      </c>
      <c r="E594" t="s">
        <v>1056</v>
      </c>
      <c r="F594" t="s">
        <v>1136</v>
      </c>
      <c r="G594" t="s">
        <v>2148</v>
      </c>
      <c r="H594" t="s">
        <v>90</v>
      </c>
      <c r="I594" t="s">
        <v>90</v>
      </c>
      <c r="J594">
        <v>167.75113766000001</v>
      </c>
      <c r="K594">
        <v>5.4838244899999999</v>
      </c>
      <c r="L594">
        <v>5.3560640299999998</v>
      </c>
      <c r="M594">
        <v>5.3198583599999996</v>
      </c>
      <c r="N594">
        <v>4.3050056000000003</v>
      </c>
      <c r="O594">
        <v>17.639080624364588</v>
      </c>
      <c r="P594">
        <v>250.30000953000001</v>
      </c>
      <c r="Q594">
        <v>9.0869035218334542</v>
      </c>
      <c r="R594" t="s">
        <v>1063</v>
      </c>
      <c r="S594">
        <v>167.75113766000001</v>
      </c>
      <c r="T594" t="s">
        <v>2819</v>
      </c>
      <c r="U594" t="s">
        <v>1059</v>
      </c>
    </row>
    <row r="595" spans="1:21" x14ac:dyDescent="0.25">
      <c r="A595" t="s">
        <v>1057</v>
      </c>
      <c r="B595" t="s">
        <v>898</v>
      </c>
      <c r="C595" t="s">
        <v>897</v>
      </c>
      <c r="D595" t="s">
        <v>175</v>
      </c>
      <c r="E595" t="s">
        <v>4812</v>
      </c>
      <c r="F595" t="s">
        <v>1061</v>
      </c>
      <c r="G595" t="s">
        <v>2643</v>
      </c>
      <c r="H595">
        <v>25462700000000</v>
      </c>
      <c r="I595">
        <v>4682039413.6473999</v>
      </c>
      <c r="J595">
        <v>171.12132365529999</v>
      </c>
      <c r="S595">
        <v>225.35803540000001</v>
      </c>
      <c r="T595">
        <v>121.3</v>
      </c>
      <c r="U595" t="s">
        <v>2644</v>
      </c>
    </row>
    <row r="596" spans="1:21" x14ac:dyDescent="0.25">
      <c r="A596" t="s">
        <v>2165</v>
      </c>
      <c r="B596" t="s">
        <v>2166</v>
      </c>
      <c r="C596" t="s">
        <v>2168</v>
      </c>
      <c r="D596" t="s">
        <v>586</v>
      </c>
      <c r="E596" t="s">
        <v>1056</v>
      </c>
      <c r="F596" t="s">
        <v>1136</v>
      </c>
      <c r="G596" t="s">
        <v>2148</v>
      </c>
      <c r="H596" t="s">
        <v>90</v>
      </c>
      <c r="I596" t="s">
        <v>90</v>
      </c>
      <c r="J596">
        <v>167.75113766000001</v>
      </c>
      <c r="K596">
        <v>5.4838244899999999</v>
      </c>
      <c r="L596">
        <v>5.3560640299999998</v>
      </c>
      <c r="M596">
        <v>5.3198583599999996</v>
      </c>
      <c r="N596">
        <v>4.3050056000000003</v>
      </c>
      <c r="O596">
        <v>17.639080624364588</v>
      </c>
      <c r="P596">
        <v>250.30000953000001</v>
      </c>
      <c r="Q596">
        <v>9.0869035218334542</v>
      </c>
      <c r="R596" t="s">
        <v>1063</v>
      </c>
      <c r="S596">
        <v>167.75113766000001</v>
      </c>
      <c r="T596" t="s">
        <v>2819</v>
      </c>
      <c r="U596" t="s">
        <v>1059</v>
      </c>
    </row>
    <row r="597" spans="1:21" x14ac:dyDescent="0.25">
      <c r="A597" t="s">
        <v>2169</v>
      </c>
      <c r="B597" t="s">
        <v>2170</v>
      </c>
      <c r="C597" t="s">
        <v>2171</v>
      </c>
      <c r="D597" t="s">
        <v>586</v>
      </c>
      <c r="E597" t="s">
        <v>1056</v>
      </c>
      <c r="F597" t="s">
        <v>1057</v>
      </c>
      <c r="G597" t="s">
        <v>1671</v>
      </c>
      <c r="H597" t="s">
        <v>90</v>
      </c>
      <c r="I597" t="s">
        <v>90</v>
      </c>
      <c r="J597">
        <v>0.30975339000000002</v>
      </c>
      <c r="K597">
        <v>7.8606354100000004</v>
      </c>
      <c r="L597">
        <v>7.9704972700000001</v>
      </c>
      <c r="M597">
        <v>4.5453592599999997</v>
      </c>
      <c r="N597">
        <v>6.6422371</v>
      </c>
      <c r="O597">
        <v>20.5956135321101</v>
      </c>
      <c r="P597">
        <v>1.9686029199999999</v>
      </c>
      <c r="Q597">
        <v>31.519375955657491</v>
      </c>
      <c r="R597" t="s">
        <v>1073</v>
      </c>
      <c r="S597">
        <v>0.30975339000000002</v>
      </c>
      <c r="T597" t="s">
        <v>2819</v>
      </c>
      <c r="U597" t="s">
        <v>1059</v>
      </c>
    </row>
    <row r="598" spans="1:21" x14ac:dyDescent="0.25">
      <c r="A598" t="s">
        <v>1057</v>
      </c>
      <c r="B598" t="s">
        <v>5084</v>
      </c>
      <c r="C598" t="s">
        <v>5085</v>
      </c>
      <c r="D598" t="s">
        <v>175</v>
      </c>
      <c r="E598" t="s">
        <v>4812</v>
      </c>
      <c r="F598" t="s">
        <v>1061</v>
      </c>
      <c r="G598" t="s">
        <v>2643</v>
      </c>
      <c r="H598">
        <v>25462700000000</v>
      </c>
      <c r="I598">
        <v>4682039413.6473999</v>
      </c>
      <c r="J598">
        <v>171.12132365529999</v>
      </c>
      <c r="S598">
        <v>225.35803540000001</v>
      </c>
      <c r="T598">
        <v>121.3</v>
      </c>
      <c r="U598" t="s">
        <v>2644</v>
      </c>
    </row>
    <row r="599" spans="1:21" x14ac:dyDescent="0.25">
      <c r="A599" t="s">
        <v>1057</v>
      </c>
      <c r="B599" t="s">
        <v>5086</v>
      </c>
      <c r="C599" t="s">
        <v>5087</v>
      </c>
      <c r="D599" t="s">
        <v>175</v>
      </c>
      <c r="E599" t="s">
        <v>4812</v>
      </c>
      <c r="F599" t="s">
        <v>1061</v>
      </c>
      <c r="G599" t="s">
        <v>2643</v>
      </c>
      <c r="H599">
        <v>25462700000000</v>
      </c>
      <c r="I599">
        <v>4682039413.6473999</v>
      </c>
      <c r="J599">
        <v>171.12132365529999</v>
      </c>
      <c r="S599">
        <v>225.35803540000001</v>
      </c>
      <c r="T599">
        <v>121.3</v>
      </c>
      <c r="U599" t="s">
        <v>2644</v>
      </c>
    </row>
    <row r="600" spans="1:21" x14ac:dyDescent="0.25">
      <c r="A600" t="s">
        <v>2172</v>
      </c>
      <c r="B600" t="s">
        <v>632</v>
      </c>
      <c r="C600" t="s">
        <v>631</v>
      </c>
      <c r="D600" t="s">
        <v>586</v>
      </c>
      <c r="E600" t="s">
        <v>1056</v>
      </c>
      <c r="F600" t="s">
        <v>1290</v>
      </c>
      <c r="G600" t="s">
        <v>1291</v>
      </c>
      <c r="H600" t="s">
        <v>90</v>
      </c>
      <c r="I600" t="s">
        <v>90</v>
      </c>
      <c r="J600">
        <v>74.789508609999999</v>
      </c>
      <c r="K600">
        <v>5.9756247199999999</v>
      </c>
      <c r="L600">
        <v>5.8428591499999998</v>
      </c>
      <c r="M600">
        <v>5.1082293700000001</v>
      </c>
      <c r="N600">
        <v>4.5255537199999996</v>
      </c>
      <c r="O600">
        <v>33.678487193687189</v>
      </c>
      <c r="P600">
        <v>88.812480100000002</v>
      </c>
      <c r="Q600">
        <v>5.2198706964706956</v>
      </c>
      <c r="R600" t="s">
        <v>30</v>
      </c>
      <c r="S600">
        <v>74.789508609999999</v>
      </c>
      <c r="T600" t="s">
        <v>2819</v>
      </c>
      <c r="U600" t="s">
        <v>1059</v>
      </c>
    </row>
    <row r="601" spans="1:21" x14ac:dyDescent="0.25">
      <c r="A601" t="s">
        <v>2173</v>
      </c>
      <c r="B601" t="s">
        <v>2174</v>
      </c>
      <c r="C601" t="s">
        <v>2175</v>
      </c>
      <c r="D601" t="s">
        <v>586</v>
      </c>
      <c r="E601" t="s">
        <v>1056</v>
      </c>
      <c r="F601" t="s">
        <v>1689</v>
      </c>
      <c r="G601" t="s">
        <v>1690</v>
      </c>
      <c r="H601" t="s">
        <v>90</v>
      </c>
      <c r="I601" t="s">
        <v>90</v>
      </c>
      <c r="J601">
        <v>18.874178950000001</v>
      </c>
      <c r="K601">
        <v>8.2701546399999994</v>
      </c>
      <c r="L601">
        <v>6.2205626900000004</v>
      </c>
      <c r="M601">
        <v>5.5778553799999999</v>
      </c>
      <c r="N601">
        <v>7.0807873700000004</v>
      </c>
      <c r="O601">
        <v>9.3067906932093063</v>
      </c>
      <c r="P601">
        <v>58.095839859999998</v>
      </c>
      <c r="Q601">
        <v>63.726536273463729</v>
      </c>
      <c r="R601" t="s">
        <v>1073</v>
      </c>
      <c r="S601">
        <v>18.874178950000001</v>
      </c>
      <c r="T601" t="s">
        <v>2819</v>
      </c>
      <c r="U601" t="s">
        <v>1059</v>
      </c>
    </row>
    <row r="602" spans="1:21" x14ac:dyDescent="0.25">
      <c r="A602" t="s">
        <v>1057</v>
      </c>
      <c r="B602" t="s">
        <v>5417</v>
      </c>
      <c r="C602" t="s">
        <v>5418</v>
      </c>
      <c r="D602" t="s">
        <v>175</v>
      </c>
      <c r="E602" t="s">
        <v>4812</v>
      </c>
      <c r="F602" t="s">
        <v>1061</v>
      </c>
      <c r="G602" t="s">
        <v>2643</v>
      </c>
      <c r="H602">
        <v>25462700000000</v>
      </c>
      <c r="I602">
        <v>4682039413.6473999</v>
      </c>
      <c r="J602">
        <v>171.12132365529999</v>
      </c>
      <c r="S602">
        <v>225.35803540000001</v>
      </c>
      <c r="T602">
        <v>121.3</v>
      </c>
      <c r="U602" t="s">
        <v>2644</v>
      </c>
    </row>
    <row r="603" spans="1:21" x14ac:dyDescent="0.25">
      <c r="A603" t="s">
        <v>1057</v>
      </c>
      <c r="B603" t="s">
        <v>5811</v>
      </c>
      <c r="C603" t="s">
        <v>5812</v>
      </c>
      <c r="D603" t="s">
        <v>175</v>
      </c>
      <c r="E603" t="s">
        <v>4812</v>
      </c>
      <c r="F603" t="s">
        <v>1061</v>
      </c>
      <c r="G603" t="s">
        <v>2643</v>
      </c>
      <c r="H603">
        <v>25462700000000</v>
      </c>
      <c r="I603">
        <v>4682039413.6473999</v>
      </c>
      <c r="J603">
        <v>171.12132365529999</v>
      </c>
      <c r="S603">
        <v>225.35803540000001</v>
      </c>
      <c r="T603">
        <v>121.3</v>
      </c>
      <c r="U603" t="s">
        <v>2644</v>
      </c>
    </row>
    <row r="604" spans="1:21" x14ac:dyDescent="0.25">
      <c r="A604" t="s">
        <v>2173</v>
      </c>
      <c r="B604" t="s">
        <v>2174</v>
      </c>
      <c r="C604" t="s">
        <v>2176</v>
      </c>
      <c r="D604" t="s">
        <v>586</v>
      </c>
      <c r="E604" t="s">
        <v>1056</v>
      </c>
      <c r="F604" t="s">
        <v>1689</v>
      </c>
      <c r="G604" t="s">
        <v>1690</v>
      </c>
      <c r="H604" t="s">
        <v>90</v>
      </c>
      <c r="I604" t="s">
        <v>90</v>
      </c>
      <c r="J604">
        <v>18.874178950000001</v>
      </c>
      <c r="K604">
        <v>8.2701546399999994</v>
      </c>
      <c r="L604">
        <v>6.2205626900000004</v>
      </c>
      <c r="M604">
        <v>5.5778553799999999</v>
      </c>
      <c r="N604">
        <v>7.0807873700000004</v>
      </c>
      <c r="O604">
        <v>9.3067906932093063</v>
      </c>
      <c r="P604">
        <v>58.095839859999998</v>
      </c>
      <c r="Q604">
        <v>63.726536273463729</v>
      </c>
      <c r="R604" t="s">
        <v>1073</v>
      </c>
      <c r="S604">
        <v>18.874178950000001</v>
      </c>
      <c r="T604" t="s">
        <v>2819</v>
      </c>
      <c r="U604" t="s">
        <v>1059</v>
      </c>
    </row>
    <row r="605" spans="1:21" x14ac:dyDescent="0.25">
      <c r="A605" t="s">
        <v>5088</v>
      </c>
      <c r="B605" t="s">
        <v>2177</v>
      </c>
      <c r="C605" t="s">
        <v>2178</v>
      </c>
      <c r="D605" t="s">
        <v>586</v>
      </c>
      <c r="E605" t="s">
        <v>1056</v>
      </c>
      <c r="F605" t="s">
        <v>1375</v>
      </c>
      <c r="G605" t="s">
        <v>1376</v>
      </c>
      <c r="H605" t="s">
        <v>90</v>
      </c>
      <c r="I605" t="s">
        <v>90</v>
      </c>
      <c r="J605">
        <v>34.266297100000003</v>
      </c>
      <c r="K605">
        <v>6.7083399999999997</v>
      </c>
      <c r="L605">
        <v>5.1354256300000003</v>
      </c>
      <c r="M605">
        <v>5.5419465399999996</v>
      </c>
      <c r="N605">
        <v>5.3904785300000002</v>
      </c>
      <c r="O605">
        <v>2.740088491349812</v>
      </c>
      <c r="P605">
        <v>77.284954999999997</v>
      </c>
      <c r="Q605">
        <v>18.490176027756998</v>
      </c>
      <c r="R605" t="s">
        <v>30</v>
      </c>
      <c r="S605">
        <v>34.266297100000003</v>
      </c>
      <c r="T605" t="s">
        <v>2819</v>
      </c>
      <c r="U605" t="s">
        <v>1059</v>
      </c>
    </row>
    <row r="606" spans="1:21" x14ac:dyDescent="0.25">
      <c r="A606" t="s">
        <v>1057</v>
      </c>
      <c r="B606" t="s">
        <v>2713</v>
      </c>
      <c r="C606" t="s">
        <v>2989</v>
      </c>
      <c r="D606" t="s">
        <v>175</v>
      </c>
      <c r="E606" t="s">
        <v>4812</v>
      </c>
      <c r="F606" t="s">
        <v>1061</v>
      </c>
      <c r="G606" t="s">
        <v>2643</v>
      </c>
      <c r="H606">
        <v>25462700000000</v>
      </c>
      <c r="I606">
        <v>4682039413.6473999</v>
      </c>
      <c r="J606">
        <v>171.12132365529999</v>
      </c>
      <c r="S606">
        <v>225.35803540000001</v>
      </c>
      <c r="T606">
        <v>121.3</v>
      </c>
      <c r="U606" t="s">
        <v>2644</v>
      </c>
    </row>
    <row r="607" spans="1:21" x14ac:dyDescent="0.25">
      <c r="A607" t="s">
        <v>5762</v>
      </c>
      <c r="B607" t="s">
        <v>2179</v>
      </c>
      <c r="C607" t="s">
        <v>2180</v>
      </c>
      <c r="D607" t="s">
        <v>586</v>
      </c>
      <c r="E607" t="s">
        <v>1056</v>
      </c>
      <c r="F607" t="s">
        <v>1071</v>
      </c>
      <c r="G607" t="s">
        <v>1155</v>
      </c>
      <c r="H607" t="s">
        <v>90</v>
      </c>
      <c r="I607" t="s">
        <v>90</v>
      </c>
      <c r="J607">
        <v>4.3688734599999997</v>
      </c>
      <c r="K607">
        <v>6.3823488599999996</v>
      </c>
      <c r="L607">
        <v>6.61715125</v>
      </c>
      <c r="M607">
        <v>4.4716215300000002</v>
      </c>
      <c r="N607">
        <v>6.0306350100000001</v>
      </c>
      <c r="O607">
        <v>56.527804305369877</v>
      </c>
      <c r="P607">
        <v>16.867918020000001</v>
      </c>
      <c r="Q607">
        <v>42.338103633274557</v>
      </c>
      <c r="R607" t="s">
        <v>30</v>
      </c>
      <c r="S607">
        <v>4.3688734599999997</v>
      </c>
      <c r="T607" t="s">
        <v>2819</v>
      </c>
      <c r="U607" t="s">
        <v>1059</v>
      </c>
    </row>
    <row r="608" spans="1:21" x14ac:dyDescent="0.25">
      <c r="A608" t="s">
        <v>1057</v>
      </c>
      <c r="B608" t="s">
        <v>2714</v>
      </c>
      <c r="C608" t="s">
        <v>2993</v>
      </c>
      <c r="D608" t="s">
        <v>175</v>
      </c>
      <c r="E608" t="s">
        <v>4812</v>
      </c>
      <c r="F608" t="s">
        <v>1061</v>
      </c>
      <c r="G608" t="s">
        <v>2643</v>
      </c>
      <c r="H608">
        <v>25462700000000</v>
      </c>
      <c r="I608">
        <v>4682039413.6473999</v>
      </c>
      <c r="J608">
        <v>171.12132365529999</v>
      </c>
      <c r="S608">
        <v>225.35803540000001</v>
      </c>
      <c r="T608">
        <v>121.3</v>
      </c>
      <c r="U608" t="s">
        <v>2644</v>
      </c>
    </row>
    <row r="609" spans="1:21" x14ac:dyDescent="0.25">
      <c r="A609" t="s">
        <v>2181</v>
      </c>
      <c r="B609" t="s">
        <v>2182</v>
      </c>
      <c r="C609" t="s">
        <v>2183</v>
      </c>
      <c r="D609" t="s">
        <v>586</v>
      </c>
      <c r="E609" t="s">
        <v>1056</v>
      </c>
      <c r="F609" t="s">
        <v>1071</v>
      </c>
      <c r="G609" t="s">
        <v>2184</v>
      </c>
      <c r="H609" t="s">
        <v>90</v>
      </c>
      <c r="I609" t="s">
        <v>90</v>
      </c>
      <c r="J609">
        <v>37.617285129999999</v>
      </c>
      <c r="K609">
        <v>6.8282626999999998</v>
      </c>
      <c r="L609">
        <v>6.1990692799999998</v>
      </c>
      <c r="M609">
        <v>5.1519766000000002</v>
      </c>
      <c r="N609">
        <v>5.91427485</v>
      </c>
      <c r="O609">
        <v>32.174022914593017</v>
      </c>
      <c r="P609">
        <v>96.083674049999999</v>
      </c>
      <c r="Q609">
        <v>25.966875673512739</v>
      </c>
      <c r="R609" t="s">
        <v>30</v>
      </c>
      <c r="S609">
        <v>37.617285129999999</v>
      </c>
      <c r="T609" t="s">
        <v>2819</v>
      </c>
      <c r="U609" t="s">
        <v>1059</v>
      </c>
    </row>
    <row r="610" spans="1:21" x14ac:dyDescent="0.25">
      <c r="A610" t="s">
        <v>1057</v>
      </c>
      <c r="B610" t="s">
        <v>2715</v>
      </c>
      <c r="C610" t="s">
        <v>2987</v>
      </c>
      <c r="D610" t="s">
        <v>175</v>
      </c>
      <c r="E610" t="s">
        <v>4812</v>
      </c>
      <c r="F610" t="s">
        <v>1061</v>
      </c>
      <c r="G610" t="s">
        <v>2643</v>
      </c>
      <c r="H610">
        <v>25462700000000</v>
      </c>
      <c r="I610">
        <v>4682039413.6473999</v>
      </c>
      <c r="J610">
        <v>171.12132365529999</v>
      </c>
      <c r="S610">
        <v>225.35803540000001</v>
      </c>
      <c r="T610">
        <v>121.3</v>
      </c>
      <c r="U610" t="s">
        <v>2644</v>
      </c>
    </row>
    <row r="611" spans="1:21" x14ac:dyDescent="0.25">
      <c r="A611" t="s">
        <v>5813</v>
      </c>
      <c r="B611" t="s">
        <v>5814</v>
      </c>
      <c r="C611" t="s">
        <v>5815</v>
      </c>
      <c r="D611" t="s">
        <v>586</v>
      </c>
      <c r="E611" t="s">
        <v>1056</v>
      </c>
      <c r="F611" t="s">
        <v>2247</v>
      </c>
      <c r="G611" t="s">
        <v>1574</v>
      </c>
      <c r="H611" t="s">
        <v>90</v>
      </c>
      <c r="I611" t="s">
        <v>90</v>
      </c>
      <c r="J611">
        <v>80.042265709999995</v>
      </c>
      <c r="K611">
        <v>4.6870867499999997</v>
      </c>
      <c r="L611">
        <v>4.5511852199999998</v>
      </c>
      <c r="M611">
        <v>4.8412237600000001</v>
      </c>
      <c r="N611">
        <v>4.4298518900000001</v>
      </c>
      <c r="O611">
        <v>0</v>
      </c>
      <c r="P611">
        <v>471.32939924999999</v>
      </c>
      <c r="Q611">
        <v>13.883416140494489</v>
      </c>
      <c r="R611" t="s">
        <v>1063</v>
      </c>
      <c r="S611">
        <v>80.042265709999995</v>
      </c>
      <c r="T611" t="s">
        <v>2819</v>
      </c>
      <c r="U611" t="s">
        <v>1059</v>
      </c>
    </row>
    <row r="612" spans="1:21" x14ac:dyDescent="0.25">
      <c r="A612" t="s">
        <v>1057</v>
      </c>
      <c r="B612" t="s">
        <v>2716</v>
      </c>
      <c r="C612" t="s">
        <v>2957</v>
      </c>
      <c r="D612" t="s">
        <v>175</v>
      </c>
      <c r="E612" t="s">
        <v>4812</v>
      </c>
      <c r="F612" t="s">
        <v>1061</v>
      </c>
      <c r="G612" t="s">
        <v>2643</v>
      </c>
      <c r="H612">
        <v>25462700000000</v>
      </c>
      <c r="I612">
        <v>4682039413.6473999</v>
      </c>
      <c r="J612">
        <v>171.12132365529999</v>
      </c>
      <c r="S612">
        <v>225.35803540000001</v>
      </c>
      <c r="T612">
        <v>121.3</v>
      </c>
      <c r="U612" t="s">
        <v>2644</v>
      </c>
    </row>
    <row r="613" spans="1:21" x14ac:dyDescent="0.25">
      <c r="A613" t="s">
        <v>2185</v>
      </c>
      <c r="B613" t="s">
        <v>2186</v>
      </c>
      <c r="C613" t="s">
        <v>2187</v>
      </c>
      <c r="D613" t="s">
        <v>586</v>
      </c>
      <c r="E613" t="s">
        <v>1056</v>
      </c>
      <c r="F613" t="s">
        <v>1766</v>
      </c>
      <c r="G613" t="s">
        <v>2188</v>
      </c>
      <c r="H613" t="s">
        <v>90</v>
      </c>
      <c r="I613" t="s">
        <v>90</v>
      </c>
      <c r="J613">
        <v>292.66603215999999</v>
      </c>
      <c r="K613">
        <v>5.0105799700000002</v>
      </c>
      <c r="L613">
        <v>4.9437160200000001</v>
      </c>
      <c r="M613">
        <v>5.00629101</v>
      </c>
      <c r="N613">
        <v>4.5954507600000003</v>
      </c>
      <c r="O613">
        <v>11.780202650197349</v>
      </c>
      <c r="P613">
        <v>524.35964778000005</v>
      </c>
      <c r="Q613">
        <v>9.9288822831177193</v>
      </c>
      <c r="R613" t="s">
        <v>1063</v>
      </c>
      <c r="S613">
        <v>292.66603215999999</v>
      </c>
      <c r="T613" t="s">
        <v>2819</v>
      </c>
      <c r="U613" t="s">
        <v>1059</v>
      </c>
    </row>
    <row r="614" spans="1:21" x14ac:dyDescent="0.25">
      <c r="A614" t="s">
        <v>1057</v>
      </c>
      <c r="B614" t="s">
        <v>2717</v>
      </c>
      <c r="C614" t="s">
        <v>4813</v>
      </c>
      <c r="D614" t="s">
        <v>175</v>
      </c>
      <c r="E614" t="s">
        <v>4812</v>
      </c>
      <c r="F614" t="s">
        <v>1061</v>
      </c>
      <c r="G614" t="s">
        <v>2643</v>
      </c>
      <c r="H614">
        <v>25462700000000</v>
      </c>
      <c r="I614">
        <v>4682039413.6473999</v>
      </c>
      <c r="J614">
        <v>171.12132365529999</v>
      </c>
      <c r="S614">
        <v>225.35803540000001</v>
      </c>
      <c r="T614">
        <v>121.3</v>
      </c>
      <c r="U614" t="s">
        <v>2644</v>
      </c>
    </row>
    <row r="615" spans="1:21" x14ac:dyDescent="0.25">
      <c r="A615" t="s">
        <v>1057</v>
      </c>
      <c r="B615" t="s">
        <v>902</v>
      </c>
      <c r="C615" t="s">
        <v>901</v>
      </c>
      <c r="D615" t="s">
        <v>175</v>
      </c>
      <c r="E615" t="s">
        <v>4812</v>
      </c>
      <c r="F615" t="s">
        <v>1061</v>
      </c>
      <c r="G615" t="s">
        <v>2643</v>
      </c>
      <c r="H615">
        <v>25462700000000</v>
      </c>
      <c r="I615">
        <v>4682039413.6473999</v>
      </c>
      <c r="J615">
        <v>171.12132365529999</v>
      </c>
      <c r="S615">
        <v>225.35803540000001</v>
      </c>
      <c r="T615">
        <v>121.3</v>
      </c>
      <c r="U615" t="s">
        <v>2644</v>
      </c>
    </row>
    <row r="616" spans="1:21" x14ac:dyDescent="0.25">
      <c r="A616" t="s">
        <v>2189</v>
      </c>
      <c r="B616" t="s">
        <v>2190</v>
      </c>
      <c r="C616" t="s">
        <v>2191</v>
      </c>
      <c r="D616" t="s">
        <v>586</v>
      </c>
      <c r="E616" t="s">
        <v>1056</v>
      </c>
      <c r="F616" t="s">
        <v>1163</v>
      </c>
      <c r="G616" t="s">
        <v>1164</v>
      </c>
      <c r="H616" t="s">
        <v>90</v>
      </c>
      <c r="I616" t="s">
        <v>90</v>
      </c>
      <c r="J616">
        <v>25.099526659999999</v>
      </c>
      <c r="K616">
        <v>8.2952735299999993</v>
      </c>
      <c r="L616">
        <v>6.4146273000000003</v>
      </c>
      <c r="M616">
        <v>5.7847808699999996</v>
      </c>
      <c r="N616">
        <v>6.9270776100000004</v>
      </c>
      <c r="O616">
        <v>19.31321931321931</v>
      </c>
      <c r="P616">
        <v>77.74613549</v>
      </c>
      <c r="Q616">
        <v>58.085158085158092</v>
      </c>
      <c r="R616" t="s">
        <v>1073</v>
      </c>
      <c r="S616">
        <v>25.099526659999999</v>
      </c>
      <c r="T616" t="s">
        <v>2819</v>
      </c>
      <c r="U616" t="s">
        <v>1059</v>
      </c>
    </row>
    <row r="617" spans="1:21" x14ac:dyDescent="0.25">
      <c r="A617" t="s">
        <v>5348</v>
      </c>
      <c r="B617" t="s">
        <v>5349</v>
      </c>
      <c r="C617" t="s">
        <v>5350</v>
      </c>
      <c r="D617" t="s">
        <v>586</v>
      </c>
      <c r="E617" t="s">
        <v>1056</v>
      </c>
      <c r="F617" t="s">
        <v>1501</v>
      </c>
      <c r="G617" t="s">
        <v>1502</v>
      </c>
      <c r="H617" t="s">
        <v>90</v>
      </c>
      <c r="I617" t="s">
        <v>90</v>
      </c>
      <c r="J617">
        <v>197.55172223</v>
      </c>
      <c r="K617">
        <v>5.8039959100000003</v>
      </c>
      <c r="L617">
        <v>5.0222764499999997</v>
      </c>
      <c r="M617">
        <v>4.5197863600000003</v>
      </c>
      <c r="N617">
        <v>5.3772710200000002</v>
      </c>
      <c r="O617">
        <v>17.251917251917249</v>
      </c>
      <c r="P617">
        <v>635.16372645000001</v>
      </c>
      <c r="Q617">
        <v>29.608829608829609</v>
      </c>
      <c r="R617" t="s">
        <v>30</v>
      </c>
      <c r="S617">
        <v>197.55172223</v>
      </c>
      <c r="T617" t="s">
        <v>2819</v>
      </c>
      <c r="U617" t="s">
        <v>1059</v>
      </c>
    </row>
    <row r="618" spans="1:21" x14ac:dyDescent="0.25">
      <c r="A618" t="s">
        <v>1057</v>
      </c>
      <c r="B618" t="s">
        <v>2718</v>
      </c>
      <c r="C618" t="s">
        <v>2949</v>
      </c>
      <c r="D618" t="s">
        <v>175</v>
      </c>
      <c r="E618" t="s">
        <v>4812</v>
      </c>
      <c r="F618" t="s">
        <v>1061</v>
      </c>
      <c r="G618" t="s">
        <v>2643</v>
      </c>
      <c r="H618">
        <v>25462700000000</v>
      </c>
      <c r="I618">
        <v>4682039413.6473999</v>
      </c>
      <c r="J618">
        <v>171.12132365529999</v>
      </c>
      <c r="S618">
        <v>225.35803540000001</v>
      </c>
      <c r="T618">
        <v>121.3</v>
      </c>
      <c r="U618" t="s">
        <v>2644</v>
      </c>
    </row>
    <row r="619" spans="1:21" x14ac:dyDescent="0.25">
      <c r="A619" t="s">
        <v>1057</v>
      </c>
      <c r="B619" t="s">
        <v>5089</v>
      </c>
      <c r="C619" t="s">
        <v>5090</v>
      </c>
      <c r="D619" t="s">
        <v>175</v>
      </c>
      <c r="E619" t="s">
        <v>4812</v>
      </c>
      <c r="F619" t="s">
        <v>1061</v>
      </c>
      <c r="G619" t="s">
        <v>2643</v>
      </c>
      <c r="H619">
        <v>25462700000000</v>
      </c>
      <c r="I619">
        <v>4682039413.6473999</v>
      </c>
      <c r="J619">
        <v>171.12132365529999</v>
      </c>
      <c r="S619">
        <v>225.35803540000001</v>
      </c>
      <c r="T619">
        <v>121.3</v>
      </c>
      <c r="U619" t="s">
        <v>2644</v>
      </c>
    </row>
    <row r="620" spans="1:21" x14ac:dyDescent="0.25">
      <c r="A620" t="s">
        <v>2193</v>
      </c>
      <c r="B620" t="s">
        <v>2194</v>
      </c>
      <c r="C620" t="s">
        <v>2195</v>
      </c>
      <c r="D620" t="s">
        <v>586</v>
      </c>
      <c r="E620" t="s">
        <v>1056</v>
      </c>
      <c r="F620" t="s">
        <v>1136</v>
      </c>
      <c r="G620" t="s">
        <v>1137</v>
      </c>
      <c r="H620" t="s">
        <v>90</v>
      </c>
      <c r="I620" t="s">
        <v>90</v>
      </c>
      <c r="J620">
        <v>22.661131449999999</v>
      </c>
      <c r="K620">
        <v>6.4667442199999998</v>
      </c>
      <c r="L620">
        <v>5.1766982400000003</v>
      </c>
      <c r="M620">
        <v>5.3655290600000001</v>
      </c>
      <c r="N620">
        <v>5.1217378199999999</v>
      </c>
      <c r="O620">
        <v>22.02045612327138</v>
      </c>
      <c r="P620">
        <v>73.094026439999993</v>
      </c>
      <c r="Q620">
        <v>13.394531468196639</v>
      </c>
      <c r="R620" t="s">
        <v>30</v>
      </c>
      <c r="S620">
        <v>22.661131449999999</v>
      </c>
      <c r="T620" t="s">
        <v>2819</v>
      </c>
      <c r="U620" t="s">
        <v>1059</v>
      </c>
    </row>
    <row r="621" spans="1:21" x14ac:dyDescent="0.25">
      <c r="A621" t="s">
        <v>1057</v>
      </c>
      <c r="B621" t="s">
        <v>4991</v>
      </c>
      <c r="C621" t="s">
        <v>4990</v>
      </c>
      <c r="D621" t="s">
        <v>175</v>
      </c>
      <c r="E621" t="s">
        <v>4812</v>
      </c>
      <c r="F621" t="s">
        <v>1061</v>
      </c>
      <c r="G621" t="s">
        <v>2643</v>
      </c>
      <c r="H621">
        <v>25462700000000</v>
      </c>
      <c r="I621">
        <v>4682039413.6473999</v>
      </c>
      <c r="J621">
        <v>171.12132365529999</v>
      </c>
      <c r="S621">
        <v>225.35803540000001</v>
      </c>
      <c r="T621">
        <v>121.3</v>
      </c>
      <c r="U621" t="s">
        <v>2644</v>
      </c>
    </row>
    <row r="622" spans="1:21" x14ac:dyDescent="0.25">
      <c r="A622" t="s">
        <v>2196</v>
      </c>
      <c r="B622" t="s">
        <v>2197</v>
      </c>
      <c r="C622" t="s">
        <v>2198</v>
      </c>
      <c r="D622" t="s">
        <v>586</v>
      </c>
      <c r="E622" t="s">
        <v>1056</v>
      </c>
      <c r="F622" t="s">
        <v>1071</v>
      </c>
      <c r="G622" t="s">
        <v>1856</v>
      </c>
      <c r="H622" t="s">
        <v>90</v>
      </c>
      <c r="I622" t="s">
        <v>90</v>
      </c>
      <c r="J622">
        <v>41.772090830000003</v>
      </c>
      <c r="K622">
        <v>6.1472080399999998</v>
      </c>
      <c r="L622">
        <v>5.3422774500000001</v>
      </c>
      <c r="M622">
        <v>4.7774597700000001</v>
      </c>
      <c r="N622">
        <v>5.8220584999999998</v>
      </c>
      <c r="O622">
        <v>18.12767310628826</v>
      </c>
      <c r="P622">
        <v>121.1302444</v>
      </c>
      <c r="Q622">
        <v>22.591941856407001</v>
      </c>
      <c r="R622" t="s">
        <v>30</v>
      </c>
      <c r="S622">
        <v>41.772090830000003</v>
      </c>
      <c r="T622" t="s">
        <v>2819</v>
      </c>
      <c r="U622" t="s">
        <v>1059</v>
      </c>
    </row>
    <row r="623" spans="1:21" x14ac:dyDescent="0.25">
      <c r="A623" t="s">
        <v>1057</v>
      </c>
      <c r="B623" t="s">
        <v>5271</v>
      </c>
      <c r="C623" t="s">
        <v>5272</v>
      </c>
      <c r="D623" t="s">
        <v>175</v>
      </c>
      <c r="E623" t="s">
        <v>4812</v>
      </c>
      <c r="F623" t="s">
        <v>1061</v>
      </c>
      <c r="G623" t="s">
        <v>2643</v>
      </c>
      <c r="H623">
        <v>25462700000000</v>
      </c>
      <c r="I623">
        <v>4682039413.6473999</v>
      </c>
      <c r="J623">
        <v>171.12132365529999</v>
      </c>
      <c r="S623">
        <v>225.35803540000001</v>
      </c>
      <c r="T623">
        <v>121.3</v>
      </c>
      <c r="U623" t="s">
        <v>2644</v>
      </c>
    </row>
    <row r="624" spans="1:21" x14ac:dyDescent="0.25">
      <c r="A624" t="s">
        <v>5419</v>
      </c>
      <c r="B624" t="s">
        <v>2199</v>
      </c>
      <c r="C624" t="s">
        <v>2200</v>
      </c>
      <c r="D624" t="s">
        <v>586</v>
      </c>
      <c r="E624" t="s">
        <v>1056</v>
      </c>
      <c r="F624" t="s">
        <v>1605</v>
      </c>
      <c r="G624" t="s">
        <v>2201</v>
      </c>
      <c r="H624" t="s">
        <v>90</v>
      </c>
      <c r="I624" t="s">
        <v>90</v>
      </c>
      <c r="J624">
        <v>69.547306039999995</v>
      </c>
      <c r="K624">
        <v>4.1038199999999998</v>
      </c>
      <c r="L624">
        <v>4.4380461499999999</v>
      </c>
      <c r="M624">
        <v>4.5662370299999999</v>
      </c>
      <c r="N624">
        <v>4.5975023000000004</v>
      </c>
      <c r="O624">
        <v>3.9221563126172949</v>
      </c>
      <c r="P624">
        <v>162.22434362999999</v>
      </c>
      <c r="Q624">
        <v>1.2981225852488421</v>
      </c>
      <c r="R624" t="s">
        <v>1138</v>
      </c>
      <c r="S624">
        <v>69.547306039999995</v>
      </c>
      <c r="T624" t="s">
        <v>2819</v>
      </c>
      <c r="U624" t="s">
        <v>1059</v>
      </c>
    </row>
    <row r="625" spans="1:21" x14ac:dyDescent="0.25">
      <c r="A625" t="s">
        <v>1057</v>
      </c>
      <c r="B625" t="s">
        <v>5420</v>
      </c>
      <c r="C625" t="s">
        <v>5421</v>
      </c>
      <c r="D625" t="s">
        <v>175</v>
      </c>
      <c r="E625" t="s">
        <v>4812</v>
      </c>
      <c r="F625" t="s">
        <v>1061</v>
      </c>
      <c r="G625" t="s">
        <v>2643</v>
      </c>
      <c r="H625">
        <v>25462700000000</v>
      </c>
      <c r="I625">
        <v>4682039413.6473999</v>
      </c>
      <c r="J625">
        <v>171.12132365529999</v>
      </c>
      <c r="S625">
        <v>225.35803540000001</v>
      </c>
      <c r="T625">
        <v>121.3</v>
      </c>
      <c r="U625" t="s">
        <v>2644</v>
      </c>
    </row>
    <row r="626" spans="1:21" x14ac:dyDescent="0.25">
      <c r="A626" t="s">
        <v>2202</v>
      </c>
      <c r="B626" t="s">
        <v>2203</v>
      </c>
      <c r="C626" t="s">
        <v>2204</v>
      </c>
      <c r="D626" t="s">
        <v>586</v>
      </c>
      <c r="E626" t="s">
        <v>1056</v>
      </c>
      <c r="F626" t="s">
        <v>1071</v>
      </c>
      <c r="G626" t="s">
        <v>1445</v>
      </c>
      <c r="H626" t="s">
        <v>90</v>
      </c>
      <c r="I626" t="s">
        <v>90</v>
      </c>
      <c r="J626">
        <v>40.536115389999999</v>
      </c>
      <c r="K626">
        <v>6.6872638999999996</v>
      </c>
      <c r="L626">
        <v>6.0198118599999999</v>
      </c>
      <c r="M626">
        <v>4.9977891899999998</v>
      </c>
      <c r="N626">
        <v>5.6006782099999999</v>
      </c>
      <c r="O626">
        <v>48.389031863572853</v>
      </c>
      <c r="P626">
        <v>112.88947106000001</v>
      </c>
      <c r="Q626">
        <v>29.567025273919519</v>
      </c>
      <c r="R626" t="s">
        <v>30</v>
      </c>
      <c r="S626">
        <v>40.536115389999999</v>
      </c>
      <c r="T626" t="s">
        <v>2819</v>
      </c>
      <c r="U626" t="s">
        <v>1059</v>
      </c>
    </row>
    <row r="627" spans="1:21" x14ac:dyDescent="0.25">
      <c r="A627" t="s">
        <v>2205</v>
      </c>
      <c r="B627" t="s">
        <v>2206</v>
      </c>
      <c r="C627" t="s">
        <v>2207</v>
      </c>
      <c r="D627" t="s">
        <v>586</v>
      </c>
      <c r="E627" t="s">
        <v>1056</v>
      </c>
      <c r="F627" t="s">
        <v>1057</v>
      </c>
      <c r="G627" t="s">
        <v>1288</v>
      </c>
      <c r="H627" t="s">
        <v>90</v>
      </c>
      <c r="I627" t="s">
        <v>90</v>
      </c>
      <c r="J627">
        <v>98.241207750000001</v>
      </c>
      <c r="K627">
        <v>5.6092555600000003</v>
      </c>
      <c r="L627">
        <v>5.10256255</v>
      </c>
      <c r="M627">
        <v>4.44030697</v>
      </c>
      <c r="N627">
        <v>5.6605818599999997</v>
      </c>
      <c r="O627">
        <v>15.326107693515359</v>
      </c>
      <c r="P627">
        <v>189.04291198999999</v>
      </c>
      <c r="Q627">
        <v>32.134886669521748</v>
      </c>
      <c r="R627" t="s">
        <v>1063</v>
      </c>
      <c r="S627">
        <v>98.241207750000001</v>
      </c>
      <c r="T627" t="s">
        <v>2819</v>
      </c>
      <c r="U627" t="s">
        <v>1059</v>
      </c>
    </row>
    <row r="628" spans="1:21" x14ac:dyDescent="0.25">
      <c r="A628" t="s">
        <v>1057</v>
      </c>
      <c r="B628" t="s">
        <v>5422</v>
      </c>
      <c r="C628" t="s">
        <v>5423</v>
      </c>
      <c r="D628" t="s">
        <v>175</v>
      </c>
      <c r="E628" t="s">
        <v>4812</v>
      </c>
      <c r="F628" t="s">
        <v>1061</v>
      </c>
      <c r="G628" t="s">
        <v>2643</v>
      </c>
      <c r="H628">
        <v>25462700000000</v>
      </c>
      <c r="I628">
        <v>4682039413.6473999</v>
      </c>
      <c r="J628">
        <v>171.12132365529999</v>
      </c>
      <c r="S628">
        <v>225.35803540000001</v>
      </c>
      <c r="T628">
        <v>121.3</v>
      </c>
      <c r="U628" t="s">
        <v>2644</v>
      </c>
    </row>
    <row r="629" spans="1:21" x14ac:dyDescent="0.25">
      <c r="A629" t="s">
        <v>2208</v>
      </c>
      <c r="B629" t="s">
        <v>2209</v>
      </c>
      <c r="C629" t="s">
        <v>2210</v>
      </c>
      <c r="D629" t="s">
        <v>586</v>
      </c>
      <c r="E629" t="s">
        <v>1056</v>
      </c>
      <c r="F629" t="s">
        <v>1071</v>
      </c>
      <c r="G629" t="s">
        <v>2211</v>
      </c>
      <c r="H629" t="s">
        <v>90</v>
      </c>
      <c r="I629" t="s">
        <v>90</v>
      </c>
      <c r="J629">
        <v>132.41485691</v>
      </c>
      <c r="K629">
        <v>5.6954182500000003</v>
      </c>
      <c r="L629">
        <v>5.1863997599999996</v>
      </c>
      <c r="M629">
        <v>4.8165990499999998</v>
      </c>
      <c r="N629">
        <v>5.4881211099999998</v>
      </c>
      <c r="O629">
        <v>20.347361494881621</v>
      </c>
      <c r="P629">
        <v>243.71735864999999</v>
      </c>
      <c r="Q629">
        <v>21.163876061829001</v>
      </c>
      <c r="R629" t="s">
        <v>1063</v>
      </c>
      <c r="S629">
        <v>132.41485691</v>
      </c>
      <c r="T629" t="s">
        <v>2819</v>
      </c>
      <c r="U629" t="s">
        <v>1059</v>
      </c>
    </row>
    <row r="630" spans="1:21" x14ac:dyDescent="0.25">
      <c r="A630" t="s">
        <v>1057</v>
      </c>
      <c r="B630" t="s">
        <v>5424</v>
      </c>
      <c r="C630" t="s">
        <v>5425</v>
      </c>
      <c r="D630" t="s">
        <v>175</v>
      </c>
      <c r="E630" t="s">
        <v>4812</v>
      </c>
      <c r="F630" t="s">
        <v>1061</v>
      </c>
      <c r="G630" t="s">
        <v>2643</v>
      </c>
      <c r="H630">
        <v>25462700000000</v>
      </c>
      <c r="I630">
        <v>4682039413.6473999</v>
      </c>
      <c r="J630">
        <v>171.12132365529999</v>
      </c>
      <c r="S630">
        <v>225.35803540000001</v>
      </c>
      <c r="T630">
        <v>121.3</v>
      </c>
      <c r="U630" t="s">
        <v>2644</v>
      </c>
    </row>
    <row r="631" spans="1:21" x14ac:dyDescent="0.25">
      <c r="A631" t="s">
        <v>1057</v>
      </c>
      <c r="B631" t="s">
        <v>5426</v>
      </c>
      <c r="C631" t="s">
        <v>5427</v>
      </c>
      <c r="D631" t="s">
        <v>175</v>
      </c>
      <c r="E631" t="s">
        <v>4812</v>
      </c>
      <c r="F631" t="s">
        <v>1061</v>
      </c>
      <c r="G631" t="s">
        <v>2643</v>
      </c>
      <c r="H631">
        <v>25462700000000</v>
      </c>
      <c r="I631">
        <v>4682039413.6473999</v>
      </c>
      <c r="J631">
        <v>171.12132365529999</v>
      </c>
      <c r="S631">
        <v>225.35803540000001</v>
      </c>
      <c r="T631">
        <v>121.3</v>
      </c>
      <c r="U631" t="s">
        <v>2644</v>
      </c>
    </row>
    <row r="632" spans="1:21" x14ac:dyDescent="0.25">
      <c r="A632" t="s">
        <v>2213</v>
      </c>
      <c r="B632" t="s">
        <v>2214</v>
      </c>
      <c r="C632" t="s">
        <v>2215</v>
      </c>
      <c r="D632" t="s">
        <v>586</v>
      </c>
      <c r="E632" t="s">
        <v>1056</v>
      </c>
      <c r="F632" t="s">
        <v>1071</v>
      </c>
      <c r="G632" t="s">
        <v>1445</v>
      </c>
      <c r="H632" t="s">
        <v>90</v>
      </c>
      <c r="I632" t="s">
        <v>90</v>
      </c>
      <c r="J632">
        <v>43.47805116</v>
      </c>
      <c r="K632">
        <v>6.6586497800000002</v>
      </c>
      <c r="L632">
        <v>6.0131298099999997</v>
      </c>
      <c r="M632">
        <v>4.9875057800000002</v>
      </c>
      <c r="N632">
        <v>5.59202361</v>
      </c>
      <c r="O632">
        <v>47.911049259226942</v>
      </c>
      <c r="P632">
        <v>119.45192195</v>
      </c>
      <c r="Q632">
        <v>29.215117586896682</v>
      </c>
      <c r="R632" t="s">
        <v>30</v>
      </c>
      <c r="S632">
        <v>43.47805116</v>
      </c>
      <c r="T632" t="s">
        <v>2819</v>
      </c>
      <c r="U632" t="s">
        <v>1059</v>
      </c>
    </row>
    <row r="633" spans="1:21" x14ac:dyDescent="0.25">
      <c r="A633" t="s">
        <v>1057</v>
      </c>
      <c r="B633" t="s">
        <v>5641</v>
      </c>
      <c r="C633" t="s">
        <v>5642</v>
      </c>
      <c r="D633" t="s">
        <v>175</v>
      </c>
      <c r="E633" t="s">
        <v>4812</v>
      </c>
      <c r="F633" t="s">
        <v>1061</v>
      </c>
      <c r="G633" t="s">
        <v>2643</v>
      </c>
      <c r="H633">
        <v>25462700000000</v>
      </c>
      <c r="I633">
        <v>4682039413.6473999</v>
      </c>
      <c r="J633">
        <v>171.12132365529999</v>
      </c>
      <c r="S633">
        <v>225.35803540000001</v>
      </c>
      <c r="T633">
        <v>121.3</v>
      </c>
      <c r="U633" t="s">
        <v>2644</v>
      </c>
    </row>
    <row r="634" spans="1:21" x14ac:dyDescent="0.25">
      <c r="A634" t="s">
        <v>2216</v>
      </c>
      <c r="B634" t="s">
        <v>2217</v>
      </c>
      <c r="C634" t="s">
        <v>2218</v>
      </c>
      <c r="D634" t="s">
        <v>586</v>
      </c>
      <c r="E634" t="s">
        <v>1056</v>
      </c>
      <c r="F634" t="s">
        <v>1136</v>
      </c>
      <c r="G634" t="s">
        <v>1137</v>
      </c>
      <c r="H634" t="s">
        <v>90</v>
      </c>
      <c r="I634" t="s">
        <v>90</v>
      </c>
      <c r="J634">
        <v>131.05340938000001</v>
      </c>
      <c r="K634">
        <v>5.8593600300000004</v>
      </c>
      <c r="L634">
        <v>5.4711169200000001</v>
      </c>
      <c r="M634">
        <v>5.1866439499999997</v>
      </c>
      <c r="N634">
        <v>4.7366435500000001</v>
      </c>
      <c r="O634">
        <v>21.264184505305831</v>
      </c>
      <c r="P634">
        <v>365.50676571000002</v>
      </c>
      <c r="Q634">
        <v>9.2034679734392597</v>
      </c>
      <c r="R634" t="s">
        <v>30</v>
      </c>
      <c r="S634">
        <v>131.05340938000001</v>
      </c>
      <c r="T634" t="s">
        <v>2819</v>
      </c>
      <c r="U634" t="s">
        <v>1059</v>
      </c>
    </row>
    <row r="635" spans="1:21" x14ac:dyDescent="0.25">
      <c r="A635" t="s">
        <v>1057</v>
      </c>
      <c r="B635" t="s">
        <v>5816</v>
      </c>
      <c r="C635" t="s">
        <v>5817</v>
      </c>
      <c r="D635" t="s">
        <v>175</v>
      </c>
      <c r="E635" t="s">
        <v>4812</v>
      </c>
      <c r="F635" t="s">
        <v>1061</v>
      </c>
      <c r="G635" t="s">
        <v>2643</v>
      </c>
      <c r="H635">
        <v>25462700000000</v>
      </c>
      <c r="I635">
        <v>4682039413.6473999</v>
      </c>
      <c r="J635">
        <v>171.12132365529999</v>
      </c>
      <c r="S635">
        <v>225.35803540000001</v>
      </c>
      <c r="T635">
        <v>121.3</v>
      </c>
      <c r="U635" t="s">
        <v>2644</v>
      </c>
    </row>
    <row r="636" spans="1:21" x14ac:dyDescent="0.25">
      <c r="A636" t="s">
        <v>2219</v>
      </c>
      <c r="B636" t="s">
        <v>2220</v>
      </c>
      <c r="C636" t="s">
        <v>2221</v>
      </c>
      <c r="D636" t="s">
        <v>586</v>
      </c>
      <c r="E636" t="s">
        <v>1056</v>
      </c>
      <c r="F636" t="s">
        <v>1057</v>
      </c>
      <c r="G636" t="s">
        <v>1058</v>
      </c>
      <c r="H636" t="s">
        <v>90</v>
      </c>
      <c r="I636" t="s">
        <v>90</v>
      </c>
      <c r="J636">
        <v>25.31103225</v>
      </c>
      <c r="K636">
        <v>6.4173899199999997</v>
      </c>
      <c r="L636">
        <v>6.0416322300000003</v>
      </c>
      <c r="M636">
        <v>4.9062488000000002</v>
      </c>
      <c r="N636">
        <v>5.3619759699999996</v>
      </c>
      <c r="O636">
        <v>57.03843107765416</v>
      </c>
      <c r="P636">
        <v>94.228989240000004</v>
      </c>
      <c r="Q636">
        <v>20.70720302712736</v>
      </c>
      <c r="R636" t="s">
        <v>30</v>
      </c>
      <c r="S636">
        <v>25.31103225</v>
      </c>
      <c r="T636" t="s">
        <v>2819</v>
      </c>
      <c r="U636" t="s">
        <v>1059</v>
      </c>
    </row>
    <row r="637" spans="1:21" x14ac:dyDescent="0.25">
      <c r="A637" t="s">
        <v>1057</v>
      </c>
      <c r="B637" t="s">
        <v>5818</v>
      </c>
      <c r="C637" t="s">
        <v>5819</v>
      </c>
      <c r="D637" t="s">
        <v>175</v>
      </c>
      <c r="E637" t="s">
        <v>4812</v>
      </c>
      <c r="F637" t="s">
        <v>1061</v>
      </c>
      <c r="G637" t="s">
        <v>2643</v>
      </c>
      <c r="H637">
        <v>25462700000000</v>
      </c>
      <c r="I637">
        <v>4682039413.6473999</v>
      </c>
      <c r="J637">
        <v>171.12132365529999</v>
      </c>
      <c r="S637">
        <v>225.35803540000001</v>
      </c>
      <c r="T637">
        <v>121.3</v>
      </c>
      <c r="U637" t="s">
        <v>2644</v>
      </c>
    </row>
    <row r="638" spans="1:21" x14ac:dyDescent="0.25">
      <c r="A638" t="s">
        <v>2222</v>
      </c>
      <c r="B638" t="s">
        <v>2223</v>
      </c>
      <c r="C638" t="s">
        <v>2224</v>
      </c>
      <c r="D638" t="s">
        <v>586</v>
      </c>
      <c r="E638" t="s">
        <v>1056</v>
      </c>
      <c r="F638" t="s">
        <v>1136</v>
      </c>
      <c r="G638" t="s">
        <v>1437</v>
      </c>
      <c r="H638" t="s">
        <v>90</v>
      </c>
      <c r="I638" t="s">
        <v>90</v>
      </c>
      <c r="J638">
        <v>243.60186345</v>
      </c>
      <c r="K638">
        <v>3.8314049099999998</v>
      </c>
      <c r="L638">
        <v>5.0915161500000004</v>
      </c>
      <c r="M638">
        <v>5.1794905800000004</v>
      </c>
      <c r="N638">
        <v>5.1022086499999997</v>
      </c>
      <c r="O638">
        <v>5.6299178650258828</v>
      </c>
      <c r="P638">
        <v>381.16374746999998</v>
      </c>
      <c r="Q638">
        <v>2.1437158865314299</v>
      </c>
      <c r="R638" t="s">
        <v>1138</v>
      </c>
      <c r="S638">
        <v>243.60186345</v>
      </c>
      <c r="T638" t="s">
        <v>2819</v>
      </c>
      <c r="U638" t="s">
        <v>1059</v>
      </c>
    </row>
    <row r="639" spans="1:21" x14ac:dyDescent="0.25">
      <c r="A639" t="s">
        <v>2719</v>
      </c>
      <c r="B639" t="s">
        <v>181</v>
      </c>
      <c r="C639" t="s">
        <v>3460</v>
      </c>
      <c r="D639" t="s">
        <v>175</v>
      </c>
      <c r="E639" t="s">
        <v>4812</v>
      </c>
      <c r="F639" t="s">
        <v>1168</v>
      </c>
      <c r="G639" t="s">
        <v>2643</v>
      </c>
      <c r="H639">
        <v>1920095560995.0601</v>
      </c>
      <c r="I639">
        <v>479504229.28099</v>
      </c>
      <c r="J639">
        <v>220.5970486192</v>
      </c>
      <c r="S639">
        <v>143.62931560000001</v>
      </c>
      <c r="T639">
        <v>85.3</v>
      </c>
      <c r="U639" t="s">
        <v>2644</v>
      </c>
    </row>
    <row r="640" spans="1:21" x14ac:dyDescent="0.25">
      <c r="A640" t="s">
        <v>2225</v>
      </c>
      <c r="B640" t="s">
        <v>2226</v>
      </c>
      <c r="C640" t="s">
        <v>2227</v>
      </c>
      <c r="D640" t="s">
        <v>586</v>
      </c>
      <c r="E640" t="s">
        <v>1056</v>
      </c>
      <c r="F640" t="s">
        <v>1136</v>
      </c>
      <c r="G640" t="s">
        <v>2148</v>
      </c>
      <c r="H640" t="s">
        <v>90</v>
      </c>
      <c r="I640" t="s">
        <v>90</v>
      </c>
      <c r="J640">
        <v>229.91795981000001</v>
      </c>
      <c r="K640">
        <v>5.4678614999999997</v>
      </c>
      <c r="L640">
        <v>5.2316036700000002</v>
      </c>
      <c r="M640">
        <v>5.2482174600000002</v>
      </c>
      <c r="N640">
        <v>4.4829398999999999</v>
      </c>
      <c r="O640">
        <v>21.59652815623291</v>
      </c>
      <c r="P640">
        <v>460.07724813999999</v>
      </c>
      <c r="Q640">
        <v>11.3541890614922</v>
      </c>
      <c r="R640" t="s">
        <v>1063</v>
      </c>
      <c r="S640">
        <v>229.91795981000001</v>
      </c>
      <c r="T640" t="s">
        <v>2819</v>
      </c>
      <c r="U640" t="s">
        <v>1059</v>
      </c>
    </row>
    <row r="641" spans="1:21" x14ac:dyDescent="0.25">
      <c r="A641" t="s">
        <v>5820</v>
      </c>
      <c r="B641" t="s">
        <v>2228</v>
      </c>
      <c r="C641" t="s">
        <v>2229</v>
      </c>
      <c r="D641" t="s">
        <v>586</v>
      </c>
      <c r="E641" t="s">
        <v>1056</v>
      </c>
      <c r="F641" t="s">
        <v>1163</v>
      </c>
      <c r="G641" t="s">
        <v>5821</v>
      </c>
      <c r="H641" t="s">
        <v>90</v>
      </c>
      <c r="I641" t="s">
        <v>90</v>
      </c>
      <c r="J641">
        <v>6.27067175</v>
      </c>
      <c r="K641">
        <v>7.4304063100000004</v>
      </c>
      <c r="L641">
        <v>6.3201113800000002</v>
      </c>
      <c r="M641">
        <v>4.9224781399999999</v>
      </c>
      <c r="N641">
        <v>6.4191204600000003</v>
      </c>
      <c r="O641">
        <v>9.6949158611525021</v>
      </c>
      <c r="P641">
        <v>12.75054926</v>
      </c>
      <c r="Q641">
        <v>35.089848233770518</v>
      </c>
      <c r="R641" t="s">
        <v>1073</v>
      </c>
      <c r="S641">
        <v>6.27067175</v>
      </c>
      <c r="T641" t="s">
        <v>2819</v>
      </c>
      <c r="U641" t="s">
        <v>1059</v>
      </c>
    </row>
    <row r="642" spans="1:21" x14ac:dyDescent="0.25">
      <c r="A642" t="s">
        <v>2719</v>
      </c>
      <c r="B642" t="s">
        <v>184</v>
      </c>
      <c r="C642" t="s">
        <v>183</v>
      </c>
      <c r="D642" t="s">
        <v>175</v>
      </c>
      <c r="E642" t="s">
        <v>4812</v>
      </c>
      <c r="F642" t="s">
        <v>1168</v>
      </c>
      <c r="G642" t="s">
        <v>2643</v>
      </c>
      <c r="H642">
        <v>1920095560995.0601</v>
      </c>
      <c r="I642">
        <v>479504229.28099</v>
      </c>
      <c r="J642">
        <v>220.5970486192</v>
      </c>
      <c r="S642">
        <v>143.62931560000001</v>
      </c>
      <c r="T642">
        <v>85.3</v>
      </c>
      <c r="U642" t="s">
        <v>2644</v>
      </c>
    </row>
    <row r="643" spans="1:21" x14ac:dyDescent="0.25">
      <c r="A643" t="s">
        <v>2719</v>
      </c>
      <c r="B643" t="s">
        <v>878</v>
      </c>
      <c r="C643" t="s">
        <v>877</v>
      </c>
      <c r="D643" t="s">
        <v>175</v>
      </c>
      <c r="E643" t="s">
        <v>4812</v>
      </c>
      <c r="F643" t="s">
        <v>1168</v>
      </c>
      <c r="G643" t="s">
        <v>2643</v>
      </c>
      <c r="H643">
        <v>1920095560995.0601</v>
      </c>
      <c r="I643">
        <v>479504229.28099</v>
      </c>
      <c r="J643">
        <v>220.5970486192</v>
      </c>
      <c r="S643">
        <v>143.62931560000001</v>
      </c>
      <c r="T643">
        <v>85.3</v>
      </c>
      <c r="U643" t="s">
        <v>2644</v>
      </c>
    </row>
    <row r="644" spans="1:21" x14ac:dyDescent="0.25">
      <c r="A644" t="s">
        <v>2231</v>
      </c>
      <c r="B644" t="s">
        <v>2232</v>
      </c>
      <c r="C644" t="s">
        <v>2233</v>
      </c>
      <c r="D644" t="s">
        <v>586</v>
      </c>
      <c r="E644" t="s">
        <v>1056</v>
      </c>
      <c r="F644" t="s">
        <v>1163</v>
      </c>
      <c r="G644" t="s">
        <v>1782</v>
      </c>
      <c r="H644" t="s">
        <v>90</v>
      </c>
      <c r="I644" t="s">
        <v>90</v>
      </c>
      <c r="J644">
        <v>116.64723118000001</v>
      </c>
      <c r="K644">
        <v>6.2763242100000003</v>
      </c>
      <c r="L644">
        <v>6.3415410200000002</v>
      </c>
      <c r="M644">
        <v>5.0663435400000001</v>
      </c>
      <c r="N644">
        <v>5.5658201099999998</v>
      </c>
      <c r="O644">
        <v>16.344380005796509</v>
      </c>
      <c r="P644">
        <v>203.54419482</v>
      </c>
      <c r="Q644">
        <v>20.289568357777259</v>
      </c>
      <c r="R644" t="s">
        <v>30</v>
      </c>
      <c r="S644">
        <v>116.64723118000001</v>
      </c>
      <c r="T644" t="s">
        <v>2819</v>
      </c>
      <c r="U644" t="s">
        <v>1059</v>
      </c>
    </row>
    <row r="645" spans="1:21" x14ac:dyDescent="0.25">
      <c r="A645" t="s">
        <v>2719</v>
      </c>
      <c r="B645" t="s">
        <v>880</v>
      </c>
      <c r="C645" t="s">
        <v>879</v>
      </c>
      <c r="D645" t="s">
        <v>175</v>
      </c>
      <c r="E645" t="s">
        <v>4812</v>
      </c>
      <c r="F645" t="s">
        <v>1168</v>
      </c>
      <c r="G645" t="s">
        <v>2643</v>
      </c>
      <c r="H645">
        <v>1920095560995.0601</v>
      </c>
      <c r="I645">
        <v>479504229.28099</v>
      </c>
      <c r="J645">
        <v>220.5970486192</v>
      </c>
      <c r="S645">
        <v>143.62931560000001</v>
      </c>
      <c r="T645">
        <v>85.3</v>
      </c>
      <c r="U645" t="s">
        <v>2644</v>
      </c>
    </row>
    <row r="646" spans="1:21" x14ac:dyDescent="0.25">
      <c r="A646" t="s">
        <v>2234</v>
      </c>
      <c r="B646" t="s">
        <v>2235</v>
      </c>
      <c r="C646" t="s">
        <v>2236</v>
      </c>
      <c r="D646" t="s">
        <v>586</v>
      </c>
      <c r="E646" t="s">
        <v>1056</v>
      </c>
      <c r="F646" t="s">
        <v>1136</v>
      </c>
      <c r="G646" t="s">
        <v>1137</v>
      </c>
      <c r="H646" t="s">
        <v>90</v>
      </c>
      <c r="I646" t="s">
        <v>90</v>
      </c>
      <c r="J646">
        <v>29.242510630000002</v>
      </c>
      <c r="K646">
        <v>6.1143509700000003</v>
      </c>
      <c r="L646">
        <v>5.6739727200000001</v>
      </c>
      <c r="M646">
        <v>5.1458530199999997</v>
      </c>
      <c r="N646">
        <v>5.3364327300000003</v>
      </c>
      <c r="O646">
        <v>14.5446436339309</v>
      </c>
      <c r="P646">
        <v>154.89271044</v>
      </c>
      <c r="Q646">
        <v>3.812411437234311</v>
      </c>
      <c r="R646" t="s">
        <v>30</v>
      </c>
      <c r="S646">
        <v>29.242510630000002</v>
      </c>
      <c r="T646" t="s">
        <v>2819</v>
      </c>
      <c r="U646" t="s">
        <v>1059</v>
      </c>
    </row>
    <row r="647" spans="1:21" x14ac:dyDescent="0.25">
      <c r="A647" t="s">
        <v>2719</v>
      </c>
      <c r="B647" t="s">
        <v>4988</v>
      </c>
      <c r="C647" t="s">
        <v>4844</v>
      </c>
      <c r="D647" t="s">
        <v>175</v>
      </c>
      <c r="E647" t="s">
        <v>4812</v>
      </c>
      <c r="F647" t="s">
        <v>1168</v>
      </c>
      <c r="G647" t="s">
        <v>2643</v>
      </c>
      <c r="H647">
        <v>1920095560995.0601</v>
      </c>
      <c r="I647">
        <v>479504229.28099</v>
      </c>
      <c r="J647">
        <v>220.5970486192</v>
      </c>
      <c r="S647">
        <v>143.62931560000001</v>
      </c>
      <c r="T647">
        <v>85.3</v>
      </c>
      <c r="U647" t="s">
        <v>2644</v>
      </c>
    </row>
    <row r="648" spans="1:21" x14ac:dyDescent="0.25">
      <c r="A648" t="s">
        <v>2237</v>
      </c>
      <c r="B648" t="s">
        <v>2238</v>
      </c>
      <c r="C648" t="s">
        <v>2239</v>
      </c>
      <c r="D648" t="s">
        <v>586</v>
      </c>
      <c r="E648" t="s">
        <v>1056</v>
      </c>
      <c r="F648" t="s">
        <v>1071</v>
      </c>
      <c r="G648" t="s">
        <v>2240</v>
      </c>
      <c r="H648" t="s">
        <v>90</v>
      </c>
      <c r="I648" t="s">
        <v>90</v>
      </c>
      <c r="J648">
        <v>53.821920149999997</v>
      </c>
      <c r="K648">
        <v>6.6376710699999997</v>
      </c>
      <c r="L648">
        <v>6.22402107</v>
      </c>
      <c r="M648">
        <v>5.6068813200000003</v>
      </c>
      <c r="N648">
        <v>6.4530616199999997</v>
      </c>
      <c r="O648">
        <v>10.713709378277221</v>
      </c>
      <c r="P648">
        <v>90.924761599999997</v>
      </c>
      <c r="Q648">
        <v>12.28778701357859</v>
      </c>
      <c r="R648" t="s">
        <v>30</v>
      </c>
      <c r="S648">
        <v>53.821920149999997</v>
      </c>
      <c r="T648" t="s">
        <v>2819</v>
      </c>
      <c r="U648" t="s">
        <v>1059</v>
      </c>
    </row>
    <row r="649" spans="1:21" x14ac:dyDescent="0.25">
      <c r="A649" t="s">
        <v>5428</v>
      </c>
      <c r="B649" t="s">
        <v>2241</v>
      </c>
      <c r="C649" t="s">
        <v>2242</v>
      </c>
      <c r="D649" t="s">
        <v>586</v>
      </c>
      <c r="E649" t="s">
        <v>1056</v>
      </c>
      <c r="F649" t="s">
        <v>1375</v>
      </c>
      <c r="G649" t="s">
        <v>1380</v>
      </c>
      <c r="H649" t="s">
        <v>90</v>
      </c>
      <c r="I649" t="s">
        <v>90</v>
      </c>
      <c r="J649">
        <v>27.920237960000001</v>
      </c>
      <c r="K649">
        <v>7.61482729</v>
      </c>
      <c r="L649">
        <v>5.8930444599999996</v>
      </c>
      <c r="M649">
        <v>5.9818494500000003</v>
      </c>
      <c r="N649">
        <v>6.1706569199999999</v>
      </c>
      <c r="O649">
        <v>12.73857063867508</v>
      </c>
      <c r="P649">
        <v>57.037186329999997</v>
      </c>
      <c r="Q649">
        <v>25.31082421295606</v>
      </c>
      <c r="R649" t="s">
        <v>1073</v>
      </c>
      <c r="S649">
        <v>27.920237960000001</v>
      </c>
      <c r="T649" t="s">
        <v>2819</v>
      </c>
      <c r="U649" t="s">
        <v>1059</v>
      </c>
    </row>
    <row r="650" spans="1:21" x14ac:dyDescent="0.25">
      <c r="A650" t="s">
        <v>2719</v>
      </c>
      <c r="B650" t="s">
        <v>2720</v>
      </c>
      <c r="C650" t="s">
        <v>3125</v>
      </c>
      <c r="D650" t="s">
        <v>175</v>
      </c>
      <c r="E650" t="s">
        <v>4812</v>
      </c>
      <c r="F650" t="s">
        <v>1168</v>
      </c>
      <c r="G650" t="s">
        <v>2643</v>
      </c>
      <c r="H650">
        <v>1920095560995.0601</v>
      </c>
      <c r="I650">
        <v>479504229.28099</v>
      </c>
      <c r="J650">
        <v>220.5970486192</v>
      </c>
      <c r="S650">
        <v>143.62931560000001</v>
      </c>
      <c r="T650">
        <v>85.3</v>
      </c>
      <c r="U650" t="s">
        <v>2644</v>
      </c>
    </row>
    <row r="651" spans="1:21" x14ac:dyDescent="0.25">
      <c r="A651" t="s">
        <v>2719</v>
      </c>
      <c r="B651" t="s">
        <v>2721</v>
      </c>
      <c r="C651" t="s">
        <v>3124</v>
      </c>
      <c r="D651" t="s">
        <v>175</v>
      </c>
      <c r="E651" t="s">
        <v>4812</v>
      </c>
      <c r="F651" t="s">
        <v>1168</v>
      </c>
      <c r="G651" t="s">
        <v>2643</v>
      </c>
      <c r="H651">
        <v>1920095560995.0601</v>
      </c>
      <c r="I651">
        <v>479504229.28099</v>
      </c>
      <c r="J651">
        <v>220.5970486192</v>
      </c>
      <c r="S651">
        <v>143.62931560000001</v>
      </c>
      <c r="T651">
        <v>85.3</v>
      </c>
      <c r="U651" t="s">
        <v>2644</v>
      </c>
    </row>
    <row r="652" spans="1:21" x14ac:dyDescent="0.25">
      <c r="A652" t="s">
        <v>5428</v>
      </c>
      <c r="B652" t="s">
        <v>2241</v>
      </c>
      <c r="C652" t="s">
        <v>2243</v>
      </c>
      <c r="D652" t="s">
        <v>586</v>
      </c>
      <c r="E652" t="s">
        <v>1056</v>
      </c>
      <c r="F652" t="s">
        <v>1375</v>
      </c>
      <c r="G652" t="s">
        <v>1380</v>
      </c>
      <c r="H652" t="s">
        <v>90</v>
      </c>
      <c r="I652" t="s">
        <v>90</v>
      </c>
      <c r="J652">
        <v>27.920237960000001</v>
      </c>
      <c r="K652">
        <v>7.61482729</v>
      </c>
      <c r="L652">
        <v>5.8930444599999996</v>
      </c>
      <c r="M652">
        <v>5.9818494500000003</v>
      </c>
      <c r="N652">
        <v>6.1706569199999999</v>
      </c>
      <c r="O652">
        <v>12.73857063867508</v>
      </c>
      <c r="P652">
        <v>57.037186329999997</v>
      </c>
      <c r="Q652">
        <v>25.31082421295606</v>
      </c>
      <c r="R652" t="s">
        <v>1073</v>
      </c>
      <c r="S652">
        <v>27.920237960000001</v>
      </c>
      <c r="T652" t="s">
        <v>2819</v>
      </c>
      <c r="U652" t="s">
        <v>1059</v>
      </c>
    </row>
    <row r="653" spans="1:21" x14ac:dyDescent="0.25">
      <c r="A653" t="s">
        <v>2244</v>
      </c>
      <c r="B653" t="s">
        <v>2245</v>
      </c>
      <c r="C653" t="s">
        <v>2246</v>
      </c>
      <c r="D653" t="s">
        <v>586</v>
      </c>
      <c r="E653" t="s">
        <v>1056</v>
      </c>
      <c r="F653" t="s">
        <v>2247</v>
      </c>
      <c r="G653" t="s">
        <v>1574</v>
      </c>
      <c r="H653" t="s">
        <v>90</v>
      </c>
      <c r="I653" t="s">
        <v>90</v>
      </c>
      <c r="J653">
        <v>30.77474905</v>
      </c>
      <c r="K653">
        <v>5.1795579600000003</v>
      </c>
      <c r="L653">
        <v>4.3370986299999998</v>
      </c>
      <c r="M653">
        <v>4.86414583</v>
      </c>
      <c r="N653">
        <v>4.6220815799999997</v>
      </c>
      <c r="O653">
        <v>2.6288026288026289</v>
      </c>
      <c r="P653">
        <v>191.71888096000001</v>
      </c>
      <c r="Q653">
        <v>12.214712214712209</v>
      </c>
      <c r="R653" t="s">
        <v>1063</v>
      </c>
      <c r="S653">
        <v>30.77474905</v>
      </c>
      <c r="T653" t="s">
        <v>2819</v>
      </c>
      <c r="U653" t="s">
        <v>1059</v>
      </c>
    </row>
    <row r="654" spans="1:21" x14ac:dyDescent="0.25">
      <c r="A654" t="s">
        <v>2719</v>
      </c>
      <c r="B654" t="s">
        <v>2722</v>
      </c>
      <c r="C654" t="s">
        <v>3466</v>
      </c>
      <c r="D654" t="s">
        <v>175</v>
      </c>
      <c r="E654" t="s">
        <v>4812</v>
      </c>
      <c r="F654" t="s">
        <v>1168</v>
      </c>
      <c r="G654" t="s">
        <v>2643</v>
      </c>
      <c r="H654">
        <v>1920095560995.0601</v>
      </c>
      <c r="I654">
        <v>479504229.28099</v>
      </c>
      <c r="J654">
        <v>220.5970486192</v>
      </c>
      <c r="S654">
        <v>143.62931560000001</v>
      </c>
      <c r="T654">
        <v>85.3</v>
      </c>
      <c r="U654" t="s">
        <v>2644</v>
      </c>
    </row>
    <row r="655" spans="1:21" x14ac:dyDescent="0.25">
      <c r="A655" t="s">
        <v>2244</v>
      </c>
      <c r="B655" t="s">
        <v>2245</v>
      </c>
      <c r="C655" t="s">
        <v>5763</v>
      </c>
      <c r="D655" t="s">
        <v>586</v>
      </c>
      <c r="E655" t="s">
        <v>1056</v>
      </c>
      <c r="F655" t="s">
        <v>2247</v>
      </c>
      <c r="G655" t="s">
        <v>1574</v>
      </c>
      <c r="H655" t="s">
        <v>90</v>
      </c>
      <c r="I655" t="s">
        <v>90</v>
      </c>
      <c r="J655">
        <v>30.77474905</v>
      </c>
      <c r="K655">
        <v>5.1795579600000003</v>
      </c>
      <c r="L655">
        <v>4.3370986299999998</v>
      </c>
      <c r="M655">
        <v>4.86414583</v>
      </c>
      <c r="N655">
        <v>4.6220815799999997</v>
      </c>
      <c r="O655">
        <v>2.6288026288026289</v>
      </c>
      <c r="P655">
        <v>191.71888096000001</v>
      </c>
      <c r="Q655">
        <v>12.214712214712209</v>
      </c>
      <c r="R655" t="s">
        <v>1063</v>
      </c>
      <c r="S655">
        <v>30.77474905</v>
      </c>
      <c r="T655" t="s">
        <v>2819</v>
      </c>
      <c r="U655" t="s">
        <v>1059</v>
      </c>
    </row>
    <row r="656" spans="1:21" x14ac:dyDescent="0.25">
      <c r="A656" t="s">
        <v>2719</v>
      </c>
      <c r="B656" t="s">
        <v>2723</v>
      </c>
      <c r="C656" t="s">
        <v>3123</v>
      </c>
      <c r="D656" t="s">
        <v>175</v>
      </c>
      <c r="E656" t="s">
        <v>4812</v>
      </c>
      <c r="F656" t="s">
        <v>1168</v>
      </c>
      <c r="G656" t="s">
        <v>2643</v>
      </c>
      <c r="H656">
        <v>1920095560995.0601</v>
      </c>
      <c r="I656">
        <v>479504229.28099</v>
      </c>
      <c r="J656">
        <v>220.5970486192</v>
      </c>
      <c r="S656">
        <v>143.62931560000001</v>
      </c>
      <c r="T656">
        <v>85.3</v>
      </c>
      <c r="U656" t="s">
        <v>2644</v>
      </c>
    </row>
    <row r="657" spans="1:21" x14ac:dyDescent="0.25">
      <c r="A657" t="s">
        <v>2719</v>
      </c>
      <c r="B657" t="s">
        <v>2724</v>
      </c>
      <c r="C657" t="s">
        <v>3132</v>
      </c>
      <c r="D657" t="s">
        <v>175</v>
      </c>
      <c r="E657" t="s">
        <v>4812</v>
      </c>
      <c r="F657" t="s">
        <v>1168</v>
      </c>
      <c r="G657" t="s">
        <v>2643</v>
      </c>
      <c r="H657">
        <v>1920095560995.0601</v>
      </c>
      <c r="I657">
        <v>479504229.28099</v>
      </c>
      <c r="J657">
        <v>220.5970486192</v>
      </c>
      <c r="S657">
        <v>143.62931560000001</v>
      </c>
      <c r="T657">
        <v>85.3</v>
      </c>
      <c r="U657" t="s">
        <v>2644</v>
      </c>
    </row>
    <row r="658" spans="1:21" x14ac:dyDescent="0.25">
      <c r="A658" t="s">
        <v>2248</v>
      </c>
      <c r="B658" t="s">
        <v>2249</v>
      </c>
      <c r="C658" t="s">
        <v>2250</v>
      </c>
      <c r="D658" t="s">
        <v>586</v>
      </c>
      <c r="E658" t="s">
        <v>1056</v>
      </c>
      <c r="F658" t="s">
        <v>1163</v>
      </c>
      <c r="G658" t="s">
        <v>2251</v>
      </c>
      <c r="H658" t="s">
        <v>90</v>
      </c>
      <c r="I658" t="s">
        <v>90</v>
      </c>
      <c r="J658">
        <v>72.065353169999995</v>
      </c>
      <c r="K658">
        <v>6.99681088</v>
      </c>
      <c r="L658">
        <v>5.8776304599999998</v>
      </c>
      <c r="M658">
        <v>4.8263096900000004</v>
      </c>
      <c r="N658">
        <v>6.1233436899999996</v>
      </c>
      <c r="O658">
        <v>26.66759909088638</v>
      </c>
      <c r="P658">
        <v>71.261687980000005</v>
      </c>
      <c r="Q658">
        <v>39.706186468193508</v>
      </c>
      <c r="R658" t="s">
        <v>30</v>
      </c>
      <c r="S658">
        <v>72.065353169999995</v>
      </c>
      <c r="T658" t="s">
        <v>2819</v>
      </c>
      <c r="U658" t="s">
        <v>1059</v>
      </c>
    </row>
    <row r="659" spans="1:21" x14ac:dyDescent="0.25">
      <c r="A659" t="s">
        <v>2719</v>
      </c>
      <c r="B659" t="s">
        <v>2725</v>
      </c>
      <c r="C659" t="s">
        <v>3122</v>
      </c>
      <c r="D659" t="s">
        <v>175</v>
      </c>
      <c r="E659" t="s">
        <v>4812</v>
      </c>
      <c r="F659" t="s">
        <v>1168</v>
      </c>
      <c r="G659" t="s">
        <v>2643</v>
      </c>
      <c r="H659">
        <v>1920095560995.0601</v>
      </c>
      <c r="I659">
        <v>479504229.28099</v>
      </c>
      <c r="J659">
        <v>220.5970486192</v>
      </c>
      <c r="S659">
        <v>143.62931560000001</v>
      </c>
      <c r="T659">
        <v>85.3</v>
      </c>
      <c r="U659" t="s">
        <v>2644</v>
      </c>
    </row>
    <row r="660" spans="1:21" x14ac:dyDescent="0.25">
      <c r="A660" t="s">
        <v>2252</v>
      </c>
      <c r="B660" t="s">
        <v>2253</v>
      </c>
      <c r="C660" t="s">
        <v>2254</v>
      </c>
      <c r="D660" t="s">
        <v>586</v>
      </c>
      <c r="E660" t="s">
        <v>1056</v>
      </c>
      <c r="F660" t="s">
        <v>1689</v>
      </c>
      <c r="G660" t="s">
        <v>1690</v>
      </c>
      <c r="H660" t="s">
        <v>90</v>
      </c>
      <c r="I660" t="s">
        <v>90</v>
      </c>
      <c r="J660">
        <v>57.185263239999998</v>
      </c>
      <c r="K660">
        <v>8.0864559499999995</v>
      </c>
      <c r="L660">
        <v>6.2896387200000001</v>
      </c>
      <c r="M660">
        <v>5.3895478199999998</v>
      </c>
      <c r="N660">
        <v>6.6165045400000002</v>
      </c>
      <c r="O660">
        <v>36.328600000000002</v>
      </c>
      <c r="P660">
        <v>127.15556675000001</v>
      </c>
      <c r="Q660">
        <v>68.265999999999991</v>
      </c>
      <c r="R660" t="s">
        <v>1073</v>
      </c>
      <c r="S660">
        <v>57.185263239999998</v>
      </c>
      <c r="T660" t="s">
        <v>2819</v>
      </c>
      <c r="U660" t="s">
        <v>1059</v>
      </c>
    </row>
    <row r="661" spans="1:21" x14ac:dyDescent="0.25">
      <c r="A661" t="s">
        <v>2255</v>
      </c>
      <c r="B661" t="s">
        <v>2256</v>
      </c>
      <c r="C661" t="s">
        <v>2257</v>
      </c>
      <c r="D661" t="s">
        <v>586</v>
      </c>
      <c r="E661" t="s">
        <v>1056</v>
      </c>
      <c r="F661" t="s">
        <v>1136</v>
      </c>
      <c r="G661" t="s">
        <v>2148</v>
      </c>
      <c r="H661" t="s">
        <v>90</v>
      </c>
      <c r="I661" t="s">
        <v>90</v>
      </c>
      <c r="J661">
        <v>278.19231108999998</v>
      </c>
      <c r="K661">
        <v>5.26474273</v>
      </c>
      <c r="L661">
        <v>5.0937914099999997</v>
      </c>
      <c r="M661">
        <v>5.4467525999999999</v>
      </c>
      <c r="N661">
        <v>5.3507282299999996</v>
      </c>
      <c r="O661">
        <v>15.120545361636079</v>
      </c>
      <c r="P661">
        <v>481.41487884999998</v>
      </c>
      <c r="Q661">
        <v>8.4863254589763759</v>
      </c>
      <c r="R661" t="s">
        <v>1063</v>
      </c>
      <c r="S661">
        <v>278.19231108999998</v>
      </c>
      <c r="T661" t="s">
        <v>2819</v>
      </c>
      <c r="U661" t="s">
        <v>1059</v>
      </c>
    </row>
    <row r="662" spans="1:21" x14ac:dyDescent="0.25">
      <c r="A662" t="s">
        <v>2719</v>
      </c>
      <c r="B662" t="s">
        <v>2726</v>
      </c>
      <c r="C662" t="s">
        <v>3129</v>
      </c>
      <c r="D662" t="s">
        <v>175</v>
      </c>
      <c r="E662" t="s">
        <v>4812</v>
      </c>
      <c r="F662" t="s">
        <v>1168</v>
      </c>
      <c r="G662" t="s">
        <v>2643</v>
      </c>
      <c r="H662">
        <v>1920095560995.0601</v>
      </c>
      <c r="I662">
        <v>479504229.28099</v>
      </c>
      <c r="J662">
        <v>220.5970486192</v>
      </c>
      <c r="S662">
        <v>143.62931560000001</v>
      </c>
      <c r="T662">
        <v>85.3</v>
      </c>
      <c r="U662" t="s">
        <v>2644</v>
      </c>
    </row>
    <row r="663" spans="1:21" x14ac:dyDescent="0.25">
      <c r="A663" t="s">
        <v>2258</v>
      </c>
      <c r="B663" t="s">
        <v>2259</v>
      </c>
      <c r="C663" t="s">
        <v>2260</v>
      </c>
      <c r="D663" t="s">
        <v>586</v>
      </c>
      <c r="E663" t="s">
        <v>1056</v>
      </c>
      <c r="F663" t="s">
        <v>1128</v>
      </c>
      <c r="G663" t="s">
        <v>1129</v>
      </c>
      <c r="H663" t="s">
        <v>90</v>
      </c>
      <c r="I663" t="s">
        <v>90</v>
      </c>
      <c r="J663">
        <v>22.978192230000001</v>
      </c>
      <c r="K663">
        <v>8.0270971200000005</v>
      </c>
      <c r="L663">
        <v>6.3648286399999998</v>
      </c>
      <c r="M663">
        <v>5.4383236799999999</v>
      </c>
      <c r="N663">
        <v>6.6352937299999999</v>
      </c>
      <c r="O663">
        <v>22.937368812106431</v>
      </c>
      <c r="P663">
        <v>53.056443039999998</v>
      </c>
      <c r="Q663">
        <v>68.832427418319497</v>
      </c>
      <c r="R663" t="s">
        <v>1073</v>
      </c>
      <c r="S663">
        <v>22.978192230000001</v>
      </c>
      <c r="T663" t="s">
        <v>2819</v>
      </c>
      <c r="U663" t="s">
        <v>1059</v>
      </c>
    </row>
    <row r="664" spans="1:21" x14ac:dyDescent="0.25">
      <c r="A664" t="s">
        <v>2719</v>
      </c>
      <c r="B664" t="s">
        <v>2727</v>
      </c>
      <c r="C664" t="s">
        <v>3121</v>
      </c>
      <c r="D664" t="s">
        <v>175</v>
      </c>
      <c r="E664" t="s">
        <v>4812</v>
      </c>
      <c r="F664" t="s">
        <v>1168</v>
      </c>
      <c r="G664" t="s">
        <v>2643</v>
      </c>
      <c r="H664">
        <v>1920095560995.0601</v>
      </c>
      <c r="I664">
        <v>479504229.28099</v>
      </c>
      <c r="J664">
        <v>220.5970486192</v>
      </c>
      <c r="S664">
        <v>143.62931560000001</v>
      </c>
      <c r="T664">
        <v>85.3</v>
      </c>
      <c r="U664" t="s">
        <v>2644</v>
      </c>
    </row>
    <row r="665" spans="1:21" x14ac:dyDescent="0.25">
      <c r="A665" t="s">
        <v>2262</v>
      </c>
      <c r="B665" t="s">
        <v>2263</v>
      </c>
      <c r="C665" t="s">
        <v>2264</v>
      </c>
      <c r="D665" t="s">
        <v>532</v>
      </c>
      <c r="E665" t="s">
        <v>1852</v>
      </c>
      <c r="F665" t="s">
        <v>1136</v>
      </c>
      <c r="G665" t="s">
        <v>1494</v>
      </c>
      <c r="H665" t="s">
        <v>90</v>
      </c>
      <c r="I665" t="s">
        <v>90</v>
      </c>
      <c r="J665">
        <v>6.5787819999999997E-2</v>
      </c>
      <c r="K665">
        <v>4.9483437199999996</v>
      </c>
      <c r="L665">
        <v>5.4282510300000002</v>
      </c>
      <c r="M665">
        <v>6.0268452200000002</v>
      </c>
      <c r="N665">
        <v>5.9221191600000003</v>
      </c>
      <c r="O665">
        <v>0</v>
      </c>
      <c r="P665">
        <v>2.7158493300000002</v>
      </c>
      <c r="Q665">
        <v>0</v>
      </c>
      <c r="R665" t="s">
        <v>1063</v>
      </c>
      <c r="S665">
        <v>6.5787819999999997E-2</v>
      </c>
      <c r="T665" t="s">
        <v>2819</v>
      </c>
      <c r="U665" t="s">
        <v>1059</v>
      </c>
    </row>
    <row r="666" spans="1:21" x14ac:dyDescent="0.25">
      <c r="A666" t="s">
        <v>2719</v>
      </c>
      <c r="B666" t="s">
        <v>182</v>
      </c>
      <c r="C666" t="s">
        <v>3126</v>
      </c>
      <c r="D666" t="s">
        <v>175</v>
      </c>
      <c r="E666" t="s">
        <v>4812</v>
      </c>
      <c r="F666" t="s">
        <v>1168</v>
      </c>
      <c r="G666" t="s">
        <v>2643</v>
      </c>
      <c r="H666">
        <v>1920095560995.0601</v>
      </c>
      <c r="I666">
        <v>479504229.28099</v>
      </c>
      <c r="J666">
        <v>220.5970486192</v>
      </c>
      <c r="S666">
        <v>143.62931560000001</v>
      </c>
      <c r="T666">
        <v>85.3</v>
      </c>
      <c r="U666" t="s">
        <v>2644</v>
      </c>
    </row>
    <row r="667" spans="1:21" x14ac:dyDescent="0.25">
      <c r="A667" t="s">
        <v>2719</v>
      </c>
      <c r="B667" t="s">
        <v>2728</v>
      </c>
      <c r="C667" t="s">
        <v>3127</v>
      </c>
      <c r="D667" t="s">
        <v>175</v>
      </c>
      <c r="E667" t="s">
        <v>4812</v>
      </c>
      <c r="F667" t="s">
        <v>1168</v>
      </c>
      <c r="G667" t="s">
        <v>2643</v>
      </c>
      <c r="H667">
        <v>1920095560995.0601</v>
      </c>
      <c r="I667">
        <v>479504229.28099</v>
      </c>
      <c r="J667">
        <v>220.5970486192</v>
      </c>
      <c r="S667">
        <v>143.62931560000001</v>
      </c>
      <c r="T667">
        <v>85.3</v>
      </c>
      <c r="U667" t="s">
        <v>2644</v>
      </c>
    </row>
    <row r="668" spans="1:21" x14ac:dyDescent="0.25">
      <c r="A668" t="s">
        <v>2265</v>
      </c>
      <c r="B668" t="s">
        <v>2266</v>
      </c>
      <c r="C668" t="s">
        <v>2267</v>
      </c>
      <c r="D668" t="s">
        <v>586</v>
      </c>
      <c r="E668" t="s">
        <v>1056</v>
      </c>
      <c r="F668" t="s">
        <v>1605</v>
      </c>
      <c r="G668" t="s">
        <v>2268</v>
      </c>
      <c r="H668" t="s">
        <v>90</v>
      </c>
      <c r="I668" t="s">
        <v>90</v>
      </c>
      <c r="J668">
        <v>7.91315466</v>
      </c>
      <c r="K668">
        <v>2.8537662799999999</v>
      </c>
      <c r="L668">
        <v>2.7838867299999999</v>
      </c>
      <c r="M668">
        <v>6.5273515</v>
      </c>
      <c r="N668">
        <v>4.6372071000000004</v>
      </c>
      <c r="O668">
        <v>0</v>
      </c>
      <c r="P668">
        <v>19.096329220000001</v>
      </c>
      <c r="Q668">
        <v>0</v>
      </c>
      <c r="R668" t="s">
        <v>21</v>
      </c>
      <c r="S668">
        <v>7.91315466</v>
      </c>
      <c r="T668" t="s">
        <v>2819</v>
      </c>
      <c r="U668" t="s">
        <v>1059</v>
      </c>
    </row>
    <row r="669" spans="1:21" x14ac:dyDescent="0.25">
      <c r="A669" t="s">
        <v>2719</v>
      </c>
      <c r="B669" t="s">
        <v>5091</v>
      </c>
      <c r="C669" t="s">
        <v>4843</v>
      </c>
      <c r="D669" t="s">
        <v>175</v>
      </c>
      <c r="E669" t="s">
        <v>4812</v>
      </c>
      <c r="F669" t="s">
        <v>1168</v>
      </c>
      <c r="G669" t="s">
        <v>2643</v>
      </c>
      <c r="H669">
        <v>1920095560995.0601</v>
      </c>
      <c r="I669">
        <v>479504229.28099</v>
      </c>
      <c r="J669">
        <v>220.5970486192</v>
      </c>
      <c r="S669">
        <v>143.62931560000001</v>
      </c>
      <c r="T669">
        <v>85.3</v>
      </c>
      <c r="U669" t="s">
        <v>2644</v>
      </c>
    </row>
    <row r="670" spans="1:21" x14ac:dyDescent="0.25">
      <c r="A670" t="s">
        <v>2269</v>
      </c>
      <c r="B670" t="s">
        <v>639</v>
      </c>
      <c r="C670" t="s">
        <v>2270</v>
      </c>
      <c r="D670" t="s">
        <v>586</v>
      </c>
      <c r="E670" t="s">
        <v>1056</v>
      </c>
      <c r="F670" t="s">
        <v>1714</v>
      </c>
      <c r="G670" t="s">
        <v>1715</v>
      </c>
      <c r="H670" t="s">
        <v>90</v>
      </c>
      <c r="I670" t="s">
        <v>90</v>
      </c>
      <c r="J670">
        <v>55.093530260000001</v>
      </c>
      <c r="K670">
        <v>7.7793906499999999</v>
      </c>
      <c r="L670">
        <v>6.8429598</v>
      </c>
      <c r="M670">
        <v>5.2580671199999998</v>
      </c>
      <c r="N670">
        <v>6.4039815500000001</v>
      </c>
      <c r="O670">
        <v>34.642190844558399</v>
      </c>
      <c r="P670">
        <v>82.860338799999994</v>
      </c>
      <c r="Q670">
        <v>54.161622211834</v>
      </c>
      <c r="R670" t="s">
        <v>1073</v>
      </c>
      <c r="S670">
        <v>55.093530260000001</v>
      </c>
      <c r="T670" t="s">
        <v>2819</v>
      </c>
      <c r="U670" t="s">
        <v>1059</v>
      </c>
    </row>
    <row r="671" spans="1:21" x14ac:dyDescent="0.25">
      <c r="A671" t="s">
        <v>2269</v>
      </c>
      <c r="B671" t="s">
        <v>639</v>
      </c>
      <c r="C671" t="s">
        <v>638</v>
      </c>
      <c r="D671" t="s">
        <v>586</v>
      </c>
      <c r="E671" t="s">
        <v>1056</v>
      </c>
      <c r="F671" t="s">
        <v>1714</v>
      </c>
      <c r="G671" t="s">
        <v>1715</v>
      </c>
      <c r="H671" t="s">
        <v>90</v>
      </c>
      <c r="I671" t="s">
        <v>90</v>
      </c>
      <c r="J671">
        <v>55.093530260000001</v>
      </c>
      <c r="K671">
        <v>7.7793906499999999</v>
      </c>
      <c r="L671">
        <v>6.8429598</v>
      </c>
      <c r="M671">
        <v>5.2580671199999998</v>
      </c>
      <c r="N671">
        <v>6.4039815500000001</v>
      </c>
      <c r="O671">
        <v>34.642190844558399</v>
      </c>
      <c r="P671">
        <v>82.860338799999994</v>
      </c>
      <c r="Q671">
        <v>54.161622211834</v>
      </c>
      <c r="R671" t="s">
        <v>1073</v>
      </c>
      <c r="S671">
        <v>55.093530260000001</v>
      </c>
      <c r="T671" t="s">
        <v>2819</v>
      </c>
      <c r="U671" t="s">
        <v>1059</v>
      </c>
    </row>
    <row r="672" spans="1:21" x14ac:dyDescent="0.25">
      <c r="A672" t="s">
        <v>2719</v>
      </c>
      <c r="B672" t="s">
        <v>5351</v>
      </c>
      <c r="C672" t="s">
        <v>5352</v>
      </c>
      <c r="D672" t="s">
        <v>175</v>
      </c>
      <c r="E672" t="s">
        <v>4812</v>
      </c>
      <c r="F672" t="s">
        <v>1168</v>
      </c>
      <c r="G672" t="s">
        <v>2643</v>
      </c>
      <c r="H672">
        <v>1920095560995.0601</v>
      </c>
      <c r="I672">
        <v>479504229.28099</v>
      </c>
      <c r="J672">
        <v>220.5970486192</v>
      </c>
      <c r="S672">
        <v>143.62931560000001</v>
      </c>
      <c r="T672">
        <v>85.3</v>
      </c>
      <c r="U672" t="s">
        <v>2644</v>
      </c>
    </row>
    <row r="673" spans="1:21" x14ac:dyDescent="0.25">
      <c r="A673" t="s">
        <v>2272</v>
      </c>
      <c r="B673" t="s">
        <v>692</v>
      </c>
      <c r="C673" t="s">
        <v>691</v>
      </c>
      <c r="D673" t="s">
        <v>586</v>
      </c>
      <c r="E673" t="s">
        <v>1056</v>
      </c>
      <c r="F673" t="s">
        <v>1714</v>
      </c>
      <c r="G673" t="s">
        <v>1715</v>
      </c>
      <c r="H673" t="s">
        <v>90</v>
      </c>
      <c r="I673" t="s">
        <v>90</v>
      </c>
      <c r="J673">
        <v>22.84529088</v>
      </c>
      <c r="K673">
        <v>7.8612156300000002</v>
      </c>
      <c r="L673">
        <v>6.5959394600000003</v>
      </c>
      <c r="M673">
        <v>5.2411679199999996</v>
      </c>
      <c r="N673">
        <v>6.647513</v>
      </c>
      <c r="O673">
        <v>17.027127353007259</v>
      </c>
      <c r="P673">
        <v>54.034556549999998</v>
      </c>
      <c r="Q673">
        <v>53.671130908771232</v>
      </c>
      <c r="R673" t="s">
        <v>1073</v>
      </c>
      <c r="S673">
        <v>22.84529088</v>
      </c>
      <c r="T673" t="s">
        <v>2819</v>
      </c>
      <c r="U673" t="s">
        <v>1059</v>
      </c>
    </row>
    <row r="674" spans="1:21" x14ac:dyDescent="0.25">
      <c r="A674" t="s">
        <v>1375</v>
      </c>
      <c r="B674" t="s">
        <v>2729</v>
      </c>
      <c r="C674" t="s">
        <v>2945</v>
      </c>
      <c r="D674" t="s">
        <v>175</v>
      </c>
      <c r="E674" t="s">
        <v>4812</v>
      </c>
      <c r="F674" t="s">
        <v>1145</v>
      </c>
      <c r="G674" t="s">
        <v>2643</v>
      </c>
      <c r="H674">
        <v>4231141201863.1689</v>
      </c>
      <c r="I674">
        <v>944758610.26126993</v>
      </c>
      <c r="J674">
        <v>224.25134303460001</v>
      </c>
      <c r="S674">
        <v>206.81032440000001</v>
      </c>
      <c r="T674">
        <v>260.10000000000002</v>
      </c>
      <c r="U674" t="s">
        <v>2644</v>
      </c>
    </row>
    <row r="675" spans="1:21" x14ac:dyDescent="0.25">
      <c r="A675" t="s">
        <v>5429</v>
      </c>
      <c r="B675" t="s">
        <v>5430</v>
      </c>
      <c r="C675" t="s">
        <v>5431</v>
      </c>
      <c r="D675" t="s">
        <v>586</v>
      </c>
      <c r="E675" t="s">
        <v>1056</v>
      </c>
      <c r="F675" t="s">
        <v>1071</v>
      </c>
      <c r="G675" t="s">
        <v>1886</v>
      </c>
      <c r="H675" t="s">
        <v>90</v>
      </c>
      <c r="I675" t="s">
        <v>90</v>
      </c>
      <c r="J675">
        <v>40.135618979999997</v>
      </c>
      <c r="K675">
        <v>5.8966563699999996</v>
      </c>
      <c r="L675">
        <v>6.0510830599999998</v>
      </c>
      <c r="M675">
        <v>5.3853858499999996</v>
      </c>
      <c r="N675">
        <v>6.1443972100000002</v>
      </c>
      <c r="O675">
        <v>13.75954165799331</v>
      </c>
      <c r="P675">
        <v>88.224846409999998</v>
      </c>
      <c r="Q675">
        <v>10.17473477997966</v>
      </c>
      <c r="R675" t="s">
        <v>30</v>
      </c>
      <c r="S675">
        <v>40.135618979999997</v>
      </c>
      <c r="T675" t="s">
        <v>2819</v>
      </c>
      <c r="U675" t="s">
        <v>1059</v>
      </c>
    </row>
    <row r="676" spans="1:21" x14ac:dyDescent="0.25">
      <c r="A676" t="s">
        <v>1375</v>
      </c>
      <c r="B676" t="s">
        <v>2730</v>
      </c>
      <c r="C676" t="s">
        <v>2943</v>
      </c>
      <c r="D676" t="s">
        <v>175</v>
      </c>
      <c r="E676" t="s">
        <v>4812</v>
      </c>
      <c r="F676" t="s">
        <v>1145</v>
      </c>
      <c r="G676" t="s">
        <v>2643</v>
      </c>
      <c r="H676">
        <v>4231141201863.1689</v>
      </c>
      <c r="I676">
        <v>944758610.26126993</v>
      </c>
      <c r="J676">
        <v>224.25134303460001</v>
      </c>
      <c r="S676">
        <v>206.81032440000001</v>
      </c>
      <c r="T676">
        <v>260.10000000000002</v>
      </c>
      <c r="U676" t="s">
        <v>2644</v>
      </c>
    </row>
    <row r="677" spans="1:21" x14ac:dyDescent="0.25">
      <c r="A677" t="s">
        <v>5643</v>
      </c>
      <c r="B677" t="s">
        <v>2273</v>
      </c>
      <c r="C677" t="s">
        <v>2274</v>
      </c>
      <c r="D677" t="s">
        <v>586</v>
      </c>
      <c r="E677" t="s">
        <v>1056</v>
      </c>
      <c r="F677" t="s">
        <v>1071</v>
      </c>
      <c r="G677" t="s">
        <v>1583</v>
      </c>
      <c r="H677" t="s">
        <v>90</v>
      </c>
      <c r="I677" t="s">
        <v>90</v>
      </c>
      <c r="J677">
        <v>47.774370210000001</v>
      </c>
      <c r="K677">
        <v>5.8179372699999998</v>
      </c>
      <c r="L677">
        <v>4.4759778600000004</v>
      </c>
      <c r="M677">
        <v>4.6641754400000002</v>
      </c>
      <c r="N677">
        <v>5.7130360500000004</v>
      </c>
      <c r="O677">
        <v>0.13927791994658101</v>
      </c>
      <c r="P677">
        <v>59.05129256</v>
      </c>
      <c r="Q677">
        <v>0.41063591414550699</v>
      </c>
      <c r="R677" t="s">
        <v>30</v>
      </c>
      <c r="S677">
        <v>47.774370210000001</v>
      </c>
      <c r="T677" t="s">
        <v>2819</v>
      </c>
      <c r="U677" t="s">
        <v>1059</v>
      </c>
    </row>
    <row r="678" spans="1:21" x14ac:dyDescent="0.25">
      <c r="A678" t="s">
        <v>1375</v>
      </c>
      <c r="B678" t="s">
        <v>2731</v>
      </c>
      <c r="C678" t="s">
        <v>2946</v>
      </c>
      <c r="D678" t="s">
        <v>175</v>
      </c>
      <c r="E678" t="s">
        <v>4812</v>
      </c>
      <c r="F678" t="s">
        <v>1145</v>
      </c>
      <c r="G678" t="s">
        <v>2643</v>
      </c>
      <c r="H678">
        <v>4231141201863.1689</v>
      </c>
      <c r="I678">
        <v>944758610.26126993</v>
      </c>
      <c r="J678">
        <v>224.25134303460001</v>
      </c>
      <c r="S678">
        <v>206.81032440000001</v>
      </c>
      <c r="T678">
        <v>260.10000000000002</v>
      </c>
      <c r="U678" t="s">
        <v>2644</v>
      </c>
    </row>
    <row r="679" spans="1:21" x14ac:dyDescent="0.25">
      <c r="A679" t="s">
        <v>1375</v>
      </c>
      <c r="B679" t="s">
        <v>876</v>
      </c>
      <c r="C679" t="s">
        <v>875</v>
      </c>
      <c r="D679" t="s">
        <v>175</v>
      </c>
      <c r="E679" t="s">
        <v>4812</v>
      </c>
      <c r="F679" t="s">
        <v>1145</v>
      </c>
      <c r="G679" t="s">
        <v>2643</v>
      </c>
      <c r="H679">
        <v>4231141201863.1689</v>
      </c>
      <c r="I679">
        <v>944758610.26126993</v>
      </c>
      <c r="J679">
        <v>224.25134303460001</v>
      </c>
      <c r="S679">
        <v>206.81032440000001</v>
      </c>
      <c r="T679">
        <v>260.10000000000002</v>
      </c>
      <c r="U679" t="s">
        <v>2644</v>
      </c>
    </row>
    <row r="680" spans="1:21" x14ac:dyDescent="0.25">
      <c r="A680" t="s">
        <v>5432</v>
      </c>
      <c r="B680" t="s">
        <v>5433</v>
      </c>
      <c r="C680" t="s">
        <v>5434</v>
      </c>
      <c r="D680" t="s">
        <v>586</v>
      </c>
      <c r="E680" t="s">
        <v>1056</v>
      </c>
      <c r="F680" t="s">
        <v>1689</v>
      </c>
      <c r="G680" t="s">
        <v>1690</v>
      </c>
      <c r="H680" t="s">
        <v>90</v>
      </c>
      <c r="I680" t="s">
        <v>90</v>
      </c>
      <c r="J680">
        <v>57.942105599999998</v>
      </c>
      <c r="K680">
        <v>7.9721217600000003</v>
      </c>
      <c r="L680">
        <v>6.3281708800000001</v>
      </c>
      <c r="M680">
        <v>5.3243825400000002</v>
      </c>
      <c r="N680">
        <v>6.7106525599999998</v>
      </c>
      <c r="O680">
        <v>19.927813844097201</v>
      </c>
      <c r="P680">
        <v>157.58534954999999</v>
      </c>
      <c r="Q680">
        <v>61.02820832024647</v>
      </c>
      <c r="R680" t="s">
        <v>1073</v>
      </c>
      <c r="S680">
        <v>57.942105599999998</v>
      </c>
      <c r="T680" t="s">
        <v>2819</v>
      </c>
      <c r="U680" t="s">
        <v>1059</v>
      </c>
    </row>
    <row r="681" spans="1:21" x14ac:dyDescent="0.25">
      <c r="A681" t="s">
        <v>1375</v>
      </c>
      <c r="B681" t="s">
        <v>2732</v>
      </c>
      <c r="C681" t="s">
        <v>2944</v>
      </c>
      <c r="D681" t="s">
        <v>175</v>
      </c>
      <c r="E681" t="s">
        <v>4812</v>
      </c>
      <c r="F681" t="s">
        <v>1145</v>
      </c>
      <c r="G681" t="s">
        <v>2643</v>
      </c>
      <c r="H681">
        <v>4231141201863.1689</v>
      </c>
      <c r="I681">
        <v>944758610.26126993</v>
      </c>
      <c r="J681">
        <v>224.25134303460001</v>
      </c>
      <c r="S681">
        <v>206.81032440000001</v>
      </c>
      <c r="T681">
        <v>260.10000000000002</v>
      </c>
      <c r="U681" t="s">
        <v>2644</v>
      </c>
    </row>
    <row r="682" spans="1:21" x14ac:dyDescent="0.25">
      <c r="A682" t="s">
        <v>1112</v>
      </c>
      <c r="B682" t="s">
        <v>2733</v>
      </c>
      <c r="C682" t="s">
        <v>2942</v>
      </c>
      <c r="D682" t="s">
        <v>175</v>
      </c>
      <c r="E682" t="s">
        <v>4812</v>
      </c>
      <c r="F682" t="s">
        <v>1139</v>
      </c>
      <c r="G682" t="s">
        <v>2643</v>
      </c>
      <c r="H682">
        <v>2139840023673.8101</v>
      </c>
      <c r="I682">
        <v>575011962.67492998</v>
      </c>
      <c r="J682">
        <v>268.68643512929998</v>
      </c>
      <c r="S682">
        <v>303.30465779999997</v>
      </c>
      <c r="T682">
        <v>107.4</v>
      </c>
      <c r="U682" t="s">
        <v>2644</v>
      </c>
    </row>
    <row r="683" spans="1:21" x14ac:dyDescent="0.25">
      <c r="A683" t="s">
        <v>1112</v>
      </c>
      <c r="B683" t="s">
        <v>2734</v>
      </c>
      <c r="C683" t="s">
        <v>2941</v>
      </c>
      <c r="D683" t="s">
        <v>175</v>
      </c>
      <c r="E683" t="s">
        <v>4812</v>
      </c>
      <c r="F683" t="s">
        <v>1139</v>
      </c>
      <c r="G683" t="s">
        <v>2643</v>
      </c>
      <c r="H683">
        <v>2139840023673.8101</v>
      </c>
      <c r="I683">
        <v>575011962.67492998</v>
      </c>
      <c r="J683">
        <v>268.68643512929998</v>
      </c>
      <c r="S683">
        <v>303.30465779999997</v>
      </c>
      <c r="T683">
        <v>107.4</v>
      </c>
      <c r="U683" t="s">
        <v>2644</v>
      </c>
    </row>
    <row r="684" spans="1:21" x14ac:dyDescent="0.25">
      <c r="A684" t="s">
        <v>5092</v>
      </c>
      <c r="B684" t="s">
        <v>2277</v>
      </c>
      <c r="C684" t="s">
        <v>2278</v>
      </c>
      <c r="D684" t="s">
        <v>586</v>
      </c>
      <c r="E684" t="s">
        <v>1056</v>
      </c>
      <c r="F684" t="s">
        <v>1136</v>
      </c>
      <c r="G684" t="s">
        <v>1137</v>
      </c>
      <c r="H684" t="s">
        <v>90</v>
      </c>
      <c r="I684" t="s">
        <v>90</v>
      </c>
      <c r="J684">
        <v>37.687857649999998</v>
      </c>
      <c r="K684">
        <v>6.1446485900000001</v>
      </c>
      <c r="L684">
        <v>5.6800852700000002</v>
      </c>
      <c r="M684">
        <v>5.2463495599999996</v>
      </c>
      <c r="N684">
        <v>4.7911613099999997</v>
      </c>
      <c r="O684">
        <v>25.7524246402286</v>
      </c>
      <c r="P684">
        <v>160.43392413999999</v>
      </c>
      <c r="Q684">
        <v>3.2417761390433841</v>
      </c>
      <c r="R684" t="s">
        <v>30</v>
      </c>
      <c r="S684">
        <v>37.687857649999998</v>
      </c>
      <c r="T684" t="s">
        <v>2819</v>
      </c>
      <c r="U684" t="s">
        <v>1059</v>
      </c>
    </row>
    <row r="685" spans="1:21" x14ac:dyDescent="0.25">
      <c r="A685" t="s">
        <v>2735</v>
      </c>
      <c r="B685" t="s">
        <v>2736</v>
      </c>
      <c r="C685" t="s">
        <v>3493</v>
      </c>
      <c r="D685" t="s">
        <v>175</v>
      </c>
      <c r="E685" t="s">
        <v>4812</v>
      </c>
      <c r="F685" t="s">
        <v>1296</v>
      </c>
      <c r="G685" t="s">
        <v>2643</v>
      </c>
      <c r="H685">
        <v>343939445259.48999</v>
      </c>
      <c r="I685">
        <v>100862710.85053</v>
      </c>
      <c r="J685">
        <v>277.44585591459997</v>
      </c>
      <c r="S685">
        <v>109.2079978</v>
      </c>
      <c r="T685">
        <v>60.4</v>
      </c>
      <c r="U685" t="s">
        <v>2644</v>
      </c>
    </row>
    <row r="686" spans="1:21" x14ac:dyDescent="0.25">
      <c r="A686" t="s">
        <v>2279</v>
      </c>
      <c r="B686" t="s">
        <v>592</v>
      </c>
      <c r="C686" t="s">
        <v>591</v>
      </c>
      <c r="D686" t="s">
        <v>586</v>
      </c>
      <c r="E686" t="s">
        <v>1056</v>
      </c>
      <c r="F686" t="s">
        <v>1136</v>
      </c>
      <c r="G686" t="s">
        <v>1437</v>
      </c>
      <c r="H686" t="s">
        <v>90</v>
      </c>
      <c r="I686" t="s">
        <v>90</v>
      </c>
      <c r="J686">
        <v>260.95498379999998</v>
      </c>
      <c r="K686">
        <v>3.8181467100000002</v>
      </c>
      <c r="L686">
        <v>5.2582394499999996</v>
      </c>
      <c r="M686">
        <v>5.0530192200000004</v>
      </c>
      <c r="N686">
        <v>4.7290976300000001</v>
      </c>
      <c r="O686">
        <v>5.9931332422140171</v>
      </c>
      <c r="P686">
        <v>751.92434037999999</v>
      </c>
      <c r="Q686">
        <v>0.83670240111522898</v>
      </c>
      <c r="R686" t="s">
        <v>1138</v>
      </c>
      <c r="S686">
        <v>260.95498379999998</v>
      </c>
      <c r="T686" t="s">
        <v>2819</v>
      </c>
      <c r="U686" t="s">
        <v>1059</v>
      </c>
    </row>
    <row r="687" spans="1:21" x14ac:dyDescent="0.25">
      <c r="A687" t="s">
        <v>2735</v>
      </c>
      <c r="B687" t="s">
        <v>2737</v>
      </c>
      <c r="C687" t="s">
        <v>3500</v>
      </c>
      <c r="D687" t="s">
        <v>175</v>
      </c>
      <c r="E687" t="s">
        <v>4812</v>
      </c>
      <c r="F687" t="s">
        <v>1296</v>
      </c>
      <c r="G687" t="s">
        <v>2643</v>
      </c>
      <c r="H687">
        <v>343939445259.48999</v>
      </c>
      <c r="I687">
        <v>100862710.85053</v>
      </c>
      <c r="J687">
        <v>277.44585591459997</v>
      </c>
      <c r="S687">
        <v>109.2079978</v>
      </c>
      <c r="T687">
        <v>60.4</v>
      </c>
      <c r="U687" t="s">
        <v>2644</v>
      </c>
    </row>
    <row r="688" spans="1:21" x14ac:dyDescent="0.25">
      <c r="A688" t="s">
        <v>2280</v>
      </c>
      <c r="B688" t="s">
        <v>2281</v>
      </c>
      <c r="C688" t="s">
        <v>2282</v>
      </c>
      <c r="D688" t="s">
        <v>586</v>
      </c>
      <c r="E688" t="s">
        <v>1056</v>
      </c>
      <c r="F688" t="s">
        <v>1163</v>
      </c>
      <c r="G688" t="s">
        <v>1164</v>
      </c>
      <c r="H688" t="s">
        <v>90</v>
      </c>
      <c r="I688" t="s">
        <v>90</v>
      </c>
      <c r="J688">
        <v>53.881969079999998</v>
      </c>
      <c r="K688">
        <v>7.8109790600000002</v>
      </c>
      <c r="L688">
        <v>6.4671868000000003</v>
      </c>
      <c r="M688">
        <v>5.1505403200000002</v>
      </c>
      <c r="N688">
        <v>6.5603007199999999</v>
      </c>
      <c r="O688">
        <v>41.541869162616749</v>
      </c>
      <c r="P688">
        <v>81.546795309999993</v>
      </c>
      <c r="Q688">
        <v>66.727565448691024</v>
      </c>
      <c r="R688" t="s">
        <v>1073</v>
      </c>
      <c r="S688">
        <v>53.881969079999998</v>
      </c>
      <c r="T688" t="s">
        <v>2819</v>
      </c>
      <c r="U688" t="s">
        <v>1059</v>
      </c>
    </row>
    <row r="689" spans="1:21" x14ac:dyDescent="0.25">
      <c r="A689" t="s">
        <v>2735</v>
      </c>
      <c r="B689" t="s">
        <v>845</v>
      </c>
      <c r="C689" t="s">
        <v>3498</v>
      </c>
      <c r="D689" t="s">
        <v>175</v>
      </c>
      <c r="E689" t="s">
        <v>4812</v>
      </c>
      <c r="F689" t="s">
        <v>1296</v>
      </c>
      <c r="G689" t="s">
        <v>2643</v>
      </c>
      <c r="H689">
        <v>343939445259.48999</v>
      </c>
      <c r="I689">
        <v>100862710.85053</v>
      </c>
      <c r="J689">
        <v>277.44585591459997</v>
      </c>
      <c r="S689">
        <v>109.2079978</v>
      </c>
      <c r="T689">
        <v>60.4</v>
      </c>
      <c r="U689" t="s">
        <v>2644</v>
      </c>
    </row>
    <row r="690" spans="1:21" x14ac:dyDescent="0.25">
      <c r="A690" t="s">
        <v>2283</v>
      </c>
      <c r="B690" t="s">
        <v>2284</v>
      </c>
      <c r="C690" t="s">
        <v>2285</v>
      </c>
      <c r="D690" t="s">
        <v>586</v>
      </c>
      <c r="E690" t="s">
        <v>1056</v>
      </c>
      <c r="F690" t="s">
        <v>1375</v>
      </c>
      <c r="G690" t="s">
        <v>1376</v>
      </c>
      <c r="H690" t="s">
        <v>90</v>
      </c>
      <c r="I690" t="s">
        <v>90</v>
      </c>
      <c r="J690">
        <v>57.913949559999999</v>
      </c>
      <c r="K690">
        <v>7.2967991100000003</v>
      </c>
      <c r="L690">
        <v>5.7886928099999997</v>
      </c>
      <c r="M690">
        <v>5.5012981999999999</v>
      </c>
      <c r="N690">
        <v>5.9967529199999996</v>
      </c>
      <c r="O690">
        <v>32.171092418494688</v>
      </c>
      <c r="P690">
        <v>72.901105670000007</v>
      </c>
      <c r="Q690">
        <v>30.132497663422949</v>
      </c>
      <c r="R690" t="s">
        <v>1073</v>
      </c>
      <c r="S690">
        <v>57.913949559999999</v>
      </c>
      <c r="T690" t="s">
        <v>2819</v>
      </c>
      <c r="U690" t="s">
        <v>1059</v>
      </c>
    </row>
    <row r="691" spans="1:21" x14ac:dyDescent="0.25">
      <c r="A691" t="s">
        <v>2735</v>
      </c>
      <c r="B691" t="s">
        <v>846</v>
      </c>
      <c r="C691" t="s">
        <v>3491</v>
      </c>
      <c r="D691" t="s">
        <v>175</v>
      </c>
      <c r="E691" t="s">
        <v>4812</v>
      </c>
      <c r="F691" t="s">
        <v>1296</v>
      </c>
      <c r="G691" t="s">
        <v>2643</v>
      </c>
      <c r="H691">
        <v>343939445259.48999</v>
      </c>
      <c r="I691">
        <v>100862710.85053</v>
      </c>
      <c r="J691">
        <v>277.44585591459997</v>
      </c>
      <c r="S691">
        <v>109.2079978</v>
      </c>
      <c r="T691">
        <v>60.4</v>
      </c>
      <c r="U691" t="s">
        <v>2644</v>
      </c>
    </row>
    <row r="692" spans="1:21" x14ac:dyDescent="0.25">
      <c r="A692" t="s">
        <v>2735</v>
      </c>
      <c r="B692" t="s">
        <v>2738</v>
      </c>
      <c r="C692" t="s">
        <v>3488</v>
      </c>
      <c r="D692" t="s">
        <v>175</v>
      </c>
      <c r="E692" t="s">
        <v>4812</v>
      </c>
      <c r="F692" t="s">
        <v>1296</v>
      </c>
      <c r="G692" t="s">
        <v>2643</v>
      </c>
      <c r="H692">
        <v>343939445259.48999</v>
      </c>
      <c r="I692">
        <v>100862710.85053</v>
      </c>
      <c r="J692">
        <v>277.44585591459997</v>
      </c>
      <c r="S692">
        <v>109.2079978</v>
      </c>
      <c r="T692">
        <v>60.4</v>
      </c>
      <c r="U692" t="s">
        <v>2644</v>
      </c>
    </row>
    <row r="693" spans="1:21" x14ac:dyDescent="0.25">
      <c r="A693" t="s">
        <v>2286</v>
      </c>
      <c r="B693" t="s">
        <v>2287</v>
      </c>
      <c r="C693" t="s">
        <v>2288</v>
      </c>
      <c r="D693" t="s">
        <v>586</v>
      </c>
      <c r="E693" t="s">
        <v>1056</v>
      </c>
      <c r="F693" t="s">
        <v>1071</v>
      </c>
      <c r="G693" t="s">
        <v>1445</v>
      </c>
      <c r="H693" t="s">
        <v>90</v>
      </c>
      <c r="I693" t="s">
        <v>90</v>
      </c>
      <c r="J693">
        <v>3.57966271</v>
      </c>
      <c r="K693">
        <v>6.6743613799999997</v>
      </c>
      <c r="L693">
        <v>6.1591770600000002</v>
      </c>
      <c r="M693">
        <v>4.9603231399999999</v>
      </c>
      <c r="N693">
        <v>5.3471720500000002</v>
      </c>
      <c r="O693">
        <v>55.10878978242043</v>
      </c>
      <c r="P693">
        <v>15.118649509999999</v>
      </c>
      <c r="Q693">
        <v>25.31014937970124</v>
      </c>
      <c r="R693" t="s">
        <v>30</v>
      </c>
      <c r="S693">
        <v>3.57966271</v>
      </c>
      <c r="T693" t="s">
        <v>2819</v>
      </c>
      <c r="U693" t="s">
        <v>1059</v>
      </c>
    </row>
    <row r="694" spans="1:21" x14ac:dyDescent="0.25">
      <c r="A694" t="s">
        <v>2735</v>
      </c>
      <c r="B694" t="s">
        <v>2739</v>
      </c>
      <c r="C694" t="s">
        <v>3490</v>
      </c>
      <c r="D694" t="s">
        <v>175</v>
      </c>
      <c r="E694" t="s">
        <v>4812</v>
      </c>
      <c r="F694" t="s">
        <v>1296</v>
      </c>
      <c r="G694" t="s">
        <v>2643</v>
      </c>
      <c r="H694">
        <v>343939445259.48999</v>
      </c>
      <c r="I694">
        <v>100862710.85053</v>
      </c>
      <c r="J694">
        <v>277.44585591459997</v>
      </c>
      <c r="S694">
        <v>109.2079978</v>
      </c>
      <c r="T694">
        <v>60.4</v>
      </c>
      <c r="U694" t="s">
        <v>2644</v>
      </c>
    </row>
    <row r="695" spans="1:21" x14ac:dyDescent="0.25">
      <c r="A695" t="s">
        <v>5093</v>
      </c>
      <c r="B695" t="s">
        <v>2289</v>
      </c>
      <c r="C695" t="s">
        <v>5822</v>
      </c>
      <c r="D695" t="s">
        <v>586</v>
      </c>
      <c r="E695" t="s">
        <v>1056</v>
      </c>
      <c r="F695" t="s">
        <v>1136</v>
      </c>
      <c r="G695" t="s">
        <v>1437</v>
      </c>
      <c r="H695" t="s">
        <v>90</v>
      </c>
      <c r="I695" t="s">
        <v>90</v>
      </c>
      <c r="J695">
        <v>662.49836347999997</v>
      </c>
      <c r="K695">
        <v>3.6004401700000002</v>
      </c>
      <c r="L695">
        <v>4.9781319699999997</v>
      </c>
      <c r="M695">
        <v>5.1176576699999998</v>
      </c>
      <c r="N695">
        <v>4.8503367900000001</v>
      </c>
      <c r="O695">
        <v>5.0351764270163164</v>
      </c>
      <c r="P695">
        <v>1092.9316786300001</v>
      </c>
      <c r="Q695">
        <v>0.58168046111166805</v>
      </c>
      <c r="R695" t="s">
        <v>1138</v>
      </c>
      <c r="S695">
        <v>662.49836347999997</v>
      </c>
      <c r="T695" t="s">
        <v>2819</v>
      </c>
      <c r="U695" t="s">
        <v>1059</v>
      </c>
    </row>
    <row r="696" spans="1:21" x14ac:dyDescent="0.25">
      <c r="A696" t="s">
        <v>2735</v>
      </c>
      <c r="B696" t="s">
        <v>2740</v>
      </c>
      <c r="C696" t="s">
        <v>3492</v>
      </c>
      <c r="D696" t="s">
        <v>175</v>
      </c>
      <c r="E696" t="s">
        <v>4812</v>
      </c>
      <c r="F696" t="s">
        <v>1296</v>
      </c>
      <c r="G696" t="s">
        <v>2643</v>
      </c>
      <c r="H696">
        <v>343939445259.48999</v>
      </c>
      <c r="I696">
        <v>100862710.85053</v>
      </c>
      <c r="J696">
        <v>277.44585591459997</v>
      </c>
      <c r="S696">
        <v>109.2079978</v>
      </c>
      <c r="T696">
        <v>60.4</v>
      </c>
      <c r="U696" t="s">
        <v>2644</v>
      </c>
    </row>
    <row r="697" spans="1:21" x14ac:dyDescent="0.25">
      <c r="A697" t="s">
        <v>5093</v>
      </c>
      <c r="B697" t="s">
        <v>2289</v>
      </c>
      <c r="C697" t="s">
        <v>2290</v>
      </c>
      <c r="D697" t="s">
        <v>586</v>
      </c>
      <c r="E697" t="s">
        <v>1056</v>
      </c>
      <c r="F697" t="s">
        <v>1136</v>
      </c>
      <c r="G697" t="s">
        <v>1437</v>
      </c>
      <c r="H697" t="s">
        <v>90</v>
      </c>
      <c r="I697" t="s">
        <v>90</v>
      </c>
      <c r="J697">
        <v>662.49836347999997</v>
      </c>
      <c r="K697">
        <v>3.6004401700000002</v>
      </c>
      <c r="L697">
        <v>4.9781319699999997</v>
      </c>
      <c r="M697">
        <v>5.1176576699999998</v>
      </c>
      <c r="N697">
        <v>4.8503367900000001</v>
      </c>
      <c r="O697">
        <v>5.0351764270163164</v>
      </c>
      <c r="P697">
        <v>1092.9316786300001</v>
      </c>
      <c r="Q697">
        <v>0.58168046111166805</v>
      </c>
      <c r="R697" t="s">
        <v>1138</v>
      </c>
      <c r="S697">
        <v>662.49836347999997</v>
      </c>
      <c r="T697" t="s">
        <v>2819</v>
      </c>
      <c r="U697" t="s">
        <v>1059</v>
      </c>
    </row>
    <row r="698" spans="1:21" x14ac:dyDescent="0.25">
      <c r="A698" t="s">
        <v>2735</v>
      </c>
      <c r="B698" t="s">
        <v>2741</v>
      </c>
      <c r="C698" t="s">
        <v>3489</v>
      </c>
      <c r="D698" t="s">
        <v>175</v>
      </c>
      <c r="E698" t="s">
        <v>4812</v>
      </c>
      <c r="F698" t="s">
        <v>1296</v>
      </c>
      <c r="G698" t="s">
        <v>2643</v>
      </c>
      <c r="H698">
        <v>343939445259.48999</v>
      </c>
      <c r="I698">
        <v>100862710.85053</v>
      </c>
      <c r="J698">
        <v>277.44585591459997</v>
      </c>
      <c r="S698">
        <v>109.2079978</v>
      </c>
      <c r="T698">
        <v>60.4</v>
      </c>
      <c r="U698" t="s">
        <v>2644</v>
      </c>
    </row>
    <row r="699" spans="1:21" x14ac:dyDescent="0.25">
      <c r="A699" t="s">
        <v>2291</v>
      </c>
      <c r="B699" t="s">
        <v>2292</v>
      </c>
      <c r="C699" t="s">
        <v>2293</v>
      </c>
      <c r="D699" t="s">
        <v>586</v>
      </c>
      <c r="E699" t="s">
        <v>1056</v>
      </c>
      <c r="F699" t="s">
        <v>1605</v>
      </c>
      <c r="G699" t="s">
        <v>1606</v>
      </c>
      <c r="H699" t="s">
        <v>90</v>
      </c>
      <c r="I699" t="s">
        <v>90</v>
      </c>
      <c r="J699">
        <v>28.60782902</v>
      </c>
      <c r="K699">
        <v>6.2781695700000002</v>
      </c>
      <c r="L699">
        <v>5.9813494699999996</v>
      </c>
      <c r="M699">
        <v>5.1718213100000003</v>
      </c>
      <c r="N699">
        <v>4.9459235699999997</v>
      </c>
      <c r="O699">
        <v>35.554028112587829</v>
      </c>
      <c r="P699">
        <v>82.144501210000001</v>
      </c>
      <c r="Q699">
        <v>6.7608662565482298</v>
      </c>
      <c r="R699" t="s">
        <v>30</v>
      </c>
      <c r="S699">
        <v>28.60782902</v>
      </c>
      <c r="T699" t="s">
        <v>2819</v>
      </c>
      <c r="U699" t="s">
        <v>1059</v>
      </c>
    </row>
    <row r="700" spans="1:21" x14ac:dyDescent="0.25">
      <c r="A700" t="s">
        <v>2735</v>
      </c>
      <c r="B700" t="s">
        <v>5247</v>
      </c>
      <c r="C700" t="s">
        <v>5248</v>
      </c>
      <c r="D700" t="s">
        <v>175</v>
      </c>
      <c r="E700" t="s">
        <v>4812</v>
      </c>
      <c r="F700" t="s">
        <v>1296</v>
      </c>
      <c r="G700" t="s">
        <v>2643</v>
      </c>
      <c r="H700">
        <v>343939445259.48999</v>
      </c>
      <c r="I700">
        <v>100862710.85053</v>
      </c>
      <c r="J700">
        <v>277.44585591459997</v>
      </c>
      <c r="S700">
        <v>109.2079978</v>
      </c>
      <c r="T700">
        <v>60.4</v>
      </c>
      <c r="U700" t="s">
        <v>2644</v>
      </c>
    </row>
    <row r="701" spans="1:21" x14ac:dyDescent="0.25">
      <c r="A701" t="s">
        <v>2294</v>
      </c>
      <c r="B701" t="s">
        <v>2295</v>
      </c>
      <c r="C701" t="s">
        <v>2296</v>
      </c>
      <c r="D701" t="s">
        <v>586</v>
      </c>
      <c r="E701" t="s">
        <v>1056</v>
      </c>
      <c r="F701" t="s">
        <v>1136</v>
      </c>
      <c r="G701" t="s">
        <v>2148</v>
      </c>
      <c r="H701" t="s">
        <v>90</v>
      </c>
      <c r="I701" t="s">
        <v>90</v>
      </c>
      <c r="J701">
        <v>236.31875568000001</v>
      </c>
      <c r="K701">
        <v>5.7069148500000004</v>
      </c>
      <c r="L701">
        <v>5.1723901799999998</v>
      </c>
      <c r="M701">
        <v>5.26452879</v>
      </c>
      <c r="N701">
        <v>4.5043937999999999</v>
      </c>
      <c r="O701">
        <v>12.39750813651391</v>
      </c>
      <c r="P701">
        <v>463.83699940000002</v>
      </c>
      <c r="Q701">
        <v>9.6361800659470109</v>
      </c>
      <c r="R701" t="s">
        <v>1063</v>
      </c>
      <c r="S701">
        <v>236.31875568000001</v>
      </c>
      <c r="T701" t="s">
        <v>2819</v>
      </c>
      <c r="U701" t="s">
        <v>1059</v>
      </c>
    </row>
    <row r="702" spans="1:21" x14ac:dyDescent="0.25">
      <c r="A702" t="s">
        <v>2735</v>
      </c>
      <c r="B702" t="s">
        <v>2742</v>
      </c>
      <c r="C702" t="s">
        <v>3487</v>
      </c>
      <c r="D702" t="s">
        <v>175</v>
      </c>
      <c r="E702" t="s">
        <v>4812</v>
      </c>
      <c r="F702" t="s">
        <v>1296</v>
      </c>
      <c r="G702" t="s">
        <v>2643</v>
      </c>
      <c r="H702">
        <v>343939445259.48999</v>
      </c>
      <c r="I702">
        <v>100862710.85053</v>
      </c>
      <c r="J702">
        <v>277.44585591459997</v>
      </c>
      <c r="S702">
        <v>109.2079978</v>
      </c>
      <c r="T702">
        <v>60.4</v>
      </c>
      <c r="U702" t="s">
        <v>2644</v>
      </c>
    </row>
    <row r="703" spans="1:21" x14ac:dyDescent="0.25">
      <c r="A703" t="s">
        <v>2297</v>
      </c>
      <c r="B703" t="s">
        <v>2298</v>
      </c>
      <c r="C703" t="s">
        <v>2299</v>
      </c>
      <c r="D703" t="s">
        <v>586</v>
      </c>
      <c r="E703" t="s">
        <v>1056</v>
      </c>
      <c r="F703" t="s">
        <v>1071</v>
      </c>
      <c r="G703" t="s">
        <v>2071</v>
      </c>
      <c r="H703" t="s">
        <v>90</v>
      </c>
      <c r="I703" t="s">
        <v>90</v>
      </c>
      <c r="J703">
        <v>100.74551717</v>
      </c>
      <c r="K703">
        <v>6.0313133800000003</v>
      </c>
      <c r="L703">
        <v>6.0115179200000002</v>
      </c>
      <c r="M703">
        <v>4.9653130900000004</v>
      </c>
      <c r="N703">
        <v>5.6543421</v>
      </c>
      <c r="O703">
        <v>26.330163935137339</v>
      </c>
      <c r="P703">
        <v>227.52974040999999</v>
      </c>
      <c r="Q703">
        <v>24.789580609936419</v>
      </c>
      <c r="R703" t="s">
        <v>30</v>
      </c>
      <c r="S703">
        <v>100.74551717</v>
      </c>
      <c r="T703" t="s">
        <v>2819</v>
      </c>
      <c r="U703" t="s">
        <v>1059</v>
      </c>
    </row>
    <row r="704" spans="1:21" x14ac:dyDescent="0.25">
      <c r="A704" t="s">
        <v>2300</v>
      </c>
      <c r="B704" t="s">
        <v>2301</v>
      </c>
      <c r="C704" t="s">
        <v>2302</v>
      </c>
      <c r="D704" t="s">
        <v>586</v>
      </c>
      <c r="E704" t="s">
        <v>1056</v>
      </c>
      <c r="F704" t="s">
        <v>1131</v>
      </c>
      <c r="G704" t="s">
        <v>2303</v>
      </c>
      <c r="H704" t="s">
        <v>90</v>
      </c>
      <c r="I704" t="s">
        <v>90</v>
      </c>
      <c r="J704">
        <v>199.33143684000001</v>
      </c>
      <c r="K704">
        <v>3.40402446</v>
      </c>
      <c r="L704">
        <v>2.3619200400000002</v>
      </c>
      <c r="M704">
        <v>4.5346127699999998</v>
      </c>
      <c r="N704">
        <v>3.86719999</v>
      </c>
      <c r="O704">
        <v>0</v>
      </c>
      <c r="P704">
        <v>164.69515010999999</v>
      </c>
      <c r="Q704">
        <v>0</v>
      </c>
      <c r="R704" t="s">
        <v>1138</v>
      </c>
      <c r="S704">
        <v>199.33143684000001</v>
      </c>
      <c r="T704" t="s">
        <v>2819</v>
      </c>
      <c r="U704" t="s">
        <v>1059</v>
      </c>
    </row>
    <row r="705" spans="1:21" x14ac:dyDescent="0.25">
      <c r="A705" t="s">
        <v>2735</v>
      </c>
      <c r="B705" t="s">
        <v>882</v>
      </c>
      <c r="C705" t="s">
        <v>881</v>
      </c>
      <c r="D705" t="s">
        <v>175</v>
      </c>
      <c r="E705" t="s">
        <v>4812</v>
      </c>
      <c r="F705" t="s">
        <v>1296</v>
      </c>
      <c r="G705" t="s">
        <v>2643</v>
      </c>
      <c r="H705">
        <v>343939445259.48999</v>
      </c>
      <c r="I705">
        <v>100862710.85053</v>
      </c>
      <c r="J705">
        <v>277.44585591459997</v>
      </c>
      <c r="S705">
        <v>109.2079978</v>
      </c>
      <c r="T705">
        <v>60.4</v>
      </c>
      <c r="U705" t="s">
        <v>2644</v>
      </c>
    </row>
    <row r="706" spans="1:21" x14ac:dyDescent="0.25">
      <c r="A706" t="s">
        <v>2304</v>
      </c>
      <c r="B706" t="s">
        <v>2305</v>
      </c>
      <c r="C706" t="s">
        <v>2306</v>
      </c>
      <c r="D706" t="s">
        <v>586</v>
      </c>
      <c r="E706" t="s">
        <v>1056</v>
      </c>
      <c r="F706" t="s">
        <v>1136</v>
      </c>
      <c r="G706" t="s">
        <v>1437</v>
      </c>
      <c r="H706" t="s">
        <v>90</v>
      </c>
      <c r="I706" t="s">
        <v>90</v>
      </c>
      <c r="J706">
        <v>421.32915112000001</v>
      </c>
      <c r="K706">
        <v>4.1132795199999999</v>
      </c>
      <c r="L706">
        <v>4.73763997</v>
      </c>
      <c r="M706">
        <v>4.9048284300000002</v>
      </c>
      <c r="N706">
        <v>3.7409288599999999</v>
      </c>
      <c r="O706">
        <v>3.2321104032274168</v>
      </c>
      <c r="P706">
        <v>578.38781101999996</v>
      </c>
      <c r="Q706">
        <v>6.7682890295779989</v>
      </c>
      <c r="R706" t="s">
        <v>1138</v>
      </c>
      <c r="S706">
        <v>421.32915112000001</v>
      </c>
      <c r="T706" t="s">
        <v>2819</v>
      </c>
      <c r="U706" t="s">
        <v>1059</v>
      </c>
    </row>
    <row r="707" spans="1:21" x14ac:dyDescent="0.25">
      <c r="A707" t="s">
        <v>2735</v>
      </c>
      <c r="B707" t="s">
        <v>888</v>
      </c>
      <c r="C707" t="s">
        <v>887</v>
      </c>
      <c r="D707" t="s">
        <v>175</v>
      </c>
      <c r="E707" t="s">
        <v>4812</v>
      </c>
      <c r="F707" t="s">
        <v>1296</v>
      </c>
      <c r="G707" t="s">
        <v>2643</v>
      </c>
      <c r="H707">
        <v>343939445259.48999</v>
      </c>
      <c r="I707">
        <v>100862710.85053</v>
      </c>
      <c r="J707">
        <v>277.44585591459997</v>
      </c>
      <c r="S707">
        <v>109.2079978</v>
      </c>
      <c r="T707">
        <v>60.4</v>
      </c>
      <c r="U707" t="s">
        <v>2644</v>
      </c>
    </row>
    <row r="708" spans="1:21" x14ac:dyDescent="0.25">
      <c r="A708" t="s">
        <v>2307</v>
      </c>
      <c r="B708" t="s">
        <v>2308</v>
      </c>
      <c r="C708" t="s">
        <v>2309</v>
      </c>
      <c r="D708" t="s">
        <v>586</v>
      </c>
      <c r="E708" t="s">
        <v>1056</v>
      </c>
      <c r="F708" t="s">
        <v>1136</v>
      </c>
      <c r="G708" t="s">
        <v>1494</v>
      </c>
      <c r="H708" t="s">
        <v>90</v>
      </c>
      <c r="I708" t="s">
        <v>90</v>
      </c>
      <c r="J708">
        <v>0.14172051999999999</v>
      </c>
      <c r="K708">
        <v>4.5670846999999997</v>
      </c>
      <c r="L708">
        <v>5.4227636600000002</v>
      </c>
      <c r="M708">
        <v>5.9386617800000003</v>
      </c>
      <c r="N708">
        <v>5.7570829300000002</v>
      </c>
      <c r="O708">
        <v>0</v>
      </c>
      <c r="P708">
        <v>4.7318190199999997</v>
      </c>
      <c r="Q708">
        <v>0</v>
      </c>
      <c r="R708" t="s">
        <v>1063</v>
      </c>
      <c r="S708">
        <v>0.14172051999999999</v>
      </c>
      <c r="T708" t="s">
        <v>2819</v>
      </c>
      <c r="U708" t="s">
        <v>1059</v>
      </c>
    </row>
    <row r="709" spans="1:21" x14ac:dyDescent="0.25">
      <c r="A709" t="s">
        <v>2735</v>
      </c>
      <c r="B709" t="s">
        <v>5435</v>
      </c>
      <c r="C709" t="s">
        <v>5436</v>
      </c>
      <c r="D709" t="s">
        <v>175</v>
      </c>
      <c r="E709" t="s">
        <v>4812</v>
      </c>
      <c r="F709" t="s">
        <v>1296</v>
      </c>
      <c r="G709" t="s">
        <v>2643</v>
      </c>
      <c r="H709">
        <v>343939445259.48999</v>
      </c>
      <c r="I709">
        <v>100862710.85053</v>
      </c>
      <c r="J709">
        <v>277.44585591459997</v>
      </c>
      <c r="S709">
        <v>109.2079978</v>
      </c>
      <c r="T709">
        <v>60.4</v>
      </c>
      <c r="U709" t="s">
        <v>2644</v>
      </c>
    </row>
    <row r="710" spans="1:21" x14ac:dyDescent="0.25">
      <c r="A710" t="s">
        <v>2735</v>
      </c>
      <c r="B710" t="s">
        <v>2743</v>
      </c>
      <c r="C710" t="s">
        <v>3146</v>
      </c>
      <c r="D710" t="s">
        <v>175</v>
      </c>
      <c r="E710" t="s">
        <v>4812</v>
      </c>
      <c r="F710" t="s">
        <v>1296</v>
      </c>
      <c r="G710" t="s">
        <v>2643</v>
      </c>
      <c r="H710">
        <v>343939445259.48999</v>
      </c>
      <c r="I710">
        <v>100862710.85053</v>
      </c>
      <c r="J710">
        <v>277.44585591459997</v>
      </c>
      <c r="S710">
        <v>109.2079978</v>
      </c>
      <c r="T710">
        <v>60.4</v>
      </c>
      <c r="U710" t="s">
        <v>2644</v>
      </c>
    </row>
    <row r="711" spans="1:21" x14ac:dyDescent="0.25">
      <c r="A711" t="s">
        <v>2310</v>
      </c>
      <c r="B711" t="s">
        <v>2311</v>
      </c>
      <c r="C711" t="s">
        <v>2312</v>
      </c>
      <c r="D711" t="s">
        <v>586</v>
      </c>
      <c r="E711" t="s">
        <v>1056</v>
      </c>
      <c r="F711" t="s">
        <v>1766</v>
      </c>
      <c r="G711" t="s">
        <v>1266</v>
      </c>
      <c r="H711" t="s">
        <v>90</v>
      </c>
      <c r="I711" t="s">
        <v>90</v>
      </c>
      <c r="J711">
        <v>42.386578610000001</v>
      </c>
      <c r="K711">
        <v>6.1300629300000002</v>
      </c>
      <c r="L711">
        <v>5.8720501900000004</v>
      </c>
      <c r="M711">
        <v>5.46483542</v>
      </c>
      <c r="N711">
        <v>4.8790597800000004</v>
      </c>
      <c r="O711">
        <v>22.871954256091492</v>
      </c>
      <c r="P711">
        <v>113.76447025</v>
      </c>
      <c r="Q711">
        <v>10.58807882384235</v>
      </c>
      <c r="R711" t="s">
        <v>30</v>
      </c>
      <c r="S711">
        <v>42.386578610000001</v>
      </c>
      <c r="T711" t="s">
        <v>2819</v>
      </c>
      <c r="U711" t="s">
        <v>1059</v>
      </c>
    </row>
    <row r="712" spans="1:21" x14ac:dyDescent="0.25">
      <c r="A712" t="s">
        <v>2735</v>
      </c>
      <c r="B712" t="s">
        <v>2744</v>
      </c>
      <c r="C712" t="s">
        <v>3148</v>
      </c>
      <c r="D712" t="s">
        <v>175</v>
      </c>
      <c r="E712" t="s">
        <v>4812</v>
      </c>
      <c r="F712" t="s">
        <v>1296</v>
      </c>
      <c r="G712" t="s">
        <v>2643</v>
      </c>
      <c r="H712">
        <v>343939445259.48999</v>
      </c>
      <c r="I712">
        <v>100862710.85053</v>
      </c>
      <c r="J712">
        <v>277.44585591459997</v>
      </c>
      <c r="S712">
        <v>109.2079978</v>
      </c>
      <c r="T712">
        <v>60.4</v>
      </c>
      <c r="U712" t="s">
        <v>2644</v>
      </c>
    </row>
    <row r="713" spans="1:21" x14ac:dyDescent="0.25">
      <c r="A713" t="s">
        <v>2314</v>
      </c>
      <c r="B713" t="s">
        <v>2315</v>
      </c>
      <c r="C713" t="s">
        <v>2316</v>
      </c>
      <c r="D713" t="s">
        <v>586</v>
      </c>
      <c r="E713" t="s">
        <v>1056</v>
      </c>
      <c r="F713" t="s">
        <v>1071</v>
      </c>
      <c r="G713" t="s">
        <v>2317</v>
      </c>
      <c r="H713" t="s">
        <v>90</v>
      </c>
      <c r="I713" t="s">
        <v>90</v>
      </c>
      <c r="J713">
        <v>0.85480381000000005</v>
      </c>
      <c r="K713">
        <v>7.9852567299999997</v>
      </c>
      <c r="L713">
        <v>8.1640548299999995</v>
      </c>
      <c r="M713">
        <v>4.9093064599999998</v>
      </c>
      <c r="N713">
        <v>6.4335164999999996</v>
      </c>
      <c r="O713">
        <v>49.200401599196802</v>
      </c>
      <c r="P713">
        <v>4.5645166000000001</v>
      </c>
      <c r="Q713">
        <v>67.117365765268474</v>
      </c>
      <c r="R713" t="s">
        <v>1073</v>
      </c>
      <c r="S713">
        <v>0.85480381000000005</v>
      </c>
      <c r="T713" t="s">
        <v>2819</v>
      </c>
      <c r="U713" t="s">
        <v>1059</v>
      </c>
    </row>
    <row r="714" spans="1:21" x14ac:dyDescent="0.25">
      <c r="A714" t="s">
        <v>2735</v>
      </c>
      <c r="B714" t="s">
        <v>186</v>
      </c>
      <c r="C714" t="s">
        <v>185</v>
      </c>
      <c r="D714" t="s">
        <v>175</v>
      </c>
      <c r="E714" t="s">
        <v>4812</v>
      </c>
      <c r="F714" t="s">
        <v>1296</v>
      </c>
      <c r="G714" t="s">
        <v>2643</v>
      </c>
      <c r="H714">
        <v>343939445259.48999</v>
      </c>
      <c r="I714">
        <v>100862710.85053</v>
      </c>
      <c r="J714">
        <v>277.44585591459997</v>
      </c>
      <c r="S714">
        <v>109.2079978</v>
      </c>
      <c r="T714">
        <v>60.4</v>
      </c>
      <c r="U714" t="s">
        <v>2644</v>
      </c>
    </row>
    <row r="715" spans="1:21" x14ac:dyDescent="0.25">
      <c r="A715" t="s">
        <v>2735</v>
      </c>
      <c r="B715" t="s">
        <v>2745</v>
      </c>
      <c r="C715" t="s">
        <v>3140</v>
      </c>
      <c r="D715" t="s">
        <v>175</v>
      </c>
      <c r="E715" t="s">
        <v>4812</v>
      </c>
      <c r="F715" t="s">
        <v>1296</v>
      </c>
      <c r="G715" t="s">
        <v>2643</v>
      </c>
      <c r="H715">
        <v>343939445259.48999</v>
      </c>
      <c r="I715">
        <v>100862710.85053</v>
      </c>
      <c r="J715">
        <v>277.44585591459997</v>
      </c>
      <c r="S715">
        <v>109.2079978</v>
      </c>
      <c r="T715">
        <v>60.4</v>
      </c>
      <c r="U715" t="s">
        <v>2644</v>
      </c>
    </row>
    <row r="716" spans="1:21" x14ac:dyDescent="0.25">
      <c r="A716" t="s">
        <v>5094</v>
      </c>
      <c r="B716" t="s">
        <v>2318</v>
      </c>
      <c r="C716" t="s">
        <v>2319</v>
      </c>
      <c r="D716" t="s">
        <v>586</v>
      </c>
      <c r="E716" t="s">
        <v>1056</v>
      </c>
      <c r="F716" t="s">
        <v>1375</v>
      </c>
      <c r="G716" t="s">
        <v>1376</v>
      </c>
      <c r="H716" t="s">
        <v>90</v>
      </c>
      <c r="I716" t="s">
        <v>90</v>
      </c>
      <c r="J716">
        <v>22.452197250000001</v>
      </c>
      <c r="K716">
        <v>7.5621580599999998</v>
      </c>
      <c r="L716">
        <v>5.9139617299999996</v>
      </c>
      <c r="M716">
        <v>5.4608732099999999</v>
      </c>
      <c r="N716">
        <v>6.28521909</v>
      </c>
      <c r="O716">
        <v>34.360290161222821</v>
      </c>
      <c r="P716">
        <v>38.385087050000003</v>
      </c>
      <c r="Q716">
        <v>32.84192590525916</v>
      </c>
      <c r="R716" t="s">
        <v>1073</v>
      </c>
      <c r="S716">
        <v>22.452197250000001</v>
      </c>
      <c r="T716" t="s">
        <v>2819</v>
      </c>
      <c r="U716" t="s">
        <v>1059</v>
      </c>
    </row>
    <row r="717" spans="1:21" x14ac:dyDescent="0.25">
      <c r="A717" t="s">
        <v>2735</v>
      </c>
      <c r="B717" t="s">
        <v>2746</v>
      </c>
      <c r="C717" t="s">
        <v>3154</v>
      </c>
      <c r="D717" t="s">
        <v>175</v>
      </c>
      <c r="E717" t="s">
        <v>4812</v>
      </c>
      <c r="F717" t="s">
        <v>1296</v>
      </c>
      <c r="G717" t="s">
        <v>2643</v>
      </c>
      <c r="H717">
        <v>343939445259.48999</v>
      </c>
      <c r="I717">
        <v>100862710.85053</v>
      </c>
      <c r="J717">
        <v>277.44585591459997</v>
      </c>
      <c r="S717">
        <v>109.2079978</v>
      </c>
      <c r="T717">
        <v>60.4</v>
      </c>
      <c r="U717" t="s">
        <v>2644</v>
      </c>
    </row>
    <row r="718" spans="1:21" x14ac:dyDescent="0.25">
      <c r="A718" t="s">
        <v>2320</v>
      </c>
      <c r="B718" t="s">
        <v>2321</v>
      </c>
      <c r="C718" t="s">
        <v>2322</v>
      </c>
      <c r="D718" t="s">
        <v>586</v>
      </c>
      <c r="E718" t="s">
        <v>1056</v>
      </c>
      <c r="F718" t="s">
        <v>1766</v>
      </c>
      <c r="G718" t="s">
        <v>1266</v>
      </c>
      <c r="H718" t="s">
        <v>90</v>
      </c>
      <c r="I718" t="s">
        <v>90</v>
      </c>
      <c r="J718">
        <v>18.293895540000001</v>
      </c>
      <c r="K718">
        <v>6.3600788699999997</v>
      </c>
      <c r="L718">
        <v>5.8430232200000001</v>
      </c>
      <c r="M718">
        <v>5.22194468</v>
      </c>
      <c r="N718">
        <v>5.0055932800000003</v>
      </c>
      <c r="O718">
        <v>24.157572472717419</v>
      </c>
      <c r="P718">
        <v>68.760739310000005</v>
      </c>
      <c r="Q718">
        <v>8.3140249420748251</v>
      </c>
      <c r="R718" t="s">
        <v>30</v>
      </c>
      <c r="S718">
        <v>18.293895540000001</v>
      </c>
      <c r="T718" t="s">
        <v>2819</v>
      </c>
      <c r="U718" t="s">
        <v>1059</v>
      </c>
    </row>
    <row r="719" spans="1:21" x14ac:dyDescent="0.25">
      <c r="A719" t="s">
        <v>2735</v>
      </c>
      <c r="B719" t="s">
        <v>890</v>
      </c>
      <c r="C719" t="s">
        <v>889</v>
      </c>
      <c r="D719" t="s">
        <v>175</v>
      </c>
      <c r="E719" t="s">
        <v>4812</v>
      </c>
      <c r="F719" t="s">
        <v>1296</v>
      </c>
      <c r="G719" t="s">
        <v>2643</v>
      </c>
      <c r="H719">
        <v>343939445259.48999</v>
      </c>
      <c r="I719">
        <v>100862710.85053</v>
      </c>
      <c r="J719">
        <v>277.44585591459997</v>
      </c>
      <c r="S719">
        <v>109.2079978</v>
      </c>
      <c r="T719">
        <v>60.4</v>
      </c>
      <c r="U719" t="s">
        <v>2644</v>
      </c>
    </row>
    <row r="720" spans="1:21" x14ac:dyDescent="0.25">
      <c r="A720" t="s">
        <v>2323</v>
      </c>
      <c r="B720" t="s">
        <v>2324</v>
      </c>
      <c r="C720" t="s">
        <v>2325</v>
      </c>
      <c r="D720" t="s">
        <v>586</v>
      </c>
      <c r="E720" t="s">
        <v>1056</v>
      </c>
      <c r="F720" t="s">
        <v>1375</v>
      </c>
      <c r="G720" t="s">
        <v>1376</v>
      </c>
      <c r="H720" t="s">
        <v>90</v>
      </c>
      <c r="I720" t="s">
        <v>90</v>
      </c>
      <c r="J720">
        <v>17.498930919999999</v>
      </c>
      <c r="K720">
        <v>6.5232498300000001</v>
      </c>
      <c r="L720">
        <v>5.5664503700000001</v>
      </c>
      <c r="M720">
        <v>5.1861498199999998</v>
      </c>
      <c r="N720">
        <v>5.7613959000000001</v>
      </c>
      <c r="O720">
        <v>16.13896455585822</v>
      </c>
      <c r="P720">
        <v>49.330485410000001</v>
      </c>
      <c r="Q720">
        <v>24.162396649586601</v>
      </c>
      <c r="R720" t="s">
        <v>30</v>
      </c>
      <c r="S720">
        <v>17.498930919999999</v>
      </c>
      <c r="T720" t="s">
        <v>2819</v>
      </c>
      <c r="U720" t="s">
        <v>1059</v>
      </c>
    </row>
    <row r="721" spans="1:21" x14ac:dyDescent="0.25">
      <c r="A721" t="s">
        <v>2735</v>
      </c>
      <c r="B721" t="s">
        <v>2747</v>
      </c>
      <c r="C721" t="s">
        <v>3160</v>
      </c>
      <c r="D721" t="s">
        <v>175</v>
      </c>
      <c r="E721" t="s">
        <v>4812</v>
      </c>
      <c r="F721" t="s">
        <v>1296</v>
      </c>
      <c r="G721" t="s">
        <v>2643</v>
      </c>
      <c r="H721">
        <v>343939445259.48999</v>
      </c>
      <c r="I721">
        <v>100862710.85053</v>
      </c>
      <c r="J721">
        <v>277.44585591459997</v>
      </c>
      <c r="S721">
        <v>109.2079978</v>
      </c>
      <c r="T721">
        <v>60.4</v>
      </c>
      <c r="U721" t="s">
        <v>2644</v>
      </c>
    </row>
    <row r="722" spans="1:21" x14ac:dyDescent="0.25">
      <c r="A722" t="s">
        <v>2326</v>
      </c>
      <c r="B722" t="s">
        <v>2327</v>
      </c>
      <c r="C722" t="s">
        <v>2328</v>
      </c>
      <c r="D722" t="s">
        <v>586</v>
      </c>
      <c r="E722" t="s">
        <v>1056</v>
      </c>
      <c r="F722" t="s">
        <v>1136</v>
      </c>
      <c r="G722" t="s">
        <v>1437</v>
      </c>
      <c r="H722" t="s">
        <v>90</v>
      </c>
      <c r="I722" t="s">
        <v>90</v>
      </c>
      <c r="J722">
        <v>351.99420031</v>
      </c>
      <c r="K722">
        <v>3.6691677600000001</v>
      </c>
      <c r="L722">
        <v>5.0404891999999997</v>
      </c>
      <c r="M722">
        <v>5.3230775399999999</v>
      </c>
      <c r="N722">
        <v>5.0344332200000004</v>
      </c>
      <c r="O722">
        <v>8.3541374664642536</v>
      </c>
      <c r="P722">
        <v>478.77772288</v>
      </c>
      <c r="Q722">
        <v>0</v>
      </c>
      <c r="R722" t="s">
        <v>1138</v>
      </c>
      <c r="S722">
        <v>351.99420031</v>
      </c>
      <c r="T722" t="s">
        <v>2819</v>
      </c>
      <c r="U722" t="s">
        <v>1059</v>
      </c>
    </row>
    <row r="723" spans="1:21" x14ac:dyDescent="0.25">
      <c r="A723" t="s">
        <v>2329</v>
      </c>
      <c r="B723" t="s">
        <v>2330</v>
      </c>
      <c r="C723" t="s">
        <v>2331</v>
      </c>
      <c r="D723" t="s">
        <v>586</v>
      </c>
      <c r="E723" t="s">
        <v>1056</v>
      </c>
      <c r="F723" t="s">
        <v>1136</v>
      </c>
      <c r="G723" t="s">
        <v>1437</v>
      </c>
      <c r="H723" t="s">
        <v>90</v>
      </c>
      <c r="I723" t="s">
        <v>90</v>
      </c>
      <c r="J723">
        <v>308.67028446</v>
      </c>
      <c r="K723">
        <v>3.7235156900000002</v>
      </c>
      <c r="L723">
        <v>4.9877721199999998</v>
      </c>
      <c r="M723">
        <v>5.1737874699999997</v>
      </c>
      <c r="N723">
        <v>4.9874097400000004</v>
      </c>
      <c r="O723">
        <v>8.790266532498995</v>
      </c>
      <c r="P723">
        <v>485.92857204000001</v>
      </c>
      <c r="Q723">
        <v>1.688656343738328</v>
      </c>
      <c r="R723" t="s">
        <v>1138</v>
      </c>
      <c r="S723">
        <v>308.67028446</v>
      </c>
      <c r="T723" t="s">
        <v>2819</v>
      </c>
      <c r="U723" t="s">
        <v>1059</v>
      </c>
    </row>
    <row r="724" spans="1:21" x14ac:dyDescent="0.25">
      <c r="A724" t="s">
        <v>2735</v>
      </c>
      <c r="B724" t="s">
        <v>2748</v>
      </c>
      <c r="C724" t="s">
        <v>3156</v>
      </c>
      <c r="D724" t="s">
        <v>175</v>
      </c>
      <c r="E724" t="s">
        <v>4812</v>
      </c>
      <c r="F724" t="s">
        <v>1296</v>
      </c>
      <c r="G724" t="s">
        <v>2643</v>
      </c>
      <c r="H724">
        <v>343939445259.48999</v>
      </c>
      <c r="I724">
        <v>100862710.85053</v>
      </c>
      <c r="J724">
        <v>277.44585591459997</v>
      </c>
      <c r="S724">
        <v>109.2079978</v>
      </c>
      <c r="T724">
        <v>60.4</v>
      </c>
      <c r="U724" t="s">
        <v>2644</v>
      </c>
    </row>
    <row r="725" spans="1:21" x14ac:dyDescent="0.25">
      <c r="A725" t="s">
        <v>2735</v>
      </c>
      <c r="B725" t="s">
        <v>2749</v>
      </c>
      <c r="C725" t="s">
        <v>3143</v>
      </c>
      <c r="D725" t="s">
        <v>175</v>
      </c>
      <c r="E725" t="s">
        <v>4812</v>
      </c>
      <c r="F725" t="s">
        <v>1296</v>
      </c>
      <c r="G725" t="s">
        <v>2643</v>
      </c>
      <c r="H725">
        <v>343939445259.48999</v>
      </c>
      <c r="I725">
        <v>100862710.85053</v>
      </c>
      <c r="J725">
        <v>277.44585591459997</v>
      </c>
      <c r="S725">
        <v>109.2079978</v>
      </c>
      <c r="T725">
        <v>60.4</v>
      </c>
      <c r="U725" t="s">
        <v>2644</v>
      </c>
    </row>
    <row r="726" spans="1:21" x14ac:dyDescent="0.25">
      <c r="A726" t="s">
        <v>5249</v>
      </c>
      <c r="B726" t="s">
        <v>5250</v>
      </c>
      <c r="C726" t="s">
        <v>5251</v>
      </c>
      <c r="D726" t="s">
        <v>586</v>
      </c>
      <c r="E726" t="s">
        <v>1056</v>
      </c>
      <c r="F726" t="s">
        <v>1136</v>
      </c>
      <c r="G726" t="s">
        <v>1437</v>
      </c>
      <c r="H726" t="s">
        <v>90</v>
      </c>
      <c r="I726" t="s">
        <v>90</v>
      </c>
      <c r="J726">
        <v>412.6589864</v>
      </c>
      <c r="K726">
        <v>3.7022557900000002</v>
      </c>
      <c r="L726">
        <v>4.9439055400000003</v>
      </c>
      <c r="M726">
        <v>5.2195249300000004</v>
      </c>
      <c r="N726">
        <v>5.0999050700000002</v>
      </c>
      <c r="O726">
        <v>7.2078549264143827</v>
      </c>
      <c r="P726">
        <v>680.40888114999996</v>
      </c>
      <c r="Q726">
        <v>0</v>
      </c>
      <c r="R726" t="s">
        <v>1138</v>
      </c>
      <c r="S726">
        <v>412.6589864</v>
      </c>
      <c r="T726" t="s">
        <v>2819</v>
      </c>
      <c r="U726" t="s">
        <v>1059</v>
      </c>
    </row>
    <row r="727" spans="1:21" x14ac:dyDescent="0.25">
      <c r="A727" t="s">
        <v>2735</v>
      </c>
      <c r="B727" t="s">
        <v>2750</v>
      </c>
      <c r="C727" t="s">
        <v>3157</v>
      </c>
      <c r="D727" t="s">
        <v>175</v>
      </c>
      <c r="E727" t="s">
        <v>4812</v>
      </c>
      <c r="F727" t="s">
        <v>1296</v>
      </c>
      <c r="G727" t="s">
        <v>2643</v>
      </c>
      <c r="H727">
        <v>343939445259.48999</v>
      </c>
      <c r="I727">
        <v>100862710.85053</v>
      </c>
      <c r="J727">
        <v>277.44585591459997</v>
      </c>
      <c r="S727">
        <v>109.2079978</v>
      </c>
      <c r="T727">
        <v>60.4</v>
      </c>
      <c r="U727" t="s">
        <v>2644</v>
      </c>
    </row>
    <row r="728" spans="1:21" x14ac:dyDescent="0.25">
      <c r="A728" t="s">
        <v>5437</v>
      </c>
      <c r="B728" t="s">
        <v>5438</v>
      </c>
      <c r="C728" t="s">
        <v>5439</v>
      </c>
      <c r="D728" t="s">
        <v>586</v>
      </c>
      <c r="E728" t="s">
        <v>1056</v>
      </c>
      <c r="F728" t="s">
        <v>1375</v>
      </c>
      <c r="G728" t="s">
        <v>1376</v>
      </c>
      <c r="H728" t="s">
        <v>90</v>
      </c>
      <c r="I728" t="s">
        <v>90</v>
      </c>
      <c r="J728">
        <v>39.381179170000003</v>
      </c>
      <c r="K728">
        <v>6.97550822</v>
      </c>
      <c r="L728">
        <v>5.3719736899999999</v>
      </c>
      <c r="M728">
        <v>5.2146241399999997</v>
      </c>
      <c r="N728">
        <v>5.9416495899999999</v>
      </c>
      <c r="O728">
        <v>34.754700000000007</v>
      </c>
      <c r="P728">
        <v>79.893414500000006</v>
      </c>
      <c r="Q728">
        <v>34.281799999999997</v>
      </c>
      <c r="R728" t="s">
        <v>30</v>
      </c>
      <c r="S728">
        <v>39.381179170000003</v>
      </c>
      <c r="T728" t="s">
        <v>2819</v>
      </c>
      <c r="U728" t="s">
        <v>1059</v>
      </c>
    </row>
    <row r="729" spans="1:21" x14ac:dyDescent="0.25">
      <c r="A729" t="s">
        <v>2735</v>
      </c>
      <c r="B729" t="s">
        <v>2751</v>
      </c>
      <c r="C729" t="s">
        <v>3144</v>
      </c>
      <c r="D729" t="s">
        <v>175</v>
      </c>
      <c r="E729" t="s">
        <v>4812</v>
      </c>
      <c r="F729" t="s">
        <v>1296</v>
      </c>
      <c r="G729" t="s">
        <v>2643</v>
      </c>
      <c r="H729">
        <v>343939445259.48999</v>
      </c>
      <c r="I729">
        <v>100862710.85053</v>
      </c>
      <c r="J729">
        <v>277.44585591459997</v>
      </c>
      <c r="S729">
        <v>109.2079978</v>
      </c>
      <c r="T729">
        <v>60.4</v>
      </c>
      <c r="U729" t="s">
        <v>2644</v>
      </c>
    </row>
    <row r="730" spans="1:21" x14ac:dyDescent="0.25">
      <c r="A730" t="s">
        <v>2332</v>
      </c>
      <c r="B730" t="s">
        <v>2333</v>
      </c>
      <c r="C730" t="s">
        <v>2334</v>
      </c>
      <c r="D730" t="s">
        <v>586</v>
      </c>
      <c r="E730" t="s">
        <v>1056</v>
      </c>
      <c r="F730" t="s">
        <v>1071</v>
      </c>
      <c r="G730" t="s">
        <v>1753</v>
      </c>
      <c r="H730" t="s">
        <v>90</v>
      </c>
      <c r="I730" t="s">
        <v>90</v>
      </c>
      <c r="J730">
        <v>107.58312038</v>
      </c>
      <c r="K730">
        <v>6.0662122700000003</v>
      </c>
      <c r="L730">
        <v>5.2674914700000004</v>
      </c>
      <c r="M730">
        <v>4.6856089599999997</v>
      </c>
      <c r="N730">
        <v>5.7762328600000004</v>
      </c>
      <c r="O730">
        <v>16.827817248273181</v>
      </c>
      <c r="P730">
        <v>175.80805985000001</v>
      </c>
      <c r="Q730">
        <v>26.012916561028518</v>
      </c>
      <c r="R730" t="s">
        <v>30</v>
      </c>
      <c r="S730">
        <v>107.58312038</v>
      </c>
      <c r="T730" t="s">
        <v>2819</v>
      </c>
      <c r="U730" t="s">
        <v>1059</v>
      </c>
    </row>
    <row r="731" spans="1:21" x14ac:dyDescent="0.25">
      <c r="A731" t="s">
        <v>2735</v>
      </c>
      <c r="B731" t="s">
        <v>2752</v>
      </c>
      <c r="C731" t="s">
        <v>3142</v>
      </c>
      <c r="D731" t="s">
        <v>175</v>
      </c>
      <c r="E731" t="s">
        <v>4812</v>
      </c>
      <c r="F731" t="s">
        <v>1296</v>
      </c>
      <c r="G731" t="s">
        <v>2643</v>
      </c>
      <c r="H731">
        <v>343939445259.48999</v>
      </c>
      <c r="I731">
        <v>100862710.85053</v>
      </c>
      <c r="J731">
        <v>277.44585591459997</v>
      </c>
      <c r="S731">
        <v>109.2079978</v>
      </c>
      <c r="T731">
        <v>60.4</v>
      </c>
      <c r="U731" t="s">
        <v>2644</v>
      </c>
    </row>
    <row r="732" spans="1:21" x14ac:dyDescent="0.25">
      <c r="A732" t="s">
        <v>2335</v>
      </c>
      <c r="B732" t="s">
        <v>2336</v>
      </c>
      <c r="C732" t="s">
        <v>2337</v>
      </c>
      <c r="D732" t="s">
        <v>586</v>
      </c>
      <c r="E732" t="s">
        <v>1056</v>
      </c>
      <c r="F732" t="s">
        <v>2247</v>
      </c>
      <c r="G732" t="s">
        <v>1437</v>
      </c>
      <c r="H732" t="s">
        <v>90</v>
      </c>
      <c r="I732" t="s">
        <v>90</v>
      </c>
      <c r="J732">
        <v>367.56313098999999</v>
      </c>
      <c r="K732">
        <v>2.9656722900000001</v>
      </c>
      <c r="L732">
        <v>4.9603800500000004</v>
      </c>
      <c r="M732">
        <v>4.4380332100000004</v>
      </c>
      <c r="N732">
        <v>4.74347414</v>
      </c>
      <c r="O732">
        <v>0.244899068956276</v>
      </c>
      <c r="P732">
        <v>477.96308226999997</v>
      </c>
      <c r="Q732">
        <v>0</v>
      </c>
      <c r="R732" t="s">
        <v>1138</v>
      </c>
      <c r="S732">
        <v>367.56313098999999</v>
      </c>
      <c r="T732" t="s">
        <v>2819</v>
      </c>
      <c r="U732" t="s">
        <v>1059</v>
      </c>
    </row>
    <row r="733" spans="1:21" x14ac:dyDescent="0.25">
      <c r="A733" t="s">
        <v>2735</v>
      </c>
      <c r="B733" t="s">
        <v>2753</v>
      </c>
      <c r="C733" t="s">
        <v>3159</v>
      </c>
      <c r="D733" t="s">
        <v>175</v>
      </c>
      <c r="E733" t="s">
        <v>4812</v>
      </c>
      <c r="F733" t="s">
        <v>1296</v>
      </c>
      <c r="G733" t="s">
        <v>2643</v>
      </c>
      <c r="H733">
        <v>343939445259.48999</v>
      </c>
      <c r="I733">
        <v>100862710.85053</v>
      </c>
      <c r="J733">
        <v>277.44585591459997</v>
      </c>
      <c r="S733">
        <v>109.2079978</v>
      </c>
      <c r="T733">
        <v>60.4</v>
      </c>
      <c r="U733" t="s">
        <v>2644</v>
      </c>
    </row>
    <row r="734" spans="1:21" x14ac:dyDescent="0.25">
      <c r="A734" t="s">
        <v>2338</v>
      </c>
      <c r="B734" t="s">
        <v>2339</v>
      </c>
      <c r="C734" t="s">
        <v>2340</v>
      </c>
      <c r="D734" t="s">
        <v>586</v>
      </c>
      <c r="E734" t="s">
        <v>1056</v>
      </c>
      <c r="F734" t="s">
        <v>1057</v>
      </c>
      <c r="G734" t="s">
        <v>1288</v>
      </c>
      <c r="H734" t="s">
        <v>90</v>
      </c>
      <c r="I734" t="s">
        <v>90</v>
      </c>
      <c r="J734">
        <v>114.53260328</v>
      </c>
      <c r="K734">
        <v>4.84724208</v>
      </c>
      <c r="L734">
        <v>4.7552752099999998</v>
      </c>
      <c r="M734">
        <v>4.52085866</v>
      </c>
      <c r="N734">
        <v>5.1558891899999999</v>
      </c>
      <c r="O734">
        <v>0.26032285939809802</v>
      </c>
      <c r="P734">
        <v>195.01641051999999</v>
      </c>
      <c r="Q734">
        <v>4.5092446601827092</v>
      </c>
      <c r="R734" t="s">
        <v>1063</v>
      </c>
      <c r="S734">
        <v>114.53260328</v>
      </c>
      <c r="T734" t="s">
        <v>2819</v>
      </c>
      <c r="U734" t="s">
        <v>1059</v>
      </c>
    </row>
    <row r="735" spans="1:21" x14ac:dyDescent="0.25">
      <c r="A735" t="s">
        <v>2735</v>
      </c>
      <c r="B735" t="s">
        <v>2754</v>
      </c>
      <c r="C735" t="s">
        <v>3158</v>
      </c>
      <c r="D735" t="s">
        <v>175</v>
      </c>
      <c r="E735" t="s">
        <v>4812</v>
      </c>
      <c r="F735" t="s">
        <v>1296</v>
      </c>
      <c r="G735" t="s">
        <v>2643</v>
      </c>
      <c r="H735">
        <v>343939445259.48999</v>
      </c>
      <c r="I735">
        <v>100862710.85053</v>
      </c>
      <c r="J735">
        <v>277.44585591459997</v>
      </c>
      <c r="S735">
        <v>109.2079978</v>
      </c>
      <c r="T735">
        <v>60.4</v>
      </c>
      <c r="U735" t="s">
        <v>2644</v>
      </c>
    </row>
    <row r="736" spans="1:21" x14ac:dyDescent="0.25">
      <c r="A736" t="s">
        <v>2338</v>
      </c>
      <c r="B736" t="s">
        <v>2339</v>
      </c>
      <c r="C736" t="s">
        <v>5680</v>
      </c>
      <c r="D736" t="s">
        <v>586</v>
      </c>
      <c r="E736" t="s">
        <v>1056</v>
      </c>
      <c r="F736" t="s">
        <v>1057</v>
      </c>
      <c r="G736" t="s">
        <v>1288</v>
      </c>
      <c r="H736" t="s">
        <v>90</v>
      </c>
      <c r="I736" t="s">
        <v>90</v>
      </c>
      <c r="J736">
        <v>114.53260328</v>
      </c>
      <c r="K736">
        <v>4.84724208</v>
      </c>
      <c r="L736">
        <v>4.7552752099999998</v>
      </c>
      <c r="M736">
        <v>4.52085866</v>
      </c>
      <c r="N736">
        <v>5.1558891899999999</v>
      </c>
      <c r="O736">
        <v>0.26032285939809802</v>
      </c>
      <c r="P736">
        <v>195.01641051999999</v>
      </c>
      <c r="Q736">
        <v>4.5092446601827092</v>
      </c>
      <c r="R736" t="s">
        <v>1063</v>
      </c>
      <c r="S736">
        <v>114.53260328</v>
      </c>
      <c r="T736" t="s">
        <v>2819</v>
      </c>
      <c r="U736" t="s">
        <v>1059</v>
      </c>
    </row>
    <row r="737" spans="1:21" x14ac:dyDescent="0.25">
      <c r="A737" t="s">
        <v>2735</v>
      </c>
      <c r="B737" t="s">
        <v>2755</v>
      </c>
      <c r="C737" t="s">
        <v>4823</v>
      </c>
      <c r="D737" t="s">
        <v>175</v>
      </c>
      <c r="E737" t="s">
        <v>4812</v>
      </c>
      <c r="F737" t="s">
        <v>1296</v>
      </c>
      <c r="G737" t="s">
        <v>2643</v>
      </c>
      <c r="H737">
        <v>343939445259.48999</v>
      </c>
      <c r="I737">
        <v>100862710.85053</v>
      </c>
      <c r="J737">
        <v>277.44585591459997</v>
      </c>
      <c r="S737">
        <v>109.2079978</v>
      </c>
      <c r="T737">
        <v>60.4</v>
      </c>
      <c r="U737" t="s">
        <v>2644</v>
      </c>
    </row>
    <row r="738" spans="1:21" x14ac:dyDescent="0.25">
      <c r="A738" t="s">
        <v>2735</v>
      </c>
      <c r="B738" t="s">
        <v>2756</v>
      </c>
      <c r="C738" t="s">
        <v>3141</v>
      </c>
      <c r="D738" t="s">
        <v>175</v>
      </c>
      <c r="E738" t="s">
        <v>4812</v>
      </c>
      <c r="F738" t="s">
        <v>1296</v>
      </c>
      <c r="G738" t="s">
        <v>2643</v>
      </c>
      <c r="H738">
        <v>343939445259.48999</v>
      </c>
      <c r="I738">
        <v>100862710.85053</v>
      </c>
      <c r="J738">
        <v>277.44585591459997</v>
      </c>
      <c r="S738">
        <v>109.2079978</v>
      </c>
      <c r="T738">
        <v>60.4</v>
      </c>
      <c r="U738" t="s">
        <v>2644</v>
      </c>
    </row>
    <row r="739" spans="1:21" x14ac:dyDescent="0.25">
      <c r="A739" t="s">
        <v>5273</v>
      </c>
      <c r="B739" t="s">
        <v>2341</v>
      </c>
      <c r="C739" t="s">
        <v>2342</v>
      </c>
      <c r="D739" t="s">
        <v>586</v>
      </c>
      <c r="E739" t="s">
        <v>1056</v>
      </c>
      <c r="F739" t="s">
        <v>2247</v>
      </c>
      <c r="G739" t="s">
        <v>1437</v>
      </c>
      <c r="H739" t="s">
        <v>90</v>
      </c>
      <c r="I739" t="s">
        <v>90</v>
      </c>
      <c r="J739">
        <v>34.823438699999997</v>
      </c>
      <c r="K739">
        <v>3.0712990499999999</v>
      </c>
      <c r="L739">
        <v>4.8649816899999996</v>
      </c>
      <c r="M739">
        <v>4.4731806499999998</v>
      </c>
      <c r="N739">
        <v>4.4552166900000003</v>
      </c>
      <c r="O739">
        <v>2.441050570225388</v>
      </c>
      <c r="P739">
        <v>164.82369144</v>
      </c>
      <c r="Q739">
        <v>3.2294846212524662</v>
      </c>
      <c r="R739" t="s">
        <v>1138</v>
      </c>
      <c r="S739">
        <v>34.823438699999997</v>
      </c>
      <c r="T739" t="s">
        <v>2819</v>
      </c>
      <c r="U739" t="s">
        <v>1059</v>
      </c>
    </row>
    <row r="740" spans="1:21" x14ac:dyDescent="0.25">
      <c r="A740" t="s">
        <v>2735</v>
      </c>
      <c r="B740" t="s">
        <v>2757</v>
      </c>
      <c r="C740" t="s">
        <v>3145</v>
      </c>
      <c r="D740" t="s">
        <v>175</v>
      </c>
      <c r="E740" t="s">
        <v>4812</v>
      </c>
      <c r="F740" t="s">
        <v>1296</v>
      </c>
      <c r="G740" t="s">
        <v>2643</v>
      </c>
      <c r="H740">
        <v>343939445259.48999</v>
      </c>
      <c r="I740">
        <v>100862710.85053</v>
      </c>
      <c r="J740">
        <v>277.44585591459997</v>
      </c>
      <c r="S740">
        <v>109.2079978</v>
      </c>
      <c r="T740">
        <v>60.4</v>
      </c>
      <c r="U740" t="s">
        <v>2644</v>
      </c>
    </row>
    <row r="741" spans="1:21" x14ac:dyDescent="0.25">
      <c r="A741" t="s">
        <v>2343</v>
      </c>
      <c r="B741" t="s">
        <v>2344</v>
      </c>
      <c r="C741" t="s">
        <v>2345</v>
      </c>
      <c r="D741" t="s">
        <v>586</v>
      </c>
      <c r="E741" t="s">
        <v>1056</v>
      </c>
      <c r="F741" t="s">
        <v>1163</v>
      </c>
      <c r="G741" t="s">
        <v>1164</v>
      </c>
      <c r="H741" t="s">
        <v>90</v>
      </c>
      <c r="I741" t="s">
        <v>90</v>
      </c>
      <c r="J741">
        <v>15.8812043</v>
      </c>
      <c r="K741">
        <v>8.3436258999999993</v>
      </c>
      <c r="L741">
        <v>6.0237213699999996</v>
      </c>
      <c r="M741">
        <v>5.6496271499999997</v>
      </c>
      <c r="N741">
        <v>7.1451671599999997</v>
      </c>
      <c r="O741">
        <v>9.4679688878578965</v>
      </c>
      <c r="P741">
        <v>50.52421571</v>
      </c>
      <c r="Q741">
        <v>65.920685053998156</v>
      </c>
      <c r="R741" t="s">
        <v>1073</v>
      </c>
      <c r="S741">
        <v>15.8812043</v>
      </c>
      <c r="T741" t="s">
        <v>2819</v>
      </c>
      <c r="U741" t="s">
        <v>1059</v>
      </c>
    </row>
    <row r="742" spans="1:21" x14ac:dyDescent="0.25">
      <c r="A742" t="s">
        <v>2735</v>
      </c>
      <c r="B742" t="s">
        <v>886</v>
      </c>
      <c r="C742" t="s">
        <v>885</v>
      </c>
      <c r="D742" t="s">
        <v>175</v>
      </c>
      <c r="E742" t="s">
        <v>4812</v>
      </c>
      <c r="F742" t="s">
        <v>1296</v>
      </c>
      <c r="G742" t="s">
        <v>2643</v>
      </c>
      <c r="H742">
        <v>343939445259.48999</v>
      </c>
      <c r="I742">
        <v>100862710.85053</v>
      </c>
      <c r="J742">
        <v>277.44585591459997</v>
      </c>
      <c r="S742">
        <v>109.2079978</v>
      </c>
      <c r="T742">
        <v>60.4</v>
      </c>
      <c r="U742" t="s">
        <v>2644</v>
      </c>
    </row>
    <row r="743" spans="1:21" x14ac:dyDescent="0.25">
      <c r="A743" t="s">
        <v>2343</v>
      </c>
      <c r="B743" t="s">
        <v>2344</v>
      </c>
      <c r="C743" t="s">
        <v>2346</v>
      </c>
      <c r="D743" t="s">
        <v>586</v>
      </c>
      <c r="E743" t="s">
        <v>1056</v>
      </c>
      <c r="F743" t="s">
        <v>1163</v>
      </c>
      <c r="G743" t="s">
        <v>1164</v>
      </c>
      <c r="H743" t="s">
        <v>90</v>
      </c>
      <c r="I743" t="s">
        <v>90</v>
      </c>
      <c r="J743">
        <v>15.8812043</v>
      </c>
      <c r="K743">
        <v>8.3436258999999993</v>
      </c>
      <c r="L743">
        <v>6.0237213699999996</v>
      </c>
      <c r="M743">
        <v>5.6496271499999997</v>
      </c>
      <c r="N743">
        <v>7.1451671599999997</v>
      </c>
      <c r="O743">
        <v>9.4679688878578965</v>
      </c>
      <c r="P743">
        <v>50.52421571</v>
      </c>
      <c r="Q743">
        <v>65.920685053998156</v>
      </c>
      <c r="R743" t="s">
        <v>1073</v>
      </c>
      <c r="S743">
        <v>15.8812043</v>
      </c>
      <c r="T743" t="s">
        <v>2819</v>
      </c>
      <c r="U743" t="s">
        <v>1059</v>
      </c>
    </row>
    <row r="744" spans="1:21" x14ac:dyDescent="0.25">
      <c r="A744" t="s">
        <v>2347</v>
      </c>
      <c r="B744" t="s">
        <v>2348</v>
      </c>
      <c r="C744" t="s">
        <v>2349</v>
      </c>
      <c r="D744" t="s">
        <v>586</v>
      </c>
      <c r="E744" t="s">
        <v>1056</v>
      </c>
      <c r="F744" t="s">
        <v>1163</v>
      </c>
      <c r="G744" t="s">
        <v>1164</v>
      </c>
      <c r="H744" t="s">
        <v>90</v>
      </c>
      <c r="I744" t="s">
        <v>90</v>
      </c>
      <c r="J744">
        <v>11.151849500000001</v>
      </c>
      <c r="K744">
        <v>8.1747545800000001</v>
      </c>
      <c r="L744">
        <v>6.2681456300000002</v>
      </c>
      <c r="M744">
        <v>5.3753289899999999</v>
      </c>
      <c r="N744">
        <v>7.0332981400000003</v>
      </c>
      <c r="O744">
        <v>8.5879742360772955</v>
      </c>
      <c r="P744">
        <v>31.282743709999998</v>
      </c>
      <c r="Q744">
        <v>68.949293152120532</v>
      </c>
      <c r="R744" t="s">
        <v>1073</v>
      </c>
      <c r="S744">
        <v>11.151849500000001</v>
      </c>
      <c r="T744" t="s">
        <v>2819</v>
      </c>
      <c r="U744" t="s">
        <v>1059</v>
      </c>
    </row>
    <row r="745" spans="1:21" x14ac:dyDescent="0.25">
      <c r="A745" t="s">
        <v>2735</v>
      </c>
      <c r="B745" t="s">
        <v>884</v>
      </c>
      <c r="C745" t="s">
        <v>883</v>
      </c>
      <c r="D745" t="s">
        <v>175</v>
      </c>
      <c r="E745" t="s">
        <v>4812</v>
      </c>
      <c r="F745" t="s">
        <v>1296</v>
      </c>
      <c r="G745" t="s">
        <v>2643</v>
      </c>
      <c r="H745">
        <v>343939445259.48999</v>
      </c>
      <c r="I745">
        <v>100862710.85053</v>
      </c>
      <c r="J745">
        <v>277.44585591459997</v>
      </c>
      <c r="S745">
        <v>109.2079978</v>
      </c>
      <c r="T745">
        <v>60.4</v>
      </c>
      <c r="U745" t="s">
        <v>2644</v>
      </c>
    </row>
    <row r="746" spans="1:21" x14ac:dyDescent="0.25">
      <c r="A746" t="s">
        <v>2350</v>
      </c>
      <c r="B746" t="s">
        <v>2351</v>
      </c>
      <c r="C746" t="s">
        <v>2352</v>
      </c>
      <c r="D746" t="s">
        <v>586</v>
      </c>
      <c r="E746" t="s">
        <v>1056</v>
      </c>
      <c r="F746" t="s">
        <v>1714</v>
      </c>
      <c r="G746" t="s">
        <v>1715</v>
      </c>
      <c r="H746" t="s">
        <v>90</v>
      </c>
      <c r="I746" t="s">
        <v>90</v>
      </c>
      <c r="J746">
        <v>52.591081940000002</v>
      </c>
      <c r="K746">
        <v>7.7927020899999997</v>
      </c>
      <c r="L746">
        <v>6.9485294299999998</v>
      </c>
      <c r="M746">
        <v>5.2588123900000001</v>
      </c>
      <c r="N746">
        <v>6.3938280499999998</v>
      </c>
      <c r="O746">
        <v>39.708483789710733</v>
      </c>
      <c r="P746">
        <v>71.864107239999996</v>
      </c>
      <c r="Q746">
        <v>62.385388989943138</v>
      </c>
      <c r="R746" t="s">
        <v>1073</v>
      </c>
      <c r="S746">
        <v>52.591081940000002</v>
      </c>
      <c r="T746" t="s">
        <v>2819</v>
      </c>
      <c r="U746" t="s">
        <v>1059</v>
      </c>
    </row>
    <row r="747" spans="1:21" x14ac:dyDescent="0.25">
      <c r="A747" t="s">
        <v>2735</v>
      </c>
      <c r="B747" t="s">
        <v>2758</v>
      </c>
      <c r="C747" t="s">
        <v>3495</v>
      </c>
      <c r="D747" t="s">
        <v>175</v>
      </c>
      <c r="E747" t="s">
        <v>4812</v>
      </c>
      <c r="F747" t="s">
        <v>1296</v>
      </c>
      <c r="G747" t="s">
        <v>2643</v>
      </c>
      <c r="H747">
        <v>343939445259.48999</v>
      </c>
      <c r="I747">
        <v>100862710.85053</v>
      </c>
      <c r="J747">
        <v>277.44585591459997</v>
      </c>
      <c r="S747">
        <v>109.2079978</v>
      </c>
      <c r="T747">
        <v>60.4</v>
      </c>
      <c r="U747" t="s">
        <v>2644</v>
      </c>
    </row>
    <row r="748" spans="1:21" x14ac:dyDescent="0.25">
      <c r="A748" t="s">
        <v>5441</v>
      </c>
      <c r="B748" t="s">
        <v>2760</v>
      </c>
      <c r="C748" t="s">
        <v>3468</v>
      </c>
      <c r="D748" t="s">
        <v>175</v>
      </c>
      <c r="E748" t="s">
        <v>4812</v>
      </c>
      <c r="F748" t="s">
        <v>1384</v>
      </c>
      <c r="G748" t="s">
        <v>2643</v>
      </c>
      <c r="H748">
        <v>301025249437.95001</v>
      </c>
      <c r="I748">
        <v>83999231.672179997</v>
      </c>
      <c r="J748">
        <v>250.3454177628</v>
      </c>
      <c r="S748">
        <v>182.98566249999999</v>
      </c>
      <c r="T748">
        <v>38</v>
      </c>
      <c r="U748" t="s">
        <v>2644</v>
      </c>
    </row>
    <row r="749" spans="1:21" x14ac:dyDescent="0.25">
      <c r="A749" t="s">
        <v>2353</v>
      </c>
      <c r="B749" t="s">
        <v>2354</v>
      </c>
      <c r="C749" t="s">
        <v>2355</v>
      </c>
      <c r="D749" t="s">
        <v>586</v>
      </c>
      <c r="E749" t="s">
        <v>1056</v>
      </c>
      <c r="F749" t="s">
        <v>1071</v>
      </c>
      <c r="G749" t="s">
        <v>1893</v>
      </c>
      <c r="H749" t="s">
        <v>90</v>
      </c>
      <c r="I749" t="s">
        <v>90</v>
      </c>
      <c r="J749">
        <v>185.83423071000001</v>
      </c>
      <c r="K749">
        <v>5.2661759200000002</v>
      </c>
      <c r="L749">
        <v>4.3107566999999998</v>
      </c>
      <c r="M749">
        <v>4.7265991300000003</v>
      </c>
      <c r="N749">
        <v>5.6626662200000002</v>
      </c>
      <c r="O749">
        <v>10.07323809580951</v>
      </c>
      <c r="P749">
        <v>323.74737346000001</v>
      </c>
      <c r="Q749">
        <v>16.069082203862699</v>
      </c>
      <c r="R749" t="s">
        <v>1063</v>
      </c>
      <c r="S749">
        <v>185.83423071000001</v>
      </c>
      <c r="T749" t="s">
        <v>2819</v>
      </c>
      <c r="U749" t="s">
        <v>1059</v>
      </c>
    </row>
    <row r="750" spans="1:21" x14ac:dyDescent="0.25">
      <c r="A750" t="s">
        <v>2356</v>
      </c>
      <c r="B750" t="s">
        <v>2357</v>
      </c>
      <c r="C750" t="s">
        <v>2358</v>
      </c>
      <c r="D750" t="s">
        <v>586</v>
      </c>
      <c r="E750" t="s">
        <v>1056</v>
      </c>
      <c r="F750" t="s">
        <v>1163</v>
      </c>
      <c r="G750" t="s">
        <v>1791</v>
      </c>
      <c r="H750" t="s">
        <v>90</v>
      </c>
      <c r="I750" t="s">
        <v>90</v>
      </c>
      <c r="J750">
        <v>15.04719843</v>
      </c>
      <c r="K750">
        <v>7.4800310300000001</v>
      </c>
      <c r="L750">
        <v>5.7878106100000002</v>
      </c>
      <c r="M750">
        <v>4.9899792600000001</v>
      </c>
      <c r="N750">
        <v>6.8501445099999998</v>
      </c>
      <c r="O750">
        <v>3.148103148103147</v>
      </c>
      <c r="P750">
        <v>36.097940659999999</v>
      </c>
      <c r="Q750">
        <v>67.274667274667266</v>
      </c>
      <c r="R750" t="s">
        <v>1073</v>
      </c>
      <c r="S750">
        <v>15.04719843</v>
      </c>
      <c r="T750" t="s">
        <v>2819</v>
      </c>
      <c r="U750" t="s">
        <v>1059</v>
      </c>
    </row>
    <row r="751" spans="1:21" x14ac:dyDescent="0.25">
      <c r="A751" t="s">
        <v>5441</v>
      </c>
      <c r="B751" t="s">
        <v>844</v>
      </c>
      <c r="C751" t="s">
        <v>3476</v>
      </c>
      <c r="D751" t="s">
        <v>175</v>
      </c>
      <c r="E751" t="s">
        <v>4812</v>
      </c>
      <c r="F751" t="s">
        <v>1384</v>
      </c>
      <c r="G751" t="s">
        <v>2643</v>
      </c>
      <c r="H751">
        <v>301025249437.95001</v>
      </c>
      <c r="I751">
        <v>83999231.672179997</v>
      </c>
      <c r="J751">
        <v>250.3454177628</v>
      </c>
      <c r="S751">
        <v>182.98566249999999</v>
      </c>
      <c r="T751">
        <v>38</v>
      </c>
      <c r="U751" t="s">
        <v>2644</v>
      </c>
    </row>
    <row r="752" spans="1:21" x14ac:dyDescent="0.25">
      <c r="A752" t="s">
        <v>5441</v>
      </c>
      <c r="B752" t="s">
        <v>178</v>
      </c>
      <c r="C752" t="s">
        <v>177</v>
      </c>
      <c r="D752" t="s">
        <v>175</v>
      </c>
      <c r="E752" t="s">
        <v>4812</v>
      </c>
      <c r="F752" t="s">
        <v>1384</v>
      </c>
      <c r="G752" t="s">
        <v>2643</v>
      </c>
      <c r="H752">
        <v>301025249437.95001</v>
      </c>
      <c r="I752">
        <v>83999231.672179997</v>
      </c>
      <c r="J752">
        <v>250.3454177628</v>
      </c>
      <c r="S752">
        <v>182.98566249999999</v>
      </c>
      <c r="T752">
        <v>38</v>
      </c>
      <c r="U752" t="s">
        <v>2644</v>
      </c>
    </row>
    <row r="753" spans="1:21" x14ac:dyDescent="0.25">
      <c r="A753" t="s">
        <v>5441</v>
      </c>
      <c r="B753" t="s">
        <v>5562</v>
      </c>
      <c r="C753" t="s">
        <v>5561</v>
      </c>
      <c r="D753" t="s">
        <v>175</v>
      </c>
      <c r="E753" t="s">
        <v>4812</v>
      </c>
      <c r="F753" t="s">
        <v>1384</v>
      </c>
      <c r="G753" t="s">
        <v>2643</v>
      </c>
      <c r="H753">
        <v>301025249437.95001</v>
      </c>
      <c r="I753">
        <v>83999231.672179997</v>
      </c>
      <c r="J753">
        <v>250.3454177628</v>
      </c>
      <c r="S753">
        <v>182.98566249999999</v>
      </c>
      <c r="T753">
        <v>38</v>
      </c>
      <c r="U753" t="s">
        <v>2644</v>
      </c>
    </row>
    <row r="754" spans="1:21" x14ac:dyDescent="0.25">
      <c r="A754" t="s">
        <v>5441</v>
      </c>
      <c r="B754" t="s">
        <v>2761</v>
      </c>
      <c r="C754" t="s">
        <v>4824</v>
      </c>
      <c r="D754" t="s">
        <v>175</v>
      </c>
      <c r="E754" t="s">
        <v>4812</v>
      </c>
      <c r="F754" t="s">
        <v>1384</v>
      </c>
      <c r="G754" t="s">
        <v>2643</v>
      </c>
      <c r="H754">
        <v>301025249437.95001</v>
      </c>
      <c r="I754">
        <v>83999231.672179997</v>
      </c>
      <c r="J754">
        <v>250.3454177628</v>
      </c>
      <c r="S754">
        <v>182.98566249999999</v>
      </c>
      <c r="T754">
        <v>38</v>
      </c>
      <c r="U754" t="s">
        <v>2644</v>
      </c>
    </row>
    <row r="755" spans="1:21" x14ac:dyDescent="0.25">
      <c r="A755" t="s">
        <v>5440</v>
      </c>
      <c r="B755" t="s">
        <v>2360</v>
      </c>
      <c r="C755" t="s">
        <v>2361</v>
      </c>
      <c r="D755" t="s">
        <v>586</v>
      </c>
      <c r="E755" t="s">
        <v>1056</v>
      </c>
      <c r="F755" t="s">
        <v>1107</v>
      </c>
      <c r="G755" t="s">
        <v>1108</v>
      </c>
      <c r="H755" t="s">
        <v>90</v>
      </c>
      <c r="I755" t="s">
        <v>90</v>
      </c>
      <c r="J755">
        <v>98.514749089999995</v>
      </c>
      <c r="K755">
        <v>6.4073881000000004</v>
      </c>
      <c r="L755">
        <v>5.6915352300000004</v>
      </c>
      <c r="M755">
        <v>4.8619604299999999</v>
      </c>
      <c r="N755">
        <v>6.2259466699999999</v>
      </c>
      <c r="O755">
        <v>12.444599999999999</v>
      </c>
      <c r="P755">
        <v>141.76804612999999</v>
      </c>
      <c r="Q755">
        <v>45.834100000000007</v>
      </c>
      <c r="R755" t="s">
        <v>30</v>
      </c>
      <c r="S755">
        <v>98.514749089999995</v>
      </c>
      <c r="T755" t="s">
        <v>2819</v>
      </c>
      <c r="U755" t="s">
        <v>1059</v>
      </c>
    </row>
    <row r="756" spans="1:21" x14ac:dyDescent="0.25">
      <c r="A756" t="s">
        <v>2362</v>
      </c>
      <c r="B756" t="s">
        <v>2363</v>
      </c>
      <c r="C756" t="s">
        <v>2364</v>
      </c>
      <c r="D756" t="s">
        <v>586</v>
      </c>
      <c r="E756" t="s">
        <v>1056</v>
      </c>
      <c r="F756" t="s">
        <v>1136</v>
      </c>
      <c r="G756" t="s">
        <v>1437</v>
      </c>
      <c r="H756" t="s">
        <v>90</v>
      </c>
      <c r="I756" t="s">
        <v>90</v>
      </c>
      <c r="J756">
        <v>406.47110649000001</v>
      </c>
      <c r="K756">
        <v>4.7870979399999998</v>
      </c>
      <c r="L756">
        <v>4.4644867499999998</v>
      </c>
      <c r="M756">
        <v>4.8590281900000001</v>
      </c>
      <c r="N756">
        <v>4.2121815199999997</v>
      </c>
      <c r="O756">
        <v>13.51785944642166</v>
      </c>
      <c r="P756">
        <v>523.83469904000003</v>
      </c>
      <c r="Q756">
        <v>8.0462758611724148</v>
      </c>
      <c r="R756" t="s">
        <v>1063</v>
      </c>
      <c r="S756">
        <v>406.47110649000001</v>
      </c>
      <c r="T756" t="s">
        <v>2819</v>
      </c>
      <c r="U756" t="s">
        <v>1059</v>
      </c>
    </row>
    <row r="757" spans="1:21" x14ac:dyDescent="0.25">
      <c r="A757" t="s">
        <v>5441</v>
      </c>
      <c r="B757" t="s">
        <v>870</v>
      </c>
      <c r="C757" t="s">
        <v>869</v>
      </c>
      <c r="D757" t="s">
        <v>175</v>
      </c>
      <c r="E757" t="s">
        <v>4812</v>
      </c>
      <c r="F757" t="s">
        <v>1384</v>
      </c>
      <c r="G757" t="s">
        <v>2643</v>
      </c>
      <c r="H757">
        <v>301025249437.95001</v>
      </c>
      <c r="I757">
        <v>83999231.672179997</v>
      </c>
      <c r="J757">
        <v>250.3454177628</v>
      </c>
      <c r="S757">
        <v>182.98566249999999</v>
      </c>
      <c r="T757">
        <v>38</v>
      </c>
      <c r="U757" t="s">
        <v>2644</v>
      </c>
    </row>
    <row r="758" spans="1:21" x14ac:dyDescent="0.25">
      <c r="A758" t="s">
        <v>5441</v>
      </c>
      <c r="B758" t="s">
        <v>5095</v>
      </c>
      <c r="C758" t="s">
        <v>5096</v>
      </c>
      <c r="D758" t="s">
        <v>175</v>
      </c>
      <c r="E758" t="s">
        <v>4812</v>
      </c>
      <c r="F758" t="s">
        <v>1384</v>
      </c>
      <c r="G758" t="s">
        <v>2643</v>
      </c>
      <c r="H758">
        <v>301025249437.95001</v>
      </c>
      <c r="I758">
        <v>83999231.672179997</v>
      </c>
      <c r="J758">
        <v>250.3454177628</v>
      </c>
      <c r="S758">
        <v>182.98566249999999</v>
      </c>
      <c r="T758">
        <v>38</v>
      </c>
      <c r="U758" t="s">
        <v>2644</v>
      </c>
    </row>
    <row r="759" spans="1:21" x14ac:dyDescent="0.25">
      <c r="A759" t="s">
        <v>2365</v>
      </c>
      <c r="B759" t="s">
        <v>2366</v>
      </c>
      <c r="C759" t="s">
        <v>2367</v>
      </c>
      <c r="D759" t="s">
        <v>586</v>
      </c>
      <c r="E759" t="s">
        <v>1056</v>
      </c>
      <c r="F759" t="s">
        <v>1136</v>
      </c>
      <c r="G759" t="s">
        <v>1137</v>
      </c>
      <c r="H759" t="s">
        <v>90</v>
      </c>
      <c r="I759" t="s">
        <v>90</v>
      </c>
      <c r="J759">
        <v>131.06954069</v>
      </c>
      <c r="K759">
        <v>5.8159937800000003</v>
      </c>
      <c r="L759">
        <v>5.3510146299999999</v>
      </c>
      <c r="M759">
        <v>5.1493639399999998</v>
      </c>
      <c r="N759">
        <v>4.7995064599999999</v>
      </c>
      <c r="O759">
        <v>19.86578901110656</v>
      </c>
      <c r="P759">
        <v>331.76555317999998</v>
      </c>
      <c r="Q759">
        <v>10.821111557951649</v>
      </c>
      <c r="R759" t="s">
        <v>30</v>
      </c>
      <c r="S759">
        <v>131.06954069</v>
      </c>
      <c r="T759" t="s">
        <v>2819</v>
      </c>
      <c r="U759" t="s">
        <v>1059</v>
      </c>
    </row>
    <row r="760" spans="1:21" x14ac:dyDescent="0.25">
      <c r="A760" t="s">
        <v>2370</v>
      </c>
      <c r="B760" t="s">
        <v>2371</v>
      </c>
      <c r="C760" t="s">
        <v>2372</v>
      </c>
      <c r="D760" t="s">
        <v>586</v>
      </c>
      <c r="E760" t="s">
        <v>1056</v>
      </c>
      <c r="F760" t="s">
        <v>1163</v>
      </c>
      <c r="G760" t="s">
        <v>1796</v>
      </c>
      <c r="H760" t="s">
        <v>90</v>
      </c>
      <c r="I760" t="s">
        <v>90</v>
      </c>
      <c r="J760">
        <v>195.50081516</v>
      </c>
      <c r="K760">
        <v>6.4747914399999997</v>
      </c>
      <c r="L760">
        <v>5.7770650100000003</v>
      </c>
      <c r="M760">
        <v>4.6980886899999996</v>
      </c>
      <c r="N760">
        <v>5.8713726499999996</v>
      </c>
      <c r="O760">
        <v>1.0798000000000001</v>
      </c>
      <c r="P760">
        <v>139.05068833999999</v>
      </c>
      <c r="Q760">
        <v>32.008400000000002</v>
      </c>
      <c r="R760" t="s">
        <v>30</v>
      </c>
      <c r="S760">
        <v>195.50081516</v>
      </c>
      <c r="T760" t="s">
        <v>2819</v>
      </c>
      <c r="U760" t="s">
        <v>1059</v>
      </c>
    </row>
    <row r="761" spans="1:21" x14ac:dyDescent="0.25">
      <c r="A761" t="s">
        <v>5441</v>
      </c>
      <c r="B761" t="s">
        <v>5644</v>
      </c>
      <c r="C761" t="s">
        <v>5645</v>
      </c>
      <c r="D761" t="s">
        <v>175</v>
      </c>
      <c r="E761" t="s">
        <v>4812</v>
      </c>
      <c r="F761" t="s">
        <v>1384</v>
      </c>
      <c r="G761" t="s">
        <v>2643</v>
      </c>
      <c r="H761">
        <v>301025249437.95001</v>
      </c>
      <c r="I761">
        <v>83999231.672179997</v>
      </c>
      <c r="J761">
        <v>250.3454177628</v>
      </c>
      <c r="S761">
        <v>182.98566249999999</v>
      </c>
      <c r="T761">
        <v>38</v>
      </c>
      <c r="U761" t="s">
        <v>2644</v>
      </c>
    </row>
    <row r="762" spans="1:21" x14ac:dyDescent="0.25">
      <c r="A762" t="s">
        <v>5441</v>
      </c>
      <c r="B762" t="s">
        <v>5560</v>
      </c>
      <c r="C762" t="s">
        <v>5559</v>
      </c>
      <c r="D762" t="s">
        <v>175</v>
      </c>
      <c r="E762" t="s">
        <v>4812</v>
      </c>
      <c r="F762" t="s">
        <v>1384</v>
      </c>
      <c r="G762" t="s">
        <v>2643</v>
      </c>
      <c r="H762">
        <v>301025249437.95001</v>
      </c>
      <c r="I762">
        <v>83999231.672179997</v>
      </c>
      <c r="J762">
        <v>250.3454177628</v>
      </c>
      <c r="S762">
        <v>182.98566249999999</v>
      </c>
      <c r="T762">
        <v>38</v>
      </c>
      <c r="U762" t="s">
        <v>2644</v>
      </c>
    </row>
    <row r="763" spans="1:21" x14ac:dyDescent="0.25">
      <c r="A763" t="s">
        <v>5823</v>
      </c>
      <c r="B763" t="s">
        <v>2373</v>
      </c>
      <c r="C763" t="s">
        <v>2374</v>
      </c>
      <c r="D763" t="s">
        <v>586</v>
      </c>
      <c r="E763" t="s">
        <v>1056</v>
      </c>
      <c r="F763" t="s">
        <v>1136</v>
      </c>
      <c r="G763" t="s">
        <v>1137</v>
      </c>
      <c r="H763" t="s">
        <v>90</v>
      </c>
      <c r="I763" t="s">
        <v>90</v>
      </c>
      <c r="J763">
        <v>14.570356990000001</v>
      </c>
      <c r="K763">
        <v>6.8405703000000004</v>
      </c>
      <c r="L763">
        <v>5.0652120399999996</v>
      </c>
      <c r="M763">
        <v>5.4908173099999997</v>
      </c>
      <c r="N763">
        <v>5.6130398899999996</v>
      </c>
      <c r="O763">
        <v>18.689521592883661</v>
      </c>
      <c r="P763">
        <v>53.90831266</v>
      </c>
      <c r="Q763">
        <v>17.045943662420889</v>
      </c>
      <c r="R763" t="s">
        <v>30</v>
      </c>
      <c r="S763">
        <v>14.570356990000001</v>
      </c>
      <c r="T763" t="s">
        <v>2819</v>
      </c>
      <c r="U763" t="s">
        <v>1059</v>
      </c>
    </row>
    <row r="764" spans="1:21" x14ac:dyDescent="0.25">
      <c r="A764" t="s">
        <v>5441</v>
      </c>
      <c r="B764" t="s">
        <v>2762</v>
      </c>
      <c r="C764" t="s">
        <v>3136</v>
      </c>
      <c r="D764" t="s">
        <v>175</v>
      </c>
      <c r="E764" t="s">
        <v>4812</v>
      </c>
      <c r="F764" t="s">
        <v>1384</v>
      </c>
      <c r="G764" t="s">
        <v>2643</v>
      </c>
      <c r="H764">
        <v>301025249437.95001</v>
      </c>
      <c r="I764">
        <v>83999231.672179997</v>
      </c>
      <c r="J764">
        <v>250.3454177628</v>
      </c>
      <c r="S764">
        <v>182.98566249999999</v>
      </c>
      <c r="T764">
        <v>38</v>
      </c>
      <c r="U764" t="s">
        <v>2644</v>
      </c>
    </row>
    <row r="765" spans="1:21" x14ac:dyDescent="0.25">
      <c r="A765" t="s">
        <v>2375</v>
      </c>
      <c r="B765" t="s">
        <v>2376</v>
      </c>
      <c r="C765" t="s">
        <v>2377</v>
      </c>
      <c r="D765" t="s">
        <v>532</v>
      </c>
      <c r="E765" t="s">
        <v>1852</v>
      </c>
      <c r="F765" t="s">
        <v>1163</v>
      </c>
      <c r="G765" t="s">
        <v>1782</v>
      </c>
      <c r="H765" t="s">
        <v>90</v>
      </c>
      <c r="I765" t="s">
        <v>90</v>
      </c>
      <c r="J765">
        <v>104.55050965</v>
      </c>
      <c r="K765">
        <v>6.5584505000000002</v>
      </c>
      <c r="L765">
        <v>7.1124764000000003</v>
      </c>
      <c r="M765">
        <v>5.1551069700000003</v>
      </c>
      <c r="N765">
        <v>5.5549121499999998</v>
      </c>
      <c r="O765">
        <v>22.504774022839658</v>
      </c>
      <c r="P765">
        <v>141.47478788000001</v>
      </c>
      <c r="Q765">
        <v>24.360656062845209</v>
      </c>
      <c r="R765" t="s">
        <v>30</v>
      </c>
      <c r="S765">
        <v>104.55050965</v>
      </c>
      <c r="T765" t="s">
        <v>2819</v>
      </c>
      <c r="U765" t="s">
        <v>1059</v>
      </c>
    </row>
    <row r="766" spans="1:21" x14ac:dyDescent="0.25">
      <c r="A766" t="s">
        <v>5441</v>
      </c>
      <c r="B766" t="s">
        <v>2763</v>
      </c>
      <c r="C766" t="s">
        <v>3139</v>
      </c>
      <c r="D766" t="s">
        <v>175</v>
      </c>
      <c r="E766" t="s">
        <v>4812</v>
      </c>
      <c r="F766" t="s">
        <v>1384</v>
      </c>
      <c r="G766" t="s">
        <v>2643</v>
      </c>
      <c r="H766">
        <v>301025249437.95001</v>
      </c>
      <c r="I766">
        <v>83999231.672179997</v>
      </c>
      <c r="J766">
        <v>250.3454177628</v>
      </c>
      <c r="S766">
        <v>182.98566249999999</v>
      </c>
      <c r="T766">
        <v>38</v>
      </c>
      <c r="U766" t="s">
        <v>2644</v>
      </c>
    </row>
    <row r="767" spans="1:21" x14ac:dyDescent="0.25">
      <c r="A767" t="s">
        <v>5353</v>
      </c>
      <c r="B767" t="s">
        <v>5354</v>
      </c>
      <c r="C767" t="s">
        <v>5355</v>
      </c>
      <c r="D767" t="s">
        <v>586</v>
      </c>
      <c r="E767" t="s">
        <v>1056</v>
      </c>
      <c r="F767" t="s">
        <v>1501</v>
      </c>
      <c r="G767" t="s">
        <v>1502</v>
      </c>
      <c r="H767" t="s">
        <v>90</v>
      </c>
      <c r="I767" t="s">
        <v>90</v>
      </c>
      <c r="J767">
        <v>123.65203274</v>
      </c>
      <c r="K767">
        <v>4.8086442600000003</v>
      </c>
      <c r="L767">
        <v>4.9883973700000004</v>
      </c>
      <c r="M767">
        <v>4.4078896700000003</v>
      </c>
      <c r="N767">
        <v>4.2009626999999998</v>
      </c>
      <c r="O767">
        <v>10.030602405040311</v>
      </c>
      <c r="P767">
        <v>197.19074524000001</v>
      </c>
      <c r="Q767">
        <v>14.096052344150561</v>
      </c>
      <c r="R767" t="s">
        <v>1063</v>
      </c>
      <c r="S767">
        <v>123.65203274</v>
      </c>
      <c r="T767" t="s">
        <v>2819</v>
      </c>
      <c r="U767" t="s">
        <v>1059</v>
      </c>
    </row>
    <row r="768" spans="1:21" x14ac:dyDescent="0.25">
      <c r="A768" t="s">
        <v>5441</v>
      </c>
      <c r="B768" t="s">
        <v>2764</v>
      </c>
      <c r="C768" t="s">
        <v>3138</v>
      </c>
      <c r="D768" t="s">
        <v>175</v>
      </c>
      <c r="E768" t="s">
        <v>4812</v>
      </c>
      <c r="F768" t="s">
        <v>1384</v>
      </c>
      <c r="G768" t="s">
        <v>2643</v>
      </c>
      <c r="H768">
        <v>301025249437.95001</v>
      </c>
      <c r="I768">
        <v>83999231.672179997</v>
      </c>
      <c r="J768">
        <v>250.3454177628</v>
      </c>
      <c r="S768">
        <v>182.98566249999999</v>
      </c>
      <c r="T768">
        <v>38</v>
      </c>
      <c r="U768" t="s">
        <v>2644</v>
      </c>
    </row>
    <row r="769" spans="1:21" x14ac:dyDescent="0.25">
      <c r="A769" t="s">
        <v>5353</v>
      </c>
      <c r="B769" t="s">
        <v>5354</v>
      </c>
      <c r="C769" t="s">
        <v>5442</v>
      </c>
      <c r="D769" t="s">
        <v>586</v>
      </c>
      <c r="E769" t="s">
        <v>1056</v>
      </c>
      <c r="F769" t="s">
        <v>1501</v>
      </c>
      <c r="G769" t="s">
        <v>1502</v>
      </c>
      <c r="H769" t="s">
        <v>90</v>
      </c>
      <c r="I769" t="s">
        <v>90</v>
      </c>
      <c r="J769">
        <v>123.65203274</v>
      </c>
      <c r="K769">
        <v>4.8086442600000003</v>
      </c>
      <c r="L769">
        <v>4.9883973700000004</v>
      </c>
      <c r="M769">
        <v>4.4078896700000003</v>
      </c>
      <c r="N769">
        <v>4.2009626999999998</v>
      </c>
      <c r="O769">
        <v>10.030602405040311</v>
      </c>
      <c r="P769">
        <v>197.19074524000001</v>
      </c>
      <c r="Q769">
        <v>14.096052344150561</v>
      </c>
      <c r="R769" t="s">
        <v>1063</v>
      </c>
      <c r="S769">
        <v>123.65203274</v>
      </c>
      <c r="T769" t="s">
        <v>2819</v>
      </c>
      <c r="U769" t="s">
        <v>1059</v>
      </c>
    </row>
    <row r="770" spans="1:21" x14ac:dyDescent="0.25">
      <c r="A770" t="s">
        <v>5441</v>
      </c>
      <c r="B770" t="s">
        <v>5356</v>
      </c>
      <c r="C770" t="s">
        <v>5357</v>
      </c>
      <c r="D770" t="s">
        <v>175</v>
      </c>
      <c r="E770" t="s">
        <v>4812</v>
      </c>
      <c r="F770" t="s">
        <v>1384</v>
      </c>
      <c r="G770" t="s">
        <v>2643</v>
      </c>
      <c r="H770">
        <v>301025249437.95001</v>
      </c>
      <c r="I770">
        <v>83999231.672179997</v>
      </c>
      <c r="J770">
        <v>250.3454177628</v>
      </c>
      <c r="S770">
        <v>182.98566249999999</v>
      </c>
      <c r="T770">
        <v>38</v>
      </c>
      <c r="U770" t="s">
        <v>2644</v>
      </c>
    </row>
    <row r="771" spans="1:21" x14ac:dyDescent="0.25">
      <c r="A771" t="s">
        <v>2379</v>
      </c>
      <c r="B771" t="s">
        <v>2380</v>
      </c>
      <c r="C771" t="s">
        <v>2381</v>
      </c>
      <c r="D771" t="s">
        <v>586</v>
      </c>
      <c r="E771" t="s">
        <v>1056</v>
      </c>
      <c r="F771" t="s">
        <v>1057</v>
      </c>
      <c r="G771" t="s">
        <v>1288</v>
      </c>
      <c r="H771" t="s">
        <v>90</v>
      </c>
      <c r="I771" t="s">
        <v>90</v>
      </c>
      <c r="J771">
        <v>57.428401219999998</v>
      </c>
      <c r="K771">
        <v>5.4921220799999997</v>
      </c>
      <c r="L771">
        <v>4.4525299299999999</v>
      </c>
      <c r="M771">
        <v>4.8823130399999997</v>
      </c>
      <c r="N771">
        <v>5.8197641899999999</v>
      </c>
      <c r="O771">
        <v>5.0989021531229586</v>
      </c>
      <c r="P771">
        <v>140.76074764000001</v>
      </c>
      <c r="Q771">
        <v>13.64733792618264</v>
      </c>
      <c r="R771" t="s">
        <v>1063</v>
      </c>
      <c r="S771">
        <v>57.428401219999998</v>
      </c>
      <c r="T771" t="s">
        <v>2819</v>
      </c>
      <c r="U771" t="s">
        <v>1059</v>
      </c>
    </row>
    <row r="772" spans="1:21" x14ac:dyDescent="0.25">
      <c r="A772" t="s">
        <v>5441</v>
      </c>
      <c r="B772" t="s">
        <v>2765</v>
      </c>
      <c r="C772" t="s">
        <v>3478</v>
      </c>
      <c r="D772" t="s">
        <v>175</v>
      </c>
      <c r="E772" t="s">
        <v>4812</v>
      </c>
      <c r="F772" t="s">
        <v>1384</v>
      </c>
      <c r="G772" t="s">
        <v>2643</v>
      </c>
      <c r="H772">
        <v>301025249437.95001</v>
      </c>
      <c r="I772">
        <v>83999231.672179997</v>
      </c>
      <c r="J772">
        <v>250.3454177628</v>
      </c>
      <c r="S772">
        <v>182.98566249999999</v>
      </c>
      <c r="T772">
        <v>38</v>
      </c>
      <c r="U772" t="s">
        <v>2644</v>
      </c>
    </row>
    <row r="773" spans="1:21" x14ac:dyDescent="0.25">
      <c r="A773" t="s">
        <v>5443</v>
      </c>
      <c r="B773" t="s">
        <v>2382</v>
      </c>
      <c r="C773" t="s">
        <v>2383</v>
      </c>
      <c r="D773" t="s">
        <v>586</v>
      </c>
      <c r="E773" t="s">
        <v>1056</v>
      </c>
      <c r="F773" t="s">
        <v>1163</v>
      </c>
      <c r="G773" t="s">
        <v>1791</v>
      </c>
      <c r="H773" t="s">
        <v>90</v>
      </c>
      <c r="I773" t="s">
        <v>90</v>
      </c>
      <c r="J773">
        <v>6.9944719700000002</v>
      </c>
      <c r="K773">
        <v>7.4481417499999996</v>
      </c>
      <c r="L773">
        <v>5.0846866999999998</v>
      </c>
      <c r="M773">
        <v>5.3633447700000003</v>
      </c>
      <c r="N773">
        <v>6.8687248800000003</v>
      </c>
      <c r="O773">
        <v>0.29788874408070198</v>
      </c>
      <c r="P773">
        <v>12.94709196</v>
      </c>
      <c r="Q773">
        <v>65.116888721509341</v>
      </c>
      <c r="R773" t="s">
        <v>1073</v>
      </c>
      <c r="S773">
        <v>6.9944719700000002</v>
      </c>
      <c r="T773" t="s">
        <v>2819</v>
      </c>
      <c r="U773" t="s">
        <v>1059</v>
      </c>
    </row>
    <row r="774" spans="1:21" x14ac:dyDescent="0.25">
      <c r="A774" t="s">
        <v>5097</v>
      </c>
      <c r="B774" t="s">
        <v>2385</v>
      </c>
      <c r="C774" t="s">
        <v>2386</v>
      </c>
      <c r="D774" t="s">
        <v>586</v>
      </c>
      <c r="E774" t="s">
        <v>1056</v>
      </c>
      <c r="F774" t="s">
        <v>1290</v>
      </c>
      <c r="G774" t="s">
        <v>1291</v>
      </c>
      <c r="H774" t="s">
        <v>90</v>
      </c>
      <c r="I774" t="s">
        <v>90</v>
      </c>
      <c r="J774">
        <v>35.021151609999997</v>
      </c>
      <c r="K774">
        <v>5.7188667899999999</v>
      </c>
      <c r="L774">
        <v>5.8935755299999997</v>
      </c>
      <c r="M774">
        <v>4.7040370500000002</v>
      </c>
      <c r="N774">
        <v>5.0238669199999997</v>
      </c>
      <c r="O774">
        <v>16.108067783864431</v>
      </c>
      <c r="P774">
        <v>85.043458670000007</v>
      </c>
      <c r="Q774">
        <v>11.113477773044449</v>
      </c>
      <c r="R774" t="s">
        <v>30</v>
      </c>
      <c r="S774">
        <v>35.021151609999997</v>
      </c>
      <c r="T774" t="s">
        <v>2819</v>
      </c>
      <c r="U774" t="s">
        <v>1059</v>
      </c>
    </row>
    <row r="775" spans="1:21" x14ac:dyDescent="0.25">
      <c r="A775" t="s">
        <v>5441</v>
      </c>
      <c r="B775" t="s">
        <v>2766</v>
      </c>
      <c r="C775" t="s">
        <v>3483</v>
      </c>
      <c r="D775" t="s">
        <v>175</v>
      </c>
      <c r="E775" t="s">
        <v>4812</v>
      </c>
      <c r="F775" t="s">
        <v>1384</v>
      </c>
      <c r="G775" t="s">
        <v>2643</v>
      </c>
      <c r="H775">
        <v>301025249437.95001</v>
      </c>
      <c r="I775">
        <v>83999231.672179997</v>
      </c>
      <c r="J775">
        <v>250.3454177628</v>
      </c>
      <c r="S775">
        <v>182.98566249999999</v>
      </c>
      <c r="T775">
        <v>38</v>
      </c>
      <c r="U775" t="s">
        <v>2644</v>
      </c>
    </row>
    <row r="776" spans="1:21" x14ac:dyDescent="0.25">
      <c r="A776" t="s">
        <v>2387</v>
      </c>
      <c r="B776" t="s">
        <v>2388</v>
      </c>
      <c r="C776" t="s">
        <v>2389</v>
      </c>
      <c r="D776" t="s">
        <v>586</v>
      </c>
      <c r="E776" t="s">
        <v>1056</v>
      </c>
      <c r="F776" t="s">
        <v>1136</v>
      </c>
      <c r="G776" t="s">
        <v>1137</v>
      </c>
      <c r="H776" t="s">
        <v>90</v>
      </c>
      <c r="I776" t="s">
        <v>90</v>
      </c>
      <c r="J776">
        <v>33.313833320000001</v>
      </c>
      <c r="K776">
        <v>6.6745799300000002</v>
      </c>
      <c r="L776">
        <v>5.9190610299999999</v>
      </c>
      <c r="M776">
        <v>5.5959857499999996</v>
      </c>
      <c r="N776">
        <v>5.32264874</v>
      </c>
      <c r="O776">
        <v>14.955251461964989</v>
      </c>
      <c r="P776">
        <v>72.618243280000002</v>
      </c>
      <c r="Q776">
        <v>9.6944699996910124</v>
      </c>
      <c r="R776" t="s">
        <v>30</v>
      </c>
      <c r="S776">
        <v>33.313833320000001</v>
      </c>
      <c r="T776" t="s">
        <v>2819</v>
      </c>
      <c r="U776" t="s">
        <v>1059</v>
      </c>
    </row>
    <row r="777" spans="1:21" x14ac:dyDescent="0.25">
      <c r="A777" t="s">
        <v>5441</v>
      </c>
      <c r="B777" t="s">
        <v>2767</v>
      </c>
      <c r="C777" t="s">
        <v>3482</v>
      </c>
      <c r="D777" t="s">
        <v>175</v>
      </c>
      <c r="E777" t="s">
        <v>4812</v>
      </c>
      <c r="F777" t="s">
        <v>1384</v>
      </c>
      <c r="G777" t="s">
        <v>2643</v>
      </c>
      <c r="H777">
        <v>301025249437.95001</v>
      </c>
      <c r="I777">
        <v>83999231.672179997</v>
      </c>
      <c r="J777">
        <v>250.3454177628</v>
      </c>
      <c r="S777">
        <v>182.98566249999999</v>
      </c>
      <c r="T777">
        <v>38</v>
      </c>
      <c r="U777" t="s">
        <v>2644</v>
      </c>
    </row>
    <row r="778" spans="1:21" x14ac:dyDescent="0.25">
      <c r="A778" t="s">
        <v>2390</v>
      </c>
      <c r="B778" t="s">
        <v>2391</v>
      </c>
      <c r="C778" t="s">
        <v>2392</v>
      </c>
      <c r="D778" t="s">
        <v>586</v>
      </c>
      <c r="E778" t="s">
        <v>1056</v>
      </c>
      <c r="F778" t="s">
        <v>1163</v>
      </c>
      <c r="G778" t="s">
        <v>1164</v>
      </c>
      <c r="H778" t="s">
        <v>90</v>
      </c>
      <c r="I778" t="s">
        <v>90</v>
      </c>
      <c r="J778">
        <v>101.46022617</v>
      </c>
      <c r="K778">
        <v>7.1550288799999997</v>
      </c>
      <c r="L778">
        <v>6.4709922400000002</v>
      </c>
      <c r="M778">
        <v>4.4753683000000004</v>
      </c>
      <c r="N778">
        <v>6.3386573999999998</v>
      </c>
      <c r="O778">
        <v>67.782835454066017</v>
      </c>
      <c r="P778">
        <v>109.10194076000001</v>
      </c>
      <c r="Q778">
        <v>72.638812419442161</v>
      </c>
      <c r="R778" t="s">
        <v>1073</v>
      </c>
      <c r="S778">
        <v>101.46022617</v>
      </c>
      <c r="T778" t="s">
        <v>2819</v>
      </c>
      <c r="U778" t="s">
        <v>1059</v>
      </c>
    </row>
    <row r="779" spans="1:21" x14ac:dyDescent="0.25">
      <c r="A779" t="s">
        <v>5441</v>
      </c>
      <c r="B779" t="s">
        <v>2768</v>
      </c>
      <c r="C779" t="s">
        <v>3467</v>
      </c>
      <c r="D779" t="s">
        <v>175</v>
      </c>
      <c r="E779" t="s">
        <v>4812</v>
      </c>
      <c r="F779" t="s">
        <v>1384</v>
      </c>
      <c r="G779" t="s">
        <v>2643</v>
      </c>
      <c r="H779">
        <v>301025249437.95001</v>
      </c>
      <c r="I779">
        <v>83999231.672179997</v>
      </c>
      <c r="J779">
        <v>250.3454177628</v>
      </c>
      <c r="S779">
        <v>182.98566249999999</v>
      </c>
      <c r="T779">
        <v>38</v>
      </c>
      <c r="U779" t="s">
        <v>2644</v>
      </c>
    </row>
    <row r="780" spans="1:21" x14ac:dyDescent="0.25">
      <c r="A780" t="s">
        <v>5444</v>
      </c>
      <c r="B780" t="s">
        <v>5445</v>
      </c>
      <c r="C780" t="s">
        <v>3329</v>
      </c>
      <c r="D780" t="s">
        <v>249</v>
      </c>
      <c r="E780" t="s">
        <v>4806</v>
      </c>
      <c r="F780" t="s">
        <v>1198</v>
      </c>
      <c r="G780" t="s">
        <v>5446</v>
      </c>
      <c r="H780">
        <v>1100.99</v>
      </c>
      <c r="I780">
        <v>1125225.7</v>
      </c>
      <c r="J780">
        <v>1022.01</v>
      </c>
      <c r="K780">
        <v>5.9</v>
      </c>
      <c r="L780">
        <v>5.0999999999999996</v>
      </c>
      <c r="M780">
        <v>5.3</v>
      </c>
      <c r="N780">
        <v>6.4</v>
      </c>
      <c r="O780">
        <v>30</v>
      </c>
      <c r="Q780">
        <v>92</v>
      </c>
      <c r="R780" t="s">
        <v>30</v>
      </c>
      <c r="S780">
        <v>1022.01</v>
      </c>
      <c r="T780" t="s">
        <v>2819</v>
      </c>
      <c r="U780" t="s">
        <v>1062</v>
      </c>
    </row>
    <row r="781" spans="1:21" x14ac:dyDescent="0.25">
      <c r="A781" t="s">
        <v>2393</v>
      </c>
      <c r="B781" t="s">
        <v>708</v>
      </c>
      <c r="C781" t="s">
        <v>707</v>
      </c>
      <c r="D781" t="s">
        <v>586</v>
      </c>
      <c r="E781" t="s">
        <v>1056</v>
      </c>
      <c r="F781" t="s">
        <v>1290</v>
      </c>
      <c r="G781" t="s">
        <v>2394</v>
      </c>
      <c r="H781" t="s">
        <v>90</v>
      </c>
      <c r="I781" t="s">
        <v>90</v>
      </c>
      <c r="J781">
        <v>10.245720479999999</v>
      </c>
      <c r="K781">
        <v>5.0993157399999998</v>
      </c>
      <c r="L781">
        <v>3.9228416099999999</v>
      </c>
      <c r="M781">
        <v>5.7321755699999999</v>
      </c>
      <c r="N781">
        <v>5.0507878100000001</v>
      </c>
      <c r="O781">
        <v>4.7900635232143776</v>
      </c>
      <c r="P781">
        <v>33.14477359</v>
      </c>
      <c r="Q781">
        <v>4.1805581856193852</v>
      </c>
      <c r="R781" t="s">
        <v>1063</v>
      </c>
      <c r="S781">
        <v>10.245720479999999</v>
      </c>
      <c r="T781" t="s">
        <v>2819</v>
      </c>
      <c r="U781" t="s">
        <v>1059</v>
      </c>
    </row>
    <row r="782" spans="1:21" x14ac:dyDescent="0.25">
      <c r="A782" t="s">
        <v>5646</v>
      </c>
      <c r="B782" t="s">
        <v>2395</v>
      </c>
      <c r="C782" t="s">
        <v>2396</v>
      </c>
      <c r="D782" t="s">
        <v>586</v>
      </c>
      <c r="E782" t="s">
        <v>1056</v>
      </c>
      <c r="F782" t="s">
        <v>1136</v>
      </c>
      <c r="G782" t="s">
        <v>1494</v>
      </c>
      <c r="H782" t="s">
        <v>90</v>
      </c>
      <c r="I782" t="s">
        <v>90</v>
      </c>
      <c r="J782">
        <v>13.89154559</v>
      </c>
      <c r="K782">
        <v>4.8333483099999999</v>
      </c>
      <c r="L782">
        <v>5.4191915899999996</v>
      </c>
      <c r="M782">
        <v>6.1144554199999996</v>
      </c>
      <c r="N782">
        <v>5.7960028100000001</v>
      </c>
      <c r="O782">
        <v>0.35848343668422999</v>
      </c>
      <c r="P782">
        <v>31.585620639999998</v>
      </c>
      <c r="Q782">
        <v>0.69606013468543004</v>
      </c>
      <c r="R782" t="s">
        <v>1063</v>
      </c>
      <c r="S782">
        <v>13.89154559</v>
      </c>
      <c r="T782" t="s">
        <v>2819</v>
      </c>
      <c r="U782" t="s">
        <v>1059</v>
      </c>
    </row>
    <row r="783" spans="1:21" x14ac:dyDescent="0.25">
      <c r="A783" t="s">
        <v>2397</v>
      </c>
      <c r="B783" t="s">
        <v>2398</v>
      </c>
      <c r="C783" t="s">
        <v>2399</v>
      </c>
      <c r="D783" t="s">
        <v>586</v>
      </c>
      <c r="E783" t="s">
        <v>1056</v>
      </c>
      <c r="F783" t="s">
        <v>1375</v>
      </c>
      <c r="G783" t="s">
        <v>1376</v>
      </c>
      <c r="H783" t="s">
        <v>90</v>
      </c>
      <c r="I783" t="s">
        <v>90</v>
      </c>
      <c r="J783">
        <v>19.064527519999999</v>
      </c>
      <c r="K783">
        <v>7.6184663300000004</v>
      </c>
      <c r="L783">
        <v>5.6518058800000004</v>
      </c>
      <c r="M783">
        <v>5.5622427600000002</v>
      </c>
      <c r="N783">
        <v>6.3922508100000002</v>
      </c>
      <c r="O783">
        <v>33.125999999999998</v>
      </c>
      <c r="P783">
        <v>43.157267189999999</v>
      </c>
      <c r="Q783">
        <v>33.561500000000002</v>
      </c>
      <c r="R783" t="s">
        <v>1073</v>
      </c>
      <c r="S783">
        <v>19.064527519999999</v>
      </c>
      <c r="T783" t="s">
        <v>2819</v>
      </c>
      <c r="U783" t="s">
        <v>1059</v>
      </c>
    </row>
    <row r="784" spans="1:21" x14ac:dyDescent="0.25">
      <c r="A784" t="s">
        <v>5824</v>
      </c>
      <c r="B784" t="s">
        <v>5825</v>
      </c>
      <c r="C784" t="s">
        <v>5826</v>
      </c>
      <c r="D784" t="s">
        <v>586</v>
      </c>
      <c r="E784" t="s">
        <v>1056</v>
      </c>
      <c r="F784" t="s">
        <v>1375</v>
      </c>
      <c r="G784" t="s">
        <v>1376</v>
      </c>
      <c r="H784" t="s">
        <v>90</v>
      </c>
      <c r="I784" t="s">
        <v>90</v>
      </c>
      <c r="J784">
        <v>13.056657209999999</v>
      </c>
      <c r="K784">
        <v>7.6026669599999996</v>
      </c>
      <c r="L784">
        <v>5.8212056299999997</v>
      </c>
      <c r="M784">
        <v>5.3897937799999998</v>
      </c>
      <c r="N784">
        <v>6.4929680899999997</v>
      </c>
      <c r="O784">
        <v>26.7029</v>
      </c>
      <c r="P784">
        <v>39.841959359999997</v>
      </c>
      <c r="Q784">
        <v>42.908900000000003</v>
      </c>
      <c r="R784" t="s">
        <v>1073</v>
      </c>
      <c r="S784">
        <v>13.056657209999999</v>
      </c>
      <c r="T784" t="s">
        <v>2819</v>
      </c>
      <c r="U784" t="s">
        <v>1059</v>
      </c>
    </row>
    <row r="785" spans="1:21" x14ac:dyDescent="0.25">
      <c r="A785" t="s">
        <v>2401</v>
      </c>
      <c r="B785" t="s">
        <v>2402</v>
      </c>
      <c r="C785" t="s">
        <v>2403</v>
      </c>
      <c r="D785" t="s">
        <v>586</v>
      </c>
      <c r="E785" t="s">
        <v>1056</v>
      </c>
      <c r="F785" t="s">
        <v>1290</v>
      </c>
      <c r="G785" t="s">
        <v>1291</v>
      </c>
      <c r="H785" t="s">
        <v>90</v>
      </c>
      <c r="I785" t="s">
        <v>90</v>
      </c>
      <c r="J785">
        <v>108.56450476000001</v>
      </c>
      <c r="K785">
        <v>5.5921547199999999</v>
      </c>
      <c r="L785">
        <v>5.58641933</v>
      </c>
      <c r="M785">
        <v>4.8931070800000001</v>
      </c>
      <c r="N785">
        <v>4.7376475300000003</v>
      </c>
      <c r="O785">
        <v>27.96347139640779</v>
      </c>
      <c r="P785">
        <v>140.03089517000001</v>
      </c>
      <c r="Q785">
        <v>5.0282356815282343</v>
      </c>
      <c r="R785" t="s">
        <v>1063</v>
      </c>
      <c r="S785">
        <v>108.56450476000001</v>
      </c>
      <c r="T785" t="s">
        <v>2819</v>
      </c>
      <c r="U785" t="s">
        <v>1059</v>
      </c>
    </row>
    <row r="786" spans="1:21" x14ac:dyDescent="0.25">
      <c r="A786" t="s">
        <v>5252</v>
      </c>
      <c r="B786" t="s">
        <v>2404</v>
      </c>
      <c r="C786" t="s">
        <v>2405</v>
      </c>
      <c r="D786" t="s">
        <v>586</v>
      </c>
      <c r="E786" t="s">
        <v>1056</v>
      </c>
      <c r="F786" t="s">
        <v>1057</v>
      </c>
      <c r="G786" t="s">
        <v>1058</v>
      </c>
      <c r="H786" t="s">
        <v>90</v>
      </c>
      <c r="I786" t="s">
        <v>90</v>
      </c>
      <c r="J786">
        <v>18.18293688</v>
      </c>
      <c r="K786">
        <v>6.16962703</v>
      </c>
      <c r="L786">
        <v>6.6681576199999997</v>
      </c>
      <c r="M786">
        <v>4.5119968100000003</v>
      </c>
      <c r="N786">
        <v>5.3241696899999997</v>
      </c>
      <c r="O786">
        <v>46.76509999999999</v>
      </c>
      <c r="P786">
        <v>80.594486500000002</v>
      </c>
      <c r="Q786">
        <v>9.4012999999999991</v>
      </c>
      <c r="R786" t="s">
        <v>30</v>
      </c>
      <c r="S786">
        <v>18.18293688</v>
      </c>
      <c r="T786" t="s">
        <v>2819</v>
      </c>
      <c r="U786" t="s">
        <v>1059</v>
      </c>
    </row>
    <row r="787" spans="1:21" x14ac:dyDescent="0.25">
      <c r="A787" t="s">
        <v>2406</v>
      </c>
      <c r="B787" t="s">
        <v>646</v>
      </c>
      <c r="C787" t="s">
        <v>645</v>
      </c>
      <c r="D787" t="s">
        <v>586</v>
      </c>
      <c r="E787" t="s">
        <v>1056</v>
      </c>
      <c r="F787" t="s">
        <v>1375</v>
      </c>
      <c r="G787" t="s">
        <v>1376</v>
      </c>
      <c r="H787" t="s">
        <v>90</v>
      </c>
      <c r="I787" t="s">
        <v>90</v>
      </c>
      <c r="J787">
        <v>123.32003243</v>
      </c>
      <c r="K787">
        <v>7.40143795</v>
      </c>
      <c r="L787">
        <v>5.8309810000000004</v>
      </c>
      <c r="M787">
        <v>5.3145754299999997</v>
      </c>
      <c r="N787">
        <v>5.8978142099999999</v>
      </c>
      <c r="O787">
        <v>19.637360725278551</v>
      </c>
      <c r="P787">
        <v>111.19724056</v>
      </c>
      <c r="Q787">
        <v>18.027263945472111</v>
      </c>
      <c r="R787" t="s">
        <v>1073</v>
      </c>
      <c r="S787">
        <v>123.32003243</v>
      </c>
      <c r="T787" t="s">
        <v>2819</v>
      </c>
      <c r="U787" t="s">
        <v>1059</v>
      </c>
    </row>
    <row r="788" spans="1:21" x14ac:dyDescent="0.25">
      <c r="A788" t="s">
        <v>2407</v>
      </c>
      <c r="B788" t="s">
        <v>2408</v>
      </c>
      <c r="C788" t="s">
        <v>2409</v>
      </c>
      <c r="D788" t="s">
        <v>586</v>
      </c>
      <c r="E788" t="s">
        <v>1056</v>
      </c>
      <c r="F788" t="s">
        <v>1501</v>
      </c>
      <c r="G788" t="s">
        <v>1502</v>
      </c>
      <c r="H788" t="s">
        <v>90</v>
      </c>
      <c r="I788" t="s">
        <v>90</v>
      </c>
      <c r="J788">
        <v>174.88959087999999</v>
      </c>
      <c r="K788">
        <v>5.3613023799999997</v>
      </c>
      <c r="L788">
        <v>5.1168184400000003</v>
      </c>
      <c r="M788">
        <v>4.4187326000000002</v>
      </c>
      <c r="N788">
        <v>4.6928121100000002</v>
      </c>
      <c r="O788">
        <v>22.595815008187781</v>
      </c>
      <c r="P788">
        <v>790.21158843000001</v>
      </c>
      <c r="Q788">
        <v>14.968738854732401</v>
      </c>
      <c r="R788" t="s">
        <v>1063</v>
      </c>
      <c r="S788">
        <v>174.88959087999999</v>
      </c>
      <c r="T788" t="s">
        <v>2819</v>
      </c>
      <c r="U788" t="s">
        <v>1059</v>
      </c>
    </row>
    <row r="789" spans="1:21" x14ac:dyDescent="0.25">
      <c r="A789" t="s">
        <v>5647</v>
      </c>
      <c r="B789" t="s">
        <v>2410</v>
      </c>
      <c r="C789" t="s">
        <v>2411</v>
      </c>
      <c r="D789" t="s">
        <v>586</v>
      </c>
      <c r="E789" t="s">
        <v>1056</v>
      </c>
      <c r="F789" t="s">
        <v>1501</v>
      </c>
      <c r="G789" t="s">
        <v>1502</v>
      </c>
      <c r="H789" t="s">
        <v>90</v>
      </c>
      <c r="I789" t="s">
        <v>90</v>
      </c>
      <c r="J789">
        <v>35.41368688</v>
      </c>
      <c r="K789">
        <v>5.7092699400000004</v>
      </c>
      <c r="L789">
        <v>5.13284669</v>
      </c>
      <c r="M789">
        <v>4.44152272</v>
      </c>
      <c r="N789">
        <v>5.3234598399999999</v>
      </c>
      <c r="O789">
        <v>12.377237131711389</v>
      </c>
      <c r="P789">
        <v>185.61889914</v>
      </c>
      <c r="Q789">
        <v>20.841962525887581</v>
      </c>
      <c r="R789" t="s">
        <v>1063</v>
      </c>
      <c r="S789">
        <v>35.41368688</v>
      </c>
      <c r="T789" t="s">
        <v>2819</v>
      </c>
      <c r="U789" t="s">
        <v>1059</v>
      </c>
    </row>
    <row r="790" spans="1:21" x14ac:dyDescent="0.25">
      <c r="A790" t="s">
        <v>5274</v>
      </c>
      <c r="B790" t="s">
        <v>2412</v>
      </c>
      <c r="C790" t="s">
        <v>2413</v>
      </c>
      <c r="D790" t="s">
        <v>586</v>
      </c>
      <c r="E790" t="s">
        <v>1056</v>
      </c>
      <c r="F790" t="s">
        <v>1375</v>
      </c>
      <c r="G790" t="s">
        <v>1376</v>
      </c>
      <c r="H790" t="s">
        <v>90</v>
      </c>
      <c r="I790" t="s">
        <v>90</v>
      </c>
      <c r="J790">
        <v>26.18768541</v>
      </c>
      <c r="K790">
        <v>7.2565874299999997</v>
      </c>
      <c r="L790">
        <v>5.5495875799999999</v>
      </c>
      <c r="M790">
        <v>5.3878869399999996</v>
      </c>
      <c r="N790">
        <v>6.1268202399999998</v>
      </c>
      <c r="O790">
        <v>20.773716905132378</v>
      </c>
      <c r="P790">
        <v>55.687904459999999</v>
      </c>
      <c r="Q790">
        <v>32.826468694125232</v>
      </c>
      <c r="R790" t="s">
        <v>1073</v>
      </c>
      <c r="S790">
        <v>26.18768541</v>
      </c>
      <c r="T790" t="s">
        <v>2819</v>
      </c>
      <c r="U790" t="s">
        <v>1059</v>
      </c>
    </row>
    <row r="791" spans="1:21" x14ac:dyDescent="0.25">
      <c r="A791" t="s">
        <v>2414</v>
      </c>
      <c r="B791" t="s">
        <v>643</v>
      </c>
      <c r="C791" t="s">
        <v>2415</v>
      </c>
      <c r="D791" t="s">
        <v>586</v>
      </c>
      <c r="E791" t="s">
        <v>1056</v>
      </c>
      <c r="F791" t="s">
        <v>1714</v>
      </c>
      <c r="G791" t="s">
        <v>1715</v>
      </c>
      <c r="H791" t="s">
        <v>90</v>
      </c>
      <c r="I791" t="s">
        <v>90</v>
      </c>
      <c r="J791">
        <v>57.279519180000001</v>
      </c>
      <c r="K791">
        <v>7.4863884299999999</v>
      </c>
      <c r="L791">
        <v>6.85998734</v>
      </c>
      <c r="M791">
        <v>5.0854068699999999</v>
      </c>
      <c r="N791">
        <v>6.1838351899999999</v>
      </c>
      <c r="O791">
        <v>49.165082243543139</v>
      </c>
      <c r="P791">
        <v>76.034803150000002</v>
      </c>
      <c r="Q791">
        <v>63.665549581792192</v>
      </c>
      <c r="R791" t="s">
        <v>1073</v>
      </c>
      <c r="S791">
        <v>57.279519180000001</v>
      </c>
      <c r="T791" t="s">
        <v>2819</v>
      </c>
      <c r="U791" t="s">
        <v>1059</v>
      </c>
    </row>
    <row r="792" spans="1:21" x14ac:dyDescent="0.25">
      <c r="A792" t="s">
        <v>2414</v>
      </c>
      <c r="B792" t="s">
        <v>643</v>
      </c>
      <c r="C792" t="s">
        <v>642</v>
      </c>
      <c r="D792" t="s">
        <v>586</v>
      </c>
      <c r="E792" t="s">
        <v>1056</v>
      </c>
      <c r="F792" t="s">
        <v>1714</v>
      </c>
      <c r="G792" t="s">
        <v>1715</v>
      </c>
      <c r="H792" t="s">
        <v>90</v>
      </c>
      <c r="I792" t="s">
        <v>90</v>
      </c>
      <c r="J792">
        <v>57.279519180000001</v>
      </c>
      <c r="K792">
        <v>7.4863884299999999</v>
      </c>
      <c r="L792">
        <v>6.85998734</v>
      </c>
      <c r="M792">
        <v>5.0854068699999999</v>
      </c>
      <c r="N792">
        <v>6.1838351899999999</v>
      </c>
      <c r="O792">
        <v>49.165082243543139</v>
      </c>
      <c r="P792">
        <v>76.034803150000002</v>
      </c>
      <c r="Q792">
        <v>63.665549581792192</v>
      </c>
      <c r="R792" t="s">
        <v>1073</v>
      </c>
      <c r="S792">
        <v>57.279519180000001</v>
      </c>
      <c r="T792" t="s">
        <v>2819</v>
      </c>
      <c r="U792" t="s">
        <v>1059</v>
      </c>
    </row>
    <row r="793" spans="1:21" x14ac:dyDescent="0.25">
      <c r="A793" t="s">
        <v>2416</v>
      </c>
      <c r="B793" t="s">
        <v>2417</v>
      </c>
      <c r="C793" t="s">
        <v>2418</v>
      </c>
      <c r="D793" t="s">
        <v>586</v>
      </c>
      <c r="E793" t="s">
        <v>1056</v>
      </c>
      <c r="F793" t="s">
        <v>1714</v>
      </c>
      <c r="G793" t="s">
        <v>2042</v>
      </c>
      <c r="H793" t="s">
        <v>90</v>
      </c>
      <c r="I793" t="s">
        <v>90</v>
      </c>
      <c r="J793">
        <v>138.82009361999999</v>
      </c>
      <c r="K793">
        <v>6.8882256000000002</v>
      </c>
      <c r="L793">
        <v>5.9020542300000001</v>
      </c>
      <c r="M793">
        <v>4.8762573700000003</v>
      </c>
      <c r="N793">
        <v>6.4364234700000003</v>
      </c>
      <c r="O793">
        <v>6.0350724208690503</v>
      </c>
      <c r="P793">
        <v>126.78507573</v>
      </c>
      <c r="Q793">
        <v>49.544694536334433</v>
      </c>
      <c r="R793" t="s">
        <v>30</v>
      </c>
      <c r="S793">
        <v>138.82009361999999</v>
      </c>
      <c r="T793" t="s">
        <v>2819</v>
      </c>
      <c r="U793" t="s">
        <v>1059</v>
      </c>
    </row>
    <row r="794" spans="1:21" x14ac:dyDescent="0.25">
      <c r="A794" t="s">
        <v>5827</v>
      </c>
      <c r="B794" t="s">
        <v>5828</v>
      </c>
      <c r="C794" t="s">
        <v>5829</v>
      </c>
      <c r="D794" t="s">
        <v>586</v>
      </c>
      <c r="E794" t="s">
        <v>1056</v>
      </c>
      <c r="F794" t="s">
        <v>1071</v>
      </c>
      <c r="G794" t="s">
        <v>1216</v>
      </c>
      <c r="H794" t="s">
        <v>90</v>
      </c>
      <c r="I794" t="s">
        <v>90</v>
      </c>
      <c r="J794">
        <v>9.9785072499999998</v>
      </c>
      <c r="K794">
        <v>7.0572451200000001</v>
      </c>
      <c r="L794">
        <v>7.3525572500000003</v>
      </c>
      <c r="M794">
        <v>5.2772956200000003</v>
      </c>
      <c r="N794">
        <v>5.7962880200000004</v>
      </c>
      <c r="O794">
        <v>30.400995043536529</v>
      </c>
      <c r="P794">
        <v>34.875272500000001</v>
      </c>
      <c r="Q794">
        <v>27.901909937183738</v>
      </c>
      <c r="R794" t="s">
        <v>30</v>
      </c>
      <c r="S794">
        <v>9.9785072499999998</v>
      </c>
      <c r="T794" t="s">
        <v>2819</v>
      </c>
      <c r="U794" t="s">
        <v>1059</v>
      </c>
    </row>
    <row r="795" spans="1:21" x14ac:dyDescent="0.25">
      <c r="A795" t="s">
        <v>2419</v>
      </c>
      <c r="B795" t="s">
        <v>2420</v>
      </c>
      <c r="C795" t="s">
        <v>2421</v>
      </c>
      <c r="D795" t="s">
        <v>586</v>
      </c>
      <c r="E795" t="s">
        <v>1056</v>
      </c>
      <c r="F795" t="s">
        <v>1136</v>
      </c>
      <c r="G795" t="s">
        <v>1437</v>
      </c>
      <c r="H795" t="s">
        <v>90</v>
      </c>
      <c r="I795" t="s">
        <v>90</v>
      </c>
      <c r="J795">
        <v>237.06798383</v>
      </c>
      <c r="K795">
        <v>3.9384970400000001</v>
      </c>
      <c r="L795">
        <v>5.3783427799999997</v>
      </c>
      <c r="M795">
        <v>4.8697546599999999</v>
      </c>
      <c r="N795">
        <v>4.6694274299999998</v>
      </c>
      <c r="O795">
        <v>6.0555247114904809</v>
      </c>
      <c r="P795">
        <v>541.23869976000003</v>
      </c>
      <c r="Q795">
        <v>0.94945404649700105</v>
      </c>
      <c r="R795" t="s">
        <v>1138</v>
      </c>
      <c r="S795">
        <v>237.06798383</v>
      </c>
      <c r="T795" t="s">
        <v>2819</v>
      </c>
      <c r="U795" t="s">
        <v>1059</v>
      </c>
    </row>
    <row r="796" spans="1:21" x14ac:dyDescent="0.25">
      <c r="A796" t="s">
        <v>5830</v>
      </c>
      <c r="B796" t="s">
        <v>5831</v>
      </c>
      <c r="C796" t="s">
        <v>5832</v>
      </c>
      <c r="D796" t="s">
        <v>586</v>
      </c>
      <c r="E796" t="s">
        <v>1056</v>
      </c>
      <c r="F796" t="s">
        <v>1071</v>
      </c>
      <c r="G796" t="s">
        <v>1216</v>
      </c>
      <c r="H796" t="s">
        <v>90</v>
      </c>
      <c r="I796" t="s">
        <v>90</v>
      </c>
      <c r="J796">
        <v>4.23246652</v>
      </c>
      <c r="K796">
        <v>7.8593998000000003</v>
      </c>
      <c r="L796">
        <v>5.73165586</v>
      </c>
      <c r="M796">
        <v>6.5024140299999997</v>
      </c>
      <c r="N796">
        <v>6.0850870700000002</v>
      </c>
      <c r="O796">
        <v>19.87572175959334</v>
      </c>
      <c r="P796">
        <v>32.548766460000003</v>
      </c>
      <c r="Q796">
        <v>29.485763126882151</v>
      </c>
      <c r="R796" t="s">
        <v>1073</v>
      </c>
      <c r="S796">
        <v>4.23246652</v>
      </c>
      <c r="T796" t="s">
        <v>2819</v>
      </c>
      <c r="U796" t="s">
        <v>1059</v>
      </c>
    </row>
    <row r="797" spans="1:21" x14ac:dyDescent="0.25">
      <c r="A797" t="s">
        <v>5253</v>
      </c>
      <c r="B797" t="s">
        <v>2422</v>
      </c>
      <c r="C797" t="s">
        <v>2423</v>
      </c>
      <c r="D797" t="s">
        <v>586</v>
      </c>
      <c r="E797" t="s">
        <v>1056</v>
      </c>
      <c r="F797" t="s">
        <v>1265</v>
      </c>
      <c r="G797" t="s">
        <v>1266</v>
      </c>
      <c r="H797" t="s">
        <v>90</v>
      </c>
      <c r="I797" t="s">
        <v>90</v>
      </c>
      <c r="J797">
        <v>26.37616324</v>
      </c>
      <c r="K797">
        <v>7.1404345999999999</v>
      </c>
      <c r="L797">
        <v>5.6851386599999998</v>
      </c>
      <c r="M797">
        <v>5.1386551799999998</v>
      </c>
      <c r="N797">
        <v>6.0763225199999997</v>
      </c>
      <c r="O797">
        <v>29.157870842129149</v>
      </c>
      <c r="P797">
        <v>87.815035339999994</v>
      </c>
      <c r="Q797">
        <v>38.715761284238702</v>
      </c>
      <c r="R797" t="s">
        <v>30</v>
      </c>
      <c r="S797">
        <v>26.37616324</v>
      </c>
      <c r="T797" t="s">
        <v>2819</v>
      </c>
      <c r="U797" t="s">
        <v>1059</v>
      </c>
    </row>
    <row r="798" spans="1:21" x14ac:dyDescent="0.25">
      <c r="A798" t="s">
        <v>2427</v>
      </c>
      <c r="B798" t="s">
        <v>2428</v>
      </c>
      <c r="C798" t="s">
        <v>2429</v>
      </c>
      <c r="D798" t="s">
        <v>586</v>
      </c>
      <c r="E798" t="s">
        <v>1056</v>
      </c>
      <c r="F798" t="s">
        <v>1057</v>
      </c>
      <c r="G798" t="s">
        <v>1159</v>
      </c>
      <c r="H798" t="s">
        <v>90</v>
      </c>
      <c r="I798" t="s">
        <v>90</v>
      </c>
      <c r="J798">
        <v>7.5632850300000003</v>
      </c>
      <c r="K798">
        <v>6.3118912900000002</v>
      </c>
      <c r="L798">
        <v>7.2816328199999996</v>
      </c>
      <c r="M798">
        <v>4.3960487199999996</v>
      </c>
      <c r="N798">
        <v>5.6626882299999997</v>
      </c>
      <c r="O798">
        <v>47.162658512024471</v>
      </c>
      <c r="P798">
        <v>24.236528060000001</v>
      </c>
      <c r="Q798">
        <v>34.621196136411598</v>
      </c>
      <c r="R798" t="s">
        <v>30</v>
      </c>
      <c r="S798">
        <v>7.5632850300000003</v>
      </c>
      <c r="T798" t="s">
        <v>2819</v>
      </c>
      <c r="U798" t="s">
        <v>1059</v>
      </c>
    </row>
    <row r="799" spans="1:21" x14ac:dyDescent="0.25">
      <c r="A799" t="s">
        <v>2432</v>
      </c>
      <c r="B799" t="s">
        <v>589</v>
      </c>
      <c r="C799" t="s">
        <v>588</v>
      </c>
      <c r="D799" t="s">
        <v>586</v>
      </c>
      <c r="E799" t="s">
        <v>1056</v>
      </c>
      <c r="F799" t="s">
        <v>1136</v>
      </c>
      <c r="G799" t="s">
        <v>2148</v>
      </c>
      <c r="H799" t="s">
        <v>90</v>
      </c>
      <c r="I799" t="s">
        <v>90</v>
      </c>
      <c r="J799">
        <v>302.53816017999998</v>
      </c>
      <c r="K799">
        <v>4.2409617800000001</v>
      </c>
      <c r="L799">
        <v>5.3781709099999997</v>
      </c>
      <c r="M799">
        <v>5.1291607099999998</v>
      </c>
      <c r="N799">
        <v>4.32002066</v>
      </c>
      <c r="O799">
        <v>7.8782560392990222</v>
      </c>
      <c r="P799">
        <v>488.71890194999997</v>
      </c>
      <c r="Q799">
        <v>3.0788760939805551</v>
      </c>
      <c r="R799" t="s">
        <v>1138</v>
      </c>
      <c r="S799">
        <v>302.53816017999998</v>
      </c>
      <c r="T799" t="s">
        <v>2819</v>
      </c>
      <c r="U799" t="s">
        <v>1059</v>
      </c>
    </row>
    <row r="800" spans="1:21" x14ac:dyDescent="0.25">
      <c r="A800" t="s">
        <v>2433</v>
      </c>
      <c r="B800" t="s">
        <v>2434</v>
      </c>
      <c r="C800" t="s">
        <v>2435</v>
      </c>
      <c r="D800" t="s">
        <v>586</v>
      </c>
      <c r="E800" t="s">
        <v>1056</v>
      </c>
      <c r="F800" t="s">
        <v>1071</v>
      </c>
      <c r="G800" t="s">
        <v>1893</v>
      </c>
      <c r="H800" t="s">
        <v>90</v>
      </c>
      <c r="I800" t="s">
        <v>90</v>
      </c>
      <c r="J800">
        <v>122.55444734</v>
      </c>
      <c r="K800">
        <v>6.3783221899999996</v>
      </c>
      <c r="L800">
        <v>5.6653266599999998</v>
      </c>
      <c r="M800">
        <v>4.6411755599999998</v>
      </c>
      <c r="N800">
        <v>6.0107583099999999</v>
      </c>
      <c r="O800">
        <v>24.455528150814981</v>
      </c>
      <c r="P800">
        <v>200.45218947000001</v>
      </c>
      <c r="Q800">
        <v>33.330181032229433</v>
      </c>
      <c r="R800" t="s">
        <v>30</v>
      </c>
      <c r="S800">
        <v>122.55444734</v>
      </c>
      <c r="T800" t="s">
        <v>2819</v>
      </c>
      <c r="U800" t="s">
        <v>1059</v>
      </c>
    </row>
    <row r="801" spans="1:21" x14ac:dyDescent="0.25">
      <c r="A801" t="s">
        <v>5447</v>
      </c>
      <c r="B801" t="s">
        <v>5448</v>
      </c>
      <c r="C801" t="s">
        <v>5449</v>
      </c>
      <c r="D801" t="s">
        <v>586</v>
      </c>
      <c r="E801" t="s">
        <v>1056</v>
      </c>
      <c r="F801" t="s">
        <v>1714</v>
      </c>
      <c r="G801" t="s">
        <v>1715</v>
      </c>
      <c r="H801" t="s">
        <v>90</v>
      </c>
      <c r="I801" t="s">
        <v>90</v>
      </c>
      <c r="J801">
        <v>57.279519180000001</v>
      </c>
      <c r="K801">
        <v>7.4863884299999999</v>
      </c>
      <c r="L801">
        <v>6.85998734</v>
      </c>
      <c r="M801">
        <v>5.0854068699999999</v>
      </c>
      <c r="N801">
        <v>6.1838351899999999</v>
      </c>
      <c r="O801">
        <v>49.165082243543139</v>
      </c>
      <c r="P801">
        <v>76.034803150000002</v>
      </c>
      <c r="Q801">
        <v>63.665549581792192</v>
      </c>
      <c r="R801" t="s">
        <v>1073</v>
      </c>
      <c r="S801">
        <v>57.279519180000001</v>
      </c>
      <c r="T801" t="s">
        <v>2819</v>
      </c>
      <c r="U801" t="s">
        <v>1059</v>
      </c>
    </row>
    <row r="802" spans="1:21" x14ac:dyDescent="0.25">
      <c r="A802" t="s">
        <v>2769</v>
      </c>
      <c r="B802" t="s">
        <v>2770</v>
      </c>
      <c r="C802" t="s">
        <v>4231</v>
      </c>
      <c r="D802" t="s">
        <v>4798</v>
      </c>
      <c r="E802" t="s">
        <v>4799</v>
      </c>
      <c r="F802" t="s">
        <v>1168</v>
      </c>
      <c r="G802" t="s">
        <v>1911</v>
      </c>
      <c r="H802">
        <v>30599.62</v>
      </c>
      <c r="I802">
        <v>604027</v>
      </c>
      <c r="J802">
        <v>19.739999999999998</v>
      </c>
      <c r="K802">
        <v>8.3000000000000007</v>
      </c>
      <c r="L802">
        <v>8.1999999999999993</v>
      </c>
      <c r="M802">
        <v>6.1</v>
      </c>
      <c r="N802">
        <v>4.2</v>
      </c>
      <c r="O802">
        <v>4</v>
      </c>
      <c r="Q802">
        <v>29</v>
      </c>
      <c r="R802" t="s">
        <v>1073</v>
      </c>
      <c r="S802">
        <v>19.739999999999998</v>
      </c>
      <c r="T802" t="s">
        <v>2819</v>
      </c>
      <c r="U802" t="s">
        <v>1062</v>
      </c>
    </row>
    <row r="803" spans="1:21" x14ac:dyDescent="0.25">
      <c r="A803" t="s">
        <v>5833</v>
      </c>
      <c r="B803" t="s">
        <v>5834</v>
      </c>
      <c r="C803" t="s">
        <v>5835</v>
      </c>
      <c r="D803" t="s">
        <v>586</v>
      </c>
      <c r="E803" t="s">
        <v>1056</v>
      </c>
      <c r="F803" t="s">
        <v>1071</v>
      </c>
      <c r="G803" t="s">
        <v>2071</v>
      </c>
      <c r="H803" t="s">
        <v>90</v>
      </c>
      <c r="I803" t="s">
        <v>90</v>
      </c>
      <c r="J803">
        <v>9.6320745999999993</v>
      </c>
      <c r="K803">
        <v>7.7663525699999996</v>
      </c>
      <c r="L803">
        <v>7.2133801399999999</v>
      </c>
      <c r="M803">
        <v>4.78997764</v>
      </c>
      <c r="N803">
        <v>6.5353590600000002</v>
      </c>
      <c r="O803">
        <v>19.36779550011288</v>
      </c>
      <c r="P803">
        <v>19.033805780000002</v>
      </c>
      <c r="Q803">
        <v>64.78622272029898</v>
      </c>
      <c r="R803" t="s">
        <v>1073</v>
      </c>
      <c r="S803">
        <v>9.6320745999999993</v>
      </c>
      <c r="T803" t="s">
        <v>2819</v>
      </c>
      <c r="U803" t="s">
        <v>1059</v>
      </c>
    </row>
    <row r="804" spans="1:21" x14ac:dyDescent="0.25">
      <c r="A804" t="s">
        <v>2436</v>
      </c>
      <c r="B804" t="s">
        <v>629</v>
      </c>
      <c r="C804" t="s">
        <v>628</v>
      </c>
      <c r="D804" t="s">
        <v>586</v>
      </c>
      <c r="E804" t="s">
        <v>1056</v>
      </c>
      <c r="F804" t="s">
        <v>1163</v>
      </c>
      <c r="G804" t="s">
        <v>1164</v>
      </c>
      <c r="H804" t="s">
        <v>90</v>
      </c>
      <c r="I804" t="s">
        <v>90</v>
      </c>
      <c r="J804">
        <v>17.284240369999999</v>
      </c>
      <c r="K804">
        <v>8.3613207500000009</v>
      </c>
      <c r="L804">
        <v>6.0359140399999998</v>
      </c>
      <c r="M804">
        <v>5.8103721000000004</v>
      </c>
      <c r="N804">
        <v>7.2056399500000001</v>
      </c>
      <c r="O804">
        <v>18.516276560514701</v>
      </c>
      <c r="P804">
        <v>59.566441609999998</v>
      </c>
      <c r="Q804">
        <v>66.96821729726652</v>
      </c>
      <c r="R804" t="s">
        <v>1073</v>
      </c>
      <c r="S804">
        <v>17.284240369999999</v>
      </c>
      <c r="T804" t="s">
        <v>2819</v>
      </c>
      <c r="U804" t="s">
        <v>1059</v>
      </c>
    </row>
    <row r="805" spans="1:21" x14ac:dyDescent="0.25">
      <c r="A805" t="s">
        <v>2437</v>
      </c>
      <c r="B805" t="s">
        <v>669</v>
      </c>
      <c r="C805" t="s">
        <v>668</v>
      </c>
      <c r="D805" t="s">
        <v>586</v>
      </c>
      <c r="E805" t="s">
        <v>1056</v>
      </c>
      <c r="F805" t="s">
        <v>1071</v>
      </c>
      <c r="G805" t="s">
        <v>1856</v>
      </c>
      <c r="H805" t="s">
        <v>90</v>
      </c>
      <c r="I805" t="s">
        <v>90</v>
      </c>
      <c r="J805">
        <v>82.768366749999998</v>
      </c>
      <c r="K805">
        <v>6.4716202100000002</v>
      </c>
      <c r="L805">
        <v>6.0627079500000001</v>
      </c>
      <c r="M805">
        <v>4.9073551000000002</v>
      </c>
      <c r="N805">
        <v>5.6579957800000003</v>
      </c>
      <c r="O805">
        <v>23.463633634345388</v>
      </c>
      <c r="P805">
        <v>248.67796683</v>
      </c>
      <c r="Q805">
        <v>23.978158849043641</v>
      </c>
      <c r="R805" t="s">
        <v>30</v>
      </c>
      <c r="S805">
        <v>82.768366749999998</v>
      </c>
      <c r="T805" t="s">
        <v>2819</v>
      </c>
      <c r="U805" t="s">
        <v>1059</v>
      </c>
    </row>
    <row r="806" spans="1:21" x14ac:dyDescent="0.25">
      <c r="A806" t="s">
        <v>2438</v>
      </c>
      <c r="B806" t="s">
        <v>2439</v>
      </c>
      <c r="C806" t="s">
        <v>2440</v>
      </c>
      <c r="D806" t="s">
        <v>586</v>
      </c>
      <c r="E806" t="s">
        <v>1056</v>
      </c>
      <c r="F806" t="s">
        <v>1766</v>
      </c>
      <c r="G806" t="s">
        <v>1266</v>
      </c>
      <c r="H806" t="s">
        <v>90</v>
      </c>
      <c r="I806" t="s">
        <v>90</v>
      </c>
      <c r="J806">
        <v>7.6435267900000001</v>
      </c>
      <c r="K806">
        <v>6.2835189900000001</v>
      </c>
      <c r="L806">
        <v>6.1036170199999997</v>
      </c>
      <c r="M806">
        <v>5.1724879899999996</v>
      </c>
      <c r="N806">
        <v>4.9313781399999996</v>
      </c>
      <c r="O806">
        <v>20.075328934039241</v>
      </c>
      <c r="P806">
        <v>31.65073241</v>
      </c>
      <c r="Q806">
        <v>12.663009263422969</v>
      </c>
      <c r="R806" t="s">
        <v>30</v>
      </c>
      <c r="S806">
        <v>7.6435267900000001</v>
      </c>
      <c r="T806" t="s">
        <v>2819</v>
      </c>
      <c r="U806" t="s">
        <v>1059</v>
      </c>
    </row>
    <row r="807" spans="1:21" x14ac:dyDescent="0.25">
      <c r="A807" t="s">
        <v>2441</v>
      </c>
      <c r="B807" t="s">
        <v>2442</v>
      </c>
      <c r="C807" t="s">
        <v>2443</v>
      </c>
      <c r="D807" t="s">
        <v>586</v>
      </c>
      <c r="E807" t="s">
        <v>1056</v>
      </c>
      <c r="F807" t="s">
        <v>1163</v>
      </c>
      <c r="G807" t="s">
        <v>1164</v>
      </c>
      <c r="H807" t="s">
        <v>90</v>
      </c>
      <c r="I807" t="s">
        <v>90</v>
      </c>
      <c r="J807">
        <v>10.04427431</v>
      </c>
      <c r="K807">
        <v>7.8988940799999998</v>
      </c>
      <c r="L807">
        <v>7.2904671499999996</v>
      </c>
      <c r="M807">
        <v>4.8018747199999998</v>
      </c>
      <c r="N807">
        <v>6.8720077899999996</v>
      </c>
      <c r="O807">
        <v>9.508843200396333</v>
      </c>
      <c r="P807">
        <v>28.51057698</v>
      </c>
      <c r="Q807">
        <v>47.846816943274703</v>
      </c>
      <c r="R807" t="s">
        <v>1073</v>
      </c>
      <c r="S807">
        <v>10.04427431</v>
      </c>
      <c r="T807" t="s">
        <v>2819</v>
      </c>
      <c r="U807" t="s">
        <v>1059</v>
      </c>
    </row>
    <row r="808" spans="1:21" x14ac:dyDescent="0.25">
      <c r="A808" t="s">
        <v>2444</v>
      </c>
      <c r="B808" t="s">
        <v>2445</v>
      </c>
      <c r="C808" t="s">
        <v>2446</v>
      </c>
      <c r="D808" t="s">
        <v>586</v>
      </c>
      <c r="E808" t="s">
        <v>1056</v>
      </c>
      <c r="F808" t="s">
        <v>1714</v>
      </c>
      <c r="G808" t="s">
        <v>2042</v>
      </c>
      <c r="H808" t="s">
        <v>90</v>
      </c>
      <c r="I808" t="s">
        <v>90</v>
      </c>
      <c r="J808">
        <v>138.82009361999999</v>
      </c>
      <c r="K808">
        <v>6.8882256000000002</v>
      </c>
      <c r="L808">
        <v>5.9020542300000001</v>
      </c>
      <c r="M808">
        <v>4.8762573700000003</v>
      </c>
      <c r="N808">
        <v>6.4364234700000003</v>
      </c>
      <c r="O808">
        <v>6.0350724208690503</v>
      </c>
      <c r="P808">
        <v>126.78507573</v>
      </c>
      <c r="Q808">
        <v>49.544694536334433</v>
      </c>
      <c r="R808" t="s">
        <v>30</v>
      </c>
      <c r="S808">
        <v>138.82009361999999</v>
      </c>
      <c r="T808" t="s">
        <v>2819</v>
      </c>
      <c r="U808" t="s">
        <v>1059</v>
      </c>
    </row>
    <row r="809" spans="1:21" x14ac:dyDescent="0.25">
      <c r="A809" t="s">
        <v>2449</v>
      </c>
      <c r="B809" t="s">
        <v>2450</v>
      </c>
      <c r="C809" t="s">
        <v>2451</v>
      </c>
      <c r="D809" t="s">
        <v>532</v>
      </c>
      <c r="E809" t="s">
        <v>1852</v>
      </c>
      <c r="F809" t="s">
        <v>1163</v>
      </c>
      <c r="G809" t="s">
        <v>1782</v>
      </c>
      <c r="H809" t="s">
        <v>90</v>
      </c>
      <c r="I809" t="s">
        <v>90</v>
      </c>
      <c r="J809">
        <v>104.55050965</v>
      </c>
      <c r="K809">
        <v>6.5584505000000002</v>
      </c>
      <c r="L809">
        <v>7.1124764000000003</v>
      </c>
      <c r="M809">
        <v>5.1551069700000003</v>
      </c>
      <c r="N809">
        <v>5.5549121499999998</v>
      </c>
      <c r="O809">
        <v>22.504774022839658</v>
      </c>
      <c r="P809">
        <v>141.47478788000001</v>
      </c>
      <c r="Q809">
        <v>24.360656062845209</v>
      </c>
      <c r="R809" t="s">
        <v>30</v>
      </c>
      <c r="S809">
        <v>104.55050965</v>
      </c>
      <c r="T809" t="s">
        <v>2819</v>
      </c>
      <c r="U809" t="s">
        <v>1059</v>
      </c>
    </row>
    <row r="810" spans="1:21" x14ac:dyDescent="0.25">
      <c r="A810" t="s">
        <v>5098</v>
      </c>
      <c r="B810" t="s">
        <v>2452</v>
      </c>
      <c r="C810" t="s">
        <v>2453</v>
      </c>
      <c r="D810" t="s">
        <v>586</v>
      </c>
      <c r="E810" t="s">
        <v>1056</v>
      </c>
      <c r="F810" t="s">
        <v>1163</v>
      </c>
      <c r="G810" t="s">
        <v>1782</v>
      </c>
      <c r="H810" t="s">
        <v>90</v>
      </c>
      <c r="I810" t="s">
        <v>90</v>
      </c>
      <c r="J810">
        <v>116.64723118000001</v>
      </c>
      <c r="K810">
        <v>6.2763242100000003</v>
      </c>
      <c r="L810">
        <v>6.3415410200000002</v>
      </c>
      <c r="M810">
        <v>5.0663435400000001</v>
      </c>
      <c r="N810">
        <v>5.5658201099999998</v>
      </c>
      <c r="O810">
        <v>16.344380005796509</v>
      </c>
      <c r="P810">
        <v>203.54419482</v>
      </c>
      <c r="Q810">
        <v>20.289568357777259</v>
      </c>
      <c r="R810" t="s">
        <v>30</v>
      </c>
      <c r="S810">
        <v>116.64723118000001</v>
      </c>
      <c r="T810" t="s">
        <v>2819</v>
      </c>
      <c r="U810" t="s">
        <v>1059</v>
      </c>
    </row>
    <row r="811" spans="1:21" x14ac:dyDescent="0.25">
      <c r="A811" t="s">
        <v>2456</v>
      </c>
      <c r="B811" t="s">
        <v>2457</v>
      </c>
      <c r="C811" t="s">
        <v>2458</v>
      </c>
      <c r="D811" t="s">
        <v>532</v>
      </c>
      <c r="E811" t="s">
        <v>1852</v>
      </c>
      <c r="F811" t="s">
        <v>1136</v>
      </c>
      <c r="G811" t="s">
        <v>1137</v>
      </c>
      <c r="H811" t="s">
        <v>90</v>
      </c>
      <c r="I811" t="s">
        <v>90</v>
      </c>
      <c r="J811">
        <v>54.244711799999997</v>
      </c>
      <c r="K811">
        <v>5.6734528900000001</v>
      </c>
      <c r="L811">
        <v>5.1220516099999998</v>
      </c>
      <c r="M811">
        <v>5.0579833900000004</v>
      </c>
      <c r="N811">
        <v>4.95683586</v>
      </c>
      <c r="O811">
        <v>21.46967853032147</v>
      </c>
      <c r="P811">
        <v>116.39988543</v>
      </c>
      <c r="Q811">
        <v>11.84068815931184</v>
      </c>
      <c r="R811" t="s">
        <v>1063</v>
      </c>
      <c r="S811">
        <v>54.244711799999997</v>
      </c>
      <c r="T811" t="s">
        <v>2819</v>
      </c>
      <c r="U811" t="s">
        <v>1059</v>
      </c>
    </row>
    <row r="812" spans="1:21" x14ac:dyDescent="0.25">
      <c r="A812" t="s">
        <v>5099</v>
      </c>
      <c r="B812" t="s">
        <v>5100</v>
      </c>
      <c r="C812" t="s">
        <v>2999</v>
      </c>
      <c r="D812" t="s">
        <v>586</v>
      </c>
      <c r="E812" t="s">
        <v>1056</v>
      </c>
      <c r="F812" t="s">
        <v>1136</v>
      </c>
      <c r="G812" t="s">
        <v>1494</v>
      </c>
      <c r="H812" t="s">
        <v>90</v>
      </c>
      <c r="I812" t="s">
        <v>90</v>
      </c>
      <c r="J812">
        <v>765.50749126999995</v>
      </c>
      <c r="K812">
        <v>4.2874913599999998</v>
      </c>
      <c r="L812">
        <v>5.3591541400000002</v>
      </c>
      <c r="M812">
        <v>5.6624270900000004</v>
      </c>
      <c r="N812">
        <v>5.5843988099999997</v>
      </c>
      <c r="O812">
        <v>0</v>
      </c>
      <c r="Q812">
        <v>0</v>
      </c>
      <c r="R812" t="s">
        <v>1063</v>
      </c>
      <c r="S812">
        <v>765.50749126999995</v>
      </c>
      <c r="T812" t="s">
        <v>2819</v>
      </c>
      <c r="U812" t="s">
        <v>1278</v>
      </c>
    </row>
    <row r="813" spans="1:21" x14ac:dyDescent="0.25">
      <c r="A813" t="s">
        <v>2459</v>
      </c>
      <c r="B813" t="s">
        <v>2460</v>
      </c>
      <c r="C813" t="s">
        <v>2461</v>
      </c>
      <c r="D813" t="s">
        <v>586</v>
      </c>
      <c r="E813" t="s">
        <v>1056</v>
      </c>
      <c r="F813" t="s">
        <v>1071</v>
      </c>
      <c r="G813" t="s">
        <v>1155</v>
      </c>
      <c r="H813" t="s">
        <v>90</v>
      </c>
      <c r="I813" t="s">
        <v>90</v>
      </c>
      <c r="J813">
        <v>6.6544948699999997</v>
      </c>
      <c r="K813">
        <v>6.7077247</v>
      </c>
      <c r="L813">
        <v>6.6246028600000004</v>
      </c>
      <c r="M813">
        <v>4.7709165899999997</v>
      </c>
      <c r="N813">
        <v>6.1090426300000003</v>
      </c>
      <c r="O813">
        <v>32.012300000000003</v>
      </c>
      <c r="P813">
        <v>27.788188009999999</v>
      </c>
      <c r="Q813">
        <v>41.127299999999991</v>
      </c>
      <c r="R813" t="s">
        <v>30</v>
      </c>
      <c r="S813">
        <v>6.6544948699999997</v>
      </c>
      <c r="T813" t="s">
        <v>2819</v>
      </c>
      <c r="U813" t="s">
        <v>1059</v>
      </c>
    </row>
    <row r="814" spans="1:21" x14ac:dyDescent="0.25">
      <c r="A814" t="s">
        <v>2463</v>
      </c>
      <c r="B814" t="s">
        <v>2464</v>
      </c>
      <c r="C814" t="s">
        <v>2465</v>
      </c>
      <c r="D814" t="s">
        <v>586</v>
      </c>
      <c r="E814" t="s">
        <v>1056</v>
      </c>
      <c r="F814" t="s">
        <v>1136</v>
      </c>
      <c r="G814" t="s">
        <v>1137</v>
      </c>
      <c r="H814" t="s">
        <v>90</v>
      </c>
      <c r="I814" t="s">
        <v>90</v>
      </c>
      <c r="J814">
        <v>16.411571989999999</v>
      </c>
      <c r="K814">
        <v>6.3579910599999998</v>
      </c>
      <c r="L814">
        <v>5.6116774500000002</v>
      </c>
      <c r="M814">
        <v>5.3646256499999998</v>
      </c>
      <c r="N814">
        <v>5.3234938600000001</v>
      </c>
      <c r="O814">
        <v>14.451504783185531</v>
      </c>
      <c r="P814">
        <v>61.942328689999997</v>
      </c>
      <c r="Q814">
        <v>13.803106327371401</v>
      </c>
      <c r="R814" t="s">
        <v>30</v>
      </c>
      <c r="S814">
        <v>16.411571989999999</v>
      </c>
      <c r="T814" t="s">
        <v>2819</v>
      </c>
      <c r="U814" t="s">
        <v>1059</v>
      </c>
    </row>
    <row r="815" spans="1:21" x14ac:dyDescent="0.25">
      <c r="A815" t="s">
        <v>2467</v>
      </c>
      <c r="B815" t="s">
        <v>2468</v>
      </c>
      <c r="C815" t="s">
        <v>2469</v>
      </c>
      <c r="D815" t="s">
        <v>586</v>
      </c>
      <c r="E815" t="s">
        <v>1056</v>
      </c>
      <c r="F815" t="s">
        <v>1071</v>
      </c>
      <c r="G815" t="s">
        <v>2470</v>
      </c>
      <c r="H815" t="s">
        <v>90</v>
      </c>
      <c r="I815" t="s">
        <v>90</v>
      </c>
      <c r="J815">
        <v>171.04122541999999</v>
      </c>
      <c r="K815">
        <v>7.2986614300000001</v>
      </c>
      <c r="L815">
        <v>6.7140881300000004</v>
      </c>
      <c r="M815">
        <v>5.4062355699999998</v>
      </c>
      <c r="N815">
        <v>6.4631837699999997</v>
      </c>
      <c r="O815">
        <v>44.021148157032073</v>
      </c>
      <c r="P815">
        <v>898.73957839000002</v>
      </c>
      <c r="Q815">
        <v>55.600063964180038</v>
      </c>
      <c r="R815" t="s">
        <v>1073</v>
      </c>
      <c r="S815">
        <v>171.04122541999999</v>
      </c>
      <c r="T815" t="s">
        <v>2819</v>
      </c>
      <c r="U815" t="s">
        <v>1059</v>
      </c>
    </row>
    <row r="816" spans="1:21" x14ac:dyDescent="0.25">
      <c r="A816" t="s">
        <v>5450</v>
      </c>
      <c r="B816" t="s">
        <v>5451</v>
      </c>
      <c r="C816" t="s">
        <v>3402</v>
      </c>
      <c r="D816" t="s">
        <v>249</v>
      </c>
      <c r="E816" t="s">
        <v>4806</v>
      </c>
      <c r="F816" t="s">
        <v>1198</v>
      </c>
      <c r="G816" t="s">
        <v>5446</v>
      </c>
      <c r="H816">
        <v>6754.66</v>
      </c>
      <c r="I816">
        <v>51813</v>
      </c>
      <c r="J816">
        <v>7.67</v>
      </c>
      <c r="K816">
        <v>1.7</v>
      </c>
      <c r="L816">
        <v>4.7</v>
      </c>
      <c r="M816">
        <v>4.9000000000000004</v>
      </c>
      <c r="N816">
        <v>1.2</v>
      </c>
      <c r="O816">
        <v>11</v>
      </c>
      <c r="Q816">
        <v>4</v>
      </c>
      <c r="R816" t="s">
        <v>21</v>
      </c>
      <c r="S816">
        <v>7.67</v>
      </c>
      <c r="T816" t="s">
        <v>2819</v>
      </c>
      <c r="U816" t="s">
        <v>1062</v>
      </c>
    </row>
    <row r="817" spans="1:21" x14ac:dyDescent="0.25">
      <c r="A817" t="s">
        <v>2472</v>
      </c>
      <c r="B817" t="s">
        <v>666</v>
      </c>
      <c r="C817" t="s">
        <v>665</v>
      </c>
      <c r="D817" t="s">
        <v>586</v>
      </c>
      <c r="E817" t="s">
        <v>1056</v>
      </c>
      <c r="F817" t="s">
        <v>1136</v>
      </c>
      <c r="G817" t="s">
        <v>1494</v>
      </c>
      <c r="H817" t="s">
        <v>90</v>
      </c>
      <c r="I817" t="s">
        <v>90</v>
      </c>
      <c r="J817">
        <v>7.4657399999999999E-2</v>
      </c>
      <c r="K817">
        <v>4.7694185899999999</v>
      </c>
      <c r="L817">
        <v>5.49442772</v>
      </c>
      <c r="M817">
        <v>5.9133818099999997</v>
      </c>
      <c r="N817">
        <v>5.9737079499999997</v>
      </c>
      <c r="O817">
        <v>0.74621719058123204</v>
      </c>
      <c r="P817">
        <v>3.30474742</v>
      </c>
      <c r="Q817">
        <v>0</v>
      </c>
      <c r="R817" t="s">
        <v>1063</v>
      </c>
      <c r="S817">
        <v>7.4657399999999999E-2</v>
      </c>
      <c r="T817" t="s">
        <v>2819</v>
      </c>
      <c r="U817" t="s">
        <v>1059</v>
      </c>
    </row>
    <row r="818" spans="1:21" x14ac:dyDescent="0.25">
      <c r="A818" t="s">
        <v>5358</v>
      </c>
      <c r="B818" t="s">
        <v>5359</v>
      </c>
      <c r="C818" t="s">
        <v>5360</v>
      </c>
      <c r="D818" t="s">
        <v>586</v>
      </c>
      <c r="E818" t="s">
        <v>1056</v>
      </c>
      <c r="F818" t="s">
        <v>1057</v>
      </c>
      <c r="G818" t="s">
        <v>2071</v>
      </c>
      <c r="H818" t="s">
        <v>90</v>
      </c>
      <c r="I818" t="s">
        <v>90</v>
      </c>
      <c r="J818">
        <v>217.85821207999999</v>
      </c>
      <c r="K818">
        <v>5.8574351399999998</v>
      </c>
      <c r="L818">
        <v>5.9088355999999997</v>
      </c>
      <c r="M818">
        <v>7.1561199599999998</v>
      </c>
      <c r="N818">
        <v>6.6758591599999999</v>
      </c>
      <c r="O818">
        <v>0</v>
      </c>
      <c r="Q818">
        <v>0</v>
      </c>
      <c r="R818" t="s">
        <v>30</v>
      </c>
      <c r="S818">
        <v>217.85821207999999</v>
      </c>
      <c r="T818" t="s">
        <v>2819</v>
      </c>
      <c r="U818" t="s">
        <v>1278</v>
      </c>
    </row>
    <row r="819" spans="1:21" x14ac:dyDescent="0.25">
      <c r="A819" t="s">
        <v>5450</v>
      </c>
      <c r="B819" t="s">
        <v>5452</v>
      </c>
      <c r="C819" t="s">
        <v>3327</v>
      </c>
      <c r="D819" t="s">
        <v>249</v>
      </c>
      <c r="E819" t="s">
        <v>4806</v>
      </c>
      <c r="F819" t="s">
        <v>1198</v>
      </c>
      <c r="G819" t="s">
        <v>5446</v>
      </c>
      <c r="H819">
        <v>6754.66</v>
      </c>
      <c r="I819">
        <v>51813</v>
      </c>
      <c r="J819">
        <v>7.67</v>
      </c>
      <c r="K819">
        <v>1.7</v>
      </c>
      <c r="L819">
        <v>4.7</v>
      </c>
      <c r="M819">
        <v>4.9000000000000004</v>
      </c>
      <c r="N819">
        <v>1.2</v>
      </c>
      <c r="O819">
        <v>11</v>
      </c>
      <c r="Q819">
        <v>4</v>
      </c>
      <c r="R819" t="s">
        <v>21</v>
      </c>
      <c r="S819">
        <v>7.67</v>
      </c>
      <c r="T819" t="s">
        <v>2819</v>
      </c>
      <c r="U819" t="s">
        <v>1062</v>
      </c>
    </row>
    <row r="820" spans="1:21" x14ac:dyDescent="0.25">
      <c r="A820" t="s">
        <v>2474</v>
      </c>
      <c r="B820" t="s">
        <v>2475</v>
      </c>
      <c r="C820" t="s">
        <v>2476</v>
      </c>
      <c r="D820" t="s">
        <v>586</v>
      </c>
      <c r="E820" t="s">
        <v>1056</v>
      </c>
      <c r="F820" t="s">
        <v>1290</v>
      </c>
      <c r="G820" t="s">
        <v>1291</v>
      </c>
      <c r="H820" t="s">
        <v>90</v>
      </c>
      <c r="I820" t="s">
        <v>90</v>
      </c>
      <c r="J820">
        <v>96.97117197</v>
      </c>
      <c r="K820">
        <v>5.3399133599999997</v>
      </c>
      <c r="L820">
        <v>5.54415865</v>
      </c>
      <c r="M820">
        <v>4.56398948</v>
      </c>
      <c r="N820">
        <v>4.7761137400000004</v>
      </c>
      <c r="O820">
        <v>20.7224</v>
      </c>
      <c r="P820">
        <v>131.62141500999999</v>
      </c>
      <c r="Q820">
        <v>8.476700000000001</v>
      </c>
      <c r="R820" t="s">
        <v>1063</v>
      </c>
      <c r="S820">
        <v>96.97117197</v>
      </c>
      <c r="T820" t="s">
        <v>2819</v>
      </c>
      <c r="U820" t="s">
        <v>1059</v>
      </c>
    </row>
    <row r="821" spans="1:21" x14ac:dyDescent="0.25">
      <c r="A821" t="s">
        <v>5361</v>
      </c>
      <c r="B821" t="s">
        <v>5362</v>
      </c>
      <c r="C821" t="s">
        <v>5363</v>
      </c>
      <c r="D821" t="s">
        <v>586</v>
      </c>
      <c r="E821" t="s">
        <v>1056</v>
      </c>
      <c r="F821" t="s">
        <v>1241</v>
      </c>
      <c r="G821" t="s">
        <v>1242</v>
      </c>
      <c r="H821" t="s">
        <v>90</v>
      </c>
      <c r="I821" t="s">
        <v>90</v>
      </c>
      <c r="J821">
        <v>105.80103195</v>
      </c>
      <c r="K821">
        <v>5.6238870500000004</v>
      </c>
      <c r="L821">
        <v>5.6310788399999998</v>
      </c>
      <c r="M821">
        <v>5.2383111700000002</v>
      </c>
      <c r="N821">
        <v>4.3736306200000001</v>
      </c>
      <c r="O821">
        <v>19.887400562997179</v>
      </c>
      <c r="P821">
        <v>230.81146369999999</v>
      </c>
      <c r="Q821">
        <v>4.4998775006124969</v>
      </c>
      <c r="R821" t="s">
        <v>1063</v>
      </c>
      <c r="S821">
        <v>105.80103195</v>
      </c>
      <c r="T821" t="s">
        <v>2819</v>
      </c>
      <c r="U821" t="s">
        <v>1059</v>
      </c>
    </row>
    <row r="822" spans="1:21" x14ac:dyDescent="0.25">
      <c r="A822" t="s">
        <v>2477</v>
      </c>
      <c r="B822" t="s">
        <v>2478</v>
      </c>
      <c r="C822" t="s">
        <v>2479</v>
      </c>
      <c r="D822" t="s">
        <v>586</v>
      </c>
      <c r="E822" t="s">
        <v>1056</v>
      </c>
      <c r="F822" t="s">
        <v>1174</v>
      </c>
      <c r="G822" t="s">
        <v>1175</v>
      </c>
      <c r="H822" t="s">
        <v>90</v>
      </c>
      <c r="I822" t="s">
        <v>90</v>
      </c>
      <c r="J822">
        <v>99.619648609999999</v>
      </c>
      <c r="K822">
        <v>5.3815261000000003</v>
      </c>
      <c r="L822">
        <v>5.7049532000000003</v>
      </c>
      <c r="M822">
        <v>5.0495509199999997</v>
      </c>
      <c r="N822">
        <v>4.46768126</v>
      </c>
      <c r="O822">
        <v>25.563823308530068</v>
      </c>
      <c r="P822">
        <v>182.66801419000001</v>
      </c>
      <c r="Q822">
        <v>7.9727760816717526</v>
      </c>
      <c r="R822" t="s">
        <v>1063</v>
      </c>
      <c r="S822">
        <v>99.619648609999999</v>
      </c>
      <c r="T822" t="s">
        <v>2819</v>
      </c>
      <c r="U822" t="s">
        <v>1059</v>
      </c>
    </row>
    <row r="823" spans="1:21" x14ac:dyDescent="0.25">
      <c r="A823" t="s">
        <v>5836</v>
      </c>
      <c r="B823" t="s">
        <v>2480</v>
      </c>
      <c r="C823" t="s">
        <v>2481</v>
      </c>
      <c r="D823" t="s">
        <v>586</v>
      </c>
      <c r="E823" t="s">
        <v>1056</v>
      </c>
      <c r="F823" t="s">
        <v>1071</v>
      </c>
      <c r="G823" t="s">
        <v>1155</v>
      </c>
      <c r="H823" t="s">
        <v>90</v>
      </c>
      <c r="I823" t="s">
        <v>90</v>
      </c>
      <c r="J823">
        <v>2.23559902</v>
      </c>
      <c r="K823">
        <v>6.7038626099999998</v>
      </c>
      <c r="L823">
        <v>7.4763253900000004</v>
      </c>
      <c r="M823">
        <v>4.8351145000000004</v>
      </c>
      <c r="N823">
        <v>6.0484256099999998</v>
      </c>
      <c r="O823">
        <v>47.008951331668349</v>
      </c>
      <c r="P823">
        <v>11.568944139999999</v>
      </c>
      <c r="Q823">
        <v>38.935758517777941</v>
      </c>
      <c r="R823" t="s">
        <v>30</v>
      </c>
      <c r="S823">
        <v>2.23559902</v>
      </c>
      <c r="T823" t="s">
        <v>2819</v>
      </c>
      <c r="U823" t="s">
        <v>1059</v>
      </c>
    </row>
    <row r="824" spans="1:21" x14ac:dyDescent="0.25">
      <c r="A824" t="s">
        <v>2482</v>
      </c>
      <c r="B824" t="s">
        <v>2483</v>
      </c>
      <c r="C824" t="s">
        <v>2484</v>
      </c>
      <c r="D824" t="s">
        <v>586</v>
      </c>
      <c r="E824" t="s">
        <v>1056</v>
      </c>
      <c r="F824" t="s">
        <v>1071</v>
      </c>
      <c r="G824" t="s">
        <v>2470</v>
      </c>
      <c r="H824" t="s">
        <v>90</v>
      </c>
      <c r="I824" t="s">
        <v>90</v>
      </c>
      <c r="J824">
        <v>171.04122541999999</v>
      </c>
      <c r="K824">
        <v>7.2986614300000001</v>
      </c>
      <c r="L824">
        <v>6.7140881300000004</v>
      </c>
      <c r="M824">
        <v>5.4062355699999998</v>
      </c>
      <c r="N824">
        <v>6.4631837699999997</v>
      </c>
      <c r="O824">
        <v>44.021148157032073</v>
      </c>
      <c r="P824">
        <v>898.73957839000002</v>
      </c>
      <c r="Q824">
        <v>55.600063964180038</v>
      </c>
      <c r="R824" t="s">
        <v>1073</v>
      </c>
      <c r="S824">
        <v>171.04122541999999</v>
      </c>
      <c r="T824" t="s">
        <v>2819</v>
      </c>
      <c r="U824" t="s">
        <v>1059</v>
      </c>
    </row>
    <row r="825" spans="1:21" x14ac:dyDescent="0.25">
      <c r="A825" t="s">
        <v>2485</v>
      </c>
      <c r="B825" t="s">
        <v>2486</v>
      </c>
      <c r="C825" t="s">
        <v>2487</v>
      </c>
      <c r="D825" t="s">
        <v>532</v>
      </c>
      <c r="E825" t="s">
        <v>1852</v>
      </c>
      <c r="F825" t="s">
        <v>1136</v>
      </c>
      <c r="G825" t="s">
        <v>1437</v>
      </c>
      <c r="H825" t="s">
        <v>90</v>
      </c>
      <c r="I825" t="s">
        <v>90</v>
      </c>
      <c r="J825">
        <v>145.60312863999999</v>
      </c>
      <c r="K825">
        <v>3.9559202199999999</v>
      </c>
      <c r="L825">
        <v>5.1682087399999999</v>
      </c>
      <c r="M825">
        <v>5.3418894200000002</v>
      </c>
      <c r="N825">
        <v>5.1605991400000004</v>
      </c>
      <c r="O825">
        <v>4.0249624180657468</v>
      </c>
      <c r="P825">
        <v>237.22726587</v>
      </c>
      <c r="Q825">
        <v>0.70865962364482005</v>
      </c>
      <c r="R825" t="s">
        <v>1138</v>
      </c>
      <c r="S825">
        <v>145.60312863999999</v>
      </c>
      <c r="T825" t="s">
        <v>2819</v>
      </c>
      <c r="U825" t="s">
        <v>1059</v>
      </c>
    </row>
    <row r="826" spans="1:21" x14ac:dyDescent="0.25">
      <c r="A826" t="s">
        <v>2488</v>
      </c>
      <c r="B826" t="s">
        <v>2489</v>
      </c>
      <c r="C826" t="s">
        <v>2490</v>
      </c>
      <c r="D826" t="s">
        <v>586</v>
      </c>
      <c r="E826" t="s">
        <v>1056</v>
      </c>
      <c r="F826" t="s">
        <v>1071</v>
      </c>
      <c r="G826" t="s">
        <v>1216</v>
      </c>
      <c r="H826" t="s">
        <v>90</v>
      </c>
      <c r="I826" t="s">
        <v>90</v>
      </c>
      <c r="J826">
        <v>3.3689034000000002</v>
      </c>
      <c r="K826">
        <v>7.13074925</v>
      </c>
      <c r="L826">
        <v>6.77463719</v>
      </c>
      <c r="M826">
        <v>5.4104738599999997</v>
      </c>
      <c r="N826">
        <v>5.6593710100000001</v>
      </c>
      <c r="O826">
        <v>16.872256801407271</v>
      </c>
      <c r="P826">
        <v>22.179644020000001</v>
      </c>
      <c r="Q826">
        <v>12.717578899008121</v>
      </c>
      <c r="R826" t="s">
        <v>30</v>
      </c>
      <c r="S826">
        <v>3.3689034000000002</v>
      </c>
      <c r="T826" t="s">
        <v>2819</v>
      </c>
      <c r="U826" t="s">
        <v>1059</v>
      </c>
    </row>
    <row r="827" spans="1:21" x14ac:dyDescent="0.25">
      <c r="A827" t="s">
        <v>2771</v>
      </c>
      <c r="B827" t="s">
        <v>208</v>
      </c>
      <c r="C827" t="s">
        <v>207</v>
      </c>
      <c r="D827" t="s">
        <v>202</v>
      </c>
      <c r="E827" t="s">
        <v>4800</v>
      </c>
      <c r="F827" t="s">
        <v>2772</v>
      </c>
      <c r="G827" t="s">
        <v>1119</v>
      </c>
      <c r="H827">
        <v>65692.86</v>
      </c>
      <c r="I827">
        <v>62367.199999999997</v>
      </c>
      <c r="J827">
        <v>0.95</v>
      </c>
      <c r="K827">
        <v>8</v>
      </c>
      <c r="L827">
        <v>6.5</v>
      </c>
      <c r="M827">
        <v>5.7</v>
      </c>
      <c r="N827">
        <v>5.3</v>
      </c>
      <c r="O827">
        <v>0</v>
      </c>
      <c r="Q827">
        <v>29</v>
      </c>
      <c r="R827" t="s">
        <v>1073</v>
      </c>
      <c r="S827">
        <v>0.95</v>
      </c>
      <c r="T827" t="s">
        <v>2819</v>
      </c>
      <c r="U827" t="s">
        <v>1062</v>
      </c>
    </row>
    <row r="828" spans="1:21" x14ac:dyDescent="0.25">
      <c r="A828" t="s">
        <v>2491</v>
      </c>
      <c r="B828" t="s">
        <v>948</v>
      </c>
      <c r="C828" t="s">
        <v>2492</v>
      </c>
      <c r="D828" t="s">
        <v>586</v>
      </c>
      <c r="E828" t="s">
        <v>1056</v>
      </c>
      <c r="F828" t="s">
        <v>1290</v>
      </c>
      <c r="G828" t="s">
        <v>1291</v>
      </c>
      <c r="H828" t="s">
        <v>90</v>
      </c>
      <c r="I828" t="s">
        <v>90</v>
      </c>
      <c r="J828">
        <v>147.44605240999999</v>
      </c>
      <c r="K828">
        <v>4.34079981</v>
      </c>
      <c r="L828">
        <v>4.2574564500000003</v>
      </c>
      <c r="M828">
        <v>4.5605856200000003</v>
      </c>
      <c r="N828">
        <v>4.4422299599999997</v>
      </c>
      <c r="O828">
        <v>7.8517528894826629</v>
      </c>
      <c r="P828">
        <v>228.94302322999999</v>
      </c>
      <c r="Q828">
        <v>5.0467697193816834</v>
      </c>
      <c r="R828" t="s">
        <v>1063</v>
      </c>
      <c r="S828">
        <v>147.44605240999999</v>
      </c>
      <c r="T828" t="s">
        <v>2819</v>
      </c>
      <c r="U828" t="s">
        <v>1059</v>
      </c>
    </row>
    <row r="829" spans="1:21" x14ac:dyDescent="0.25">
      <c r="A829" t="s">
        <v>2771</v>
      </c>
      <c r="B829" t="s">
        <v>904</v>
      </c>
      <c r="C829" t="s">
        <v>903</v>
      </c>
      <c r="D829" t="s">
        <v>202</v>
      </c>
      <c r="E829" t="s">
        <v>4800</v>
      </c>
      <c r="F829" t="s">
        <v>2772</v>
      </c>
      <c r="G829" t="s">
        <v>1119</v>
      </c>
      <c r="H829">
        <v>65692.86</v>
      </c>
      <c r="I829">
        <v>62367.199999999997</v>
      </c>
      <c r="J829">
        <v>0.95</v>
      </c>
      <c r="K829">
        <v>8</v>
      </c>
      <c r="L829">
        <v>6.5</v>
      </c>
      <c r="M829">
        <v>5.7</v>
      </c>
      <c r="N829">
        <v>5.3</v>
      </c>
      <c r="O829">
        <v>0</v>
      </c>
      <c r="Q829">
        <v>29</v>
      </c>
      <c r="R829" t="s">
        <v>1073</v>
      </c>
      <c r="S829">
        <v>0.95</v>
      </c>
      <c r="T829" t="s">
        <v>2819</v>
      </c>
      <c r="U829" t="s">
        <v>1062</v>
      </c>
    </row>
    <row r="830" spans="1:21" x14ac:dyDescent="0.25">
      <c r="A830" t="s">
        <v>2491</v>
      </c>
      <c r="B830" t="s">
        <v>948</v>
      </c>
      <c r="C830" t="s">
        <v>947</v>
      </c>
      <c r="D830" t="s">
        <v>586</v>
      </c>
      <c r="E830" t="s">
        <v>1056</v>
      </c>
      <c r="F830" t="s">
        <v>1290</v>
      </c>
      <c r="G830" t="s">
        <v>1291</v>
      </c>
      <c r="H830" t="s">
        <v>90</v>
      </c>
      <c r="I830" t="s">
        <v>90</v>
      </c>
      <c r="J830">
        <v>147.44605240999999</v>
      </c>
      <c r="K830">
        <v>4.34079981</v>
      </c>
      <c r="L830">
        <v>4.2574564500000003</v>
      </c>
      <c r="M830">
        <v>4.5605856200000003</v>
      </c>
      <c r="N830">
        <v>4.4422299599999997</v>
      </c>
      <c r="O830">
        <v>7.8517528894826629</v>
      </c>
      <c r="P830">
        <v>228.94302322999999</v>
      </c>
      <c r="Q830">
        <v>5.0467697193816834</v>
      </c>
      <c r="R830" t="s">
        <v>1063</v>
      </c>
      <c r="S830">
        <v>147.44605240999999</v>
      </c>
      <c r="T830" t="s">
        <v>2819</v>
      </c>
      <c r="U830" t="s">
        <v>1059</v>
      </c>
    </row>
    <row r="831" spans="1:21" x14ac:dyDescent="0.25">
      <c r="A831" t="s">
        <v>2771</v>
      </c>
      <c r="B831" t="s">
        <v>5674</v>
      </c>
      <c r="C831" t="s">
        <v>5673</v>
      </c>
      <c r="D831" t="s">
        <v>202</v>
      </c>
      <c r="E831" t="s">
        <v>4800</v>
      </c>
      <c r="F831" t="s">
        <v>2772</v>
      </c>
      <c r="G831" t="s">
        <v>1119</v>
      </c>
      <c r="H831">
        <v>65692.86</v>
      </c>
      <c r="I831">
        <v>62367.199999999997</v>
      </c>
      <c r="J831">
        <v>0.95</v>
      </c>
      <c r="K831">
        <v>8</v>
      </c>
      <c r="L831">
        <v>6.5</v>
      </c>
      <c r="M831">
        <v>5.7</v>
      </c>
      <c r="N831">
        <v>5.3</v>
      </c>
      <c r="O831">
        <v>0</v>
      </c>
      <c r="Q831">
        <v>29</v>
      </c>
      <c r="R831" t="s">
        <v>1073</v>
      </c>
      <c r="S831">
        <v>0.95</v>
      </c>
      <c r="T831" t="s">
        <v>2819</v>
      </c>
      <c r="U831" t="s">
        <v>1062</v>
      </c>
    </row>
    <row r="832" spans="1:21" x14ac:dyDescent="0.25">
      <c r="A832" t="s">
        <v>2771</v>
      </c>
      <c r="B832" t="s">
        <v>206</v>
      </c>
      <c r="C832" t="s">
        <v>205</v>
      </c>
      <c r="D832" t="s">
        <v>202</v>
      </c>
      <c r="E832" t="s">
        <v>4800</v>
      </c>
      <c r="F832" t="s">
        <v>2772</v>
      </c>
      <c r="G832" t="s">
        <v>1119</v>
      </c>
      <c r="H832">
        <v>65692.86</v>
      </c>
      <c r="I832">
        <v>62367.199999999997</v>
      </c>
      <c r="J832">
        <v>0.95</v>
      </c>
      <c r="K832">
        <v>8</v>
      </c>
      <c r="L832">
        <v>6.5</v>
      </c>
      <c r="M832">
        <v>5.7</v>
      </c>
      <c r="N832">
        <v>5.3</v>
      </c>
      <c r="O832">
        <v>0</v>
      </c>
      <c r="Q832">
        <v>29</v>
      </c>
      <c r="R832" t="s">
        <v>1073</v>
      </c>
      <c r="S832">
        <v>0.95</v>
      </c>
      <c r="T832" t="s">
        <v>2819</v>
      </c>
      <c r="U832" t="s">
        <v>1062</v>
      </c>
    </row>
    <row r="833" spans="1:21" x14ac:dyDescent="0.25">
      <c r="A833" t="s">
        <v>2771</v>
      </c>
      <c r="B833" t="s">
        <v>210</v>
      </c>
      <c r="C833" t="s">
        <v>209</v>
      </c>
      <c r="D833" t="s">
        <v>202</v>
      </c>
      <c r="E833" t="s">
        <v>4800</v>
      </c>
      <c r="F833" t="s">
        <v>2772</v>
      </c>
      <c r="G833" t="s">
        <v>1119</v>
      </c>
      <c r="H833">
        <v>65692.86</v>
      </c>
      <c r="I833">
        <v>62367.199999999997</v>
      </c>
      <c r="J833">
        <v>0.95</v>
      </c>
      <c r="K833">
        <v>8</v>
      </c>
      <c r="L833">
        <v>6.5</v>
      </c>
      <c r="M833">
        <v>5.7</v>
      </c>
      <c r="N833">
        <v>5.3</v>
      </c>
      <c r="O833">
        <v>0</v>
      </c>
      <c r="Q833">
        <v>29</v>
      </c>
      <c r="R833" t="s">
        <v>1073</v>
      </c>
      <c r="S833">
        <v>0.95</v>
      </c>
      <c r="T833" t="s">
        <v>2819</v>
      </c>
      <c r="U833" t="s">
        <v>1062</v>
      </c>
    </row>
    <row r="834" spans="1:21" x14ac:dyDescent="0.25">
      <c r="A834" t="s">
        <v>5453</v>
      </c>
      <c r="B834" t="s">
        <v>2496</v>
      </c>
      <c r="C834" t="s">
        <v>2497</v>
      </c>
      <c r="D834" t="s">
        <v>586</v>
      </c>
      <c r="E834" t="s">
        <v>1056</v>
      </c>
      <c r="F834" t="s">
        <v>1071</v>
      </c>
      <c r="G834" t="s">
        <v>1155</v>
      </c>
      <c r="H834" t="s">
        <v>90</v>
      </c>
      <c r="I834" t="s">
        <v>90</v>
      </c>
      <c r="J834">
        <v>2.02122096</v>
      </c>
      <c r="K834">
        <v>5.3798006000000003</v>
      </c>
      <c r="L834">
        <v>6.0003885700000001</v>
      </c>
      <c r="M834">
        <v>4.3802493800000004</v>
      </c>
      <c r="N834">
        <v>6.1092496699999996</v>
      </c>
      <c r="O834">
        <v>1.2130777189988231</v>
      </c>
      <c r="P834">
        <v>20.462030439999999</v>
      </c>
      <c r="Q834">
        <v>17.129447992813439</v>
      </c>
      <c r="R834" t="s">
        <v>1063</v>
      </c>
      <c r="S834">
        <v>2.02122096</v>
      </c>
      <c r="T834" t="s">
        <v>2819</v>
      </c>
      <c r="U834" t="s">
        <v>1059</v>
      </c>
    </row>
    <row r="835" spans="1:21" x14ac:dyDescent="0.25">
      <c r="A835" t="s">
        <v>2498</v>
      </c>
      <c r="B835" t="s">
        <v>2499</v>
      </c>
      <c r="C835" t="s">
        <v>5837</v>
      </c>
      <c r="D835" t="s">
        <v>586</v>
      </c>
      <c r="E835" t="s">
        <v>1056</v>
      </c>
      <c r="F835" t="s">
        <v>1136</v>
      </c>
      <c r="G835" t="s">
        <v>2148</v>
      </c>
      <c r="H835" t="s">
        <v>90</v>
      </c>
      <c r="I835" t="s">
        <v>90</v>
      </c>
      <c r="J835">
        <v>400.93079920000002</v>
      </c>
      <c r="K835">
        <v>5.6451016599999999</v>
      </c>
      <c r="L835">
        <v>5.5430613199999996</v>
      </c>
      <c r="M835">
        <v>5.0612004600000002</v>
      </c>
      <c r="N835">
        <v>4.91662628</v>
      </c>
      <c r="O835">
        <v>11.6769425007636</v>
      </c>
      <c r="P835">
        <v>540.09644691999995</v>
      </c>
      <c r="Q835">
        <v>14.33705200132523</v>
      </c>
      <c r="R835" t="s">
        <v>1063</v>
      </c>
      <c r="S835">
        <v>400.93079920000002</v>
      </c>
      <c r="T835" t="s">
        <v>2819</v>
      </c>
      <c r="U835" t="s">
        <v>1059</v>
      </c>
    </row>
    <row r="836" spans="1:21" x14ac:dyDescent="0.25">
      <c r="A836" t="s">
        <v>2498</v>
      </c>
      <c r="B836" t="s">
        <v>2499</v>
      </c>
      <c r="C836" t="s">
        <v>2500</v>
      </c>
      <c r="D836" t="s">
        <v>586</v>
      </c>
      <c r="E836" t="s">
        <v>1056</v>
      </c>
      <c r="F836" t="s">
        <v>1136</v>
      </c>
      <c r="G836" t="s">
        <v>2148</v>
      </c>
      <c r="H836" t="s">
        <v>90</v>
      </c>
      <c r="I836" t="s">
        <v>90</v>
      </c>
      <c r="J836">
        <v>400.93079920000002</v>
      </c>
      <c r="K836">
        <v>5.6451016599999999</v>
      </c>
      <c r="L836">
        <v>5.5430613199999996</v>
      </c>
      <c r="M836">
        <v>5.0612004600000002</v>
      </c>
      <c r="N836">
        <v>4.91662628</v>
      </c>
      <c r="O836">
        <v>11.6769425007636</v>
      </c>
      <c r="P836">
        <v>540.09644691999995</v>
      </c>
      <c r="Q836">
        <v>14.33705200132523</v>
      </c>
      <c r="R836" t="s">
        <v>1063</v>
      </c>
      <c r="S836">
        <v>400.93079920000002</v>
      </c>
      <c r="T836" t="s">
        <v>2819</v>
      </c>
      <c r="U836" t="s">
        <v>1059</v>
      </c>
    </row>
    <row r="837" spans="1:21" x14ac:dyDescent="0.25">
      <c r="A837" t="s">
        <v>2501</v>
      </c>
      <c r="B837" t="s">
        <v>672</v>
      </c>
      <c r="C837" t="s">
        <v>671</v>
      </c>
      <c r="D837" t="s">
        <v>586</v>
      </c>
      <c r="E837" t="s">
        <v>1056</v>
      </c>
      <c r="F837" t="s">
        <v>1071</v>
      </c>
      <c r="G837" t="s">
        <v>2071</v>
      </c>
      <c r="H837" t="s">
        <v>90</v>
      </c>
      <c r="I837" t="s">
        <v>90</v>
      </c>
      <c r="J837">
        <v>9.6320745999999993</v>
      </c>
      <c r="K837">
        <v>7.7663525699999996</v>
      </c>
      <c r="L837">
        <v>7.2133801399999999</v>
      </c>
      <c r="M837">
        <v>4.78997764</v>
      </c>
      <c r="N837">
        <v>6.5353590600000002</v>
      </c>
      <c r="O837">
        <v>19.36779550011288</v>
      </c>
      <c r="P837">
        <v>19.033805780000002</v>
      </c>
      <c r="Q837">
        <v>64.78622272029898</v>
      </c>
      <c r="R837" t="s">
        <v>1073</v>
      </c>
      <c r="S837">
        <v>9.6320745999999993</v>
      </c>
      <c r="T837" t="s">
        <v>2819</v>
      </c>
      <c r="U837" t="s">
        <v>1059</v>
      </c>
    </row>
    <row r="838" spans="1:21" x14ac:dyDescent="0.25">
      <c r="A838" t="s">
        <v>2502</v>
      </c>
      <c r="B838" t="s">
        <v>2503</v>
      </c>
      <c r="C838" t="s">
        <v>2504</v>
      </c>
      <c r="D838" t="s">
        <v>586</v>
      </c>
      <c r="E838" t="s">
        <v>1056</v>
      </c>
      <c r="F838" t="s">
        <v>1136</v>
      </c>
      <c r="G838" t="s">
        <v>1137</v>
      </c>
      <c r="H838" t="s">
        <v>90</v>
      </c>
      <c r="I838" t="s">
        <v>90</v>
      </c>
      <c r="J838">
        <v>26.004158199999999</v>
      </c>
      <c r="K838">
        <v>6.0876347600000003</v>
      </c>
      <c r="L838">
        <v>5.5325654699999998</v>
      </c>
      <c r="M838">
        <v>5.2730924100000003</v>
      </c>
      <c r="N838">
        <v>4.7524025600000002</v>
      </c>
      <c r="O838">
        <v>29.458757319765759</v>
      </c>
      <c r="P838">
        <v>94.578881490000001</v>
      </c>
      <c r="Q838">
        <v>9.1228080701417547</v>
      </c>
      <c r="R838" t="s">
        <v>30</v>
      </c>
      <c r="S838">
        <v>26.004158199999999</v>
      </c>
      <c r="T838" t="s">
        <v>2819</v>
      </c>
      <c r="U838" t="s">
        <v>1059</v>
      </c>
    </row>
    <row r="839" spans="1:21" x14ac:dyDescent="0.25">
      <c r="A839" t="s">
        <v>5764</v>
      </c>
      <c r="B839" t="s">
        <v>2505</v>
      </c>
      <c r="C839" t="s">
        <v>2506</v>
      </c>
      <c r="D839" t="s">
        <v>586</v>
      </c>
      <c r="E839" t="s">
        <v>1056</v>
      </c>
      <c r="F839" t="s">
        <v>1375</v>
      </c>
      <c r="G839" t="s">
        <v>1376</v>
      </c>
      <c r="H839" t="s">
        <v>90</v>
      </c>
      <c r="I839" t="s">
        <v>90</v>
      </c>
      <c r="J839">
        <v>40.702493509999996</v>
      </c>
      <c r="K839">
        <v>7.2175401099999998</v>
      </c>
      <c r="L839">
        <v>6.1124775900000001</v>
      </c>
      <c r="M839">
        <v>5.3305530000000001</v>
      </c>
      <c r="N839">
        <v>6.0208220299999997</v>
      </c>
      <c r="O839">
        <v>40.954425426014943</v>
      </c>
      <c r="P839">
        <v>55.011446599999999</v>
      </c>
      <c r="Q839">
        <v>38.709541954584417</v>
      </c>
      <c r="R839" t="s">
        <v>1073</v>
      </c>
      <c r="S839">
        <v>40.702493509999996</v>
      </c>
      <c r="T839" t="s">
        <v>2819</v>
      </c>
      <c r="U839" t="s">
        <v>1059</v>
      </c>
    </row>
    <row r="840" spans="1:21" x14ac:dyDescent="0.25">
      <c r="A840" t="s">
        <v>2507</v>
      </c>
      <c r="B840" t="s">
        <v>2508</v>
      </c>
      <c r="C840" t="s">
        <v>2509</v>
      </c>
      <c r="D840" t="s">
        <v>586</v>
      </c>
      <c r="E840" t="s">
        <v>1056</v>
      </c>
      <c r="F840" t="s">
        <v>1375</v>
      </c>
      <c r="G840" t="s">
        <v>1678</v>
      </c>
      <c r="H840" t="s">
        <v>90</v>
      </c>
      <c r="I840" t="s">
        <v>90</v>
      </c>
      <c r="J840">
        <v>40.540956909999998</v>
      </c>
      <c r="K840">
        <v>6.4441486799999996</v>
      </c>
      <c r="L840">
        <v>5.2669397599999996</v>
      </c>
      <c r="M840">
        <v>5.0839544500000002</v>
      </c>
      <c r="N840">
        <v>5.6706662899999998</v>
      </c>
      <c r="O840">
        <v>7.2698547584993518</v>
      </c>
      <c r="P840">
        <v>54.723118669999998</v>
      </c>
      <c r="Q840">
        <v>26.679273812444769</v>
      </c>
      <c r="R840" t="s">
        <v>30</v>
      </c>
      <c r="S840">
        <v>40.540956909999998</v>
      </c>
      <c r="T840" t="s">
        <v>2819</v>
      </c>
      <c r="U840" t="s">
        <v>1059</v>
      </c>
    </row>
    <row r="841" spans="1:21" x14ac:dyDescent="0.25">
      <c r="A841" t="s">
        <v>2510</v>
      </c>
      <c r="B841" t="s">
        <v>2511</v>
      </c>
      <c r="C841" t="s">
        <v>2512</v>
      </c>
      <c r="D841" t="s">
        <v>586</v>
      </c>
      <c r="E841" t="s">
        <v>1056</v>
      </c>
      <c r="F841" t="s">
        <v>1375</v>
      </c>
      <c r="G841" t="s">
        <v>1678</v>
      </c>
      <c r="H841" t="s">
        <v>90</v>
      </c>
      <c r="I841" t="s">
        <v>90</v>
      </c>
      <c r="J841">
        <v>40.540956909999998</v>
      </c>
      <c r="K841">
        <v>6.4441486799999996</v>
      </c>
      <c r="L841">
        <v>5.2669397599999996</v>
      </c>
      <c r="M841">
        <v>5.0839544500000002</v>
      </c>
      <c r="N841">
        <v>5.6706662899999998</v>
      </c>
      <c r="O841">
        <v>7.2698547584993518</v>
      </c>
      <c r="P841">
        <v>54.723118669999998</v>
      </c>
      <c r="Q841">
        <v>26.679273812444769</v>
      </c>
      <c r="R841" t="s">
        <v>30</v>
      </c>
      <c r="S841">
        <v>40.540956909999998</v>
      </c>
      <c r="T841" t="s">
        <v>2819</v>
      </c>
      <c r="U841" t="s">
        <v>1059</v>
      </c>
    </row>
    <row r="842" spans="1:21" x14ac:dyDescent="0.25">
      <c r="A842" t="s">
        <v>2513</v>
      </c>
      <c r="B842" t="s">
        <v>663</v>
      </c>
      <c r="C842" t="s">
        <v>662</v>
      </c>
      <c r="D842" t="s">
        <v>586</v>
      </c>
      <c r="E842" t="s">
        <v>1056</v>
      </c>
      <c r="F842" t="s">
        <v>1766</v>
      </c>
      <c r="G842" t="s">
        <v>1266</v>
      </c>
      <c r="H842" t="s">
        <v>90</v>
      </c>
      <c r="I842" t="s">
        <v>90</v>
      </c>
      <c r="J842">
        <v>29.077078839999999</v>
      </c>
      <c r="K842">
        <v>6.9388565599999996</v>
      </c>
      <c r="L842">
        <v>5.7903775</v>
      </c>
      <c r="M842">
        <v>5.3970348000000001</v>
      </c>
      <c r="N842">
        <v>5.5660326700000002</v>
      </c>
      <c r="O842">
        <v>31.7806</v>
      </c>
      <c r="P842">
        <v>89.967691110000004</v>
      </c>
      <c r="Q842">
        <v>22.291799999999999</v>
      </c>
      <c r="R842" t="s">
        <v>30</v>
      </c>
      <c r="S842">
        <v>29.077078839999999</v>
      </c>
      <c r="T842" t="s">
        <v>2819</v>
      </c>
      <c r="U842" t="s">
        <v>1059</v>
      </c>
    </row>
    <row r="843" spans="1:21" x14ac:dyDescent="0.25">
      <c r="A843" t="s">
        <v>2514</v>
      </c>
      <c r="B843" t="s">
        <v>2515</v>
      </c>
      <c r="C843" t="s">
        <v>2516</v>
      </c>
      <c r="D843" t="s">
        <v>586</v>
      </c>
      <c r="E843" t="s">
        <v>1056</v>
      </c>
      <c r="F843" t="s">
        <v>1241</v>
      </c>
      <c r="G843" t="s">
        <v>1242</v>
      </c>
      <c r="H843" t="s">
        <v>90</v>
      </c>
      <c r="I843" t="s">
        <v>90</v>
      </c>
      <c r="J843">
        <v>105.80103195</v>
      </c>
      <c r="K843">
        <v>5.6238870500000004</v>
      </c>
      <c r="L843">
        <v>5.6310788399999998</v>
      </c>
      <c r="M843">
        <v>5.2383111700000002</v>
      </c>
      <c r="N843">
        <v>4.3736306200000001</v>
      </c>
      <c r="O843">
        <v>19.887400562997179</v>
      </c>
      <c r="P843">
        <v>230.81146369999999</v>
      </c>
      <c r="Q843">
        <v>4.4998775006124969</v>
      </c>
      <c r="R843" t="s">
        <v>1063</v>
      </c>
      <c r="S843">
        <v>105.80103195</v>
      </c>
      <c r="T843" t="s">
        <v>2819</v>
      </c>
      <c r="U843" t="s">
        <v>1059</v>
      </c>
    </row>
    <row r="844" spans="1:21" x14ac:dyDescent="0.25">
      <c r="A844" t="s">
        <v>2517</v>
      </c>
      <c r="B844" t="s">
        <v>2518</v>
      </c>
      <c r="C844" t="s">
        <v>2519</v>
      </c>
      <c r="D844" t="s">
        <v>586</v>
      </c>
      <c r="E844" t="s">
        <v>1056</v>
      </c>
      <c r="F844" t="s">
        <v>1689</v>
      </c>
      <c r="G844" t="s">
        <v>1791</v>
      </c>
      <c r="H844" t="s">
        <v>90</v>
      </c>
      <c r="I844" t="s">
        <v>90</v>
      </c>
      <c r="J844">
        <v>31.258389990000001</v>
      </c>
      <c r="K844">
        <v>7.1279624100000003</v>
      </c>
      <c r="L844">
        <v>6.3012676399999998</v>
      </c>
      <c r="M844">
        <v>4.6267162600000002</v>
      </c>
      <c r="N844">
        <v>6.5573792500000003</v>
      </c>
      <c r="O844">
        <v>1.8603540457879499</v>
      </c>
      <c r="P844">
        <v>40.612398069999998</v>
      </c>
      <c r="Q844">
        <v>45.787650462465677</v>
      </c>
      <c r="R844" t="s">
        <v>30</v>
      </c>
      <c r="S844">
        <v>31.258389990000001</v>
      </c>
      <c r="T844" t="s">
        <v>2819</v>
      </c>
      <c r="U844" t="s">
        <v>1059</v>
      </c>
    </row>
    <row r="845" spans="1:21" x14ac:dyDescent="0.25">
      <c r="A845" t="s">
        <v>2520</v>
      </c>
      <c r="B845" t="s">
        <v>2521</v>
      </c>
      <c r="C845" t="s">
        <v>2522</v>
      </c>
      <c r="D845" t="s">
        <v>586</v>
      </c>
      <c r="E845" t="s">
        <v>1056</v>
      </c>
      <c r="F845" t="s">
        <v>1136</v>
      </c>
      <c r="G845" t="s">
        <v>2148</v>
      </c>
      <c r="H845" t="s">
        <v>90</v>
      </c>
      <c r="I845" t="s">
        <v>90</v>
      </c>
      <c r="J845">
        <v>229.91795981000001</v>
      </c>
      <c r="K845">
        <v>5.4678614999999997</v>
      </c>
      <c r="L845">
        <v>5.2316036700000002</v>
      </c>
      <c r="M845">
        <v>5.2482174600000002</v>
      </c>
      <c r="N845">
        <v>4.4829398999999999</v>
      </c>
      <c r="O845">
        <v>21.59652815623291</v>
      </c>
      <c r="P845">
        <v>460.07724813999999</v>
      </c>
      <c r="Q845">
        <v>11.3541890614922</v>
      </c>
      <c r="R845" t="s">
        <v>1063</v>
      </c>
      <c r="S845">
        <v>229.91795981000001</v>
      </c>
      <c r="T845" t="s">
        <v>2819</v>
      </c>
      <c r="U845" t="s">
        <v>1059</v>
      </c>
    </row>
    <row r="846" spans="1:21" x14ac:dyDescent="0.25">
      <c r="A846" t="s">
        <v>2523</v>
      </c>
      <c r="B846" t="s">
        <v>594</v>
      </c>
      <c r="C846" t="s">
        <v>593</v>
      </c>
      <c r="D846" t="s">
        <v>586</v>
      </c>
      <c r="E846" t="s">
        <v>1056</v>
      </c>
      <c r="F846" t="s">
        <v>1136</v>
      </c>
      <c r="G846" t="s">
        <v>1494</v>
      </c>
      <c r="H846" t="s">
        <v>90</v>
      </c>
      <c r="I846" t="s">
        <v>90</v>
      </c>
      <c r="J846">
        <v>1.3916876300000001</v>
      </c>
      <c r="K846">
        <v>4.9273005999999997</v>
      </c>
      <c r="L846">
        <v>5.3137181399999998</v>
      </c>
      <c r="M846">
        <v>6.0578380000000003</v>
      </c>
      <c r="N846">
        <v>6.0091009499999997</v>
      </c>
      <c r="O846">
        <v>0.27442202583249797</v>
      </c>
      <c r="P846">
        <v>3.3687298800000001</v>
      </c>
      <c r="Q846">
        <v>0</v>
      </c>
      <c r="R846" t="s">
        <v>1063</v>
      </c>
      <c r="S846">
        <v>1.3916876300000001</v>
      </c>
      <c r="T846" t="s">
        <v>2819</v>
      </c>
      <c r="U846" t="s">
        <v>1059</v>
      </c>
    </row>
    <row r="847" spans="1:21" x14ac:dyDescent="0.25">
      <c r="A847" t="s">
        <v>2773</v>
      </c>
      <c r="B847" t="s">
        <v>853</v>
      </c>
      <c r="C847" t="s">
        <v>3050</v>
      </c>
      <c r="D847" t="s">
        <v>202</v>
      </c>
      <c r="E847" t="s">
        <v>4800</v>
      </c>
      <c r="F847" t="s">
        <v>2772</v>
      </c>
      <c r="G847" t="s">
        <v>1119</v>
      </c>
      <c r="H847">
        <v>23590.87</v>
      </c>
      <c r="I847">
        <v>42950</v>
      </c>
      <c r="J847">
        <v>1.82</v>
      </c>
      <c r="K847">
        <v>3.9</v>
      </c>
      <c r="L847">
        <v>3.4</v>
      </c>
      <c r="M847">
        <v>4</v>
      </c>
      <c r="N847">
        <v>4.2</v>
      </c>
      <c r="O847">
        <v>0</v>
      </c>
      <c r="Q847">
        <v>14</v>
      </c>
      <c r="R847" t="s">
        <v>1138</v>
      </c>
      <c r="S847">
        <v>1.82</v>
      </c>
      <c r="T847" t="s">
        <v>2819</v>
      </c>
      <c r="U847" t="s">
        <v>1062</v>
      </c>
    </row>
    <row r="848" spans="1:21" x14ac:dyDescent="0.25">
      <c r="A848" t="s">
        <v>2524</v>
      </c>
      <c r="B848" t="s">
        <v>2525</v>
      </c>
      <c r="C848" t="s">
        <v>2526</v>
      </c>
      <c r="D848" t="s">
        <v>586</v>
      </c>
      <c r="E848" t="s">
        <v>1056</v>
      </c>
      <c r="F848" t="s">
        <v>1290</v>
      </c>
      <c r="G848" t="s">
        <v>2268</v>
      </c>
      <c r="H848" t="s">
        <v>90</v>
      </c>
      <c r="I848" t="s">
        <v>90</v>
      </c>
      <c r="J848">
        <v>0.20258762</v>
      </c>
      <c r="K848">
        <v>2.7427547300000001</v>
      </c>
      <c r="L848">
        <v>2.96795959</v>
      </c>
      <c r="M848">
        <v>6.6848155199999999</v>
      </c>
      <c r="N848">
        <v>4.5410650500000003</v>
      </c>
      <c r="O848">
        <v>7.9376116829070007E-3</v>
      </c>
      <c r="P848">
        <v>5.2502481000000003</v>
      </c>
      <c r="Q848">
        <v>8.9260178931889998E-3</v>
      </c>
      <c r="R848" t="s">
        <v>21</v>
      </c>
      <c r="S848">
        <v>0.20258762</v>
      </c>
      <c r="T848" t="s">
        <v>2819</v>
      </c>
      <c r="U848" t="s">
        <v>1059</v>
      </c>
    </row>
    <row r="849" spans="1:21" x14ac:dyDescent="0.25">
      <c r="A849" t="s">
        <v>5838</v>
      </c>
      <c r="B849" t="s">
        <v>5565</v>
      </c>
      <c r="C849" t="s">
        <v>5564</v>
      </c>
      <c r="D849" t="s">
        <v>586</v>
      </c>
      <c r="E849" t="s">
        <v>1056</v>
      </c>
      <c r="F849" t="s">
        <v>1071</v>
      </c>
      <c r="G849" t="s">
        <v>1583</v>
      </c>
      <c r="H849" t="s">
        <v>90</v>
      </c>
      <c r="I849" t="s">
        <v>90</v>
      </c>
      <c r="J849">
        <v>0.18</v>
      </c>
      <c r="K849">
        <v>9.1</v>
      </c>
      <c r="L849">
        <v>7.5</v>
      </c>
      <c r="M849">
        <v>5.7</v>
      </c>
      <c r="N849">
        <v>7.7</v>
      </c>
      <c r="O849">
        <v>0</v>
      </c>
      <c r="P849">
        <v>1.32</v>
      </c>
      <c r="Q849">
        <v>0.43013687212049001</v>
      </c>
      <c r="R849" t="s">
        <v>5750</v>
      </c>
      <c r="S849">
        <v>0.18</v>
      </c>
      <c r="T849" t="s">
        <v>2819</v>
      </c>
      <c r="U849" t="s">
        <v>1059</v>
      </c>
    </row>
    <row r="850" spans="1:21" x14ac:dyDescent="0.25">
      <c r="A850" t="s">
        <v>2527</v>
      </c>
      <c r="B850" t="s">
        <v>2528</v>
      </c>
      <c r="C850" t="s">
        <v>2529</v>
      </c>
      <c r="D850" t="s">
        <v>586</v>
      </c>
      <c r="E850" t="s">
        <v>1056</v>
      </c>
      <c r="F850" t="s">
        <v>1071</v>
      </c>
      <c r="G850" t="s">
        <v>2071</v>
      </c>
      <c r="H850" t="s">
        <v>90</v>
      </c>
      <c r="I850" t="s">
        <v>90</v>
      </c>
      <c r="J850">
        <v>0.33938185999999998</v>
      </c>
      <c r="K850">
        <v>8.0154062499999998</v>
      </c>
      <c r="L850">
        <v>8.8934625399999998</v>
      </c>
      <c r="M850">
        <v>4.59895984</v>
      </c>
      <c r="N850">
        <v>6.1580127600000001</v>
      </c>
      <c r="O850">
        <v>75.282161528313878</v>
      </c>
      <c r="P850">
        <v>1.5937462899999999</v>
      </c>
      <c r="Q850">
        <v>89.795419804703059</v>
      </c>
      <c r="R850" t="s">
        <v>1073</v>
      </c>
      <c r="S850">
        <v>0.33938185999999998</v>
      </c>
      <c r="T850" t="s">
        <v>2819</v>
      </c>
      <c r="U850" t="s">
        <v>1059</v>
      </c>
    </row>
    <row r="851" spans="1:21" x14ac:dyDescent="0.25">
      <c r="A851" t="s">
        <v>2530</v>
      </c>
      <c r="B851" t="s">
        <v>2531</v>
      </c>
      <c r="C851" t="s">
        <v>2532</v>
      </c>
      <c r="D851" t="s">
        <v>586</v>
      </c>
      <c r="E851" t="s">
        <v>1056</v>
      </c>
      <c r="F851" t="s">
        <v>1136</v>
      </c>
      <c r="G851" t="s">
        <v>1494</v>
      </c>
      <c r="H851" t="s">
        <v>90</v>
      </c>
      <c r="I851" t="s">
        <v>90</v>
      </c>
      <c r="J851">
        <v>197.46099011999999</v>
      </c>
      <c r="K851">
        <v>4.56685037</v>
      </c>
      <c r="L851">
        <v>5.2333079199999997</v>
      </c>
      <c r="M851">
        <v>5.6183357999999997</v>
      </c>
      <c r="N851">
        <v>5.4091123100000003</v>
      </c>
      <c r="O851">
        <v>4.4160473204529396</v>
      </c>
      <c r="P851">
        <v>406.32984534000002</v>
      </c>
      <c r="Q851">
        <v>2.6831279146682241</v>
      </c>
      <c r="R851" t="s">
        <v>1063</v>
      </c>
      <c r="S851">
        <v>197.46099011999999</v>
      </c>
      <c r="T851" t="s">
        <v>2819</v>
      </c>
      <c r="U851" t="s">
        <v>1059</v>
      </c>
    </row>
    <row r="852" spans="1:21" x14ac:dyDescent="0.25">
      <c r="A852" t="s">
        <v>5839</v>
      </c>
      <c r="B852" t="s">
        <v>5840</v>
      </c>
      <c r="C852" t="s">
        <v>5841</v>
      </c>
      <c r="D852" t="s">
        <v>586</v>
      </c>
      <c r="E852" t="s">
        <v>1056</v>
      </c>
      <c r="F852" t="s">
        <v>1163</v>
      </c>
      <c r="G852" t="s">
        <v>1164</v>
      </c>
      <c r="H852" t="s">
        <v>90</v>
      </c>
      <c r="I852" t="s">
        <v>90</v>
      </c>
      <c r="J852">
        <v>40.978889539999997</v>
      </c>
      <c r="K852">
        <v>8.0861257799999997</v>
      </c>
      <c r="L852">
        <v>6.6342219299999998</v>
      </c>
      <c r="M852">
        <v>5.3189137100000003</v>
      </c>
      <c r="N852">
        <v>6.6056946999999999</v>
      </c>
      <c r="O852">
        <v>43.53291383748585</v>
      </c>
      <c r="P852">
        <v>61.089974830000003</v>
      </c>
      <c r="Q852">
        <v>67.232992590909262</v>
      </c>
      <c r="R852" t="s">
        <v>1073</v>
      </c>
      <c r="S852">
        <v>40.978889539999997</v>
      </c>
      <c r="T852" t="s">
        <v>2819</v>
      </c>
      <c r="U852" t="s">
        <v>1059</v>
      </c>
    </row>
    <row r="853" spans="1:21" x14ac:dyDescent="0.25">
      <c r="A853" t="s">
        <v>2533</v>
      </c>
      <c r="B853" t="s">
        <v>2534</v>
      </c>
      <c r="C853" t="s">
        <v>2535</v>
      </c>
      <c r="D853" t="s">
        <v>586</v>
      </c>
      <c r="E853" t="s">
        <v>1056</v>
      </c>
      <c r="F853" t="s">
        <v>1071</v>
      </c>
      <c r="G853" t="s">
        <v>1893</v>
      </c>
      <c r="H853" t="s">
        <v>90</v>
      </c>
      <c r="I853" t="s">
        <v>90</v>
      </c>
      <c r="J853">
        <v>97.971262190000004</v>
      </c>
      <c r="K853">
        <v>6.1628979900000003</v>
      </c>
      <c r="L853">
        <v>5.7723385800000004</v>
      </c>
      <c r="M853">
        <v>5.3829056499999997</v>
      </c>
      <c r="N853">
        <v>6.2415160700000003</v>
      </c>
      <c r="O853">
        <v>5.7031433267457237</v>
      </c>
      <c r="P853">
        <v>86.749334169999997</v>
      </c>
      <c r="Q853">
        <v>9.0434333511238361</v>
      </c>
      <c r="R853" t="s">
        <v>30</v>
      </c>
      <c r="S853">
        <v>97.971262190000004</v>
      </c>
      <c r="T853" t="s">
        <v>2819</v>
      </c>
      <c r="U853" t="s">
        <v>1059</v>
      </c>
    </row>
    <row r="854" spans="1:21" x14ac:dyDescent="0.25">
      <c r="A854" t="s">
        <v>2536</v>
      </c>
      <c r="B854" t="s">
        <v>2537</v>
      </c>
      <c r="C854" t="s">
        <v>2538</v>
      </c>
      <c r="D854" t="s">
        <v>586</v>
      </c>
      <c r="E854" t="s">
        <v>1056</v>
      </c>
      <c r="F854" t="s">
        <v>1714</v>
      </c>
      <c r="G854" t="s">
        <v>1715</v>
      </c>
      <c r="H854" t="s">
        <v>90</v>
      </c>
      <c r="I854" t="s">
        <v>90</v>
      </c>
      <c r="J854">
        <v>211.31186356000001</v>
      </c>
      <c r="K854">
        <v>7.5691485900000002</v>
      </c>
      <c r="L854">
        <v>6.7885933300000003</v>
      </c>
      <c r="M854">
        <v>5.1007290699999999</v>
      </c>
      <c r="N854">
        <v>6.2185880200000003</v>
      </c>
      <c r="O854">
        <v>40.886718226563538</v>
      </c>
      <c r="P854">
        <v>311.09750924999997</v>
      </c>
      <c r="Q854">
        <v>57.125985748028498</v>
      </c>
      <c r="R854" t="s">
        <v>1073</v>
      </c>
      <c r="S854">
        <v>211.31186356000001</v>
      </c>
      <c r="T854" t="s">
        <v>2819</v>
      </c>
      <c r="U854" t="s">
        <v>1059</v>
      </c>
    </row>
    <row r="855" spans="1:21" x14ac:dyDescent="0.25">
      <c r="A855" t="s">
        <v>2536</v>
      </c>
      <c r="B855" t="s">
        <v>2537</v>
      </c>
      <c r="C855" t="s">
        <v>2539</v>
      </c>
      <c r="D855" t="s">
        <v>586</v>
      </c>
      <c r="E855" t="s">
        <v>1056</v>
      </c>
      <c r="F855" t="s">
        <v>1714</v>
      </c>
      <c r="G855" t="s">
        <v>1715</v>
      </c>
      <c r="H855" t="s">
        <v>90</v>
      </c>
      <c r="I855" t="s">
        <v>90</v>
      </c>
      <c r="J855">
        <v>211.31186356000001</v>
      </c>
      <c r="K855">
        <v>7.5691485900000002</v>
      </c>
      <c r="L855">
        <v>6.7885933300000003</v>
      </c>
      <c r="M855">
        <v>5.1007290699999999</v>
      </c>
      <c r="N855">
        <v>6.2185880200000003</v>
      </c>
      <c r="O855">
        <v>40.886718226563538</v>
      </c>
      <c r="P855">
        <v>311.09750924999997</v>
      </c>
      <c r="Q855">
        <v>57.125985748028498</v>
      </c>
      <c r="R855" t="s">
        <v>1073</v>
      </c>
      <c r="S855">
        <v>211.31186356000001</v>
      </c>
      <c r="T855" t="s">
        <v>2819</v>
      </c>
      <c r="U855" t="s">
        <v>1059</v>
      </c>
    </row>
    <row r="856" spans="1:21" x14ac:dyDescent="0.25">
      <c r="A856" t="s">
        <v>2541</v>
      </c>
      <c r="B856" t="s">
        <v>2542</v>
      </c>
      <c r="C856" t="s">
        <v>2543</v>
      </c>
      <c r="D856" t="s">
        <v>586</v>
      </c>
      <c r="E856" t="s">
        <v>1056</v>
      </c>
      <c r="F856" t="s">
        <v>1071</v>
      </c>
      <c r="G856" t="s">
        <v>1202</v>
      </c>
      <c r="H856" t="s">
        <v>90</v>
      </c>
      <c r="I856" t="s">
        <v>90</v>
      </c>
      <c r="J856">
        <v>7.8875682400000002</v>
      </c>
      <c r="K856">
        <v>5.4117226900000004</v>
      </c>
      <c r="L856">
        <v>6.54877179</v>
      </c>
      <c r="M856">
        <v>4.3820055800000004</v>
      </c>
      <c r="N856">
        <v>4.7772487000000003</v>
      </c>
      <c r="O856">
        <v>37.559928136197499</v>
      </c>
      <c r="P856">
        <v>31.119795629999999</v>
      </c>
      <c r="Q856">
        <v>9.0789002999654294</v>
      </c>
      <c r="R856" t="s">
        <v>1063</v>
      </c>
      <c r="S856">
        <v>7.8875682400000002</v>
      </c>
      <c r="T856" t="s">
        <v>2819</v>
      </c>
      <c r="U856" t="s">
        <v>1059</v>
      </c>
    </row>
    <row r="857" spans="1:21" x14ac:dyDescent="0.25">
      <c r="A857" t="s">
        <v>2544</v>
      </c>
      <c r="B857" t="s">
        <v>2545</v>
      </c>
      <c r="C857" t="s">
        <v>2546</v>
      </c>
      <c r="D857" t="s">
        <v>586</v>
      </c>
      <c r="E857" t="s">
        <v>1056</v>
      </c>
      <c r="F857" t="s">
        <v>1174</v>
      </c>
      <c r="G857" t="s">
        <v>1175</v>
      </c>
      <c r="H857" t="s">
        <v>90</v>
      </c>
      <c r="I857" t="s">
        <v>90</v>
      </c>
      <c r="J857">
        <v>106.96301591</v>
      </c>
      <c r="K857">
        <v>4.7669873300000001</v>
      </c>
      <c r="L857">
        <v>5.5842813600000003</v>
      </c>
      <c r="M857">
        <v>4.5042331400000002</v>
      </c>
      <c r="N857">
        <v>4.2169293300000001</v>
      </c>
      <c r="O857">
        <v>39.398461095929818</v>
      </c>
      <c r="P857">
        <v>159.95903716000001</v>
      </c>
      <c r="Q857">
        <v>3.475817792479666</v>
      </c>
      <c r="R857" t="s">
        <v>1063</v>
      </c>
      <c r="S857">
        <v>106.96301591</v>
      </c>
      <c r="T857" t="s">
        <v>2819</v>
      </c>
      <c r="U857" t="s">
        <v>1059</v>
      </c>
    </row>
    <row r="858" spans="1:21" x14ac:dyDescent="0.25">
      <c r="A858" t="s">
        <v>5454</v>
      </c>
      <c r="B858" t="s">
        <v>2547</v>
      </c>
      <c r="C858" t="s">
        <v>2548</v>
      </c>
      <c r="D858" t="s">
        <v>586</v>
      </c>
      <c r="E858" t="s">
        <v>1056</v>
      </c>
      <c r="F858" t="s">
        <v>1163</v>
      </c>
      <c r="G858" t="s">
        <v>1791</v>
      </c>
      <c r="H858" t="s">
        <v>90</v>
      </c>
      <c r="I858" t="s">
        <v>90</v>
      </c>
      <c r="J858">
        <v>6.9944719700000002</v>
      </c>
      <c r="K858">
        <v>7.4481417499999996</v>
      </c>
      <c r="L858">
        <v>5.0846866999999998</v>
      </c>
      <c r="M858">
        <v>5.3633447700000003</v>
      </c>
      <c r="N858">
        <v>6.8687248800000003</v>
      </c>
      <c r="O858">
        <v>0.29788874408070198</v>
      </c>
      <c r="P858">
        <v>12.94709196</v>
      </c>
      <c r="Q858">
        <v>65.116888721509341</v>
      </c>
      <c r="R858" t="s">
        <v>1073</v>
      </c>
      <c r="S858">
        <v>6.9944719700000002</v>
      </c>
      <c r="T858" t="s">
        <v>2819</v>
      </c>
      <c r="U858" t="s">
        <v>1059</v>
      </c>
    </row>
    <row r="859" spans="1:21" x14ac:dyDescent="0.25">
      <c r="A859" t="s">
        <v>2549</v>
      </c>
      <c r="B859" t="s">
        <v>2550</v>
      </c>
      <c r="C859" t="s">
        <v>2551</v>
      </c>
      <c r="D859" t="s">
        <v>586</v>
      </c>
      <c r="E859" t="s">
        <v>1056</v>
      </c>
      <c r="F859" t="s">
        <v>1689</v>
      </c>
      <c r="G859" t="s">
        <v>1791</v>
      </c>
      <c r="H859" t="s">
        <v>90</v>
      </c>
      <c r="I859" t="s">
        <v>90</v>
      </c>
      <c r="J859">
        <v>24.87315267</v>
      </c>
      <c r="K859">
        <v>7.3042091100000004</v>
      </c>
      <c r="L859">
        <v>5.36595069</v>
      </c>
      <c r="M859">
        <v>5.1429850500000001</v>
      </c>
      <c r="N859">
        <v>6.7257136800000001</v>
      </c>
      <c r="O859">
        <v>1.3471</v>
      </c>
      <c r="P859">
        <v>43.587582220000002</v>
      </c>
      <c r="Q859">
        <v>69.93119999999999</v>
      </c>
      <c r="R859" t="s">
        <v>1073</v>
      </c>
      <c r="S859">
        <v>24.87315267</v>
      </c>
      <c r="T859" t="s">
        <v>2819</v>
      </c>
      <c r="U859" t="s">
        <v>1059</v>
      </c>
    </row>
    <row r="860" spans="1:21" x14ac:dyDescent="0.25">
      <c r="A860" t="s">
        <v>5101</v>
      </c>
      <c r="B860" t="s">
        <v>2552</v>
      </c>
      <c r="C860" t="s">
        <v>2553</v>
      </c>
      <c r="D860" t="s">
        <v>586</v>
      </c>
      <c r="E860" t="s">
        <v>1056</v>
      </c>
      <c r="F860" t="s">
        <v>1071</v>
      </c>
      <c r="G860" t="s">
        <v>1216</v>
      </c>
      <c r="H860" t="s">
        <v>90</v>
      </c>
      <c r="I860" t="s">
        <v>90</v>
      </c>
      <c r="J860">
        <v>10.41812964</v>
      </c>
      <c r="K860">
        <v>6.6448446800000003</v>
      </c>
      <c r="L860">
        <v>6.2608848899999998</v>
      </c>
      <c r="M860">
        <v>5.1308060199999996</v>
      </c>
      <c r="N860">
        <v>5.2459881299999997</v>
      </c>
      <c r="O860">
        <v>35.351444750555153</v>
      </c>
      <c r="P860">
        <v>33.085713759999997</v>
      </c>
      <c r="Q860">
        <v>12.14558355365927</v>
      </c>
      <c r="R860" t="s">
        <v>30</v>
      </c>
      <c r="S860">
        <v>10.41812964</v>
      </c>
      <c r="T860" t="s">
        <v>2819</v>
      </c>
      <c r="U860" t="s">
        <v>1059</v>
      </c>
    </row>
    <row r="861" spans="1:21" x14ac:dyDescent="0.25">
      <c r="A861" t="s">
        <v>5842</v>
      </c>
      <c r="B861" t="s">
        <v>5843</v>
      </c>
      <c r="C861" t="s">
        <v>5844</v>
      </c>
      <c r="D861" t="s">
        <v>586</v>
      </c>
      <c r="E861" t="s">
        <v>1056</v>
      </c>
      <c r="F861" t="s">
        <v>1071</v>
      </c>
      <c r="G861" t="s">
        <v>1583</v>
      </c>
      <c r="H861" t="s">
        <v>90</v>
      </c>
      <c r="I861" t="s">
        <v>90</v>
      </c>
      <c r="J861">
        <v>0.18</v>
      </c>
      <c r="K861">
        <v>9.1</v>
      </c>
      <c r="L861">
        <v>7.5</v>
      </c>
      <c r="M861">
        <v>5.7</v>
      </c>
      <c r="N861">
        <v>7.7</v>
      </c>
      <c r="O861">
        <v>0</v>
      </c>
      <c r="P861">
        <v>1.32</v>
      </c>
      <c r="Q861">
        <v>0.43013687212049001</v>
      </c>
      <c r="R861" t="s">
        <v>5750</v>
      </c>
      <c r="S861">
        <v>0.18</v>
      </c>
      <c r="T861" t="s">
        <v>2819</v>
      </c>
      <c r="U861" t="s">
        <v>1059</v>
      </c>
    </row>
    <row r="862" spans="1:21" x14ac:dyDescent="0.25">
      <c r="A862" t="s">
        <v>2774</v>
      </c>
      <c r="B862" t="s">
        <v>2776</v>
      </c>
      <c r="C862" t="s">
        <v>3002</v>
      </c>
      <c r="D862" t="s">
        <v>191</v>
      </c>
      <c r="E862" t="s">
        <v>4804</v>
      </c>
      <c r="F862" t="s">
        <v>2775</v>
      </c>
      <c r="G862" t="s">
        <v>1203</v>
      </c>
      <c r="H862">
        <v>136199.20000000001</v>
      </c>
      <c r="I862">
        <v>45900000</v>
      </c>
      <c r="J862">
        <v>337.01</v>
      </c>
      <c r="K862">
        <v>3.2</v>
      </c>
      <c r="L862">
        <v>5.7</v>
      </c>
      <c r="M862">
        <v>5.9</v>
      </c>
      <c r="N862">
        <v>1.4</v>
      </c>
      <c r="O862">
        <v>10</v>
      </c>
      <c r="Q862">
        <v>12</v>
      </c>
      <c r="R862" t="s">
        <v>1138</v>
      </c>
      <c r="S862">
        <v>337.01</v>
      </c>
      <c r="T862" t="s">
        <v>2819</v>
      </c>
      <c r="U862" t="s">
        <v>1062</v>
      </c>
    </row>
    <row r="863" spans="1:21" x14ac:dyDescent="0.25">
      <c r="A863" t="s">
        <v>5842</v>
      </c>
      <c r="B863" t="s">
        <v>5843</v>
      </c>
      <c r="C863" t="s">
        <v>2554</v>
      </c>
      <c r="D863" t="s">
        <v>586</v>
      </c>
      <c r="E863" t="s">
        <v>1056</v>
      </c>
      <c r="F863" t="s">
        <v>1071</v>
      </c>
      <c r="G863" t="s">
        <v>1583</v>
      </c>
      <c r="H863" t="s">
        <v>90</v>
      </c>
      <c r="I863" t="s">
        <v>90</v>
      </c>
      <c r="J863">
        <v>0.18</v>
      </c>
      <c r="K863">
        <v>9.1</v>
      </c>
      <c r="L863">
        <v>7.5</v>
      </c>
      <c r="M863">
        <v>5.7</v>
      </c>
      <c r="N863">
        <v>7.7</v>
      </c>
      <c r="O863">
        <v>0</v>
      </c>
      <c r="P863">
        <v>1.32</v>
      </c>
      <c r="Q863">
        <v>0.43013687212049001</v>
      </c>
      <c r="R863" t="s">
        <v>5750</v>
      </c>
      <c r="S863">
        <v>0.18</v>
      </c>
      <c r="T863" t="s">
        <v>2819</v>
      </c>
      <c r="U863" t="s">
        <v>1059</v>
      </c>
    </row>
    <row r="864" spans="1:21" x14ac:dyDescent="0.25">
      <c r="A864" t="s">
        <v>2555</v>
      </c>
      <c r="B864" t="s">
        <v>721</v>
      </c>
      <c r="C864" t="s">
        <v>720</v>
      </c>
      <c r="D864" t="s">
        <v>586</v>
      </c>
      <c r="E864" t="s">
        <v>1056</v>
      </c>
      <c r="F864" t="s">
        <v>1290</v>
      </c>
      <c r="G864" t="s">
        <v>1291</v>
      </c>
      <c r="H864" t="s">
        <v>90</v>
      </c>
      <c r="I864" t="s">
        <v>90</v>
      </c>
      <c r="J864">
        <v>111.29680488</v>
      </c>
      <c r="K864">
        <v>5.9822463199999998</v>
      </c>
      <c r="L864">
        <v>5.8083804399999996</v>
      </c>
      <c r="M864">
        <v>4.9403419900000003</v>
      </c>
      <c r="N864">
        <v>4.9697212100000003</v>
      </c>
      <c r="O864">
        <v>15.198452463248991</v>
      </c>
      <c r="P864">
        <v>145.05289292000001</v>
      </c>
      <c r="Q864">
        <v>5.551250201709701</v>
      </c>
      <c r="R864" t="s">
        <v>30</v>
      </c>
      <c r="S864">
        <v>111.29680488</v>
      </c>
      <c r="T864" t="s">
        <v>2819</v>
      </c>
      <c r="U864" t="s">
        <v>1059</v>
      </c>
    </row>
    <row r="865" spans="1:21" x14ac:dyDescent="0.25">
      <c r="A865" t="s">
        <v>2777</v>
      </c>
      <c r="B865" t="s">
        <v>2778</v>
      </c>
      <c r="C865" t="s">
        <v>3336</v>
      </c>
      <c r="D865" t="s">
        <v>249</v>
      </c>
      <c r="E865" t="s">
        <v>4806</v>
      </c>
      <c r="F865" t="s">
        <v>1198</v>
      </c>
      <c r="G865" t="s">
        <v>1324</v>
      </c>
      <c r="H865">
        <v>4582.3100000000004</v>
      </c>
      <c r="I865">
        <v>4174279</v>
      </c>
      <c r="J865">
        <v>910.96</v>
      </c>
      <c r="K865">
        <v>7.3</v>
      </c>
      <c r="L865">
        <v>6.8</v>
      </c>
      <c r="M865">
        <v>7.6</v>
      </c>
      <c r="N865">
        <v>5.8</v>
      </c>
      <c r="O865">
        <v>2</v>
      </c>
      <c r="Q865">
        <v>29</v>
      </c>
      <c r="R865" t="s">
        <v>1073</v>
      </c>
      <c r="S865">
        <v>910.96</v>
      </c>
      <c r="T865" t="s">
        <v>2819</v>
      </c>
      <c r="U865" t="s">
        <v>1062</v>
      </c>
    </row>
    <row r="866" spans="1:21" x14ac:dyDescent="0.25">
      <c r="A866" t="s">
        <v>2556</v>
      </c>
      <c r="B866" t="s">
        <v>861</v>
      </c>
      <c r="C866" t="s">
        <v>860</v>
      </c>
      <c r="D866" t="s">
        <v>586</v>
      </c>
      <c r="E866" t="s">
        <v>1056</v>
      </c>
      <c r="F866" t="s">
        <v>1766</v>
      </c>
      <c r="G866" t="s">
        <v>2188</v>
      </c>
      <c r="H866" t="s">
        <v>90</v>
      </c>
      <c r="I866" t="s">
        <v>90</v>
      </c>
      <c r="J866">
        <v>399.06114704999999</v>
      </c>
      <c r="K866">
        <v>4.7497095500000004</v>
      </c>
      <c r="L866">
        <v>5.13520165</v>
      </c>
      <c r="M866">
        <v>4.91136572</v>
      </c>
      <c r="N866">
        <v>4.5560656499999999</v>
      </c>
      <c r="O866">
        <v>9.7879645533854678</v>
      </c>
      <c r="P866">
        <v>665.23837309999999</v>
      </c>
      <c r="Q866">
        <v>9.2090082804989137</v>
      </c>
      <c r="R866" t="s">
        <v>1063</v>
      </c>
      <c r="S866">
        <v>399.06114704999999</v>
      </c>
      <c r="T866" t="s">
        <v>2819</v>
      </c>
      <c r="U866" t="s">
        <v>1059</v>
      </c>
    </row>
    <row r="867" spans="1:21" x14ac:dyDescent="0.25">
      <c r="A867" t="s">
        <v>5102</v>
      </c>
      <c r="B867" t="s">
        <v>2557</v>
      </c>
      <c r="C867" t="s">
        <v>2558</v>
      </c>
      <c r="D867" t="s">
        <v>586</v>
      </c>
      <c r="E867" t="s">
        <v>1056</v>
      </c>
      <c r="F867" t="s">
        <v>1057</v>
      </c>
      <c r="G867" t="s">
        <v>1288</v>
      </c>
      <c r="H867" t="s">
        <v>90</v>
      </c>
      <c r="I867" t="s">
        <v>90</v>
      </c>
      <c r="J867">
        <v>213.17526748</v>
      </c>
      <c r="K867">
        <v>5.66512013</v>
      </c>
      <c r="L867">
        <v>4.6841260900000004</v>
      </c>
      <c r="M867">
        <v>5.0076402499999997</v>
      </c>
      <c r="N867">
        <v>5.8008768399999999</v>
      </c>
      <c r="O867">
        <v>9.5125158643369687</v>
      </c>
      <c r="P867">
        <v>469.78973242000001</v>
      </c>
      <c r="Q867">
        <v>12.99558592284545</v>
      </c>
      <c r="R867" t="s">
        <v>1063</v>
      </c>
      <c r="S867">
        <v>213.17526748</v>
      </c>
      <c r="T867" t="s">
        <v>2819</v>
      </c>
      <c r="U867" t="s">
        <v>1059</v>
      </c>
    </row>
    <row r="868" spans="1:21" x14ac:dyDescent="0.25">
      <c r="A868" t="s">
        <v>2779</v>
      </c>
      <c r="B868" t="s">
        <v>425</v>
      </c>
      <c r="C868" t="s">
        <v>424</v>
      </c>
      <c r="D868" t="s">
        <v>422</v>
      </c>
      <c r="E868" t="s">
        <v>4801</v>
      </c>
      <c r="F868" t="s">
        <v>1198</v>
      </c>
      <c r="G868" t="s">
        <v>1098</v>
      </c>
      <c r="H868">
        <v>5478.56</v>
      </c>
      <c r="I868">
        <v>159851.59</v>
      </c>
      <c r="J868">
        <v>29.18</v>
      </c>
      <c r="K868">
        <v>6.9</v>
      </c>
      <c r="L868">
        <v>5.4</v>
      </c>
      <c r="M868">
        <v>5.6</v>
      </c>
      <c r="N868">
        <v>5.2</v>
      </c>
      <c r="O868">
        <v>0</v>
      </c>
      <c r="Q868">
        <v>34</v>
      </c>
      <c r="R868" t="s">
        <v>30</v>
      </c>
      <c r="S868">
        <v>29.18</v>
      </c>
      <c r="T868" t="s">
        <v>2819</v>
      </c>
      <c r="U868" t="s">
        <v>1062</v>
      </c>
    </row>
    <row r="869" spans="1:21" x14ac:dyDescent="0.25">
      <c r="A869" t="s">
        <v>2559</v>
      </c>
      <c r="B869" t="s">
        <v>2560</v>
      </c>
      <c r="C869" t="s">
        <v>2561</v>
      </c>
      <c r="D869" t="s">
        <v>586</v>
      </c>
      <c r="E869" t="s">
        <v>1056</v>
      </c>
      <c r="F869" t="s">
        <v>1071</v>
      </c>
      <c r="G869" t="s">
        <v>2071</v>
      </c>
      <c r="H869" t="s">
        <v>90</v>
      </c>
      <c r="I869" t="s">
        <v>90</v>
      </c>
      <c r="J869">
        <v>36.74364525</v>
      </c>
      <c r="K869">
        <v>7.4164675799999999</v>
      </c>
      <c r="L869">
        <v>6.7244448500000003</v>
      </c>
      <c r="M869">
        <v>5.2477831300000002</v>
      </c>
      <c r="N869">
        <v>6.28748942</v>
      </c>
      <c r="O869">
        <v>29.366437845542769</v>
      </c>
      <c r="P869">
        <v>121.48377059000001</v>
      </c>
      <c r="Q869">
        <v>40.292596811613222</v>
      </c>
      <c r="R869" t="s">
        <v>1073</v>
      </c>
      <c r="S869">
        <v>36.74364525</v>
      </c>
      <c r="T869" t="s">
        <v>2819</v>
      </c>
      <c r="U869" t="s">
        <v>1059</v>
      </c>
    </row>
    <row r="870" spans="1:21" x14ac:dyDescent="0.25">
      <c r="A870" t="s">
        <v>2780</v>
      </c>
      <c r="B870" t="s">
        <v>356</v>
      </c>
      <c r="C870" t="s">
        <v>355</v>
      </c>
      <c r="D870" t="s">
        <v>350</v>
      </c>
      <c r="E870" t="s">
        <v>4802</v>
      </c>
      <c r="F870" t="s">
        <v>1198</v>
      </c>
      <c r="G870" t="s">
        <v>5455</v>
      </c>
      <c r="H870">
        <v>3344.53</v>
      </c>
      <c r="I870">
        <v>714</v>
      </c>
      <c r="J870">
        <v>0.21</v>
      </c>
      <c r="Q870">
        <v>11</v>
      </c>
      <c r="S870">
        <v>0.21</v>
      </c>
      <c r="T870" t="s">
        <v>2819</v>
      </c>
      <c r="U870" t="s">
        <v>1062</v>
      </c>
    </row>
    <row r="871" spans="1:21" x14ac:dyDescent="0.25">
      <c r="A871" t="s">
        <v>5103</v>
      </c>
      <c r="B871" t="s">
        <v>2562</v>
      </c>
      <c r="C871" t="s">
        <v>2563</v>
      </c>
      <c r="D871" t="s">
        <v>586</v>
      </c>
      <c r="E871" t="s">
        <v>1056</v>
      </c>
      <c r="F871" t="s">
        <v>1136</v>
      </c>
      <c r="G871" t="s">
        <v>1494</v>
      </c>
      <c r="H871" t="s">
        <v>90</v>
      </c>
      <c r="I871" t="s">
        <v>90</v>
      </c>
      <c r="J871">
        <v>0.11333544</v>
      </c>
      <c r="K871">
        <v>4.4284239999999997</v>
      </c>
      <c r="L871">
        <v>5.12276182</v>
      </c>
      <c r="M871">
        <v>5.84138292</v>
      </c>
      <c r="N871">
        <v>5.7438559299999996</v>
      </c>
      <c r="O871">
        <v>3.2326018673660001E-3</v>
      </c>
      <c r="P871">
        <v>3.7247342699999999</v>
      </c>
      <c r="Q871">
        <v>0</v>
      </c>
      <c r="R871" t="s">
        <v>1063</v>
      </c>
      <c r="S871">
        <v>0.11333544</v>
      </c>
      <c r="T871" t="s">
        <v>2819</v>
      </c>
      <c r="U871" t="s">
        <v>1059</v>
      </c>
    </row>
    <row r="872" spans="1:21" x14ac:dyDescent="0.25">
      <c r="A872" t="s">
        <v>2780</v>
      </c>
      <c r="B872" t="s">
        <v>361</v>
      </c>
      <c r="C872" t="s">
        <v>360</v>
      </c>
      <c r="D872" t="s">
        <v>350</v>
      </c>
      <c r="E872" t="s">
        <v>4802</v>
      </c>
      <c r="F872" t="s">
        <v>1198</v>
      </c>
      <c r="G872" t="s">
        <v>5455</v>
      </c>
      <c r="H872">
        <v>3344.53</v>
      </c>
      <c r="I872">
        <v>714</v>
      </c>
      <c r="J872">
        <v>0.21</v>
      </c>
      <c r="Q872">
        <v>11</v>
      </c>
      <c r="S872">
        <v>0.21</v>
      </c>
      <c r="T872" t="s">
        <v>2819</v>
      </c>
      <c r="U872" t="s">
        <v>1062</v>
      </c>
    </row>
    <row r="873" spans="1:21" x14ac:dyDescent="0.25">
      <c r="A873" t="s">
        <v>2564</v>
      </c>
      <c r="B873" t="s">
        <v>2565</v>
      </c>
      <c r="C873" t="s">
        <v>2566</v>
      </c>
      <c r="D873" t="s">
        <v>586</v>
      </c>
      <c r="E873" t="s">
        <v>1056</v>
      </c>
      <c r="F873" t="s">
        <v>1136</v>
      </c>
      <c r="G873" t="s">
        <v>1494</v>
      </c>
      <c r="H873" t="s">
        <v>90</v>
      </c>
      <c r="I873" t="s">
        <v>90</v>
      </c>
      <c r="J873">
        <v>1.13867739</v>
      </c>
      <c r="K873">
        <v>4.9036356699999999</v>
      </c>
      <c r="L873">
        <v>4.9821986699999998</v>
      </c>
      <c r="M873">
        <v>5.7182512599999997</v>
      </c>
      <c r="N873">
        <v>5.8720411099999996</v>
      </c>
      <c r="O873">
        <v>2.0927855035073271</v>
      </c>
      <c r="P873">
        <v>1.5878316400000001</v>
      </c>
      <c r="Q873">
        <v>0</v>
      </c>
      <c r="R873" t="s">
        <v>1063</v>
      </c>
      <c r="S873">
        <v>1.13867739</v>
      </c>
      <c r="T873" t="s">
        <v>2819</v>
      </c>
      <c r="U873" t="s">
        <v>1059</v>
      </c>
    </row>
    <row r="874" spans="1:21" x14ac:dyDescent="0.25">
      <c r="A874" t="s">
        <v>2780</v>
      </c>
      <c r="B874" t="s">
        <v>359</v>
      </c>
      <c r="C874" t="s">
        <v>358</v>
      </c>
      <c r="D874" t="s">
        <v>350</v>
      </c>
      <c r="E874" t="s">
        <v>4802</v>
      </c>
      <c r="F874" t="s">
        <v>1198</v>
      </c>
      <c r="G874" t="s">
        <v>5455</v>
      </c>
      <c r="H874">
        <v>3344.53</v>
      </c>
      <c r="I874">
        <v>714</v>
      </c>
      <c r="J874">
        <v>0.21</v>
      </c>
      <c r="Q874">
        <v>11</v>
      </c>
      <c r="S874">
        <v>0.21</v>
      </c>
      <c r="T874" t="s">
        <v>2819</v>
      </c>
      <c r="U874" t="s">
        <v>1062</v>
      </c>
    </row>
    <row r="875" spans="1:21" x14ac:dyDescent="0.25">
      <c r="A875" t="s">
        <v>5104</v>
      </c>
      <c r="B875" t="s">
        <v>689</v>
      </c>
      <c r="C875" t="s">
        <v>688</v>
      </c>
      <c r="D875" t="s">
        <v>586</v>
      </c>
      <c r="E875" t="s">
        <v>1056</v>
      </c>
      <c r="F875" t="s">
        <v>1290</v>
      </c>
      <c r="G875" t="s">
        <v>1291</v>
      </c>
      <c r="H875" t="s">
        <v>90</v>
      </c>
      <c r="I875" t="s">
        <v>90</v>
      </c>
      <c r="J875">
        <v>210.76978717</v>
      </c>
      <c r="K875">
        <v>5.3305259400000002</v>
      </c>
      <c r="L875">
        <v>5.1109404600000001</v>
      </c>
      <c r="M875">
        <v>4.718235</v>
      </c>
      <c r="N875">
        <v>5.0228198199999996</v>
      </c>
      <c r="O875">
        <v>15.09497945225163</v>
      </c>
      <c r="P875">
        <v>259.09803471999999</v>
      </c>
      <c r="Q875">
        <v>13.15142109952008</v>
      </c>
      <c r="R875" t="s">
        <v>1063</v>
      </c>
      <c r="S875">
        <v>210.76978717</v>
      </c>
      <c r="T875" t="s">
        <v>2819</v>
      </c>
      <c r="U875" t="s">
        <v>1059</v>
      </c>
    </row>
    <row r="876" spans="1:21" x14ac:dyDescent="0.25">
      <c r="A876" t="s">
        <v>2780</v>
      </c>
      <c r="B876" t="s">
        <v>5456</v>
      </c>
      <c r="C876" t="s">
        <v>5457</v>
      </c>
      <c r="D876" t="s">
        <v>350</v>
      </c>
      <c r="E876" t="s">
        <v>4802</v>
      </c>
      <c r="F876" t="s">
        <v>1198</v>
      </c>
      <c r="G876" t="s">
        <v>5455</v>
      </c>
      <c r="H876">
        <v>3344.53</v>
      </c>
      <c r="I876">
        <v>714</v>
      </c>
      <c r="J876">
        <v>0.21</v>
      </c>
      <c r="Q876">
        <v>11</v>
      </c>
      <c r="S876">
        <v>0.21</v>
      </c>
      <c r="T876" t="s">
        <v>2819</v>
      </c>
      <c r="U876" t="s">
        <v>1062</v>
      </c>
    </row>
    <row r="877" spans="1:21" x14ac:dyDescent="0.25">
      <c r="A877" t="s">
        <v>2568</v>
      </c>
      <c r="B877" t="s">
        <v>2569</v>
      </c>
      <c r="C877" t="s">
        <v>2570</v>
      </c>
      <c r="D877" t="s">
        <v>586</v>
      </c>
      <c r="E877" t="s">
        <v>1056</v>
      </c>
      <c r="F877" t="s">
        <v>1290</v>
      </c>
      <c r="G877" t="s">
        <v>1291</v>
      </c>
      <c r="H877" t="s">
        <v>90</v>
      </c>
      <c r="I877" t="s">
        <v>90</v>
      </c>
      <c r="J877">
        <v>41.031327400000002</v>
      </c>
      <c r="K877">
        <v>5.2604441199999998</v>
      </c>
      <c r="L877">
        <v>5.2684147499999998</v>
      </c>
      <c r="M877">
        <v>4.5746940900000004</v>
      </c>
      <c r="N877">
        <v>4.8946419800000003</v>
      </c>
      <c r="O877">
        <v>15.0040249798751</v>
      </c>
      <c r="P877">
        <v>114.33237664000001</v>
      </c>
      <c r="Q877">
        <v>12.93423532882335</v>
      </c>
      <c r="R877" t="s">
        <v>1063</v>
      </c>
      <c r="S877">
        <v>41.031327400000002</v>
      </c>
      <c r="T877" t="s">
        <v>2819</v>
      </c>
      <c r="U877" t="s">
        <v>1059</v>
      </c>
    </row>
    <row r="878" spans="1:21" x14ac:dyDescent="0.25">
      <c r="A878" t="s">
        <v>2571</v>
      </c>
      <c r="B878" t="s">
        <v>2572</v>
      </c>
      <c r="C878" t="s">
        <v>2573</v>
      </c>
      <c r="D878" t="s">
        <v>586</v>
      </c>
      <c r="E878" t="s">
        <v>1056</v>
      </c>
      <c r="F878" t="s">
        <v>1605</v>
      </c>
      <c r="G878" t="s">
        <v>1606</v>
      </c>
      <c r="H878" t="s">
        <v>90</v>
      </c>
      <c r="I878" t="s">
        <v>90</v>
      </c>
      <c r="J878">
        <v>123.47522262</v>
      </c>
      <c r="K878">
        <v>6.07819573</v>
      </c>
      <c r="L878">
        <v>6.0148239600000002</v>
      </c>
      <c r="M878">
        <v>4.9441416</v>
      </c>
      <c r="N878">
        <v>5.0142693400000002</v>
      </c>
      <c r="O878">
        <v>15.610033492112979</v>
      </c>
      <c r="P878">
        <v>161.38774900000001</v>
      </c>
      <c r="Q878">
        <v>6.2195939317828506</v>
      </c>
      <c r="R878" t="s">
        <v>30</v>
      </c>
      <c r="S878">
        <v>123.47522262</v>
      </c>
      <c r="T878" t="s">
        <v>2819</v>
      </c>
      <c r="U878" t="s">
        <v>1059</v>
      </c>
    </row>
    <row r="879" spans="1:21" x14ac:dyDescent="0.25">
      <c r="A879" t="s">
        <v>2574</v>
      </c>
      <c r="B879" t="s">
        <v>2575</v>
      </c>
      <c r="C879" t="s">
        <v>2576</v>
      </c>
      <c r="D879" t="s">
        <v>586</v>
      </c>
      <c r="E879" t="s">
        <v>1056</v>
      </c>
      <c r="F879" t="s">
        <v>1071</v>
      </c>
      <c r="G879" t="s">
        <v>1993</v>
      </c>
      <c r="H879" t="s">
        <v>90</v>
      </c>
      <c r="I879" t="s">
        <v>90</v>
      </c>
      <c r="J879">
        <v>149.45867279000001</v>
      </c>
      <c r="K879">
        <v>7.0116934100000003</v>
      </c>
      <c r="L879">
        <v>4.9174446100000004</v>
      </c>
      <c r="M879">
        <v>5.0838731099999999</v>
      </c>
      <c r="N879">
        <v>6.3614136200000004</v>
      </c>
      <c r="O879">
        <v>31.77679533038599</v>
      </c>
      <c r="P879">
        <v>267.44868235000001</v>
      </c>
      <c r="Q879">
        <v>47.595442786328363</v>
      </c>
      <c r="R879" t="s">
        <v>30</v>
      </c>
      <c r="S879">
        <v>149.45867279000001</v>
      </c>
      <c r="T879" t="s">
        <v>2819</v>
      </c>
      <c r="U879" t="s">
        <v>1059</v>
      </c>
    </row>
    <row r="880" spans="1:21" x14ac:dyDescent="0.25">
      <c r="A880" t="s">
        <v>2577</v>
      </c>
      <c r="B880" t="s">
        <v>956</v>
      </c>
      <c r="C880" t="s">
        <v>955</v>
      </c>
      <c r="D880" t="s">
        <v>586</v>
      </c>
      <c r="E880" t="s">
        <v>1056</v>
      </c>
      <c r="F880" t="s">
        <v>1136</v>
      </c>
      <c r="G880" t="s">
        <v>1437</v>
      </c>
      <c r="H880" t="s">
        <v>90</v>
      </c>
      <c r="I880" t="s">
        <v>90</v>
      </c>
      <c r="J880">
        <v>663.99930010000003</v>
      </c>
      <c r="K880">
        <v>3.87863202</v>
      </c>
      <c r="L880">
        <v>5.0403745300000002</v>
      </c>
      <c r="M880">
        <v>5.47316687</v>
      </c>
      <c r="N880">
        <v>5.19621084</v>
      </c>
      <c r="O880">
        <v>7.4688527534814542</v>
      </c>
      <c r="P880">
        <v>1114.2037717600001</v>
      </c>
      <c r="Q880">
        <v>0</v>
      </c>
      <c r="R880" t="s">
        <v>1138</v>
      </c>
      <c r="S880">
        <v>663.99930010000003</v>
      </c>
      <c r="T880" t="s">
        <v>2819</v>
      </c>
      <c r="U880" t="s">
        <v>1059</v>
      </c>
    </row>
    <row r="881" spans="1:21" x14ac:dyDescent="0.25">
      <c r="A881" t="s">
        <v>2578</v>
      </c>
      <c r="B881" t="s">
        <v>954</v>
      </c>
      <c r="C881" t="s">
        <v>953</v>
      </c>
      <c r="D881" t="s">
        <v>586</v>
      </c>
      <c r="E881" t="s">
        <v>1056</v>
      </c>
      <c r="F881" t="s">
        <v>1136</v>
      </c>
      <c r="G881" t="s">
        <v>1437</v>
      </c>
      <c r="H881" t="s">
        <v>90</v>
      </c>
      <c r="I881" t="s">
        <v>90</v>
      </c>
      <c r="J881">
        <v>663.99930010000003</v>
      </c>
      <c r="K881">
        <v>3.87863202</v>
      </c>
      <c r="L881">
        <v>5.0403745300000002</v>
      </c>
      <c r="M881">
        <v>5.47316687</v>
      </c>
      <c r="N881">
        <v>5.19621084</v>
      </c>
      <c r="O881">
        <v>7.4688527534814542</v>
      </c>
      <c r="P881">
        <v>1114.2037717600001</v>
      </c>
      <c r="Q881">
        <v>0</v>
      </c>
      <c r="R881" t="s">
        <v>1138</v>
      </c>
      <c r="S881">
        <v>663.99930010000003</v>
      </c>
      <c r="T881" t="s">
        <v>2819</v>
      </c>
      <c r="U881" t="s">
        <v>1059</v>
      </c>
    </row>
    <row r="882" spans="1:21" x14ac:dyDescent="0.25">
      <c r="A882" t="s">
        <v>2579</v>
      </c>
      <c r="B882" t="s">
        <v>2580</v>
      </c>
      <c r="C882" t="s">
        <v>2581</v>
      </c>
      <c r="D882" t="s">
        <v>586</v>
      </c>
      <c r="E882" t="s">
        <v>1056</v>
      </c>
      <c r="F882" t="s">
        <v>1163</v>
      </c>
      <c r="G882" t="s">
        <v>1791</v>
      </c>
      <c r="H882" t="s">
        <v>90</v>
      </c>
      <c r="I882" t="s">
        <v>90</v>
      </c>
      <c r="J882">
        <v>9.2165919899999995</v>
      </c>
      <c r="K882">
        <v>7.0680427799999999</v>
      </c>
      <c r="L882">
        <v>5.3905985699999999</v>
      </c>
      <c r="M882">
        <v>4.7654281999999997</v>
      </c>
      <c r="N882">
        <v>6.7099498899999999</v>
      </c>
      <c r="O882">
        <v>0</v>
      </c>
      <c r="P882">
        <v>24.37069353</v>
      </c>
      <c r="Q882">
        <v>59.794351151903342</v>
      </c>
      <c r="R882" t="s">
        <v>30</v>
      </c>
      <c r="S882">
        <v>9.2165919899999995</v>
      </c>
      <c r="T882" t="s">
        <v>2819</v>
      </c>
      <c r="U882" t="s">
        <v>1059</v>
      </c>
    </row>
    <row r="883" spans="1:21" x14ac:dyDescent="0.25">
      <c r="A883" t="s">
        <v>2579</v>
      </c>
      <c r="B883" t="s">
        <v>2580</v>
      </c>
      <c r="C883" t="s">
        <v>2582</v>
      </c>
      <c r="D883" t="s">
        <v>586</v>
      </c>
      <c r="E883" t="s">
        <v>1056</v>
      </c>
      <c r="F883" t="s">
        <v>1163</v>
      </c>
      <c r="G883" t="s">
        <v>1791</v>
      </c>
      <c r="H883" t="s">
        <v>90</v>
      </c>
      <c r="I883" t="s">
        <v>90</v>
      </c>
      <c r="J883">
        <v>9.2165919899999995</v>
      </c>
      <c r="K883">
        <v>7.0680427799999999</v>
      </c>
      <c r="L883">
        <v>5.3905985699999999</v>
      </c>
      <c r="M883">
        <v>4.7654281999999997</v>
      </c>
      <c r="N883">
        <v>6.7099498899999999</v>
      </c>
      <c r="O883">
        <v>0</v>
      </c>
      <c r="P883">
        <v>24.37069353</v>
      </c>
      <c r="Q883">
        <v>59.794351151903342</v>
      </c>
      <c r="R883" t="s">
        <v>30</v>
      </c>
      <c r="S883">
        <v>9.2165919899999995</v>
      </c>
      <c r="T883" t="s">
        <v>2819</v>
      </c>
      <c r="U883" t="s">
        <v>1059</v>
      </c>
    </row>
    <row r="884" spans="1:21" x14ac:dyDescent="0.25">
      <c r="A884" t="s">
        <v>2584</v>
      </c>
      <c r="B884" t="s">
        <v>2585</v>
      </c>
      <c r="C884" t="s">
        <v>2586</v>
      </c>
      <c r="D884" t="s">
        <v>586</v>
      </c>
      <c r="E884" t="s">
        <v>1056</v>
      </c>
      <c r="F884" t="s">
        <v>1071</v>
      </c>
      <c r="G884" t="s">
        <v>2587</v>
      </c>
      <c r="H884" t="s">
        <v>90</v>
      </c>
      <c r="I884" t="s">
        <v>90</v>
      </c>
      <c r="J884">
        <v>2.13968574</v>
      </c>
      <c r="K884">
        <v>6.2494078399999999</v>
      </c>
      <c r="L884">
        <v>5.1089525599999996</v>
      </c>
      <c r="M884">
        <v>3.9787696600000002</v>
      </c>
      <c r="N884">
        <v>6.3956851800000001</v>
      </c>
      <c r="O884">
        <v>17.08528291471708</v>
      </c>
      <c r="P884">
        <v>29.746340289999999</v>
      </c>
      <c r="Q884">
        <v>29.107470892529111</v>
      </c>
      <c r="R884" t="s">
        <v>30</v>
      </c>
      <c r="S884">
        <v>2.13968574</v>
      </c>
      <c r="T884" t="s">
        <v>2819</v>
      </c>
      <c r="U884" t="s">
        <v>1059</v>
      </c>
    </row>
    <row r="885" spans="1:21" x14ac:dyDescent="0.25">
      <c r="A885" t="s">
        <v>2588</v>
      </c>
      <c r="B885" t="s">
        <v>2589</v>
      </c>
      <c r="C885" t="s">
        <v>2590</v>
      </c>
      <c r="D885" t="s">
        <v>586</v>
      </c>
      <c r="E885" t="s">
        <v>1056</v>
      </c>
      <c r="F885" t="s">
        <v>1163</v>
      </c>
      <c r="G885" t="s">
        <v>1164</v>
      </c>
      <c r="H885" t="s">
        <v>90</v>
      </c>
      <c r="I885" t="s">
        <v>90</v>
      </c>
      <c r="J885">
        <v>6.4065028899999996</v>
      </c>
      <c r="K885">
        <v>8.1324879400000007</v>
      </c>
      <c r="L885">
        <v>5.7474633199999996</v>
      </c>
      <c r="M885">
        <v>5.5705604299999996</v>
      </c>
      <c r="N885">
        <v>6.8527106499999997</v>
      </c>
      <c r="O885">
        <v>21.786899999999999</v>
      </c>
      <c r="P885">
        <v>19.091995900000001</v>
      </c>
      <c r="Q885">
        <v>59.338000000000001</v>
      </c>
      <c r="R885" t="s">
        <v>1073</v>
      </c>
      <c r="S885">
        <v>6.4065028899999996</v>
      </c>
      <c r="T885" t="s">
        <v>2819</v>
      </c>
      <c r="U885" t="s">
        <v>1059</v>
      </c>
    </row>
    <row r="886" spans="1:21" x14ac:dyDescent="0.25">
      <c r="A886" t="s">
        <v>2592</v>
      </c>
      <c r="B886" t="s">
        <v>2593</v>
      </c>
      <c r="C886" t="s">
        <v>2594</v>
      </c>
      <c r="D886" t="s">
        <v>586</v>
      </c>
      <c r="E886" t="s">
        <v>1056</v>
      </c>
      <c r="F886" t="s">
        <v>1071</v>
      </c>
      <c r="G886" t="s">
        <v>1216</v>
      </c>
      <c r="H886" t="s">
        <v>90</v>
      </c>
      <c r="I886" t="s">
        <v>90</v>
      </c>
      <c r="J886">
        <v>3.3850566299999998</v>
      </c>
      <c r="K886">
        <v>6.8839961499999998</v>
      </c>
      <c r="L886">
        <v>6.0629871299999998</v>
      </c>
      <c r="M886">
        <v>5.2913963600000002</v>
      </c>
      <c r="N886">
        <v>5.59319802</v>
      </c>
      <c r="O886">
        <v>36.261220462321937</v>
      </c>
      <c r="P886">
        <v>23.835455799999998</v>
      </c>
      <c r="Q886">
        <v>21.628637082687121</v>
      </c>
      <c r="R886" t="s">
        <v>30</v>
      </c>
      <c r="S886">
        <v>3.3850566299999998</v>
      </c>
      <c r="T886" t="s">
        <v>2819</v>
      </c>
      <c r="U886" t="s">
        <v>1059</v>
      </c>
    </row>
    <row r="887" spans="1:21" x14ac:dyDescent="0.25">
      <c r="A887" t="s">
        <v>2595</v>
      </c>
      <c r="B887" t="s">
        <v>2596</v>
      </c>
      <c r="C887" t="s">
        <v>2597</v>
      </c>
      <c r="D887" t="s">
        <v>586</v>
      </c>
      <c r="E887" t="s">
        <v>1056</v>
      </c>
      <c r="F887" t="s">
        <v>1163</v>
      </c>
      <c r="G887" t="s">
        <v>1164</v>
      </c>
      <c r="H887" t="s">
        <v>90</v>
      </c>
      <c r="I887" t="s">
        <v>90</v>
      </c>
      <c r="J887">
        <v>3.2968583699999998</v>
      </c>
      <c r="K887">
        <v>8.1080310299999994</v>
      </c>
      <c r="L887">
        <v>6.3019752699999998</v>
      </c>
      <c r="M887">
        <v>5.2786879400000002</v>
      </c>
      <c r="N887">
        <v>6.84252299</v>
      </c>
      <c r="O887">
        <v>4.1268255553969837</v>
      </c>
      <c r="P887">
        <v>10.57884737</v>
      </c>
      <c r="Q887">
        <v>68.546929261214984</v>
      </c>
      <c r="R887" t="s">
        <v>1073</v>
      </c>
      <c r="S887">
        <v>3.2968583699999998</v>
      </c>
      <c r="T887" t="s">
        <v>2819</v>
      </c>
      <c r="U887" t="s">
        <v>1059</v>
      </c>
    </row>
    <row r="888" spans="1:21" x14ac:dyDescent="0.25">
      <c r="A888" t="s">
        <v>2595</v>
      </c>
      <c r="B888" t="s">
        <v>2596</v>
      </c>
      <c r="C888" t="s">
        <v>5105</v>
      </c>
      <c r="D888" t="s">
        <v>586</v>
      </c>
      <c r="E888" t="s">
        <v>1056</v>
      </c>
      <c r="F888" t="s">
        <v>1163</v>
      </c>
      <c r="G888" t="s">
        <v>1164</v>
      </c>
      <c r="H888" t="s">
        <v>90</v>
      </c>
      <c r="I888" t="s">
        <v>90</v>
      </c>
      <c r="J888">
        <v>3.2968583699999998</v>
      </c>
      <c r="K888">
        <v>8.1080310299999994</v>
      </c>
      <c r="L888">
        <v>6.3019752699999998</v>
      </c>
      <c r="M888">
        <v>5.2786879400000002</v>
      </c>
      <c r="N888">
        <v>6.84252299</v>
      </c>
      <c r="O888">
        <v>4.1268255553969837</v>
      </c>
      <c r="P888">
        <v>10.57884737</v>
      </c>
      <c r="Q888">
        <v>68.546929261214984</v>
      </c>
      <c r="R888" t="s">
        <v>1073</v>
      </c>
      <c r="S888">
        <v>3.2968583699999998</v>
      </c>
      <c r="T888" t="s">
        <v>2819</v>
      </c>
      <c r="U888" t="s">
        <v>1059</v>
      </c>
    </row>
    <row r="889" spans="1:21" x14ac:dyDescent="0.25">
      <c r="A889" t="s">
        <v>2595</v>
      </c>
      <c r="B889" t="s">
        <v>2596</v>
      </c>
      <c r="C889" t="s">
        <v>5000</v>
      </c>
      <c r="D889" t="s">
        <v>586</v>
      </c>
      <c r="E889" t="s">
        <v>1056</v>
      </c>
      <c r="F889" t="s">
        <v>1163</v>
      </c>
      <c r="G889" t="s">
        <v>1164</v>
      </c>
      <c r="H889" t="s">
        <v>90</v>
      </c>
      <c r="I889" t="s">
        <v>90</v>
      </c>
      <c r="J889">
        <v>3.2968583699999998</v>
      </c>
      <c r="K889">
        <v>8.1080310299999994</v>
      </c>
      <c r="L889">
        <v>6.3019752699999998</v>
      </c>
      <c r="M889">
        <v>5.2786879400000002</v>
      </c>
      <c r="N889">
        <v>6.84252299</v>
      </c>
      <c r="O889">
        <v>4.1268255553969837</v>
      </c>
      <c r="P889">
        <v>10.57884737</v>
      </c>
      <c r="Q889">
        <v>68.546929261214984</v>
      </c>
      <c r="R889" t="s">
        <v>1073</v>
      </c>
      <c r="S889">
        <v>3.2968583699999998</v>
      </c>
      <c r="T889" t="s">
        <v>2819</v>
      </c>
      <c r="U889" t="s">
        <v>1059</v>
      </c>
    </row>
    <row r="890" spans="1:21" x14ac:dyDescent="0.25">
      <c r="A890" t="s">
        <v>2598</v>
      </c>
      <c r="B890" t="s">
        <v>2599</v>
      </c>
      <c r="C890" t="s">
        <v>2600</v>
      </c>
      <c r="D890" t="s">
        <v>586</v>
      </c>
      <c r="E890" t="s">
        <v>1056</v>
      </c>
      <c r="F890" t="s">
        <v>1136</v>
      </c>
      <c r="G890" t="s">
        <v>1137</v>
      </c>
      <c r="H890" t="s">
        <v>90</v>
      </c>
      <c r="I890" t="s">
        <v>90</v>
      </c>
      <c r="J890">
        <v>16.411571989999999</v>
      </c>
      <c r="K890">
        <v>6.3579910599999998</v>
      </c>
      <c r="L890">
        <v>5.6116774500000002</v>
      </c>
      <c r="M890">
        <v>5.3646256499999998</v>
      </c>
      <c r="N890">
        <v>5.3234938600000001</v>
      </c>
      <c r="O890">
        <v>14.451504783185531</v>
      </c>
      <c r="P890">
        <v>61.942328689999997</v>
      </c>
      <c r="Q890">
        <v>13.803106327371401</v>
      </c>
      <c r="R890" t="s">
        <v>30</v>
      </c>
      <c r="S890">
        <v>16.411571989999999</v>
      </c>
      <c r="T890" t="s">
        <v>2819</v>
      </c>
      <c r="U890" t="s">
        <v>1059</v>
      </c>
    </row>
    <row r="891" spans="1:21" x14ac:dyDescent="0.25">
      <c r="A891" t="s">
        <v>2603</v>
      </c>
      <c r="B891" t="s">
        <v>2604</v>
      </c>
      <c r="C891" t="s">
        <v>2605</v>
      </c>
      <c r="D891" t="s">
        <v>586</v>
      </c>
      <c r="E891" t="s">
        <v>1056</v>
      </c>
      <c r="F891" t="s">
        <v>1290</v>
      </c>
      <c r="G891" t="s">
        <v>2268</v>
      </c>
      <c r="H891" t="s">
        <v>90</v>
      </c>
      <c r="I891" t="s">
        <v>90</v>
      </c>
      <c r="J891">
        <v>0.20258762</v>
      </c>
      <c r="K891">
        <v>2.7427547300000001</v>
      </c>
      <c r="L891">
        <v>2.96795959</v>
      </c>
      <c r="M891">
        <v>6.6848155199999999</v>
      </c>
      <c r="N891">
        <v>4.5410650500000003</v>
      </c>
      <c r="O891">
        <v>7.9376116829070007E-3</v>
      </c>
      <c r="P891">
        <v>5.2502481000000003</v>
      </c>
      <c r="Q891">
        <v>8.9260178931889998E-3</v>
      </c>
      <c r="R891" t="s">
        <v>21</v>
      </c>
      <c r="S891">
        <v>0.20258762</v>
      </c>
      <c r="T891" t="s">
        <v>2819</v>
      </c>
      <c r="U891" t="s">
        <v>1059</v>
      </c>
    </row>
    <row r="892" spans="1:21" x14ac:dyDescent="0.25">
      <c r="A892" t="s">
        <v>5458</v>
      </c>
      <c r="B892" t="s">
        <v>5459</v>
      </c>
      <c r="C892" t="s">
        <v>5460</v>
      </c>
      <c r="D892" t="s">
        <v>586</v>
      </c>
      <c r="E892" t="s">
        <v>1056</v>
      </c>
      <c r="F892" t="s">
        <v>1689</v>
      </c>
      <c r="G892" t="s">
        <v>1791</v>
      </c>
      <c r="H892" t="s">
        <v>90</v>
      </c>
      <c r="I892" t="s">
        <v>90</v>
      </c>
      <c r="J892">
        <v>2.38185497</v>
      </c>
      <c r="K892">
        <v>6.7426886699999997</v>
      </c>
      <c r="L892">
        <v>5.60308926</v>
      </c>
      <c r="M892">
        <v>4.8984865400000004</v>
      </c>
      <c r="N892">
        <v>6.4608642700000001</v>
      </c>
      <c r="O892">
        <v>4.0834623117181508</v>
      </c>
      <c r="P892">
        <v>9.8608271300000006</v>
      </c>
      <c r="Q892">
        <v>44.463336896859843</v>
      </c>
      <c r="R892" t="s">
        <v>30</v>
      </c>
      <c r="S892">
        <v>2.38185497</v>
      </c>
      <c r="T892" t="s">
        <v>2819</v>
      </c>
      <c r="U892" t="s">
        <v>1059</v>
      </c>
    </row>
    <row r="893" spans="1:21" x14ac:dyDescent="0.25">
      <c r="A893" t="s">
        <v>2607</v>
      </c>
      <c r="B893" t="s">
        <v>597</v>
      </c>
      <c r="C893" t="s">
        <v>596</v>
      </c>
      <c r="D893" t="s">
        <v>586</v>
      </c>
      <c r="E893" t="s">
        <v>1056</v>
      </c>
      <c r="F893" t="s">
        <v>1136</v>
      </c>
      <c r="G893" t="s">
        <v>1437</v>
      </c>
      <c r="H893" t="s">
        <v>90</v>
      </c>
      <c r="I893" t="s">
        <v>90</v>
      </c>
      <c r="J893">
        <v>303.97425129999999</v>
      </c>
      <c r="K893">
        <v>3.87529514</v>
      </c>
      <c r="L893">
        <v>5.1995772000000002</v>
      </c>
      <c r="M893">
        <v>5.4640211699999996</v>
      </c>
      <c r="N893">
        <v>5.1472915600000002</v>
      </c>
      <c r="O893">
        <v>3.901527969518471</v>
      </c>
      <c r="P893">
        <v>323.74700055</v>
      </c>
      <c r="Q893">
        <v>0</v>
      </c>
      <c r="R893" t="s">
        <v>1138</v>
      </c>
      <c r="S893">
        <v>303.97425129999999</v>
      </c>
      <c r="T893" t="s">
        <v>2819</v>
      </c>
      <c r="U893" t="s">
        <v>1059</v>
      </c>
    </row>
    <row r="894" spans="1:21" x14ac:dyDescent="0.25">
      <c r="A894" t="s">
        <v>5461</v>
      </c>
      <c r="B894" t="s">
        <v>2608</v>
      </c>
      <c r="C894" t="s">
        <v>2609</v>
      </c>
      <c r="D894" t="s">
        <v>586</v>
      </c>
      <c r="E894" t="s">
        <v>1056</v>
      </c>
      <c r="F894" t="s">
        <v>1071</v>
      </c>
      <c r="G894" t="s">
        <v>1155</v>
      </c>
      <c r="H894" t="s">
        <v>90</v>
      </c>
      <c r="I894" t="s">
        <v>90</v>
      </c>
      <c r="J894">
        <v>2.02122096</v>
      </c>
      <c r="K894">
        <v>5.3798006000000003</v>
      </c>
      <c r="L894">
        <v>6.0003885700000001</v>
      </c>
      <c r="M894">
        <v>4.3802493800000004</v>
      </c>
      <c r="N894">
        <v>6.1092496699999996</v>
      </c>
      <c r="O894">
        <v>1.2130777189988231</v>
      </c>
      <c r="P894">
        <v>20.462030439999999</v>
      </c>
      <c r="Q894">
        <v>17.129447992813439</v>
      </c>
      <c r="R894" t="s">
        <v>1063</v>
      </c>
      <c r="S894">
        <v>2.02122096</v>
      </c>
      <c r="T894" t="s">
        <v>2819</v>
      </c>
      <c r="U894" t="s">
        <v>1059</v>
      </c>
    </row>
    <row r="895" spans="1:21" x14ac:dyDescent="0.25">
      <c r="A895" t="s">
        <v>2610</v>
      </c>
      <c r="B895" t="s">
        <v>2611</v>
      </c>
      <c r="C895" t="s">
        <v>2612</v>
      </c>
      <c r="D895" t="s">
        <v>586</v>
      </c>
      <c r="E895" t="s">
        <v>1056</v>
      </c>
      <c r="F895" t="s">
        <v>1290</v>
      </c>
      <c r="G895" t="s">
        <v>1291</v>
      </c>
      <c r="H895" t="s">
        <v>90</v>
      </c>
      <c r="I895" t="s">
        <v>90</v>
      </c>
      <c r="J895">
        <v>224.75477255000001</v>
      </c>
      <c r="K895">
        <v>5.3640067699999996</v>
      </c>
      <c r="L895">
        <v>5.14298564</v>
      </c>
      <c r="M895">
        <v>4.7388273999999999</v>
      </c>
      <c r="N895">
        <v>5.0155218000000001</v>
      </c>
      <c r="O895">
        <v>14.860132673439599</v>
      </c>
      <c r="P895">
        <v>274.72470928000001</v>
      </c>
      <c r="Q895">
        <v>13.43942364776435</v>
      </c>
      <c r="R895" t="s">
        <v>1063</v>
      </c>
      <c r="S895">
        <v>224.75477255000001</v>
      </c>
      <c r="T895" t="s">
        <v>2819</v>
      </c>
      <c r="U895" t="s">
        <v>1059</v>
      </c>
    </row>
    <row r="896" spans="1:21" x14ac:dyDescent="0.25">
      <c r="A896" t="s">
        <v>2614</v>
      </c>
      <c r="B896" t="s">
        <v>2615</v>
      </c>
      <c r="C896" t="s">
        <v>2616</v>
      </c>
      <c r="D896" t="s">
        <v>586</v>
      </c>
      <c r="E896" t="s">
        <v>1056</v>
      </c>
      <c r="F896" t="s">
        <v>1136</v>
      </c>
      <c r="G896" t="s">
        <v>1437</v>
      </c>
      <c r="H896" t="s">
        <v>90</v>
      </c>
      <c r="I896" t="s">
        <v>90</v>
      </c>
      <c r="J896">
        <v>421.32915112000001</v>
      </c>
      <c r="K896">
        <v>4.1132795199999999</v>
      </c>
      <c r="L896">
        <v>4.73763997</v>
      </c>
      <c r="M896">
        <v>4.9048284300000002</v>
      </c>
      <c r="N896">
        <v>3.7409288599999999</v>
      </c>
      <c r="O896">
        <v>3.2321104032274168</v>
      </c>
      <c r="P896">
        <v>578.38781101999996</v>
      </c>
      <c r="Q896">
        <v>6.7682890295779989</v>
      </c>
      <c r="R896" t="s">
        <v>1138</v>
      </c>
      <c r="S896">
        <v>421.32915112000001</v>
      </c>
      <c r="T896" t="s">
        <v>2819</v>
      </c>
      <c r="U896" t="s">
        <v>1059</v>
      </c>
    </row>
    <row r="897" spans="1:21" x14ac:dyDescent="0.25">
      <c r="A897" t="s">
        <v>2820</v>
      </c>
      <c r="B897" t="s">
        <v>386</v>
      </c>
      <c r="C897" t="s">
        <v>385</v>
      </c>
      <c r="D897" t="s">
        <v>379</v>
      </c>
      <c r="E897" t="s">
        <v>4809</v>
      </c>
      <c r="F897" t="s">
        <v>1198</v>
      </c>
      <c r="G897" t="s">
        <v>1098</v>
      </c>
      <c r="H897">
        <v>5478.56</v>
      </c>
      <c r="I897">
        <v>159851.59</v>
      </c>
      <c r="J897">
        <v>29.18</v>
      </c>
      <c r="K897">
        <v>6.9</v>
      </c>
      <c r="L897">
        <v>5.4</v>
      </c>
      <c r="M897">
        <v>5.6</v>
      </c>
      <c r="N897">
        <v>5.2</v>
      </c>
      <c r="O897">
        <v>0</v>
      </c>
      <c r="Q897">
        <v>34</v>
      </c>
      <c r="R897" t="s">
        <v>30</v>
      </c>
      <c r="S897">
        <v>29.18</v>
      </c>
      <c r="T897" t="s">
        <v>2819</v>
      </c>
      <c r="U897" t="s">
        <v>1062</v>
      </c>
    </row>
    <row r="898" spans="1:21" x14ac:dyDescent="0.25">
      <c r="A898" t="s">
        <v>2617</v>
      </c>
      <c r="B898" t="s">
        <v>2618</v>
      </c>
      <c r="C898" t="s">
        <v>2619</v>
      </c>
      <c r="D898" t="s">
        <v>1060</v>
      </c>
      <c r="F898" t="s">
        <v>1431</v>
      </c>
      <c r="G898" t="s">
        <v>1432</v>
      </c>
      <c r="H898" t="s">
        <v>90</v>
      </c>
      <c r="I898" t="s">
        <v>90</v>
      </c>
      <c r="J898">
        <v>141.49162301000001</v>
      </c>
      <c r="K898">
        <v>6.1189282699999996</v>
      </c>
      <c r="L898">
        <v>5.5224255500000003</v>
      </c>
      <c r="M898">
        <v>5.4737558999999996</v>
      </c>
      <c r="N898">
        <v>4.8193359500000001</v>
      </c>
      <c r="O898">
        <v>4.18749162501675</v>
      </c>
      <c r="P898">
        <v>192.70607068999999</v>
      </c>
      <c r="Q898">
        <v>0</v>
      </c>
      <c r="R898" t="s">
        <v>30</v>
      </c>
      <c r="S898">
        <v>141.49162301000001</v>
      </c>
      <c r="T898" t="s">
        <v>2819</v>
      </c>
      <c r="U898" t="s">
        <v>1059</v>
      </c>
    </row>
    <row r="899" spans="1:21" x14ac:dyDescent="0.25">
      <c r="A899" t="s">
        <v>5462</v>
      </c>
      <c r="B899" t="s">
        <v>5463</v>
      </c>
      <c r="C899" t="s">
        <v>5464</v>
      </c>
      <c r="D899" t="s">
        <v>586</v>
      </c>
      <c r="E899" t="s">
        <v>1056</v>
      </c>
      <c r="F899" t="s">
        <v>1375</v>
      </c>
      <c r="G899" t="s">
        <v>1376</v>
      </c>
      <c r="H899" t="s">
        <v>90</v>
      </c>
      <c r="I899" t="s">
        <v>90</v>
      </c>
      <c r="J899">
        <v>51.855430990000002</v>
      </c>
      <c r="K899">
        <v>7.2688888299999999</v>
      </c>
      <c r="L899">
        <v>5.9673016600000004</v>
      </c>
      <c r="M899">
        <v>5.2145141099999996</v>
      </c>
      <c r="N899">
        <v>5.9938054300000001</v>
      </c>
      <c r="O899">
        <v>29.957016540849249</v>
      </c>
      <c r="P899">
        <v>63.904684670000002</v>
      </c>
      <c r="Q899">
        <v>28.275892345791348</v>
      </c>
      <c r="R899" t="s">
        <v>1073</v>
      </c>
      <c r="S899">
        <v>51.855430990000002</v>
      </c>
      <c r="T899" t="s">
        <v>2819</v>
      </c>
      <c r="U899" t="s">
        <v>1059</v>
      </c>
    </row>
    <row r="900" spans="1:21" x14ac:dyDescent="0.25">
      <c r="A900" t="s">
        <v>5364</v>
      </c>
      <c r="B900" t="s">
        <v>2620</v>
      </c>
      <c r="C900" t="s">
        <v>2621</v>
      </c>
      <c r="D900" t="s">
        <v>586</v>
      </c>
      <c r="E900" t="s">
        <v>1056</v>
      </c>
      <c r="F900" t="s">
        <v>1689</v>
      </c>
      <c r="G900" t="s">
        <v>1690</v>
      </c>
      <c r="H900" t="s">
        <v>90</v>
      </c>
      <c r="I900" t="s">
        <v>90</v>
      </c>
      <c r="J900">
        <v>44.870719299999998</v>
      </c>
      <c r="K900">
        <v>7.9736084800000002</v>
      </c>
      <c r="L900">
        <v>6.9761566699999999</v>
      </c>
      <c r="M900">
        <v>5.1176112900000001</v>
      </c>
      <c r="N900">
        <v>6.3575121599999997</v>
      </c>
      <c r="O900">
        <v>31.97409592228777</v>
      </c>
      <c r="P900">
        <v>43.168321659999997</v>
      </c>
      <c r="Q900">
        <v>51.932255796767393</v>
      </c>
      <c r="R900" t="s">
        <v>1073</v>
      </c>
      <c r="S900">
        <v>44.870719299999998</v>
      </c>
      <c r="T900" t="s">
        <v>2819</v>
      </c>
      <c r="U900" t="s">
        <v>1059</v>
      </c>
    </row>
    <row r="901" spans="1:21" x14ac:dyDescent="0.25">
      <c r="A901" t="s">
        <v>5845</v>
      </c>
      <c r="B901" t="s">
        <v>5846</v>
      </c>
      <c r="C901" t="s">
        <v>5847</v>
      </c>
      <c r="D901" t="s">
        <v>586</v>
      </c>
      <c r="E901" t="s">
        <v>1056</v>
      </c>
      <c r="F901" t="s">
        <v>1501</v>
      </c>
      <c r="G901" t="s">
        <v>1502</v>
      </c>
      <c r="H901" t="s">
        <v>90</v>
      </c>
      <c r="I901" t="s">
        <v>90</v>
      </c>
      <c r="J901">
        <v>222.72843627</v>
      </c>
      <c r="K901">
        <v>5.3154947100000003</v>
      </c>
      <c r="L901">
        <v>5.0412794200000004</v>
      </c>
      <c r="M901">
        <v>4.3795147099999996</v>
      </c>
      <c r="N901">
        <v>4.8661576499999999</v>
      </c>
      <c r="O901">
        <v>18.37865513596541</v>
      </c>
      <c r="P901">
        <v>724.57372701999998</v>
      </c>
      <c r="Q901">
        <v>18.27915483746451</v>
      </c>
      <c r="R901" t="s">
        <v>1063</v>
      </c>
      <c r="S901">
        <v>222.72843627</v>
      </c>
      <c r="T901" t="s">
        <v>2819</v>
      </c>
      <c r="U901" t="s">
        <v>1059</v>
      </c>
    </row>
    <row r="902" spans="1:21" x14ac:dyDescent="0.25">
      <c r="A902" t="s">
        <v>2781</v>
      </c>
      <c r="B902" t="s">
        <v>392</v>
      </c>
      <c r="C902" t="s">
        <v>391</v>
      </c>
      <c r="D902" t="s">
        <v>379</v>
      </c>
      <c r="E902" t="s">
        <v>4809</v>
      </c>
      <c r="F902" t="s">
        <v>1198</v>
      </c>
      <c r="G902" t="s">
        <v>1098</v>
      </c>
      <c r="H902">
        <v>5478.56</v>
      </c>
      <c r="I902">
        <v>159851.59</v>
      </c>
      <c r="J902">
        <v>29.18</v>
      </c>
      <c r="K902">
        <v>6.9</v>
      </c>
      <c r="L902">
        <v>5.4</v>
      </c>
      <c r="M902">
        <v>5.6</v>
      </c>
      <c r="N902">
        <v>5.2</v>
      </c>
      <c r="O902">
        <v>0</v>
      </c>
      <c r="Q902">
        <v>34</v>
      </c>
      <c r="R902" t="s">
        <v>30</v>
      </c>
      <c r="S902">
        <v>29.18</v>
      </c>
      <c r="T902" t="s">
        <v>2819</v>
      </c>
      <c r="U902" t="s">
        <v>1062</v>
      </c>
    </row>
    <row r="903" spans="1:21" x14ac:dyDescent="0.25">
      <c r="A903" t="s">
        <v>5648</v>
      </c>
      <c r="B903" t="s">
        <v>5649</v>
      </c>
      <c r="C903" t="s">
        <v>5650</v>
      </c>
      <c r="D903" t="s">
        <v>586</v>
      </c>
      <c r="E903" t="s">
        <v>1056</v>
      </c>
      <c r="F903" t="s">
        <v>1241</v>
      </c>
      <c r="G903" t="s">
        <v>1958</v>
      </c>
      <c r="H903" t="s">
        <v>90</v>
      </c>
      <c r="I903" t="s">
        <v>90</v>
      </c>
      <c r="J903">
        <v>308.44684389999998</v>
      </c>
      <c r="K903">
        <v>4.3385421199999996</v>
      </c>
      <c r="L903">
        <v>5.4879502100000002</v>
      </c>
      <c r="M903">
        <v>5.5020631</v>
      </c>
      <c r="N903">
        <v>4.9543966199999998</v>
      </c>
      <c r="O903">
        <v>7.141236975447077</v>
      </c>
      <c r="P903">
        <v>479.63661889000002</v>
      </c>
      <c r="Q903">
        <v>0.44453597524113098</v>
      </c>
      <c r="R903" t="s">
        <v>1063</v>
      </c>
      <c r="S903">
        <v>308.44684389999998</v>
      </c>
      <c r="T903" t="s">
        <v>2819</v>
      </c>
      <c r="U903" t="s">
        <v>1059</v>
      </c>
    </row>
    <row r="904" spans="1:21" x14ac:dyDescent="0.25">
      <c r="A904" t="s">
        <v>5651</v>
      </c>
      <c r="B904" t="s">
        <v>5652</v>
      </c>
      <c r="C904" t="s">
        <v>5653</v>
      </c>
      <c r="D904" t="s">
        <v>586</v>
      </c>
      <c r="E904" t="s">
        <v>1056</v>
      </c>
      <c r="F904" t="s">
        <v>1501</v>
      </c>
      <c r="G904" t="s">
        <v>1502</v>
      </c>
      <c r="H904" t="s">
        <v>90</v>
      </c>
      <c r="I904" t="s">
        <v>90</v>
      </c>
      <c r="J904">
        <v>182.57848763000001</v>
      </c>
      <c r="K904">
        <v>5.3004519700000001</v>
      </c>
      <c r="L904">
        <v>5.4227847699999998</v>
      </c>
      <c r="M904">
        <v>4.3710992299999996</v>
      </c>
      <c r="N904">
        <v>4.7348814199999998</v>
      </c>
      <c r="O904">
        <v>25.884874115125879</v>
      </c>
      <c r="P904">
        <v>409.87874496000001</v>
      </c>
      <c r="Q904">
        <v>22.72977727022273</v>
      </c>
      <c r="R904" t="s">
        <v>1063</v>
      </c>
      <c r="S904">
        <v>182.57848763000001</v>
      </c>
      <c r="T904" t="s">
        <v>2819</v>
      </c>
      <c r="U904" t="s">
        <v>1059</v>
      </c>
    </row>
    <row r="905" spans="1:21" x14ac:dyDescent="0.25">
      <c r="A905" t="s">
        <v>5254</v>
      </c>
      <c r="B905" t="s">
        <v>2054</v>
      </c>
      <c r="C905" t="s">
        <v>2055</v>
      </c>
      <c r="D905" t="s">
        <v>586</v>
      </c>
      <c r="E905" t="s">
        <v>1056</v>
      </c>
      <c r="F905" t="s">
        <v>1107</v>
      </c>
      <c r="G905" t="s">
        <v>1108</v>
      </c>
      <c r="H905" t="s">
        <v>90</v>
      </c>
      <c r="I905" t="s">
        <v>90</v>
      </c>
      <c r="J905">
        <v>76.380721480000005</v>
      </c>
      <c r="K905">
        <v>7.9683069499999997</v>
      </c>
      <c r="L905">
        <v>7.9133121900000001</v>
      </c>
      <c r="M905">
        <v>5.4887384800000003</v>
      </c>
      <c r="N905">
        <v>5.9237224900000003</v>
      </c>
      <c r="O905">
        <v>62.151600000000009</v>
      </c>
      <c r="P905">
        <v>93.574694309999998</v>
      </c>
      <c r="Q905">
        <v>61.477800000000002</v>
      </c>
      <c r="R905" t="s">
        <v>1073</v>
      </c>
      <c r="S905">
        <v>76.380721480000005</v>
      </c>
      <c r="T905" t="s">
        <v>2819</v>
      </c>
      <c r="U905" t="s">
        <v>1059</v>
      </c>
    </row>
    <row r="906" spans="1:21" x14ac:dyDescent="0.25">
      <c r="A906" t="s">
        <v>2782</v>
      </c>
      <c r="B906" t="s">
        <v>259</v>
      </c>
      <c r="C906" t="s">
        <v>3353</v>
      </c>
      <c r="D906" t="s">
        <v>249</v>
      </c>
      <c r="E906" t="s">
        <v>4806</v>
      </c>
      <c r="F906" t="s">
        <v>1198</v>
      </c>
      <c r="G906" t="s">
        <v>1324</v>
      </c>
      <c r="H906">
        <v>6125.58</v>
      </c>
      <c r="I906">
        <v>12426745</v>
      </c>
      <c r="J906">
        <v>2028.66</v>
      </c>
      <c r="K906">
        <v>4</v>
      </c>
      <c r="L906">
        <v>3.8</v>
      </c>
      <c r="M906">
        <v>3.5</v>
      </c>
      <c r="N906">
        <v>6.7</v>
      </c>
      <c r="O906">
        <v>0</v>
      </c>
      <c r="Q906">
        <v>80</v>
      </c>
      <c r="R906" t="s">
        <v>1138</v>
      </c>
      <c r="S906">
        <v>2028.66</v>
      </c>
      <c r="T906" t="s">
        <v>2819</v>
      </c>
      <c r="U906" t="s">
        <v>1062</v>
      </c>
    </row>
    <row r="907" spans="1:21" x14ac:dyDescent="0.25">
      <c r="A907" t="s">
        <v>5465</v>
      </c>
      <c r="B907" t="s">
        <v>213</v>
      </c>
      <c r="C907" t="s">
        <v>212</v>
      </c>
      <c r="D907" t="s">
        <v>202</v>
      </c>
      <c r="E907" t="s">
        <v>4800</v>
      </c>
      <c r="F907" t="s">
        <v>1061</v>
      </c>
      <c r="G907" t="s">
        <v>1119</v>
      </c>
      <c r="H907">
        <v>199831.21</v>
      </c>
      <c r="I907">
        <v>241412</v>
      </c>
      <c r="J907">
        <v>1.21</v>
      </c>
      <c r="K907">
        <v>8</v>
      </c>
      <c r="L907">
        <v>7.6</v>
      </c>
      <c r="M907">
        <v>5.4</v>
      </c>
      <c r="N907">
        <v>5.2</v>
      </c>
      <c r="O907">
        <v>6</v>
      </c>
      <c r="Q907">
        <v>83</v>
      </c>
      <c r="R907" t="s">
        <v>1073</v>
      </c>
      <c r="S907">
        <v>1.21</v>
      </c>
      <c r="T907" t="s">
        <v>2819</v>
      </c>
      <c r="U907" t="s">
        <v>1062</v>
      </c>
    </row>
    <row r="908" spans="1:21" x14ac:dyDescent="0.25">
      <c r="A908" t="s">
        <v>5465</v>
      </c>
      <c r="B908" t="s">
        <v>906</v>
      </c>
      <c r="C908" t="s">
        <v>905</v>
      </c>
      <c r="D908" t="s">
        <v>202</v>
      </c>
      <c r="E908" t="s">
        <v>4800</v>
      </c>
      <c r="F908" t="s">
        <v>1061</v>
      </c>
      <c r="G908" t="s">
        <v>1119</v>
      </c>
      <c r="H908">
        <v>199831.21</v>
      </c>
      <c r="I908">
        <v>241412</v>
      </c>
      <c r="J908">
        <v>1.21</v>
      </c>
      <c r="K908">
        <v>8</v>
      </c>
      <c r="L908">
        <v>7.6</v>
      </c>
      <c r="M908">
        <v>5.4</v>
      </c>
      <c r="N908">
        <v>5.2</v>
      </c>
      <c r="O908">
        <v>6</v>
      </c>
      <c r="Q908">
        <v>83</v>
      </c>
      <c r="R908" t="s">
        <v>1073</v>
      </c>
      <c r="S908">
        <v>1.21</v>
      </c>
      <c r="T908" t="s">
        <v>2819</v>
      </c>
      <c r="U908" t="s">
        <v>1062</v>
      </c>
    </row>
    <row r="909" spans="1:21" x14ac:dyDescent="0.25">
      <c r="A909" t="s">
        <v>2783</v>
      </c>
      <c r="B909" t="s">
        <v>521</v>
      </c>
      <c r="C909" t="s">
        <v>520</v>
      </c>
      <c r="D909" t="s">
        <v>518</v>
      </c>
      <c r="E909" t="s">
        <v>4814</v>
      </c>
      <c r="F909" t="s">
        <v>1949</v>
      </c>
      <c r="G909" t="s">
        <v>1147</v>
      </c>
      <c r="H909">
        <v>2907.82</v>
      </c>
      <c r="I909">
        <v>664545</v>
      </c>
      <c r="J909">
        <v>228.54</v>
      </c>
      <c r="K909">
        <v>6.3</v>
      </c>
      <c r="L909">
        <v>2.9</v>
      </c>
      <c r="M909">
        <v>4.5999999999999996</v>
      </c>
      <c r="N909">
        <v>7.2</v>
      </c>
      <c r="O909">
        <v>0</v>
      </c>
      <c r="Q909">
        <v>88</v>
      </c>
      <c r="R909" t="s">
        <v>30</v>
      </c>
      <c r="S909">
        <v>228.54</v>
      </c>
      <c r="T909" t="s">
        <v>2819</v>
      </c>
      <c r="U909" t="s">
        <v>1062</v>
      </c>
    </row>
    <row r="910" spans="1:21" x14ac:dyDescent="0.25">
      <c r="A910" t="s">
        <v>2783</v>
      </c>
      <c r="B910" t="s">
        <v>200</v>
      </c>
      <c r="C910" t="s">
        <v>3405</v>
      </c>
      <c r="D910" t="s">
        <v>191</v>
      </c>
      <c r="E910" t="s">
        <v>4804</v>
      </c>
      <c r="F910" t="s">
        <v>1949</v>
      </c>
      <c r="G910" t="s">
        <v>1147</v>
      </c>
      <c r="H910">
        <v>2907.82</v>
      </c>
      <c r="I910">
        <v>664545</v>
      </c>
      <c r="J910">
        <v>228.54</v>
      </c>
      <c r="K910">
        <v>6.3</v>
      </c>
      <c r="L910">
        <v>2.9</v>
      </c>
      <c r="M910">
        <v>4.5999999999999996</v>
      </c>
      <c r="N910">
        <v>7.2</v>
      </c>
      <c r="O910">
        <v>0</v>
      </c>
      <c r="Q910">
        <v>88</v>
      </c>
      <c r="R910" t="s">
        <v>30</v>
      </c>
      <c r="S910">
        <v>228.54</v>
      </c>
      <c r="T910" t="s">
        <v>2819</v>
      </c>
      <c r="U910" t="s">
        <v>1062</v>
      </c>
    </row>
    <row r="911" spans="1:21" x14ac:dyDescent="0.25">
      <c r="A911" t="s">
        <v>2783</v>
      </c>
      <c r="B911" t="s">
        <v>5275</v>
      </c>
      <c r="C911" t="s">
        <v>5276</v>
      </c>
      <c r="D911" t="s">
        <v>191</v>
      </c>
      <c r="E911" t="s">
        <v>4804</v>
      </c>
      <c r="F911" t="s">
        <v>1949</v>
      </c>
      <c r="G911" t="s">
        <v>1147</v>
      </c>
      <c r="H911">
        <v>2907.82</v>
      </c>
      <c r="I911">
        <v>664545</v>
      </c>
      <c r="J911">
        <v>228.54</v>
      </c>
      <c r="K911">
        <v>6.3</v>
      </c>
      <c r="L911">
        <v>2.9</v>
      </c>
      <c r="M911">
        <v>4.5999999999999996</v>
      </c>
      <c r="N911">
        <v>7.2</v>
      </c>
      <c r="O911">
        <v>0</v>
      </c>
      <c r="Q911">
        <v>88</v>
      </c>
      <c r="R911" t="s">
        <v>30</v>
      </c>
      <c r="S911">
        <v>228.54</v>
      </c>
      <c r="T911" t="s">
        <v>2819</v>
      </c>
      <c r="U911" t="s">
        <v>1062</v>
      </c>
    </row>
    <row r="912" spans="1:21" x14ac:dyDescent="0.25">
      <c r="A912" t="s">
        <v>2783</v>
      </c>
      <c r="B912" t="s">
        <v>2784</v>
      </c>
      <c r="C912" t="s">
        <v>3404</v>
      </c>
      <c r="D912" t="s">
        <v>191</v>
      </c>
      <c r="E912" t="s">
        <v>4804</v>
      </c>
      <c r="F912" t="s">
        <v>1949</v>
      </c>
      <c r="G912" t="s">
        <v>1147</v>
      </c>
      <c r="H912">
        <v>2907.82</v>
      </c>
      <c r="I912">
        <v>664545</v>
      </c>
      <c r="J912">
        <v>228.54</v>
      </c>
      <c r="K912">
        <v>6.3</v>
      </c>
      <c r="L912">
        <v>2.9</v>
      </c>
      <c r="M912">
        <v>4.5999999999999996</v>
      </c>
      <c r="N912">
        <v>7.2</v>
      </c>
      <c r="O912">
        <v>0</v>
      </c>
      <c r="Q912">
        <v>88</v>
      </c>
      <c r="R912" t="s">
        <v>30</v>
      </c>
      <c r="S912">
        <v>228.54</v>
      </c>
      <c r="T912" t="s">
        <v>2819</v>
      </c>
      <c r="U912" t="s">
        <v>1062</v>
      </c>
    </row>
    <row r="913" spans="1:21" x14ac:dyDescent="0.25">
      <c r="A913" t="s">
        <v>2785</v>
      </c>
      <c r="B913" t="s">
        <v>4784</v>
      </c>
      <c r="C913" t="s">
        <v>4825</v>
      </c>
      <c r="D913" t="s">
        <v>191</v>
      </c>
      <c r="E913" t="s">
        <v>4804</v>
      </c>
      <c r="F913" t="s">
        <v>2787</v>
      </c>
      <c r="G913" t="s">
        <v>1836</v>
      </c>
      <c r="H913">
        <v>29961.9</v>
      </c>
      <c r="I913">
        <v>2470286</v>
      </c>
      <c r="J913">
        <v>82.45</v>
      </c>
      <c r="K913">
        <v>3.8</v>
      </c>
      <c r="L913">
        <v>4.5999999999999996</v>
      </c>
      <c r="M913">
        <v>5.8</v>
      </c>
      <c r="N913">
        <v>4.2</v>
      </c>
      <c r="O913">
        <v>7</v>
      </c>
      <c r="Q913">
        <v>15</v>
      </c>
      <c r="R913" t="s">
        <v>1138</v>
      </c>
      <c r="S913">
        <v>82.45</v>
      </c>
      <c r="T913" t="s">
        <v>2819</v>
      </c>
      <c r="U913" t="s">
        <v>1062</v>
      </c>
    </row>
    <row r="914" spans="1:21" x14ac:dyDescent="0.25">
      <c r="A914" t="s">
        <v>2785</v>
      </c>
      <c r="B914" t="s">
        <v>2786</v>
      </c>
      <c r="C914" t="s">
        <v>3114</v>
      </c>
      <c r="D914" t="s">
        <v>191</v>
      </c>
      <c r="E914" t="s">
        <v>4804</v>
      </c>
      <c r="F914" t="s">
        <v>2787</v>
      </c>
      <c r="G914" t="s">
        <v>1836</v>
      </c>
      <c r="H914">
        <v>29961.9</v>
      </c>
      <c r="I914">
        <v>2470286</v>
      </c>
      <c r="J914">
        <v>82.45</v>
      </c>
      <c r="K914">
        <v>3.8</v>
      </c>
      <c r="L914">
        <v>4.5999999999999996</v>
      </c>
      <c r="M914">
        <v>5.8</v>
      </c>
      <c r="N914">
        <v>4.2</v>
      </c>
      <c r="O914">
        <v>7</v>
      </c>
      <c r="Q914">
        <v>15</v>
      </c>
      <c r="R914" t="s">
        <v>1138</v>
      </c>
      <c r="S914">
        <v>82.45</v>
      </c>
      <c r="T914" t="s">
        <v>2819</v>
      </c>
      <c r="U914" t="s">
        <v>1062</v>
      </c>
    </row>
    <row r="915" spans="1:21" x14ac:dyDescent="0.25">
      <c r="A915" t="s">
        <v>2785</v>
      </c>
      <c r="B915" t="s">
        <v>2788</v>
      </c>
      <c r="C915" t="s">
        <v>3115</v>
      </c>
      <c r="D915" t="s">
        <v>191</v>
      </c>
      <c r="E915" t="s">
        <v>4804</v>
      </c>
      <c r="F915" t="s">
        <v>2787</v>
      </c>
      <c r="G915" t="s">
        <v>1836</v>
      </c>
      <c r="H915">
        <v>29961.9</v>
      </c>
      <c r="I915">
        <v>2470286</v>
      </c>
      <c r="J915">
        <v>82.45</v>
      </c>
      <c r="K915">
        <v>3.8</v>
      </c>
      <c r="L915">
        <v>4.5999999999999996</v>
      </c>
      <c r="M915">
        <v>5.8</v>
      </c>
      <c r="N915">
        <v>4.2</v>
      </c>
      <c r="O915">
        <v>7</v>
      </c>
      <c r="Q915">
        <v>15</v>
      </c>
      <c r="R915" t="s">
        <v>1138</v>
      </c>
      <c r="S915">
        <v>82.45</v>
      </c>
      <c r="T915" t="s">
        <v>2819</v>
      </c>
      <c r="U915" t="s">
        <v>1062</v>
      </c>
    </row>
    <row r="916" spans="1:21" x14ac:dyDescent="0.25">
      <c r="A916" t="s">
        <v>2785</v>
      </c>
      <c r="B916" t="s">
        <v>2789</v>
      </c>
      <c r="C916" t="s">
        <v>5466</v>
      </c>
      <c r="D916" t="s">
        <v>191</v>
      </c>
      <c r="E916" t="s">
        <v>4804</v>
      </c>
      <c r="F916" t="s">
        <v>2787</v>
      </c>
      <c r="G916" t="s">
        <v>1836</v>
      </c>
      <c r="H916">
        <v>29961.9</v>
      </c>
      <c r="I916">
        <v>2470286</v>
      </c>
      <c r="J916">
        <v>82.45</v>
      </c>
      <c r="K916">
        <v>3.8</v>
      </c>
      <c r="L916">
        <v>4.5999999999999996</v>
      </c>
      <c r="M916">
        <v>5.8</v>
      </c>
      <c r="N916">
        <v>4.2</v>
      </c>
      <c r="O916">
        <v>7</v>
      </c>
      <c r="Q916">
        <v>15</v>
      </c>
      <c r="R916" t="s">
        <v>1138</v>
      </c>
      <c r="S916">
        <v>82.45</v>
      </c>
      <c r="T916" t="s">
        <v>2819</v>
      </c>
      <c r="U916" t="s">
        <v>1062</v>
      </c>
    </row>
    <row r="917" spans="1:21" x14ac:dyDescent="0.25">
      <c r="A917" t="s">
        <v>2785</v>
      </c>
      <c r="B917" t="s">
        <v>2789</v>
      </c>
      <c r="C917" t="s">
        <v>3113</v>
      </c>
      <c r="D917" t="s">
        <v>191</v>
      </c>
      <c r="E917" t="s">
        <v>4804</v>
      </c>
      <c r="F917" t="s">
        <v>2787</v>
      </c>
      <c r="G917" t="s">
        <v>1836</v>
      </c>
      <c r="H917">
        <v>29961.9</v>
      </c>
      <c r="I917">
        <v>2470286</v>
      </c>
      <c r="J917">
        <v>82.45</v>
      </c>
      <c r="K917">
        <v>3.8</v>
      </c>
      <c r="L917">
        <v>4.5999999999999996</v>
      </c>
      <c r="M917">
        <v>5.8</v>
      </c>
      <c r="N917">
        <v>4.2</v>
      </c>
      <c r="O917">
        <v>7</v>
      </c>
      <c r="Q917">
        <v>15</v>
      </c>
      <c r="R917" t="s">
        <v>1138</v>
      </c>
      <c r="S917">
        <v>82.45</v>
      </c>
      <c r="T917" t="s">
        <v>2819</v>
      </c>
      <c r="U917" t="s">
        <v>1062</v>
      </c>
    </row>
    <row r="918" spans="1:21" x14ac:dyDescent="0.25">
      <c r="A918" t="s">
        <v>2785</v>
      </c>
      <c r="B918" t="s">
        <v>2790</v>
      </c>
      <c r="C918" t="s">
        <v>3116</v>
      </c>
      <c r="D918" t="s">
        <v>191</v>
      </c>
      <c r="E918" t="s">
        <v>4804</v>
      </c>
      <c r="F918" t="s">
        <v>2787</v>
      </c>
      <c r="G918" t="s">
        <v>1836</v>
      </c>
      <c r="H918">
        <v>29961.9</v>
      </c>
      <c r="I918">
        <v>2470286</v>
      </c>
      <c r="J918">
        <v>82.45</v>
      </c>
      <c r="K918">
        <v>3.8</v>
      </c>
      <c r="L918">
        <v>4.5999999999999996</v>
      </c>
      <c r="M918">
        <v>5.8</v>
      </c>
      <c r="N918">
        <v>4.2</v>
      </c>
      <c r="O918">
        <v>7</v>
      </c>
      <c r="Q918">
        <v>15</v>
      </c>
      <c r="R918" t="s">
        <v>1138</v>
      </c>
      <c r="S918">
        <v>82.45</v>
      </c>
      <c r="T918" t="s">
        <v>2819</v>
      </c>
      <c r="U918" t="s">
        <v>1062</v>
      </c>
    </row>
    <row r="919" spans="1:21" x14ac:dyDescent="0.25">
      <c r="A919" t="s">
        <v>2791</v>
      </c>
      <c r="B919" t="s">
        <v>256</v>
      </c>
      <c r="C919" t="s">
        <v>255</v>
      </c>
      <c r="D919" t="s">
        <v>249</v>
      </c>
      <c r="E919" t="s">
        <v>4806</v>
      </c>
      <c r="F919" t="s">
        <v>1198</v>
      </c>
      <c r="G919" t="s">
        <v>1324</v>
      </c>
      <c r="H919">
        <v>90922.71</v>
      </c>
      <c r="I919">
        <v>2900000</v>
      </c>
      <c r="J919">
        <v>31.9</v>
      </c>
      <c r="K919">
        <v>6.2</v>
      </c>
      <c r="L919">
        <v>8.4</v>
      </c>
      <c r="M919">
        <v>5</v>
      </c>
      <c r="N919">
        <v>5.8</v>
      </c>
      <c r="O919">
        <v>0</v>
      </c>
      <c r="Q919">
        <v>51</v>
      </c>
      <c r="R919" t="s">
        <v>30</v>
      </c>
      <c r="S919">
        <v>31.9</v>
      </c>
      <c r="T919" t="s">
        <v>2819</v>
      </c>
      <c r="U919" t="s">
        <v>1062</v>
      </c>
    </row>
    <row r="920" spans="1:21" x14ac:dyDescent="0.25">
      <c r="A920" t="s">
        <v>2791</v>
      </c>
      <c r="B920" t="s">
        <v>2792</v>
      </c>
      <c r="C920" t="s">
        <v>4082</v>
      </c>
      <c r="D920" t="s">
        <v>249</v>
      </c>
      <c r="E920" t="s">
        <v>4806</v>
      </c>
      <c r="F920" t="s">
        <v>1198</v>
      </c>
      <c r="G920" t="s">
        <v>1324</v>
      </c>
      <c r="H920">
        <v>90922.71</v>
      </c>
      <c r="I920">
        <v>2900000</v>
      </c>
      <c r="J920">
        <v>31.9</v>
      </c>
      <c r="K920">
        <v>6.2</v>
      </c>
      <c r="L920">
        <v>8.4</v>
      </c>
      <c r="M920">
        <v>5</v>
      </c>
      <c r="N920">
        <v>5.8</v>
      </c>
      <c r="O920">
        <v>0</v>
      </c>
      <c r="Q920">
        <v>51</v>
      </c>
      <c r="R920" t="s">
        <v>30</v>
      </c>
      <c r="S920">
        <v>31.9</v>
      </c>
      <c r="T920" t="s">
        <v>2819</v>
      </c>
      <c r="U920" t="s">
        <v>1062</v>
      </c>
    </row>
    <row r="921" spans="1:21" x14ac:dyDescent="0.25">
      <c r="A921" t="s">
        <v>4542</v>
      </c>
      <c r="B921" t="s">
        <v>5848</v>
      </c>
      <c r="C921" t="s">
        <v>3696</v>
      </c>
      <c r="D921" t="s">
        <v>249</v>
      </c>
      <c r="E921" t="s">
        <v>4806</v>
      </c>
      <c r="F921" t="s">
        <v>1198</v>
      </c>
      <c r="G921" t="s">
        <v>1119</v>
      </c>
      <c r="H921">
        <v>22133.02</v>
      </c>
      <c r="I921">
        <v>19184.02</v>
      </c>
      <c r="J921">
        <v>0.87</v>
      </c>
      <c r="K921">
        <v>7.3</v>
      </c>
      <c r="L921">
        <v>6.3</v>
      </c>
      <c r="M921">
        <v>4.8</v>
      </c>
      <c r="N921">
        <v>5.4</v>
      </c>
      <c r="O921">
        <v>0</v>
      </c>
      <c r="Q921">
        <v>32</v>
      </c>
      <c r="R921" t="s">
        <v>1073</v>
      </c>
      <c r="S921">
        <v>0.87</v>
      </c>
      <c r="T921" t="s">
        <v>2819</v>
      </c>
      <c r="U921" t="s">
        <v>1062</v>
      </c>
    </row>
    <row r="922" spans="1:21" x14ac:dyDescent="0.25">
      <c r="A922" t="s">
        <v>2793</v>
      </c>
      <c r="B922" t="s">
        <v>2794</v>
      </c>
      <c r="C922" t="s">
        <v>3007</v>
      </c>
      <c r="D922" t="s">
        <v>191</v>
      </c>
      <c r="E922" t="s">
        <v>4804</v>
      </c>
      <c r="F922" t="s">
        <v>2775</v>
      </c>
      <c r="G922" t="s">
        <v>5255</v>
      </c>
      <c r="H922">
        <v>13339.21</v>
      </c>
      <c r="I922">
        <v>10107787.387616349</v>
      </c>
      <c r="J922">
        <v>757.75</v>
      </c>
      <c r="K922">
        <v>4.5</v>
      </c>
      <c r="L922">
        <v>5.3</v>
      </c>
      <c r="M922">
        <v>3.8</v>
      </c>
      <c r="N922">
        <v>2.6</v>
      </c>
      <c r="O922">
        <v>5</v>
      </c>
      <c r="Q922">
        <v>5</v>
      </c>
      <c r="R922" t="s">
        <v>1063</v>
      </c>
      <c r="S922">
        <v>757.75</v>
      </c>
      <c r="T922" t="s">
        <v>2819</v>
      </c>
      <c r="U922" t="s">
        <v>1062</v>
      </c>
    </row>
  </sheetData>
  <autoFilter ref="A1:V1483" xr:uid="{79313936-1590-4242-BD62-EAAE7D461D36}"/>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D9C20-EB23-45D0-8C82-D5084FD8720C}">
  <sheetPr codeName="Sheet12"/>
  <dimension ref="A2:X139"/>
  <sheetViews>
    <sheetView workbookViewId="0"/>
  </sheetViews>
  <sheetFormatPr defaultColWidth="9.140625" defaultRowHeight="15" x14ac:dyDescent="0.25"/>
  <cols>
    <col min="2" max="2" width="43.28515625" bestFit="1" customWidth="1"/>
  </cols>
  <sheetData>
    <row r="2" spans="1:24" x14ac:dyDescent="0.25">
      <c r="B2" t="s">
        <v>4570</v>
      </c>
      <c r="C2" t="s">
        <v>660</v>
      </c>
      <c r="D2" t="s">
        <v>659</v>
      </c>
      <c r="T2">
        <v>103.4166</v>
      </c>
      <c r="V2" t="s">
        <v>1059</v>
      </c>
      <c r="W2" t="s">
        <v>4829</v>
      </c>
      <c r="X2" t="s">
        <v>4831</v>
      </c>
    </row>
    <row r="3" spans="1:24" x14ac:dyDescent="0.25">
      <c r="B3" t="s">
        <v>4578</v>
      </c>
      <c r="C3" t="s">
        <v>5682</v>
      </c>
      <c r="D3" t="s">
        <v>4123</v>
      </c>
      <c r="T3">
        <v>50.252299999999998</v>
      </c>
      <c r="V3" t="s">
        <v>1059</v>
      </c>
      <c r="W3" t="s">
        <v>4829</v>
      </c>
      <c r="X3" t="s">
        <v>4831</v>
      </c>
    </row>
    <row r="4" spans="1:24" x14ac:dyDescent="0.25">
      <c r="A4" t="s">
        <v>313</v>
      </c>
      <c r="B4" t="s">
        <v>2164</v>
      </c>
      <c r="C4" t="s">
        <v>510</v>
      </c>
      <c r="D4" t="s">
        <v>455</v>
      </c>
      <c r="E4" t="s">
        <v>422</v>
      </c>
      <c r="F4" t="s">
        <v>4801</v>
      </c>
      <c r="G4" t="s">
        <v>1198</v>
      </c>
      <c r="H4" t="s">
        <v>1082</v>
      </c>
      <c r="I4">
        <v>864.1</v>
      </c>
      <c r="J4">
        <v>2182701</v>
      </c>
      <c r="K4">
        <v>2525.98</v>
      </c>
      <c r="L4">
        <v>5.0999999999999996</v>
      </c>
      <c r="M4">
        <v>2.2000000000000002</v>
      </c>
      <c r="N4">
        <v>6</v>
      </c>
      <c r="O4">
        <v>5</v>
      </c>
      <c r="P4">
        <v>0</v>
      </c>
      <c r="R4">
        <v>31</v>
      </c>
      <c r="S4" t="s">
        <v>1063</v>
      </c>
      <c r="T4">
        <v>2525.98</v>
      </c>
      <c r="U4" t="s">
        <v>2819</v>
      </c>
      <c r="V4" t="s">
        <v>1062</v>
      </c>
      <c r="W4" t="s">
        <v>4795</v>
      </c>
      <c r="X4" t="s">
        <v>4795</v>
      </c>
    </row>
    <row r="5" spans="1:24" x14ac:dyDescent="0.25">
      <c r="A5" t="s">
        <v>245</v>
      </c>
      <c r="B5" t="s">
        <v>1757</v>
      </c>
      <c r="C5" t="s">
        <v>377</v>
      </c>
      <c r="D5" t="s">
        <v>4068</v>
      </c>
      <c r="E5" t="s">
        <v>350</v>
      </c>
      <c r="F5" t="s">
        <v>4802</v>
      </c>
      <c r="G5" t="s">
        <v>1198</v>
      </c>
      <c r="H5" t="s">
        <v>1119</v>
      </c>
      <c r="I5">
        <v>6610.65</v>
      </c>
      <c r="J5">
        <v>2659</v>
      </c>
      <c r="K5">
        <v>0.4</v>
      </c>
      <c r="L5">
        <v>5</v>
      </c>
      <c r="M5">
        <v>2.9</v>
      </c>
      <c r="N5">
        <v>5.0999999999999996</v>
      </c>
      <c r="O5">
        <v>3.8</v>
      </c>
      <c r="P5">
        <v>0</v>
      </c>
      <c r="R5">
        <v>10</v>
      </c>
      <c r="S5" t="s">
        <v>1063</v>
      </c>
      <c r="T5">
        <v>0.4</v>
      </c>
      <c r="U5" t="s">
        <v>2819</v>
      </c>
      <c r="V5" t="s">
        <v>1062</v>
      </c>
      <c r="W5" t="s">
        <v>4795</v>
      </c>
      <c r="X5" t="s">
        <v>4795</v>
      </c>
    </row>
    <row r="6" spans="1:24" x14ac:dyDescent="0.25">
      <c r="A6" t="s">
        <v>375</v>
      </c>
      <c r="B6" t="s">
        <v>1197</v>
      </c>
      <c r="C6" t="s">
        <v>368</v>
      </c>
      <c r="D6" t="s">
        <v>4279</v>
      </c>
      <c r="E6" t="s">
        <v>422</v>
      </c>
      <c r="F6" t="s">
        <v>4801</v>
      </c>
      <c r="G6" t="s">
        <v>1198</v>
      </c>
      <c r="H6" t="s">
        <v>1119</v>
      </c>
      <c r="I6">
        <v>6467.13</v>
      </c>
      <c r="J6">
        <v>3442</v>
      </c>
      <c r="K6">
        <v>0.53</v>
      </c>
      <c r="L6">
        <v>6.8</v>
      </c>
      <c r="M6">
        <v>5.4</v>
      </c>
      <c r="N6">
        <v>5.0999999999999996</v>
      </c>
      <c r="O6">
        <v>5.5</v>
      </c>
      <c r="P6">
        <v>0</v>
      </c>
      <c r="R6">
        <v>33</v>
      </c>
      <c r="S6" t="s">
        <v>30</v>
      </c>
      <c r="T6">
        <v>0.53</v>
      </c>
      <c r="U6" t="s">
        <v>2819</v>
      </c>
      <c r="V6" t="s">
        <v>1062</v>
      </c>
      <c r="W6" t="s">
        <v>4795</v>
      </c>
      <c r="X6" t="s">
        <v>4795</v>
      </c>
    </row>
    <row r="7" spans="1:24" x14ac:dyDescent="0.25">
      <c r="A7" t="s">
        <v>375</v>
      </c>
      <c r="B7" t="s">
        <v>1197</v>
      </c>
      <c r="C7" t="s">
        <v>364</v>
      </c>
      <c r="D7" t="s">
        <v>477</v>
      </c>
      <c r="E7" t="s">
        <v>422</v>
      </c>
      <c r="F7" t="s">
        <v>4801</v>
      </c>
      <c r="G7" t="s">
        <v>1198</v>
      </c>
      <c r="H7" t="s">
        <v>1119</v>
      </c>
      <c r="I7">
        <v>6467.13</v>
      </c>
      <c r="J7">
        <v>3442</v>
      </c>
      <c r="K7">
        <v>0.53</v>
      </c>
      <c r="L7">
        <v>6.8</v>
      </c>
      <c r="M7">
        <v>5.4</v>
      </c>
      <c r="N7">
        <v>5.0999999999999996</v>
      </c>
      <c r="O7">
        <v>5.5</v>
      </c>
      <c r="P7">
        <v>0</v>
      </c>
      <c r="R7">
        <v>33</v>
      </c>
      <c r="S7" t="s">
        <v>30</v>
      </c>
      <c r="T7">
        <v>0.53</v>
      </c>
      <c r="U7" t="s">
        <v>2819</v>
      </c>
      <c r="V7" t="s">
        <v>1062</v>
      </c>
      <c r="W7" t="s">
        <v>4795</v>
      </c>
      <c r="X7" t="s">
        <v>4795</v>
      </c>
    </row>
    <row r="8" spans="1:24" x14ac:dyDescent="0.25">
      <c r="B8" t="s">
        <v>4517</v>
      </c>
      <c r="C8" t="s">
        <v>677</v>
      </c>
      <c r="D8" t="s">
        <v>676</v>
      </c>
      <c r="T8">
        <v>127.02056485999999</v>
      </c>
      <c r="W8" t="s">
        <v>4832</v>
      </c>
      <c r="X8" t="s">
        <v>4355</v>
      </c>
    </row>
    <row r="9" spans="1:24" x14ac:dyDescent="0.25">
      <c r="B9" t="s">
        <v>4429</v>
      </c>
      <c r="C9" t="s">
        <v>674</v>
      </c>
      <c r="D9" t="s">
        <v>673</v>
      </c>
      <c r="T9">
        <v>127.02056485999999</v>
      </c>
      <c r="W9" t="s">
        <v>4832</v>
      </c>
      <c r="X9" t="s">
        <v>4355</v>
      </c>
    </row>
    <row r="10" spans="1:24" x14ac:dyDescent="0.25">
      <c r="B10" t="s">
        <v>4428</v>
      </c>
      <c r="C10" t="s">
        <v>4788</v>
      </c>
      <c r="D10" t="s">
        <v>949</v>
      </c>
      <c r="T10">
        <v>127.02056485999999</v>
      </c>
      <c r="W10" t="s">
        <v>4832</v>
      </c>
      <c r="X10" t="s">
        <v>4355</v>
      </c>
    </row>
    <row r="11" spans="1:24" x14ac:dyDescent="0.25">
      <c r="B11" t="s">
        <v>4417</v>
      </c>
      <c r="C11" t="s">
        <v>5565</v>
      </c>
      <c r="D11" t="s">
        <v>5564</v>
      </c>
      <c r="T11">
        <v>104.3917</v>
      </c>
      <c r="W11" t="s">
        <v>4832</v>
      </c>
      <c r="X11" t="s">
        <v>4355</v>
      </c>
    </row>
    <row r="12" spans="1:24" x14ac:dyDescent="0.25">
      <c r="B12" t="s">
        <v>4398</v>
      </c>
      <c r="C12" t="s">
        <v>534</v>
      </c>
      <c r="D12" t="s">
        <v>534</v>
      </c>
      <c r="T12">
        <v>90.106180890000005</v>
      </c>
      <c r="W12" t="s">
        <v>4832</v>
      </c>
      <c r="X12" t="s">
        <v>5550</v>
      </c>
    </row>
    <row r="13" spans="1:24" x14ac:dyDescent="0.25">
      <c r="B13" t="s">
        <v>4399</v>
      </c>
      <c r="C13" t="s">
        <v>552</v>
      </c>
      <c r="D13" t="s">
        <v>551</v>
      </c>
      <c r="T13">
        <v>90.106180890000005</v>
      </c>
      <c r="W13" t="s">
        <v>4832</v>
      </c>
      <c r="X13" t="s">
        <v>5550</v>
      </c>
    </row>
    <row r="14" spans="1:24" x14ac:dyDescent="0.25">
      <c r="B14" t="s">
        <v>4400</v>
      </c>
      <c r="C14" t="s">
        <v>550</v>
      </c>
      <c r="D14" t="s">
        <v>549</v>
      </c>
      <c r="T14">
        <v>90.106180890000005</v>
      </c>
      <c r="W14" t="s">
        <v>4832</v>
      </c>
      <c r="X14" t="s">
        <v>5550</v>
      </c>
    </row>
    <row r="15" spans="1:24" x14ac:dyDescent="0.25">
      <c r="B15" t="s">
        <v>4409</v>
      </c>
      <c r="C15" t="s">
        <v>554</v>
      </c>
      <c r="D15" t="s">
        <v>553</v>
      </c>
      <c r="T15">
        <v>90.106180890000005</v>
      </c>
      <c r="W15" t="s">
        <v>4832</v>
      </c>
      <c r="X15" t="s">
        <v>5550</v>
      </c>
    </row>
    <row r="16" spans="1:24" x14ac:dyDescent="0.25">
      <c r="B16" t="s">
        <v>4395</v>
      </c>
      <c r="C16" t="s">
        <v>557</v>
      </c>
      <c r="D16" t="s">
        <v>556</v>
      </c>
      <c r="T16">
        <v>90.106180890000005</v>
      </c>
      <c r="W16" t="s">
        <v>4832</v>
      </c>
      <c r="X16" t="s">
        <v>5550</v>
      </c>
    </row>
    <row r="17" spans="2:24" x14ac:dyDescent="0.25">
      <c r="B17" t="s">
        <v>4393</v>
      </c>
      <c r="C17" t="s">
        <v>560</v>
      </c>
      <c r="D17" t="s">
        <v>559</v>
      </c>
      <c r="T17">
        <v>90.106180890000005</v>
      </c>
      <c r="W17" t="s">
        <v>4832</v>
      </c>
      <c r="X17" t="s">
        <v>5550</v>
      </c>
    </row>
    <row r="18" spans="2:24" x14ac:dyDescent="0.25">
      <c r="B18" t="s">
        <v>4406</v>
      </c>
      <c r="C18" t="s">
        <v>563</v>
      </c>
      <c r="D18" t="s">
        <v>562</v>
      </c>
      <c r="T18">
        <v>90.106180890000005</v>
      </c>
      <c r="W18" t="s">
        <v>4832</v>
      </c>
      <c r="X18" t="s">
        <v>5550</v>
      </c>
    </row>
    <row r="19" spans="2:24" x14ac:dyDescent="0.25">
      <c r="B19" t="s">
        <v>4392</v>
      </c>
      <c r="C19" t="s">
        <v>565</v>
      </c>
      <c r="D19" t="s">
        <v>564</v>
      </c>
      <c r="T19">
        <v>90.106180890000005</v>
      </c>
      <c r="W19" t="s">
        <v>4832</v>
      </c>
      <c r="X19" t="s">
        <v>5550</v>
      </c>
    </row>
    <row r="20" spans="2:24" x14ac:dyDescent="0.25">
      <c r="B20" t="s">
        <v>4405</v>
      </c>
      <c r="C20" t="s">
        <v>567</v>
      </c>
      <c r="D20" t="s">
        <v>566</v>
      </c>
      <c r="T20">
        <v>90.106180890000005</v>
      </c>
      <c r="W20" t="s">
        <v>4832</v>
      </c>
      <c r="X20" t="s">
        <v>5550</v>
      </c>
    </row>
    <row r="21" spans="2:24" x14ac:dyDescent="0.25">
      <c r="B21" t="s">
        <v>4404</v>
      </c>
      <c r="C21" t="s">
        <v>569</v>
      </c>
      <c r="D21" t="s">
        <v>568</v>
      </c>
      <c r="T21">
        <v>90.106180890000005</v>
      </c>
      <c r="W21" t="s">
        <v>4832</v>
      </c>
      <c r="X21" t="s">
        <v>5550</v>
      </c>
    </row>
    <row r="22" spans="2:24" x14ac:dyDescent="0.25">
      <c r="B22" t="s">
        <v>4402</v>
      </c>
      <c r="C22" t="s">
        <v>572</v>
      </c>
      <c r="D22" t="s">
        <v>571</v>
      </c>
      <c r="T22">
        <v>90.106180890000005</v>
      </c>
      <c r="W22" t="s">
        <v>4832</v>
      </c>
      <c r="X22" t="s">
        <v>5550</v>
      </c>
    </row>
    <row r="23" spans="2:24" x14ac:dyDescent="0.25">
      <c r="B23" t="s">
        <v>4403</v>
      </c>
      <c r="C23" t="s">
        <v>575</v>
      </c>
      <c r="D23" t="s">
        <v>574</v>
      </c>
      <c r="T23">
        <v>90.106180890000005</v>
      </c>
      <c r="W23" t="s">
        <v>4832</v>
      </c>
      <c r="X23" t="s">
        <v>5550</v>
      </c>
    </row>
    <row r="24" spans="2:24" x14ac:dyDescent="0.25">
      <c r="B24" t="s">
        <v>4401</v>
      </c>
      <c r="C24" t="s">
        <v>577</v>
      </c>
      <c r="D24" t="s">
        <v>576</v>
      </c>
      <c r="T24">
        <v>90.106180890000005</v>
      </c>
      <c r="W24" t="s">
        <v>4832</v>
      </c>
      <c r="X24" t="s">
        <v>5550</v>
      </c>
    </row>
    <row r="25" spans="2:24" x14ac:dyDescent="0.25">
      <c r="B25" t="s">
        <v>4408</v>
      </c>
      <c r="C25" t="s">
        <v>583</v>
      </c>
      <c r="D25" t="s">
        <v>582</v>
      </c>
      <c r="T25">
        <v>90.106180890000005</v>
      </c>
      <c r="W25" t="s">
        <v>4832</v>
      </c>
      <c r="X25" t="s">
        <v>5550</v>
      </c>
    </row>
    <row r="26" spans="2:24" x14ac:dyDescent="0.25">
      <c r="B26" t="s">
        <v>4407</v>
      </c>
      <c r="C26" t="s">
        <v>581</v>
      </c>
      <c r="D26" t="s">
        <v>580</v>
      </c>
      <c r="T26">
        <v>90.106180890000005</v>
      </c>
      <c r="W26" t="s">
        <v>4832</v>
      </c>
      <c r="X26" t="s">
        <v>5550</v>
      </c>
    </row>
    <row r="27" spans="2:24" x14ac:dyDescent="0.25">
      <c r="B27" t="s">
        <v>4394</v>
      </c>
      <c r="C27" t="s">
        <v>585</v>
      </c>
      <c r="D27" t="s">
        <v>584</v>
      </c>
      <c r="T27">
        <v>90.106180890000005</v>
      </c>
      <c r="W27" t="s">
        <v>4832</v>
      </c>
      <c r="X27" t="s">
        <v>5550</v>
      </c>
    </row>
    <row r="28" spans="2:24" x14ac:dyDescent="0.25">
      <c r="B28" t="s">
        <v>4389</v>
      </c>
      <c r="C28" t="s">
        <v>729</v>
      </c>
      <c r="D28" t="s">
        <v>729</v>
      </c>
      <c r="T28">
        <v>43.269098939999999</v>
      </c>
      <c r="W28" t="s">
        <v>4832</v>
      </c>
      <c r="X28" t="s">
        <v>5550</v>
      </c>
    </row>
    <row r="29" spans="2:24" x14ac:dyDescent="0.25">
      <c r="B29" t="s">
        <v>4368</v>
      </c>
      <c r="C29" t="s">
        <v>732</v>
      </c>
      <c r="D29" t="s">
        <v>731</v>
      </c>
      <c r="T29">
        <v>43.269098939999999</v>
      </c>
      <c r="W29" t="s">
        <v>4832</v>
      </c>
      <c r="X29" t="s">
        <v>5550</v>
      </c>
    </row>
    <row r="30" spans="2:24" x14ac:dyDescent="0.25">
      <c r="B30" t="s">
        <v>4369</v>
      </c>
      <c r="C30" t="s">
        <v>736</v>
      </c>
      <c r="D30" t="s">
        <v>735</v>
      </c>
      <c r="T30">
        <v>29.215256799999999</v>
      </c>
      <c r="W30" t="s">
        <v>4832</v>
      </c>
      <c r="X30" t="s">
        <v>5550</v>
      </c>
    </row>
    <row r="31" spans="2:24" x14ac:dyDescent="0.25">
      <c r="B31" t="s">
        <v>4362</v>
      </c>
      <c r="C31" t="s">
        <v>740</v>
      </c>
      <c r="D31" t="s">
        <v>739</v>
      </c>
      <c r="T31">
        <v>143.38544737999999</v>
      </c>
      <c r="W31" t="s">
        <v>4832</v>
      </c>
      <c r="X31" t="s">
        <v>5550</v>
      </c>
    </row>
    <row r="32" spans="2:24" x14ac:dyDescent="0.25">
      <c r="B32" t="s">
        <v>4367</v>
      </c>
      <c r="C32" t="s">
        <v>742</v>
      </c>
      <c r="D32" t="s">
        <v>741</v>
      </c>
      <c r="T32">
        <v>43.269098939999999</v>
      </c>
      <c r="W32" t="s">
        <v>4832</v>
      </c>
      <c r="X32" t="s">
        <v>5550</v>
      </c>
    </row>
    <row r="33" spans="2:24" x14ac:dyDescent="0.25">
      <c r="B33" t="s">
        <v>4397</v>
      </c>
      <c r="C33" t="s">
        <v>745</v>
      </c>
      <c r="D33" t="s">
        <v>744</v>
      </c>
      <c r="T33">
        <v>43.269098939999999</v>
      </c>
      <c r="W33" t="s">
        <v>4832</v>
      </c>
      <c r="X33" t="s">
        <v>5550</v>
      </c>
    </row>
    <row r="34" spans="2:24" x14ac:dyDescent="0.25">
      <c r="B34" t="s">
        <v>4382</v>
      </c>
      <c r="C34" t="s">
        <v>749</v>
      </c>
      <c r="D34" t="s">
        <v>748</v>
      </c>
      <c r="T34">
        <v>43.269098939999999</v>
      </c>
      <c r="W34" t="s">
        <v>4832</v>
      </c>
      <c r="X34" t="s">
        <v>5550</v>
      </c>
    </row>
    <row r="35" spans="2:24" x14ac:dyDescent="0.25">
      <c r="B35" t="s">
        <v>4384</v>
      </c>
      <c r="C35" t="s">
        <v>752</v>
      </c>
      <c r="D35" t="s">
        <v>752</v>
      </c>
      <c r="T35">
        <v>43.269098939999999</v>
      </c>
      <c r="W35" t="s">
        <v>4832</v>
      </c>
      <c r="X35" t="s">
        <v>5550</v>
      </c>
    </row>
    <row r="36" spans="2:24" s="16" customFormat="1" x14ac:dyDescent="0.25">
      <c r="B36" s="16" t="s">
        <v>4370</v>
      </c>
      <c r="C36" s="16" t="s">
        <v>755</v>
      </c>
      <c r="D36" s="16" t="s">
        <v>754</v>
      </c>
      <c r="T36" s="16">
        <v>43.269098939999999</v>
      </c>
      <c r="W36" s="16" t="s">
        <v>4832</v>
      </c>
      <c r="X36" s="16" t="s">
        <v>5550</v>
      </c>
    </row>
    <row r="37" spans="2:24" x14ac:dyDescent="0.25">
      <c r="B37" t="s">
        <v>4385</v>
      </c>
      <c r="C37" t="s">
        <v>758</v>
      </c>
      <c r="D37" t="s">
        <v>758</v>
      </c>
      <c r="T37">
        <v>43.269098939999999</v>
      </c>
      <c r="W37" t="s">
        <v>4832</v>
      </c>
      <c r="X37" t="s">
        <v>5550</v>
      </c>
    </row>
    <row r="38" spans="2:24" x14ac:dyDescent="0.25">
      <c r="B38" t="s">
        <v>4363</v>
      </c>
      <c r="C38" t="s">
        <v>762</v>
      </c>
      <c r="D38" t="s">
        <v>761</v>
      </c>
      <c r="T38">
        <v>143.38544737999999</v>
      </c>
      <c r="W38" t="s">
        <v>4832</v>
      </c>
      <c r="X38" t="s">
        <v>5550</v>
      </c>
    </row>
    <row r="39" spans="2:24" x14ac:dyDescent="0.25">
      <c r="B39" t="s">
        <v>4386</v>
      </c>
      <c r="C39" t="s">
        <v>766</v>
      </c>
      <c r="D39" t="s">
        <v>765</v>
      </c>
      <c r="T39">
        <v>43.269098939999999</v>
      </c>
      <c r="W39" t="s">
        <v>4832</v>
      </c>
      <c r="X39" t="s">
        <v>5550</v>
      </c>
    </row>
    <row r="40" spans="2:24" x14ac:dyDescent="0.25">
      <c r="B40" t="s">
        <v>4364</v>
      </c>
      <c r="C40" t="s">
        <v>769</v>
      </c>
      <c r="D40" t="s">
        <v>768</v>
      </c>
      <c r="T40">
        <v>143.38544737999999</v>
      </c>
      <c r="W40" t="s">
        <v>4832</v>
      </c>
      <c r="X40" t="s">
        <v>5550</v>
      </c>
    </row>
    <row r="41" spans="2:24" x14ac:dyDescent="0.25">
      <c r="B41" t="s">
        <v>4365</v>
      </c>
      <c r="C41" t="s">
        <v>772</v>
      </c>
      <c r="D41" t="s">
        <v>772</v>
      </c>
      <c r="T41">
        <v>143.38544737999999</v>
      </c>
      <c r="W41" t="s">
        <v>4832</v>
      </c>
      <c r="X41" t="s">
        <v>5550</v>
      </c>
    </row>
    <row r="42" spans="2:24" x14ac:dyDescent="0.25">
      <c r="B42" t="s">
        <v>4366</v>
      </c>
      <c r="C42" t="s">
        <v>775</v>
      </c>
      <c r="D42" t="s">
        <v>774</v>
      </c>
      <c r="T42">
        <v>143.38544737999999</v>
      </c>
      <c r="W42" t="s">
        <v>4832</v>
      </c>
      <c r="X42" t="s">
        <v>5550</v>
      </c>
    </row>
    <row r="43" spans="2:24" x14ac:dyDescent="0.25">
      <c r="B43" t="s">
        <v>4387</v>
      </c>
      <c r="C43" t="s">
        <v>779</v>
      </c>
      <c r="D43" t="s">
        <v>778</v>
      </c>
      <c r="T43">
        <v>43.269098939999999</v>
      </c>
      <c r="W43" t="s">
        <v>4832</v>
      </c>
      <c r="X43" t="s">
        <v>5550</v>
      </c>
    </row>
    <row r="44" spans="2:24" x14ac:dyDescent="0.25">
      <c r="B44" t="s">
        <v>4374</v>
      </c>
      <c r="C44" t="s">
        <v>781</v>
      </c>
      <c r="D44" t="s">
        <v>781</v>
      </c>
      <c r="T44">
        <v>43.269098939999999</v>
      </c>
      <c r="W44" t="s">
        <v>4832</v>
      </c>
      <c r="X44" t="s">
        <v>5550</v>
      </c>
    </row>
    <row r="45" spans="2:24" x14ac:dyDescent="0.25">
      <c r="B45" t="s">
        <v>4372</v>
      </c>
      <c r="C45" t="s">
        <v>783</v>
      </c>
      <c r="D45" t="s">
        <v>783</v>
      </c>
      <c r="T45">
        <v>29.215256799999999</v>
      </c>
      <c r="W45" t="s">
        <v>4832</v>
      </c>
      <c r="X45" t="s">
        <v>5550</v>
      </c>
    </row>
    <row r="46" spans="2:24" x14ac:dyDescent="0.25">
      <c r="B46" t="s">
        <v>4376</v>
      </c>
      <c r="C46" t="s">
        <v>785</v>
      </c>
      <c r="D46" t="s">
        <v>785</v>
      </c>
      <c r="T46">
        <v>29.215256799999999</v>
      </c>
      <c r="W46" t="s">
        <v>4832</v>
      </c>
      <c r="X46" t="s">
        <v>5550</v>
      </c>
    </row>
    <row r="47" spans="2:24" x14ac:dyDescent="0.25">
      <c r="B47" t="s">
        <v>4375</v>
      </c>
      <c r="C47" t="s">
        <v>787</v>
      </c>
      <c r="D47" t="s">
        <v>787</v>
      </c>
      <c r="T47">
        <v>43.269098939999999</v>
      </c>
      <c r="W47" t="s">
        <v>4832</v>
      </c>
      <c r="X47" t="s">
        <v>5550</v>
      </c>
    </row>
    <row r="48" spans="2:24" x14ac:dyDescent="0.25">
      <c r="B48" t="s">
        <v>4390</v>
      </c>
      <c r="C48" t="s">
        <v>789</v>
      </c>
      <c r="D48" t="s">
        <v>789</v>
      </c>
      <c r="T48">
        <v>8.1376193600000004</v>
      </c>
      <c r="W48" t="s">
        <v>4832</v>
      </c>
      <c r="X48" t="s">
        <v>5550</v>
      </c>
    </row>
    <row r="49" spans="2:24" x14ac:dyDescent="0.25">
      <c r="B49" t="s">
        <v>4379</v>
      </c>
      <c r="C49" t="s">
        <v>791</v>
      </c>
      <c r="D49" t="s">
        <v>791</v>
      </c>
      <c r="T49">
        <v>29.215256799999999</v>
      </c>
      <c r="W49" t="s">
        <v>4832</v>
      </c>
      <c r="X49" t="s">
        <v>5550</v>
      </c>
    </row>
    <row r="50" spans="2:24" x14ac:dyDescent="0.25">
      <c r="B50" t="s">
        <v>4373</v>
      </c>
      <c r="C50" t="s">
        <v>793</v>
      </c>
      <c r="D50" t="s">
        <v>793</v>
      </c>
      <c r="T50">
        <v>43.269098939999999</v>
      </c>
      <c r="W50" t="s">
        <v>4832</v>
      </c>
      <c r="X50" t="s">
        <v>5550</v>
      </c>
    </row>
    <row r="51" spans="2:24" x14ac:dyDescent="0.25">
      <c r="B51" t="s">
        <v>4373</v>
      </c>
      <c r="C51" t="s">
        <v>795</v>
      </c>
      <c r="D51" t="s">
        <v>795</v>
      </c>
      <c r="T51">
        <v>43.269098939999999</v>
      </c>
      <c r="W51" t="s">
        <v>4832</v>
      </c>
      <c r="X51" t="s">
        <v>5550</v>
      </c>
    </row>
    <row r="52" spans="2:24" x14ac:dyDescent="0.25">
      <c r="B52" t="s">
        <v>4378</v>
      </c>
      <c r="C52" t="s">
        <v>797</v>
      </c>
      <c r="D52" t="s">
        <v>797</v>
      </c>
      <c r="T52">
        <v>43.269098939999999</v>
      </c>
      <c r="W52" t="s">
        <v>4832</v>
      </c>
      <c r="X52" t="s">
        <v>5550</v>
      </c>
    </row>
    <row r="53" spans="2:24" x14ac:dyDescent="0.25">
      <c r="B53" t="s">
        <v>4381</v>
      </c>
      <c r="C53" t="s">
        <v>800</v>
      </c>
      <c r="D53" t="s">
        <v>799</v>
      </c>
      <c r="T53">
        <v>43.269098939999999</v>
      </c>
      <c r="W53" t="s">
        <v>4832</v>
      </c>
      <c r="X53" t="s">
        <v>5550</v>
      </c>
    </row>
    <row r="54" spans="2:24" x14ac:dyDescent="0.25">
      <c r="B54" t="s">
        <v>4380</v>
      </c>
      <c r="C54" t="s">
        <v>802</v>
      </c>
      <c r="D54" t="s">
        <v>802</v>
      </c>
      <c r="T54">
        <v>43.269098939999999</v>
      </c>
      <c r="W54" t="s">
        <v>4832</v>
      </c>
      <c r="X54" t="s">
        <v>5550</v>
      </c>
    </row>
    <row r="55" spans="2:24" x14ac:dyDescent="0.25">
      <c r="B55" t="s">
        <v>4383</v>
      </c>
      <c r="C55" t="s">
        <v>805</v>
      </c>
      <c r="D55" t="s">
        <v>805</v>
      </c>
      <c r="T55">
        <v>43.269098939999999</v>
      </c>
      <c r="W55" t="s">
        <v>4832</v>
      </c>
      <c r="X55" t="s">
        <v>5550</v>
      </c>
    </row>
    <row r="56" spans="2:24" x14ac:dyDescent="0.25">
      <c r="B56" t="s">
        <v>4377</v>
      </c>
      <c r="C56" t="s">
        <v>807</v>
      </c>
      <c r="D56" t="s">
        <v>807</v>
      </c>
      <c r="T56">
        <v>43.269098939999999</v>
      </c>
      <c r="W56" t="s">
        <v>4832</v>
      </c>
      <c r="X56" t="s">
        <v>5550</v>
      </c>
    </row>
    <row r="57" spans="2:24" x14ac:dyDescent="0.25">
      <c r="B57" t="s">
        <v>4371</v>
      </c>
      <c r="C57" t="s">
        <v>809</v>
      </c>
      <c r="D57" t="s">
        <v>809</v>
      </c>
      <c r="T57">
        <v>43.269098939999999</v>
      </c>
      <c r="W57" t="s">
        <v>4832</v>
      </c>
      <c r="X57" t="s">
        <v>5550</v>
      </c>
    </row>
    <row r="58" spans="2:24" x14ac:dyDescent="0.25">
      <c r="B58" t="s">
        <v>4361</v>
      </c>
      <c r="C58" t="s">
        <v>811</v>
      </c>
      <c r="D58" t="s">
        <v>811</v>
      </c>
      <c r="T58">
        <v>202.11545734000001</v>
      </c>
      <c r="W58" t="s">
        <v>4832</v>
      </c>
      <c r="X58" t="s">
        <v>5550</v>
      </c>
    </row>
    <row r="59" spans="2:24" x14ac:dyDescent="0.25">
      <c r="B59" t="s">
        <v>4391</v>
      </c>
      <c r="C59" t="s">
        <v>813</v>
      </c>
      <c r="D59" t="s">
        <v>813</v>
      </c>
      <c r="T59">
        <v>7.89327706</v>
      </c>
      <c r="W59" t="s">
        <v>4832</v>
      </c>
      <c r="X59" t="s">
        <v>5550</v>
      </c>
    </row>
    <row r="60" spans="2:24" x14ac:dyDescent="0.25">
      <c r="B60" t="s">
        <v>4388</v>
      </c>
      <c r="C60" t="s">
        <v>815</v>
      </c>
      <c r="D60" t="s">
        <v>815</v>
      </c>
      <c r="T60">
        <v>43.269098939999999</v>
      </c>
      <c r="W60" t="s">
        <v>4832</v>
      </c>
      <c r="X60" t="s">
        <v>5550</v>
      </c>
    </row>
    <row r="61" spans="2:24" x14ac:dyDescent="0.25">
      <c r="B61" t="s">
        <v>4396</v>
      </c>
      <c r="C61" t="s">
        <v>818</v>
      </c>
      <c r="D61" t="s">
        <v>817</v>
      </c>
      <c r="T61">
        <v>43.269098939999999</v>
      </c>
      <c r="W61" t="s">
        <v>4832</v>
      </c>
      <c r="X61" t="s">
        <v>5550</v>
      </c>
    </row>
    <row r="62" spans="2:24" x14ac:dyDescent="0.25">
      <c r="B62" t="s">
        <v>2812</v>
      </c>
      <c r="C62" t="s">
        <v>5551</v>
      </c>
      <c r="D62" t="s">
        <v>197</v>
      </c>
      <c r="T62">
        <v>227.72800852</v>
      </c>
      <c r="W62" t="s">
        <v>4832</v>
      </c>
      <c r="X62" t="s">
        <v>4357</v>
      </c>
    </row>
    <row r="63" spans="2:24" x14ac:dyDescent="0.25">
      <c r="B63" t="s">
        <v>4526</v>
      </c>
      <c r="C63" t="s">
        <v>221</v>
      </c>
      <c r="D63" t="s">
        <v>220</v>
      </c>
      <c r="T63">
        <v>35.788980729999999</v>
      </c>
      <c r="W63" t="s">
        <v>4832</v>
      </c>
      <c r="X63" t="s">
        <v>4357</v>
      </c>
    </row>
    <row r="64" spans="2:24" x14ac:dyDescent="0.25">
      <c r="B64" t="s">
        <v>2797</v>
      </c>
      <c r="C64" t="s">
        <v>5552</v>
      </c>
      <c r="D64" t="s">
        <v>226</v>
      </c>
      <c r="T64">
        <v>5.5581199799999998</v>
      </c>
      <c r="W64" t="s">
        <v>4832</v>
      </c>
      <c r="X64" t="s">
        <v>4357</v>
      </c>
    </row>
    <row r="65" spans="2:24" x14ac:dyDescent="0.25">
      <c r="B65" t="s">
        <v>2804</v>
      </c>
      <c r="C65" t="s">
        <v>230</v>
      </c>
      <c r="D65" t="s">
        <v>229</v>
      </c>
      <c r="T65">
        <v>5.5581199799999998</v>
      </c>
      <c r="W65" t="s">
        <v>4832</v>
      </c>
      <c r="X65" t="s">
        <v>4357</v>
      </c>
    </row>
    <row r="66" spans="2:24" x14ac:dyDescent="0.25">
      <c r="B66" t="s">
        <v>4494</v>
      </c>
      <c r="C66" t="s">
        <v>254</v>
      </c>
      <c r="D66" t="s">
        <v>253</v>
      </c>
      <c r="T66">
        <v>35.788980729999999</v>
      </c>
      <c r="W66" t="s">
        <v>4832</v>
      </c>
      <c r="X66" t="s">
        <v>4357</v>
      </c>
    </row>
    <row r="67" spans="2:24" x14ac:dyDescent="0.25">
      <c r="B67" t="s">
        <v>4546</v>
      </c>
      <c r="C67" t="s">
        <v>262</v>
      </c>
      <c r="D67" t="s">
        <v>261</v>
      </c>
      <c r="T67">
        <v>35.788980729999999</v>
      </c>
      <c r="W67" t="s">
        <v>4832</v>
      </c>
      <c r="X67" t="s">
        <v>4357</v>
      </c>
    </row>
    <row r="68" spans="2:24" x14ac:dyDescent="0.25">
      <c r="B68" t="s">
        <v>2806</v>
      </c>
      <c r="C68" t="s">
        <v>843</v>
      </c>
      <c r="D68" t="s">
        <v>263</v>
      </c>
      <c r="T68">
        <v>13.1357555</v>
      </c>
      <c r="W68" t="s">
        <v>4832</v>
      </c>
      <c r="X68" t="s">
        <v>4357</v>
      </c>
    </row>
    <row r="69" spans="2:24" x14ac:dyDescent="0.25">
      <c r="B69" t="s">
        <v>4468</v>
      </c>
      <c r="C69" t="s">
        <v>270</v>
      </c>
      <c r="D69" t="s">
        <v>269</v>
      </c>
      <c r="T69">
        <v>13.1357555</v>
      </c>
      <c r="W69" t="s">
        <v>4832</v>
      </c>
      <c r="X69" t="s">
        <v>4357</v>
      </c>
    </row>
    <row r="70" spans="2:24" x14ac:dyDescent="0.25">
      <c r="B70" t="s">
        <v>4468</v>
      </c>
      <c r="C70" t="s">
        <v>265</v>
      </c>
      <c r="D70" t="s">
        <v>264</v>
      </c>
      <c r="T70">
        <v>13.1357555</v>
      </c>
      <c r="W70" t="s">
        <v>4832</v>
      </c>
      <c r="X70" t="s">
        <v>4357</v>
      </c>
    </row>
    <row r="71" spans="2:24" x14ac:dyDescent="0.25">
      <c r="B71" t="s">
        <v>4465</v>
      </c>
      <c r="C71" t="s">
        <v>275</v>
      </c>
      <c r="D71" t="s">
        <v>274</v>
      </c>
      <c r="T71">
        <v>35.788980729999999</v>
      </c>
      <c r="W71" t="s">
        <v>4832</v>
      </c>
      <c r="X71" t="s">
        <v>4357</v>
      </c>
    </row>
    <row r="72" spans="2:24" x14ac:dyDescent="0.25">
      <c r="B72" t="s">
        <v>4465</v>
      </c>
      <c r="C72" t="s">
        <v>273</v>
      </c>
      <c r="D72" t="s">
        <v>272</v>
      </c>
      <c r="T72">
        <v>35.788980729999999</v>
      </c>
      <c r="W72" t="s">
        <v>4832</v>
      </c>
      <c r="X72" t="s">
        <v>4357</v>
      </c>
    </row>
    <row r="73" spans="2:24" x14ac:dyDescent="0.25">
      <c r="B73" t="s">
        <v>4548</v>
      </c>
      <c r="C73" t="s">
        <v>277</v>
      </c>
      <c r="D73" t="s">
        <v>276</v>
      </c>
      <c r="T73">
        <v>227.72800852</v>
      </c>
      <c r="W73" t="s">
        <v>4832</v>
      </c>
      <c r="X73" t="s">
        <v>4357</v>
      </c>
    </row>
    <row r="74" spans="2:24" x14ac:dyDescent="0.25">
      <c r="B74" t="s">
        <v>4548</v>
      </c>
      <c r="C74" t="s">
        <v>5472</v>
      </c>
      <c r="D74" t="s">
        <v>3730</v>
      </c>
      <c r="T74">
        <v>227.72800852</v>
      </c>
      <c r="W74" t="s">
        <v>4832</v>
      </c>
      <c r="X74" t="s">
        <v>4357</v>
      </c>
    </row>
    <row r="75" spans="2:24" x14ac:dyDescent="0.25">
      <c r="B75" t="s">
        <v>4548</v>
      </c>
      <c r="C75" t="s">
        <v>5474</v>
      </c>
      <c r="D75" t="s">
        <v>3731</v>
      </c>
      <c r="T75">
        <v>227.72800852</v>
      </c>
      <c r="W75" t="s">
        <v>4832</v>
      </c>
      <c r="X75" t="s">
        <v>4357</v>
      </c>
    </row>
    <row r="76" spans="2:24" x14ac:dyDescent="0.25">
      <c r="B76" t="s">
        <v>4549</v>
      </c>
      <c r="C76" t="s">
        <v>281</v>
      </c>
      <c r="D76" t="s">
        <v>280</v>
      </c>
      <c r="T76">
        <v>35.788980729999999</v>
      </c>
      <c r="W76" t="s">
        <v>4832</v>
      </c>
      <c r="X76" t="s">
        <v>4357</v>
      </c>
    </row>
    <row r="77" spans="2:24" x14ac:dyDescent="0.25">
      <c r="B77" t="s">
        <v>4469</v>
      </c>
      <c r="C77" t="s">
        <v>285</v>
      </c>
      <c r="D77" t="s">
        <v>284</v>
      </c>
      <c r="T77">
        <v>35.788980729999999</v>
      </c>
      <c r="W77" t="s">
        <v>4832</v>
      </c>
      <c r="X77" t="s">
        <v>4357</v>
      </c>
    </row>
    <row r="78" spans="2:24" x14ac:dyDescent="0.25">
      <c r="B78" t="s">
        <v>4513</v>
      </c>
      <c r="C78" t="s">
        <v>289</v>
      </c>
      <c r="D78" t="s">
        <v>288</v>
      </c>
      <c r="T78">
        <v>3.1326603999999998</v>
      </c>
      <c r="W78" t="s">
        <v>4832</v>
      </c>
      <c r="X78" t="s">
        <v>4357</v>
      </c>
    </row>
    <row r="79" spans="2:24" x14ac:dyDescent="0.25">
      <c r="B79" t="s">
        <v>2801</v>
      </c>
      <c r="C79" t="s">
        <v>291</v>
      </c>
      <c r="D79" t="s">
        <v>290</v>
      </c>
      <c r="T79">
        <v>13.1357555</v>
      </c>
      <c r="W79" t="s">
        <v>4832</v>
      </c>
      <c r="X79" t="s">
        <v>4357</v>
      </c>
    </row>
    <row r="80" spans="2:24" x14ac:dyDescent="0.25">
      <c r="B80" t="s">
        <v>4550</v>
      </c>
      <c r="C80" t="s">
        <v>296</v>
      </c>
      <c r="D80" t="s">
        <v>295</v>
      </c>
      <c r="T80">
        <v>5.0299560999999997</v>
      </c>
      <c r="W80" t="s">
        <v>4832</v>
      </c>
      <c r="X80" t="s">
        <v>4357</v>
      </c>
    </row>
    <row r="81" spans="2:24" x14ac:dyDescent="0.25">
      <c r="B81" t="s">
        <v>4538</v>
      </c>
      <c r="C81" t="s">
        <v>298</v>
      </c>
      <c r="D81" t="s">
        <v>297</v>
      </c>
      <c r="T81">
        <v>13.1357555</v>
      </c>
      <c r="W81" t="s">
        <v>4832</v>
      </c>
      <c r="X81" t="s">
        <v>4357</v>
      </c>
    </row>
    <row r="82" spans="2:24" x14ac:dyDescent="0.25">
      <c r="B82" t="s">
        <v>4559</v>
      </c>
      <c r="C82" t="s">
        <v>915</v>
      </c>
      <c r="D82" t="s">
        <v>914</v>
      </c>
      <c r="T82">
        <v>4.77887168</v>
      </c>
      <c r="W82" t="s">
        <v>4832</v>
      </c>
      <c r="X82" t="s">
        <v>4357</v>
      </c>
    </row>
    <row r="83" spans="2:24" x14ac:dyDescent="0.25">
      <c r="B83" t="s">
        <v>4486</v>
      </c>
      <c r="C83" t="s">
        <v>306</v>
      </c>
      <c r="D83" t="s">
        <v>305</v>
      </c>
      <c r="T83">
        <v>13.1357555</v>
      </c>
      <c r="W83" t="s">
        <v>4832</v>
      </c>
      <c r="X83" t="s">
        <v>4357</v>
      </c>
    </row>
    <row r="84" spans="2:24" x14ac:dyDescent="0.25">
      <c r="B84" t="s">
        <v>4486</v>
      </c>
      <c r="C84" t="s">
        <v>304</v>
      </c>
      <c r="D84" t="s">
        <v>303</v>
      </c>
      <c r="T84">
        <v>13.1357555</v>
      </c>
      <c r="W84" t="s">
        <v>4832</v>
      </c>
      <c r="X84" t="s">
        <v>4357</v>
      </c>
    </row>
    <row r="85" spans="2:24" x14ac:dyDescent="0.25">
      <c r="B85" t="s">
        <v>4486</v>
      </c>
      <c r="C85" t="s">
        <v>4995</v>
      </c>
      <c r="D85" t="s">
        <v>3972</v>
      </c>
      <c r="T85">
        <v>13.1357555</v>
      </c>
      <c r="W85" t="s">
        <v>4832</v>
      </c>
      <c r="X85" t="s">
        <v>4357</v>
      </c>
    </row>
    <row r="86" spans="2:24" x14ac:dyDescent="0.25">
      <c r="B86" t="s">
        <v>2810</v>
      </c>
      <c r="C86" t="s">
        <v>322</v>
      </c>
      <c r="D86" t="s">
        <v>321</v>
      </c>
      <c r="T86">
        <v>4.77887168</v>
      </c>
      <c r="W86" t="s">
        <v>4832</v>
      </c>
      <c r="X86" t="s">
        <v>4357</v>
      </c>
    </row>
    <row r="87" spans="2:24" x14ac:dyDescent="0.25">
      <c r="B87" t="s">
        <v>2810</v>
      </c>
      <c r="C87" t="s">
        <v>328</v>
      </c>
      <c r="D87" t="s">
        <v>327</v>
      </c>
      <c r="T87">
        <v>4.77887168</v>
      </c>
      <c r="W87" t="s">
        <v>4832</v>
      </c>
      <c r="X87" t="s">
        <v>4357</v>
      </c>
    </row>
    <row r="88" spans="2:24" x14ac:dyDescent="0.25">
      <c r="B88" t="s">
        <v>2810</v>
      </c>
      <c r="C88" t="s">
        <v>319</v>
      </c>
      <c r="D88" t="s">
        <v>318</v>
      </c>
      <c r="T88">
        <v>4.77887168</v>
      </c>
      <c r="W88" t="s">
        <v>4832</v>
      </c>
      <c r="X88" t="s">
        <v>4357</v>
      </c>
    </row>
    <row r="89" spans="2:24" x14ac:dyDescent="0.25">
      <c r="B89" t="s">
        <v>2810</v>
      </c>
      <c r="C89" t="s">
        <v>330</v>
      </c>
      <c r="D89" t="s">
        <v>329</v>
      </c>
      <c r="T89">
        <v>4.77887168</v>
      </c>
      <c r="W89" t="s">
        <v>4832</v>
      </c>
      <c r="X89" t="s">
        <v>4357</v>
      </c>
    </row>
    <row r="90" spans="2:24" x14ac:dyDescent="0.25">
      <c r="B90" t="s">
        <v>2810</v>
      </c>
      <c r="C90" t="s">
        <v>325</v>
      </c>
      <c r="D90" t="s">
        <v>324</v>
      </c>
      <c r="T90">
        <v>4.77887168</v>
      </c>
      <c r="W90" t="s">
        <v>4832</v>
      </c>
      <c r="X90" t="s">
        <v>4357</v>
      </c>
    </row>
    <row r="91" spans="2:24" x14ac:dyDescent="0.25">
      <c r="B91" t="s">
        <v>2802</v>
      </c>
      <c r="C91" t="s">
        <v>335</v>
      </c>
      <c r="D91" t="s">
        <v>334</v>
      </c>
      <c r="T91">
        <v>227.72800852</v>
      </c>
      <c r="W91" t="s">
        <v>4832</v>
      </c>
      <c r="X91" t="s">
        <v>4357</v>
      </c>
    </row>
    <row r="92" spans="2:24" x14ac:dyDescent="0.25">
      <c r="B92" t="s">
        <v>2807</v>
      </c>
      <c r="C92" t="s">
        <v>5390</v>
      </c>
      <c r="D92" t="s">
        <v>370</v>
      </c>
      <c r="T92">
        <v>5.5581199799999998</v>
      </c>
      <c r="W92" t="s">
        <v>4832</v>
      </c>
      <c r="X92" t="s">
        <v>4357</v>
      </c>
    </row>
    <row r="93" spans="2:24" x14ac:dyDescent="0.25">
      <c r="B93" t="s">
        <v>4554</v>
      </c>
      <c r="C93" t="s">
        <v>382</v>
      </c>
      <c r="D93" t="s">
        <v>381</v>
      </c>
      <c r="T93">
        <v>13.1357555</v>
      </c>
      <c r="W93" t="s">
        <v>4832</v>
      </c>
      <c r="X93" t="s">
        <v>4357</v>
      </c>
    </row>
    <row r="94" spans="2:24" x14ac:dyDescent="0.25">
      <c r="B94" t="s">
        <v>4555</v>
      </c>
      <c r="C94" t="s">
        <v>388</v>
      </c>
      <c r="D94" t="s">
        <v>387</v>
      </c>
      <c r="T94">
        <v>13.1357555</v>
      </c>
      <c r="W94" t="s">
        <v>4832</v>
      </c>
      <c r="X94" t="s">
        <v>4357</v>
      </c>
    </row>
    <row r="95" spans="2:24" x14ac:dyDescent="0.25">
      <c r="B95" t="s">
        <v>4506</v>
      </c>
      <c r="C95" t="s">
        <v>394</v>
      </c>
      <c r="D95" t="s">
        <v>393</v>
      </c>
      <c r="T95">
        <v>386.84373124000001</v>
      </c>
      <c r="W95" t="s">
        <v>4832</v>
      </c>
      <c r="X95" t="s">
        <v>4357</v>
      </c>
    </row>
    <row r="96" spans="2:24" x14ac:dyDescent="0.25">
      <c r="B96" t="s">
        <v>4506</v>
      </c>
      <c r="C96" t="s">
        <v>398</v>
      </c>
      <c r="D96" t="s">
        <v>397</v>
      </c>
      <c r="T96">
        <v>386.84373124000001</v>
      </c>
      <c r="W96" t="s">
        <v>4832</v>
      </c>
      <c r="X96" t="s">
        <v>4357</v>
      </c>
    </row>
    <row r="97" spans="2:24" x14ac:dyDescent="0.25">
      <c r="B97" t="s">
        <v>4507</v>
      </c>
      <c r="C97" t="s">
        <v>401</v>
      </c>
      <c r="D97" t="s">
        <v>400</v>
      </c>
      <c r="T97">
        <v>386.84373124000001</v>
      </c>
      <c r="W97" t="s">
        <v>4832</v>
      </c>
      <c r="X97" t="s">
        <v>4357</v>
      </c>
    </row>
    <row r="98" spans="2:24" x14ac:dyDescent="0.25">
      <c r="B98" t="s">
        <v>4553</v>
      </c>
      <c r="C98" t="s">
        <v>403</v>
      </c>
      <c r="D98" t="s">
        <v>402</v>
      </c>
      <c r="T98">
        <v>35.788980729999999</v>
      </c>
      <c r="W98" t="s">
        <v>4832</v>
      </c>
      <c r="X98" t="s">
        <v>4357</v>
      </c>
    </row>
    <row r="99" spans="2:24" x14ac:dyDescent="0.25">
      <c r="B99" t="s">
        <v>2809</v>
      </c>
      <c r="C99" t="s">
        <v>413</v>
      </c>
      <c r="D99" t="s">
        <v>412</v>
      </c>
      <c r="T99">
        <v>13.1357555</v>
      </c>
      <c r="W99" t="s">
        <v>4832</v>
      </c>
      <c r="X99" t="s">
        <v>4357</v>
      </c>
    </row>
    <row r="100" spans="2:24" x14ac:dyDescent="0.25">
      <c r="B100" t="s">
        <v>2809</v>
      </c>
      <c r="C100" t="s">
        <v>416</v>
      </c>
      <c r="D100" t="s">
        <v>415</v>
      </c>
      <c r="T100">
        <v>13.1357555</v>
      </c>
      <c r="W100" t="s">
        <v>4832</v>
      </c>
      <c r="X100" t="s">
        <v>4357</v>
      </c>
    </row>
    <row r="101" spans="2:24" x14ac:dyDescent="0.25">
      <c r="B101" t="s">
        <v>5553</v>
      </c>
      <c r="C101" t="s">
        <v>409</v>
      </c>
      <c r="D101" t="s">
        <v>408</v>
      </c>
      <c r="T101">
        <v>13.1357555</v>
      </c>
      <c r="W101" t="s">
        <v>4832</v>
      </c>
      <c r="X101" t="s">
        <v>4357</v>
      </c>
    </row>
    <row r="102" spans="2:24" x14ac:dyDescent="0.25">
      <c r="B102" t="s">
        <v>2800</v>
      </c>
      <c r="C102" t="s">
        <v>419</v>
      </c>
      <c r="D102" t="s">
        <v>418</v>
      </c>
      <c r="T102">
        <v>13.1357555</v>
      </c>
      <c r="W102" t="s">
        <v>4832</v>
      </c>
      <c r="X102" t="s">
        <v>4357</v>
      </c>
    </row>
    <row r="103" spans="2:24" x14ac:dyDescent="0.25">
      <c r="B103" t="s">
        <v>4524</v>
      </c>
      <c r="C103" t="s">
        <v>539</v>
      </c>
      <c r="D103" t="s">
        <v>538</v>
      </c>
      <c r="T103">
        <v>90.106180890000005</v>
      </c>
      <c r="W103" t="s">
        <v>4832</v>
      </c>
      <c r="X103" t="s">
        <v>4357</v>
      </c>
    </row>
    <row r="104" spans="2:24" x14ac:dyDescent="0.25">
      <c r="B104" t="s">
        <v>4455</v>
      </c>
      <c r="C104" t="s">
        <v>542</v>
      </c>
      <c r="D104" t="s">
        <v>541</v>
      </c>
      <c r="T104">
        <v>90.106180890000005</v>
      </c>
      <c r="W104" t="s">
        <v>4832</v>
      </c>
      <c r="X104" t="s">
        <v>4357</v>
      </c>
    </row>
    <row r="105" spans="2:24" x14ac:dyDescent="0.25">
      <c r="B105" t="s">
        <v>4454</v>
      </c>
      <c r="C105" t="s">
        <v>545</v>
      </c>
      <c r="D105" t="s">
        <v>544</v>
      </c>
      <c r="T105">
        <v>90.106180890000005</v>
      </c>
      <c r="W105" t="s">
        <v>4832</v>
      </c>
      <c r="X105" t="s">
        <v>4357</v>
      </c>
    </row>
    <row r="106" spans="2:24" x14ac:dyDescent="0.25">
      <c r="B106" t="s">
        <v>2813</v>
      </c>
      <c r="C106" t="s">
        <v>829</v>
      </c>
      <c r="D106" t="s">
        <v>828</v>
      </c>
      <c r="T106">
        <v>90.106180890000005</v>
      </c>
      <c r="W106" t="s">
        <v>4832</v>
      </c>
      <c r="X106" t="s">
        <v>4357</v>
      </c>
    </row>
    <row r="107" spans="2:24" x14ac:dyDescent="0.25">
      <c r="B107" t="s">
        <v>2814</v>
      </c>
      <c r="C107" t="s">
        <v>430</v>
      </c>
      <c r="D107" t="s">
        <v>429</v>
      </c>
      <c r="T107">
        <v>35.788980729999999</v>
      </c>
      <c r="W107" t="s">
        <v>4832</v>
      </c>
      <c r="X107" t="s">
        <v>4357</v>
      </c>
    </row>
    <row r="108" spans="2:24" x14ac:dyDescent="0.25">
      <c r="B108" t="s">
        <v>2814</v>
      </c>
      <c r="C108" t="s">
        <v>430</v>
      </c>
      <c r="D108" t="s">
        <v>429</v>
      </c>
      <c r="T108">
        <v>35.788980729999999</v>
      </c>
      <c r="W108" t="s">
        <v>4832</v>
      </c>
      <c r="X108" t="s">
        <v>4357</v>
      </c>
    </row>
    <row r="109" spans="2:24" x14ac:dyDescent="0.25">
      <c r="B109" t="s">
        <v>2814</v>
      </c>
      <c r="C109" t="s">
        <v>430</v>
      </c>
      <c r="D109" t="s">
        <v>429</v>
      </c>
      <c r="T109">
        <v>35.788980729999999</v>
      </c>
      <c r="W109" t="s">
        <v>4832</v>
      </c>
      <c r="X109" t="s">
        <v>4357</v>
      </c>
    </row>
    <row r="110" spans="2:24" x14ac:dyDescent="0.25">
      <c r="B110" t="s">
        <v>5554</v>
      </c>
      <c r="C110" t="s">
        <v>435</v>
      </c>
      <c r="D110" t="s">
        <v>434</v>
      </c>
      <c r="T110">
        <v>13.1357555</v>
      </c>
      <c r="W110" t="s">
        <v>4832</v>
      </c>
      <c r="X110" t="s">
        <v>4357</v>
      </c>
    </row>
    <row r="111" spans="2:24" x14ac:dyDescent="0.25">
      <c r="B111" t="s">
        <v>5554</v>
      </c>
      <c r="C111" t="s">
        <v>435</v>
      </c>
      <c r="D111" t="s">
        <v>434</v>
      </c>
      <c r="T111">
        <v>13.1357555</v>
      </c>
      <c r="W111" t="s">
        <v>4832</v>
      </c>
      <c r="X111" t="s">
        <v>4357</v>
      </c>
    </row>
    <row r="112" spans="2:24" x14ac:dyDescent="0.25">
      <c r="B112" t="s">
        <v>5554</v>
      </c>
      <c r="C112" t="s">
        <v>435</v>
      </c>
      <c r="D112" t="s">
        <v>434</v>
      </c>
      <c r="T112">
        <v>13.1357555</v>
      </c>
      <c r="W112" t="s">
        <v>4832</v>
      </c>
      <c r="X112" t="s">
        <v>4357</v>
      </c>
    </row>
    <row r="113" spans="2:24" x14ac:dyDescent="0.25">
      <c r="B113" t="s">
        <v>5554</v>
      </c>
      <c r="C113" t="s">
        <v>438</v>
      </c>
      <c r="D113" t="s">
        <v>437</v>
      </c>
      <c r="T113">
        <v>13.1357555</v>
      </c>
      <c r="W113" t="s">
        <v>4832</v>
      </c>
      <c r="X113" t="s">
        <v>4357</v>
      </c>
    </row>
    <row r="114" spans="2:24" x14ac:dyDescent="0.25">
      <c r="B114" t="s">
        <v>5554</v>
      </c>
      <c r="C114" t="s">
        <v>438</v>
      </c>
      <c r="D114" t="s">
        <v>437</v>
      </c>
      <c r="T114">
        <v>13.1357555</v>
      </c>
      <c r="W114" t="s">
        <v>4832</v>
      </c>
      <c r="X114" t="s">
        <v>4357</v>
      </c>
    </row>
    <row r="115" spans="2:24" x14ac:dyDescent="0.25">
      <c r="B115" t="s">
        <v>2816</v>
      </c>
      <c r="C115" t="s">
        <v>443</v>
      </c>
      <c r="D115" t="s">
        <v>442</v>
      </c>
      <c r="T115">
        <v>258.38875387000002</v>
      </c>
      <c r="W115" t="s">
        <v>4832</v>
      </c>
      <c r="X115" t="s">
        <v>4357</v>
      </c>
    </row>
    <row r="116" spans="2:24" x14ac:dyDescent="0.25">
      <c r="B116" t="s">
        <v>2816</v>
      </c>
      <c r="C116" t="s">
        <v>443</v>
      </c>
      <c r="D116" t="s">
        <v>442</v>
      </c>
      <c r="T116">
        <v>258.38875387000002</v>
      </c>
      <c r="W116" t="s">
        <v>4832</v>
      </c>
      <c r="X116" t="s">
        <v>4357</v>
      </c>
    </row>
    <row r="117" spans="2:24" x14ac:dyDescent="0.25">
      <c r="B117" t="s">
        <v>2816</v>
      </c>
      <c r="C117" t="s">
        <v>443</v>
      </c>
      <c r="D117" t="s">
        <v>442</v>
      </c>
      <c r="T117">
        <v>258.38875387000002</v>
      </c>
      <c r="W117" t="s">
        <v>4832</v>
      </c>
      <c r="X117" t="s">
        <v>4357</v>
      </c>
    </row>
    <row r="118" spans="2:24" x14ac:dyDescent="0.25">
      <c r="B118" t="s">
        <v>4615</v>
      </c>
      <c r="C118" t="s">
        <v>473</v>
      </c>
      <c r="D118" t="s">
        <v>472</v>
      </c>
      <c r="T118">
        <v>35.788980729999999</v>
      </c>
      <c r="W118" t="s">
        <v>4832</v>
      </c>
      <c r="X118" t="s">
        <v>4357</v>
      </c>
    </row>
    <row r="119" spans="2:24" x14ac:dyDescent="0.25">
      <c r="B119" t="s">
        <v>4615</v>
      </c>
      <c r="C119" t="s">
        <v>473</v>
      </c>
      <c r="D119" t="s">
        <v>472</v>
      </c>
      <c r="T119">
        <v>35.788980729999999</v>
      </c>
      <c r="W119" t="s">
        <v>4832</v>
      </c>
      <c r="X119" t="s">
        <v>4357</v>
      </c>
    </row>
    <row r="120" spans="2:24" x14ac:dyDescent="0.25">
      <c r="B120" t="s">
        <v>4615</v>
      </c>
      <c r="C120" t="s">
        <v>473</v>
      </c>
      <c r="D120" t="s">
        <v>472</v>
      </c>
      <c r="T120">
        <v>35.788980729999999</v>
      </c>
      <c r="W120" t="s">
        <v>4832</v>
      </c>
      <c r="X120" t="s">
        <v>4357</v>
      </c>
    </row>
    <row r="121" spans="2:24" x14ac:dyDescent="0.25">
      <c r="B121" t="s">
        <v>4617</v>
      </c>
      <c r="C121" t="s">
        <v>494</v>
      </c>
      <c r="D121" t="s">
        <v>493</v>
      </c>
      <c r="T121">
        <v>4.77887168</v>
      </c>
      <c r="W121" t="s">
        <v>4832</v>
      </c>
      <c r="X121" t="s">
        <v>4357</v>
      </c>
    </row>
    <row r="122" spans="2:24" x14ac:dyDescent="0.25">
      <c r="B122" t="s">
        <v>4617</v>
      </c>
      <c r="C122" t="s">
        <v>494</v>
      </c>
      <c r="D122" t="s">
        <v>493</v>
      </c>
      <c r="T122">
        <v>4.77887168</v>
      </c>
      <c r="W122" t="s">
        <v>4832</v>
      </c>
      <c r="X122" t="s">
        <v>4357</v>
      </c>
    </row>
    <row r="123" spans="2:24" x14ac:dyDescent="0.25">
      <c r="B123" t="s">
        <v>4617</v>
      </c>
      <c r="C123" t="s">
        <v>494</v>
      </c>
      <c r="D123" t="s">
        <v>493</v>
      </c>
      <c r="T123">
        <v>4.77887168</v>
      </c>
      <c r="W123" t="s">
        <v>4832</v>
      </c>
      <c r="X123" t="s">
        <v>4357</v>
      </c>
    </row>
    <row r="124" spans="2:24" x14ac:dyDescent="0.25">
      <c r="B124" t="s">
        <v>4623</v>
      </c>
      <c r="C124" t="s">
        <v>5152</v>
      </c>
      <c r="D124" t="s">
        <v>503</v>
      </c>
      <c r="T124">
        <v>258.38875387000002</v>
      </c>
      <c r="W124" t="s">
        <v>4832</v>
      </c>
      <c r="X124" t="s">
        <v>4357</v>
      </c>
    </row>
    <row r="125" spans="2:24" x14ac:dyDescent="0.25">
      <c r="B125" t="s">
        <v>4623</v>
      </c>
      <c r="C125" t="s">
        <v>5152</v>
      </c>
      <c r="D125" t="s">
        <v>503</v>
      </c>
      <c r="T125">
        <v>258.38875387000002</v>
      </c>
      <c r="W125" t="s">
        <v>4832</v>
      </c>
      <c r="X125" t="s">
        <v>4357</v>
      </c>
    </row>
    <row r="126" spans="2:24" x14ac:dyDescent="0.25">
      <c r="B126" t="s">
        <v>4623</v>
      </c>
      <c r="C126" t="s">
        <v>5152</v>
      </c>
      <c r="D126" t="s">
        <v>503</v>
      </c>
      <c r="T126">
        <v>258.38875387000002</v>
      </c>
      <c r="W126" t="s">
        <v>4832</v>
      </c>
      <c r="X126" t="s">
        <v>4357</v>
      </c>
    </row>
    <row r="127" spans="2:24" x14ac:dyDescent="0.25">
      <c r="B127" t="s">
        <v>5555</v>
      </c>
      <c r="C127" t="s">
        <v>5175</v>
      </c>
      <c r="D127" t="s">
        <v>5174</v>
      </c>
      <c r="T127">
        <v>3.1326603999999998</v>
      </c>
      <c r="W127" t="s">
        <v>4832</v>
      </c>
      <c r="X127" t="s">
        <v>4357</v>
      </c>
    </row>
    <row r="128" spans="2:24" x14ac:dyDescent="0.25">
      <c r="B128" t="s">
        <v>5555</v>
      </c>
      <c r="C128" t="s">
        <v>5175</v>
      </c>
      <c r="D128" t="s">
        <v>5174</v>
      </c>
      <c r="T128">
        <v>3.1326603999999998</v>
      </c>
      <c r="W128" t="s">
        <v>4832</v>
      </c>
      <c r="X128" t="s">
        <v>4357</v>
      </c>
    </row>
    <row r="129" spans="2:24" x14ac:dyDescent="0.25">
      <c r="B129" t="s">
        <v>5555</v>
      </c>
      <c r="C129" t="s">
        <v>5175</v>
      </c>
      <c r="D129" t="s">
        <v>5174</v>
      </c>
      <c r="T129">
        <v>3.1326603999999998</v>
      </c>
      <c r="W129" t="s">
        <v>4832</v>
      </c>
      <c r="X129" t="s">
        <v>4357</v>
      </c>
    </row>
    <row r="130" spans="2:24" x14ac:dyDescent="0.25">
      <c r="B130" t="s">
        <v>4607</v>
      </c>
      <c r="C130" t="s">
        <v>515</v>
      </c>
      <c r="D130" t="s">
        <v>514</v>
      </c>
      <c r="T130">
        <v>258.38875387000002</v>
      </c>
      <c r="W130" t="s">
        <v>4832</v>
      </c>
      <c r="X130" t="s">
        <v>4357</v>
      </c>
    </row>
    <row r="131" spans="2:24" x14ac:dyDescent="0.25">
      <c r="B131" t="s">
        <v>4607</v>
      </c>
      <c r="C131" t="s">
        <v>515</v>
      </c>
      <c r="D131" t="s">
        <v>514</v>
      </c>
      <c r="T131">
        <v>258.38875387000002</v>
      </c>
      <c r="W131" t="s">
        <v>4832</v>
      </c>
      <c r="X131" t="s">
        <v>4357</v>
      </c>
    </row>
    <row r="132" spans="2:24" x14ac:dyDescent="0.25">
      <c r="B132" t="s">
        <v>4607</v>
      </c>
      <c r="C132" t="s">
        <v>515</v>
      </c>
      <c r="D132" t="s">
        <v>514</v>
      </c>
      <c r="T132">
        <v>258.38875387000002</v>
      </c>
      <c r="W132" t="s">
        <v>4832</v>
      </c>
      <c r="X132" t="s">
        <v>4357</v>
      </c>
    </row>
    <row r="133" spans="2:24" x14ac:dyDescent="0.25">
      <c r="B133" t="s">
        <v>4608</v>
      </c>
      <c r="C133" t="s">
        <v>927</v>
      </c>
      <c r="D133" t="s">
        <v>926</v>
      </c>
      <c r="T133">
        <v>90.106180890000005</v>
      </c>
      <c r="W133" t="s">
        <v>4832</v>
      </c>
      <c r="X133" t="s">
        <v>4357</v>
      </c>
    </row>
    <row r="134" spans="2:24" x14ac:dyDescent="0.25">
      <c r="B134" t="s">
        <v>4531</v>
      </c>
      <c r="C134" t="s">
        <v>235</v>
      </c>
      <c r="D134" t="s">
        <v>234</v>
      </c>
      <c r="T134">
        <v>5.5581199799999998</v>
      </c>
      <c r="W134" t="s">
        <v>4832</v>
      </c>
      <c r="X134" t="s">
        <v>4357</v>
      </c>
    </row>
    <row r="135" spans="2:24" x14ac:dyDescent="0.25">
      <c r="B135" t="s">
        <v>5341</v>
      </c>
      <c r="C135" t="s">
        <v>5280</v>
      </c>
      <c r="D135" t="s">
        <v>5279</v>
      </c>
      <c r="T135">
        <v>35.788980729999999</v>
      </c>
      <c r="W135" t="s">
        <v>4832</v>
      </c>
      <c r="X135" t="s">
        <v>4357</v>
      </c>
    </row>
    <row r="136" spans="2:24" x14ac:dyDescent="0.25">
      <c r="B136" t="s">
        <v>5342</v>
      </c>
      <c r="C136" t="s">
        <v>5284</v>
      </c>
      <c r="D136" t="s">
        <v>5283</v>
      </c>
      <c r="T136">
        <v>35.788980729999999</v>
      </c>
      <c r="W136" t="s">
        <v>4832</v>
      </c>
      <c r="X136" t="s">
        <v>4357</v>
      </c>
    </row>
    <row r="137" spans="2:24" x14ac:dyDescent="0.25">
      <c r="B137" t="s">
        <v>5556</v>
      </c>
      <c r="C137" t="s">
        <v>463</v>
      </c>
      <c r="D137" t="s">
        <v>462</v>
      </c>
      <c r="T137">
        <v>386.84373124000001</v>
      </c>
      <c r="W137" t="s">
        <v>4832</v>
      </c>
      <c r="X137" t="s">
        <v>4357</v>
      </c>
    </row>
    <row r="138" spans="2:24" x14ac:dyDescent="0.25">
      <c r="B138" t="s">
        <v>4515</v>
      </c>
      <c r="C138" t="s">
        <v>5476</v>
      </c>
      <c r="D138" t="s">
        <v>913</v>
      </c>
      <c r="T138">
        <v>227.72800852</v>
      </c>
      <c r="W138" t="s">
        <v>4832</v>
      </c>
      <c r="X138" t="s">
        <v>4357</v>
      </c>
    </row>
    <row r="139" spans="2:24" x14ac:dyDescent="0.25">
      <c r="B139" t="s">
        <v>4630</v>
      </c>
      <c r="C139" t="s">
        <v>5483</v>
      </c>
      <c r="D139" t="s">
        <v>5482</v>
      </c>
      <c r="T139">
        <v>35.788980729999999</v>
      </c>
      <c r="W139" t="s">
        <v>4832</v>
      </c>
      <c r="X139" t="s">
        <v>4357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95E52-169E-4BB2-BB87-EC8A7C1944EB}">
  <sheetPr codeName="Sheet7" filterMode="1"/>
  <dimension ref="A1:AA1146"/>
  <sheetViews>
    <sheetView workbookViewId="0">
      <selection activeCell="C5" sqref="C5"/>
    </sheetView>
  </sheetViews>
  <sheetFormatPr defaultColWidth="9.140625" defaultRowHeight="15" x14ac:dyDescent="0.25"/>
  <cols>
    <col min="1" max="1" width="9.140625" style="114"/>
    <col min="2" max="2" width="52.7109375" style="114" customWidth="1"/>
    <col min="3" max="3" width="19.42578125" style="114" customWidth="1"/>
    <col min="4" max="4" width="27.28515625" style="114" customWidth="1"/>
    <col min="5" max="8" width="9.140625" style="114"/>
    <col min="9" max="10" width="12.28515625" style="114" bestFit="1" customWidth="1"/>
    <col min="11" max="18" width="9.28515625" style="114" bestFit="1" customWidth="1"/>
    <col min="19" max="19" width="9.140625" style="114"/>
    <col min="20" max="20" width="9.5703125" style="178" bestFit="1" customWidth="1"/>
    <col min="21" max="21" width="9.28515625" style="114" bestFit="1" customWidth="1"/>
    <col min="22" max="22" width="9.140625" style="114"/>
    <col min="23" max="23" width="18" style="114" customWidth="1"/>
    <col min="24" max="24" width="9.140625" style="114"/>
  </cols>
  <sheetData>
    <row r="1" spans="1:24" x14ac:dyDescent="0.25">
      <c r="A1" s="22"/>
      <c r="B1" s="22" t="s">
        <v>1039</v>
      </c>
      <c r="C1" s="22" t="s">
        <v>1040</v>
      </c>
      <c r="D1" s="22" t="s">
        <v>1041</v>
      </c>
      <c r="E1" s="22" t="s">
        <v>1042</v>
      </c>
      <c r="F1" s="22" t="s">
        <v>1043</v>
      </c>
      <c r="G1" s="22" t="s">
        <v>1044</v>
      </c>
      <c r="H1" s="22" t="s">
        <v>1045</v>
      </c>
      <c r="I1" s="22" t="s">
        <v>1046</v>
      </c>
      <c r="J1" s="22" t="s">
        <v>1047</v>
      </c>
      <c r="K1" s="22" t="s">
        <v>1048</v>
      </c>
      <c r="L1" s="22" t="s">
        <v>1049</v>
      </c>
      <c r="M1" s="22" t="s">
        <v>94</v>
      </c>
      <c r="N1" s="22" t="s">
        <v>100</v>
      </c>
      <c r="O1" s="22" t="s">
        <v>106</v>
      </c>
      <c r="P1" s="22" t="s">
        <v>1050</v>
      </c>
      <c r="Q1" s="22" t="s">
        <v>1051</v>
      </c>
      <c r="R1" s="22" t="s">
        <v>1052</v>
      </c>
      <c r="S1" s="22" t="s">
        <v>1053</v>
      </c>
      <c r="T1" s="22" t="s">
        <v>2817</v>
      </c>
      <c r="U1" s="22" t="s">
        <v>2818</v>
      </c>
      <c r="V1" s="22" t="s">
        <v>1054</v>
      </c>
      <c r="W1" s="106" t="s">
        <v>4826</v>
      </c>
      <c r="X1" s="106" t="s">
        <v>4830</v>
      </c>
    </row>
    <row r="2" spans="1:24" hidden="1" x14ac:dyDescent="0.25">
      <c r="A2" s="114" t="str">
        <f>RIGHT(LEFT(D2,6),4)</f>
        <v>7024</v>
      </c>
      <c r="B2" t="s">
        <v>1055</v>
      </c>
      <c r="C2" t="s">
        <v>696</v>
      </c>
      <c r="D2" t="s">
        <v>695</v>
      </c>
      <c r="E2" t="s">
        <v>586</v>
      </c>
      <c r="F2" t="s">
        <v>1056</v>
      </c>
      <c r="G2" t="s">
        <v>1057</v>
      </c>
      <c r="H2" t="s">
        <v>1058</v>
      </c>
      <c r="I2" t="s">
        <v>90</v>
      </c>
      <c r="J2" t="s">
        <v>90</v>
      </c>
      <c r="K2">
        <v>57.014758860000001</v>
      </c>
      <c r="L2">
        <v>6.4147509100000004</v>
      </c>
      <c r="M2">
        <v>5.5423143699999997</v>
      </c>
      <c r="N2">
        <v>4.9867782900000002</v>
      </c>
      <c r="O2">
        <v>5.9185477000000004</v>
      </c>
      <c r="P2">
        <v>36.922614027039963</v>
      </c>
      <c r="Q2">
        <v>128.00503957000001</v>
      </c>
      <c r="R2">
        <v>20.674075279795989</v>
      </c>
      <c r="S2" t="s">
        <v>30</v>
      </c>
      <c r="T2">
        <v>57.014758860000001</v>
      </c>
      <c r="U2" t="s">
        <v>2819</v>
      </c>
      <c r="V2" t="s">
        <v>1059</v>
      </c>
      <c r="W2" s="114" t="str">
        <f t="shared" ref="W2:W65" si="0">IF(V2="ETF_ETY","ETF",IF(V2="ETF_SOV","ETF",IF(V2="RF_SOV","SOV",IF(V2="-","Cuestionario Integra","Portafolio"))))</f>
        <v>ETF</v>
      </c>
      <c r="X2" s="114" t="str">
        <f t="shared" ref="X2:X65" si="1">IF(V2="ETF_ETY","Otros ETFs",IF(V2="ETF_SOV","Soberanos",W2))</f>
        <v>Otros ETFs</v>
      </c>
    </row>
    <row r="3" spans="1:24" x14ac:dyDescent="0.25">
      <c r="A3" s="114" t="str">
        <f t="shared" ref="A3:A66" si="2">RIGHT(LEFT(D3,6),4)</f>
        <v>0013</v>
      </c>
      <c r="B3" t="s">
        <v>1197</v>
      </c>
      <c r="C3" t="s">
        <v>478</v>
      </c>
      <c r="D3" t="s">
        <v>4279</v>
      </c>
      <c r="E3" t="s">
        <v>422</v>
      </c>
      <c r="F3" t="s">
        <v>4801</v>
      </c>
      <c r="G3" t="s">
        <v>1198</v>
      </c>
      <c r="H3" t="s">
        <v>1119</v>
      </c>
      <c r="I3">
        <v>6949.13</v>
      </c>
      <c r="J3">
        <v>4925.1899999999996</v>
      </c>
      <c r="K3">
        <v>0.71</v>
      </c>
      <c r="L3">
        <v>6.8</v>
      </c>
      <c r="M3">
        <v>5.4</v>
      </c>
      <c r="N3">
        <v>5.0999999999999996</v>
      </c>
      <c r="O3">
        <v>6.2</v>
      </c>
      <c r="P3">
        <v>0</v>
      </c>
      <c r="Q3"/>
      <c r="R3">
        <v>52</v>
      </c>
      <c r="S3" t="s">
        <v>30</v>
      </c>
      <c r="T3">
        <v>0.71</v>
      </c>
      <c r="U3" t="s">
        <v>2819</v>
      </c>
      <c r="V3" t="s">
        <v>1062</v>
      </c>
      <c r="W3" s="114" t="str">
        <f t="shared" si="0"/>
        <v>Portafolio</v>
      </c>
      <c r="X3" s="114" t="str">
        <f t="shared" si="1"/>
        <v>Portafolio</v>
      </c>
    </row>
    <row r="4" spans="1:24" hidden="1" x14ac:dyDescent="0.25">
      <c r="A4" s="114" t="str">
        <f t="shared" si="2"/>
        <v>7024</v>
      </c>
      <c r="B4" t="s">
        <v>1064</v>
      </c>
      <c r="C4" t="s">
        <v>1065</v>
      </c>
      <c r="D4" t="s">
        <v>1066</v>
      </c>
      <c r="E4" t="s">
        <v>586</v>
      </c>
      <c r="F4" t="s">
        <v>1056</v>
      </c>
      <c r="G4" t="s">
        <v>1057</v>
      </c>
      <c r="H4" t="s">
        <v>1067</v>
      </c>
      <c r="I4" t="s">
        <v>90</v>
      </c>
      <c r="J4" t="s">
        <v>90</v>
      </c>
      <c r="K4">
        <v>108.21279921999999</v>
      </c>
      <c r="L4">
        <v>5.89819168</v>
      </c>
      <c r="M4">
        <v>3.98355997</v>
      </c>
      <c r="N4">
        <v>4.6774275699999999</v>
      </c>
      <c r="O4">
        <v>6.3349751699999999</v>
      </c>
      <c r="P4">
        <v>1.8637041381582331</v>
      </c>
      <c r="Q4">
        <v>128.58940118999999</v>
      </c>
      <c r="R4">
        <v>27.426462047046769</v>
      </c>
      <c r="S4" t="s">
        <v>30</v>
      </c>
      <c r="T4">
        <v>108.21279921999999</v>
      </c>
      <c r="U4" t="s">
        <v>2819</v>
      </c>
      <c r="V4" t="s">
        <v>1059</v>
      </c>
      <c r="W4" s="114" t="str">
        <f t="shared" si="0"/>
        <v>ETF</v>
      </c>
      <c r="X4" s="114" t="str">
        <f t="shared" si="1"/>
        <v>Otros ETFs</v>
      </c>
    </row>
    <row r="5" spans="1:24" x14ac:dyDescent="0.25">
      <c r="A5" s="114" t="str">
        <f t="shared" si="2"/>
        <v>0013</v>
      </c>
      <c r="B5" t="s">
        <v>1197</v>
      </c>
      <c r="C5" t="s">
        <v>478</v>
      </c>
      <c r="D5" t="s">
        <v>477</v>
      </c>
      <c r="E5" t="s">
        <v>422</v>
      </c>
      <c r="F5" t="s">
        <v>4801</v>
      </c>
      <c r="G5" t="s">
        <v>1198</v>
      </c>
      <c r="H5" t="s">
        <v>1119</v>
      </c>
      <c r="I5">
        <v>6949.13</v>
      </c>
      <c r="J5">
        <v>4925.1899999999996</v>
      </c>
      <c r="K5">
        <v>0.71</v>
      </c>
      <c r="L5">
        <v>6.8</v>
      </c>
      <c r="M5">
        <v>5.4</v>
      </c>
      <c r="N5">
        <v>5.0999999999999996</v>
      </c>
      <c r="O5">
        <v>6.2</v>
      </c>
      <c r="P5">
        <v>0</v>
      </c>
      <c r="Q5"/>
      <c r="R5">
        <v>52</v>
      </c>
      <c r="S5" t="s">
        <v>30</v>
      </c>
      <c r="T5">
        <v>0.71</v>
      </c>
      <c r="U5" t="s">
        <v>2819</v>
      </c>
      <c r="V5" t="s">
        <v>1062</v>
      </c>
      <c r="W5" s="114" t="str">
        <f t="shared" si="0"/>
        <v>Portafolio</v>
      </c>
      <c r="X5" s="114" t="str">
        <f t="shared" si="1"/>
        <v>Portafolio</v>
      </c>
    </row>
    <row r="6" spans="1:24" hidden="1" x14ac:dyDescent="0.25">
      <c r="A6" s="114" t="str">
        <f t="shared" si="2"/>
        <v>7128</v>
      </c>
      <c r="B6" t="s">
        <v>1068</v>
      </c>
      <c r="C6" t="s">
        <v>1069</v>
      </c>
      <c r="D6" t="s">
        <v>1070</v>
      </c>
      <c r="E6" t="s">
        <v>586</v>
      </c>
      <c r="F6" t="s">
        <v>1056</v>
      </c>
      <c r="G6" t="s">
        <v>1071</v>
      </c>
      <c r="H6" t="s">
        <v>6141</v>
      </c>
      <c r="I6" t="s">
        <v>90</v>
      </c>
      <c r="J6" t="s">
        <v>90</v>
      </c>
      <c r="K6">
        <v>53.785703929999997</v>
      </c>
      <c r="L6">
        <v>6.4743400099999997</v>
      </c>
      <c r="M6">
        <v>5.9538934599999997</v>
      </c>
      <c r="N6">
        <v>5.2023709</v>
      </c>
      <c r="O6">
        <v>5.7875758499999996</v>
      </c>
      <c r="P6">
        <v>18.37738969408904</v>
      </c>
      <c r="Q6">
        <v>147.96254690000001</v>
      </c>
      <c r="R6">
        <v>17.699029869530602</v>
      </c>
      <c r="S6" t="s">
        <v>30</v>
      </c>
      <c r="T6">
        <v>53.785703929999997</v>
      </c>
      <c r="U6" t="s">
        <v>2819</v>
      </c>
      <c r="V6" t="s">
        <v>1059</v>
      </c>
      <c r="W6" s="114" t="str">
        <f t="shared" si="0"/>
        <v>ETF</v>
      </c>
      <c r="X6" s="114" t="str">
        <f t="shared" si="1"/>
        <v>Otros ETFs</v>
      </c>
    </row>
    <row r="7" spans="1:24" x14ac:dyDescent="0.25">
      <c r="A7" s="114" t="str">
        <f t="shared" si="2"/>
        <v>0013</v>
      </c>
      <c r="B7" t="s">
        <v>1197</v>
      </c>
      <c r="C7" t="s">
        <v>374</v>
      </c>
      <c r="D7" t="s">
        <v>3364</v>
      </c>
      <c r="E7" t="s">
        <v>350</v>
      </c>
      <c r="F7" t="s">
        <v>4802</v>
      </c>
      <c r="G7" t="s">
        <v>1198</v>
      </c>
      <c r="H7" t="s">
        <v>1119</v>
      </c>
      <c r="I7">
        <v>6949.13</v>
      </c>
      <c r="J7">
        <v>4925.1899999999996</v>
      </c>
      <c r="K7">
        <v>0.71</v>
      </c>
      <c r="L7">
        <v>6.8</v>
      </c>
      <c r="M7">
        <v>5.4</v>
      </c>
      <c r="N7">
        <v>5.0999999999999996</v>
      </c>
      <c r="O7">
        <v>6.2</v>
      </c>
      <c r="P7">
        <v>0</v>
      </c>
      <c r="Q7"/>
      <c r="R7">
        <v>52</v>
      </c>
      <c r="S7" t="s">
        <v>30</v>
      </c>
      <c r="T7">
        <v>0.71</v>
      </c>
      <c r="U7" t="s">
        <v>2819</v>
      </c>
      <c r="V7" t="s">
        <v>1062</v>
      </c>
      <c r="W7" s="114" t="str">
        <f t="shared" si="0"/>
        <v>Portafolio</v>
      </c>
      <c r="X7" s="114" t="str">
        <f t="shared" si="1"/>
        <v>Portafolio</v>
      </c>
    </row>
    <row r="8" spans="1:24" hidden="1" x14ac:dyDescent="0.25">
      <c r="A8" s="114" t="str">
        <f t="shared" si="2"/>
        <v>7024</v>
      </c>
      <c r="B8" t="s">
        <v>1074</v>
      </c>
      <c r="C8" t="s">
        <v>1075</v>
      </c>
      <c r="D8" t="s">
        <v>1076</v>
      </c>
      <c r="E8" t="s">
        <v>586</v>
      </c>
      <c r="F8" t="s">
        <v>1056</v>
      </c>
      <c r="G8" t="s">
        <v>1057</v>
      </c>
      <c r="H8" t="s">
        <v>1067</v>
      </c>
      <c r="I8" t="s">
        <v>90</v>
      </c>
      <c r="J8" t="s">
        <v>90</v>
      </c>
      <c r="K8">
        <v>58.206618200000001</v>
      </c>
      <c r="L8">
        <v>5.8981962499999998</v>
      </c>
      <c r="M8">
        <v>4.3477464899999996</v>
      </c>
      <c r="N8">
        <v>4.6642452099999998</v>
      </c>
      <c r="O8">
        <v>6.2750495500000003</v>
      </c>
      <c r="P8">
        <v>1.7640362604361011</v>
      </c>
      <c r="Q8">
        <v>119.76359927</v>
      </c>
      <c r="R8">
        <v>23.71234352226476</v>
      </c>
      <c r="S8" t="s">
        <v>30</v>
      </c>
      <c r="T8">
        <v>58.206618200000001</v>
      </c>
      <c r="U8" t="s">
        <v>2819</v>
      </c>
      <c r="V8" t="s">
        <v>1059</v>
      </c>
      <c r="W8" s="114" t="str">
        <f t="shared" si="0"/>
        <v>ETF</v>
      </c>
      <c r="X8" s="114" t="str">
        <f t="shared" si="1"/>
        <v>Otros ETFs</v>
      </c>
    </row>
    <row r="9" spans="1:24" hidden="1" x14ac:dyDescent="0.25">
      <c r="A9" s="114" t="str">
        <f t="shared" si="2"/>
        <v>5877</v>
      </c>
      <c r="B9" t="s">
        <v>6142</v>
      </c>
      <c r="C9" t="s">
        <v>6143</v>
      </c>
      <c r="D9" t="s">
        <v>4110</v>
      </c>
      <c r="E9" t="s">
        <v>512</v>
      </c>
      <c r="F9" t="s">
        <v>4797</v>
      </c>
      <c r="G9" t="s">
        <v>1061</v>
      </c>
      <c r="H9" t="s">
        <v>1148</v>
      </c>
      <c r="I9">
        <v>1358.31</v>
      </c>
      <c r="J9">
        <v>127214.7</v>
      </c>
      <c r="K9">
        <v>93.66</v>
      </c>
      <c r="L9">
        <v>5</v>
      </c>
      <c r="M9">
        <v>2.4</v>
      </c>
      <c r="N9">
        <v>4.9000000000000004</v>
      </c>
      <c r="O9">
        <v>6.8</v>
      </c>
      <c r="P9">
        <v>1</v>
      </c>
      <c r="Q9"/>
      <c r="R9">
        <v>80</v>
      </c>
      <c r="S9" t="s">
        <v>1063</v>
      </c>
      <c r="T9">
        <v>93.66</v>
      </c>
      <c r="U9" t="s">
        <v>2819</v>
      </c>
      <c r="V9" t="s">
        <v>1062</v>
      </c>
      <c r="W9" s="114" t="str">
        <f t="shared" si="0"/>
        <v>Portafolio</v>
      </c>
      <c r="X9" s="114" t="str">
        <f t="shared" si="1"/>
        <v>Portafolio</v>
      </c>
    </row>
    <row r="10" spans="1:24" hidden="1" x14ac:dyDescent="0.25">
      <c r="A10" s="114" t="str">
        <f t="shared" si="2"/>
        <v>7111</v>
      </c>
      <c r="B10" t="s">
        <v>1077</v>
      </c>
      <c r="C10" t="s">
        <v>1078</v>
      </c>
      <c r="D10" t="s">
        <v>1079</v>
      </c>
      <c r="E10" t="s">
        <v>586</v>
      </c>
      <c r="F10" t="s">
        <v>1056</v>
      </c>
      <c r="G10" t="s">
        <v>1080</v>
      </c>
      <c r="H10" t="s">
        <v>1081</v>
      </c>
      <c r="I10" t="s">
        <v>90</v>
      </c>
      <c r="J10" t="s">
        <v>90</v>
      </c>
      <c r="K10">
        <v>53.595642869999999</v>
      </c>
      <c r="L10">
        <v>7.4726821699999997</v>
      </c>
      <c r="M10">
        <v>5.7494726299999996</v>
      </c>
      <c r="N10">
        <v>4.8852953000000001</v>
      </c>
      <c r="O10">
        <v>7.0688589899999998</v>
      </c>
      <c r="P10">
        <v>34.167937832493998</v>
      </c>
      <c r="Q10">
        <v>79.697539730000003</v>
      </c>
      <c r="R10">
        <v>97.627034948230403</v>
      </c>
      <c r="S10" t="s">
        <v>1073</v>
      </c>
      <c r="T10">
        <v>53.595642869999999</v>
      </c>
      <c r="U10" t="s">
        <v>2819</v>
      </c>
      <c r="V10" t="s">
        <v>1059</v>
      </c>
      <c r="W10" s="114" t="str">
        <f t="shared" si="0"/>
        <v>ETF</v>
      </c>
      <c r="X10" s="114" t="str">
        <f t="shared" si="1"/>
        <v>Otros ETFs</v>
      </c>
    </row>
    <row r="11" spans="1:24" hidden="1" x14ac:dyDescent="0.25">
      <c r="A11" s="114" t="str">
        <f t="shared" si="2"/>
        <v>7111</v>
      </c>
      <c r="B11" t="s">
        <v>1083</v>
      </c>
      <c r="C11" t="s">
        <v>1084</v>
      </c>
      <c r="D11" t="s">
        <v>1085</v>
      </c>
      <c r="E11" t="s">
        <v>586</v>
      </c>
      <c r="F11" t="s">
        <v>1056</v>
      </c>
      <c r="G11" t="s">
        <v>1086</v>
      </c>
      <c r="H11" t="s">
        <v>1087</v>
      </c>
      <c r="I11" t="s">
        <v>90</v>
      </c>
      <c r="J11" t="s">
        <v>90</v>
      </c>
      <c r="K11">
        <v>89.380544119999996</v>
      </c>
      <c r="L11">
        <v>7.2406645100000002</v>
      </c>
      <c r="M11">
        <v>6.3027899300000003</v>
      </c>
      <c r="N11">
        <v>5.4939264899999998</v>
      </c>
      <c r="O11">
        <v>5.9772906900000002</v>
      </c>
      <c r="P11">
        <v>7.438243769384747</v>
      </c>
      <c r="Q11">
        <v>385.11613290999998</v>
      </c>
      <c r="R11">
        <v>20.05185263692556</v>
      </c>
      <c r="S11" t="s">
        <v>1073</v>
      </c>
      <c r="T11">
        <v>89.380544119999996</v>
      </c>
      <c r="U11" t="s">
        <v>2819</v>
      </c>
      <c r="V11" t="s">
        <v>1059</v>
      </c>
      <c r="W11" s="114" t="str">
        <f t="shared" si="0"/>
        <v>ETF</v>
      </c>
      <c r="X11" s="114" t="str">
        <f t="shared" si="1"/>
        <v>Otros ETFs</v>
      </c>
    </row>
    <row r="12" spans="1:24" hidden="1" x14ac:dyDescent="0.25">
      <c r="A12" s="114" t="str">
        <f t="shared" si="2"/>
        <v>7111</v>
      </c>
      <c r="B12" t="s">
        <v>1088</v>
      </c>
      <c r="C12" t="s">
        <v>1089</v>
      </c>
      <c r="D12" t="s">
        <v>1090</v>
      </c>
      <c r="E12" t="s">
        <v>586</v>
      </c>
      <c r="F12" t="s">
        <v>1056</v>
      </c>
      <c r="G12" t="s">
        <v>1091</v>
      </c>
      <c r="H12" t="s">
        <v>1092</v>
      </c>
      <c r="I12" t="s">
        <v>90</v>
      </c>
      <c r="J12" t="s">
        <v>90</v>
      </c>
      <c r="K12">
        <v>53.806130260000003</v>
      </c>
      <c r="L12">
        <v>7.3431224100000003</v>
      </c>
      <c r="M12">
        <v>7.2225872600000001</v>
      </c>
      <c r="N12">
        <v>5.3753898400000004</v>
      </c>
      <c r="O12">
        <v>5.9700975700000001</v>
      </c>
      <c r="P12">
        <v>8.3580063533443028</v>
      </c>
      <c r="Q12">
        <v>101.43980070000001</v>
      </c>
      <c r="R12">
        <v>51.733075574409902</v>
      </c>
      <c r="S12" t="s">
        <v>1073</v>
      </c>
      <c r="T12">
        <v>53.806130260000003</v>
      </c>
      <c r="U12" t="s">
        <v>2819</v>
      </c>
      <c r="V12" t="s">
        <v>1059</v>
      </c>
      <c r="W12" s="114" t="str">
        <f t="shared" si="0"/>
        <v>ETF</v>
      </c>
      <c r="X12" s="114" t="str">
        <f t="shared" si="1"/>
        <v>Otros ETFs</v>
      </c>
    </row>
    <row r="13" spans="1:24" hidden="1" x14ac:dyDescent="0.25">
      <c r="A13" s="114" t="str">
        <f t="shared" si="2"/>
        <v>7111</v>
      </c>
      <c r="B13" t="s">
        <v>1093</v>
      </c>
      <c r="C13" t="s">
        <v>1094</v>
      </c>
      <c r="D13" t="s">
        <v>1095</v>
      </c>
      <c r="E13" t="s">
        <v>586</v>
      </c>
      <c r="F13" t="s">
        <v>1056</v>
      </c>
      <c r="G13" t="s">
        <v>1096</v>
      </c>
      <c r="H13" t="s">
        <v>1097</v>
      </c>
      <c r="I13" t="s">
        <v>90</v>
      </c>
      <c r="J13" t="s">
        <v>90</v>
      </c>
      <c r="K13">
        <v>181.20981843999999</v>
      </c>
      <c r="L13">
        <v>7.9320077800000002</v>
      </c>
      <c r="M13">
        <v>6.1815774799999996</v>
      </c>
      <c r="N13">
        <v>5.9117038099999997</v>
      </c>
      <c r="O13">
        <v>5.7915293200000004</v>
      </c>
      <c r="P13">
        <v>0</v>
      </c>
      <c r="Q13">
        <v>581.24867549999999</v>
      </c>
      <c r="R13">
        <v>41.97899865104182</v>
      </c>
      <c r="S13" t="s">
        <v>1073</v>
      </c>
      <c r="T13">
        <v>181.20981843999999</v>
      </c>
      <c r="U13" t="s">
        <v>2819</v>
      </c>
      <c r="V13" t="s">
        <v>1059</v>
      </c>
      <c r="W13" s="114" t="str">
        <f t="shared" si="0"/>
        <v>ETF</v>
      </c>
      <c r="X13" s="114" t="str">
        <f t="shared" si="1"/>
        <v>Otros ETFs</v>
      </c>
    </row>
    <row r="14" spans="1:24" hidden="1" x14ac:dyDescent="0.25">
      <c r="A14" s="114" t="str">
        <f t="shared" si="2"/>
        <v>7111</v>
      </c>
      <c r="B14" t="s">
        <v>1099</v>
      </c>
      <c r="C14" t="s">
        <v>1100</v>
      </c>
      <c r="D14" t="s">
        <v>1101</v>
      </c>
      <c r="E14" t="s">
        <v>586</v>
      </c>
      <c r="F14" t="s">
        <v>1056</v>
      </c>
      <c r="G14" t="s">
        <v>1102</v>
      </c>
      <c r="H14" t="s">
        <v>1103</v>
      </c>
      <c r="I14" t="s">
        <v>90</v>
      </c>
      <c r="J14" t="s">
        <v>90</v>
      </c>
      <c r="K14">
        <v>12.99359965</v>
      </c>
      <c r="L14">
        <v>8.2997982599999993</v>
      </c>
      <c r="M14">
        <v>6.2531243600000002</v>
      </c>
      <c r="N14">
        <v>5.9299109999999997</v>
      </c>
      <c r="O14">
        <v>7.1356997700000004</v>
      </c>
      <c r="P14">
        <v>2.394862966450924</v>
      </c>
      <c r="Q14">
        <v>16.010492670000001</v>
      </c>
      <c r="R14">
        <v>68.051698248265964</v>
      </c>
      <c r="S14" t="s">
        <v>1073</v>
      </c>
      <c r="T14">
        <v>12.99359965</v>
      </c>
      <c r="U14" t="s">
        <v>2819</v>
      </c>
      <c r="V14" t="s">
        <v>1059</v>
      </c>
      <c r="W14" s="114" t="str">
        <f t="shared" si="0"/>
        <v>ETF</v>
      </c>
      <c r="X14" s="114" t="str">
        <f t="shared" si="1"/>
        <v>Otros ETFs</v>
      </c>
    </row>
    <row r="15" spans="1:24" hidden="1" x14ac:dyDescent="0.25">
      <c r="A15" s="114" t="str">
        <f t="shared" si="2"/>
        <v>7111</v>
      </c>
      <c r="B15" t="s">
        <v>1104</v>
      </c>
      <c r="C15" t="s">
        <v>1105</v>
      </c>
      <c r="D15" t="s">
        <v>1106</v>
      </c>
      <c r="E15" t="s">
        <v>586</v>
      </c>
      <c r="F15" t="s">
        <v>1056</v>
      </c>
      <c r="G15" t="s">
        <v>1107</v>
      </c>
      <c r="H15" t="s">
        <v>1108</v>
      </c>
      <c r="I15" t="s">
        <v>90</v>
      </c>
      <c r="J15" t="s">
        <v>90</v>
      </c>
      <c r="K15">
        <v>56.785901199999998</v>
      </c>
      <c r="L15">
        <v>8.1072597900000005</v>
      </c>
      <c r="M15">
        <v>7.8701994700000002</v>
      </c>
      <c r="N15">
        <v>5.6648287899999996</v>
      </c>
      <c r="O15">
        <v>6.0984194</v>
      </c>
      <c r="P15">
        <v>39.4339594342594</v>
      </c>
      <c r="Q15">
        <v>91.609024640000001</v>
      </c>
      <c r="R15">
        <v>53.933436989116153</v>
      </c>
      <c r="S15" t="s">
        <v>1073</v>
      </c>
      <c r="T15">
        <v>56.785901199999998</v>
      </c>
      <c r="U15" t="s">
        <v>2819</v>
      </c>
      <c r="V15" t="s">
        <v>1059</v>
      </c>
      <c r="W15" s="114" t="str">
        <f t="shared" si="0"/>
        <v>ETF</v>
      </c>
      <c r="X15" s="114" t="str">
        <f t="shared" si="1"/>
        <v>Otros ETFs</v>
      </c>
    </row>
    <row r="16" spans="1:24" hidden="1" x14ac:dyDescent="0.25">
      <c r="A16" s="114" t="str">
        <f t="shared" si="2"/>
        <v>7111</v>
      </c>
      <c r="B16" t="s">
        <v>1109</v>
      </c>
      <c r="C16" t="s">
        <v>1110</v>
      </c>
      <c r="D16" t="s">
        <v>1111</v>
      </c>
      <c r="E16" t="s">
        <v>586</v>
      </c>
      <c r="F16" t="s">
        <v>1056</v>
      </c>
      <c r="G16" t="s">
        <v>1112</v>
      </c>
      <c r="H16" t="s">
        <v>1113</v>
      </c>
      <c r="I16" t="s">
        <v>90</v>
      </c>
      <c r="J16" t="s">
        <v>90</v>
      </c>
      <c r="K16">
        <v>64.771637100000007</v>
      </c>
      <c r="L16">
        <v>7.6989043700000002</v>
      </c>
      <c r="M16">
        <v>5.3464476799999998</v>
      </c>
      <c r="N16">
        <v>5.2486508599999997</v>
      </c>
      <c r="O16">
        <v>7.0149208400000003</v>
      </c>
      <c r="P16">
        <v>21.27095904763047</v>
      </c>
      <c r="Q16">
        <v>225.14532492999999</v>
      </c>
      <c r="R16">
        <v>68.509643261313784</v>
      </c>
      <c r="S16" t="s">
        <v>1073</v>
      </c>
      <c r="T16">
        <v>64.771637100000007</v>
      </c>
      <c r="U16" t="s">
        <v>2819</v>
      </c>
      <c r="V16" t="s">
        <v>1059</v>
      </c>
      <c r="W16" s="114" t="str">
        <f t="shared" si="0"/>
        <v>ETF</v>
      </c>
      <c r="X16" s="114" t="str">
        <f t="shared" si="1"/>
        <v>Otros ETFs</v>
      </c>
    </row>
    <row r="17" spans="1:24" hidden="1" x14ac:dyDescent="0.25">
      <c r="A17" s="114" t="str">
        <f t="shared" si="2"/>
        <v>5024</v>
      </c>
      <c r="B17" t="s">
        <v>5373</v>
      </c>
      <c r="C17" t="s">
        <v>1273</v>
      </c>
      <c r="D17" t="s">
        <v>3119</v>
      </c>
      <c r="E17" t="s">
        <v>191</v>
      </c>
      <c r="F17" t="s">
        <v>4804</v>
      </c>
      <c r="G17" t="s">
        <v>1168</v>
      </c>
      <c r="H17" t="s">
        <v>1176</v>
      </c>
      <c r="I17">
        <v>54358.5</v>
      </c>
      <c r="J17">
        <v>8550000</v>
      </c>
      <c r="K17">
        <v>157.29</v>
      </c>
      <c r="L17">
        <v>3.3</v>
      </c>
      <c r="M17">
        <v>3.6</v>
      </c>
      <c r="N17">
        <v>1.3</v>
      </c>
      <c r="O17">
        <v>5.5</v>
      </c>
      <c r="P17">
        <v>17</v>
      </c>
      <c r="Q17"/>
      <c r="R17">
        <v>34</v>
      </c>
      <c r="S17" t="s">
        <v>1138</v>
      </c>
      <c r="T17">
        <v>157.29</v>
      </c>
      <c r="U17" t="s">
        <v>2819</v>
      </c>
      <c r="V17" t="s">
        <v>1062</v>
      </c>
      <c r="W17" s="114" t="str">
        <f t="shared" si="0"/>
        <v>Portafolio</v>
      </c>
      <c r="X17" s="114" t="str">
        <f t="shared" si="1"/>
        <v>Portafolio</v>
      </c>
    </row>
    <row r="18" spans="1:24" hidden="1" x14ac:dyDescent="0.25">
      <c r="A18" s="114" t="str">
        <f t="shared" si="2"/>
        <v>7111</v>
      </c>
      <c r="B18" t="s">
        <v>1114</v>
      </c>
      <c r="C18" t="s">
        <v>1115</v>
      </c>
      <c r="D18" t="s">
        <v>1116</v>
      </c>
      <c r="E18" t="s">
        <v>586</v>
      </c>
      <c r="F18" t="s">
        <v>1056</v>
      </c>
      <c r="G18" t="s">
        <v>1117</v>
      </c>
      <c r="H18" t="s">
        <v>1118</v>
      </c>
      <c r="I18" t="s">
        <v>90</v>
      </c>
      <c r="J18" t="s">
        <v>90</v>
      </c>
      <c r="K18">
        <v>78.197173269999993</v>
      </c>
      <c r="L18">
        <v>7.1674829100000004</v>
      </c>
      <c r="M18">
        <v>6.37753573</v>
      </c>
      <c r="N18">
        <v>4.7419860700000003</v>
      </c>
      <c r="O18">
        <v>6.4573568699999999</v>
      </c>
      <c r="P18">
        <v>28.50208224622687</v>
      </c>
      <c r="Q18">
        <v>119.87467185</v>
      </c>
      <c r="R18">
        <v>47.306774947469023</v>
      </c>
      <c r="S18" t="s">
        <v>1073</v>
      </c>
      <c r="T18">
        <v>78.197173269999993</v>
      </c>
      <c r="U18" t="s">
        <v>2819</v>
      </c>
      <c r="V18" t="s">
        <v>1059</v>
      </c>
      <c r="W18" s="114" t="str">
        <f t="shared" si="0"/>
        <v>ETF</v>
      </c>
      <c r="X18" s="114" t="str">
        <f t="shared" si="1"/>
        <v>Otros ETFs</v>
      </c>
    </row>
    <row r="19" spans="1:24" hidden="1" x14ac:dyDescent="0.25">
      <c r="A19" s="114" t="str">
        <f t="shared" si="2"/>
        <v>5094</v>
      </c>
      <c r="B19" t="s">
        <v>5747</v>
      </c>
      <c r="C19" t="s">
        <v>864</v>
      </c>
      <c r="D19" t="s">
        <v>3015</v>
      </c>
      <c r="E19" t="s">
        <v>823</v>
      </c>
      <c r="F19" t="s">
        <v>4805</v>
      </c>
      <c r="G19" t="s">
        <v>1296</v>
      </c>
      <c r="H19" t="s">
        <v>1203</v>
      </c>
      <c r="I19">
        <v>48828.2</v>
      </c>
      <c r="J19">
        <v>12677105</v>
      </c>
      <c r="K19">
        <v>259.63</v>
      </c>
      <c r="L19">
        <v>5.7</v>
      </c>
      <c r="M19">
        <v>5.0999999999999996</v>
      </c>
      <c r="N19">
        <v>7.4</v>
      </c>
      <c r="O19">
        <v>5</v>
      </c>
      <c r="P19">
        <v>4</v>
      </c>
      <c r="Q19"/>
      <c r="R19">
        <v>40</v>
      </c>
      <c r="S19" t="s">
        <v>1063</v>
      </c>
      <c r="T19">
        <v>259.63</v>
      </c>
      <c r="U19" t="s">
        <v>2819</v>
      </c>
      <c r="V19" t="s">
        <v>1062</v>
      </c>
      <c r="W19" s="114" t="str">
        <f t="shared" si="0"/>
        <v>Portafolio</v>
      </c>
      <c r="X19" s="114" t="str">
        <f t="shared" si="1"/>
        <v>Portafolio</v>
      </c>
    </row>
    <row r="20" spans="1:24" hidden="1" x14ac:dyDescent="0.25">
      <c r="A20" s="114" t="str">
        <f t="shared" si="2"/>
        <v>7111</v>
      </c>
      <c r="B20" t="s">
        <v>1120</v>
      </c>
      <c r="C20" t="s">
        <v>1121</v>
      </c>
      <c r="D20" t="s">
        <v>1122</v>
      </c>
      <c r="E20" t="s">
        <v>586</v>
      </c>
      <c r="F20" t="s">
        <v>1056</v>
      </c>
      <c r="G20" t="s">
        <v>1123</v>
      </c>
      <c r="H20" t="s">
        <v>1124</v>
      </c>
      <c r="I20" t="s">
        <v>90</v>
      </c>
      <c r="J20" t="s">
        <v>90</v>
      </c>
      <c r="K20">
        <v>57.367031859999997</v>
      </c>
      <c r="L20">
        <v>7.8468457599999999</v>
      </c>
      <c r="M20">
        <v>5.6007906600000004</v>
      </c>
      <c r="N20">
        <v>4.9694269000000002</v>
      </c>
      <c r="O20">
        <v>7.5328770499999997</v>
      </c>
      <c r="P20">
        <v>31.249156245781229</v>
      </c>
      <c r="Q20">
        <v>147.87272654</v>
      </c>
      <c r="R20">
        <v>91.074255371276863</v>
      </c>
      <c r="S20" t="s">
        <v>1073</v>
      </c>
      <c r="T20">
        <v>57.367031859999997</v>
      </c>
      <c r="U20" t="s">
        <v>2819</v>
      </c>
      <c r="V20" t="s">
        <v>1059</v>
      </c>
      <c r="W20" s="114" t="str">
        <f t="shared" si="0"/>
        <v>ETF</v>
      </c>
      <c r="X20" s="114" t="str">
        <f t="shared" si="1"/>
        <v>Otros ETFs</v>
      </c>
    </row>
    <row r="21" spans="1:24" hidden="1" x14ac:dyDescent="0.25">
      <c r="A21" s="114" t="str">
        <f t="shared" si="2"/>
        <v>7111</v>
      </c>
      <c r="B21" t="s">
        <v>1125</v>
      </c>
      <c r="C21" t="s">
        <v>1126</v>
      </c>
      <c r="D21" t="s">
        <v>1127</v>
      </c>
      <c r="E21" t="s">
        <v>586</v>
      </c>
      <c r="F21" t="s">
        <v>1056</v>
      </c>
      <c r="G21" t="s">
        <v>1128</v>
      </c>
      <c r="H21" t="s">
        <v>1129</v>
      </c>
      <c r="I21" t="s">
        <v>90</v>
      </c>
      <c r="J21" t="s">
        <v>90</v>
      </c>
      <c r="K21">
        <v>83.061229190000006</v>
      </c>
      <c r="L21">
        <v>7.7421173000000003</v>
      </c>
      <c r="M21">
        <v>6.8915464100000001</v>
      </c>
      <c r="N21">
        <v>5.7405140899999996</v>
      </c>
      <c r="O21">
        <v>6.2946257499999998</v>
      </c>
      <c r="P21">
        <v>26.20381265239163</v>
      </c>
      <c r="Q21">
        <v>117.81628589</v>
      </c>
      <c r="R21">
        <v>38.056045130415747</v>
      </c>
      <c r="S21" t="s">
        <v>1073</v>
      </c>
      <c r="T21">
        <v>83.061229190000006</v>
      </c>
      <c r="U21" t="s">
        <v>2819</v>
      </c>
      <c r="V21" t="s">
        <v>1059</v>
      </c>
      <c r="W21" s="114" t="str">
        <f t="shared" si="0"/>
        <v>ETF</v>
      </c>
      <c r="X21" s="114" t="str">
        <f t="shared" si="1"/>
        <v>Otros ETFs</v>
      </c>
    </row>
    <row r="22" spans="1:24" hidden="1" x14ac:dyDescent="0.25">
      <c r="A22" s="114" t="str">
        <f t="shared" si="2"/>
        <v>5094</v>
      </c>
      <c r="B22" t="s">
        <v>5747</v>
      </c>
      <c r="C22" t="s">
        <v>958</v>
      </c>
      <c r="D22" t="s">
        <v>957</v>
      </c>
      <c r="E22" t="s">
        <v>823</v>
      </c>
      <c r="F22" t="s">
        <v>4805</v>
      </c>
      <c r="G22" t="s">
        <v>1296</v>
      </c>
      <c r="H22" t="s">
        <v>1203</v>
      </c>
      <c r="I22">
        <v>48828.2</v>
      </c>
      <c r="J22">
        <v>12677105</v>
      </c>
      <c r="K22">
        <v>259.63</v>
      </c>
      <c r="L22">
        <v>5.7</v>
      </c>
      <c r="M22">
        <v>5.0999999999999996</v>
      </c>
      <c r="N22">
        <v>7.4</v>
      </c>
      <c r="O22">
        <v>5</v>
      </c>
      <c r="P22">
        <v>4</v>
      </c>
      <c r="Q22"/>
      <c r="R22">
        <v>40</v>
      </c>
      <c r="S22" t="s">
        <v>1063</v>
      </c>
      <c r="T22">
        <v>259.63</v>
      </c>
      <c r="U22" t="s">
        <v>2819</v>
      </c>
      <c r="V22" t="s">
        <v>1062</v>
      </c>
      <c r="W22" s="114" t="str">
        <f t="shared" si="0"/>
        <v>Portafolio</v>
      </c>
      <c r="X22" s="114" t="str">
        <f t="shared" si="1"/>
        <v>Portafolio</v>
      </c>
    </row>
    <row r="23" spans="1:24" hidden="1" x14ac:dyDescent="0.25">
      <c r="A23" s="114" t="str">
        <f t="shared" si="2"/>
        <v>5094</v>
      </c>
      <c r="B23" t="s">
        <v>5747</v>
      </c>
      <c r="C23" t="s">
        <v>1306</v>
      </c>
      <c r="D23" t="s">
        <v>3014</v>
      </c>
      <c r="E23" t="s">
        <v>823</v>
      </c>
      <c r="F23" t="s">
        <v>4805</v>
      </c>
      <c r="G23" t="s">
        <v>1296</v>
      </c>
      <c r="H23" t="s">
        <v>1203</v>
      </c>
      <c r="I23">
        <v>48828.2</v>
      </c>
      <c r="J23">
        <v>12677105</v>
      </c>
      <c r="K23">
        <v>259.63</v>
      </c>
      <c r="L23">
        <v>5.7</v>
      </c>
      <c r="M23">
        <v>5.0999999999999996</v>
      </c>
      <c r="N23">
        <v>7.4</v>
      </c>
      <c r="O23">
        <v>5</v>
      </c>
      <c r="P23">
        <v>4</v>
      </c>
      <c r="Q23"/>
      <c r="R23">
        <v>40</v>
      </c>
      <c r="S23" t="s">
        <v>1063</v>
      </c>
      <c r="T23">
        <v>259.63</v>
      </c>
      <c r="U23" t="s">
        <v>2819</v>
      </c>
      <c r="V23" t="s">
        <v>1062</v>
      </c>
      <c r="W23" s="114" t="str">
        <f t="shared" si="0"/>
        <v>Portafolio</v>
      </c>
      <c r="X23" s="114" t="str">
        <f t="shared" si="1"/>
        <v>Portafolio</v>
      </c>
    </row>
    <row r="24" spans="1:24" hidden="1" x14ac:dyDescent="0.25">
      <c r="A24" s="114" t="str">
        <f t="shared" si="2"/>
        <v>7111</v>
      </c>
      <c r="B24" t="s">
        <v>1130</v>
      </c>
      <c r="C24" t="s">
        <v>930</v>
      </c>
      <c r="D24" t="s">
        <v>929</v>
      </c>
      <c r="E24" t="s">
        <v>586</v>
      </c>
      <c r="F24" t="s">
        <v>1056</v>
      </c>
      <c r="G24" t="s">
        <v>1131</v>
      </c>
      <c r="H24" t="s">
        <v>1132</v>
      </c>
      <c r="I24" t="s">
        <v>90</v>
      </c>
      <c r="J24" t="s">
        <v>90</v>
      </c>
      <c r="K24">
        <v>165.67688905</v>
      </c>
      <c r="L24">
        <v>5.3131894199999996</v>
      </c>
      <c r="M24">
        <v>4.9208126600000002</v>
      </c>
      <c r="N24">
        <v>5.3666900599999998</v>
      </c>
      <c r="O24">
        <v>4.3770883100000004</v>
      </c>
      <c r="P24">
        <v>12.000303883612579</v>
      </c>
      <c r="Q24">
        <v>255.39352237</v>
      </c>
      <c r="R24">
        <v>0</v>
      </c>
      <c r="S24" t="s">
        <v>1063</v>
      </c>
      <c r="T24">
        <v>165.67688905</v>
      </c>
      <c r="U24" t="s">
        <v>2819</v>
      </c>
      <c r="V24" t="s">
        <v>1059</v>
      </c>
      <c r="W24" s="114" t="str">
        <f t="shared" si="0"/>
        <v>ETF</v>
      </c>
      <c r="X24" s="114" t="str">
        <f t="shared" si="1"/>
        <v>Otros ETFs</v>
      </c>
    </row>
    <row r="25" spans="1:24" hidden="1" x14ac:dyDescent="0.25">
      <c r="A25" s="114" t="str">
        <f t="shared" si="2"/>
        <v>7024</v>
      </c>
      <c r="B25" t="s">
        <v>1133</v>
      </c>
      <c r="C25" t="s">
        <v>1134</v>
      </c>
      <c r="D25" t="s">
        <v>1135</v>
      </c>
      <c r="E25" t="s">
        <v>586</v>
      </c>
      <c r="F25" t="s">
        <v>1056</v>
      </c>
      <c r="G25" t="s">
        <v>1136</v>
      </c>
      <c r="H25" t="s">
        <v>6144</v>
      </c>
      <c r="I25" t="s">
        <v>90</v>
      </c>
      <c r="J25" t="s">
        <v>90</v>
      </c>
      <c r="K25">
        <v>216.60031967</v>
      </c>
      <c r="L25">
        <v>4.69433495</v>
      </c>
      <c r="M25">
        <v>4.3548231599999996</v>
      </c>
      <c r="N25">
        <v>4.5021787299999998</v>
      </c>
      <c r="O25">
        <v>4.9263136899999997</v>
      </c>
      <c r="P25">
        <v>2.718069185452161</v>
      </c>
      <c r="Q25">
        <v>466.15581679000002</v>
      </c>
      <c r="R25">
        <v>7.8344290056700814</v>
      </c>
      <c r="S25" t="s">
        <v>1063</v>
      </c>
      <c r="T25">
        <v>216.60031967</v>
      </c>
      <c r="U25" t="s">
        <v>2819</v>
      </c>
      <c r="V25" t="s">
        <v>1059</v>
      </c>
      <c r="W25" s="114" t="str">
        <f t="shared" si="0"/>
        <v>ETF</v>
      </c>
      <c r="X25" s="114" t="str">
        <f t="shared" si="1"/>
        <v>Otros ETFs</v>
      </c>
    </row>
    <row r="26" spans="1:24" hidden="1" x14ac:dyDescent="0.25">
      <c r="A26" s="114" t="str">
        <f t="shared" si="2"/>
        <v>5094</v>
      </c>
      <c r="B26" t="s">
        <v>5747</v>
      </c>
      <c r="C26" t="s">
        <v>1310</v>
      </c>
      <c r="D26" t="s">
        <v>3003</v>
      </c>
      <c r="E26" t="s">
        <v>823</v>
      </c>
      <c r="F26" t="s">
        <v>4805</v>
      </c>
      <c r="G26" t="s">
        <v>1296</v>
      </c>
      <c r="H26" t="s">
        <v>1203</v>
      </c>
      <c r="I26">
        <v>48828.2</v>
      </c>
      <c r="J26">
        <v>12677105</v>
      </c>
      <c r="K26">
        <v>259.63</v>
      </c>
      <c r="L26">
        <v>5.7</v>
      </c>
      <c r="M26">
        <v>5.0999999999999996</v>
      </c>
      <c r="N26">
        <v>7.4</v>
      </c>
      <c r="O26">
        <v>5</v>
      </c>
      <c r="P26">
        <v>4</v>
      </c>
      <c r="Q26"/>
      <c r="R26">
        <v>40</v>
      </c>
      <c r="S26" t="s">
        <v>1063</v>
      </c>
      <c r="T26">
        <v>259.63</v>
      </c>
      <c r="U26" t="s">
        <v>2819</v>
      </c>
      <c r="V26" t="s">
        <v>1062</v>
      </c>
      <c r="W26" s="114" t="str">
        <f t="shared" si="0"/>
        <v>Portafolio</v>
      </c>
      <c r="X26" s="114" t="str">
        <f t="shared" si="1"/>
        <v>Portafolio</v>
      </c>
    </row>
    <row r="27" spans="1:24" hidden="1" x14ac:dyDescent="0.25">
      <c r="A27" s="114" t="str">
        <f t="shared" si="2"/>
        <v>5094</v>
      </c>
      <c r="B27" t="s">
        <v>5747</v>
      </c>
      <c r="C27" t="s">
        <v>826</v>
      </c>
      <c r="D27" t="s">
        <v>825</v>
      </c>
      <c r="E27" t="s">
        <v>823</v>
      </c>
      <c r="F27" t="s">
        <v>4805</v>
      </c>
      <c r="G27" t="s">
        <v>1296</v>
      </c>
      <c r="H27" t="s">
        <v>1203</v>
      </c>
      <c r="I27">
        <v>48828.2</v>
      </c>
      <c r="J27">
        <v>12677105</v>
      </c>
      <c r="K27">
        <v>259.63</v>
      </c>
      <c r="L27">
        <v>5.7</v>
      </c>
      <c r="M27">
        <v>5.0999999999999996</v>
      </c>
      <c r="N27">
        <v>7.4</v>
      </c>
      <c r="O27">
        <v>5</v>
      </c>
      <c r="P27">
        <v>4</v>
      </c>
      <c r="Q27"/>
      <c r="R27">
        <v>40</v>
      </c>
      <c r="S27" t="s">
        <v>1063</v>
      </c>
      <c r="T27">
        <v>259.63</v>
      </c>
      <c r="U27" t="s">
        <v>2819</v>
      </c>
      <c r="V27" t="s">
        <v>1062</v>
      </c>
      <c r="W27" s="114" t="str">
        <f t="shared" si="0"/>
        <v>Portafolio</v>
      </c>
      <c r="X27" s="114" t="str">
        <f t="shared" si="1"/>
        <v>Portafolio</v>
      </c>
    </row>
    <row r="28" spans="1:24" hidden="1" x14ac:dyDescent="0.25">
      <c r="A28" s="114" t="str">
        <f t="shared" si="2"/>
        <v>7111</v>
      </c>
      <c r="B28" t="s">
        <v>1141</v>
      </c>
      <c r="C28" t="s">
        <v>621</v>
      </c>
      <c r="D28" t="s">
        <v>620</v>
      </c>
      <c r="E28" t="s">
        <v>586</v>
      </c>
      <c r="F28" t="s">
        <v>1056</v>
      </c>
      <c r="G28" t="s">
        <v>1057</v>
      </c>
      <c r="H28" t="s">
        <v>1058</v>
      </c>
      <c r="I28" t="s">
        <v>90</v>
      </c>
      <c r="J28" t="s">
        <v>90</v>
      </c>
      <c r="K28">
        <v>22.706096800000001</v>
      </c>
      <c r="L28">
        <v>6.2691686600000001</v>
      </c>
      <c r="M28">
        <v>6.0621779</v>
      </c>
      <c r="N28">
        <v>5.0681105999999998</v>
      </c>
      <c r="O28">
        <v>5.5033033400000004</v>
      </c>
      <c r="P28">
        <v>35.109086857514463</v>
      </c>
      <c r="Q28">
        <v>85.979522660000001</v>
      </c>
      <c r="R28">
        <v>18.153858508244021</v>
      </c>
      <c r="S28" t="s">
        <v>30</v>
      </c>
      <c r="T28">
        <v>22.706096800000001</v>
      </c>
      <c r="U28" t="s">
        <v>2819</v>
      </c>
      <c r="V28" t="s">
        <v>1059</v>
      </c>
      <c r="W28" s="114" t="str">
        <f t="shared" si="0"/>
        <v>ETF</v>
      </c>
      <c r="X28" s="114" t="str">
        <f t="shared" si="1"/>
        <v>Otros ETFs</v>
      </c>
    </row>
    <row r="29" spans="1:24" hidden="1" x14ac:dyDescent="0.25">
      <c r="A29" s="114" t="str">
        <f t="shared" si="2"/>
        <v>7111</v>
      </c>
      <c r="B29" t="s">
        <v>1142</v>
      </c>
      <c r="C29" t="s">
        <v>1143</v>
      </c>
      <c r="D29" t="s">
        <v>1144</v>
      </c>
      <c r="E29" t="s">
        <v>586</v>
      </c>
      <c r="F29" t="s">
        <v>1056</v>
      </c>
      <c r="G29" t="s">
        <v>1057</v>
      </c>
      <c r="H29" t="s">
        <v>1067</v>
      </c>
      <c r="I29" t="s">
        <v>90</v>
      </c>
      <c r="J29" t="s">
        <v>90</v>
      </c>
      <c r="K29">
        <v>61.331053019999999</v>
      </c>
      <c r="L29">
        <v>5.6933391599999998</v>
      </c>
      <c r="M29">
        <v>4.4406156499999998</v>
      </c>
      <c r="N29">
        <v>4.5129612899999998</v>
      </c>
      <c r="O29">
        <v>6.3162275000000001</v>
      </c>
      <c r="P29">
        <v>1.342749040757325</v>
      </c>
      <c r="Q29">
        <v>106.72554776</v>
      </c>
      <c r="R29">
        <v>26.42541935877583</v>
      </c>
      <c r="S29" t="s">
        <v>1063</v>
      </c>
      <c r="T29">
        <v>61.331053019999999</v>
      </c>
      <c r="U29" t="s">
        <v>2819</v>
      </c>
      <c r="V29" t="s">
        <v>1059</v>
      </c>
      <c r="W29" s="114" t="str">
        <f t="shared" si="0"/>
        <v>ETF</v>
      </c>
      <c r="X29" s="114" t="str">
        <f t="shared" si="1"/>
        <v>Otros ETFs</v>
      </c>
    </row>
    <row r="30" spans="1:24" hidden="1" x14ac:dyDescent="0.25">
      <c r="A30" s="114" t="str">
        <f t="shared" si="2"/>
        <v>5094</v>
      </c>
      <c r="B30" t="s">
        <v>5747</v>
      </c>
      <c r="C30" t="s">
        <v>960</v>
      </c>
      <c r="D30" t="s">
        <v>959</v>
      </c>
      <c r="E30" t="s">
        <v>823</v>
      </c>
      <c r="F30" t="s">
        <v>4805</v>
      </c>
      <c r="G30" t="s">
        <v>1296</v>
      </c>
      <c r="H30" t="s">
        <v>1203</v>
      </c>
      <c r="I30">
        <v>48828.2</v>
      </c>
      <c r="J30">
        <v>12677105</v>
      </c>
      <c r="K30">
        <v>259.63</v>
      </c>
      <c r="L30">
        <v>5.7</v>
      </c>
      <c r="M30">
        <v>5.0999999999999996</v>
      </c>
      <c r="N30">
        <v>7.4</v>
      </c>
      <c r="O30">
        <v>5</v>
      </c>
      <c r="P30">
        <v>4</v>
      </c>
      <c r="Q30"/>
      <c r="R30">
        <v>40</v>
      </c>
      <c r="S30" t="s">
        <v>1063</v>
      </c>
      <c r="T30">
        <v>259.63</v>
      </c>
      <c r="U30" t="s">
        <v>2819</v>
      </c>
      <c r="V30" t="s">
        <v>1062</v>
      </c>
      <c r="W30" s="114" t="str">
        <f t="shared" si="0"/>
        <v>Portafolio</v>
      </c>
      <c r="X30" s="114" t="str">
        <f t="shared" si="1"/>
        <v>Portafolio</v>
      </c>
    </row>
    <row r="31" spans="1:24" hidden="1" x14ac:dyDescent="0.25">
      <c r="A31" s="114" t="str">
        <f t="shared" si="2"/>
        <v>7111</v>
      </c>
      <c r="B31" t="s">
        <v>1146</v>
      </c>
      <c r="C31" t="s">
        <v>934</v>
      </c>
      <c r="D31" t="s">
        <v>933</v>
      </c>
      <c r="E31" t="s">
        <v>586</v>
      </c>
      <c r="F31" t="s">
        <v>1056</v>
      </c>
      <c r="G31" t="s">
        <v>1057</v>
      </c>
      <c r="H31" t="s">
        <v>1067</v>
      </c>
      <c r="I31" t="s">
        <v>90</v>
      </c>
      <c r="J31" t="s">
        <v>90</v>
      </c>
      <c r="K31">
        <v>51.697670369999997</v>
      </c>
      <c r="L31">
        <v>5.4150269399999997</v>
      </c>
      <c r="M31">
        <v>4.2935627600000004</v>
      </c>
      <c r="N31">
        <v>4.3547840799999999</v>
      </c>
      <c r="O31">
        <v>6.2283260399999998</v>
      </c>
      <c r="P31">
        <v>2.1556897762534</v>
      </c>
      <c r="Q31">
        <v>135.77939391999999</v>
      </c>
      <c r="R31">
        <v>21.84317952145717</v>
      </c>
      <c r="S31" t="s">
        <v>1063</v>
      </c>
      <c r="T31">
        <v>51.697670369999997</v>
      </c>
      <c r="U31" t="s">
        <v>2819</v>
      </c>
      <c r="V31" t="s">
        <v>1059</v>
      </c>
      <c r="W31" s="114" t="str">
        <f t="shared" si="0"/>
        <v>ETF</v>
      </c>
      <c r="X31" s="114" t="str">
        <f t="shared" si="1"/>
        <v>Otros ETFs</v>
      </c>
    </row>
    <row r="32" spans="1:24" hidden="1" x14ac:dyDescent="0.25">
      <c r="A32" s="114" t="str">
        <f t="shared" si="2"/>
        <v>5094</v>
      </c>
      <c r="B32" t="s">
        <v>5747</v>
      </c>
      <c r="C32" t="s">
        <v>4777</v>
      </c>
      <c r="D32" t="s">
        <v>4815</v>
      </c>
      <c r="E32" t="s">
        <v>191</v>
      </c>
      <c r="F32" t="s">
        <v>4804</v>
      </c>
      <c r="G32" t="s">
        <v>1296</v>
      </c>
      <c r="H32" t="s">
        <v>1203</v>
      </c>
      <c r="I32">
        <v>48828.2</v>
      </c>
      <c r="J32">
        <v>12677105</v>
      </c>
      <c r="K32">
        <v>259.63</v>
      </c>
      <c r="L32">
        <v>5.7</v>
      </c>
      <c r="M32">
        <v>5.0999999999999996</v>
      </c>
      <c r="N32">
        <v>7.4</v>
      </c>
      <c r="O32">
        <v>5</v>
      </c>
      <c r="P32">
        <v>4</v>
      </c>
      <c r="Q32"/>
      <c r="R32">
        <v>40</v>
      </c>
      <c r="S32" t="s">
        <v>1063</v>
      </c>
      <c r="T32">
        <v>259.63</v>
      </c>
      <c r="U32" t="s">
        <v>2819</v>
      </c>
      <c r="V32" t="s">
        <v>1062</v>
      </c>
      <c r="W32" s="114" t="str">
        <f t="shared" si="0"/>
        <v>Portafolio</v>
      </c>
      <c r="X32" s="114" t="str">
        <f t="shared" si="1"/>
        <v>Portafolio</v>
      </c>
    </row>
    <row r="33" spans="1:24" hidden="1" x14ac:dyDescent="0.25">
      <c r="A33" s="114" t="str">
        <f t="shared" si="2"/>
        <v>6002</v>
      </c>
      <c r="B33" t="s">
        <v>1149</v>
      </c>
      <c r="C33" t="s">
        <v>1150</v>
      </c>
      <c r="D33" t="s">
        <v>1151</v>
      </c>
      <c r="E33" t="s">
        <v>586</v>
      </c>
      <c r="F33" t="s">
        <v>1056</v>
      </c>
      <c r="G33" t="s">
        <v>1057</v>
      </c>
      <c r="H33" t="s">
        <v>1058</v>
      </c>
      <c r="I33" t="s">
        <v>90</v>
      </c>
      <c r="J33" t="s">
        <v>90</v>
      </c>
      <c r="K33">
        <v>43.509505699999998</v>
      </c>
      <c r="L33">
        <v>6.3060096899999998</v>
      </c>
      <c r="M33">
        <v>5.8066481599999999</v>
      </c>
      <c r="N33">
        <v>4.7965229999999996</v>
      </c>
      <c r="O33">
        <v>5.8777195999999998</v>
      </c>
      <c r="P33">
        <v>34.178234178234177</v>
      </c>
      <c r="Q33">
        <v>150.46900457999999</v>
      </c>
      <c r="R33">
        <v>22.4991224991225</v>
      </c>
      <c r="S33" t="s">
        <v>30</v>
      </c>
      <c r="T33">
        <v>43.509505699999998</v>
      </c>
      <c r="U33" t="s">
        <v>2819</v>
      </c>
      <c r="V33" t="s">
        <v>1059</v>
      </c>
      <c r="W33" s="114" t="str">
        <f t="shared" si="0"/>
        <v>ETF</v>
      </c>
      <c r="X33" s="114" t="str">
        <f t="shared" si="1"/>
        <v>Otros ETFs</v>
      </c>
    </row>
    <row r="34" spans="1:24" hidden="1" x14ac:dyDescent="0.25">
      <c r="A34" s="114" t="str">
        <f t="shared" si="2"/>
        <v>5094</v>
      </c>
      <c r="B34" t="s">
        <v>5747</v>
      </c>
      <c r="C34" t="s">
        <v>4816</v>
      </c>
      <c r="D34" t="s">
        <v>4817</v>
      </c>
      <c r="E34" t="s">
        <v>823</v>
      </c>
      <c r="F34" t="s">
        <v>4805</v>
      </c>
      <c r="G34" t="s">
        <v>1296</v>
      </c>
      <c r="H34" t="s">
        <v>1203</v>
      </c>
      <c r="I34">
        <v>48828.2</v>
      </c>
      <c r="J34">
        <v>12677105</v>
      </c>
      <c r="K34">
        <v>259.63</v>
      </c>
      <c r="L34">
        <v>5.7</v>
      </c>
      <c r="M34">
        <v>5.0999999999999996</v>
      </c>
      <c r="N34">
        <v>7.4</v>
      </c>
      <c r="O34">
        <v>5</v>
      </c>
      <c r="P34">
        <v>4</v>
      </c>
      <c r="Q34"/>
      <c r="R34">
        <v>40</v>
      </c>
      <c r="S34" t="s">
        <v>1063</v>
      </c>
      <c r="T34">
        <v>259.63</v>
      </c>
      <c r="U34" t="s">
        <v>2819</v>
      </c>
      <c r="V34" t="s">
        <v>1062</v>
      </c>
      <c r="W34" s="114" t="str">
        <f t="shared" si="0"/>
        <v>Portafolio</v>
      </c>
      <c r="X34" s="114" t="str">
        <f t="shared" si="1"/>
        <v>Portafolio</v>
      </c>
    </row>
    <row r="35" spans="1:24" hidden="1" x14ac:dyDescent="0.25">
      <c r="A35" s="114" t="str">
        <f t="shared" si="2"/>
        <v>7111</v>
      </c>
      <c r="B35" t="s">
        <v>1152</v>
      </c>
      <c r="C35" t="s">
        <v>1153</v>
      </c>
      <c r="D35" t="s">
        <v>1154</v>
      </c>
      <c r="E35" t="s">
        <v>586</v>
      </c>
      <c r="F35" t="s">
        <v>1056</v>
      </c>
      <c r="G35" t="s">
        <v>1057</v>
      </c>
      <c r="H35" t="s">
        <v>1155</v>
      </c>
      <c r="I35" t="s">
        <v>90</v>
      </c>
      <c r="J35" t="s">
        <v>90</v>
      </c>
      <c r="K35">
        <v>2.60227253</v>
      </c>
      <c r="L35">
        <v>6.3560128899999997</v>
      </c>
      <c r="M35">
        <v>6.6826370199999996</v>
      </c>
      <c r="N35">
        <v>4.8123372299999998</v>
      </c>
      <c r="O35">
        <v>5.8124455299999997</v>
      </c>
      <c r="P35">
        <v>57.629227112318667</v>
      </c>
      <c r="Q35">
        <v>12.26393444</v>
      </c>
      <c r="R35">
        <v>17.988246035261891</v>
      </c>
      <c r="S35" t="s">
        <v>30</v>
      </c>
      <c r="T35">
        <v>2.60227253</v>
      </c>
      <c r="U35" t="s">
        <v>2819</v>
      </c>
      <c r="V35" t="s">
        <v>1059</v>
      </c>
      <c r="W35" s="114" t="str">
        <f t="shared" si="0"/>
        <v>ETF</v>
      </c>
      <c r="X35" s="114" t="str">
        <f t="shared" si="1"/>
        <v>Otros ETFs</v>
      </c>
    </row>
    <row r="36" spans="1:24" hidden="1" x14ac:dyDescent="0.25">
      <c r="A36" s="114" t="str">
        <f t="shared" si="2"/>
        <v>5094</v>
      </c>
      <c r="B36" t="s">
        <v>5747</v>
      </c>
      <c r="C36" t="s">
        <v>5622</v>
      </c>
      <c r="D36" t="s">
        <v>5623</v>
      </c>
      <c r="E36" t="s">
        <v>823</v>
      </c>
      <c r="F36" t="s">
        <v>4805</v>
      </c>
      <c r="G36" t="s">
        <v>1296</v>
      </c>
      <c r="H36" t="s">
        <v>1203</v>
      </c>
      <c r="I36">
        <v>48828.2</v>
      </c>
      <c r="J36">
        <v>12677105</v>
      </c>
      <c r="K36">
        <v>259.63</v>
      </c>
      <c r="L36">
        <v>5.7</v>
      </c>
      <c r="M36">
        <v>5.0999999999999996</v>
      </c>
      <c r="N36">
        <v>7.4</v>
      </c>
      <c r="O36">
        <v>5</v>
      </c>
      <c r="P36">
        <v>4</v>
      </c>
      <c r="Q36"/>
      <c r="R36">
        <v>40</v>
      </c>
      <c r="S36" t="s">
        <v>1063</v>
      </c>
      <c r="T36">
        <v>259.63</v>
      </c>
      <c r="U36" t="s">
        <v>2819</v>
      </c>
      <c r="V36" t="s">
        <v>1062</v>
      </c>
      <c r="W36" s="114" t="str">
        <f t="shared" si="0"/>
        <v>Portafolio</v>
      </c>
      <c r="X36" s="114" t="str">
        <f t="shared" si="1"/>
        <v>Portafolio</v>
      </c>
    </row>
    <row r="37" spans="1:24" hidden="1" x14ac:dyDescent="0.25">
      <c r="A37" s="114" t="str">
        <f t="shared" si="2"/>
        <v>7111</v>
      </c>
      <c r="B37" t="s">
        <v>1156</v>
      </c>
      <c r="C37" t="s">
        <v>1157</v>
      </c>
      <c r="D37" t="s">
        <v>1158</v>
      </c>
      <c r="E37" t="s">
        <v>586</v>
      </c>
      <c r="F37" t="s">
        <v>1056</v>
      </c>
      <c r="G37" t="s">
        <v>1057</v>
      </c>
      <c r="H37" t="s">
        <v>1159</v>
      </c>
      <c r="I37" t="s">
        <v>90</v>
      </c>
      <c r="J37" t="s">
        <v>90</v>
      </c>
      <c r="K37">
        <v>7.7144141599999996</v>
      </c>
      <c r="L37">
        <v>6.1952601400000002</v>
      </c>
      <c r="M37">
        <v>7.3617916299999999</v>
      </c>
      <c r="N37">
        <v>4.5796977300000004</v>
      </c>
      <c r="O37">
        <v>5.4829369000000003</v>
      </c>
      <c r="P37">
        <v>45.585263244210267</v>
      </c>
      <c r="Q37">
        <v>24.260646739999999</v>
      </c>
      <c r="R37">
        <v>28.117115648653051</v>
      </c>
      <c r="S37" t="s">
        <v>30</v>
      </c>
      <c r="T37">
        <v>7.7144141599999996</v>
      </c>
      <c r="U37" t="s">
        <v>2819</v>
      </c>
      <c r="V37" t="s">
        <v>1059</v>
      </c>
      <c r="W37" s="114" t="str">
        <f t="shared" si="0"/>
        <v>ETF</v>
      </c>
      <c r="X37" s="114" t="str">
        <f t="shared" si="1"/>
        <v>Otros ETFs</v>
      </c>
    </row>
    <row r="38" spans="1:24" hidden="1" x14ac:dyDescent="0.25">
      <c r="A38" s="114" t="str">
        <f t="shared" si="2"/>
        <v>7111</v>
      </c>
      <c r="B38" t="s">
        <v>1160</v>
      </c>
      <c r="C38" t="s">
        <v>1161</v>
      </c>
      <c r="D38" t="s">
        <v>1162</v>
      </c>
      <c r="E38" t="s">
        <v>586</v>
      </c>
      <c r="F38" t="s">
        <v>1056</v>
      </c>
      <c r="G38" t="s">
        <v>1163</v>
      </c>
      <c r="H38" t="s">
        <v>1164</v>
      </c>
      <c r="I38" t="s">
        <v>90</v>
      </c>
      <c r="J38" t="s">
        <v>90</v>
      </c>
      <c r="K38">
        <v>51.388633919999997</v>
      </c>
      <c r="L38">
        <v>7.8492354600000001</v>
      </c>
      <c r="M38">
        <v>6.4553028799999996</v>
      </c>
      <c r="N38">
        <v>5.3031889799999998</v>
      </c>
      <c r="O38">
        <v>6.7172154700000002</v>
      </c>
      <c r="P38">
        <v>25.878725878725881</v>
      </c>
      <c r="Q38">
        <v>81.743440730000003</v>
      </c>
      <c r="R38">
        <v>64.7036647036647</v>
      </c>
      <c r="S38" t="s">
        <v>1073</v>
      </c>
      <c r="T38">
        <v>51.388633919999997</v>
      </c>
      <c r="U38" t="s">
        <v>2819</v>
      </c>
      <c r="V38" t="s">
        <v>1059</v>
      </c>
      <c r="W38" s="114" t="str">
        <f t="shared" si="0"/>
        <v>ETF</v>
      </c>
      <c r="X38" s="114" t="str">
        <f t="shared" si="1"/>
        <v>Otros ETFs</v>
      </c>
    </row>
    <row r="39" spans="1:24" hidden="1" x14ac:dyDescent="0.25">
      <c r="A39" s="114" t="str">
        <f t="shared" si="2"/>
        <v>7111</v>
      </c>
      <c r="B39" t="s">
        <v>1165</v>
      </c>
      <c r="C39" t="s">
        <v>1166</v>
      </c>
      <c r="D39" t="s">
        <v>1167</v>
      </c>
      <c r="E39" t="s">
        <v>586</v>
      </c>
      <c r="F39" t="s">
        <v>1056</v>
      </c>
      <c r="G39" t="s">
        <v>1057</v>
      </c>
      <c r="H39" t="s">
        <v>1067</v>
      </c>
      <c r="I39" t="s">
        <v>90</v>
      </c>
      <c r="J39" t="s">
        <v>90</v>
      </c>
      <c r="K39">
        <v>95.336556209999998</v>
      </c>
      <c r="L39">
        <v>5.8048474900000002</v>
      </c>
      <c r="M39">
        <v>4.4016840400000001</v>
      </c>
      <c r="N39">
        <v>4.5781672999999996</v>
      </c>
      <c r="O39">
        <v>6.3726597600000003</v>
      </c>
      <c r="P39">
        <v>2.410837235257957</v>
      </c>
      <c r="Q39">
        <v>132.79530772000001</v>
      </c>
      <c r="R39">
        <v>29.339736692164781</v>
      </c>
      <c r="S39" t="s">
        <v>30</v>
      </c>
      <c r="T39">
        <v>95.336556209999998</v>
      </c>
      <c r="U39" t="s">
        <v>2819</v>
      </c>
      <c r="V39" t="s">
        <v>1059</v>
      </c>
      <c r="W39" s="114" t="str">
        <f t="shared" si="0"/>
        <v>ETF</v>
      </c>
      <c r="X39" s="114" t="str">
        <f t="shared" si="1"/>
        <v>Otros ETFs</v>
      </c>
    </row>
    <row r="40" spans="1:24" hidden="1" x14ac:dyDescent="0.25">
      <c r="A40" s="114" t="str">
        <f t="shared" si="2"/>
        <v>7111</v>
      </c>
      <c r="B40" t="s">
        <v>1169</v>
      </c>
      <c r="C40" t="s">
        <v>938</v>
      </c>
      <c r="D40" t="s">
        <v>937</v>
      </c>
      <c r="E40" t="s">
        <v>586</v>
      </c>
      <c r="F40" t="s">
        <v>1056</v>
      </c>
      <c r="G40" t="s">
        <v>1170</v>
      </c>
      <c r="H40" t="s">
        <v>1171</v>
      </c>
      <c r="I40" t="s">
        <v>90</v>
      </c>
      <c r="J40" t="s">
        <v>90</v>
      </c>
      <c r="K40">
        <v>100.58758148</v>
      </c>
      <c r="L40">
        <v>6.8376012399999997</v>
      </c>
      <c r="M40">
        <v>5.3128049300000004</v>
      </c>
      <c r="N40">
        <v>5.7940074199999998</v>
      </c>
      <c r="O40">
        <v>5.3671681700000002</v>
      </c>
      <c r="P40">
        <v>30.267889141082311</v>
      </c>
      <c r="Q40">
        <v>130.03879515</v>
      </c>
      <c r="R40">
        <v>13.87339226695337</v>
      </c>
      <c r="S40" t="s">
        <v>30</v>
      </c>
      <c r="T40">
        <v>100.58758148</v>
      </c>
      <c r="U40" t="s">
        <v>2819</v>
      </c>
      <c r="V40" t="s">
        <v>1059</v>
      </c>
      <c r="W40" s="114" t="str">
        <f t="shared" si="0"/>
        <v>ETF</v>
      </c>
      <c r="X40" s="114" t="str">
        <f t="shared" si="1"/>
        <v>Otros ETFs</v>
      </c>
    </row>
    <row r="41" spans="1:24" hidden="1" x14ac:dyDescent="0.25">
      <c r="A41" s="114" t="str">
        <f t="shared" si="2"/>
        <v>7111</v>
      </c>
      <c r="B41" t="s">
        <v>1172</v>
      </c>
      <c r="C41" t="s">
        <v>932</v>
      </c>
      <c r="D41" t="s">
        <v>931</v>
      </c>
      <c r="E41" t="s">
        <v>586</v>
      </c>
      <c r="F41" t="s">
        <v>1056</v>
      </c>
      <c r="G41" t="s">
        <v>1163</v>
      </c>
      <c r="H41" t="s">
        <v>1164</v>
      </c>
      <c r="I41" t="s">
        <v>90</v>
      </c>
      <c r="J41" t="s">
        <v>90</v>
      </c>
      <c r="K41">
        <v>61.731639360000003</v>
      </c>
      <c r="L41">
        <v>7.7974922700000002</v>
      </c>
      <c r="M41">
        <v>6.7747846300000001</v>
      </c>
      <c r="N41">
        <v>5.4752625899999998</v>
      </c>
      <c r="O41">
        <v>6.5467632900000003</v>
      </c>
      <c r="P41">
        <v>22.804359630517411</v>
      </c>
      <c r="Q41">
        <v>95.408714090000004</v>
      </c>
      <c r="R41">
        <v>52.112064784453487</v>
      </c>
      <c r="S41" t="s">
        <v>1073</v>
      </c>
      <c r="T41">
        <v>61.731639360000003</v>
      </c>
      <c r="U41" t="s">
        <v>2819</v>
      </c>
      <c r="V41" t="s">
        <v>1059</v>
      </c>
      <c r="W41" s="114" t="str">
        <f t="shared" si="0"/>
        <v>ETF</v>
      </c>
      <c r="X41" s="114" t="str">
        <f t="shared" si="1"/>
        <v>Otros ETFs</v>
      </c>
    </row>
    <row r="42" spans="1:24" hidden="1" x14ac:dyDescent="0.25">
      <c r="A42" s="114" t="str">
        <f t="shared" si="2"/>
        <v>7111</v>
      </c>
      <c r="B42" t="s">
        <v>1173</v>
      </c>
      <c r="C42" t="s">
        <v>607</v>
      </c>
      <c r="D42" t="s">
        <v>606</v>
      </c>
      <c r="E42" t="s">
        <v>586</v>
      </c>
      <c r="F42" t="s">
        <v>1056</v>
      </c>
      <c r="G42" t="s">
        <v>1174</v>
      </c>
      <c r="H42" t="s">
        <v>1175</v>
      </c>
      <c r="I42" t="s">
        <v>90</v>
      </c>
      <c r="J42" t="s">
        <v>90</v>
      </c>
      <c r="K42">
        <v>91.695799449999996</v>
      </c>
      <c r="L42">
        <v>5.5741807899999998</v>
      </c>
      <c r="M42">
        <v>5.8460775099999998</v>
      </c>
      <c r="N42">
        <v>4.7433463099999997</v>
      </c>
      <c r="O42">
        <v>4.8677208900000002</v>
      </c>
      <c r="P42">
        <v>27.195918412244762</v>
      </c>
      <c r="Q42">
        <v>166.78153795</v>
      </c>
      <c r="R42">
        <v>0</v>
      </c>
      <c r="S42" t="s">
        <v>1063</v>
      </c>
      <c r="T42">
        <v>91.695799449999996</v>
      </c>
      <c r="U42" t="s">
        <v>2819</v>
      </c>
      <c r="V42" t="s">
        <v>1059</v>
      </c>
      <c r="W42" s="114" t="str">
        <f t="shared" si="0"/>
        <v>ETF</v>
      </c>
      <c r="X42" s="114" t="str">
        <f t="shared" si="1"/>
        <v>Otros ETFs</v>
      </c>
    </row>
    <row r="43" spans="1:24" hidden="1" x14ac:dyDescent="0.25">
      <c r="A43" s="114" t="str">
        <f t="shared" si="2"/>
        <v>7111</v>
      </c>
      <c r="B43" t="s">
        <v>1177</v>
      </c>
      <c r="C43" t="s">
        <v>1178</v>
      </c>
      <c r="D43" t="s">
        <v>1179</v>
      </c>
      <c r="E43" t="s">
        <v>586</v>
      </c>
      <c r="F43" t="s">
        <v>1056</v>
      </c>
      <c r="G43" t="s">
        <v>1180</v>
      </c>
      <c r="H43" t="s">
        <v>1181</v>
      </c>
      <c r="I43" t="s">
        <v>90</v>
      </c>
      <c r="J43" t="s">
        <v>90</v>
      </c>
      <c r="K43">
        <v>70.227149190000006</v>
      </c>
      <c r="L43">
        <v>6.6194764499999996</v>
      </c>
      <c r="M43">
        <v>5.3579218700000002</v>
      </c>
      <c r="N43">
        <v>5.7386505999999997</v>
      </c>
      <c r="O43">
        <v>5.8925551399999998</v>
      </c>
      <c r="P43">
        <v>7.2282783151650554</v>
      </c>
      <c r="Q43">
        <v>187.09746096999999</v>
      </c>
      <c r="R43">
        <v>1.650895047314858</v>
      </c>
      <c r="S43" t="s">
        <v>30</v>
      </c>
      <c r="T43">
        <v>70.227149190000006</v>
      </c>
      <c r="U43" t="s">
        <v>2819</v>
      </c>
      <c r="V43" t="s">
        <v>1059</v>
      </c>
      <c r="W43" s="114" t="str">
        <f t="shared" si="0"/>
        <v>ETF</v>
      </c>
      <c r="X43" s="114" t="str">
        <f t="shared" si="1"/>
        <v>Otros ETFs</v>
      </c>
    </row>
    <row r="44" spans="1:24" hidden="1" x14ac:dyDescent="0.25">
      <c r="A44" s="114" t="str">
        <f t="shared" si="2"/>
        <v>6001</v>
      </c>
      <c r="B44" t="s">
        <v>1182</v>
      </c>
      <c r="C44" t="s">
        <v>1183</v>
      </c>
      <c r="D44" t="s">
        <v>1184</v>
      </c>
      <c r="E44" t="s">
        <v>586</v>
      </c>
      <c r="F44" t="s">
        <v>1056</v>
      </c>
      <c r="G44" t="s">
        <v>1057</v>
      </c>
      <c r="H44" t="s">
        <v>1058</v>
      </c>
      <c r="I44" t="s">
        <v>90</v>
      </c>
      <c r="J44" t="s">
        <v>90</v>
      </c>
      <c r="K44">
        <v>7.4816443399999999</v>
      </c>
      <c r="L44">
        <v>6.9410342299999996</v>
      </c>
      <c r="M44">
        <v>6.4204318000000002</v>
      </c>
      <c r="N44">
        <v>5.1785164300000002</v>
      </c>
      <c r="O44">
        <v>5.5409268899999997</v>
      </c>
      <c r="P44">
        <v>48.902273071919417</v>
      </c>
      <c r="Q44">
        <v>21.19621223</v>
      </c>
      <c r="R44">
        <v>22.91119615620984</v>
      </c>
      <c r="S44" t="s">
        <v>30</v>
      </c>
      <c r="T44">
        <v>7.4816443399999999</v>
      </c>
      <c r="U44" t="s">
        <v>2819</v>
      </c>
      <c r="V44" t="s">
        <v>1059</v>
      </c>
      <c r="W44" s="114" t="str">
        <f t="shared" si="0"/>
        <v>ETF</v>
      </c>
      <c r="X44" s="114" t="str">
        <f t="shared" si="1"/>
        <v>Otros ETFs</v>
      </c>
    </row>
    <row r="45" spans="1:24" hidden="1" x14ac:dyDescent="0.25">
      <c r="A45" s="114" t="str">
        <f t="shared" si="2"/>
        <v>6001</v>
      </c>
      <c r="B45" t="s">
        <v>6145</v>
      </c>
      <c r="C45" t="s">
        <v>1187</v>
      </c>
      <c r="D45" t="s">
        <v>1188</v>
      </c>
      <c r="E45" t="s">
        <v>586</v>
      </c>
      <c r="F45" t="s">
        <v>1056</v>
      </c>
      <c r="G45" t="s">
        <v>1057</v>
      </c>
      <c r="H45" t="s">
        <v>1189</v>
      </c>
      <c r="I45" t="s">
        <v>90</v>
      </c>
      <c r="J45" t="s">
        <v>90</v>
      </c>
      <c r="K45">
        <v>178.22167554999999</v>
      </c>
      <c r="L45">
        <v>6.9534372299999996</v>
      </c>
      <c r="M45">
        <v>5.4475800899999998</v>
      </c>
      <c r="N45">
        <v>4.6334175499999999</v>
      </c>
      <c r="O45">
        <v>6.6500792999999998</v>
      </c>
      <c r="P45">
        <v>14.81743067300555</v>
      </c>
      <c r="Q45">
        <v>548.17409725000005</v>
      </c>
      <c r="R45">
        <v>26.404047084115451</v>
      </c>
      <c r="S45" t="s">
        <v>30</v>
      </c>
      <c r="T45">
        <v>178.22167554999999</v>
      </c>
      <c r="U45" t="s">
        <v>2819</v>
      </c>
      <c r="V45" t="s">
        <v>1059</v>
      </c>
      <c r="W45" s="114" t="str">
        <f t="shared" si="0"/>
        <v>ETF</v>
      </c>
      <c r="X45" s="114" t="str">
        <f t="shared" si="1"/>
        <v>Otros ETFs</v>
      </c>
    </row>
    <row r="46" spans="1:24" hidden="1" x14ac:dyDescent="0.25">
      <c r="A46" s="114" t="str">
        <f t="shared" si="2"/>
        <v>6001</v>
      </c>
      <c r="B46" t="s">
        <v>6146</v>
      </c>
      <c r="C46" t="s">
        <v>1191</v>
      </c>
      <c r="D46" t="s">
        <v>1192</v>
      </c>
      <c r="E46" t="s">
        <v>586</v>
      </c>
      <c r="F46" t="s">
        <v>1056</v>
      </c>
      <c r="G46" t="s">
        <v>1057</v>
      </c>
      <c r="H46" t="s">
        <v>1155</v>
      </c>
      <c r="I46" t="s">
        <v>90</v>
      </c>
      <c r="J46" t="s">
        <v>90</v>
      </c>
      <c r="K46">
        <v>2.4618726999999998</v>
      </c>
      <c r="L46">
        <v>6.4204166599999999</v>
      </c>
      <c r="M46">
        <v>6.9655080500000004</v>
      </c>
      <c r="N46">
        <v>4.9155027999999996</v>
      </c>
      <c r="O46">
        <v>5.7685714499999996</v>
      </c>
      <c r="P46">
        <v>61.240707075849834</v>
      </c>
      <c r="Q46">
        <v>10.788218909999999</v>
      </c>
      <c r="R46">
        <v>18.08370345301951</v>
      </c>
      <c r="S46" t="s">
        <v>30</v>
      </c>
      <c r="T46">
        <v>2.4618726999999998</v>
      </c>
      <c r="U46" t="s">
        <v>2819</v>
      </c>
      <c r="V46" t="s">
        <v>1059</v>
      </c>
      <c r="W46" s="114" t="str">
        <f t="shared" si="0"/>
        <v>ETF</v>
      </c>
      <c r="X46" s="114" t="str">
        <f t="shared" si="1"/>
        <v>Otros ETFs</v>
      </c>
    </row>
    <row r="47" spans="1:24" hidden="1" x14ac:dyDescent="0.25">
      <c r="A47" s="114" t="str">
        <f t="shared" si="2"/>
        <v>7393</v>
      </c>
      <c r="B47" t="s">
        <v>6147</v>
      </c>
      <c r="C47" t="s">
        <v>1194</v>
      </c>
      <c r="D47" t="s">
        <v>1195</v>
      </c>
      <c r="E47" t="s">
        <v>586</v>
      </c>
      <c r="F47" t="s">
        <v>1056</v>
      </c>
      <c r="G47" t="s">
        <v>1057</v>
      </c>
      <c r="H47" t="s">
        <v>1196</v>
      </c>
      <c r="I47" t="s">
        <v>90</v>
      </c>
      <c r="J47" t="s">
        <v>90</v>
      </c>
      <c r="K47">
        <v>28.1018562</v>
      </c>
      <c r="L47">
        <v>6.2505467799999996</v>
      </c>
      <c r="M47">
        <v>5.0349125499999996</v>
      </c>
      <c r="N47">
        <v>4.2368770500000004</v>
      </c>
      <c r="O47">
        <v>6.0790201899999996</v>
      </c>
      <c r="P47">
        <v>55.704344506329718</v>
      </c>
      <c r="Q47">
        <v>36.417123259999997</v>
      </c>
      <c r="R47">
        <v>27.973899581949581</v>
      </c>
      <c r="S47" t="s">
        <v>30</v>
      </c>
      <c r="T47">
        <v>28.1018562</v>
      </c>
      <c r="U47" t="s">
        <v>2819</v>
      </c>
      <c r="V47" t="s">
        <v>1059</v>
      </c>
      <c r="W47" s="114" t="str">
        <f t="shared" si="0"/>
        <v>ETF</v>
      </c>
      <c r="X47" s="114" t="str">
        <f t="shared" si="1"/>
        <v>Otros ETFs</v>
      </c>
    </row>
    <row r="48" spans="1:24" hidden="1" x14ac:dyDescent="0.25">
      <c r="A48" s="114" t="str">
        <f t="shared" si="2"/>
        <v>6001</v>
      </c>
      <c r="B48" t="s">
        <v>6148</v>
      </c>
      <c r="C48" t="s">
        <v>1200</v>
      </c>
      <c r="D48" t="s">
        <v>1201</v>
      </c>
      <c r="E48" t="s">
        <v>586</v>
      </c>
      <c r="F48" t="s">
        <v>1056</v>
      </c>
      <c r="G48" t="s">
        <v>1057</v>
      </c>
      <c r="H48" t="s">
        <v>1202</v>
      </c>
      <c r="I48" t="s">
        <v>90</v>
      </c>
      <c r="J48" t="s">
        <v>90</v>
      </c>
      <c r="K48">
        <v>8.5737508699999996</v>
      </c>
      <c r="L48">
        <v>5.8672001800000002</v>
      </c>
      <c r="M48">
        <v>6.7833067099999997</v>
      </c>
      <c r="N48">
        <v>3.9679977100000001</v>
      </c>
      <c r="O48">
        <v>5.3491966900000003</v>
      </c>
      <c r="P48">
        <v>55.072841778742472</v>
      </c>
      <c r="Q48">
        <v>50.671606500000003</v>
      </c>
      <c r="R48">
        <v>5.3426631569900724</v>
      </c>
      <c r="S48" t="s">
        <v>30</v>
      </c>
      <c r="T48">
        <v>8.5737508699999996</v>
      </c>
      <c r="U48" t="s">
        <v>2819</v>
      </c>
      <c r="V48" t="s">
        <v>1059</v>
      </c>
      <c r="W48" s="114" t="str">
        <f t="shared" si="0"/>
        <v>ETF</v>
      </c>
      <c r="X48" s="114" t="str">
        <f t="shared" si="1"/>
        <v>Otros ETFs</v>
      </c>
    </row>
    <row r="49" spans="1:24" hidden="1" x14ac:dyDescent="0.25">
      <c r="A49" s="114" t="str">
        <f t="shared" si="2"/>
        <v>6001</v>
      </c>
      <c r="B49" t="s">
        <v>6149</v>
      </c>
      <c r="C49" t="s">
        <v>714</v>
      </c>
      <c r="D49" t="s">
        <v>713</v>
      </c>
      <c r="E49" t="s">
        <v>586</v>
      </c>
      <c r="F49" t="s">
        <v>1056</v>
      </c>
      <c r="G49" t="s">
        <v>1057</v>
      </c>
      <c r="H49" t="s">
        <v>1205</v>
      </c>
      <c r="I49" t="s">
        <v>90</v>
      </c>
      <c r="J49" t="s">
        <v>90</v>
      </c>
      <c r="K49">
        <v>196.46040303999999</v>
      </c>
      <c r="L49">
        <v>5.7479089800000001</v>
      </c>
      <c r="M49">
        <v>4.5904541400000003</v>
      </c>
      <c r="N49">
        <v>6.2973503800000001</v>
      </c>
      <c r="O49">
        <v>5.7336397899999998</v>
      </c>
      <c r="P49">
        <v>55.46770515692716</v>
      </c>
      <c r="Q49">
        <v>400.28994354000002</v>
      </c>
      <c r="R49">
        <v>14.44151350833053</v>
      </c>
      <c r="S49" t="s">
        <v>30</v>
      </c>
      <c r="T49">
        <v>196.46040303999999</v>
      </c>
      <c r="U49" t="s">
        <v>2819</v>
      </c>
      <c r="V49" t="s">
        <v>1059</v>
      </c>
      <c r="W49" s="114" t="str">
        <f t="shared" si="0"/>
        <v>ETF</v>
      </c>
      <c r="X49" s="114" t="str">
        <f t="shared" si="1"/>
        <v>Otros ETFs</v>
      </c>
    </row>
    <row r="50" spans="1:24" hidden="1" x14ac:dyDescent="0.25">
      <c r="A50" s="114" t="str">
        <f t="shared" si="2"/>
        <v>6001</v>
      </c>
      <c r="B50" t="s">
        <v>6150</v>
      </c>
      <c r="C50" t="s">
        <v>1207</v>
      </c>
      <c r="D50" t="s">
        <v>1208</v>
      </c>
      <c r="E50" t="s">
        <v>586</v>
      </c>
      <c r="F50" t="s">
        <v>1056</v>
      </c>
      <c r="G50" t="s">
        <v>1057</v>
      </c>
      <c r="H50" t="s">
        <v>1159</v>
      </c>
      <c r="I50" t="s">
        <v>90</v>
      </c>
      <c r="J50" t="s">
        <v>90</v>
      </c>
      <c r="K50">
        <v>6.9193224100000004</v>
      </c>
      <c r="L50">
        <v>6.4251875299999996</v>
      </c>
      <c r="M50">
        <v>7.4891525999999997</v>
      </c>
      <c r="N50">
        <v>4.6809674399999999</v>
      </c>
      <c r="O50">
        <v>5.5907400899999997</v>
      </c>
      <c r="P50">
        <v>41.900077023669553</v>
      </c>
      <c r="Q50">
        <v>22.11840853</v>
      </c>
      <c r="R50">
        <v>27.488758640187569</v>
      </c>
      <c r="S50" t="s">
        <v>30</v>
      </c>
      <c r="T50">
        <v>6.9193224100000004</v>
      </c>
      <c r="U50" t="s">
        <v>2819</v>
      </c>
      <c r="V50" t="s">
        <v>1059</v>
      </c>
      <c r="W50" s="114" t="str">
        <f t="shared" si="0"/>
        <v>ETF</v>
      </c>
      <c r="X50" s="114" t="str">
        <f t="shared" si="1"/>
        <v>Otros ETFs</v>
      </c>
    </row>
    <row r="51" spans="1:24" hidden="1" x14ac:dyDescent="0.25">
      <c r="A51" s="114" t="str">
        <f t="shared" si="2"/>
        <v>6001</v>
      </c>
      <c r="B51" t="s">
        <v>6151</v>
      </c>
      <c r="C51" t="s">
        <v>1210</v>
      </c>
      <c r="D51" t="s">
        <v>1211</v>
      </c>
      <c r="E51" t="s">
        <v>586</v>
      </c>
      <c r="F51" t="s">
        <v>1056</v>
      </c>
      <c r="G51" t="s">
        <v>1057</v>
      </c>
      <c r="H51" t="s">
        <v>1212</v>
      </c>
      <c r="I51" t="s">
        <v>90</v>
      </c>
      <c r="J51" t="s">
        <v>90</v>
      </c>
      <c r="K51">
        <v>31.115197179999999</v>
      </c>
      <c r="L51">
        <v>6.8761179500000003</v>
      </c>
      <c r="M51">
        <v>5.32879843</v>
      </c>
      <c r="N51">
        <v>4.7692644199999998</v>
      </c>
      <c r="O51">
        <v>6.4543667200000003</v>
      </c>
      <c r="P51">
        <v>20.844700404166218</v>
      </c>
      <c r="Q51">
        <v>81.500081089999995</v>
      </c>
      <c r="R51">
        <v>40.264072591972059</v>
      </c>
      <c r="S51" t="s">
        <v>30</v>
      </c>
      <c r="T51">
        <v>31.115197179999999</v>
      </c>
      <c r="U51" t="s">
        <v>2819</v>
      </c>
      <c r="V51" t="s">
        <v>1059</v>
      </c>
      <c r="W51" s="114" t="str">
        <f t="shared" si="0"/>
        <v>ETF</v>
      </c>
      <c r="X51" s="114" t="str">
        <f t="shared" si="1"/>
        <v>Otros ETFs</v>
      </c>
    </row>
    <row r="52" spans="1:24" hidden="1" x14ac:dyDescent="0.25">
      <c r="A52" s="114" t="str">
        <f t="shared" si="2"/>
        <v>6001</v>
      </c>
      <c r="B52" t="s">
        <v>6152</v>
      </c>
      <c r="C52" t="s">
        <v>1214</v>
      </c>
      <c r="D52" t="s">
        <v>1215</v>
      </c>
      <c r="E52" t="s">
        <v>586</v>
      </c>
      <c r="F52" t="s">
        <v>1056</v>
      </c>
      <c r="G52" t="s">
        <v>1057</v>
      </c>
      <c r="H52" t="s">
        <v>6153</v>
      </c>
      <c r="I52" t="s">
        <v>90</v>
      </c>
      <c r="J52" t="s">
        <v>90</v>
      </c>
      <c r="K52">
        <v>3.3217791600000002</v>
      </c>
      <c r="L52">
        <v>7.0783563999999997</v>
      </c>
      <c r="M52">
        <v>5.6600937199999999</v>
      </c>
      <c r="N52">
        <v>6.1157531000000001</v>
      </c>
      <c r="O52">
        <v>5.7883710300000004</v>
      </c>
      <c r="P52">
        <v>13.22330894452721</v>
      </c>
      <c r="Q52">
        <v>22.43741992</v>
      </c>
      <c r="R52">
        <v>16.42822387345397</v>
      </c>
      <c r="S52" t="s">
        <v>30</v>
      </c>
      <c r="T52">
        <v>3.3217791600000002</v>
      </c>
      <c r="U52" t="s">
        <v>2819</v>
      </c>
      <c r="V52" t="s">
        <v>1059</v>
      </c>
      <c r="W52" s="114" t="str">
        <f t="shared" si="0"/>
        <v>ETF</v>
      </c>
      <c r="X52" s="114" t="str">
        <f t="shared" si="1"/>
        <v>Otros ETFs</v>
      </c>
    </row>
    <row r="53" spans="1:24" hidden="1" x14ac:dyDescent="0.25">
      <c r="A53" s="114" t="str">
        <f t="shared" si="2"/>
        <v>6001</v>
      </c>
      <c r="B53" t="s">
        <v>6154</v>
      </c>
      <c r="C53" t="s">
        <v>1219</v>
      </c>
      <c r="D53" t="s">
        <v>1220</v>
      </c>
      <c r="E53" t="s">
        <v>586</v>
      </c>
      <c r="F53" t="s">
        <v>1056</v>
      </c>
      <c r="G53" t="s">
        <v>1057</v>
      </c>
      <c r="H53" t="s">
        <v>1221</v>
      </c>
      <c r="I53" t="s">
        <v>90</v>
      </c>
      <c r="J53" t="s">
        <v>90</v>
      </c>
      <c r="K53">
        <v>337.41313136000002</v>
      </c>
      <c r="L53">
        <v>6.7746890899999999</v>
      </c>
      <c r="M53">
        <v>6.34850505</v>
      </c>
      <c r="N53">
        <v>5.5551361899999998</v>
      </c>
      <c r="O53">
        <v>6.7813195500000001</v>
      </c>
      <c r="P53">
        <v>5.060823946552012</v>
      </c>
      <c r="Q53">
        <v>1730.50538787</v>
      </c>
      <c r="R53">
        <v>30.728399585820029</v>
      </c>
      <c r="S53" t="s">
        <v>30</v>
      </c>
      <c r="T53">
        <v>337.41313136000002</v>
      </c>
      <c r="U53" t="s">
        <v>2819</v>
      </c>
      <c r="V53" t="s">
        <v>1059</v>
      </c>
      <c r="W53" s="114" t="str">
        <f t="shared" si="0"/>
        <v>ETF</v>
      </c>
      <c r="X53" s="114" t="str">
        <f t="shared" si="1"/>
        <v>Otros ETFs</v>
      </c>
    </row>
    <row r="54" spans="1:24" hidden="1" x14ac:dyDescent="0.25">
      <c r="A54" s="114" t="str">
        <f t="shared" si="2"/>
        <v>6001</v>
      </c>
      <c r="B54" t="s">
        <v>6154</v>
      </c>
      <c r="C54" t="s">
        <v>1219</v>
      </c>
      <c r="D54" t="s">
        <v>1222</v>
      </c>
      <c r="E54" t="s">
        <v>586</v>
      </c>
      <c r="F54" t="s">
        <v>1056</v>
      </c>
      <c r="G54" t="s">
        <v>1057</v>
      </c>
      <c r="H54" t="s">
        <v>1221</v>
      </c>
      <c r="I54" t="s">
        <v>90</v>
      </c>
      <c r="J54" t="s">
        <v>90</v>
      </c>
      <c r="K54">
        <v>337.41313136000002</v>
      </c>
      <c r="L54">
        <v>6.7746890899999999</v>
      </c>
      <c r="M54">
        <v>6.34850505</v>
      </c>
      <c r="N54">
        <v>5.5551361899999998</v>
      </c>
      <c r="O54">
        <v>6.7813195500000001</v>
      </c>
      <c r="P54">
        <v>5.060823946552012</v>
      </c>
      <c r="Q54">
        <v>1730.50538787</v>
      </c>
      <c r="R54">
        <v>30.728399585820029</v>
      </c>
      <c r="S54" t="s">
        <v>30</v>
      </c>
      <c r="T54">
        <v>337.41313136000002</v>
      </c>
      <c r="U54" t="s">
        <v>2819</v>
      </c>
      <c r="V54" t="s">
        <v>1059</v>
      </c>
      <c r="W54" s="114" t="str">
        <f t="shared" si="0"/>
        <v>ETF</v>
      </c>
      <c r="X54" s="114" t="str">
        <f t="shared" si="1"/>
        <v>Otros ETFs</v>
      </c>
    </row>
    <row r="55" spans="1:24" hidden="1" x14ac:dyDescent="0.25">
      <c r="A55" s="114" t="str">
        <f t="shared" si="2"/>
        <v>6001</v>
      </c>
      <c r="B55" t="s">
        <v>1224</v>
      </c>
      <c r="C55" t="s">
        <v>717</v>
      </c>
      <c r="D55" t="s">
        <v>716</v>
      </c>
      <c r="E55" t="s">
        <v>586</v>
      </c>
      <c r="F55" t="s">
        <v>1056</v>
      </c>
      <c r="G55" t="s">
        <v>1057</v>
      </c>
      <c r="H55" t="s">
        <v>1058</v>
      </c>
      <c r="I55" t="s">
        <v>90</v>
      </c>
      <c r="J55" t="s">
        <v>90</v>
      </c>
      <c r="K55">
        <v>22.730523699999999</v>
      </c>
      <c r="L55">
        <v>6.2681696200000001</v>
      </c>
      <c r="M55">
        <v>6.0614809200000002</v>
      </c>
      <c r="N55">
        <v>5.0674123499999997</v>
      </c>
      <c r="O55">
        <v>5.5020723299999998</v>
      </c>
      <c r="P55">
        <v>35.135819856410173</v>
      </c>
      <c r="Q55">
        <v>86.076163969999996</v>
      </c>
      <c r="R55">
        <v>18.132753760804651</v>
      </c>
      <c r="S55" t="s">
        <v>30</v>
      </c>
      <c r="T55">
        <v>22.730523699999999</v>
      </c>
      <c r="U55" t="s">
        <v>2819</v>
      </c>
      <c r="V55" t="s">
        <v>1059</v>
      </c>
      <c r="W55" s="114" t="str">
        <f t="shared" si="0"/>
        <v>ETF</v>
      </c>
      <c r="X55" s="114" t="str">
        <f t="shared" si="1"/>
        <v>Otros ETFs</v>
      </c>
    </row>
    <row r="56" spans="1:24" hidden="1" x14ac:dyDescent="0.25">
      <c r="A56" s="114" t="str">
        <f t="shared" si="2"/>
        <v>6000</v>
      </c>
      <c r="B56" t="s">
        <v>5374</v>
      </c>
      <c r="C56" t="s">
        <v>694</v>
      </c>
      <c r="D56" t="s">
        <v>693</v>
      </c>
      <c r="E56" t="s">
        <v>586</v>
      </c>
      <c r="F56" t="s">
        <v>1056</v>
      </c>
      <c r="G56" t="s">
        <v>1057</v>
      </c>
      <c r="H56" t="s">
        <v>1058</v>
      </c>
      <c r="I56" t="s">
        <v>90</v>
      </c>
      <c r="J56" t="s">
        <v>90</v>
      </c>
      <c r="K56">
        <v>9.1969589999999997</v>
      </c>
      <c r="L56">
        <v>6.25353534</v>
      </c>
      <c r="M56">
        <v>6.1093208600000004</v>
      </c>
      <c r="N56">
        <v>5.2196593599999996</v>
      </c>
      <c r="O56">
        <v>5.43756109</v>
      </c>
      <c r="P56">
        <v>28.978220268827311</v>
      </c>
      <c r="Q56">
        <v>53.972834329999998</v>
      </c>
      <c r="R56">
        <v>14.96106763074437</v>
      </c>
      <c r="S56" t="s">
        <v>30</v>
      </c>
      <c r="T56">
        <v>9.1969589999999997</v>
      </c>
      <c r="U56" t="s">
        <v>2819</v>
      </c>
      <c r="V56" t="s">
        <v>1059</v>
      </c>
      <c r="W56" s="114" t="str">
        <f t="shared" si="0"/>
        <v>ETF</v>
      </c>
      <c r="X56" s="114" t="str">
        <f t="shared" si="1"/>
        <v>Otros ETFs</v>
      </c>
    </row>
    <row r="57" spans="1:24" hidden="1" x14ac:dyDescent="0.25">
      <c r="A57" s="114" t="str">
        <f t="shared" si="2"/>
        <v>2012</v>
      </c>
      <c r="B57" t="s">
        <v>1424</v>
      </c>
      <c r="C57" t="s">
        <v>459</v>
      </c>
      <c r="D57" t="s">
        <v>458</v>
      </c>
      <c r="E57" t="s">
        <v>422</v>
      </c>
      <c r="F57" t="s">
        <v>4801</v>
      </c>
      <c r="G57" t="s">
        <v>1198</v>
      </c>
      <c r="H57" t="s">
        <v>1119</v>
      </c>
      <c r="I57">
        <v>24631.25</v>
      </c>
      <c r="J57">
        <v>17900.96</v>
      </c>
      <c r="K57">
        <v>0.73</v>
      </c>
      <c r="L57">
        <v>7.7</v>
      </c>
      <c r="M57">
        <v>7.7</v>
      </c>
      <c r="N57">
        <v>4.7</v>
      </c>
      <c r="O57">
        <v>6.2</v>
      </c>
      <c r="P57">
        <v>0</v>
      </c>
      <c r="Q57"/>
      <c r="R57">
        <v>56</v>
      </c>
      <c r="S57" t="s">
        <v>1073</v>
      </c>
      <c r="T57">
        <v>0.73</v>
      </c>
      <c r="U57" t="s">
        <v>2819</v>
      </c>
      <c r="V57" t="s">
        <v>1062</v>
      </c>
      <c r="W57" s="114" t="str">
        <f t="shared" si="0"/>
        <v>Portafolio</v>
      </c>
      <c r="X57" s="114" t="str">
        <f t="shared" si="1"/>
        <v>Portafolio</v>
      </c>
    </row>
    <row r="58" spans="1:24" hidden="1" x14ac:dyDescent="0.25">
      <c r="A58" s="114" t="str">
        <f t="shared" si="2"/>
        <v>2304</v>
      </c>
      <c r="B58" t="s">
        <v>6155</v>
      </c>
      <c r="C58" t="s">
        <v>325</v>
      </c>
      <c r="D58" t="s">
        <v>324</v>
      </c>
      <c r="E58" t="s">
        <v>249</v>
      </c>
      <c r="F58" t="s">
        <v>4806</v>
      </c>
      <c r="G58" t="s">
        <v>1198</v>
      </c>
      <c r="H58" t="s">
        <v>1284</v>
      </c>
      <c r="I58">
        <v>1707.72</v>
      </c>
      <c r="J58">
        <v>4106</v>
      </c>
      <c r="K58">
        <v>2.4</v>
      </c>
      <c r="L58">
        <v>3.6</v>
      </c>
      <c r="M58">
        <v>7.3</v>
      </c>
      <c r="N58">
        <v>7.1</v>
      </c>
      <c r="O58">
        <v>1</v>
      </c>
      <c r="P58">
        <v>1</v>
      </c>
      <c r="Q58"/>
      <c r="R58">
        <v>0</v>
      </c>
      <c r="S58" t="s">
        <v>1138</v>
      </c>
      <c r="T58">
        <v>2.4</v>
      </c>
      <c r="U58" t="s">
        <v>2819</v>
      </c>
      <c r="V58" t="s">
        <v>1062</v>
      </c>
      <c r="W58" s="114" t="str">
        <f t="shared" si="0"/>
        <v>Portafolio</v>
      </c>
      <c r="X58" s="114" t="str">
        <f t="shared" si="1"/>
        <v>Portafolio</v>
      </c>
    </row>
    <row r="59" spans="1:24" hidden="1" x14ac:dyDescent="0.25">
      <c r="A59" s="114" t="str">
        <f t="shared" si="2"/>
        <v>7512</v>
      </c>
      <c r="B59" t="s">
        <v>5374</v>
      </c>
      <c r="C59" t="s">
        <v>694</v>
      </c>
      <c r="D59" t="s">
        <v>6032</v>
      </c>
      <c r="E59" t="s">
        <v>586</v>
      </c>
      <c r="F59" t="s">
        <v>1056</v>
      </c>
      <c r="G59" t="s">
        <v>1057</v>
      </c>
      <c r="H59" t="s">
        <v>1058</v>
      </c>
      <c r="I59" t="s">
        <v>90</v>
      </c>
      <c r="J59" t="s">
        <v>90</v>
      </c>
      <c r="K59">
        <v>9.1969589999999997</v>
      </c>
      <c r="L59">
        <v>6.25353534</v>
      </c>
      <c r="M59">
        <v>6.1093208600000004</v>
      </c>
      <c r="N59">
        <v>5.2196593599999996</v>
      </c>
      <c r="O59">
        <v>5.43756109</v>
      </c>
      <c r="P59">
        <v>28.978220268827311</v>
      </c>
      <c r="Q59">
        <v>53.972834329999998</v>
      </c>
      <c r="R59">
        <v>14.96106763074437</v>
      </c>
      <c r="S59" t="s">
        <v>30</v>
      </c>
      <c r="T59">
        <v>9.1969589999999997</v>
      </c>
      <c r="U59" t="s">
        <v>2819</v>
      </c>
      <c r="V59" t="s">
        <v>1059</v>
      </c>
      <c r="W59" s="114" t="str">
        <f t="shared" si="0"/>
        <v>ETF</v>
      </c>
      <c r="X59" s="114" t="str">
        <f t="shared" si="1"/>
        <v>Otros ETFs</v>
      </c>
    </row>
    <row r="60" spans="1:24" hidden="1" x14ac:dyDescent="0.25">
      <c r="A60" s="114" t="str">
        <f t="shared" si="2"/>
        <v>2304</v>
      </c>
      <c r="B60" t="s">
        <v>6155</v>
      </c>
      <c r="C60" t="s">
        <v>330</v>
      </c>
      <c r="D60" t="s">
        <v>329</v>
      </c>
      <c r="E60" t="s">
        <v>249</v>
      </c>
      <c r="F60" t="s">
        <v>4806</v>
      </c>
      <c r="G60" t="s">
        <v>1198</v>
      </c>
      <c r="H60" t="s">
        <v>1284</v>
      </c>
      <c r="I60">
        <v>1707.72</v>
      </c>
      <c r="J60">
        <v>4106</v>
      </c>
      <c r="K60">
        <v>2.4</v>
      </c>
      <c r="L60">
        <v>3.6</v>
      </c>
      <c r="M60">
        <v>7.3</v>
      </c>
      <c r="N60">
        <v>7.1</v>
      </c>
      <c r="O60">
        <v>1</v>
      </c>
      <c r="P60">
        <v>1</v>
      </c>
      <c r="Q60"/>
      <c r="R60">
        <v>0</v>
      </c>
      <c r="S60" t="s">
        <v>1138</v>
      </c>
      <c r="T60">
        <v>2.4</v>
      </c>
      <c r="U60" t="s">
        <v>2819</v>
      </c>
      <c r="V60" t="s">
        <v>1062</v>
      </c>
      <c r="W60" s="114" t="str">
        <f t="shared" si="0"/>
        <v>Portafolio</v>
      </c>
      <c r="X60" s="114" t="str">
        <f t="shared" si="1"/>
        <v>Portafolio</v>
      </c>
    </row>
    <row r="61" spans="1:24" hidden="1" x14ac:dyDescent="0.25">
      <c r="A61" s="114" t="str">
        <f t="shared" si="2"/>
        <v>7017</v>
      </c>
      <c r="B61" t="s">
        <v>1227</v>
      </c>
      <c r="C61" t="s">
        <v>1228</v>
      </c>
      <c r="D61" t="s">
        <v>1229</v>
      </c>
      <c r="E61" t="s">
        <v>586</v>
      </c>
      <c r="F61" t="s">
        <v>1056</v>
      </c>
      <c r="G61" t="s">
        <v>1057</v>
      </c>
      <c r="H61" t="s">
        <v>1058</v>
      </c>
      <c r="I61" t="s">
        <v>90</v>
      </c>
      <c r="J61" t="s">
        <v>90</v>
      </c>
      <c r="K61">
        <v>25.553135449999999</v>
      </c>
      <c r="L61">
        <v>6.2041408200000001</v>
      </c>
      <c r="M61">
        <v>5.8642030900000002</v>
      </c>
      <c r="N61">
        <v>5.0037840300000003</v>
      </c>
      <c r="O61">
        <v>5.5947966999999998</v>
      </c>
      <c r="P61">
        <v>31.174141701825949</v>
      </c>
      <c r="Q61">
        <v>92.650555920000002</v>
      </c>
      <c r="R61">
        <v>18.862009274250401</v>
      </c>
      <c r="S61" t="s">
        <v>30</v>
      </c>
      <c r="T61">
        <v>25.553135449999999</v>
      </c>
      <c r="U61" t="s">
        <v>2819</v>
      </c>
      <c r="V61" t="s">
        <v>1059</v>
      </c>
      <c r="W61" s="114" t="str">
        <f t="shared" si="0"/>
        <v>ETF</v>
      </c>
      <c r="X61" s="114" t="str">
        <f t="shared" si="1"/>
        <v>Otros ETFs</v>
      </c>
    </row>
    <row r="62" spans="1:24" hidden="1" x14ac:dyDescent="0.25">
      <c r="A62" s="114" t="str">
        <f t="shared" si="2"/>
        <v>7017</v>
      </c>
      <c r="B62" t="s">
        <v>1230</v>
      </c>
      <c r="C62" t="s">
        <v>1231</v>
      </c>
      <c r="D62" t="s">
        <v>1232</v>
      </c>
      <c r="E62" t="s">
        <v>586</v>
      </c>
      <c r="F62" t="s">
        <v>1056</v>
      </c>
      <c r="G62" t="s">
        <v>1057</v>
      </c>
      <c r="H62" t="s">
        <v>1058</v>
      </c>
      <c r="I62" t="s">
        <v>90</v>
      </c>
      <c r="J62" t="s">
        <v>90</v>
      </c>
      <c r="K62">
        <v>50.61830089</v>
      </c>
      <c r="L62">
        <v>6.4949018900000004</v>
      </c>
      <c r="M62">
        <v>5.8217006500000004</v>
      </c>
      <c r="N62">
        <v>4.9079401000000002</v>
      </c>
      <c r="O62">
        <v>5.9513346800000004</v>
      </c>
      <c r="P62">
        <v>39.844338287721158</v>
      </c>
      <c r="Q62">
        <v>183.96148692</v>
      </c>
      <c r="R62">
        <v>23.002353025883281</v>
      </c>
      <c r="S62" t="s">
        <v>30</v>
      </c>
      <c r="T62">
        <v>50.61830089</v>
      </c>
      <c r="U62" t="s">
        <v>2819</v>
      </c>
      <c r="V62" t="s">
        <v>1059</v>
      </c>
      <c r="W62" s="114" t="str">
        <f t="shared" si="0"/>
        <v>ETF</v>
      </c>
      <c r="X62" s="114" t="str">
        <f t="shared" si="1"/>
        <v>Otros ETFs</v>
      </c>
    </row>
    <row r="63" spans="1:24" hidden="1" x14ac:dyDescent="0.25">
      <c r="A63" s="114" t="str">
        <f t="shared" si="2"/>
        <v>2304</v>
      </c>
      <c r="B63" t="s">
        <v>6155</v>
      </c>
      <c r="C63" t="s">
        <v>322</v>
      </c>
      <c r="D63" t="s">
        <v>321</v>
      </c>
      <c r="E63" t="s">
        <v>249</v>
      </c>
      <c r="F63" t="s">
        <v>4806</v>
      </c>
      <c r="G63" t="s">
        <v>1198</v>
      </c>
      <c r="H63" t="s">
        <v>1284</v>
      </c>
      <c r="I63">
        <v>1707.72</v>
      </c>
      <c r="J63">
        <v>4106</v>
      </c>
      <c r="K63">
        <v>2.4</v>
      </c>
      <c r="L63">
        <v>3.6</v>
      </c>
      <c r="M63">
        <v>7.3</v>
      </c>
      <c r="N63">
        <v>7.1</v>
      </c>
      <c r="O63">
        <v>1</v>
      </c>
      <c r="P63">
        <v>1</v>
      </c>
      <c r="Q63"/>
      <c r="R63">
        <v>0</v>
      </c>
      <c r="S63" t="s">
        <v>1138</v>
      </c>
      <c r="T63">
        <v>2.4</v>
      </c>
      <c r="U63" t="s">
        <v>2819</v>
      </c>
      <c r="V63" t="s">
        <v>1062</v>
      </c>
      <c r="W63" s="114" t="str">
        <f t="shared" si="0"/>
        <v>Portafolio</v>
      </c>
      <c r="X63" s="114" t="str">
        <f t="shared" si="1"/>
        <v>Portafolio</v>
      </c>
    </row>
    <row r="64" spans="1:24" hidden="1" x14ac:dyDescent="0.25">
      <c r="A64" s="114" t="str">
        <f t="shared" si="2"/>
        <v>7111</v>
      </c>
      <c r="B64" t="s">
        <v>1233</v>
      </c>
      <c r="C64" t="s">
        <v>1234</v>
      </c>
      <c r="D64" t="s">
        <v>1235</v>
      </c>
      <c r="E64" t="s">
        <v>586</v>
      </c>
      <c r="F64" t="s">
        <v>1056</v>
      </c>
      <c r="G64" t="s">
        <v>1057</v>
      </c>
      <c r="H64" t="s">
        <v>1155</v>
      </c>
      <c r="I64" t="s">
        <v>90</v>
      </c>
      <c r="J64" t="s">
        <v>90</v>
      </c>
      <c r="K64">
        <v>2.1632900400000001</v>
      </c>
      <c r="L64">
        <v>6.1730361699999996</v>
      </c>
      <c r="M64">
        <v>5.1060543100000002</v>
      </c>
      <c r="N64">
        <v>4.28208097</v>
      </c>
      <c r="O64">
        <v>6.0424990899999997</v>
      </c>
      <c r="P64">
        <v>15.36473206931274</v>
      </c>
      <c r="Q64">
        <v>21.937114879999999</v>
      </c>
      <c r="R64">
        <v>16.68990425566135</v>
      </c>
      <c r="S64" t="s">
        <v>30</v>
      </c>
      <c r="T64">
        <v>2.1632900400000001</v>
      </c>
      <c r="U64" t="s">
        <v>2819</v>
      </c>
      <c r="V64" t="s">
        <v>1059</v>
      </c>
      <c r="W64" s="114" t="str">
        <f t="shared" si="0"/>
        <v>ETF</v>
      </c>
      <c r="X64" s="114" t="str">
        <f t="shared" si="1"/>
        <v>Otros ETFs</v>
      </c>
    </row>
    <row r="65" spans="1:24" hidden="1" x14ac:dyDescent="0.25">
      <c r="A65" s="114" t="str">
        <f t="shared" si="2"/>
        <v>2107</v>
      </c>
      <c r="B65" t="s">
        <v>6156</v>
      </c>
      <c r="C65" t="s">
        <v>430</v>
      </c>
      <c r="D65" t="s">
        <v>429</v>
      </c>
      <c r="E65" t="s">
        <v>422</v>
      </c>
      <c r="F65" t="s">
        <v>4801</v>
      </c>
      <c r="G65" t="s">
        <v>1198</v>
      </c>
      <c r="H65" t="s">
        <v>6157</v>
      </c>
      <c r="I65">
        <v>1376.31</v>
      </c>
      <c r="J65">
        <v>10936.2</v>
      </c>
      <c r="K65">
        <v>7.95</v>
      </c>
      <c r="L65">
        <v>4.3</v>
      </c>
      <c r="M65">
        <v>3.3</v>
      </c>
      <c r="N65">
        <v>6.9</v>
      </c>
      <c r="O65">
        <v>4.9000000000000004</v>
      </c>
      <c r="P65">
        <v>0</v>
      </c>
      <c r="Q65"/>
      <c r="R65">
        <v>23</v>
      </c>
      <c r="S65" t="s">
        <v>1063</v>
      </c>
      <c r="T65">
        <v>7.95</v>
      </c>
      <c r="U65" t="s">
        <v>2819</v>
      </c>
      <c r="V65" t="s">
        <v>1062</v>
      </c>
      <c r="W65" s="114" t="str">
        <f t="shared" si="0"/>
        <v>Portafolio</v>
      </c>
      <c r="X65" s="114" t="str">
        <f t="shared" si="1"/>
        <v>Portafolio</v>
      </c>
    </row>
    <row r="66" spans="1:24" hidden="1" x14ac:dyDescent="0.25">
      <c r="A66" s="114" t="str">
        <f t="shared" si="2"/>
        <v>5412</v>
      </c>
      <c r="B66" t="s">
        <v>1496</v>
      </c>
      <c r="C66" t="s">
        <v>1497</v>
      </c>
      <c r="D66" t="s">
        <v>4258</v>
      </c>
      <c r="E66" t="s">
        <v>512</v>
      </c>
      <c r="F66" t="s">
        <v>4797</v>
      </c>
      <c r="G66" t="s">
        <v>1185</v>
      </c>
      <c r="H66" t="s">
        <v>1140</v>
      </c>
      <c r="I66">
        <v>8680.83</v>
      </c>
      <c r="J66">
        <v>1159733.26</v>
      </c>
      <c r="K66">
        <v>133.6</v>
      </c>
      <c r="L66">
        <v>4.2</v>
      </c>
      <c r="M66">
        <v>2.6</v>
      </c>
      <c r="N66">
        <v>4.8</v>
      </c>
      <c r="O66">
        <v>5.5</v>
      </c>
      <c r="P66">
        <v>0</v>
      </c>
      <c r="Q66"/>
      <c r="R66">
        <v>44</v>
      </c>
      <c r="S66" t="s">
        <v>1138</v>
      </c>
      <c r="T66">
        <v>133.6</v>
      </c>
      <c r="U66" t="s">
        <v>2819</v>
      </c>
      <c r="V66" t="s">
        <v>1062</v>
      </c>
      <c r="W66" s="114" t="str">
        <f t="shared" ref="W66:W129" si="3">IF(V66="ETF_ETY","ETF",IF(V66="ETF_SOV","ETF",IF(V66="RF_SOV","SOV",IF(V66="-","Cuestionario Integra","Portafolio"))))</f>
        <v>Portafolio</v>
      </c>
      <c r="X66" s="114" t="str">
        <f t="shared" ref="X66:X129" si="4">IF(V66="ETF_ETY","Otros ETFs",IF(V66="ETF_SOV","Soberanos",W66))</f>
        <v>Portafolio</v>
      </c>
    </row>
    <row r="67" spans="1:24" hidden="1" x14ac:dyDescent="0.25">
      <c r="A67" s="114" t="str">
        <f t="shared" ref="A67:A130" si="5">RIGHT(LEFT(D67,6),4)</f>
        <v>7111</v>
      </c>
      <c r="B67" t="s">
        <v>1238</v>
      </c>
      <c r="C67" t="s">
        <v>1239</v>
      </c>
      <c r="D67" t="s">
        <v>1240</v>
      </c>
      <c r="E67" t="s">
        <v>586</v>
      </c>
      <c r="F67" t="s">
        <v>1056</v>
      </c>
      <c r="G67" t="s">
        <v>1241</v>
      </c>
      <c r="H67" t="s">
        <v>6158</v>
      </c>
      <c r="I67" t="s">
        <v>90</v>
      </c>
      <c r="J67" t="s">
        <v>90</v>
      </c>
      <c r="K67">
        <v>145.75331588</v>
      </c>
      <c r="L67">
        <v>5.7623444199999998</v>
      </c>
      <c r="M67">
        <v>5.4829318000000002</v>
      </c>
      <c r="N67">
        <v>4.9826708599999998</v>
      </c>
      <c r="O67">
        <v>4.7268834200000001</v>
      </c>
      <c r="P67">
        <v>25.57407442592557</v>
      </c>
      <c r="Q67">
        <v>220.21313115000001</v>
      </c>
      <c r="R67">
        <v>0</v>
      </c>
      <c r="S67" t="s">
        <v>30</v>
      </c>
      <c r="T67">
        <v>145.75331588</v>
      </c>
      <c r="U67" t="s">
        <v>2819</v>
      </c>
      <c r="V67" t="s">
        <v>1059</v>
      </c>
      <c r="W67" s="114" t="str">
        <f t="shared" si="3"/>
        <v>ETF</v>
      </c>
      <c r="X67" s="114" t="str">
        <f t="shared" si="4"/>
        <v>Otros ETFs</v>
      </c>
    </row>
    <row r="68" spans="1:24" hidden="1" x14ac:dyDescent="0.25">
      <c r="A68" s="114" t="str">
        <f t="shared" si="5"/>
        <v>7111</v>
      </c>
      <c r="B68" t="s">
        <v>1244</v>
      </c>
      <c r="C68" t="s">
        <v>1245</v>
      </c>
      <c r="D68" t="s">
        <v>1246</v>
      </c>
      <c r="E68" t="s">
        <v>586</v>
      </c>
      <c r="F68" t="s">
        <v>1056</v>
      </c>
      <c r="G68" t="s">
        <v>1057</v>
      </c>
      <c r="H68" t="s">
        <v>1067</v>
      </c>
      <c r="I68" t="s">
        <v>90</v>
      </c>
      <c r="J68" t="s">
        <v>90</v>
      </c>
      <c r="K68">
        <v>69.500855619999996</v>
      </c>
      <c r="L68">
        <v>6.7063894099999999</v>
      </c>
      <c r="M68">
        <v>5.3637221899999998</v>
      </c>
      <c r="N68">
        <v>5.0477771799999998</v>
      </c>
      <c r="O68">
        <v>6.42854686</v>
      </c>
      <c r="P68">
        <v>6.1131133770423034</v>
      </c>
      <c r="Q68">
        <v>194.93194192999999</v>
      </c>
      <c r="R68">
        <v>30.782772170670821</v>
      </c>
      <c r="S68" t="s">
        <v>30</v>
      </c>
      <c r="T68">
        <v>69.500855619999996</v>
      </c>
      <c r="U68" t="s">
        <v>2819</v>
      </c>
      <c r="V68" t="s">
        <v>1059</v>
      </c>
      <c r="W68" s="114" t="str">
        <f t="shared" si="3"/>
        <v>ETF</v>
      </c>
      <c r="X68" s="114" t="str">
        <f t="shared" si="4"/>
        <v>Otros ETFs</v>
      </c>
    </row>
    <row r="69" spans="1:24" hidden="1" x14ac:dyDescent="0.25">
      <c r="A69" s="114" t="str">
        <f t="shared" si="5"/>
        <v>2083</v>
      </c>
      <c r="B69" t="s">
        <v>1514</v>
      </c>
      <c r="C69" t="s">
        <v>476</v>
      </c>
      <c r="D69" t="s">
        <v>4292</v>
      </c>
      <c r="E69" t="s">
        <v>422</v>
      </c>
      <c r="F69" t="s">
        <v>4801</v>
      </c>
      <c r="G69" t="s">
        <v>1217</v>
      </c>
      <c r="H69" t="s">
        <v>1148</v>
      </c>
      <c r="I69">
        <v>1774.87</v>
      </c>
      <c r="J69">
        <v>128934</v>
      </c>
      <c r="K69">
        <v>72.64</v>
      </c>
      <c r="L69">
        <v>4.7</v>
      </c>
      <c r="M69">
        <v>3.2</v>
      </c>
      <c r="N69">
        <v>4.7</v>
      </c>
      <c r="O69">
        <v>7.2</v>
      </c>
      <c r="P69">
        <v>0</v>
      </c>
      <c r="Q69"/>
      <c r="R69">
        <v>94</v>
      </c>
      <c r="S69" t="s">
        <v>1063</v>
      </c>
      <c r="T69">
        <v>72.64</v>
      </c>
      <c r="U69" t="s">
        <v>2819</v>
      </c>
      <c r="V69" t="s">
        <v>1062</v>
      </c>
      <c r="W69" s="114" t="str">
        <f t="shared" si="3"/>
        <v>Portafolio</v>
      </c>
      <c r="X69" s="114" t="str">
        <f t="shared" si="4"/>
        <v>Portafolio</v>
      </c>
    </row>
    <row r="70" spans="1:24" hidden="1" x14ac:dyDescent="0.25">
      <c r="A70" s="114" t="str">
        <f t="shared" si="5"/>
        <v>7111</v>
      </c>
      <c r="B70" t="s">
        <v>1247</v>
      </c>
      <c r="C70" t="s">
        <v>1248</v>
      </c>
      <c r="D70" t="s">
        <v>1249</v>
      </c>
      <c r="E70" t="s">
        <v>586</v>
      </c>
      <c r="F70" t="s">
        <v>1056</v>
      </c>
      <c r="G70" t="s">
        <v>1057</v>
      </c>
      <c r="H70" t="s">
        <v>1250</v>
      </c>
      <c r="I70" t="s">
        <v>90</v>
      </c>
      <c r="J70" t="s">
        <v>90</v>
      </c>
      <c r="K70">
        <v>11.10464026</v>
      </c>
      <c r="L70">
        <v>8.2594058100000005</v>
      </c>
      <c r="M70">
        <v>5.40827978</v>
      </c>
      <c r="N70">
        <v>6.33461228</v>
      </c>
      <c r="O70">
        <v>6.2186240599999998</v>
      </c>
      <c r="P70">
        <v>0.63532364198485503</v>
      </c>
      <c r="Q70">
        <v>113.03404168</v>
      </c>
      <c r="R70">
        <v>33.904560659638371</v>
      </c>
      <c r="S70" t="s">
        <v>1073</v>
      </c>
      <c r="T70">
        <v>11.10464026</v>
      </c>
      <c r="U70" t="s">
        <v>2819</v>
      </c>
      <c r="V70" t="s">
        <v>1059</v>
      </c>
      <c r="W70" s="114" t="str">
        <f t="shared" si="3"/>
        <v>ETF</v>
      </c>
      <c r="X70" s="114" t="str">
        <f t="shared" si="4"/>
        <v>Otros ETFs</v>
      </c>
    </row>
    <row r="71" spans="1:24" hidden="1" x14ac:dyDescent="0.25">
      <c r="A71" s="114" t="str">
        <f t="shared" si="5"/>
        <v>2083</v>
      </c>
      <c r="B71" t="s">
        <v>1514</v>
      </c>
      <c r="C71" t="s">
        <v>476</v>
      </c>
      <c r="D71" t="s">
        <v>6159</v>
      </c>
      <c r="E71" t="s">
        <v>518</v>
      </c>
      <c r="F71" t="s">
        <v>4814</v>
      </c>
      <c r="G71" t="s">
        <v>1217</v>
      </c>
      <c r="H71" t="s">
        <v>1148</v>
      </c>
      <c r="I71">
        <v>1774.87</v>
      </c>
      <c r="J71">
        <v>128934</v>
      </c>
      <c r="K71">
        <v>72.64</v>
      </c>
      <c r="L71">
        <v>4.7</v>
      </c>
      <c r="M71">
        <v>3.2</v>
      </c>
      <c r="N71">
        <v>4.7</v>
      </c>
      <c r="O71">
        <v>7.2</v>
      </c>
      <c r="P71">
        <v>0</v>
      </c>
      <c r="Q71"/>
      <c r="R71">
        <v>94</v>
      </c>
      <c r="S71" t="s">
        <v>1063</v>
      </c>
      <c r="T71">
        <v>72.64</v>
      </c>
      <c r="U71" t="s">
        <v>2819</v>
      </c>
      <c r="V71" t="s">
        <v>1062</v>
      </c>
      <c r="W71" s="114" t="str">
        <f t="shared" si="3"/>
        <v>Portafolio</v>
      </c>
      <c r="X71" s="114" t="str">
        <f t="shared" si="4"/>
        <v>Portafolio</v>
      </c>
    </row>
    <row r="72" spans="1:24" hidden="1" x14ac:dyDescent="0.25">
      <c r="A72" s="114" t="str">
        <f t="shared" si="5"/>
        <v>7111</v>
      </c>
      <c r="B72" t="s">
        <v>1251</v>
      </c>
      <c r="C72" t="s">
        <v>1252</v>
      </c>
      <c r="D72" t="s">
        <v>1253</v>
      </c>
      <c r="E72" t="s">
        <v>586</v>
      </c>
      <c r="F72" t="s">
        <v>1056</v>
      </c>
      <c r="G72" t="s">
        <v>1057</v>
      </c>
      <c r="H72" t="s">
        <v>6153</v>
      </c>
      <c r="I72" t="s">
        <v>90</v>
      </c>
      <c r="J72" t="s">
        <v>90</v>
      </c>
      <c r="K72">
        <v>8.4584609700000009</v>
      </c>
      <c r="L72">
        <v>7.4646161400000004</v>
      </c>
      <c r="M72">
        <v>5.3770894499999997</v>
      </c>
      <c r="N72">
        <v>6.9520870400000003</v>
      </c>
      <c r="O72">
        <v>6.8399226999999998</v>
      </c>
      <c r="P72">
        <v>0.193818729704582</v>
      </c>
      <c r="Q72">
        <v>55.013933129999998</v>
      </c>
      <c r="R72">
        <v>36.191968407831439</v>
      </c>
      <c r="S72" t="s">
        <v>1073</v>
      </c>
      <c r="T72">
        <v>8.4584609700000009</v>
      </c>
      <c r="U72" t="s">
        <v>2819</v>
      </c>
      <c r="V72" t="s">
        <v>1059</v>
      </c>
      <c r="W72" s="114" t="str">
        <f t="shared" si="3"/>
        <v>ETF</v>
      </c>
      <c r="X72" s="114" t="str">
        <f t="shared" si="4"/>
        <v>Otros ETFs</v>
      </c>
    </row>
    <row r="73" spans="1:24" hidden="1" x14ac:dyDescent="0.25">
      <c r="A73" s="114" t="str">
        <f t="shared" si="5"/>
        <v>2039</v>
      </c>
      <c r="B73" t="s">
        <v>1522</v>
      </c>
      <c r="C73" t="s">
        <v>499</v>
      </c>
      <c r="D73" t="s">
        <v>498</v>
      </c>
      <c r="E73" t="s">
        <v>491</v>
      </c>
      <c r="F73" t="s">
        <v>4807</v>
      </c>
      <c r="G73" t="s">
        <v>1198</v>
      </c>
      <c r="H73" t="s">
        <v>1147</v>
      </c>
      <c r="I73">
        <v>3115.87</v>
      </c>
      <c r="J73">
        <v>355821.57</v>
      </c>
      <c r="K73">
        <v>114.2</v>
      </c>
      <c r="L73">
        <v>5.4</v>
      </c>
      <c r="M73">
        <v>3.4</v>
      </c>
      <c r="N73">
        <v>7.4</v>
      </c>
      <c r="O73">
        <v>2.6</v>
      </c>
      <c r="P73">
        <v>0</v>
      </c>
      <c r="Q73"/>
      <c r="R73">
        <v>2</v>
      </c>
      <c r="S73" t="s">
        <v>1063</v>
      </c>
      <c r="T73">
        <v>114.2</v>
      </c>
      <c r="U73" t="s">
        <v>2819</v>
      </c>
      <c r="V73" t="s">
        <v>1062</v>
      </c>
      <c r="W73" s="114" t="str">
        <f t="shared" si="3"/>
        <v>Portafolio</v>
      </c>
      <c r="X73" s="114" t="str">
        <f t="shared" si="4"/>
        <v>Portafolio</v>
      </c>
    </row>
    <row r="74" spans="1:24" hidden="1" x14ac:dyDescent="0.25">
      <c r="A74" s="114" t="str">
        <f t="shared" si="5"/>
        <v>7111</v>
      </c>
      <c r="B74" t="s">
        <v>1254</v>
      </c>
      <c r="C74" t="s">
        <v>1255</v>
      </c>
      <c r="D74" t="s">
        <v>1256</v>
      </c>
      <c r="E74" t="s">
        <v>586</v>
      </c>
      <c r="F74" t="s">
        <v>1056</v>
      </c>
      <c r="G74" t="s">
        <v>1057</v>
      </c>
      <c r="H74" t="s">
        <v>6153</v>
      </c>
      <c r="I74" t="s">
        <v>90</v>
      </c>
      <c r="J74" t="s">
        <v>90</v>
      </c>
      <c r="K74">
        <v>1.10181799</v>
      </c>
      <c r="L74">
        <v>7.5403241999999997</v>
      </c>
      <c r="M74">
        <v>6.1844483099999996</v>
      </c>
      <c r="N74">
        <v>6.0087615899999998</v>
      </c>
      <c r="O74">
        <v>5.6590556400000001</v>
      </c>
      <c r="P74">
        <v>1.7478132648684099</v>
      </c>
      <c r="Q74">
        <v>17.34536378</v>
      </c>
      <c r="R74">
        <v>11.275208035304169</v>
      </c>
      <c r="S74" t="s">
        <v>1073</v>
      </c>
      <c r="T74">
        <v>1.10181799</v>
      </c>
      <c r="U74" t="s">
        <v>2819</v>
      </c>
      <c r="V74" t="s">
        <v>1059</v>
      </c>
      <c r="W74" s="114" t="str">
        <f t="shared" si="3"/>
        <v>ETF</v>
      </c>
      <c r="X74" s="114" t="str">
        <f t="shared" si="4"/>
        <v>Otros ETFs</v>
      </c>
    </row>
    <row r="75" spans="1:24" hidden="1" x14ac:dyDescent="0.25">
      <c r="A75" s="114" t="str">
        <f t="shared" si="5"/>
        <v>2039</v>
      </c>
      <c r="B75" t="s">
        <v>1522</v>
      </c>
      <c r="C75" t="s">
        <v>341</v>
      </c>
      <c r="D75" t="s">
        <v>340</v>
      </c>
      <c r="E75" t="s">
        <v>249</v>
      </c>
      <c r="F75" t="s">
        <v>4806</v>
      </c>
      <c r="G75" t="s">
        <v>1198</v>
      </c>
      <c r="H75" t="s">
        <v>1147</v>
      </c>
      <c r="I75">
        <v>3115.87</v>
      </c>
      <c r="J75">
        <v>355821.57</v>
      </c>
      <c r="K75">
        <v>114.2</v>
      </c>
      <c r="L75">
        <v>5.4</v>
      </c>
      <c r="M75">
        <v>3.4</v>
      </c>
      <c r="N75">
        <v>7.4</v>
      </c>
      <c r="O75">
        <v>2.6</v>
      </c>
      <c r="P75">
        <v>0</v>
      </c>
      <c r="Q75"/>
      <c r="R75">
        <v>2</v>
      </c>
      <c r="S75" t="s">
        <v>1063</v>
      </c>
      <c r="T75">
        <v>114.2</v>
      </c>
      <c r="U75" t="s">
        <v>2819</v>
      </c>
      <c r="V75" t="s">
        <v>1062</v>
      </c>
      <c r="W75" s="114" t="str">
        <f t="shared" si="3"/>
        <v>Portafolio</v>
      </c>
      <c r="X75" s="114" t="str">
        <f t="shared" si="4"/>
        <v>Portafolio</v>
      </c>
    </row>
    <row r="76" spans="1:24" hidden="1" x14ac:dyDescent="0.25">
      <c r="A76" s="114" t="str">
        <f t="shared" si="5"/>
        <v>7111</v>
      </c>
      <c r="B76" t="s">
        <v>1257</v>
      </c>
      <c r="C76" t="s">
        <v>1258</v>
      </c>
      <c r="D76" t="s">
        <v>1259</v>
      </c>
      <c r="E76" t="s">
        <v>586</v>
      </c>
      <c r="F76" t="s">
        <v>1056</v>
      </c>
      <c r="G76" t="s">
        <v>1260</v>
      </c>
      <c r="H76" t="s">
        <v>1261</v>
      </c>
      <c r="I76" t="s">
        <v>90</v>
      </c>
      <c r="J76" t="s">
        <v>90</v>
      </c>
      <c r="K76">
        <v>51.496181479999997</v>
      </c>
      <c r="L76">
        <v>7.7482327800000004</v>
      </c>
      <c r="M76">
        <v>6.2875317800000001</v>
      </c>
      <c r="N76">
        <v>5.3115792800000001</v>
      </c>
      <c r="O76">
        <v>6.6341579299999998</v>
      </c>
      <c r="P76">
        <v>20.70779646101769</v>
      </c>
      <c r="Q76">
        <v>86.605213230000004</v>
      </c>
      <c r="R76">
        <v>57.751711241443793</v>
      </c>
      <c r="S76" t="s">
        <v>1073</v>
      </c>
      <c r="T76">
        <v>51.496181479999997</v>
      </c>
      <c r="U76" t="s">
        <v>2819</v>
      </c>
      <c r="V76" t="s">
        <v>1059</v>
      </c>
      <c r="W76" s="114" t="str">
        <f t="shared" si="3"/>
        <v>ETF</v>
      </c>
      <c r="X76" s="114" t="str">
        <f t="shared" si="4"/>
        <v>Otros ETFs</v>
      </c>
    </row>
    <row r="77" spans="1:24" hidden="1" x14ac:dyDescent="0.25">
      <c r="A77" s="114" t="str">
        <f t="shared" si="5"/>
        <v>5217</v>
      </c>
      <c r="B77" t="s">
        <v>1532</v>
      </c>
      <c r="C77" t="s">
        <v>1533</v>
      </c>
      <c r="D77" t="s">
        <v>4267</v>
      </c>
      <c r="E77" t="s">
        <v>512</v>
      </c>
      <c r="F77" t="s">
        <v>4797</v>
      </c>
      <c r="G77" t="s">
        <v>1061</v>
      </c>
      <c r="H77" t="s">
        <v>1147</v>
      </c>
      <c r="I77">
        <v>79094.73</v>
      </c>
      <c r="J77">
        <v>3683722</v>
      </c>
      <c r="K77">
        <v>46.57</v>
      </c>
      <c r="L77">
        <v>3.3</v>
      </c>
      <c r="M77">
        <v>2.2999999999999998</v>
      </c>
      <c r="N77">
        <v>3.9</v>
      </c>
      <c r="O77">
        <v>3.7</v>
      </c>
      <c r="P77">
        <v>4</v>
      </c>
      <c r="Q77"/>
      <c r="R77">
        <v>5</v>
      </c>
      <c r="S77" t="s">
        <v>1138</v>
      </c>
      <c r="T77">
        <v>46.57</v>
      </c>
      <c r="U77" t="s">
        <v>2819</v>
      </c>
      <c r="V77" t="s">
        <v>1062</v>
      </c>
      <c r="W77" s="114" t="str">
        <f t="shared" si="3"/>
        <v>Portafolio</v>
      </c>
      <c r="X77" s="114" t="str">
        <f t="shared" si="4"/>
        <v>Portafolio</v>
      </c>
    </row>
    <row r="78" spans="1:24" hidden="1" x14ac:dyDescent="0.25">
      <c r="A78" s="114" t="str">
        <f t="shared" si="5"/>
        <v>7111</v>
      </c>
      <c r="B78" t="s">
        <v>1262</v>
      </c>
      <c r="C78" t="s">
        <v>1263</v>
      </c>
      <c r="D78" t="s">
        <v>1264</v>
      </c>
      <c r="E78" t="s">
        <v>586</v>
      </c>
      <c r="F78" t="s">
        <v>1056</v>
      </c>
      <c r="G78" t="s">
        <v>1265</v>
      </c>
      <c r="H78" t="s">
        <v>1266</v>
      </c>
      <c r="I78" t="s">
        <v>90</v>
      </c>
      <c r="J78" t="s">
        <v>90</v>
      </c>
      <c r="K78">
        <v>57.68783328</v>
      </c>
      <c r="L78">
        <v>7.6400118900000002</v>
      </c>
      <c r="M78">
        <v>5.9383475199999998</v>
      </c>
      <c r="N78">
        <v>5.0612147800000002</v>
      </c>
      <c r="O78">
        <v>6.9932300500000002</v>
      </c>
      <c r="P78">
        <v>20.853862231724911</v>
      </c>
      <c r="Q78">
        <v>175.20118006999999</v>
      </c>
      <c r="R78">
        <v>74.571454560539138</v>
      </c>
      <c r="S78" t="s">
        <v>1073</v>
      </c>
      <c r="T78">
        <v>57.68783328</v>
      </c>
      <c r="U78" t="s">
        <v>2819</v>
      </c>
      <c r="V78" t="s">
        <v>1059</v>
      </c>
      <c r="W78" s="114" t="str">
        <f t="shared" si="3"/>
        <v>ETF</v>
      </c>
      <c r="X78" s="114" t="str">
        <f t="shared" si="4"/>
        <v>Otros ETFs</v>
      </c>
    </row>
    <row r="79" spans="1:24" hidden="1" x14ac:dyDescent="0.25">
      <c r="A79" s="114" t="str">
        <f t="shared" si="5"/>
        <v>5217</v>
      </c>
      <c r="B79" t="s">
        <v>1532</v>
      </c>
      <c r="C79" t="s">
        <v>1535</v>
      </c>
      <c r="D79" t="s">
        <v>3088</v>
      </c>
      <c r="E79" t="s">
        <v>191</v>
      </c>
      <c r="F79" t="s">
        <v>4804</v>
      </c>
      <c r="G79" t="s">
        <v>1061</v>
      </c>
      <c r="H79" t="s">
        <v>1147</v>
      </c>
      <c r="I79">
        <v>79094.73</v>
      </c>
      <c r="J79">
        <v>3683722</v>
      </c>
      <c r="K79">
        <v>46.57</v>
      </c>
      <c r="L79">
        <v>3.3</v>
      </c>
      <c r="M79">
        <v>2.2999999999999998</v>
      </c>
      <c r="N79">
        <v>3.9</v>
      </c>
      <c r="O79">
        <v>3.7</v>
      </c>
      <c r="P79">
        <v>4</v>
      </c>
      <c r="Q79"/>
      <c r="R79">
        <v>5</v>
      </c>
      <c r="S79" t="s">
        <v>1138</v>
      </c>
      <c r="T79">
        <v>46.57</v>
      </c>
      <c r="U79" t="s">
        <v>2819</v>
      </c>
      <c r="V79" t="s">
        <v>1062</v>
      </c>
      <c r="W79" s="114" t="str">
        <f t="shared" si="3"/>
        <v>Portafolio</v>
      </c>
      <c r="X79" s="114" t="str">
        <f t="shared" si="4"/>
        <v>Portafolio</v>
      </c>
    </row>
    <row r="80" spans="1:24" hidden="1" x14ac:dyDescent="0.25">
      <c r="A80" s="114" t="str">
        <f t="shared" si="5"/>
        <v>7111</v>
      </c>
      <c r="B80" t="s">
        <v>1267</v>
      </c>
      <c r="C80" t="s">
        <v>1268</v>
      </c>
      <c r="D80" t="s">
        <v>1269</v>
      </c>
      <c r="E80" t="s">
        <v>586</v>
      </c>
      <c r="F80" t="s">
        <v>1056</v>
      </c>
      <c r="G80" t="s">
        <v>1071</v>
      </c>
      <c r="H80" t="s">
        <v>1205</v>
      </c>
      <c r="I80" t="s">
        <v>90</v>
      </c>
      <c r="J80" t="s">
        <v>90</v>
      </c>
      <c r="K80">
        <v>228.38915384000001</v>
      </c>
      <c r="L80">
        <v>5.9602722000000004</v>
      </c>
      <c r="M80">
        <v>4.7205105200000004</v>
      </c>
      <c r="N80">
        <v>6.2371226699999998</v>
      </c>
      <c r="O80">
        <v>5.8897608000000004</v>
      </c>
      <c r="P80">
        <v>58.923717847435697</v>
      </c>
      <c r="Q80">
        <v>447.99560013000001</v>
      </c>
      <c r="R80">
        <v>37.009274018548027</v>
      </c>
      <c r="S80" t="s">
        <v>30</v>
      </c>
      <c r="T80">
        <v>228.38915384000001</v>
      </c>
      <c r="U80" t="s">
        <v>2819</v>
      </c>
      <c r="V80" t="s">
        <v>1059</v>
      </c>
      <c r="W80" s="114" t="str">
        <f t="shared" si="3"/>
        <v>ETF</v>
      </c>
      <c r="X80" s="114" t="str">
        <f t="shared" si="4"/>
        <v>Otros ETFs</v>
      </c>
    </row>
    <row r="81" spans="1:24" hidden="1" x14ac:dyDescent="0.25">
      <c r="A81" s="114" t="str">
        <f t="shared" si="5"/>
        <v>5217</v>
      </c>
      <c r="B81" t="s">
        <v>1532</v>
      </c>
      <c r="C81" t="s">
        <v>851</v>
      </c>
      <c r="D81" t="s">
        <v>850</v>
      </c>
      <c r="E81" t="s">
        <v>191</v>
      </c>
      <c r="F81" t="s">
        <v>4804</v>
      </c>
      <c r="G81" t="s">
        <v>1061</v>
      </c>
      <c r="H81" t="s">
        <v>1147</v>
      </c>
      <c r="I81">
        <v>79094.73</v>
      </c>
      <c r="J81">
        <v>3683722</v>
      </c>
      <c r="K81">
        <v>46.57</v>
      </c>
      <c r="L81">
        <v>3.3</v>
      </c>
      <c r="M81">
        <v>2.2999999999999998</v>
      </c>
      <c r="N81">
        <v>3.9</v>
      </c>
      <c r="O81">
        <v>3.7</v>
      </c>
      <c r="P81">
        <v>4</v>
      </c>
      <c r="Q81"/>
      <c r="R81">
        <v>5</v>
      </c>
      <c r="S81" t="s">
        <v>1138</v>
      </c>
      <c r="T81">
        <v>46.57</v>
      </c>
      <c r="U81" t="s">
        <v>2819</v>
      </c>
      <c r="V81" t="s">
        <v>1062</v>
      </c>
      <c r="W81" s="114" t="str">
        <f t="shared" si="3"/>
        <v>Portafolio</v>
      </c>
      <c r="X81" s="114" t="str">
        <f t="shared" si="4"/>
        <v>Portafolio</v>
      </c>
    </row>
    <row r="82" spans="1:24" hidden="1" x14ac:dyDescent="0.25">
      <c r="A82" s="114" t="str">
        <f t="shared" si="5"/>
        <v>7111</v>
      </c>
      <c r="B82" t="s">
        <v>1270</v>
      </c>
      <c r="C82" t="s">
        <v>1271</v>
      </c>
      <c r="D82" t="s">
        <v>1272</v>
      </c>
      <c r="E82" t="s">
        <v>586</v>
      </c>
      <c r="F82" t="s">
        <v>1056</v>
      </c>
      <c r="G82" t="s">
        <v>1071</v>
      </c>
      <c r="H82" t="s">
        <v>1155</v>
      </c>
      <c r="I82" t="s">
        <v>90</v>
      </c>
      <c r="J82" t="s">
        <v>90</v>
      </c>
      <c r="K82">
        <v>3.10555344</v>
      </c>
      <c r="L82">
        <v>6.7887829000000002</v>
      </c>
      <c r="M82">
        <v>6.6285573700000002</v>
      </c>
      <c r="N82">
        <v>4.97431863</v>
      </c>
      <c r="O82">
        <v>5.9848858199999997</v>
      </c>
      <c r="P82">
        <v>50.189449431651703</v>
      </c>
      <c r="Q82">
        <v>12.241551019999999</v>
      </c>
      <c r="R82">
        <v>30.236709289872131</v>
      </c>
      <c r="S82" t="s">
        <v>30</v>
      </c>
      <c r="T82">
        <v>3.10555344</v>
      </c>
      <c r="U82" t="s">
        <v>2819</v>
      </c>
      <c r="V82" t="s">
        <v>1059</v>
      </c>
      <c r="W82" s="114" t="str">
        <f t="shared" si="3"/>
        <v>ETF</v>
      </c>
      <c r="X82" s="114" t="str">
        <f t="shared" si="4"/>
        <v>Otros ETFs</v>
      </c>
    </row>
    <row r="83" spans="1:24" hidden="1" x14ac:dyDescent="0.25">
      <c r="A83" s="114" t="str">
        <f t="shared" si="5"/>
        <v>5217</v>
      </c>
      <c r="B83" t="s">
        <v>1532</v>
      </c>
      <c r="C83" t="s">
        <v>852</v>
      </c>
      <c r="D83" t="s">
        <v>3091</v>
      </c>
      <c r="E83" t="s">
        <v>191</v>
      </c>
      <c r="F83" t="s">
        <v>4804</v>
      </c>
      <c r="G83" t="s">
        <v>1061</v>
      </c>
      <c r="H83" t="s">
        <v>1147</v>
      </c>
      <c r="I83">
        <v>79094.73</v>
      </c>
      <c r="J83">
        <v>3683722</v>
      </c>
      <c r="K83">
        <v>46.57</v>
      </c>
      <c r="L83">
        <v>3.3</v>
      </c>
      <c r="M83">
        <v>2.2999999999999998</v>
      </c>
      <c r="N83">
        <v>3.9</v>
      </c>
      <c r="O83">
        <v>3.7</v>
      </c>
      <c r="P83">
        <v>4</v>
      </c>
      <c r="Q83"/>
      <c r="R83">
        <v>5</v>
      </c>
      <c r="S83" t="s">
        <v>1138</v>
      </c>
      <c r="T83">
        <v>46.57</v>
      </c>
      <c r="U83" t="s">
        <v>2819</v>
      </c>
      <c r="V83" t="s">
        <v>1062</v>
      </c>
      <c r="W83" s="114" t="str">
        <f t="shared" si="3"/>
        <v>Portafolio</v>
      </c>
      <c r="X83" s="114" t="str">
        <f t="shared" si="4"/>
        <v>Portafolio</v>
      </c>
    </row>
    <row r="84" spans="1:24" hidden="1" x14ac:dyDescent="0.25">
      <c r="A84" s="114" t="str">
        <f t="shared" si="5"/>
        <v>7111</v>
      </c>
      <c r="B84" t="s">
        <v>1274</v>
      </c>
      <c r="C84" t="s">
        <v>1275</v>
      </c>
      <c r="D84" t="s">
        <v>1276</v>
      </c>
      <c r="E84" t="s">
        <v>586</v>
      </c>
      <c r="F84" t="s">
        <v>1056</v>
      </c>
      <c r="G84" t="s">
        <v>1057</v>
      </c>
      <c r="H84" t="s">
        <v>1277</v>
      </c>
      <c r="I84" t="s">
        <v>90</v>
      </c>
      <c r="J84" t="s">
        <v>90</v>
      </c>
      <c r="K84">
        <v>202.59174264999999</v>
      </c>
      <c r="L84">
        <v>5.7821902300000003</v>
      </c>
      <c r="M84">
        <v>5.7454840000000003</v>
      </c>
      <c r="N84">
        <v>7.4444753700000001</v>
      </c>
      <c r="O84">
        <v>6.1710504400000001</v>
      </c>
      <c r="P84">
        <v>0</v>
      </c>
      <c r="Q84"/>
      <c r="R84">
        <v>0</v>
      </c>
      <c r="S84" t="s">
        <v>30</v>
      </c>
      <c r="T84">
        <v>202.59174264999999</v>
      </c>
      <c r="U84" t="s">
        <v>2819</v>
      </c>
      <c r="V84" t="s">
        <v>1278</v>
      </c>
      <c r="W84" s="114" t="str">
        <f t="shared" si="3"/>
        <v>ETF</v>
      </c>
      <c r="X84" s="114" t="str">
        <f t="shared" si="4"/>
        <v>Soberanos</v>
      </c>
    </row>
    <row r="85" spans="1:24" hidden="1" x14ac:dyDescent="0.25">
      <c r="A85" s="114" t="str">
        <f t="shared" si="5"/>
        <v>5217</v>
      </c>
      <c r="B85" t="s">
        <v>1532</v>
      </c>
      <c r="C85" t="s">
        <v>849</v>
      </c>
      <c r="D85" t="s">
        <v>848</v>
      </c>
      <c r="E85" t="s">
        <v>191</v>
      </c>
      <c r="F85" t="s">
        <v>4804</v>
      </c>
      <c r="G85" t="s">
        <v>1061</v>
      </c>
      <c r="H85" t="s">
        <v>1147</v>
      </c>
      <c r="I85">
        <v>79094.73</v>
      </c>
      <c r="J85">
        <v>3683722</v>
      </c>
      <c r="K85">
        <v>46.57</v>
      </c>
      <c r="L85">
        <v>3.3</v>
      </c>
      <c r="M85">
        <v>2.2999999999999998</v>
      </c>
      <c r="N85">
        <v>3.9</v>
      </c>
      <c r="O85">
        <v>3.7</v>
      </c>
      <c r="P85">
        <v>4</v>
      </c>
      <c r="Q85"/>
      <c r="R85">
        <v>5</v>
      </c>
      <c r="S85" t="s">
        <v>1138</v>
      </c>
      <c r="T85">
        <v>46.57</v>
      </c>
      <c r="U85" t="s">
        <v>2819</v>
      </c>
      <c r="V85" t="s">
        <v>1062</v>
      </c>
      <c r="W85" s="114" t="str">
        <f t="shared" si="3"/>
        <v>Portafolio</v>
      </c>
      <c r="X85" s="114" t="str">
        <f t="shared" si="4"/>
        <v>Portafolio</v>
      </c>
    </row>
    <row r="86" spans="1:24" hidden="1" x14ac:dyDescent="0.25">
      <c r="A86" s="114" t="str">
        <f t="shared" si="5"/>
        <v>7111</v>
      </c>
      <c r="B86" t="s">
        <v>1279</v>
      </c>
      <c r="C86" t="s">
        <v>942</v>
      </c>
      <c r="D86" t="s">
        <v>941</v>
      </c>
      <c r="E86" t="s">
        <v>586</v>
      </c>
      <c r="F86" t="s">
        <v>1056</v>
      </c>
      <c r="G86" t="s">
        <v>1057</v>
      </c>
      <c r="H86" t="s">
        <v>1280</v>
      </c>
      <c r="I86" t="s">
        <v>90</v>
      </c>
      <c r="J86" t="s">
        <v>90</v>
      </c>
      <c r="K86">
        <v>202.59174264999999</v>
      </c>
      <c r="L86">
        <v>5.7821902300000003</v>
      </c>
      <c r="M86">
        <v>5.7454840000000003</v>
      </c>
      <c r="N86">
        <v>7.4444753700000001</v>
      </c>
      <c r="O86">
        <v>6.1710504400000001</v>
      </c>
      <c r="P86">
        <v>0</v>
      </c>
      <c r="Q86"/>
      <c r="R86">
        <v>0</v>
      </c>
      <c r="S86" t="s">
        <v>30</v>
      </c>
      <c r="T86">
        <v>202.59174264999999</v>
      </c>
      <c r="U86" t="s">
        <v>2819</v>
      </c>
      <c r="V86" t="s">
        <v>1278</v>
      </c>
      <c r="W86" s="114" t="str">
        <f t="shared" si="3"/>
        <v>ETF</v>
      </c>
      <c r="X86" s="114" t="str">
        <f t="shared" si="4"/>
        <v>Soberanos</v>
      </c>
    </row>
    <row r="87" spans="1:24" hidden="1" x14ac:dyDescent="0.25">
      <c r="A87" s="114" t="str">
        <f t="shared" si="5"/>
        <v>5111</v>
      </c>
      <c r="B87" t="s">
        <v>1579</v>
      </c>
      <c r="C87" t="s">
        <v>910</v>
      </c>
      <c r="D87" t="s">
        <v>909</v>
      </c>
      <c r="E87" t="s">
        <v>202</v>
      </c>
      <c r="F87" t="s">
        <v>4800</v>
      </c>
      <c r="G87" t="s">
        <v>1296</v>
      </c>
      <c r="H87" t="s">
        <v>1119</v>
      </c>
      <c r="I87">
        <v>15530.85</v>
      </c>
      <c r="J87">
        <v>15267.7</v>
      </c>
      <c r="K87">
        <v>0.98</v>
      </c>
      <c r="L87">
        <v>8.1999999999999993</v>
      </c>
      <c r="M87">
        <v>6</v>
      </c>
      <c r="N87">
        <v>5.6</v>
      </c>
      <c r="O87">
        <v>6.1</v>
      </c>
      <c r="P87">
        <v>0</v>
      </c>
      <c r="Q87"/>
      <c r="R87">
        <v>58</v>
      </c>
      <c r="S87" t="s">
        <v>1073</v>
      </c>
      <c r="T87">
        <v>0.98</v>
      </c>
      <c r="U87" t="s">
        <v>2819</v>
      </c>
      <c r="V87" t="s">
        <v>1062</v>
      </c>
      <c r="W87" s="114" t="str">
        <f t="shared" si="3"/>
        <v>Portafolio</v>
      </c>
      <c r="X87" s="114" t="str">
        <f t="shared" si="4"/>
        <v>Portafolio</v>
      </c>
    </row>
    <row r="88" spans="1:24" hidden="1" x14ac:dyDescent="0.25">
      <c r="A88" s="114" t="str">
        <f t="shared" si="5"/>
        <v>5111</v>
      </c>
      <c r="B88" t="s">
        <v>1579</v>
      </c>
      <c r="C88" t="s">
        <v>5258</v>
      </c>
      <c r="D88" t="s">
        <v>5259</v>
      </c>
      <c r="E88" t="s">
        <v>202</v>
      </c>
      <c r="F88" t="s">
        <v>4800</v>
      </c>
      <c r="G88" t="s">
        <v>1296</v>
      </c>
      <c r="H88" t="s">
        <v>1119</v>
      </c>
      <c r="I88">
        <v>15530.85</v>
      </c>
      <c r="J88">
        <v>15267.7</v>
      </c>
      <c r="K88">
        <v>0.98</v>
      </c>
      <c r="L88">
        <v>8.1999999999999993</v>
      </c>
      <c r="M88">
        <v>6</v>
      </c>
      <c r="N88">
        <v>5.6</v>
      </c>
      <c r="O88">
        <v>6.1</v>
      </c>
      <c r="P88">
        <v>0</v>
      </c>
      <c r="Q88"/>
      <c r="R88">
        <v>58</v>
      </c>
      <c r="S88" t="s">
        <v>1073</v>
      </c>
      <c r="T88">
        <v>0.98</v>
      </c>
      <c r="U88" t="s">
        <v>2819</v>
      </c>
      <c r="V88" t="s">
        <v>1062</v>
      </c>
      <c r="W88" s="114" t="str">
        <f t="shared" si="3"/>
        <v>Portafolio</v>
      </c>
      <c r="X88" s="114" t="str">
        <f t="shared" si="4"/>
        <v>Portafolio</v>
      </c>
    </row>
    <row r="89" spans="1:24" hidden="1" x14ac:dyDescent="0.25">
      <c r="A89" s="114" t="str">
        <f t="shared" si="5"/>
        <v>7111</v>
      </c>
      <c r="B89" t="s">
        <v>1281</v>
      </c>
      <c r="C89" t="s">
        <v>944</v>
      </c>
      <c r="D89" t="s">
        <v>943</v>
      </c>
      <c r="E89" t="s">
        <v>586</v>
      </c>
      <c r="F89" t="s">
        <v>1056</v>
      </c>
      <c r="G89" t="s">
        <v>1057</v>
      </c>
      <c r="H89" t="s">
        <v>1280</v>
      </c>
      <c r="I89" t="s">
        <v>90</v>
      </c>
      <c r="J89" t="s">
        <v>90</v>
      </c>
      <c r="K89">
        <v>202.59174264999999</v>
      </c>
      <c r="L89">
        <v>5.7821902300000003</v>
      </c>
      <c r="M89">
        <v>5.7454840000000003</v>
      </c>
      <c r="N89">
        <v>7.4444753700000001</v>
      </c>
      <c r="O89">
        <v>6.1710504400000001</v>
      </c>
      <c r="P89">
        <v>0</v>
      </c>
      <c r="Q89"/>
      <c r="R89">
        <v>0</v>
      </c>
      <c r="S89" t="s">
        <v>30</v>
      </c>
      <c r="T89">
        <v>202.59174264999999</v>
      </c>
      <c r="U89" t="s">
        <v>2819</v>
      </c>
      <c r="V89" t="s">
        <v>1278</v>
      </c>
      <c r="W89" s="114" t="str">
        <f t="shared" si="3"/>
        <v>ETF</v>
      </c>
      <c r="X89" s="114" t="str">
        <f t="shared" si="4"/>
        <v>Soberanos</v>
      </c>
    </row>
    <row r="90" spans="1:24" hidden="1" x14ac:dyDescent="0.25">
      <c r="A90" s="114" t="str">
        <f t="shared" si="5"/>
        <v>7111</v>
      </c>
      <c r="B90" t="s">
        <v>1282</v>
      </c>
      <c r="C90" t="s">
        <v>940</v>
      </c>
      <c r="D90" t="s">
        <v>939</v>
      </c>
      <c r="E90" t="s">
        <v>586</v>
      </c>
      <c r="F90" t="s">
        <v>1056</v>
      </c>
      <c r="G90" t="s">
        <v>1057</v>
      </c>
      <c r="H90" t="s">
        <v>1283</v>
      </c>
      <c r="I90" t="s">
        <v>90</v>
      </c>
      <c r="J90" t="s">
        <v>90</v>
      </c>
      <c r="K90">
        <v>49.328293250000002</v>
      </c>
      <c r="L90">
        <v>6.4932237800000001</v>
      </c>
      <c r="M90">
        <v>6.16341217</v>
      </c>
      <c r="N90">
        <v>4.9308619399999998</v>
      </c>
      <c r="O90">
        <v>5.7939129100000004</v>
      </c>
      <c r="P90">
        <v>44.654110691778619</v>
      </c>
      <c r="Q90">
        <v>166.31031207999999</v>
      </c>
      <c r="R90">
        <v>28.260843478313038</v>
      </c>
      <c r="S90" t="s">
        <v>30</v>
      </c>
      <c r="T90">
        <v>49.328293250000002</v>
      </c>
      <c r="U90" t="s">
        <v>2819</v>
      </c>
      <c r="V90" t="s">
        <v>1059</v>
      </c>
      <c r="W90" s="114" t="str">
        <f t="shared" si="3"/>
        <v>ETF</v>
      </c>
      <c r="X90" s="114" t="str">
        <f t="shared" si="4"/>
        <v>Otros ETFs</v>
      </c>
    </row>
    <row r="91" spans="1:24" hidden="1" x14ac:dyDescent="0.25">
      <c r="A91" s="114" t="str">
        <f t="shared" si="5"/>
        <v>7400</v>
      </c>
      <c r="B91" t="s">
        <v>1285</v>
      </c>
      <c r="C91" t="s">
        <v>1286</v>
      </c>
      <c r="D91" t="s">
        <v>1287</v>
      </c>
      <c r="E91" t="s">
        <v>586</v>
      </c>
      <c r="F91" t="s">
        <v>1056</v>
      </c>
      <c r="G91" t="s">
        <v>1057</v>
      </c>
      <c r="H91" t="s">
        <v>1288</v>
      </c>
      <c r="I91" t="s">
        <v>90</v>
      </c>
      <c r="J91" t="s">
        <v>90</v>
      </c>
      <c r="K91">
        <v>130.01256067</v>
      </c>
      <c r="L91">
        <v>5.46431165</v>
      </c>
      <c r="M91">
        <v>4.9035073000000002</v>
      </c>
      <c r="N91">
        <v>4.7288618600000003</v>
      </c>
      <c r="O91">
        <v>5.8632227800000001</v>
      </c>
      <c r="P91">
        <v>4.235935059429881</v>
      </c>
      <c r="Q91">
        <v>258.12839373000003</v>
      </c>
      <c r="R91">
        <v>16.1768</v>
      </c>
      <c r="S91" t="s">
        <v>1063</v>
      </c>
      <c r="T91">
        <v>130.01256067</v>
      </c>
      <c r="U91" t="s">
        <v>2819</v>
      </c>
      <c r="V91" t="s">
        <v>1059</v>
      </c>
      <c r="W91" s="114" t="str">
        <f t="shared" si="3"/>
        <v>ETF</v>
      </c>
      <c r="X91" s="114" t="str">
        <f t="shared" si="4"/>
        <v>Otros ETFs</v>
      </c>
    </row>
    <row r="92" spans="1:24" hidden="1" x14ac:dyDescent="0.25">
      <c r="A92" s="114" t="str">
        <f t="shared" si="5"/>
        <v>7111</v>
      </c>
      <c r="B92" t="s">
        <v>1289</v>
      </c>
      <c r="C92" t="s">
        <v>623</v>
      </c>
      <c r="D92" t="s">
        <v>622</v>
      </c>
      <c r="E92" t="s">
        <v>586</v>
      </c>
      <c r="F92" t="s">
        <v>1056</v>
      </c>
      <c r="G92" t="s">
        <v>1290</v>
      </c>
      <c r="H92" t="s">
        <v>1291</v>
      </c>
      <c r="I92" t="s">
        <v>90</v>
      </c>
      <c r="J92" t="s">
        <v>90</v>
      </c>
      <c r="K92">
        <v>97.175705919999999</v>
      </c>
      <c r="L92">
        <v>7.1640461999999996</v>
      </c>
      <c r="M92">
        <v>6.2435704000000003</v>
      </c>
      <c r="N92">
        <v>5.8346109300000002</v>
      </c>
      <c r="O92">
        <v>5.0089739399999997</v>
      </c>
      <c r="P92">
        <v>31.30476869523131</v>
      </c>
      <c r="Q92">
        <v>155.53861989999999</v>
      </c>
      <c r="R92">
        <v>6.1601938398061602</v>
      </c>
      <c r="S92" t="s">
        <v>1073</v>
      </c>
      <c r="T92">
        <v>97.175705919999999</v>
      </c>
      <c r="U92" t="s">
        <v>2819</v>
      </c>
      <c r="V92" t="s">
        <v>1059</v>
      </c>
      <c r="W92" s="114" t="str">
        <f t="shared" si="3"/>
        <v>ETF</v>
      </c>
      <c r="X92" s="114" t="str">
        <f t="shared" si="4"/>
        <v>Otros ETFs</v>
      </c>
    </row>
    <row r="93" spans="1:24" hidden="1" x14ac:dyDescent="0.25">
      <c r="A93" s="114" t="str">
        <f t="shared" si="5"/>
        <v>7111</v>
      </c>
      <c r="B93" t="s">
        <v>1292</v>
      </c>
      <c r="C93" t="s">
        <v>619</v>
      </c>
      <c r="D93" t="s">
        <v>618</v>
      </c>
      <c r="E93" t="s">
        <v>586</v>
      </c>
      <c r="F93" t="s">
        <v>1056</v>
      </c>
      <c r="G93" t="s">
        <v>1136</v>
      </c>
      <c r="H93" t="s">
        <v>6144</v>
      </c>
      <c r="I93" t="s">
        <v>90</v>
      </c>
      <c r="J93" t="s">
        <v>90</v>
      </c>
      <c r="K93">
        <v>115.79843663</v>
      </c>
      <c r="L93">
        <v>6.4510487200000002</v>
      </c>
      <c r="M93">
        <v>5.5656506500000003</v>
      </c>
      <c r="N93">
        <v>5.5014729400000002</v>
      </c>
      <c r="O93">
        <v>5.2201163700000004</v>
      </c>
      <c r="P93">
        <v>21.324216743835819</v>
      </c>
      <c r="Q93">
        <v>275.21830847000001</v>
      </c>
      <c r="R93">
        <v>11.01232487932903</v>
      </c>
      <c r="S93" t="s">
        <v>30</v>
      </c>
      <c r="T93">
        <v>115.79843663</v>
      </c>
      <c r="U93" t="s">
        <v>2819</v>
      </c>
      <c r="V93" t="s">
        <v>1059</v>
      </c>
      <c r="W93" s="114" t="str">
        <f t="shared" si="3"/>
        <v>ETF</v>
      </c>
      <c r="X93" s="114" t="str">
        <f t="shared" si="4"/>
        <v>Otros ETFs</v>
      </c>
    </row>
    <row r="94" spans="1:24" hidden="1" x14ac:dyDescent="0.25">
      <c r="A94" s="114" t="str">
        <f t="shared" si="5"/>
        <v>7512</v>
      </c>
      <c r="B94" t="s">
        <v>1293</v>
      </c>
      <c r="C94" t="s">
        <v>1294</v>
      </c>
      <c r="D94" t="s">
        <v>1295</v>
      </c>
      <c r="E94" t="s">
        <v>586</v>
      </c>
      <c r="F94" t="s">
        <v>1056</v>
      </c>
      <c r="G94" t="s">
        <v>1057</v>
      </c>
      <c r="H94" t="s">
        <v>1058</v>
      </c>
      <c r="I94" t="s">
        <v>90</v>
      </c>
      <c r="J94" t="s">
        <v>90</v>
      </c>
      <c r="K94">
        <v>55.514172690000002</v>
      </c>
      <c r="L94">
        <v>6.8649086099999996</v>
      </c>
      <c r="M94">
        <v>5.7145713999999996</v>
      </c>
      <c r="N94">
        <v>5.18382042</v>
      </c>
      <c r="O94">
        <v>6.3051583300000003</v>
      </c>
      <c r="P94">
        <v>14.87088236792755</v>
      </c>
      <c r="Q94">
        <v>187.58661523999999</v>
      </c>
      <c r="R94">
        <v>29.23322699666004</v>
      </c>
      <c r="S94" t="s">
        <v>30</v>
      </c>
      <c r="T94">
        <v>55.514172690000002</v>
      </c>
      <c r="U94" t="s">
        <v>2819</v>
      </c>
      <c r="V94" t="s">
        <v>1059</v>
      </c>
      <c r="W94" s="114" t="str">
        <f t="shared" si="3"/>
        <v>ETF</v>
      </c>
      <c r="X94" s="114" t="str">
        <f t="shared" si="4"/>
        <v>Otros ETFs</v>
      </c>
    </row>
    <row r="95" spans="1:24" hidden="1" x14ac:dyDescent="0.25">
      <c r="A95" s="114" t="str">
        <f t="shared" si="5"/>
        <v>7017</v>
      </c>
      <c r="B95" t="s">
        <v>1297</v>
      </c>
      <c r="C95" t="s">
        <v>1298</v>
      </c>
      <c r="D95" t="s">
        <v>1299</v>
      </c>
      <c r="E95" t="s">
        <v>586</v>
      </c>
      <c r="F95" t="s">
        <v>1056</v>
      </c>
      <c r="G95" t="s">
        <v>1163</v>
      </c>
      <c r="H95" t="s">
        <v>1164</v>
      </c>
      <c r="I95" t="s">
        <v>90</v>
      </c>
      <c r="J95" t="s">
        <v>90</v>
      </c>
      <c r="K95">
        <v>57.560637040000003</v>
      </c>
      <c r="L95">
        <v>7.7615222099999999</v>
      </c>
      <c r="M95">
        <v>6.40749587</v>
      </c>
      <c r="N95">
        <v>5.2746332599999999</v>
      </c>
      <c r="O95">
        <v>6.7282553600000004</v>
      </c>
      <c r="P95">
        <v>21.229342458684918</v>
      </c>
      <c r="Q95">
        <v>84.140237810000002</v>
      </c>
      <c r="R95">
        <v>62.17982435964872</v>
      </c>
      <c r="S95" t="s">
        <v>1073</v>
      </c>
      <c r="T95">
        <v>57.560637040000003</v>
      </c>
      <c r="U95" t="s">
        <v>2819</v>
      </c>
      <c r="V95" t="s">
        <v>1059</v>
      </c>
      <c r="W95" s="114" t="str">
        <f t="shared" si="3"/>
        <v>ETF</v>
      </c>
      <c r="X95" s="114" t="str">
        <f t="shared" si="4"/>
        <v>Otros ETFs</v>
      </c>
    </row>
    <row r="96" spans="1:24" hidden="1" x14ac:dyDescent="0.25">
      <c r="A96" s="114" t="str">
        <f t="shared" si="5"/>
        <v>7017</v>
      </c>
      <c r="B96" t="s">
        <v>1300</v>
      </c>
      <c r="C96" t="s">
        <v>1301</v>
      </c>
      <c r="D96" t="s">
        <v>1302</v>
      </c>
      <c r="E96" t="s">
        <v>586</v>
      </c>
      <c r="F96" t="s">
        <v>1056</v>
      </c>
      <c r="G96" t="s">
        <v>1136</v>
      </c>
      <c r="H96" t="s">
        <v>6144</v>
      </c>
      <c r="I96" t="s">
        <v>90</v>
      </c>
      <c r="J96" t="s">
        <v>90</v>
      </c>
      <c r="K96">
        <v>130.34224132</v>
      </c>
      <c r="L96">
        <v>6.2026518700000004</v>
      </c>
      <c r="M96">
        <v>5.50597738</v>
      </c>
      <c r="N96">
        <v>5.3865298599999996</v>
      </c>
      <c r="O96">
        <v>5.1329558100000003</v>
      </c>
      <c r="P96">
        <v>16.061589772762488</v>
      </c>
      <c r="Q96">
        <v>339.15184298999998</v>
      </c>
      <c r="R96">
        <v>10.255131064724051</v>
      </c>
      <c r="S96" t="s">
        <v>30</v>
      </c>
      <c r="T96">
        <v>130.34224132</v>
      </c>
      <c r="U96" t="s">
        <v>2819</v>
      </c>
      <c r="V96" t="s">
        <v>1059</v>
      </c>
      <c r="W96" s="114" t="str">
        <f t="shared" si="3"/>
        <v>ETF</v>
      </c>
      <c r="X96" s="114" t="str">
        <f t="shared" si="4"/>
        <v>Otros ETFs</v>
      </c>
    </row>
    <row r="97" spans="1:24" hidden="1" x14ac:dyDescent="0.25">
      <c r="A97" s="114" t="str">
        <f t="shared" si="5"/>
        <v>7017</v>
      </c>
      <c r="B97" t="s">
        <v>1303</v>
      </c>
      <c r="C97" t="s">
        <v>1304</v>
      </c>
      <c r="D97" t="s">
        <v>1305</v>
      </c>
      <c r="E97" t="s">
        <v>586</v>
      </c>
      <c r="F97" t="s">
        <v>1056</v>
      </c>
      <c r="G97" t="s">
        <v>1057</v>
      </c>
      <c r="H97" t="s">
        <v>1205</v>
      </c>
      <c r="I97" t="s">
        <v>90</v>
      </c>
      <c r="J97" t="s">
        <v>90</v>
      </c>
      <c r="K97">
        <v>208.20706677999999</v>
      </c>
      <c r="L97">
        <v>5.68755451</v>
      </c>
      <c r="M97">
        <v>4.4648143899999999</v>
      </c>
      <c r="N97">
        <v>6.2872829599999998</v>
      </c>
      <c r="O97">
        <v>5.8433692500000003</v>
      </c>
      <c r="P97">
        <v>48.746597493194983</v>
      </c>
      <c r="Q97">
        <v>420.33275737000002</v>
      </c>
      <c r="R97">
        <v>17.64883529767059</v>
      </c>
      <c r="S97" t="s">
        <v>1063</v>
      </c>
      <c r="T97">
        <v>208.20706677999999</v>
      </c>
      <c r="U97" t="s">
        <v>2819</v>
      </c>
      <c r="V97" t="s">
        <v>1059</v>
      </c>
      <c r="W97" s="114" t="str">
        <f t="shared" si="3"/>
        <v>ETF</v>
      </c>
      <c r="X97" s="114" t="str">
        <f t="shared" si="4"/>
        <v>Otros ETFs</v>
      </c>
    </row>
    <row r="98" spans="1:24" hidden="1" x14ac:dyDescent="0.25">
      <c r="A98" s="114" t="str">
        <f t="shared" si="5"/>
        <v>2008</v>
      </c>
      <c r="B98" t="s">
        <v>1730</v>
      </c>
      <c r="C98" t="s">
        <v>440</v>
      </c>
      <c r="D98" t="s">
        <v>439</v>
      </c>
      <c r="E98" t="s">
        <v>422</v>
      </c>
      <c r="F98" t="s">
        <v>4801</v>
      </c>
      <c r="G98" t="s">
        <v>1198</v>
      </c>
      <c r="H98" t="s">
        <v>1147</v>
      </c>
      <c r="I98">
        <v>4243.4799999999996</v>
      </c>
      <c r="J98">
        <v>247811.62</v>
      </c>
      <c r="K98">
        <v>58.4</v>
      </c>
      <c r="L98">
        <v>3.1</v>
      </c>
      <c r="M98">
        <v>1.8</v>
      </c>
      <c r="N98">
        <v>4</v>
      </c>
      <c r="O98">
        <v>6.3</v>
      </c>
      <c r="P98">
        <v>0</v>
      </c>
      <c r="Q98"/>
      <c r="R98">
        <v>73</v>
      </c>
      <c r="S98" t="s">
        <v>1138</v>
      </c>
      <c r="T98">
        <v>58.4</v>
      </c>
      <c r="U98" t="s">
        <v>2819</v>
      </c>
      <c r="V98" t="s">
        <v>1062</v>
      </c>
      <c r="W98" s="114" t="str">
        <f t="shared" si="3"/>
        <v>Portafolio</v>
      </c>
      <c r="X98" s="114" t="str">
        <f t="shared" si="4"/>
        <v>Portafolio</v>
      </c>
    </row>
    <row r="99" spans="1:24" hidden="1" x14ac:dyDescent="0.25">
      <c r="A99" s="114" t="str">
        <f t="shared" si="5"/>
        <v>2008</v>
      </c>
      <c r="B99" t="s">
        <v>1730</v>
      </c>
      <c r="C99" t="s">
        <v>507</v>
      </c>
      <c r="D99" t="s">
        <v>506</v>
      </c>
      <c r="E99" t="s">
        <v>501</v>
      </c>
      <c r="F99" t="s">
        <v>4808</v>
      </c>
      <c r="G99" t="s">
        <v>1198</v>
      </c>
      <c r="H99" t="s">
        <v>1147</v>
      </c>
      <c r="I99">
        <v>4243.4799999999996</v>
      </c>
      <c r="J99">
        <v>247811.62</v>
      </c>
      <c r="K99">
        <v>58.4</v>
      </c>
      <c r="L99">
        <v>3.1</v>
      </c>
      <c r="M99">
        <v>1.8</v>
      </c>
      <c r="N99">
        <v>4</v>
      </c>
      <c r="O99">
        <v>6.3</v>
      </c>
      <c r="P99">
        <v>0</v>
      </c>
      <c r="Q99"/>
      <c r="R99">
        <v>73</v>
      </c>
      <c r="S99" t="s">
        <v>1138</v>
      </c>
      <c r="T99">
        <v>58.4</v>
      </c>
      <c r="U99" t="s">
        <v>2819</v>
      </c>
      <c r="V99" t="s">
        <v>1062</v>
      </c>
      <c r="W99" s="114" t="str">
        <f t="shared" si="3"/>
        <v>Portafolio</v>
      </c>
      <c r="X99" s="114" t="str">
        <f t="shared" si="4"/>
        <v>Portafolio</v>
      </c>
    </row>
    <row r="100" spans="1:24" hidden="1" x14ac:dyDescent="0.25">
      <c r="A100" s="114" t="str">
        <f t="shared" si="5"/>
        <v>7017</v>
      </c>
      <c r="B100" t="s">
        <v>1307</v>
      </c>
      <c r="C100" t="s">
        <v>1308</v>
      </c>
      <c r="D100" t="s">
        <v>1309</v>
      </c>
      <c r="E100" t="s">
        <v>586</v>
      </c>
      <c r="F100" t="s">
        <v>1056</v>
      </c>
      <c r="G100" t="s">
        <v>1057</v>
      </c>
      <c r="H100" t="s">
        <v>6153</v>
      </c>
      <c r="I100" t="s">
        <v>90</v>
      </c>
      <c r="J100" t="s">
        <v>90</v>
      </c>
      <c r="K100">
        <v>3.6217637499999999</v>
      </c>
      <c r="L100">
        <v>6.83360535</v>
      </c>
      <c r="M100">
        <v>5.4363659799999997</v>
      </c>
      <c r="N100">
        <v>5.9295426600000001</v>
      </c>
      <c r="O100">
        <v>5.7323911599999997</v>
      </c>
      <c r="P100">
        <v>15.30167650838254</v>
      </c>
      <c r="Q100">
        <v>25.82390882</v>
      </c>
      <c r="R100">
        <v>15.26057630288151</v>
      </c>
      <c r="S100" t="s">
        <v>30</v>
      </c>
      <c r="T100">
        <v>3.6217637499999999</v>
      </c>
      <c r="U100" t="s">
        <v>2819</v>
      </c>
      <c r="V100" t="s">
        <v>1059</v>
      </c>
      <c r="W100" s="114" t="str">
        <f t="shared" si="3"/>
        <v>ETF</v>
      </c>
      <c r="X100" s="114" t="str">
        <f t="shared" si="4"/>
        <v>Otros ETFs</v>
      </c>
    </row>
    <row r="101" spans="1:24" hidden="1" x14ac:dyDescent="0.25">
      <c r="A101" s="114" t="str">
        <f t="shared" si="5"/>
        <v>7017</v>
      </c>
      <c r="B101" t="s">
        <v>1311</v>
      </c>
      <c r="C101" t="s">
        <v>1312</v>
      </c>
      <c r="D101" t="s">
        <v>1313</v>
      </c>
      <c r="E101" t="s">
        <v>586</v>
      </c>
      <c r="F101" t="s">
        <v>1056</v>
      </c>
      <c r="G101" t="s">
        <v>1057</v>
      </c>
      <c r="H101" t="s">
        <v>1189</v>
      </c>
      <c r="I101" t="s">
        <v>90</v>
      </c>
      <c r="J101" t="s">
        <v>90</v>
      </c>
      <c r="K101">
        <v>192.5805569</v>
      </c>
      <c r="L101">
        <v>6.6983479499999996</v>
      </c>
      <c r="M101">
        <v>5.2262605400000002</v>
      </c>
      <c r="N101">
        <v>4.5921305400000003</v>
      </c>
      <c r="O101">
        <v>6.6435815600000003</v>
      </c>
      <c r="P101">
        <v>11.760811760811761</v>
      </c>
      <c r="Q101">
        <v>589.69878158999995</v>
      </c>
      <c r="R101">
        <v>23.805923805923811</v>
      </c>
      <c r="S101" t="s">
        <v>30</v>
      </c>
      <c r="T101">
        <v>192.5805569</v>
      </c>
      <c r="U101" t="s">
        <v>2819</v>
      </c>
      <c r="V101" t="s">
        <v>1059</v>
      </c>
      <c r="W101" s="114" t="str">
        <f t="shared" si="3"/>
        <v>ETF</v>
      </c>
      <c r="X101" s="114" t="str">
        <f t="shared" si="4"/>
        <v>Otros ETFs</v>
      </c>
    </row>
    <row r="102" spans="1:24" hidden="1" x14ac:dyDescent="0.25">
      <c r="A102" s="114" t="str">
        <f t="shared" si="5"/>
        <v>2008</v>
      </c>
      <c r="B102" t="s">
        <v>1730</v>
      </c>
      <c r="C102" t="s">
        <v>5778</v>
      </c>
      <c r="D102" t="s">
        <v>5779</v>
      </c>
      <c r="E102" t="s">
        <v>249</v>
      </c>
      <c r="F102" t="s">
        <v>4806</v>
      </c>
      <c r="G102" t="s">
        <v>1198</v>
      </c>
      <c r="H102" t="s">
        <v>1147</v>
      </c>
      <c r="I102">
        <v>4243.4799999999996</v>
      </c>
      <c r="J102">
        <v>247811.62</v>
      </c>
      <c r="K102">
        <v>58.4</v>
      </c>
      <c r="L102">
        <v>3.1</v>
      </c>
      <c r="M102">
        <v>1.8</v>
      </c>
      <c r="N102">
        <v>4</v>
      </c>
      <c r="O102">
        <v>6.3</v>
      </c>
      <c r="P102">
        <v>0</v>
      </c>
      <c r="Q102"/>
      <c r="R102">
        <v>73</v>
      </c>
      <c r="S102" t="s">
        <v>1138</v>
      </c>
      <c r="T102">
        <v>58.4</v>
      </c>
      <c r="U102" t="s">
        <v>2819</v>
      </c>
      <c r="V102" t="s">
        <v>1062</v>
      </c>
      <c r="W102" s="114" t="str">
        <f t="shared" si="3"/>
        <v>Portafolio</v>
      </c>
      <c r="X102" s="114" t="str">
        <f t="shared" si="4"/>
        <v>Portafolio</v>
      </c>
    </row>
    <row r="103" spans="1:24" hidden="1" x14ac:dyDescent="0.25">
      <c r="A103" s="114" t="str">
        <f t="shared" si="5"/>
        <v>0003</v>
      </c>
      <c r="B103" t="s">
        <v>5780</v>
      </c>
      <c r="C103" t="s">
        <v>1761</v>
      </c>
      <c r="D103" t="s">
        <v>4068</v>
      </c>
      <c r="E103" t="s">
        <v>350</v>
      </c>
      <c r="F103" t="s">
        <v>4802</v>
      </c>
      <c r="G103" t="s">
        <v>1198</v>
      </c>
      <c r="H103" t="s">
        <v>1119</v>
      </c>
      <c r="I103">
        <v>6610.65</v>
      </c>
      <c r="J103">
        <v>3096.99</v>
      </c>
      <c r="K103">
        <v>0.47</v>
      </c>
      <c r="L103">
        <v>6.4</v>
      </c>
      <c r="M103">
        <v>6.7</v>
      </c>
      <c r="N103">
        <v>5.0999999999999996</v>
      </c>
      <c r="O103">
        <v>4.0999999999999996</v>
      </c>
      <c r="P103">
        <v>0</v>
      </c>
      <c r="Q103"/>
      <c r="R103">
        <v>10</v>
      </c>
      <c r="S103" t="s">
        <v>30</v>
      </c>
      <c r="T103">
        <v>0.47</v>
      </c>
      <c r="U103" t="s">
        <v>2819</v>
      </c>
      <c r="V103" t="s">
        <v>1062</v>
      </c>
      <c r="W103" s="114" t="str">
        <f t="shared" si="3"/>
        <v>Portafolio</v>
      </c>
      <c r="X103" s="114" t="str">
        <f t="shared" si="4"/>
        <v>Portafolio</v>
      </c>
    </row>
    <row r="104" spans="1:24" hidden="1" x14ac:dyDescent="0.25">
      <c r="A104" s="114" t="str">
        <f t="shared" si="5"/>
        <v>7017</v>
      </c>
      <c r="B104" t="s">
        <v>1314</v>
      </c>
      <c r="C104" t="s">
        <v>1315</v>
      </c>
      <c r="D104" t="s">
        <v>1316</v>
      </c>
      <c r="E104" t="s">
        <v>586</v>
      </c>
      <c r="F104" t="s">
        <v>1056</v>
      </c>
      <c r="G104" t="s">
        <v>1057</v>
      </c>
      <c r="H104" t="s">
        <v>1221</v>
      </c>
      <c r="I104" t="s">
        <v>90</v>
      </c>
      <c r="J104" t="s">
        <v>90</v>
      </c>
      <c r="K104">
        <v>345.85716686000001</v>
      </c>
      <c r="L104">
        <v>6.7239269500000001</v>
      </c>
      <c r="M104">
        <v>6.2911330000000003</v>
      </c>
      <c r="N104">
        <v>5.5149350000000004</v>
      </c>
      <c r="O104">
        <v>6.7731844900000002</v>
      </c>
      <c r="P104">
        <v>4.7217428343455472</v>
      </c>
      <c r="Q104">
        <v>1742.7970199399999</v>
      </c>
      <c r="R104">
        <v>32.363781073833287</v>
      </c>
      <c r="S104" t="s">
        <v>30</v>
      </c>
      <c r="T104">
        <v>345.85716686000001</v>
      </c>
      <c r="U104" t="s">
        <v>2819</v>
      </c>
      <c r="V104" t="s">
        <v>1059</v>
      </c>
      <c r="W104" s="114" t="str">
        <f t="shared" si="3"/>
        <v>ETF</v>
      </c>
      <c r="X104" s="114" t="str">
        <f t="shared" si="4"/>
        <v>Otros ETFs</v>
      </c>
    </row>
    <row r="105" spans="1:24" hidden="1" x14ac:dyDescent="0.25">
      <c r="A105" s="114" t="str">
        <f t="shared" si="5"/>
        <v>0003</v>
      </c>
      <c r="B105" t="s">
        <v>5780</v>
      </c>
      <c r="C105" t="s">
        <v>1767</v>
      </c>
      <c r="D105" t="s">
        <v>3312</v>
      </c>
      <c r="E105" t="s">
        <v>350</v>
      </c>
      <c r="F105" t="s">
        <v>4802</v>
      </c>
      <c r="G105" t="s">
        <v>1198</v>
      </c>
      <c r="H105" t="s">
        <v>1119</v>
      </c>
      <c r="I105">
        <v>6610.65</v>
      </c>
      <c r="J105">
        <v>3096.99</v>
      </c>
      <c r="K105">
        <v>0.47</v>
      </c>
      <c r="L105">
        <v>6.4</v>
      </c>
      <c r="M105">
        <v>6.7</v>
      </c>
      <c r="N105">
        <v>5.0999999999999996</v>
      </c>
      <c r="O105">
        <v>4.0999999999999996</v>
      </c>
      <c r="P105">
        <v>0</v>
      </c>
      <c r="Q105"/>
      <c r="R105">
        <v>10</v>
      </c>
      <c r="S105" t="s">
        <v>30</v>
      </c>
      <c r="T105">
        <v>0.47</v>
      </c>
      <c r="U105" t="s">
        <v>2819</v>
      </c>
      <c r="V105" t="s">
        <v>1062</v>
      </c>
      <c r="W105" s="114" t="str">
        <f t="shared" si="3"/>
        <v>Portafolio</v>
      </c>
      <c r="X105" s="114" t="str">
        <f t="shared" si="4"/>
        <v>Portafolio</v>
      </c>
    </row>
    <row r="106" spans="1:24" hidden="1" x14ac:dyDescent="0.25">
      <c r="A106" s="114" t="str">
        <f t="shared" si="5"/>
        <v>7111</v>
      </c>
      <c r="B106" t="s">
        <v>1317</v>
      </c>
      <c r="C106" t="s">
        <v>1318</v>
      </c>
      <c r="D106" t="s">
        <v>1319</v>
      </c>
      <c r="E106" t="s">
        <v>586</v>
      </c>
      <c r="F106" t="s">
        <v>1056</v>
      </c>
      <c r="G106" t="s">
        <v>1057</v>
      </c>
      <c r="H106" t="s">
        <v>1212</v>
      </c>
      <c r="I106" t="s">
        <v>90</v>
      </c>
      <c r="J106" t="s">
        <v>90</v>
      </c>
      <c r="K106">
        <v>156.31774507</v>
      </c>
      <c r="L106">
        <v>6.8531851000000001</v>
      </c>
      <c r="M106">
        <v>6.7158191399999998</v>
      </c>
      <c r="N106">
        <v>4.4417429799999999</v>
      </c>
      <c r="O106">
        <v>6.2197763100000003</v>
      </c>
      <c r="P106">
        <v>34.937295188114433</v>
      </c>
      <c r="Q106">
        <v>302.25717166999999</v>
      </c>
      <c r="R106">
        <v>29.200512398462809</v>
      </c>
      <c r="S106" t="s">
        <v>30</v>
      </c>
      <c r="T106">
        <v>156.31774507</v>
      </c>
      <c r="U106" t="s">
        <v>2819</v>
      </c>
      <c r="V106" t="s">
        <v>1059</v>
      </c>
      <c r="W106" s="114" t="str">
        <f t="shared" si="3"/>
        <v>ETF</v>
      </c>
      <c r="X106" s="114" t="str">
        <f t="shared" si="4"/>
        <v>Otros ETFs</v>
      </c>
    </row>
    <row r="107" spans="1:24" hidden="1" x14ac:dyDescent="0.25">
      <c r="A107" s="114" t="str">
        <f t="shared" si="5"/>
        <v>7111</v>
      </c>
      <c r="B107" t="s">
        <v>1320</v>
      </c>
      <c r="C107" t="s">
        <v>1321</v>
      </c>
      <c r="D107" t="s">
        <v>1322</v>
      </c>
      <c r="E107" t="s">
        <v>586</v>
      </c>
      <c r="F107" t="s">
        <v>1056</v>
      </c>
      <c r="G107" t="s">
        <v>1057</v>
      </c>
      <c r="H107" t="s">
        <v>1323</v>
      </c>
      <c r="I107" t="s">
        <v>90</v>
      </c>
      <c r="J107" t="s">
        <v>90</v>
      </c>
      <c r="K107">
        <v>202.59174264999999</v>
      </c>
      <c r="L107">
        <v>5.7821902300000003</v>
      </c>
      <c r="M107">
        <v>5.7454840000000003</v>
      </c>
      <c r="N107">
        <v>7.4444753700000001</v>
      </c>
      <c r="O107">
        <v>6.1710504400000001</v>
      </c>
      <c r="P107">
        <v>0</v>
      </c>
      <c r="Q107"/>
      <c r="R107">
        <v>0</v>
      </c>
      <c r="S107" t="s">
        <v>30</v>
      </c>
      <c r="T107">
        <v>202.59174264999999</v>
      </c>
      <c r="U107" t="s">
        <v>2819</v>
      </c>
      <c r="V107" t="s">
        <v>1278</v>
      </c>
      <c r="W107" s="114" t="str">
        <f t="shared" si="3"/>
        <v>ETF</v>
      </c>
      <c r="X107" s="114" t="str">
        <f t="shared" si="4"/>
        <v>Soberanos</v>
      </c>
    </row>
    <row r="108" spans="1:24" hidden="1" x14ac:dyDescent="0.25">
      <c r="A108" s="114" t="str">
        <f t="shared" si="5"/>
        <v>0003</v>
      </c>
      <c r="B108" t="s">
        <v>5780</v>
      </c>
      <c r="C108" t="s">
        <v>4818</v>
      </c>
      <c r="D108" t="s">
        <v>4819</v>
      </c>
      <c r="E108" t="s">
        <v>224</v>
      </c>
      <c r="F108" t="s">
        <v>4803</v>
      </c>
      <c r="G108" t="s">
        <v>1198</v>
      </c>
      <c r="H108" t="s">
        <v>1119</v>
      </c>
      <c r="I108">
        <v>6610.65</v>
      </c>
      <c r="J108">
        <v>3096.99</v>
      </c>
      <c r="K108">
        <v>0.47</v>
      </c>
      <c r="L108">
        <v>6.4</v>
      </c>
      <c r="M108">
        <v>6.7</v>
      </c>
      <c r="N108">
        <v>5.0999999999999996</v>
      </c>
      <c r="O108">
        <v>4.0999999999999996</v>
      </c>
      <c r="P108">
        <v>0</v>
      </c>
      <c r="Q108"/>
      <c r="R108">
        <v>10</v>
      </c>
      <c r="S108" t="s">
        <v>30</v>
      </c>
      <c r="T108">
        <v>0.47</v>
      </c>
      <c r="U108" t="s">
        <v>2819</v>
      </c>
      <c r="V108" t="s">
        <v>1062</v>
      </c>
      <c r="W108" s="114" t="str">
        <f t="shared" si="3"/>
        <v>Portafolio</v>
      </c>
      <c r="X108" s="114" t="str">
        <f t="shared" si="4"/>
        <v>Portafolio</v>
      </c>
    </row>
    <row r="109" spans="1:24" hidden="1" x14ac:dyDescent="0.25">
      <c r="A109" s="114" t="str">
        <f t="shared" si="5"/>
        <v>0003</v>
      </c>
      <c r="B109" t="s">
        <v>5780</v>
      </c>
      <c r="C109" t="s">
        <v>5781</v>
      </c>
      <c r="D109" t="s">
        <v>5782</v>
      </c>
      <c r="E109" t="s">
        <v>224</v>
      </c>
      <c r="F109" t="s">
        <v>4803</v>
      </c>
      <c r="G109" t="s">
        <v>1198</v>
      </c>
      <c r="H109" t="s">
        <v>1119</v>
      </c>
      <c r="I109">
        <v>6610.65</v>
      </c>
      <c r="J109">
        <v>3096.99</v>
      </c>
      <c r="K109">
        <v>0.47</v>
      </c>
      <c r="L109">
        <v>6.4</v>
      </c>
      <c r="M109">
        <v>6.7</v>
      </c>
      <c r="N109">
        <v>5.0999999999999996</v>
      </c>
      <c r="O109">
        <v>4.0999999999999996</v>
      </c>
      <c r="P109">
        <v>0</v>
      </c>
      <c r="Q109"/>
      <c r="R109">
        <v>10</v>
      </c>
      <c r="S109" t="s">
        <v>30</v>
      </c>
      <c r="T109">
        <v>0.47</v>
      </c>
      <c r="U109" t="s">
        <v>2819</v>
      </c>
      <c r="V109" t="s">
        <v>1062</v>
      </c>
      <c r="W109" s="114" t="str">
        <f t="shared" si="3"/>
        <v>Portafolio</v>
      </c>
      <c r="X109" s="114" t="str">
        <f t="shared" si="4"/>
        <v>Portafolio</v>
      </c>
    </row>
    <row r="110" spans="1:24" hidden="1" x14ac:dyDescent="0.25">
      <c r="A110" s="114" t="str">
        <f t="shared" si="5"/>
        <v>5863</v>
      </c>
      <c r="B110" t="s">
        <v>1778</v>
      </c>
      <c r="C110" t="s">
        <v>1779</v>
      </c>
      <c r="D110" t="s">
        <v>3095</v>
      </c>
      <c r="E110" t="s">
        <v>191</v>
      </c>
      <c r="F110" t="s">
        <v>4804</v>
      </c>
      <c r="G110" t="s">
        <v>1185</v>
      </c>
      <c r="H110" t="s">
        <v>1148</v>
      </c>
      <c r="I110">
        <v>9556.9</v>
      </c>
      <c r="J110">
        <v>2747329.7489401251</v>
      </c>
      <c r="K110">
        <v>287.47000000000003</v>
      </c>
      <c r="L110">
        <v>2.5</v>
      </c>
      <c r="M110">
        <v>2.8</v>
      </c>
      <c r="N110">
        <v>5.6</v>
      </c>
      <c r="O110">
        <v>3.3</v>
      </c>
      <c r="P110">
        <v>0</v>
      </c>
      <c r="Q110"/>
      <c r="R110">
        <v>5</v>
      </c>
      <c r="S110" t="s">
        <v>21</v>
      </c>
      <c r="T110">
        <v>287.47000000000003</v>
      </c>
      <c r="U110" t="s">
        <v>2819</v>
      </c>
      <c r="V110" t="s">
        <v>1062</v>
      </c>
      <c r="W110" s="114" t="str">
        <f t="shared" si="3"/>
        <v>Portafolio</v>
      </c>
      <c r="X110" s="114" t="str">
        <f t="shared" si="4"/>
        <v>Portafolio</v>
      </c>
    </row>
    <row r="111" spans="1:24" hidden="1" x14ac:dyDescent="0.25">
      <c r="A111" s="114" t="str">
        <f t="shared" si="5"/>
        <v>7512</v>
      </c>
      <c r="B111" t="s">
        <v>1325</v>
      </c>
      <c r="C111" t="s">
        <v>1326</v>
      </c>
      <c r="D111" t="s">
        <v>1327</v>
      </c>
      <c r="E111" t="s">
        <v>586</v>
      </c>
      <c r="F111" t="s">
        <v>1056</v>
      </c>
      <c r="G111" t="s">
        <v>1057</v>
      </c>
      <c r="H111" t="s">
        <v>1328</v>
      </c>
      <c r="I111" t="s">
        <v>90</v>
      </c>
      <c r="J111" t="s">
        <v>90</v>
      </c>
      <c r="K111">
        <v>52.86596978</v>
      </c>
      <c r="L111">
        <v>5.80770023</v>
      </c>
      <c r="M111">
        <v>5.0955151399999998</v>
      </c>
      <c r="N111">
        <v>4.4923456399999999</v>
      </c>
      <c r="O111">
        <v>5.9568826399999999</v>
      </c>
      <c r="P111">
        <v>4.7577095154190312</v>
      </c>
      <c r="Q111">
        <v>462.66887112000001</v>
      </c>
      <c r="R111">
        <v>19.8254396508793</v>
      </c>
      <c r="S111" t="s">
        <v>30</v>
      </c>
      <c r="T111">
        <v>52.86596978</v>
      </c>
      <c r="U111" t="s">
        <v>2819</v>
      </c>
      <c r="V111" t="s">
        <v>1059</v>
      </c>
      <c r="W111" s="114" t="str">
        <f t="shared" si="3"/>
        <v>ETF</v>
      </c>
      <c r="X111" s="114" t="str">
        <f t="shared" si="4"/>
        <v>Otros ETFs</v>
      </c>
    </row>
    <row r="112" spans="1:24" hidden="1" x14ac:dyDescent="0.25">
      <c r="A112" s="114" t="str">
        <f t="shared" si="5"/>
        <v>7512</v>
      </c>
      <c r="B112" t="s">
        <v>1325</v>
      </c>
      <c r="C112" t="s">
        <v>1326</v>
      </c>
      <c r="D112" t="s">
        <v>1329</v>
      </c>
      <c r="E112" t="s">
        <v>586</v>
      </c>
      <c r="F112" t="s">
        <v>1056</v>
      </c>
      <c r="G112" t="s">
        <v>1057</v>
      </c>
      <c r="H112" t="s">
        <v>1328</v>
      </c>
      <c r="I112" t="s">
        <v>90</v>
      </c>
      <c r="J112" t="s">
        <v>90</v>
      </c>
      <c r="K112">
        <v>52.86596978</v>
      </c>
      <c r="L112">
        <v>5.80770023</v>
      </c>
      <c r="M112">
        <v>5.0955151399999998</v>
      </c>
      <c r="N112">
        <v>4.4923456399999999</v>
      </c>
      <c r="O112">
        <v>5.9568826399999999</v>
      </c>
      <c r="P112">
        <v>4.7577095154190312</v>
      </c>
      <c r="Q112">
        <v>462.66887112000001</v>
      </c>
      <c r="R112">
        <v>19.8254396508793</v>
      </c>
      <c r="S112" t="s">
        <v>30</v>
      </c>
      <c r="T112">
        <v>52.86596978</v>
      </c>
      <c r="U112" t="s">
        <v>2819</v>
      </c>
      <c r="V112" t="s">
        <v>1059</v>
      </c>
      <c r="W112" s="114" t="str">
        <f t="shared" si="3"/>
        <v>ETF</v>
      </c>
      <c r="X112" s="114" t="str">
        <f t="shared" si="4"/>
        <v>Otros ETFs</v>
      </c>
    </row>
    <row r="113" spans="1:24" hidden="1" x14ac:dyDescent="0.25">
      <c r="A113" s="114" t="str">
        <f t="shared" si="5"/>
        <v>5863</v>
      </c>
      <c r="B113" t="s">
        <v>1778</v>
      </c>
      <c r="C113" t="s">
        <v>1783</v>
      </c>
      <c r="D113" t="s">
        <v>3093</v>
      </c>
      <c r="E113" t="s">
        <v>191</v>
      </c>
      <c r="F113" t="s">
        <v>4804</v>
      </c>
      <c r="G113" t="s">
        <v>1185</v>
      </c>
      <c r="H113" t="s">
        <v>1148</v>
      </c>
      <c r="I113">
        <v>9556.9</v>
      </c>
      <c r="J113">
        <v>2747329.7489401251</v>
      </c>
      <c r="K113">
        <v>287.47000000000003</v>
      </c>
      <c r="L113">
        <v>2.5</v>
      </c>
      <c r="M113">
        <v>2.8</v>
      </c>
      <c r="N113">
        <v>5.6</v>
      </c>
      <c r="O113">
        <v>3.3</v>
      </c>
      <c r="P113">
        <v>0</v>
      </c>
      <c r="Q113"/>
      <c r="R113">
        <v>5</v>
      </c>
      <c r="S113" t="s">
        <v>21</v>
      </c>
      <c r="T113">
        <v>287.47000000000003</v>
      </c>
      <c r="U113" t="s">
        <v>2819</v>
      </c>
      <c r="V113" t="s">
        <v>1062</v>
      </c>
      <c r="W113" s="114" t="str">
        <f t="shared" si="3"/>
        <v>Portafolio</v>
      </c>
      <c r="X113" s="114" t="str">
        <f t="shared" si="4"/>
        <v>Portafolio</v>
      </c>
    </row>
    <row r="114" spans="1:24" hidden="1" x14ac:dyDescent="0.25">
      <c r="A114" s="114" t="str">
        <f t="shared" si="5"/>
        <v>7024</v>
      </c>
      <c r="B114" t="s">
        <v>5783</v>
      </c>
      <c r="C114" t="s">
        <v>1330</v>
      </c>
      <c r="D114" t="s">
        <v>1331</v>
      </c>
      <c r="E114" t="s">
        <v>586</v>
      </c>
      <c r="F114" t="s">
        <v>1056</v>
      </c>
      <c r="G114" t="s">
        <v>1136</v>
      </c>
      <c r="H114" t="s">
        <v>6144</v>
      </c>
      <c r="I114" t="s">
        <v>90</v>
      </c>
      <c r="J114" t="s">
        <v>90</v>
      </c>
      <c r="K114">
        <v>166.96433016</v>
      </c>
      <c r="L114">
        <v>6.0134030000000003</v>
      </c>
      <c r="M114">
        <v>5.2536016400000003</v>
      </c>
      <c r="N114">
        <v>5.2918235899999999</v>
      </c>
      <c r="O114">
        <v>5.1193987600000002</v>
      </c>
      <c r="P114">
        <v>13.861723377478089</v>
      </c>
      <c r="Q114">
        <v>345.95342778999998</v>
      </c>
      <c r="R114">
        <v>10.25297601865857</v>
      </c>
      <c r="S114" t="s">
        <v>30</v>
      </c>
      <c r="T114">
        <v>166.96433016</v>
      </c>
      <c r="U114" t="s">
        <v>2819</v>
      </c>
      <c r="V114" t="s">
        <v>1059</v>
      </c>
      <c r="W114" s="114" t="str">
        <f t="shared" si="3"/>
        <v>ETF</v>
      </c>
      <c r="X114" s="114" t="str">
        <f t="shared" si="4"/>
        <v>Otros ETFs</v>
      </c>
    </row>
    <row r="115" spans="1:24" hidden="1" x14ac:dyDescent="0.25">
      <c r="A115" s="114" t="str">
        <f t="shared" si="5"/>
        <v>5863</v>
      </c>
      <c r="B115" t="s">
        <v>1778</v>
      </c>
      <c r="C115" t="s">
        <v>1787</v>
      </c>
      <c r="D115" t="s">
        <v>3094</v>
      </c>
      <c r="E115" t="s">
        <v>191</v>
      </c>
      <c r="F115" t="s">
        <v>4804</v>
      </c>
      <c r="G115" t="s">
        <v>1185</v>
      </c>
      <c r="H115" t="s">
        <v>1148</v>
      </c>
      <c r="I115">
        <v>9556.9</v>
      </c>
      <c r="J115">
        <v>2747329.7489401251</v>
      </c>
      <c r="K115">
        <v>287.47000000000003</v>
      </c>
      <c r="L115">
        <v>2.5</v>
      </c>
      <c r="M115">
        <v>2.8</v>
      </c>
      <c r="N115">
        <v>5.6</v>
      </c>
      <c r="O115">
        <v>3.3</v>
      </c>
      <c r="P115">
        <v>0</v>
      </c>
      <c r="Q115"/>
      <c r="R115">
        <v>5</v>
      </c>
      <c r="S115" t="s">
        <v>21</v>
      </c>
      <c r="T115">
        <v>287.47000000000003</v>
      </c>
      <c r="U115" t="s">
        <v>2819</v>
      </c>
      <c r="V115" t="s">
        <v>1062</v>
      </c>
      <c r="W115" s="114" t="str">
        <f t="shared" si="3"/>
        <v>Portafolio</v>
      </c>
      <c r="X115" s="114" t="str">
        <f t="shared" si="4"/>
        <v>Portafolio</v>
      </c>
    </row>
    <row r="116" spans="1:24" hidden="1" x14ac:dyDescent="0.25">
      <c r="A116" s="114" t="str">
        <f t="shared" si="5"/>
        <v>7512</v>
      </c>
      <c r="B116" t="s">
        <v>1332</v>
      </c>
      <c r="C116" t="s">
        <v>1333</v>
      </c>
      <c r="D116" t="s">
        <v>1334</v>
      </c>
      <c r="E116" t="s">
        <v>586</v>
      </c>
      <c r="F116" t="s">
        <v>1056</v>
      </c>
      <c r="G116" t="s">
        <v>1057</v>
      </c>
      <c r="H116" t="s">
        <v>1202</v>
      </c>
      <c r="I116" t="s">
        <v>90</v>
      </c>
      <c r="J116" t="s">
        <v>90</v>
      </c>
      <c r="K116">
        <v>75.966789539999994</v>
      </c>
      <c r="L116">
        <v>5.3750869400000001</v>
      </c>
      <c r="M116">
        <v>5.6057876999999996</v>
      </c>
      <c r="N116">
        <v>5.0064742500000001</v>
      </c>
      <c r="O116">
        <v>4.5559052700000002</v>
      </c>
      <c r="P116">
        <v>16.243632487264971</v>
      </c>
      <c r="Q116">
        <v>145.54919946999999</v>
      </c>
      <c r="R116">
        <v>2.4988049976099949</v>
      </c>
      <c r="S116" t="s">
        <v>1063</v>
      </c>
      <c r="T116">
        <v>75.966789539999994</v>
      </c>
      <c r="U116" t="s">
        <v>2819</v>
      </c>
      <c r="V116" t="s">
        <v>1059</v>
      </c>
      <c r="W116" s="114" t="str">
        <f t="shared" si="3"/>
        <v>ETF</v>
      </c>
      <c r="X116" s="114" t="str">
        <f t="shared" si="4"/>
        <v>Otros ETFs</v>
      </c>
    </row>
    <row r="117" spans="1:24" hidden="1" x14ac:dyDescent="0.25">
      <c r="A117" s="114" t="str">
        <f t="shared" si="5"/>
        <v>7393</v>
      </c>
      <c r="B117" t="s">
        <v>6160</v>
      </c>
      <c r="C117" t="s">
        <v>6161</v>
      </c>
      <c r="D117" t="s">
        <v>6162</v>
      </c>
      <c r="E117" t="s">
        <v>586</v>
      </c>
      <c r="F117" t="s">
        <v>1056</v>
      </c>
      <c r="G117" t="s">
        <v>1057</v>
      </c>
      <c r="H117" t="s">
        <v>1058</v>
      </c>
      <c r="I117" t="s">
        <v>90</v>
      </c>
      <c r="J117" t="s">
        <v>90</v>
      </c>
      <c r="K117">
        <v>22.719495980000001</v>
      </c>
      <c r="L117">
        <v>6.2635803499999998</v>
      </c>
      <c r="M117">
        <v>6.0479837200000004</v>
      </c>
      <c r="N117">
        <v>5.0589035400000002</v>
      </c>
      <c r="O117">
        <v>5.5131130199999996</v>
      </c>
      <c r="P117">
        <v>35.173456952424182</v>
      </c>
      <c r="Q117">
        <v>87.182131549999994</v>
      </c>
      <c r="R117">
        <v>18.426095971415918</v>
      </c>
      <c r="S117" t="s">
        <v>30</v>
      </c>
      <c r="T117">
        <v>22.719495980000001</v>
      </c>
      <c r="U117" t="s">
        <v>2819</v>
      </c>
      <c r="V117" t="s">
        <v>1059</v>
      </c>
      <c r="W117" s="114" t="str">
        <f t="shared" si="3"/>
        <v>ETF</v>
      </c>
      <c r="X117" s="114" t="str">
        <f t="shared" si="4"/>
        <v>Otros ETFs</v>
      </c>
    </row>
    <row r="118" spans="1:24" hidden="1" x14ac:dyDescent="0.25">
      <c r="A118" s="114" t="str">
        <f t="shared" si="5"/>
        <v>5151</v>
      </c>
      <c r="B118" t="s">
        <v>5785</v>
      </c>
      <c r="C118" t="s">
        <v>6163</v>
      </c>
      <c r="D118" t="s">
        <v>6164</v>
      </c>
      <c r="E118" t="s">
        <v>202</v>
      </c>
      <c r="F118" t="s">
        <v>4800</v>
      </c>
      <c r="G118" t="s">
        <v>1384</v>
      </c>
      <c r="H118" t="s">
        <v>1119</v>
      </c>
      <c r="I118">
        <v>23521.07</v>
      </c>
      <c r="J118">
        <v>3793.75</v>
      </c>
      <c r="K118">
        <v>0.16</v>
      </c>
      <c r="L118">
        <v>6.6</v>
      </c>
      <c r="M118">
        <v>3.6</v>
      </c>
      <c r="N118">
        <v>5.0999999999999996</v>
      </c>
      <c r="O118">
        <v>5.8</v>
      </c>
      <c r="P118">
        <v>0</v>
      </c>
      <c r="Q118"/>
      <c r="R118">
        <v>38</v>
      </c>
      <c r="S118" t="s">
        <v>30</v>
      </c>
      <c r="T118">
        <v>0.16</v>
      </c>
      <c r="U118" t="s">
        <v>2819</v>
      </c>
      <c r="V118" t="s">
        <v>1062</v>
      </c>
      <c r="W118" s="114" t="str">
        <f t="shared" si="3"/>
        <v>Portafolio</v>
      </c>
      <c r="X118" s="114" t="str">
        <f t="shared" si="4"/>
        <v>Portafolio</v>
      </c>
    </row>
    <row r="119" spans="1:24" hidden="1" x14ac:dyDescent="0.25">
      <c r="A119" s="114" t="str">
        <f t="shared" si="5"/>
        <v>5151</v>
      </c>
      <c r="B119" t="s">
        <v>5785</v>
      </c>
      <c r="C119" t="s">
        <v>5786</v>
      </c>
      <c r="D119" t="s">
        <v>5787</v>
      </c>
      <c r="E119" t="s">
        <v>202</v>
      </c>
      <c r="F119" t="s">
        <v>4800</v>
      </c>
      <c r="G119" t="s">
        <v>1384</v>
      </c>
      <c r="H119" t="s">
        <v>1119</v>
      </c>
      <c r="I119">
        <v>23521.07</v>
      </c>
      <c r="J119">
        <v>3793.75</v>
      </c>
      <c r="K119">
        <v>0.16</v>
      </c>
      <c r="L119">
        <v>6.6</v>
      </c>
      <c r="M119">
        <v>3.6</v>
      </c>
      <c r="N119">
        <v>5.0999999999999996</v>
      </c>
      <c r="O119">
        <v>5.8</v>
      </c>
      <c r="P119">
        <v>0</v>
      </c>
      <c r="Q119"/>
      <c r="R119">
        <v>38</v>
      </c>
      <c r="S119" t="s">
        <v>30</v>
      </c>
      <c r="T119">
        <v>0.16</v>
      </c>
      <c r="U119" t="s">
        <v>2819</v>
      </c>
      <c r="V119" t="s">
        <v>1062</v>
      </c>
      <c r="W119" s="114" t="str">
        <f t="shared" si="3"/>
        <v>Portafolio</v>
      </c>
      <c r="X119" s="114" t="str">
        <f t="shared" si="4"/>
        <v>Portafolio</v>
      </c>
    </row>
    <row r="120" spans="1:24" hidden="1" x14ac:dyDescent="0.25">
      <c r="A120" s="114" t="str">
        <f t="shared" si="5"/>
        <v>7024</v>
      </c>
      <c r="B120" t="s">
        <v>1335</v>
      </c>
      <c r="C120" t="s">
        <v>1336</v>
      </c>
      <c r="D120" t="s">
        <v>1337</v>
      </c>
      <c r="E120" t="s">
        <v>586</v>
      </c>
      <c r="F120" t="s">
        <v>1056</v>
      </c>
      <c r="G120" t="s">
        <v>1057</v>
      </c>
      <c r="H120" t="s">
        <v>1058</v>
      </c>
      <c r="I120" t="s">
        <v>90</v>
      </c>
      <c r="J120" t="s">
        <v>90</v>
      </c>
      <c r="K120">
        <v>37.011794729999998</v>
      </c>
      <c r="L120">
        <v>6.2562769999999999</v>
      </c>
      <c r="M120">
        <v>5.5690461600000001</v>
      </c>
      <c r="N120">
        <v>5.0609885700000001</v>
      </c>
      <c r="O120">
        <v>5.69576686</v>
      </c>
      <c r="P120">
        <v>27.364577538814949</v>
      </c>
      <c r="Q120">
        <v>115.87100507</v>
      </c>
      <c r="R120">
        <v>19.913236880073811</v>
      </c>
      <c r="S120" t="s">
        <v>30</v>
      </c>
      <c r="T120">
        <v>37.011794729999998</v>
      </c>
      <c r="U120" t="s">
        <v>2819</v>
      </c>
      <c r="V120" t="s">
        <v>1059</v>
      </c>
      <c r="W120" s="114" t="str">
        <f t="shared" si="3"/>
        <v>ETF</v>
      </c>
      <c r="X120" s="114" t="str">
        <f t="shared" si="4"/>
        <v>Otros ETFs</v>
      </c>
    </row>
    <row r="121" spans="1:24" hidden="1" x14ac:dyDescent="0.25">
      <c r="A121" s="114" t="str">
        <f t="shared" si="5"/>
        <v>7024</v>
      </c>
      <c r="B121" t="s">
        <v>5784</v>
      </c>
      <c r="C121" t="s">
        <v>1338</v>
      </c>
      <c r="D121" t="s">
        <v>1339</v>
      </c>
      <c r="E121" t="s">
        <v>586</v>
      </c>
      <c r="F121" t="s">
        <v>1056</v>
      </c>
      <c r="G121" t="s">
        <v>1260</v>
      </c>
      <c r="H121" t="s">
        <v>1261</v>
      </c>
      <c r="I121" t="s">
        <v>90</v>
      </c>
      <c r="J121" t="s">
        <v>90</v>
      </c>
      <c r="K121">
        <v>85.841537020000004</v>
      </c>
      <c r="L121">
        <v>7.3339757700000003</v>
      </c>
      <c r="M121">
        <v>5.6710564799999998</v>
      </c>
      <c r="N121">
        <v>5.2180828000000004</v>
      </c>
      <c r="O121">
        <v>6.5874591300000001</v>
      </c>
      <c r="P121">
        <v>13.8513267135197</v>
      </c>
      <c r="Q121">
        <v>135.86527348999999</v>
      </c>
      <c r="R121">
        <v>51.810916935028843</v>
      </c>
      <c r="S121" t="s">
        <v>1073</v>
      </c>
      <c r="T121">
        <v>85.841537020000004</v>
      </c>
      <c r="U121" t="s">
        <v>2819</v>
      </c>
      <c r="V121" t="s">
        <v>1059</v>
      </c>
      <c r="W121" s="114" t="str">
        <f t="shared" si="3"/>
        <v>ETF</v>
      </c>
      <c r="X121" s="114" t="str">
        <f t="shared" si="4"/>
        <v>Otros ETFs</v>
      </c>
    </row>
    <row r="122" spans="1:24" hidden="1" x14ac:dyDescent="0.25">
      <c r="A122" s="114" t="str">
        <f t="shared" si="5"/>
        <v>5034</v>
      </c>
      <c r="B122" t="s">
        <v>1840</v>
      </c>
      <c r="C122" t="s">
        <v>1841</v>
      </c>
      <c r="D122" t="s">
        <v>4243</v>
      </c>
      <c r="E122" t="s">
        <v>512</v>
      </c>
      <c r="F122" t="s">
        <v>4797</v>
      </c>
      <c r="G122" t="s">
        <v>1384</v>
      </c>
      <c r="H122" t="s">
        <v>1098</v>
      </c>
      <c r="I122">
        <v>12335.11</v>
      </c>
      <c r="J122">
        <v>757972</v>
      </c>
      <c r="K122">
        <v>61.45</v>
      </c>
      <c r="L122">
        <v>5.3</v>
      </c>
      <c r="M122">
        <v>2.6</v>
      </c>
      <c r="N122">
        <v>5.3</v>
      </c>
      <c r="O122">
        <v>5</v>
      </c>
      <c r="P122">
        <v>0</v>
      </c>
      <c r="Q122"/>
      <c r="R122">
        <v>23</v>
      </c>
      <c r="S122" t="s">
        <v>1063</v>
      </c>
      <c r="T122">
        <v>61.45</v>
      </c>
      <c r="U122" t="s">
        <v>2819</v>
      </c>
      <c r="V122" t="s">
        <v>1062</v>
      </c>
      <c r="W122" s="114" t="str">
        <f t="shared" si="3"/>
        <v>Portafolio</v>
      </c>
      <c r="X122" s="114" t="str">
        <f t="shared" si="4"/>
        <v>Portafolio</v>
      </c>
    </row>
    <row r="123" spans="1:24" hidden="1" x14ac:dyDescent="0.25">
      <c r="A123" s="114" t="str">
        <f t="shared" si="5"/>
        <v>7111</v>
      </c>
      <c r="B123" t="s">
        <v>1340</v>
      </c>
      <c r="C123" t="s">
        <v>604</v>
      </c>
      <c r="D123" t="s">
        <v>603</v>
      </c>
      <c r="E123" t="s">
        <v>586</v>
      </c>
      <c r="F123" t="s">
        <v>1056</v>
      </c>
      <c r="G123" t="s">
        <v>1057</v>
      </c>
      <c r="H123" t="s">
        <v>1205</v>
      </c>
      <c r="I123" t="s">
        <v>90</v>
      </c>
      <c r="J123" t="s">
        <v>90</v>
      </c>
      <c r="K123">
        <v>226.25363250999999</v>
      </c>
      <c r="L123">
        <v>6.26189164</v>
      </c>
      <c r="M123">
        <v>3.7445786999999999</v>
      </c>
      <c r="N123">
        <v>5.8771789400000003</v>
      </c>
      <c r="O123">
        <v>6.7393951999999997</v>
      </c>
      <c r="P123">
        <v>34.955776987236007</v>
      </c>
      <c r="Q123">
        <v>316.49390306999999</v>
      </c>
      <c r="R123">
        <v>23.045758770114318</v>
      </c>
      <c r="S123" t="s">
        <v>30</v>
      </c>
      <c r="T123">
        <v>226.25363250999999</v>
      </c>
      <c r="U123" t="s">
        <v>2819</v>
      </c>
      <c r="V123" t="s">
        <v>1059</v>
      </c>
      <c r="W123" s="114" t="str">
        <f t="shared" si="3"/>
        <v>ETF</v>
      </c>
      <c r="X123" s="114" t="str">
        <f t="shared" si="4"/>
        <v>Otros ETFs</v>
      </c>
    </row>
    <row r="124" spans="1:24" hidden="1" x14ac:dyDescent="0.25">
      <c r="A124" s="114" t="str">
        <f t="shared" si="5"/>
        <v>5034</v>
      </c>
      <c r="B124" t="s">
        <v>1840</v>
      </c>
      <c r="C124" t="s">
        <v>1848</v>
      </c>
      <c r="D124" t="s">
        <v>3076</v>
      </c>
      <c r="E124" t="s">
        <v>191</v>
      </c>
      <c r="F124" t="s">
        <v>4804</v>
      </c>
      <c r="G124" t="s">
        <v>1384</v>
      </c>
      <c r="H124" t="s">
        <v>1098</v>
      </c>
      <c r="I124">
        <v>12335.11</v>
      </c>
      <c r="J124">
        <v>757972</v>
      </c>
      <c r="K124">
        <v>61.45</v>
      </c>
      <c r="L124">
        <v>5.3</v>
      </c>
      <c r="M124">
        <v>2.6</v>
      </c>
      <c r="N124">
        <v>5.3</v>
      </c>
      <c r="O124">
        <v>5</v>
      </c>
      <c r="P124">
        <v>0</v>
      </c>
      <c r="Q124"/>
      <c r="R124">
        <v>23</v>
      </c>
      <c r="S124" t="s">
        <v>1063</v>
      </c>
      <c r="T124">
        <v>61.45</v>
      </c>
      <c r="U124" t="s">
        <v>2819</v>
      </c>
      <c r="V124" t="s">
        <v>1062</v>
      </c>
      <c r="W124" s="114" t="str">
        <f t="shared" si="3"/>
        <v>Portafolio</v>
      </c>
      <c r="X124" s="114" t="str">
        <f t="shared" si="4"/>
        <v>Portafolio</v>
      </c>
    </row>
    <row r="125" spans="1:24" hidden="1" x14ac:dyDescent="0.25">
      <c r="A125" s="114" t="str">
        <f t="shared" si="5"/>
        <v>7111</v>
      </c>
      <c r="B125" t="s">
        <v>1341</v>
      </c>
      <c r="C125" t="s">
        <v>1342</v>
      </c>
      <c r="D125" t="s">
        <v>1343</v>
      </c>
      <c r="E125" t="s">
        <v>586</v>
      </c>
      <c r="F125" t="s">
        <v>1056</v>
      </c>
      <c r="G125" t="s">
        <v>1057</v>
      </c>
      <c r="H125" t="s">
        <v>1205</v>
      </c>
      <c r="I125" t="s">
        <v>90</v>
      </c>
      <c r="J125" t="s">
        <v>90</v>
      </c>
      <c r="K125">
        <v>76.24871358</v>
      </c>
      <c r="L125">
        <v>6.2569754099999999</v>
      </c>
      <c r="M125">
        <v>7.2357828599999996</v>
      </c>
      <c r="N125">
        <v>5.9723995800000003</v>
      </c>
      <c r="O125">
        <v>6.3253389100000001</v>
      </c>
      <c r="P125">
        <v>0</v>
      </c>
      <c r="Q125">
        <v>126.70983983000001</v>
      </c>
      <c r="R125">
        <v>47.15755284244716</v>
      </c>
      <c r="S125" t="s">
        <v>30</v>
      </c>
      <c r="T125">
        <v>76.24871358</v>
      </c>
      <c r="U125" t="s">
        <v>2819</v>
      </c>
      <c r="V125" t="s">
        <v>1059</v>
      </c>
      <c r="W125" s="114" t="str">
        <f t="shared" si="3"/>
        <v>ETF</v>
      </c>
      <c r="X125" s="114" t="str">
        <f t="shared" si="4"/>
        <v>Otros ETFs</v>
      </c>
    </row>
    <row r="126" spans="1:24" hidden="1" x14ac:dyDescent="0.25">
      <c r="A126" s="114" t="str">
        <f t="shared" si="5"/>
        <v>5073</v>
      </c>
      <c r="B126" t="s">
        <v>1909</v>
      </c>
      <c r="C126" t="s">
        <v>1910</v>
      </c>
      <c r="D126" t="s">
        <v>4261</v>
      </c>
      <c r="E126" t="s">
        <v>4798</v>
      </c>
      <c r="F126" t="s">
        <v>4799</v>
      </c>
      <c r="G126" t="s">
        <v>1185</v>
      </c>
      <c r="H126" t="s">
        <v>1911</v>
      </c>
      <c r="I126">
        <v>20406.560000000001</v>
      </c>
      <c r="J126">
        <v>622450</v>
      </c>
      <c r="K126">
        <v>30.5</v>
      </c>
      <c r="L126">
        <v>4.8</v>
      </c>
      <c r="M126">
        <v>5.5</v>
      </c>
      <c r="N126">
        <v>6.3</v>
      </c>
      <c r="O126">
        <v>2.2000000000000002</v>
      </c>
      <c r="P126">
        <v>3</v>
      </c>
      <c r="Q126"/>
      <c r="R126">
        <v>1</v>
      </c>
      <c r="S126" t="s">
        <v>1063</v>
      </c>
      <c r="T126">
        <v>30.5</v>
      </c>
      <c r="U126" t="s">
        <v>2819</v>
      </c>
      <c r="V126" t="s">
        <v>1062</v>
      </c>
      <c r="W126" s="114" t="str">
        <f t="shared" si="3"/>
        <v>Portafolio</v>
      </c>
      <c r="X126" s="114" t="str">
        <f t="shared" si="4"/>
        <v>Portafolio</v>
      </c>
    </row>
    <row r="127" spans="1:24" hidden="1" x14ac:dyDescent="0.25">
      <c r="A127" s="114" t="str">
        <f t="shared" si="5"/>
        <v>2845</v>
      </c>
      <c r="B127" t="s">
        <v>5260</v>
      </c>
      <c r="C127" t="s">
        <v>481</v>
      </c>
      <c r="D127" t="s">
        <v>480</v>
      </c>
      <c r="E127" t="s">
        <v>422</v>
      </c>
      <c r="F127" t="s">
        <v>4801</v>
      </c>
      <c r="G127" t="s">
        <v>1198</v>
      </c>
      <c r="H127" t="s">
        <v>1147</v>
      </c>
      <c r="I127">
        <v>488.18</v>
      </c>
      <c r="J127">
        <v>135620</v>
      </c>
      <c r="K127">
        <v>277.81</v>
      </c>
      <c r="L127">
        <v>3.8</v>
      </c>
      <c r="M127">
        <v>3.2</v>
      </c>
      <c r="N127">
        <v>5.8</v>
      </c>
      <c r="O127">
        <v>2.4</v>
      </c>
      <c r="P127">
        <v>0</v>
      </c>
      <c r="Q127"/>
      <c r="R127">
        <v>1</v>
      </c>
      <c r="S127" t="s">
        <v>1138</v>
      </c>
      <c r="T127">
        <v>277.81</v>
      </c>
      <c r="U127" t="s">
        <v>2819</v>
      </c>
      <c r="V127" t="s">
        <v>1062</v>
      </c>
      <c r="W127" s="114" t="str">
        <f t="shared" si="3"/>
        <v>Portafolio</v>
      </c>
      <c r="X127" s="114" t="str">
        <f t="shared" si="4"/>
        <v>Portafolio</v>
      </c>
    </row>
    <row r="128" spans="1:24" hidden="1" x14ac:dyDescent="0.25">
      <c r="A128" s="114" t="str">
        <f t="shared" si="5"/>
        <v>7111</v>
      </c>
      <c r="B128" t="s">
        <v>1344</v>
      </c>
      <c r="C128" t="s">
        <v>1345</v>
      </c>
      <c r="D128" t="s">
        <v>1346</v>
      </c>
      <c r="E128" t="s">
        <v>586</v>
      </c>
      <c r="F128" t="s">
        <v>1056</v>
      </c>
      <c r="G128" t="s">
        <v>1057</v>
      </c>
      <c r="H128" t="s">
        <v>1155</v>
      </c>
      <c r="I128" t="s">
        <v>90</v>
      </c>
      <c r="J128" t="s">
        <v>90</v>
      </c>
      <c r="K128">
        <v>2.7102894399999999</v>
      </c>
      <c r="L128">
        <v>5.8577122499999996</v>
      </c>
      <c r="M128">
        <v>9.5568492500000009</v>
      </c>
      <c r="N128">
        <v>4.7210891000000004</v>
      </c>
      <c r="O128">
        <v>6.3711149100000002</v>
      </c>
      <c r="P128">
        <v>42.403100000000002</v>
      </c>
      <c r="Q128">
        <v>13.560940309999999</v>
      </c>
      <c r="R128">
        <v>33.671300000000002</v>
      </c>
      <c r="S128" t="s">
        <v>30</v>
      </c>
      <c r="T128">
        <v>2.7102894399999999</v>
      </c>
      <c r="U128" t="s">
        <v>2819</v>
      </c>
      <c r="V128" t="s">
        <v>1059</v>
      </c>
      <c r="W128" s="114" t="str">
        <f t="shared" si="3"/>
        <v>ETF</v>
      </c>
      <c r="X128" s="114" t="str">
        <f t="shared" si="4"/>
        <v>Otros ETFs</v>
      </c>
    </row>
    <row r="129" spans="1:24" hidden="1" x14ac:dyDescent="0.25">
      <c r="A129" s="114" t="str">
        <f t="shared" si="5"/>
        <v>7111</v>
      </c>
      <c r="B129" t="s">
        <v>1347</v>
      </c>
      <c r="C129" t="s">
        <v>1348</v>
      </c>
      <c r="D129" t="s">
        <v>1349</v>
      </c>
      <c r="E129" t="s">
        <v>586</v>
      </c>
      <c r="F129" t="s">
        <v>1056</v>
      </c>
      <c r="G129" t="s">
        <v>1057</v>
      </c>
      <c r="H129" t="s">
        <v>1159</v>
      </c>
      <c r="I129" t="s">
        <v>90</v>
      </c>
      <c r="J129" t="s">
        <v>90</v>
      </c>
      <c r="K129">
        <v>1.30894759</v>
      </c>
      <c r="L129">
        <v>6.2235882199999999</v>
      </c>
      <c r="M129">
        <v>3.33749363</v>
      </c>
      <c r="N129">
        <v>4.5562491400000003</v>
      </c>
      <c r="O129">
        <v>6.4458062099999998</v>
      </c>
      <c r="P129">
        <v>0</v>
      </c>
      <c r="Q129">
        <v>5.0154260700000002</v>
      </c>
      <c r="R129">
        <v>9.9529099529099536</v>
      </c>
      <c r="S129" t="s">
        <v>30</v>
      </c>
      <c r="T129">
        <v>1.30894759</v>
      </c>
      <c r="U129" t="s">
        <v>2819</v>
      </c>
      <c r="V129" t="s">
        <v>1059</v>
      </c>
      <c r="W129" s="114" t="str">
        <f t="shared" si="3"/>
        <v>ETF</v>
      </c>
      <c r="X129" s="114" t="str">
        <f t="shared" si="4"/>
        <v>Otros ETFs</v>
      </c>
    </row>
    <row r="130" spans="1:24" hidden="1" x14ac:dyDescent="0.25">
      <c r="A130" s="114" t="str">
        <f t="shared" si="5"/>
        <v>2011</v>
      </c>
      <c r="B130" t="s">
        <v>4712</v>
      </c>
      <c r="C130" t="s">
        <v>435</v>
      </c>
      <c r="D130" t="s">
        <v>434</v>
      </c>
      <c r="E130" t="s">
        <v>422</v>
      </c>
      <c r="F130" t="s">
        <v>4801</v>
      </c>
      <c r="G130" t="s">
        <v>1198</v>
      </c>
      <c r="H130" t="s">
        <v>1140</v>
      </c>
      <c r="I130">
        <v>2350.2800000000002</v>
      </c>
      <c r="J130">
        <v>86013.58</v>
      </c>
      <c r="K130">
        <v>36.6</v>
      </c>
      <c r="L130">
        <v>3.2</v>
      </c>
      <c r="M130">
        <v>2.4</v>
      </c>
      <c r="N130">
        <v>4.8</v>
      </c>
      <c r="O130">
        <v>4.0999999999999996</v>
      </c>
      <c r="P130">
        <v>0</v>
      </c>
      <c r="Q130"/>
      <c r="R130">
        <v>12</v>
      </c>
      <c r="S130" t="s">
        <v>1138</v>
      </c>
      <c r="T130">
        <v>36.6</v>
      </c>
      <c r="U130" t="s">
        <v>2819</v>
      </c>
      <c r="V130" t="s">
        <v>1062</v>
      </c>
      <c r="W130" s="114" t="str">
        <f t="shared" ref="W130:W193" si="6">IF(V130="ETF_ETY","ETF",IF(V130="ETF_SOV","ETF",IF(V130="RF_SOV","SOV",IF(V130="-","Cuestionario Integra","Portafolio"))))</f>
        <v>Portafolio</v>
      </c>
      <c r="X130" s="114" t="str">
        <f t="shared" ref="X130:X193" si="7">IF(V130="ETF_ETY","Otros ETFs",IF(V130="ETF_SOV","Soberanos",W130))</f>
        <v>Portafolio</v>
      </c>
    </row>
    <row r="131" spans="1:24" hidden="1" x14ac:dyDescent="0.25">
      <c r="A131" s="114" t="str">
        <f t="shared" ref="A131:A194" si="8">RIGHT(LEFT(D131,6),4)</f>
        <v>7111</v>
      </c>
      <c r="B131" t="s">
        <v>1350</v>
      </c>
      <c r="C131" t="s">
        <v>1351</v>
      </c>
      <c r="D131" t="s">
        <v>1352</v>
      </c>
      <c r="E131" t="s">
        <v>586</v>
      </c>
      <c r="F131" t="s">
        <v>1056</v>
      </c>
      <c r="G131" t="s">
        <v>1057</v>
      </c>
      <c r="H131" t="s">
        <v>1202</v>
      </c>
      <c r="I131" t="s">
        <v>90</v>
      </c>
      <c r="J131" t="s">
        <v>90</v>
      </c>
      <c r="K131">
        <v>21.94625727</v>
      </c>
      <c r="L131">
        <v>6.5216521099999998</v>
      </c>
      <c r="M131">
        <v>4.7993625599999996</v>
      </c>
      <c r="N131">
        <v>5.4146700599999997</v>
      </c>
      <c r="O131">
        <v>6.4705676600000004</v>
      </c>
      <c r="P131">
        <v>0</v>
      </c>
      <c r="Q131">
        <v>58.061952550000001</v>
      </c>
      <c r="R131">
        <v>21.287246531590181</v>
      </c>
      <c r="S131" t="s">
        <v>30</v>
      </c>
      <c r="T131">
        <v>21.94625727</v>
      </c>
      <c r="U131" t="s">
        <v>2819</v>
      </c>
      <c r="V131" t="s">
        <v>1059</v>
      </c>
      <c r="W131" s="114" t="str">
        <f t="shared" si="6"/>
        <v>ETF</v>
      </c>
      <c r="X131" s="114" t="str">
        <f t="shared" si="7"/>
        <v>Otros ETFs</v>
      </c>
    </row>
    <row r="132" spans="1:24" hidden="1" x14ac:dyDescent="0.25">
      <c r="A132" s="114" t="str">
        <f t="shared" si="8"/>
        <v>2011</v>
      </c>
      <c r="B132" t="s">
        <v>4712</v>
      </c>
      <c r="C132" t="s">
        <v>5624</v>
      </c>
      <c r="D132" t="s">
        <v>4273</v>
      </c>
      <c r="E132" t="s">
        <v>491</v>
      </c>
      <c r="F132" t="s">
        <v>4807</v>
      </c>
      <c r="G132" t="s">
        <v>1198</v>
      </c>
      <c r="H132" t="s">
        <v>1140</v>
      </c>
      <c r="I132">
        <v>2350.2800000000002</v>
      </c>
      <c r="J132">
        <v>86013.58</v>
      </c>
      <c r="K132">
        <v>36.6</v>
      </c>
      <c r="L132">
        <v>3.2</v>
      </c>
      <c r="M132">
        <v>2.4</v>
      </c>
      <c r="N132">
        <v>4.8</v>
      </c>
      <c r="O132">
        <v>4.0999999999999996</v>
      </c>
      <c r="P132">
        <v>0</v>
      </c>
      <c r="Q132"/>
      <c r="R132">
        <v>12</v>
      </c>
      <c r="S132" t="s">
        <v>1138</v>
      </c>
      <c r="T132">
        <v>36.6</v>
      </c>
      <c r="U132" t="s">
        <v>2819</v>
      </c>
      <c r="V132" t="s">
        <v>1062</v>
      </c>
      <c r="W132" s="114" t="str">
        <f t="shared" si="6"/>
        <v>Portafolio</v>
      </c>
      <c r="X132" s="114" t="str">
        <f t="shared" si="7"/>
        <v>Portafolio</v>
      </c>
    </row>
    <row r="133" spans="1:24" hidden="1" x14ac:dyDescent="0.25">
      <c r="A133" s="114" t="str">
        <f t="shared" si="8"/>
        <v>2011</v>
      </c>
      <c r="B133" t="s">
        <v>4712</v>
      </c>
      <c r="C133" t="s">
        <v>304</v>
      </c>
      <c r="D133" t="s">
        <v>303</v>
      </c>
      <c r="E133" t="s">
        <v>249</v>
      </c>
      <c r="F133" t="s">
        <v>4806</v>
      </c>
      <c r="G133" t="s">
        <v>1198</v>
      </c>
      <c r="H133" t="s">
        <v>1140</v>
      </c>
      <c r="I133">
        <v>2350.2800000000002</v>
      </c>
      <c r="J133">
        <v>86013.58</v>
      </c>
      <c r="K133">
        <v>36.6</v>
      </c>
      <c r="L133">
        <v>3.2</v>
      </c>
      <c r="M133">
        <v>2.4</v>
      </c>
      <c r="N133">
        <v>4.8</v>
      </c>
      <c r="O133">
        <v>4.0999999999999996</v>
      </c>
      <c r="P133">
        <v>0</v>
      </c>
      <c r="Q133"/>
      <c r="R133">
        <v>12</v>
      </c>
      <c r="S133" t="s">
        <v>1138</v>
      </c>
      <c r="T133">
        <v>36.6</v>
      </c>
      <c r="U133" t="s">
        <v>2819</v>
      </c>
      <c r="V133" t="s">
        <v>1062</v>
      </c>
      <c r="W133" s="114" t="str">
        <f t="shared" si="6"/>
        <v>Portafolio</v>
      </c>
      <c r="X133" s="114" t="str">
        <f t="shared" si="7"/>
        <v>Portafolio</v>
      </c>
    </row>
    <row r="134" spans="1:24" hidden="1" x14ac:dyDescent="0.25">
      <c r="A134" s="114" t="str">
        <f t="shared" si="8"/>
        <v>2011</v>
      </c>
      <c r="B134" t="s">
        <v>4712</v>
      </c>
      <c r="C134" t="s">
        <v>5625</v>
      </c>
      <c r="D134" t="s">
        <v>5626</v>
      </c>
      <c r="E134" t="s">
        <v>249</v>
      </c>
      <c r="F134" t="s">
        <v>4806</v>
      </c>
      <c r="G134" t="s">
        <v>1198</v>
      </c>
      <c r="H134" t="s">
        <v>1140</v>
      </c>
      <c r="I134">
        <v>2350.2800000000002</v>
      </c>
      <c r="J134">
        <v>86013.58</v>
      </c>
      <c r="K134">
        <v>36.6</v>
      </c>
      <c r="L134">
        <v>3.2</v>
      </c>
      <c r="M134">
        <v>2.4</v>
      </c>
      <c r="N134">
        <v>4.8</v>
      </c>
      <c r="O134">
        <v>4.0999999999999996</v>
      </c>
      <c r="P134">
        <v>0</v>
      </c>
      <c r="Q134"/>
      <c r="R134">
        <v>12</v>
      </c>
      <c r="S134" t="s">
        <v>1138</v>
      </c>
      <c r="T134">
        <v>36.6</v>
      </c>
      <c r="U134" t="s">
        <v>2819</v>
      </c>
      <c r="V134" t="s">
        <v>1062</v>
      </c>
      <c r="W134" s="114" t="str">
        <f t="shared" si="6"/>
        <v>Portafolio</v>
      </c>
      <c r="X134" s="114" t="str">
        <f t="shared" si="7"/>
        <v>Portafolio</v>
      </c>
    </row>
    <row r="135" spans="1:24" hidden="1" x14ac:dyDescent="0.25">
      <c r="A135" s="114" t="str">
        <f t="shared" si="8"/>
        <v>6001</v>
      </c>
      <c r="B135" t="s">
        <v>6165</v>
      </c>
      <c r="C135" t="s">
        <v>1354</v>
      </c>
      <c r="D135" t="s">
        <v>1355</v>
      </c>
      <c r="E135" t="s">
        <v>586</v>
      </c>
      <c r="F135" t="s">
        <v>1056</v>
      </c>
      <c r="G135" t="s">
        <v>1057</v>
      </c>
      <c r="H135" t="s">
        <v>1202</v>
      </c>
      <c r="I135" t="s">
        <v>90</v>
      </c>
      <c r="J135" t="s">
        <v>90</v>
      </c>
      <c r="K135">
        <v>11.068935850000001</v>
      </c>
      <c r="L135">
        <v>6.89407909</v>
      </c>
      <c r="M135">
        <v>5.1400360699999998</v>
      </c>
      <c r="N135">
        <v>5.4528924099999996</v>
      </c>
      <c r="O135">
        <v>6.5753691099999996</v>
      </c>
      <c r="P135">
        <v>3.58484264251772</v>
      </c>
      <c r="Q135">
        <v>25.004406230000001</v>
      </c>
      <c r="R135">
        <v>23.37412601398378</v>
      </c>
      <c r="S135" t="s">
        <v>30</v>
      </c>
      <c r="T135">
        <v>11.068935850000001</v>
      </c>
      <c r="U135" t="s">
        <v>2819</v>
      </c>
      <c r="V135" t="s">
        <v>1059</v>
      </c>
      <c r="W135" s="114" t="str">
        <f t="shared" si="6"/>
        <v>ETF</v>
      </c>
      <c r="X135" s="114" t="str">
        <f t="shared" si="7"/>
        <v>Otros ETFs</v>
      </c>
    </row>
    <row r="136" spans="1:24" hidden="1" x14ac:dyDescent="0.25">
      <c r="A136" s="114" t="str">
        <f t="shared" si="8"/>
        <v>2011</v>
      </c>
      <c r="B136" t="s">
        <v>4712</v>
      </c>
      <c r="C136" t="s">
        <v>306</v>
      </c>
      <c r="D136" t="s">
        <v>305</v>
      </c>
      <c r="E136" t="s">
        <v>249</v>
      </c>
      <c r="F136" t="s">
        <v>4806</v>
      </c>
      <c r="G136" t="s">
        <v>1198</v>
      </c>
      <c r="H136" t="s">
        <v>1140</v>
      </c>
      <c r="I136">
        <v>2350.2800000000002</v>
      </c>
      <c r="J136">
        <v>86013.58</v>
      </c>
      <c r="K136">
        <v>36.6</v>
      </c>
      <c r="L136">
        <v>3.2</v>
      </c>
      <c r="M136">
        <v>2.4</v>
      </c>
      <c r="N136">
        <v>4.8</v>
      </c>
      <c r="O136">
        <v>4.0999999999999996</v>
      </c>
      <c r="P136">
        <v>0</v>
      </c>
      <c r="Q136"/>
      <c r="R136">
        <v>12</v>
      </c>
      <c r="S136" t="s">
        <v>1138</v>
      </c>
      <c r="T136">
        <v>36.6</v>
      </c>
      <c r="U136" t="s">
        <v>2819</v>
      </c>
      <c r="V136" t="s">
        <v>1062</v>
      </c>
      <c r="W136" s="114" t="str">
        <f t="shared" si="6"/>
        <v>Portafolio</v>
      </c>
      <c r="X136" s="114" t="str">
        <f t="shared" si="7"/>
        <v>Portafolio</v>
      </c>
    </row>
    <row r="137" spans="1:24" hidden="1" x14ac:dyDescent="0.25">
      <c r="A137" s="114" t="str">
        <f t="shared" si="8"/>
        <v>7017</v>
      </c>
      <c r="B137" t="s">
        <v>1356</v>
      </c>
      <c r="C137" t="s">
        <v>1357</v>
      </c>
      <c r="D137" t="s">
        <v>1358</v>
      </c>
      <c r="E137" t="s">
        <v>586</v>
      </c>
      <c r="F137" t="s">
        <v>1056</v>
      </c>
      <c r="G137" t="s">
        <v>1057</v>
      </c>
      <c r="H137" t="s">
        <v>1359</v>
      </c>
      <c r="I137" t="s">
        <v>90</v>
      </c>
      <c r="J137" t="s">
        <v>90</v>
      </c>
      <c r="K137">
        <v>21.727398839999999</v>
      </c>
      <c r="L137">
        <v>6.7531255699999999</v>
      </c>
      <c r="M137">
        <v>5.8045460999999996</v>
      </c>
      <c r="N137">
        <v>5.1489514999999999</v>
      </c>
      <c r="O137">
        <v>6.0495902399999997</v>
      </c>
      <c r="P137">
        <v>36.526463473536523</v>
      </c>
      <c r="Q137">
        <v>90.306227539999995</v>
      </c>
      <c r="R137">
        <v>30.11056988943011</v>
      </c>
      <c r="S137" t="s">
        <v>30</v>
      </c>
      <c r="T137">
        <v>21.727398839999999</v>
      </c>
      <c r="U137" t="s">
        <v>2819</v>
      </c>
      <c r="V137" t="s">
        <v>1059</v>
      </c>
      <c r="W137" s="114" t="str">
        <f t="shared" si="6"/>
        <v>ETF</v>
      </c>
      <c r="X137" s="114" t="str">
        <f t="shared" si="7"/>
        <v>Otros ETFs</v>
      </c>
    </row>
    <row r="138" spans="1:24" hidden="1" x14ac:dyDescent="0.25">
      <c r="A138" s="114" t="str">
        <f t="shared" si="8"/>
        <v>7393</v>
      </c>
      <c r="B138" t="s">
        <v>6166</v>
      </c>
      <c r="C138" t="s">
        <v>1361</v>
      </c>
      <c r="D138" t="s">
        <v>1362</v>
      </c>
      <c r="E138" t="s">
        <v>586</v>
      </c>
      <c r="F138" t="s">
        <v>1056</v>
      </c>
      <c r="G138" t="s">
        <v>1057</v>
      </c>
      <c r="H138" t="s">
        <v>1155</v>
      </c>
      <c r="I138" t="s">
        <v>90</v>
      </c>
      <c r="J138" t="s">
        <v>90</v>
      </c>
      <c r="K138">
        <v>2.88678626</v>
      </c>
      <c r="L138">
        <v>4.5906825900000001</v>
      </c>
      <c r="M138">
        <v>4.8203310699999999</v>
      </c>
      <c r="N138">
        <v>3.6186586100000002</v>
      </c>
      <c r="O138">
        <v>5.9814808900000003</v>
      </c>
      <c r="P138">
        <v>5.1441919719685893</v>
      </c>
      <c r="Q138">
        <v>37.495321400000002</v>
      </c>
      <c r="R138">
        <v>4.1499128518301118</v>
      </c>
      <c r="S138" t="s">
        <v>1063</v>
      </c>
      <c r="T138">
        <v>2.88678626</v>
      </c>
      <c r="U138" t="s">
        <v>2819</v>
      </c>
      <c r="V138" t="s">
        <v>1059</v>
      </c>
      <c r="W138" s="114" t="str">
        <f t="shared" si="6"/>
        <v>ETF</v>
      </c>
      <c r="X138" s="114" t="str">
        <f t="shared" si="7"/>
        <v>Otros ETFs</v>
      </c>
    </row>
    <row r="139" spans="1:24" hidden="1" x14ac:dyDescent="0.25">
      <c r="A139" s="114" t="str">
        <f t="shared" si="8"/>
        <v>2011</v>
      </c>
      <c r="B139" t="s">
        <v>4712</v>
      </c>
      <c r="C139" t="s">
        <v>6167</v>
      </c>
      <c r="D139" t="s">
        <v>6168</v>
      </c>
      <c r="E139" t="s">
        <v>249</v>
      </c>
      <c r="F139" t="s">
        <v>4806</v>
      </c>
      <c r="G139" t="s">
        <v>1198</v>
      </c>
      <c r="H139" t="s">
        <v>1140</v>
      </c>
      <c r="I139">
        <v>2350.2800000000002</v>
      </c>
      <c r="J139">
        <v>86013.58</v>
      </c>
      <c r="K139">
        <v>36.6</v>
      </c>
      <c r="L139">
        <v>3.2</v>
      </c>
      <c r="M139">
        <v>2.4</v>
      </c>
      <c r="N139">
        <v>4.8</v>
      </c>
      <c r="O139">
        <v>4.0999999999999996</v>
      </c>
      <c r="P139">
        <v>0</v>
      </c>
      <c r="Q139"/>
      <c r="R139">
        <v>12</v>
      </c>
      <c r="S139" t="s">
        <v>1138</v>
      </c>
      <c r="T139">
        <v>36.6</v>
      </c>
      <c r="U139" t="s">
        <v>2819</v>
      </c>
      <c r="V139" t="s">
        <v>1062</v>
      </c>
      <c r="W139" s="114" t="str">
        <f t="shared" si="6"/>
        <v>Portafolio</v>
      </c>
      <c r="X139" s="114" t="str">
        <f t="shared" si="7"/>
        <v>Portafolio</v>
      </c>
    </row>
    <row r="140" spans="1:24" hidden="1" x14ac:dyDescent="0.25">
      <c r="A140" s="114" t="str">
        <f t="shared" si="8"/>
        <v>5421</v>
      </c>
      <c r="B140" t="s">
        <v>2009</v>
      </c>
      <c r="C140" t="s">
        <v>199</v>
      </c>
      <c r="D140" t="s">
        <v>3033</v>
      </c>
      <c r="E140" t="s">
        <v>191</v>
      </c>
      <c r="F140" t="s">
        <v>4804</v>
      </c>
      <c r="G140" t="s">
        <v>1185</v>
      </c>
      <c r="H140" t="s">
        <v>1441</v>
      </c>
      <c r="I140">
        <v>5773.58</v>
      </c>
      <c r="J140">
        <v>293475</v>
      </c>
      <c r="K140">
        <v>50.83</v>
      </c>
      <c r="L140">
        <v>3.1</v>
      </c>
      <c r="M140">
        <v>4.3</v>
      </c>
      <c r="N140">
        <v>3.2</v>
      </c>
      <c r="O140">
        <v>5</v>
      </c>
      <c r="P140">
        <v>0</v>
      </c>
      <c r="Q140"/>
      <c r="R140">
        <v>20</v>
      </c>
      <c r="S140" t="s">
        <v>1138</v>
      </c>
      <c r="T140">
        <v>50.83</v>
      </c>
      <c r="U140" t="s">
        <v>2819</v>
      </c>
      <c r="V140" t="s">
        <v>1062</v>
      </c>
      <c r="W140" s="114" t="str">
        <f t="shared" si="6"/>
        <v>Portafolio</v>
      </c>
      <c r="X140" s="114" t="str">
        <f t="shared" si="7"/>
        <v>Portafolio</v>
      </c>
    </row>
    <row r="141" spans="1:24" hidden="1" x14ac:dyDescent="0.25">
      <c r="A141" s="114" t="str">
        <f t="shared" si="8"/>
        <v>6001</v>
      </c>
      <c r="B141" t="s">
        <v>5375</v>
      </c>
      <c r="C141" t="s">
        <v>5376</v>
      </c>
      <c r="D141" t="s">
        <v>5377</v>
      </c>
      <c r="E141" t="s">
        <v>586</v>
      </c>
      <c r="F141" t="s">
        <v>1056</v>
      </c>
      <c r="G141" t="s">
        <v>1057</v>
      </c>
      <c r="H141" t="s">
        <v>6153</v>
      </c>
      <c r="I141" t="s">
        <v>90</v>
      </c>
      <c r="J141" t="s">
        <v>90</v>
      </c>
      <c r="K141">
        <v>10.75963099</v>
      </c>
      <c r="L141">
        <v>5.7576023300000001</v>
      </c>
      <c r="M141">
        <v>4.8296378100000004</v>
      </c>
      <c r="N141">
        <v>5.5367648799999998</v>
      </c>
      <c r="O141">
        <v>6.4041756799999998</v>
      </c>
      <c r="P141">
        <v>0</v>
      </c>
      <c r="Q141">
        <v>56.857772590000003</v>
      </c>
      <c r="R141">
        <v>19.109142672571981</v>
      </c>
      <c r="S141" t="s">
        <v>30</v>
      </c>
      <c r="T141">
        <v>10.75963099</v>
      </c>
      <c r="U141" t="s">
        <v>2819</v>
      </c>
      <c r="V141" t="s">
        <v>1059</v>
      </c>
      <c r="W141" s="114" t="str">
        <f t="shared" si="6"/>
        <v>ETF</v>
      </c>
      <c r="X141" s="114" t="str">
        <f t="shared" si="7"/>
        <v>Otros ETFs</v>
      </c>
    </row>
    <row r="142" spans="1:24" hidden="1" x14ac:dyDescent="0.25">
      <c r="A142" s="114" t="str">
        <f t="shared" si="8"/>
        <v>5037</v>
      </c>
      <c r="B142" t="s">
        <v>2018</v>
      </c>
      <c r="C142" t="s">
        <v>5059</v>
      </c>
      <c r="D142" t="s">
        <v>5060</v>
      </c>
      <c r="E142" t="s">
        <v>191</v>
      </c>
      <c r="F142" t="s">
        <v>4804</v>
      </c>
      <c r="G142" t="s">
        <v>1185</v>
      </c>
      <c r="H142" t="s">
        <v>1284</v>
      </c>
      <c r="I142">
        <v>98249.08</v>
      </c>
      <c r="J142">
        <v>2117705</v>
      </c>
      <c r="K142">
        <v>21.55</v>
      </c>
      <c r="L142">
        <v>6.9</v>
      </c>
      <c r="M142">
        <v>10</v>
      </c>
      <c r="N142">
        <v>6.9</v>
      </c>
      <c r="O142">
        <v>4.3</v>
      </c>
      <c r="P142">
        <v>1</v>
      </c>
      <c r="Q142"/>
      <c r="R142">
        <v>30</v>
      </c>
      <c r="S142" t="s">
        <v>30</v>
      </c>
      <c r="T142">
        <v>21.55</v>
      </c>
      <c r="U142" t="s">
        <v>2819</v>
      </c>
      <c r="V142" t="s">
        <v>1062</v>
      </c>
      <c r="W142" s="114" t="str">
        <f t="shared" si="6"/>
        <v>Portafolio</v>
      </c>
      <c r="X142" s="114" t="str">
        <f t="shared" si="7"/>
        <v>Portafolio</v>
      </c>
    </row>
    <row r="143" spans="1:24" hidden="1" x14ac:dyDescent="0.25">
      <c r="A143" s="114" t="str">
        <f t="shared" si="8"/>
        <v>7065</v>
      </c>
      <c r="B143" t="s">
        <v>1363</v>
      </c>
      <c r="C143" t="s">
        <v>863</v>
      </c>
      <c r="D143" t="s">
        <v>862</v>
      </c>
      <c r="E143" t="s">
        <v>586</v>
      </c>
      <c r="F143" t="s">
        <v>1056</v>
      </c>
      <c r="G143" t="s">
        <v>1071</v>
      </c>
      <c r="H143" t="s">
        <v>6169</v>
      </c>
      <c r="I143" t="s">
        <v>90</v>
      </c>
      <c r="J143" t="s">
        <v>90</v>
      </c>
      <c r="K143">
        <v>81.866171690000002</v>
      </c>
      <c r="L143">
        <v>6.6032671799999996</v>
      </c>
      <c r="M143">
        <v>3.3165568200000002</v>
      </c>
      <c r="N143">
        <v>5.3031511299999998</v>
      </c>
      <c r="O143">
        <v>6.7995285900000004</v>
      </c>
      <c r="P143">
        <v>14.01792803585607</v>
      </c>
      <c r="Q143">
        <v>264.10452759999998</v>
      </c>
      <c r="R143">
        <v>64.815129630259264</v>
      </c>
      <c r="S143" t="s">
        <v>30</v>
      </c>
      <c r="T143">
        <v>81.866171690000002</v>
      </c>
      <c r="U143" t="s">
        <v>2819</v>
      </c>
      <c r="V143" t="s">
        <v>1059</v>
      </c>
      <c r="W143" s="114" t="str">
        <f t="shared" si="6"/>
        <v>ETF</v>
      </c>
      <c r="X143" s="114" t="str">
        <f t="shared" si="7"/>
        <v>Otros ETFs</v>
      </c>
    </row>
    <row r="144" spans="1:24" hidden="1" x14ac:dyDescent="0.25">
      <c r="A144" s="114" t="str">
        <f t="shared" si="8"/>
        <v>5037</v>
      </c>
      <c r="B144" t="s">
        <v>2018</v>
      </c>
      <c r="C144" t="s">
        <v>5378</v>
      </c>
      <c r="D144" t="s">
        <v>5379</v>
      </c>
      <c r="E144" t="s">
        <v>191</v>
      </c>
      <c r="F144" t="s">
        <v>4804</v>
      </c>
      <c r="G144" t="s">
        <v>1185</v>
      </c>
      <c r="H144" t="s">
        <v>1284</v>
      </c>
      <c r="I144">
        <v>98249.08</v>
      </c>
      <c r="J144">
        <v>2117705</v>
      </c>
      <c r="K144">
        <v>21.55</v>
      </c>
      <c r="L144">
        <v>6.9</v>
      </c>
      <c r="M144">
        <v>10</v>
      </c>
      <c r="N144">
        <v>6.9</v>
      </c>
      <c r="O144">
        <v>4.3</v>
      </c>
      <c r="P144">
        <v>1</v>
      </c>
      <c r="Q144"/>
      <c r="R144">
        <v>30</v>
      </c>
      <c r="S144" t="s">
        <v>30</v>
      </c>
      <c r="T144">
        <v>21.55</v>
      </c>
      <c r="U144" t="s">
        <v>2819</v>
      </c>
      <c r="V144" t="s">
        <v>1062</v>
      </c>
      <c r="W144" s="114" t="str">
        <f t="shared" si="6"/>
        <v>Portafolio</v>
      </c>
      <c r="X144" s="114" t="str">
        <f t="shared" si="7"/>
        <v>Portafolio</v>
      </c>
    </row>
    <row r="145" spans="1:24" hidden="1" x14ac:dyDescent="0.25">
      <c r="A145" s="114" t="str">
        <f t="shared" si="8"/>
        <v>7404</v>
      </c>
      <c r="B145" t="s">
        <v>1365</v>
      </c>
      <c r="C145" t="s">
        <v>641</v>
      </c>
      <c r="D145" t="s">
        <v>640</v>
      </c>
      <c r="E145" t="s">
        <v>586</v>
      </c>
      <c r="F145" t="s">
        <v>1056</v>
      </c>
      <c r="G145" t="s">
        <v>1057</v>
      </c>
      <c r="H145" t="s">
        <v>6153</v>
      </c>
      <c r="I145" t="s">
        <v>90</v>
      </c>
      <c r="J145" t="s">
        <v>90</v>
      </c>
      <c r="K145">
        <v>2.2113365200000001</v>
      </c>
      <c r="L145">
        <v>5.67100692</v>
      </c>
      <c r="M145">
        <v>6.5926273399999999</v>
      </c>
      <c r="N145">
        <v>4.8410366600000003</v>
      </c>
      <c r="O145">
        <v>4.7044122799999997</v>
      </c>
      <c r="P145">
        <v>22.82314964721872</v>
      </c>
      <c r="Q145">
        <v>22.900966010000001</v>
      </c>
      <c r="R145">
        <v>2.2252203633747079</v>
      </c>
      <c r="S145" t="s">
        <v>1063</v>
      </c>
      <c r="T145">
        <v>2.2113365200000001</v>
      </c>
      <c r="U145" t="s">
        <v>2819</v>
      </c>
      <c r="V145" t="s">
        <v>1059</v>
      </c>
      <c r="W145" s="114" t="str">
        <f t="shared" si="6"/>
        <v>ETF</v>
      </c>
      <c r="X145" s="114" t="str">
        <f t="shared" si="7"/>
        <v>Otros ETFs</v>
      </c>
    </row>
    <row r="146" spans="1:24" hidden="1" x14ac:dyDescent="0.25">
      <c r="A146" s="114" t="str">
        <f t="shared" si="8"/>
        <v>7404</v>
      </c>
      <c r="B146" t="s">
        <v>1366</v>
      </c>
      <c r="C146" t="s">
        <v>1367</v>
      </c>
      <c r="D146" t="s">
        <v>1368</v>
      </c>
      <c r="E146" t="s">
        <v>586</v>
      </c>
      <c r="F146" t="s">
        <v>1056</v>
      </c>
      <c r="G146" t="s">
        <v>1057</v>
      </c>
      <c r="H146" t="s">
        <v>1155</v>
      </c>
      <c r="I146" t="s">
        <v>90</v>
      </c>
      <c r="J146" t="s">
        <v>90</v>
      </c>
      <c r="K146">
        <v>3.1410276700000002</v>
      </c>
      <c r="L146">
        <v>6.5782747199999996</v>
      </c>
      <c r="M146">
        <v>4.9358649100000003</v>
      </c>
      <c r="N146">
        <v>4.6830242100000001</v>
      </c>
      <c r="O146">
        <v>6.1985958200000004</v>
      </c>
      <c r="P146">
        <v>6.4277512564195067</v>
      </c>
      <c r="Q146">
        <v>18.89967781</v>
      </c>
      <c r="R146">
        <v>21.63809721773907</v>
      </c>
      <c r="S146" t="s">
        <v>30</v>
      </c>
      <c r="T146">
        <v>3.1410276700000002</v>
      </c>
      <c r="U146" t="s">
        <v>2819</v>
      </c>
      <c r="V146" t="s">
        <v>1059</v>
      </c>
      <c r="W146" s="114" t="str">
        <f t="shared" si="6"/>
        <v>ETF</v>
      </c>
      <c r="X146" s="114" t="str">
        <f t="shared" si="7"/>
        <v>Otros ETFs</v>
      </c>
    </row>
    <row r="147" spans="1:24" hidden="1" x14ac:dyDescent="0.25">
      <c r="A147" s="114" t="str">
        <f t="shared" si="8"/>
        <v>5092</v>
      </c>
      <c r="B147" t="s">
        <v>2025</v>
      </c>
      <c r="C147" t="s">
        <v>5261</v>
      </c>
      <c r="D147" t="s">
        <v>5262</v>
      </c>
      <c r="E147" t="s">
        <v>191</v>
      </c>
      <c r="F147" t="s">
        <v>4804</v>
      </c>
      <c r="G147" t="s">
        <v>1217</v>
      </c>
      <c r="H147" t="s">
        <v>1147</v>
      </c>
      <c r="I147">
        <v>28486.93</v>
      </c>
      <c r="J147">
        <v>2087353</v>
      </c>
      <c r="K147">
        <v>73.27</v>
      </c>
      <c r="L147">
        <v>6.9</v>
      </c>
      <c r="M147">
        <v>3.9</v>
      </c>
      <c r="N147">
        <v>5.4</v>
      </c>
      <c r="O147">
        <v>6.8</v>
      </c>
      <c r="P147">
        <v>0</v>
      </c>
      <c r="Q147"/>
      <c r="R147">
        <v>61</v>
      </c>
      <c r="S147" t="s">
        <v>30</v>
      </c>
      <c r="T147">
        <v>73.27</v>
      </c>
      <c r="U147" t="s">
        <v>2819</v>
      </c>
      <c r="V147" t="s">
        <v>1062</v>
      </c>
      <c r="W147" s="114" t="str">
        <f t="shared" si="6"/>
        <v>Portafolio</v>
      </c>
      <c r="X147" s="114" t="str">
        <f t="shared" si="7"/>
        <v>Portafolio</v>
      </c>
    </row>
    <row r="148" spans="1:24" hidden="1" x14ac:dyDescent="0.25">
      <c r="A148" s="114" t="str">
        <f t="shared" si="8"/>
        <v>7287</v>
      </c>
      <c r="B148" t="s">
        <v>1369</v>
      </c>
      <c r="C148" t="s">
        <v>1370</v>
      </c>
      <c r="D148" t="s">
        <v>1371</v>
      </c>
      <c r="E148" t="s">
        <v>586</v>
      </c>
      <c r="F148" t="s">
        <v>1056</v>
      </c>
      <c r="G148" t="s">
        <v>1057</v>
      </c>
      <c r="H148" t="s">
        <v>1058</v>
      </c>
      <c r="I148" t="s">
        <v>90</v>
      </c>
      <c r="J148" t="s">
        <v>90</v>
      </c>
      <c r="K148">
        <v>41.184682479999999</v>
      </c>
      <c r="L148">
        <v>6.4173964699999999</v>
      </c>
      <c r="M148">
        <v>5.8258942999999999</v>
      </c>
      <c r="N148">
        <v>5.0685785000000001</v>
      </c>
      <c r="O148">
        <v>5.7435896599999996</v>
      </c>
      <c r="P148">
        <v>41.864932540269841</v>
      </c>
      <c r="Q148">
        <v>156.37315379</v>
      </c>
      <c r="R148">
        <v>22.733609065563741</v>
      </c>
      <c r="S148" t="s">
        <v>30</v>
      </c>
      <c r="T148">
        <v>41.184682479999999</v>
      </c>
      <c r="U148" t="s">
        <v>2819</v>
      </c>
      <c r="V148" t="s">
        <v>1059</v>
      </c>
      <c r="W148" s="114" t="str">
        <f t="shared" si="6"/>
        <v>ETF</v>
      </c>
      <c r="X148" s="114" t="str">
        <f t="shared" si="7"/>
        <v>Otros ETFs</v>
      </c>
    </row>
    <row r="149" spans="1:24" hidden="1" x14ac:dyDescent="0.25">
      <c r="A149" s="114" t="str">
        <f t="shared" si="8"/>
        <v>7287</v>
      </c>
      <c r="B149" t="s">
        <v>1372</v>
      </c>
      <c r="C149" t="s">
        <v>1373</v>
      </c>
      <c r="D149" t="s">
        <v>1374</v>
      </c>
      <c r="E149" t="s">
        <v>586</v>
      </c>
      <c r="F149" t="s">
        <v>1056</v>
      </c>
      <c r="G149" t="s">
        <v>1375</v>
      </c>
      <c r="H149" t="s">
        <v>1376</v>
      </c>
      <c r="I149" t="s">
        <v>90</v>
      </c>
      <c r="J149" t="s">
        <v>90</v>
      </c>
      <c r="K149">
        <v>83.304466849999997</v>
      </c>
      <c r="L149">
        <v>7.0611978000000004</v>
      </c>
      <c r="M149">
        <v>5.6942859300000004</v>
      </c>
      <c r="N149">
        <v>5.14712441</v>
      </c>
      <c r="O149">
        <v>5.9422169699999996</v>
      </c>
      <c r="P149">
        <v>7.6076076076076076</v>
      </c>
      <c r="Q149">
        <v>84.025029520000004</v>
      </c>
      <c r="R149">
        <v>27.067627067627068</v>
      </c>
      <c r="S149" t="s">
        <v>30</v>
      </c>
      <c r="T149">
        <v>83.304466849999997</v>
      </c>
      <c r="U149" t="s">
        <v>2819</v>
      </c>
      <c r="V149" t="s">
        <v>1059</v>
      </c>
      <c r="W149" s="114" t="str">
        <f t="shared" si="6"/>
        <v>ETF</v>
      </c>
      <c r="X149" s="114" t="str">
        <f t="shared" si="7"/>
        <v>Otros ETFs</v>
      </c>
    </row>
    <row r="150" spans="1:24" hidden="1" x14ac:dyDescent="0.25">
      <c r="A150" s="114" t="str">
        <f t="shared" si="8"/>
        <v>7287</v>
      </c>
      <c r="B150" t="s">
        <v>1377</v>
      </c>
      <c r="C150" t="s">
        <v>1378</v>
      </c>
      <c r="D150" t="s">
        <v>1379</v>
      </c>
      <c r="E150" t="s">
        <v>586</v>
      </c>
      <c r="F150" t="s">
        <v>1056</v>
      </c>
      <c r="G150" t="s">
        <v>1375</v>
      </c>
      <c r="H150" t="s">
        <v>1380</v>
      </c>
      <c r="I150" t="s">
        <v>90</v>
      </c>
      <c r="J150" t="s">
        <v>90</v>
      </c>
      <c r="K150">
        <v>109.5302642</v>
      </c>
      <c r="L150">
        <v>5.2629245200000003</v>
      </c>
      <c r="M150">
        <v>4.6169076499999999</v>
      </c>
      <c r="N150">
        <v>4.9335741100000003</v>
      </c>
      <c r="O150">
        <v>5.0897738400000003</v>
      </c>
      <c r="P150">
        <v>7.5315315315300005E-4</v>
      </c>
      <c r="Q150">
        <v>107.61399324</v>
      </c>
      <c r="R150">
        <v>3.9860796950796948</v>
      </c>
      <c r="S150" t="s">
        <v>1063</v>
      </c>
      <c r="T150">
        <v>109.5302642</v>
      </c>
      <c r="U150" t="s">
        <v>2819</v>
      </c>
      <c r="V150" t="s">
        <v>1059</v>
      </c>
      <c r="W150" s="114" t="str">
        <f t="shared" si="6"/>
        <v>ETF</v>
      </c>
      <c r="X150" s="114" t="str">
        <f t="shared" si="7"/>
        <v>Otros ETFs</v>
      </c>
    </row>
    <row r="151" spans="1:24" hidden="1" x14ac:dyDescent="0.25">
      <c r="A151" s="114" t="str">
        <f t="shared" si="8"/>
        <v>7017</v>
      </c>
      <c r="B151" t="s">
        <v>1381</v>
      </c>
      <c r="C151" t="s">
        <v>1382</v>
      </c>
      <c r="D151" t="s">
        <v>1383</v>
      </c>
      <c r="E151" t="s">
        <v>586</v>
      </c>
      <c r="F151" t="s">
        <v>1056</v>
      </c>
      <c r="G151" t="s">
        <v>1057</v>
      </c>
      <c r="H151" t="s">
        <v>1067</v>
      </c>
      <c r="I151" t="s">
        <v>90</v>
      </c>
      <c r="J151" t="s">
        <v>90</v>
      </c>
      <c r="K151">
        <v>35.908384859999998</v>
      </c>
      <c r="L151">
        <v>6.3798125900000002</v>
      </c>
      <c r="M151">
        <v>5.0392063699999996</v>
      </c>
      <c r="N151">
        <v>5.0167125600000002</v>
      </c>
      <c r="O151">
        <v>6.2301250799999996</v>
      </c>
      <c r="P151">
        <v>1.153997692004616</v>
      </c>
      <c r="Q151">
        <v>167.51786478</v>
      </c>
      <c r="R151">
        <v>24.20945158109684</v>
      </c>
      <c r="S151" t="s">
        <v>30</v>
      </c>
      <c r="T151">
        <v>35.908384859999998</v>
      </c>
      <c r="U151" t="s">
        <v>2819</v>
      </c>
      <c r="V151" t="s">
        <v>1059</v>
      </c>
      <c r="W151" s="114" t="str">
        <f t="shared" si="6"/>
        <v>ETF</v>
      </c>
      <c r="X151" s="114" t="str">
        <f t="shared" si="7"/>
        <v>Otros ETFs</v>
      </c>
    </row>
    <row r="152" spans="1:24" hidden="1" x14ac:dyDescent="0.25">
      <c r="A152" s="114" t="str">
        <f t="shared" si="8"/>
        <v>6001</v>
      </c>
      <c r="B152" t="s">
        <v>6170</v>
      </c>
      <c r="C152" t="s">
        <v>1386</v>
      </c>
      <c r="D152" t="s">
        <v>1387</v>
      </c>
      <c r="E152" t="s">
        <v>586</v>
      </c>
      <c r="F152" t="s">
        <v>1056</v>
      </c>
      <c r="G152" t="s">
        <v>1057</v>
      </c>
      <c r="H152" t="s">
        <v>1189</v>
      </c>
      <c r="I152" t="s">
        <v>90</v>
      </c>
      <c r="J152" t="s">
        <v>90</v>
      </c>
      <c r="K152">
        <v>649.79570505000004</v>
      </c>
      <c r="L152">
        <v>5.4725494299999999</v>
      </c>
      <c r="M152">
        <v>2.8058074099999999</v>
      </c>
      <c r="N152">
        <v>4.7218996999999998</v>
      </c>
      <c r="O152">
        <v>6.4287502500000002</v>
      </c>
      <c r="P152">
        <v>19.591980408019591</v>
      </c>
      <c r="Q152">
        <v>602.02693324999996</v>
      </c>
      <c r="R152">
        <v>35.024064975935033</v>
      </c>
      <c r="S152" t="s">
        <v>1063</v>
      </c>
      <c r="T152">
        <v>649.79570505000004</v>
      </c>
      <c r="U152" t="s">
        <v>2819</v>
      </c>
      <c r="V152" t="s">
        <v>1059</v>
      </c>
      <c r="W152" s="114" t="str">
        <f t="shared" si="6"/>
        <v>ETF</v>
      </c>
      <c r="X152" s="114" t="str">
        <f t="shared" si="7"/>
        <v>Otros ETFs</v>
      </c>
    </row>
    <row r="153" spans="1:24" hidden="1" x14ac:dyDescent="0.25">
      <c r="A153" s="114" t="str">
        <f t="shared" si="8"/>
        <v>0002</v>
      </c>
      <c r="B153" t="s">
        <v>2104</v>
      </c>
      <c r="C153" t="s">
        <v>2111</v>
      </c>
      <c r="D153" t="s">
        <v>3575</v>
      </c>
      <c r="E153" t="s">
        <v>224</v>
      </c>
      <c r="F153" t="s">
        <v>4803</v>
      </c>
      <c r="G153" t="s">
        <v>1198</v>
      </c>
      <c r="H153" t="s">
        <v>1119</v>
      </c>
      <c r="I153">
        <v>20122.8</v>
      </c>
      <c r="J153">
        <v>12369.54</v>
      </c>
      <c r="K153">
        <v>0.61</v>
      </c>
      <c r="L153">
        <v>5</v>
      </c>
      <c r="M153">
        <v>4.3</v>
      </c>
      <c r="N153">
        <v>4.5999999999999996</v>
      </c>
      <c r="O153">
        <v>4.2</v>
      </c>
      <c r="P153">
        <v>0</v>
      </c>
      <c r="Q153"/>
      <c r="R153">
        <v>13</v>
      </c>
      <c r="S153" t="s">
        <v>1063</v>
      </c>
      <c r="T153">
        <v>0.61</v>
      </c>
      <c r="U153" t="s">
        <v>2819</v>
      </c>
      <c r="V153" t="s">
        <v>1062</v>
      </c>
      <c r="W153" s="114" t="str">
        <f t="shared" si="6"/>
        <v>Portafolio</v>
      </c>
      <c r="X153" s="114" t="str">
        <f t="shared" si="7"/>
        <v>Portafolio</v>
      </c>
    </row>
    <row r="154" spans="1:24" hidden="1" x14ac:dyDescent="0.25">
      <c r="A154" s="114" t="str">
        <f t="shared" si="8"/>
        <v>6001</v>
      </c>
      <c r="B154" t="s">
        <v>6171</v>
      </c>
      <c r="C154" t="s">
        <v>719</v>
      </c>
      <c r="D154" t="s">
        <v>718</v>
      </c>
      <c r="E154" t="s">
        <v>586</v>
      </c>
      <c r="F154" t="s">
        <v>1056</v>
      </c>
      <c r="G154" t="s">
        <v>1057</v>
      </c>
      <c r="H154" t="s">
        <v>1205</v>
      </c>
      <c r="I154" t="s">
        <v>90</v>
      </c>
      <c r="J154" t="s">
        <v>90</v>
      </c>
      <c r="K154">
        <v>284.84880708999998</v>
      </c>
      <c r="L154">
        <v>5.5357931699999998</v>
      </c>
      <c r="M154">
        <v>3.3624559299999999</v>
      </c>
      <c r="N154">
        <v>5.6455243099999999</v>
      </c>
      <c r="O154">
        <v>6.5947128099999999</v>
      </c>
      <c r="P154">
        <v>13.071183030099769</v>
      </c>
      <c r="Q154">
        <v>440.80858873</v>
      </c>
      <c r="R154">
        <v>27.442836780893291</v>
      </c>
      <c r="S154" t="s">
        <v>1063</v>
      </c>
      <c r="T154">
        <v>284.84880708999998</v>
      </c>
      <c r="U154" t="s">
        <v>2819</v>
      </c>
      <c r="V154" t="s">
        <v>1059</v>
      </c>
      <c r="W154" s="114" t="str">
        <f t="shared" si="6"/>
        <v>ETF</v>
      </c>
      <c r="X154" s="114" t="str">
        <f t="shared" si="7"/>
        <v>Otros ETFs</v>
      </c>
    </row>
    <row r="155" spans="1:24" hidden="1" x14ac:dyDescent="0.25">
      <c r="A155" s="114" t="str">
        <f t="shared" si="8"/>
        <v>0002</v>
      </c>
      <c r="B155" t="s">
        <v>2104</v>
      </c>
      <c r="C155" t="s">
        <v>912</v>
      </c>
      <c r="D155" t="s">
        <v>911</v>
      </c>
      <c r="E155" t="s">
        <v>224</v>
      </c>
      <c r="F155" t="s">
        <v>4803</v>
      </c>
      <c r="G155" t="s">
        <v>1198</v>
      </c>
      <c r="H155" t="s">
        <v>1119</v>
      </c>
      <c r="I155">
        <v>20122.8</v>
      </c>
      <c r="J155">
        <v>12369.54</v>
      </c>
      <c r="K155">
        <v>0.61</v>
      </c>
      <c r="L155">
        <v>5</v>
      </c>
      <c r="M155">
        <v>4.3</v>
      </c>
      <c r="N155">
        <v>4.5999999999999996</v>
      </c>
      <c r="O155">
        <v>4.2</v>
      </c>
      <c r="P155">
        <v>0</v>
      </c>
      <c r="Q155"/>
      <c r="R155">
        <v>13</v>
      </c>
      <c r="S155" t="s">
        <v>1063</v>
      </c>
      <c r="T155">
        <v>0.61</v>
      </c>
      <c r="U155" t="s">
        <v>2819</v>
      </c>
      <c r="V155" t="s">
        <v>1062</v>
      </c>
      <c r="W155" s="114" t="str">
        <f t="shared" si="6"/>
        <v>Portafolio</v>
      </c>
      <c r="X155" s="114" t="str">
        <f t="shared" si="7"/>
        <v>Portafolio</v>
      </c>
    </row>
    <row r="156" spans="1:24" hidden="1" x14ac:dyDescent="0.25">
      <c r="A156" s="114" t="str">
        <f t="shared" si="8"/>
        <v>0002</v>
      </c>
      <c r="B156" t="s">
        <v>2104</v>
      </c>
      <c r="C156" t="s">
        <v>4998</v>
      </c>
      <c r="D156" t="s">
        <v>4845</v>
      </c>
      <c r="E156" t="s">
        <v>350</v>
      </c>
      <c r="F156" t="s">
        <v>4802</v>
      </c>
      <c r="G156" t="s">
        <v>1198</v>
      </c>
      <c r="H156" t="s">
        <v>1119</v>
      </c>
      <c r="I156">
        <v>20122.8</v>
      </c>
      <c r="J156">
        <v>12369.54</v>
      </c>
      <c r="K156">
        <v>0.61</v>
      </c>
      <c r="L156">
        <v>5</v>
      </c>
      <c r="M156">
        <v>4.3</v>
      </c>
      <c r="N156">
        <v>4.5999999999999996</v>
      </c>
      <c r="O156">
        <v>4.2</v>
      </c>
      <c r="P156">
        <v>0</v>
      </c>
      <c r="Q156"/>
      <c r="R156">
        <v>13</v>
      </c>
      <c r="S156" t="s">
        <v>1063</v>
      </c>
      <c r="T156">
        <v>0.61</v>
      </c>
      <c r="U156" t="s">
        <v>2819</v>
      </c>
      <c r="V156" t="s">
        <v>1062</v>
      </c>
      <c r="W156" s="114" t="str">
        <f t="shared" si="6"/>
        <v>Portafolio</v>
      </c>
      <c r="X156" s="114" t="str">
        <f t="shared" si="7"/>
        <v>Portafolio</v>
      </c>
    </row>
    <row r="157" spans="1:24" hidden="1" x14ac:dyDescent="0.25">
      <c r="A157" s="114" t="str">
        <f t="shared" si="8"/>
        <v>7393</v>
      </c>
      <c r="B157" t="s">
        <v>6171</v>
      </c>
      <c r="C157" t="s">
        <v>719</v>
      </c>
      <c r="D157" t="s">
        <v>1389</v>
      </c>
      <c r="E157" t="s">
        <v>586</v>
      </c>
      <c r="F157" t="s">
        <v>1056</v>
      </c>
      <c r="G157" t="s">
        <v>1057</v>
      </c>
      <c r="H157" t="s">
        <v>1205</v>
      </c>
      <c r="I157" t="s">
        <v>90</v>
      </c>
      <c r="J157" t="s">
        <v>90</v>
      </c>
      <c r="K157">
        <v>284.84880708999998</v>
      </c>
      <c r="L157">
        <v>5.5357931699999998</v>
      </c>
      <c r="M157">
        <v>3.3624559299999999</v>
      </c>
      <c r="N157">
        <v>5.6455243099999999</v>
      </c>
      <c r="O157">
        <v>6.5947128099999999</v>
      </c>
      <c r="P157">
        <v>13.071183030099769</v>
      </c>
      <c r="Q157">
        <v>440.80858873</v>
      </c>
      <c r="R157">
        <v>27.442836780893291</v>
      </c>
      <c r="S157" t="s">
        <v>1063</v>
      </c>
      <c r="T157">
        <v>284.84880708999998</v>
      </c>
      <c r="U157" t="s">
        <v>2819</v>
      </c>
      <c r="V157" t="s">
        <v>1059</v>
      </c>
      <c r="W157" s="114" t="str">
        <f t="shared" si="6"/>
        <v>ETF</v>
      </c>
      <c r="X157" s="114" t="str">
        <f t="shared" si="7"/>
        <v>Otros ETFs</v>
      </c>
    </row>
    <row r="158" spans="1:24" hidden="1" x14ac:dyDescent="0.25">
      <c r="A158" s="114" t="str">
        <f t="shared" si="8"/>
        <v>6001</v>
      </c>
      <c r="B158" t="s">
        <v>6172</v>
      </c>
      <c r="C158" t="s">
        <v>1391</v>
      </c>
      <c r="D158" t="s">
        <v>1392</v>
      </c>
      <c r="E158" t="s">
        <v>586</v>
      </c>
      <c r="F158" t="s">
        <v>1056</v>
      </c>
      <c r="G158" t="s">
        <v>1057</v>
      </c>
      <c r="H158" t="s">
        <v>1202</v>
      </c>
      <c r="I158" t="s">
        <v>90</v>
      </c>
      <c r="J158" t="s">
        <v>90</v>
      </c>
      <c r="K158">
        <v>19.978411529999999</v>
      </c>
      <c r="L158">
        <v>6.8492718999999997</v>
      </c>
      <c r="M158">
        <v>4.2457188199999996</v>
      </c>
      <c r="N158">
        <v>5.4230418199999999</v>
      </c>
      <c r="O158">
        <v>6.2251261500000004</v>
      </c>
      <c r="P158">
        <v>6.1418938581061422</v>
      </c>
      <c r="Q158">
        <v>18.532502860000001</v>
      </c>
      <c r="R158">
        <v>18.07688192311808</v>
      </c>
      <c r="S158" t="s">
        <v>30</v>
      </c>
      <c r="T158">
        <v>19.978411529999999</v>
      </c>
      <c r="U158" t="s">
        <v>2819</v>
      </c>
      <c r="V158" t="s">
        <v>1059</v>
      </c>
      <c r="W158" s="114" t="str">
        <f t="shared" si="6"/>
        <v>ETF</v>
      </c>
      <c r="X158" s="114" t="str">
        <f t="shared" si="7"/>
        <v>Otros ETFs</v>
      </c>
    </row>
    <row r="159" spans="1:24" hidden="1" x14ac:dyDescent="0.25">
      <c r="A159" s="114" t="str">
        <f t="shared" si="8"/>
        <v>0002</v>
      </c>
      <c r="B159" t="s">
        <v>2104</v>
      </c>
      <c r="C159" t="s">
        <v>5380</v>
      </c>
      <c r="D159" t="s">
        <v>5381</v>
      </c>
      <c r="E159" t="s">
        <v>224</v>
      </c>
      <c r="F159" t="s">
        <v>4803</v>
      </c>
      <c r="G159" t="s">
        <v>1198</v>
      </c>
      <c r="H159" t="s">
        <v>1119</v>
      </c>
      <c r="I159">
        <v>20122.8</v>
      </c>
      <c r="J159">
        <v>12369.54</v>
      </c>
      <c r="K159">
        <v>0.61</v>
      </c>
      <c r="L159">
        <v>5</v>
      </c>
      <c r="M159">
        <v>4.3</v>
      </c>
      <c r="N159">
        <v>4.5999999999999996</v>
      </c>
      <c r="O159">
        <v>4.2</v>
      </c>
      <c r="P159">
        <v>0</v>
      </c>
      <c r="Q159"/>
      <c r="R159">
        <v>13</v>
      </c>
      <c r="S159" t="s">
        <v>1063</v>
      </c>
      <c r="T159">
        <v>0.61</v>
      </c>
      <c r="U159" t="s">
        <v>2819</v>
      </c>
      <c r="V159" t="s">
        <v>1062</v>
      </c>
      <c r="W159" s="114" t="str">
        <f t="shared" si="6"/>
        <v>Portafolio</v>
      </c>
      <c r="X159" s="114" t="str">
        <f t="shared" si="7"/>
        <v>Portafolio</v>
      </c>
    </row>
    <row r="160" spans="1:24" hidden="1" x14ac:dyDescent="0.25">
      <c r="A160" s="114" t="str">
        <f t="shared" si="8"/>
        <v>6001</v>
      </c>
      <c r="B160" t="s">
        <v>6173</v>
      </c>
      <c r="C160" t="s">
        <v>1394</v>
      </c>
      <c r="D160" t="s">
        <v>1395</v>
      </c>
      <c r="E160" t="s">
        <v>586</v>
      </c>
      <c r="F160" t="s">
        <v>1056</v>
      </c>
      <c r="G160" t="s">
        <v>1057</v>
      </c>
      <c r="H160" t="s">
        <v>1159</v>
      </c>
      <c r="I160" t="s">
        <v>90</v>
      </c>
      <c r="J160" t="s">
        <v>90</v>
      </c>
      <c r="K160">
        <v>1.5706909899999999</v>
      </c>
      <c r="L160">
        <v>4.7864044200000002</v>
      </c>
      <c r="M160">
        <v>1.29537346</v>
      </c>
      <c r="N160">
        <v>3.95929047</v>
      </c>
      <c r="O160">
        <v>6.1490489699999999</v>
      </c>
      <c r="P160">
        <v>0</v>
      </c>
      <c r="Q160">
        <v>5.4330313800000001</v>
      </c>
      <c r="R160">
        <v>22.435167305501921</v>
      </c>
      <c r="S160" t="s">
        <v>1063</v>
      </c>
      <c r="T160">
        <v>1.5706909899999999</v>
      </c>
      <c r="U160" t="s">
        <v>2819</v>
      </c>
      <c r="V160" t="s">
        <v>1059</v>
      </c>
      <c r="W160" s="114" t="str">
        <f t="shared" si="6"/>
        <v>ETF</v>
      </c>
      <c r="X160" s="114" t="str">
        <f t="shared" si="7"/>
        <v>Otros ETFs</v>
      </c>
    </row>
    <row r="161" spans="1:24" hidden="1" x14ac:dyDescent="0.25">
      <c r="A161" s="114" t="str">
        <f t="shared" si="8"/>
        <v>0002</v>
      </c>
      <c r="B161" t="s">
        <v>2104</v>
      </c>
      <c r="C161" t="s">
        <v>5949</v>
      </c>
      <c r="D161" t="s">
        <v>5948</v>
      </c>
      <c r="E161" t="s">
        <v>224</v>
      </c>
      <c r="F161" t="s">
        <v>4803</v>
      </c>
      <c r="G161" t="s">
        <v>1198</v>
      </c>
      <c r="H161" t="s">
        <v>1119</v>
      </c>
      <c r="I161">
        <v>20122.8</v>
      </c>
      <c r="J161">
        <v>12369.54</v>
      </c>
      <c r="K161">
        <v>0.61</v>
      </c>
      <c r="L161">
        <v>5</v>
      </c>
      <c r="M161">
        <v>4.3</v>
      </c>
      <c r="N161">
        <v>4.5999999999999996</v>
      </c>
      <c r="O161">
        <v>4.2</v>
      </c>
      <c r="P161">
        <v>0</v>
      </c>
      <c r="Q161"/>
      <c r="R161">
        <v>13</v>
      </c>
      <c r="S161" t="s">
        <v>1063</v>
      </c>
      <c r="T161">
        <v>0.61</v>
      </c>
      <c r="U161" t="s">
        <v>2819</v>
      </c>
      <c r="V161" t="s">
        <v>1062</v>
      </c>
      <c r="W161" s="114" t="str">
        <f t="shared" si="6"/>
        <v>Portafolio</v>
      </c>
      <c r="X161" s="114" t="str">
        <f t="shared" si="7"/>
        <v>Portafolio</v>
      </c>
    </row>
    <row r="162" spans="1:24" hidden="1" x14ac:dyDescent="0.25">
      <c r="A162" s="114" t="str">
        <f t="shared" si="8"/>
        <v>0002</v>
      </c>
      <c r="B162" t="s">
        <v>2104</v>
      </c>
      <c r="C162" t="s">
        <v>6174</v>
      </c>
      <c r="D162" t="s">
        <v>6175</v>
      </c>
      <c r="E162" t="s">
        <v>224</v>
      </c>
      <c r="F162" t="s">
        <v>4803</v>
      </c>
      <c r="G162" t="s">
        <v>1198</v>
      </c>
      <c r="H162" t="s">
        <v>1119</v>
      </c>
      <c r="I162">
        <v>20122.8</v>
      </c>
      <c r="J162">
        <v>12369.54</v>
      </c>
      <c r="K162">
        <v>0.61</v>
      </c>
      <c r="L162">
        <v>5</v>
      </c>
      <c r="M162">
        <v>4.3</v>
      </c>
      <c r="N162">
        <v>4.5999999999999996</v>
      </c>
      <c r="O162">
        <v>4.2</v>
      </c>
      <c r="P162">
        <v>0</v>
      </c>
      <c r="Q162"/>
      <c r="R162">
        <v>13</v>
      </c>
      <c r="S162" t="s">
        <v>1063</v>
      </c>
      <c r="T162">
        <v>0.61</v>
      </c>
      <c r="U162" t="s">
        <v>2819</v>
      </c>
      <c r="V162" t="s">
        <v>1062</v>
      </c>
      <c r="W162" s="114" t="str">
        <f t="shared" si="6"/>
        <v>Portafolio</v>
      </c>
      <c r="X162" s="114" t="str">
        <f t="shared" si="7"/>
        <v>Portafolio</v>
      </c>
    </row>
    <row r="163" spans="1:24" hidden="1" x14ac:dyDescent="0.25">
      <c r="A163" s="114" t="str">
        <f t="shared" si="8"/>
        <v>7111</v>
      </c>
      <c r="B163" t="s">
        <v>6176</v>
      </c>
      <c r="C163" t="s">
        <v>1397</v>
      </c>
      <c r="D163" t="s">
        <v>1398</v>
      </c>
      <c r="E163" t="s">
        <v>586</v>
      </c>
      <c r="F163" t="s">
        <v>1056</v>
      </c>
      <c r="G163" t="s">
        <v>1057</v>
      </c>
      <c r="H163" t="s">
        <v>1277</v>
      </c>
      <c r="I163" t="s">
        <v>90</v>
      </c>
      <c r="J163" t="s">
        <v>90</v>
      </c>
      <c r="K163">
        <v>202.59174264999999</v>
      </c>
      <c r="L163">
        <v>5.7821902300000003</v>
      </c>
      <c r="M163">
        <v>5.7454840000000003</v>
      </c>
      <c r="N163">
        <v>7.4444753700000001</v>
      </c>
      <c r="O163">
        <v>6.1710504400000001</v>
      </c>
      <c r="P163">
        <v>0</v>
      </c>
      <c r="Q163"/>
      <c r="R163">
        <v>0</v>
      </c>
      <c r="S163" t="s">
        <v>30</v>
      </c>
      <c r="T163">
        <v>202.59174264999999</v>
      </c>
      <c r="U163" t="s">
        <v>2819</v>
      </c>
      <c r="V163" t="s">
        <v>1278</v>
      </c>
      <c r="W163" s="114" t="str">
        <f t="shared" si="6"/>
        <v>ETF</v>
      </c>
      <c r="X163" s="114" t="str">
        <f t="shared" si="7"/>
        <v>Soberanos</v>
      </c>
    </row>
    <row r="164" spans="1:24" hidden="1" x14ac:dyDescent="0.25">
      <c r="A164" s="114" t="str">
        <f t="shared" si="8"/>
        <v>7111</v>
      </c>
      <c r="B164" t="s">
        <v>1400</v>
      </c>
      <c r="C164" t="s">
        <v>1401</v>
      </c>
      <c r="D164" t="s">
        <v>1402</v>
      </c>
      <c r="E164" t="s">
        <v>586</v>
      </c>
      <c r="F164" t="s">
        <v>1056</v>
      </c>
      <c r="G164" t="s">
        <v>1057</v>
      </c>
      <c r="H164" t="s">
        <v>1280</v>
      </c>
      <c r="I164" t="s">
        <v>90</v>
      </c>
      <c r="J164" t="s">
        <v>90</v>
      </c>
      <c r="K164">
        <v>202.59174264999999</v>
      </c>
      <c r="L164">
        <v>5.7821902300000003</v>
      </c>
      <c r="M164">
        <v>5.7454840000000003</v>
      </c>
      <c r="N164">
        <v>7.4444753700000001</v>
      </c>
      <c r="O164">
        <v>6.1710504400000001</v>
      </c>
      <c r="P164">
        <v>0</v>
      </c>
      <c r="Q164"/>
      <c r="R164">
        <v>0</v>
      </c>
      <c r="S164" t="s">
        <v>30</v>
      </c>
      <c r="T164">
        <v>202.59174264999999</v>
      </c>
      <c r="U164" t="s">
        <v>2819</v>
      </c>
      <c r="V164" t="s">
        <v>1278</v>
      </c>
      <c r="W164" s="114" t="str">
        <f t="shared" si="6"/>
        <v>ETF</v>
      </c>
      <c r="X164" s="114" t="str">
        <f t="shared" si="7"/>
        <v>Soberanos</v>
      </c>
    </row>
    <row r="165" spans="1:24" hidden="1" x14ac:dyDescent="0.25">
      <c r="A165" s="114" t="str">
        <f t="shared" si="8"/>
        <v>5407</v>
      </c>
      <c r="B165" t="s">
        <v>6177</v>
      </c>
      <c r="C165" t="s">
        <v>6178</v>
      </c>
      <c r="D165" t="s">
        <v>6179</v>
      </c>
      <c r="E165" t="s">
        <v>191</v>
      </c>
      <c r="F165" t="s">
        <v>4804</v>
      </c>
      <c r="G165" t="s">
        <v>1185</v>
      </c>
      <c r="H165" t="s">
        <v>1082</v>
      </c>
      <c r="I165">
        <v>15161.57</v>
      </c>
      <c r="J165">
        <v>29400000</v>
      </c>
      <c r="K165">
        <v>1939.11</v>
      </c>
      <c r="L165">
        <v>6.9</v>
      </c>
      <c r="M165">
        <v>5.9</v>
      </c>
      <c r="N165">
        <v>5.4</v>
      </c>
      <c r="O165">
        <v>5.4</v>
      </c>
      <c r="P165">
        <v>1</v>
      </c>
      <c r="Q165"/>
      <c r="R165">
        <v>32</v>
      </c>
      <c r="S165" t="s">
        <v>30</v>
      </c>
      <c r="T165">
        <v>1939.11</v>
      </c>
      <c r="U165" t="s">
        <v>2819</v>
      </c>
      <c r="V165" t="s">
        <v>1062</v>
      </c>
      <c r="W165" s="114" t="str">
        <f t="shared" si="6"/>
        <v>Portafolio</v>
      </c>
      <c r="X165" s="114" t="str">
        <f t="shared" si="7"/>
        <v>Portafolio</v>
      </c>
    </row>
    <row r="166" spans="1:24" hidden="1" x14ac:dyDescent="0.25">
      <c r="A166" s="114" t="str">
        <f t="shared" si="8"/>
        <v>7111</v>
      </c>
      <c r="B166" t="s">
        <v>1403</v>
      </c>
      <c r="C166" t="s">
        <v>1404</v>
      </c>
      <c r="D166" t="s">
        <v>1405</v>
      </c>
      <c r="E166" t="s">
        <v>586</v>
      </c>
      <c r="F166" t="s">
        <v>1056</v>
      </c>
      <c r="G166" t="s">
        <v>1057</v>
      </c>
      <c r="H166" t="s">
        <v>1280</v>
      </c>
      <c r="I166" t="s">
        <v>90</v>
      </c>
      <c r="J166" t="s">
        <v>90</v>
      </c>
      <c r="K166">
        <v>202.59174264999999</v>
      </c>
      <c r="L166">
        <v>5.7821902300000003</v>
      </c>
      <c r="M166">
        <v>5.7454840000000003</v>
      </c>
      <c r="N166">
        <v>7.4444753700000001</v>
      </c>
      <c r="O166">
        <v>6.1710504400000001</v>
      </c>
      <c r="P166">
        <v>0</v>
      </c>
      <c r="Q166"/>
      <c r="R166">
        <v>0</v>
      </c>
      <c r="S166" t="s">
        <v>30</v>
      </c>
      <c r="T166">
        <v>202.59174264999999</v>
      </c>
      <c r="U166" t="s">
        <v>2819</v>
      </c>
      <c r="V166" t="s">
        <v>1278</v>
      </c>
      <c r="W166" s="114" t="str">
        <f t="shared" si="6"/>
        <v>ETF</v>
      </c>
      <c r="X166" s="114" t="str">
        <f t="shared" si="7"/>
        <v>Soberanos</v>
      </c>
    </row>
    <row r="167" spans="1:24" hidden="1" x14ac:dyDescent="0.25">
      <c r="A167" s="114" t="str">
        <f t="shared" si="8"/>
        <v>7111</v>
      </c>
      <c r="B167" t="s">
        <v>5061</v>
      </c>
      <c r="C167" t="s">
        <v>5062</v>
      </c>
      <c r="D167" t="s">
        <v>5063</v>
      </c>
      <c r="E167" t="s">
        <v>586</v>
      </c>
      <c r="F167" t="s">
        <v>1056</v>
      </c>
      <c r="G167" t="s">
        <v>1057</v>
      </c>
      <c r="H167" t="s">
        <v>5064</v>
      </c>
      <c r="I167" t="s">
        <v>90</v>
      </c>
      <c r="J167" t="s">
        <v>90</v>
      </c>
      <c r="K167">
        <v>0.46633210000000003</v>
      </c>
      <c r="L167">
        <v>7.8574180900000004</v>
      </c>
      <c r="M167">
        <v>7.6394644100000004</v>
      </c>
      <c r="N167">
        <v>4.9419319799999997</v>
      </c>
      <c r="O167">
        <v>6.5699248600000004</v>
      </c>
      <c r="P167">
        <v>0.39864151967207101</v>
      </c>
      <c r="Q167">
        <v>2.1887255699999999</v>
      </c>
      <c r="R167">
        <v>0.88342777038888498</v>
      </c>
      <c r="S167" t="s">
        <v>1073</v>
      </c>
      <c r="T167">
        <v>0.46633210000000003</v>
      </c>
      <c r="U167" t="s">
        <v>2819</v>
      </c>
      <c r="V167" t="s">
        <v>1059</v>
      </c>
      <c r="W167" s="114" t="str">
        <f t="shared" si="6"/>
        <v>ETF</v>
      </c>
      <c r="X167" s="114" t="str">
        <f t="shared" si="7"/>
        <v>Otros ETFs</v>
      </c>
    </row>
    <row r="168" spans="1:24" hidden="1" x14ac:dyDescent="0.25">
      <c r="A168" s="114" t="str">
        <f t="shared" si="8"/>
        <v>7512</v>
      </c>
      <c r="B168" t="s">
        <v>1406</v>
      </c>
      <c r="C168" t="s">
        <v>1407</v>
      </c>
      <c r="D168" t="s">
        <v>1408</v>
      </c>
      <c r="E168" t="s">
        <v>586</v>
      </c>
      <c r="F168" t="s">
        <v>1056</v>
      </c>
      <c r="G168" t="s">
        <v>1057</v>
      </c>
      <c r="H168" t="s">
        <v>1189</v>
      </c>
      <c r="I168" t="s">
        <v>90</v>
      </c>
      <c r="J168" t="s">
        <v>90</v>
      </c>
      <c r="K168">
        <v>207.55083110999999</v>
      </c>
      <c r="L168">
        <v>6.9166054199999998</v>
      </c>
      <c r="M168">
        <v>5.3956433199999996</v>
      </c>
      <c r="N168">
        <v>4.3461080299999999</v>
      </c>
      <c r="O168">
        <v>6.6820178800000001</v>
      </c>
      <c r="P168">
        <v>15.63215310354069</v>
      </c>
      <c r="Q168">
        <v>507.61193598</v>
      </c>
      <c r="R168">
        <v>38.009385971842093</v>
      </c>
      <c r="S168" t="s">
        <v>30</v>
      </c>
      <c r="T168">
        <v>207.55083110999999</v>
      </c>
      <c r="U168" t="s">
        <v>2819</v>
      </c>
      <c r="V168" t="s">
        <v>1059</v>
      </c>
      <c r="W168" s="114" t="str">
        <f t="shared" si="6"/>
        <v>ETF</v>
      </c>
      <c r="X168" s="114" t="str">
        <f t="shared" si="7"/>
        <v>Otros ETFs</v>
      </c>
    </row>
    <row r="169" spans="1:24" hidden="1" x14ac:dyDescent="0.25">
      <c r="A169" s="114" t="str">
        <f t="shared" si="8"/>
        <v>7017</v>
      </c>
      <c r="B169" t="s">
        <v>1409</v>
      </c>
      <c r="C169" t="s">
        <v>1410</v>
      </c>
      <c r="D169" t="s">
        <v>1411</v>
      </c>
      <c r="E169" t="s">
        <v>586</v>
      </c>
      <c r="F169" t="s">
        <v>1056</v>
      </c>
      <c r="G169" t="s">
        <v>1260</v>
      </c>
      <c r="H169" t="s">
        <v>1261</v>
      </c>
      <c r="I169" t="s">
        <v>90</v>
      </c>
      <c r="J169" t="s">
        <v>90</v>
      </c>
      <c r="K169">
        <v>78.747630290000004</v>
      </c>
      <c r="L169">
        <v>7.2742739600000004</v>
      </c>
      <c r="M169">
        <v>5.9355583200000002</v>
      </c>
      <c r="N169">
        <v>5.3553278000000004</v>
      </c>
      <c r="O169">
        <v>6.2061033099999996</v>
      </c>
      <c r="P169">
        <v>18.555221037572501</v>
      </c>
      <c r="Q169">
        <v>171.66835893999999</v>
      </c>
      <c r="R169">
        <v>42.053227545065283</v>
      </c>
      <c r="S169" t="s">
        <v>1073</v>
      </c>
      <c r="T169">
        <v>78.747630290000004</v>
      </c>
      <c r="U169" t="s">
        <v>2819</v>
      </c>
      <c r="V169" t="s">
        <v>1059</v>
      </c>
      <c r="W169" s="114" t="str">
        <f t="shared" si="6"/>
        <v>ETF</v>
      </c>
      <c r="X169" s="114" t="str">
        <f t="shared" si="7"/>
        <v>Otros ETFs</v>
      </c>
    </row>
    <row r="170" spans="1:24" hidden="1" x14ac:dyDescent="0.25">
      <c r="A170" s="114" t="str">
        <f t="shared" si="8"/>
        <v>7393</v>
      </c>
      <c r="B170" t="s">
        <v>1412</v>
      </c>
      <c r="C170" t="s">
        <v>637</v>
      </c>
      <c r="D170" t="s">
        <v>1413</v>
      </c>
      <c r="E170" t="s">
        <v>586</v>
      </c>
      <c r="F170" t="s">
        <v>1056</v>
      </c>
      <c r="G170" t="s">
        <v>1136</v>
      </c>
      <c r="H170" t="s">
        <v>6144</v>
      </c>
      <c r="I170" t="s">
        <v>90</v>
      </c>
      <c r="J170" t="s">
        <v>90</v>
      </c>
      <c r="K170">
        <v>141.72903944000001</v>
      </c>
      <c r="L170">
        <v>6.2449199100000001</v>
      </c>
      <c r="M170">
        <v>5.5190694899999997</v>
      </c>
      <c r="N170">
        <v>5.4136373899999999</v>
      </c>
      <c r="O170">
        <v>5.1442249999999996</v>
      </c>
      <c r="P170">
        <v>16.297312150032429</v>
      </c>
      <c r="Q170">
        <v>340.75247464</v>
      </c>
      <c r="R170">
        <v>9.8299361827480531</v>
      </c>
      <c r="S170" t="s">
        <v>30</v>
      </c>
      <c r="T170">
        <v>141.72903944000001</v>
      </c>
      <c r="U170" t="s">
        <v>2819</v>
      </c>
      <c r="V170" t="s">
        <v>1059</v>
      </c>
      <c r="W170" s="114" t="str">
        <f t="shared" si="6"/>
        <v>ETF</v>
      </c>
      <c r="X170" s="114" t="str">
        <f t="shared" si="7"/>
        <v>Otros ETFs</v>
      </c>
    </row>
    <row r="171" spans="1:24" hidden="1" x14ac:dyDescent="0.25">
      <c r="A171" s="114" t="str">
        <f t="shared" si="8"/>
        <v>7393</v>
      </c>
      <c r="B171" t="s">
        <v>1412</v>
      </c>
      <c r="C171" t="s">
        <v>637</v>
      </c>
      <c r="D171" t="s">
        <v>636</v>
      </c>
      <c r="E171" t="s">
        <v>586</v>
      </c>
      <c r="F171" t="s">
        <v>1056</v>
      </c>
      <c r="G171" t="s">
        <v>1136</v>
      </c>
      <c r="H171" t="s">
        <v>6144</v>
      </c>
      <c r="I171" t="s">
        <v>90</v>
      </c>
      <c r="J171" t="s">
        <v>90</v>
      </c>
      <c r="K171">
        <v>141.72903944000001</v>
      </c>
      <c r="L171">
        <v>6.2449199100000001</v>
      </c>
      <c r="M171">
        <v>5.5190694899999997</v>
      </c>
      <c r="N171">
        <v>5.4136373899999999</v>
      </c>
      <c r="O171">
        <v>5.1442249999999996</v>
      </c>
      <c r="P171">
        <v>16.297312150032429</v>
      </c>
      <c r="Q171">
        <v>340.75247464</v>
      </c>
      <c r="R171">
        <v>9.8299361827480531</v>
      </c>
      <c r="S171" t="s">
        <v>30</v>
      </c>
      <c r="T171">
        <v>141.72903944000001</v>
      </c>
      <c r="U171" t="s">
        <v>2819</v>
      </c>
      <c r="V171" t="s">
        <v>1059</v>
      </c>
      <c r="W171" s="114" t="str">
        <f t="shared" si="6"/>
        <v>ETF</v>
      </c>
      <c r="X171" s="114" t="str">
        <f t="shared" si="7"/>
        <v>Otros ETFs</v>
      </c>
    </row>
    <row r="172" spans="1:24" hidden="1" x14ac:dyDescent="0.25">
      <c r="A172" s="114" t="str">
        <f t="shared" si="8"/>
        <v>7111</v>
      </c>
      <c r="B172" t="s">
        <v>1414</v>
      </c>
      <c r="C172" t="s">
        <v>617</v>
      </c>
      <c r="D172" t="s">
        <v>616</v>
      </c>
      <c r="E172" t="s">
        <v>586</v>
      </c>
      <c r="F172" t="s">
        <v>1056</v>
      </c>
      <c r="G172" t="s">
        <v>1057</v>
      </c>
      <c r="H172" t="s">
        <v>1288</v>
      </c>
      <c r="I172" t="s">
        <v>90</v>
      </c>
      <c r="J172" t="s">
        <v>90</v>
      </c>
      <c r="K172">
        <v>122.2271635</v>
      </c>
      <c r="L172">
        <v>5.4863949400000003</v>
      </c>
      <c r="M172">
        <v>4.7886156199999999</v>
      </c>
      <c r="N172">
        <v>4.7831211800000002</v>
      </c>
      <c r="O172">
        <v>5.6373042199999999</v>
      </c>
      <c r="P172">
        <v>9.8082294246882746</v>
      </c>
      <c r="Q172">
        <v>232.49993857000001</v>
      </c>
      <c r="R172">
        <v>15.66824700474101</v>
      </c>
      <c r="S172" t="s">
        <v>1063</v>
      </c>
      <c r="T172">
        <v>122.2271635</v>
      </c>
      <c r="U172" t="s">
        <v>2819</v>
      </c>
      <c r="V172" t="s">
        <v>1059</v>
      </c>
      <c r="W172" s="114" t="str">
        <f t="shared" si="6"/>
        <v>ETF</v>
      </c>
      <c r="X172" s="114" t="str">
        <f t="shared" si="7"/>
        <v>Otros ETFs</v>
      </c>
    </row>
    <row r="173" spans="1:24" hidden="1" x14ac:dyDescent="0.25">
      <c r="A173" s="114" t="str">
        <f t="shared" si="8"/>
        <v>7404</v>
      </c>
      <c r="B173" t="s">
        <v>1415</v>
      </c>
      <c r="C173" t="s">
        <v>1416</v>
      </c>
      <c r="D173" t="s">
        <v>1417</v>
      </c>
      <c r="E173" t="s">
        <v>586</v>
      </c>
      <c r="F173" t="s">
        <v>1056</v>
      </c>
      <c r="G173" t="s">
        <v>1057</v>
      </c>
      <c r="H173" t="s">
        <v>1205</v>
      </c>
      <c r="I173" t="s">
        <v>90</v>
      </c>
      <c r="J173" t="s">
        <v>90</v>
      </c>
      <c r="K173">
        <v>146.30252218000001</v>
      </c>
      <c r="L173">
        <v>6.3467268099999998</v>
      </c>
      <c r="M173">
        <v>4.62722984</v>
      </c>
      <c r="N173">
        <v>6.0872959800000004</v>
      </c>
      <c r="O173">
        <v>6.6390981900000003</v>
      </c>
      <c r="P173">
        <v>11.43500602994088</v>
      </c>
      <c r="Q173">
        <v>358.83106078999998</v>
      </c>
      <c r="R173">
        <v>30.45704653795466</v>
      </c>
      <c r="S173" t="s">
        <v>30</v>
      </c>
      <c r="T173">
        <v>146.30252218000001</v>
      </c>
      <c r="U173" t="s">
        <v>2819</v>
      </c>
      <c r="V173" t="s">
        <v>1059</v>
      </c>
      <c r="W173" s="114" t="str">
        <f t="shared" si="6"/>
        <v>ETF</v>
      </c>
      <c r="X173" s="114" t="str">
        <f t="shared" si="7"/>
        <v>Otros ETFs</v>
      </c>
    </row>
    <row r="174" spans="1:24" hidden="1" x14ac:dyDescent="0.25">
      <c r="A174" s="114" t="str">
        <f t="shared" si="8"/>
        <v>5440</v>
      </c>
      <c r="B174" t="s">
        <v>2261</v>
      </c>
      <c r="C174" t="s">
        <v>2271</v>
      </c>
      <c r="D174" t="s">
        <v>3097</v>
      </c>
      <c r="E174" t="s">
        <v>191</v>
      </c>
      <c r="F174" t="s">
        <v>4804</v>
      </c>
      <c r="G174" t="s">
        <v>1185</v>
      </c>
      <c r="H174" t="s">
        <v>1399</v>
      </c>
      <c r="I174">
        <v>8259.6200000000008</v>
      </c>
      <c r="J174">
        <v>207539.74</v>
      </c>
      <c r="K174">
        <v>25.13</v>
      </c>
      <c r="L174">
        <v>3.2</v>
      </c>
      <c r="M174">
        <v>3.6</v>
      </c>
      <c r="N174">
        <v>4.4000000000000004</v>
      </c>
      <c r="O174">
        <v>3.6</v>
      </c>
      <c r="P174">
        <v>2</v>
      </c>
      <c r="Q174"/>
      <c r="R174">
        <v>15</v>
      </c>
      <c r="S174" t="s">
        <v>1138</v>
      </c>
      <c r="T174">
        <v>25.13</v>
      </c>
      <c r="U174" t="s">
        <v>2819</v>
      </c>
      <c r="V174" t="s">
        <v>1062</v>
      </c>
      <c r="W174" s="114" t="str">
        <f t="shared" si="6"/>
        <v>Portafolio</v>
      </c>
      <c r="X174" s="114" t="str">
        <f t="shared" si="7"/>
        <v>Portafolio</v>
      </c>
    </row>
    <row r="175" spans="1:24" hidden="1" x14ac:dyDescent="0.25">
      <c r="A175" s="114" t="str">
        <f t="shared" si="8"/>
        <v>7393</v>
      </c>
      <c r="B175" t="s">
        <v>6180</v>
      </c>
      <c r="C175" t="s">
        <v>1419</v>
      </c>
      <c r="D175" t="s">
        <v>1420</v>
      </c>
      <c r="E175" t="s">
        <v>586</v>
      </c>
      <c r="F175" t="s">
        <v>1056</v>
      </c>
      <c r="G175" t="s">
        <v>1057</v>
      </c>
      <c r="H175" t="s">
        <v>1277</v>
      </c>
      <c r="I175" t="s">
        <v>90</v>
      </c>
      <c r="J175" t="s">
        <v>90</v>
      </c>
      <c r="K175">
        <v>9.0004829999999994E-2</v>
      </c>
      <c r="L175">
        <v>5.7814424899999999</v>
      </c>
      <c r="M175">
        <v>5.7453300399999998</v>
      </c>
      <c r="N175">
        <v>7.4417293600000001</v>
      </c>
      <c r="O175">
        <v>6.1706685500000003</v>
      </c>
      <c r="P175">
        <v>0</v>
      </c>
      <c r="Q175">
        <v>1.56</v>
      </c>
      <c r="R175">
        <v>0</v>
      </c>
      <c r="S175" t="s">
        <v>30</v>
      </c>
      <c r="T175">
        <v>9.0004829999999994E-2</v>
      </c>
      <c r="U175" t="s">
        <v>2819</v>
      </c>
      <c r="V175" t="s">
        <v>1059</v>
      </c>
      <c r="W175" s="114" t="str">
        <f t="shared" si="6"/>
        <v>ETF</v>
      </c>
      <c r="X175" s="114" t="str">
        <f t="shared" si="7"/>
        <v>Otros ETFs</v>
      </c>
    </row>
    <row r="176" spans="1:24" hidden="1" x14ac:dyDescent="0.25">
      <c r="A176" s="114" t="str">
        <f t="shared" si="8"/>
        <v>7017</v>
      </c>
      <c r="B176" t="s">
        <v>5382</v>
      </c>
      <c r="C176" t="s">
        <v>5383</v>
      </c>
      <c r="D176" t="s">
        <v>5384</v>
      </c>
      <c r="E176" t="s">
        <v>586</v>
      </c>
      <c r="F176" t="s">
        <v>1056</v>
      </c>
      <c r="G176" t="s">
        <v>1057</v>
      </c>
      <c r="H176" t="s">
        <v>1280</v>
      </c>
      <c r="I176" t="s">
        <v>90</v>
      </c>
      <c r="J176" t="s">
        <v>90</v>
      </c>
      <c r="K176">
        <v>202.59174264999999</v>
      </c>
      <c r="L176">
        <v>5.7821902300000003</v>
      </c>
      <c r="M176">
        <v>5.7454840000000003</v>
      </c>
      <c r="N176">
        <v>7.4444753700000001</v>
      </c>
      <c r="O176">
        <v>6.1710504400000001</v>
      </c>
      <c r="P176">
        <v>0</v>
      </c>
      <c r="Q176"/>
      <c r="R176">
        <v>0</v>
      </c>
      <c r="S176" t="s">
        <v>30</v>
      </c>
      <c r="T176">
        <v>202.59174264999999</v>
      </c>
      <c r="U176" t="s">
        <v>2819</v>
      </c>
      <c r="V176" t="s">
        <v>1278</v>
      </c>
      <c r="W176" s="114" t="str">
        <f t="shared" si="6"/>
        <v>ETF</v>
      </c>
      <c r="X176" s="114" t="str">
        <f t="shared" si="7"/>
        <v>Soberanos</v>
      </c>
    </row>
    <row r="177" spans="1:24" hidden="1" x14ac:dyDescent="0.25">
      <c r="A177" s="114" t="str">
        <f t="shared" si="8"/>
        <v>5440</v>
      </c>
      <c r="B177" t="s">
        <v>2261</v>
      </c>
      <c r="C177" t="s">
        <v>5788</v>
      </c>
      <c r="D177" t="s">
        <v>5789</v>
      </c>
      <c r="E177" t="s">
        <v>191</v>
      </c>
      <c r="F177" t="s">
        <v>4804</v>
      </c>
      <c r="G177" t="s">
        <v>1185</v>
      </c>
      <c r="H177" t="s">
        <v>1399</v>
      </c>
      <c r="I177">
        <v>8259.6200000000008</v>
      </c>
      <c r="J177">
        <v>207539.74</v>
      </c>
      <c r="K177">
        <v>25.13</v>
      </c>
      <c r="L177">
        <v>3.2</v>
      </c>
      <c r="M177">
        <v>3.6</v>
      </c>
      <c r="N177">
        <v>4.4000000000000004</v>
      </c>
      <c r="O177">
        <v>3.6</v>
      </c>
      <c r="P177">
        <v>2</v>
      </c>
      <c r="Q177"/>
      <c r="R177">
        <v>15</v>
      </c>
      <c r="S177" t="s">
        <v>1138</v>
      </c>
      <c r="T177">
        <v>25.13</v>
      </c>
      <c r="U177" t="s">
        <v>2819</v>
      </c>
      <c r="V177" t="s">
        <v>1062</v>
      </c>
      <c r="W177" s="114" t="str">
        <f t="shared" si="6"/>
        <v>Portafolio</v>
      </c>
      <c r="X177" s="114" t="str">
        <f t="shared" si="7"/>
        <v>Portafolio</v>
      </c>
    </row>
    <row r="178" spans="1:24" hidden="1" x14ac:dyDescent="0.25">
      <c r="A178" s="114" t="str">
        <f t="shared" si="8"/>
        <v>7551</v>
      </c>
      <c r="B178" t="s">
        <v>1421</v>
      </c>
      <c r="C178" t="s">
        <v>1422</v>
      </c>
      <c r="D178" t="s">
        <v>1423</v>
      </c>
      <c r="E178" t="s">
        <v>586</v>
      </c>
      <c r="F178" t="s">
        <v>1056</v>
      </c>
      <c r="G178" t="s">
        <v>1071</v>
      </c>
      <c r="H178" t="s">
        <v>1212</v>
      </c>
      <c r="I178" t="s">
        <v>90</v>
      </c>
      <c r="J178" t="s">
        <v>90</v>
      </c>
      <c r="K178">
        <v>199.96540804</v>
      </c>
      <c r="L178">
        <v>7.2618900599999998</v>
      </c>
      <c r="M178">
        <v>4.6232960299999997</v>
      </c>
      <c r="N178">
        <v>5.6566511300000002</v>
      </c>
      <c r="O178">
        <v>6.1862194099999996</v>
      </c>
      <c r="P178">
        <v>25.93427780283341</v>
      </c>
      <c r="Q178">
        <v>291.98815346999999</v>
      </c>
      <c r="R178">
        <v>39.592818778456333</v>
      </c>
      <c r="S178" t="s">
        <v>1073</v>
      </c>
      <c r="T178">
        <v>199.96540804</v>
      </c>
      <c r="U178" t="s">
        <v>2819</v>
      </c>
      <c r="V178" t="s">
        <v>1059</v>
      </c>
      <c r="W178" s="114" t="str">
        <f t="shared" si="6"/>
        <v>ETF</v>
      </c>
      <c r="X178" s="114" t="str">
        <f t="shared" si="7"/>
        <v>Otros ETFs</v>
      </c>
    </row>
    <row r="179" spans="1:24" hidden="1" x14ac:dyDescent="0.25">
      <c r="A179" s="114" t="str">
        <f t="shared" si="8"/>
        <v>2106</v>
      </c>
      <c r="B179" t="s">
        <v>5627</v>
      </c>
      <c r="C179" t="s">
        <v>5628</v>
      </c>
      <c r="D179" t="s">
        <v>3970</v>
      </c>
      <c r="E179" t="s">
        <v>249</v>
      </c>
      <c r="F179" t="s">
        <v>4806</v>
      </c>
      <c r="G179" t="s">
        <v>1198</v>
      </c>
      <c r="H179" t="s">
        <v>1324</v>
      </c>
      <c r="I179">
        <v>9485.2000000000007</v>
      </c>
      <c r="J179">
        <v>307340.39</v>
      </c>
      <c r="K179">
        <v>32.4</v>
      </c>
      <c r="L179">
        <v>7.8</v>
      </c>
      <c r="M179">
        <v>7.3</v>
      </c>
      <c r="N179">
        <v>8.6</v>
      </c>
      <c r="O179">
        <v>5.4</v>
      </c>
      <c r="P179">
        <v>0</v>
      </c>
      <c r="Q179"/>
      <c r="R179">
        <v>63</v>
      </c>
      <c r="S179" t="s">
        <v>1073</v>
      </c>
      <c r="T179">
        <v>32.4</v>
      </c>
      <c r="U179" t="s">
        <v>2819</v>
      </c>
      <c r="V179" t="s">
        <v>1062</v>
      </c>
      <c r="W179" s="114" t="str">
        <f t="shared" si="6"/>
        <v>Portafolio</v>
      </c>
      <c r="X179" s="114" t="str">
        <f t="shared" si="7"/>
        <v>Portafolio</v>
      </c>
    </row>
    <row r="180" spans="1:24" hidden="1" x14ac:dyDescent="0.25">
      <c r="A180" s="114" t="str">
        <f t="shared" si="8"/>
        <v>6001</v>
      </c>
      <c r="B180" t="s">
        <v>6181</v>
      </c>
      <c r="C180" t="s">
        <v>1426</v>
      </c>
      <c r="D180" t="s">
        <v>1427</v>
      </c>
      <c r="E180" t="s">
        <v>586</v>
      </c>
      <c r="F180" t="s">
        <v>1056</v>
      </c>
      <c r="G180" t="s">
        <v>1057</v>
      </c>
      <c r="H180" t="s">
        <v>1288</v>
      </c>
      <c r="I180" t="s">
        <v>90</v>
      </c>
      <c r="J180" t="s">
        <v>90</v>
      </c>
      <c r="K180">
        <v>130.25056401000001</v>
      </c>
      <c r="L180">
        <v>5.3393843700000003</v>
      </c>
      <c r="M180">
        <v>4.5668600399999999</v>
      </c>
      <c r="N180">
        <v>4.6226902699999997</v>
      </c>
      <c r="O180">
        <v>5.6749466799999997</v>
      </c>
      <c r="P180">
        <v>7.0901998264465123</v>
      </c>
      <c r="Q180">
        <v>246.80505201</v>
      </c>
      <c r="R180">
        <v>13.332626856002589</v>
      </c>
      <c r="S180" t="s">
        <v>1063</v>
      </c>
      <c r="T180">
        <v>130.25056401000001</v>
      </c>
      <c r="U180" t="s">
        <v>2819</v>
      </c>
      <c r="V180" t="s">
        <v>1059</v>
      </c>
      <c r="W180" s="114" t="str">
        <f t="shared" si="6"/>
        <v>ETF</v>
      </c>
      <c r="X180" s="114" t="str">
        <f t="shared" si="7"/>
        <v>Otros ETFs</v>
      </c>
    </row>
    <row r="181" spans="1:24" hidden="1" x14ac:dyDescent="0.25">
      <c r="A181" s="114" t="str">
        <f t="shared" si="8"/>
        <v>2106</v>
      </c>
      <c r="B181" t="s">
        <v>5627</v>
      </c>
      <c r="C181" t="s">
        <v>252</v>
      </c>
      <c r="D181" t="s">
        <v>251</v>
      </c>
      <c r="E181" t="s">
        <v>249</v>
      </c>
      <c r="F181" t="s">
        <v>4806</v>
      </c>
      <c r="G181" t="s">
        <v>1198</v>
      </c>
      <c r="H181" t="s">
        <v>1324</v>
      </c>
      <c r="I181">
        <v>9485.2000000000007</v>
      </c>
      <c r="J181">
        <v>307340.39</v>
      </c>
      <c r="K181">
        <v>32.4</v>
      </c>
      <c r="L181">
        <v>7.8</v>
      </c>
      <c r="M181">
        <v>7.3</v>
      </c>
      <c r="N181">
        <v>8.6</v>
      </c>
      <c r="O181">
        <v>5.4</v>
      </c>
      <c r="P181">
        <v>0</v>
      </c>
      <c r="Q181"/>
      <c r="R181">
        <v>63</v>
      </c>
      <c r="S181" t="s">
        <v>1073</v>
      </c>
      <c r="T181">
        <v>32.4</v>
      </c>
      <c r="U181" t="s">
        <v>2819</v>
      </c>
      <c r="V181" t="s">
        <v>1062</v>
      </c>
      <c r="W181" s="114" t="str">
        <f t="shared" si="6"/>
        <v>Portafolio</v>
      </c>
      <c r="X181" s="114" t="str">
        <f t="shared" si="7"/>
        <v>Portafolio</v>
      </c>
    </row>
    <row r="182" spans="1:24" hidden="1" x14ac:dyDescent="0.25">
      <c r="A182" s="114" t="str">
        <f t="shared" si="8"/>
        <v>7111</v>
      </c>
      <c r="B182" t="s">
        <v>1428</v>
      </c>
      <c r="C182" t="s">
        <v>1429</v>
      </c>
      <c r="D182" t="s">
        <v>1430</v>
      </c>
      <c r="E182" t="s">
        <v>586</v>
      </c>
      <c r="F182" t="s">
        <v>1056</v>
      </c>
      <c r="G182" t="s">
        <v>1431</v>
      </c>
      <c r="H182" t="s">
        <v>1432</v>
      </c>
      <c r="I182" t="s">
        <v>90</v>
      </c>
      <c r="J182" t="s">
        <v>90</v>
      </c>
      <c r="K182">
        <v>183.53226061000001</v>
      </c>
      <c r="L182">
        <v>5.9104202700000004</v>
      </c>
      <c r="M182">
        <v>5.45833894</v>
      </c>
      <c r="N182">
        <v>5.3865148400000002</v>
      </c>
      <c r="O182">
        <v>4.7521803499999997</v>
      </c>
      <c r="P182">
        <v>0</v>
      </c>
      <c r="Q182">
        <v>313.11070468999998</v>
      </c>
      <c r="R182">
        <v>2.2565310001147321</v>
      </c>
      <c r="S182" t="s">
        <v>30</v>
      </c>
      <c r="T182">
        <v>183.53226061000001</v>
      </c>
      <c r="U182" t="s">
        <v>2819</v>
      </c>
      <c r="V182" t="s">
        <v>1059</v>
      </c>
      <c r="W182" s="114" t="str">
        <f t="shared" si="6"/>
        <v>ETF</v>
      </c>
      <c r="X182" s="114" t="str">
        <f t="shared" si="7"/>
        <v>Otros ETFs</v>
      </c>
    </row>
    <row r="183" spans="1:24" hidden="1" x14ac:dyDescent="0.25">
      <c r="A183" s="114" t="str">
        <f t="shared" si="8"/>
        <v>2029</v>
      </c>
      <c r="B183" t="s">
        <v>6033</v>
      </c>
      <c r="C183" t="s">
        <v>473</v>
      </c>
      <c r="D183" t="s">
        <v>472</v>
      </c>
      <c r="E183" t="s">
        <v>422</v>
      </c>
      <c r="F183" t="s">
        <v>4801</v>
      </c>
      <c r="G183" t="s">
        <v>1198</v>
      </c>
      <c r="H183" t="s">
        <v>6034</v>
      </c>
      <c r="I183">
        <v>782.25</v>
      </c>
      <c r="J183">
        <v>100333.3817674249</v>
      </c>
      <c r="K183">
        <v>128.26</v>
      </c>
      <c r="L183">
        <v>5.4</v>
      </c>
      <c r="M183">
        <v>3.1</v>
      </c>
      <c r="N183">
        <v>4.2</v>
      </c>
      <c r="O183">
        <v>5.5</v>
      </c>
      <c r="P183">
        <v>0</v>
      </c>
      <c r="Q183"/>
      <c r="R183">
        <v>44</v>
      </c>
      <c r="S183" t="s">
        <v>1063</v>
      </c>
      <c r="T183">
        <v>128.26</v>
      </c>
      <c r="U183" t="s">
        <v>2819</v>
      </c>
      <c r="V183" t="s">
        <v>1062</v>
      </c>
      <c r="W183" s="114" t="str">
        <f t="shared" si="6"/>
        <v>Portafolio</v>
      </c>
      <c r="X183" s="114" t="str">
        <f t="shared" si="7"/>
        <v>Portafolio</v>
      </c>
    </row>
    <row r="184" spans="1:24" hidden="1" x14ac:dyDescent="0.25">
      <c r="A184" s="114" t="str">
        <f t="shared" si="8"/>
        <v>7287</v>
      </c>
      <c r="B184" t="s">
        <v>1433</v>
      </c>
      <c r="C184" t="s">
        <v>1434</v>
      </c>
      <c r="D184" t="s">
        <v>1435</v>
      </c>
      <c r="E184" t="s">
        <v>586</v>
      </c>
      <c r="F184" t="s">
        <v>1056</v>
      </c>
      <c r="G184" t="s">
        <v>1136</v>
      </c>
      <c r="H184" t="s">
        <v>6144</v>
      </c>
      <c r="I184" t="s">
        <v>90</v>
      </c>
      <c r="J184" t="s">
        <v>90</v>
      </c>
      <c r="K184">
        <v>232.62903163999999</v>
      </c>
      <c r="L184">
        <v>5.2647390100000004</v>
      </c>
      <c r="M184">
        <v>4.5208750899999997</v>
      </c>
      <c r="N184">
        <v>4.84121866</v>
      </c>
      <c r="O184">
        <v>5.20778681</v>
      </c>
      <c r="P184">
        <v>2.1088938433853031</v>
      </c>
      <c r="Q184">
        <v>433.29903737000001</v>
      </c>
      <c r="R184">
        <v>17.242592031989581</v>
      </c>
      <c r="S184" t="s">
        <v>1063</v>
      </c>
      <c r="T184">
        <v>232.62903163999999</v>
      </c>
      <c r="U184" t="s">
        <v>2819</v>
      </c>
      <c r="V184" t="s">
        <v>1059</v>
      </c>
      <c r="W184" s="114" t="str">
        <f t="shared" si="6"/>
        <v>ETF</v>
      </c>
      <c r="X184" s="114" t="str">
        <f t="shared" si="7"/>
        <v>Otros ETFs</v>
      </c>
    </row>
    <row r="185" spans="1:24" hidden="1" x14ac:dyDescent="0.25">
      <c r="A185" s="114" t="str">
        <f t="shared" si="8"/>
        <v>2029</v>
      </c>
      <c r="B185" t="s">
        <v>6033</v>
      </c>
      <c r="C185" t="s">
        <v>6035</v>
      </c>
      <c r="D185" t="s">
        <v>4285</v>
      </c>
      <c r="E185" t="s">
        <v>501</v>
      </c>
      <c r="F185" t="s">
        <v>4808</v>
      </c>
      <c r="G185" t="s">
        <v>1198</v>
      </c>
      <c r="H185" t="s">
        <v>6034</v>
      </c>
      <c r="I185">
        <v>782.25</v>
      </c>
      <c r="J185">
        <v>100333.3817674249</v>
      </c>
      <c r="K185">
        <v>128.26</v>
      </c>
      <c r="L185">
        <v>5.4</v>
      </c>
      <c r="M185">
        <v>3.1</v>
      </c>
      <c r="N185">
        <v>4.2</v>
      </c>
      <c r="O185">
        <v>5.5</v>
      </c>
      <c r="P185">
        <v>0</v>
      </c>
      <c r="Q185"/>
      <c r="R185">
        <v>44</v>
      </c>
      <c r="S185" t="s">
        <v>1063</v>
      </c>
      <c r="T185">
        <v>128.26</v>
      </c>
      <c r="U185" t="s">
        <v>2819</v>
      </c>
      <c r="V185" t="s">
        <v>1062</v>
      </c>
      <c r="W185" s="114" t="str">
        <f t="shared" si="6"/>
        <v>Portafolio</v>
      </c>
      <c r="X185" s="114" t="str">
        <f t="shared" si="7"/>
        <v>Portafolio</v>
      </c>
    </row>
    <row r="186" spans="1:24" hidden="1" x14ac:dyDescent="0.25">
      <c r="A186" s="114" t="str">
        <f t="shared" si="8"/>
        <v>7111</v>
      </c>
      <c r="B186" t="s">
        <v>1436</v>
      </c>
      <c r="C186" t="s">
        <v>615</v>
      </c>
      <c r="D186" t="s">
        <v>614</v>
      </c>
      <c r="E186" t="s">
        <v>586</v>
      </c>
      <c r="F186" t="s">
        <v>1056</v>
      </c>
      <c r="G186" t="s">
        <v>1136</v>
      </c>
      <c r="H186" t="s">
        <v>1437</v>
      </c>
      <c r="I186" t="s">
        <v>90</v>
      </c>
      <c r="J186" t="s">
        <v>90</v>
      </c>
      <c r="K186">
        <v>401.20593401999997</v>
      </c>
      <c r="L186">
        <v>3.87682269</v>
      </c>
      <c r="M186">
        <v>4.9549227199999999</v>
      </c>
      <c r="N186">
        <v>5.6047168699999999</v>
      </c>
      <c r="O186">
        <v>5.1318504300000001</v>
      </c>
      <c r="P186">
        <v>3.0731999999999999</v>
      </c>
      <c r="Q186">
        <v>670.83101862000001</v>
      </c>
      <c r="R186">
        <v>0</v>
      </c>
      <c r="S186" t="s">
        <v>1138</v>
      </c>
      <c r="T186">
        <v>401.20593401999997</v>
      </c>
      <c r="U186" t="s">
        <v>2819</v>
      </c>
      <c r="V186" t="s">
        <v>1059</v>
      </c>
      <c r="W186" s="114" t="str">
        <f t="shared" si="6"/>
        <v>ETF</v>
      </c>
      <c r="X186" s="114" t="str">
        <f t="shared" si="7"/>
        <v>Otros ETFs</v>
      </c>
    </row>
    <row r="187" spans="1:24" hidden="1" x14ac:dyDescent="0.25">
      <c r="A187" s="114" t="str">
        <f t="shared" si="8"/>
        <v>7111</v>
      </c>
      <c r="B187" t="s">
        <v>1438</v>
      </c>
      <c r="C187" t="s">
        <v>1439</v>
      </c>
      <c r="D187" t="s">
        <v>1440</v>
      </c>
      <c r="E187" t="s">
        <v>586</v>
      </c>
      <c r="F187" t="s">
        <v>1056</v>
      </c>
      <c r="G187" t="s">
        <v>1136</v>
      </c>
      <c r="H187" t="s">
        <v>6144</v>
      </c>
      <c r="I187" t="s">
        <v>90</v>
      </c>
      <c r="J187" t="s">
        <v>90</v>
      </c>
      <c r="K187">
        <v>187.03183146000001</v>
      </c>
      <c r="L187">
        <v>4.5573242799999996</v>
      </c>
      <c r="M187">
        <v>4.3508652799999998</v>
      </c>
      <c r="N187">
        <v>4.4784629699999998</v>
      </c>
      <c r="O187">
        <v>4.8769888899999998</v>
      </c>
      <c r="P187">
        <v>1.6960748973964059</v>
      </c>
      <c r="Q187">
        <v>390.18544664000001</v>
      </c>
      <c r="R187">
        <v>11.785237991680489</v>
      </c>
      <c r="S187" t="s">
        <v>1063</v>
      </c>
      <c r="T187">
        <v>187.03183146000001</v>
      </c>
      <c r="U187" t="s">
        <v>2819</v>
      </c>
      <c r="V187" t="s">
        <v>1059</v>
      </c>
      <c r="W187" s="114" t="str">
        <f t="shared" si="6"/>
        <v>ETF</v>
      </c>
      <c r="X187" s="114" t="str">
        <f t="shared" si="7"/>
        <v>Otros ETFs</v>
      </c>
    </row>
    <row r="188" spans="1:24" hidden="1" x14ac:dyDescent="0.25">
      <c r="A188" s="114" t="str">
        <f t="shared" si="8"/>
        <v>2029</v>
      </c>
      <c r="B188" t="s">
        <v>6033</v>
      </c>
      <c r="C188" t="s">
        <v>6036</v>
      </c>
      <c r="D188" t="s">
        <v>6037</v>
      </c>
      <c r="E188" t="s">
        <v>249</v>
      </c>
      <c r="F188" t="s">
        <v>4806</v>
      </c>
      <c r="G188" t="s">
        <v>1198</v>
      </c>
      <c r="H188" t="s">
        <v>6034</v>
      </c>
      <c r="I188">
        <v>782.25</v>
      </c>
      <c r="J188">
        <v>100333.3817674249</v>
      </c>
      <c r="K188">
        <v>128.26</v>
      </c>
      <c r="L188">
        <v>5.4</v>
      </c>
      <c r="M188">
        <v>3.1</v>
      </c>
      <c r="N188">
        <v>4.2</v>
      </c>
      <c r="O188">
        <v>5.5</v>
      </c>
      <c r="P188">
        <v>0</v>
      </c>
      <c r="Q188"/>
      <c r="R188">
        <v>44</v>
      </c>
      <c r="S188" t="s">
        <v>1063</v>
      </c>
      <c r="T188">
        <v>128.26</v>
      </c>
      <c r="U188" t="s">
        <v>2819</v>
      </c>
      <c r="V188" t="s">
        <v>1062</v>
      </c>
      <c r="W188" s="114" t="str">
        <f t="shared" si="6"/>
        <v>Portafolio</v>
      </c>
      <c r="X188" s="114" t="str">
        <f t="shared" si="7"/>
        <v>Portafolio</v>
      </c>
    </row>
    <row r="189" spans="1:24" hidden="1" x14ac:dyDescent="0.25">
      <c r="A189" s="114" t="str">
        <f t="shared" si="8"/>
        <v>7111</v>
      </c>
      <c r="B189" t="s">
        <v>1442</v>
      </c>
      <c r="C189" t="s">
        <v>1443</v>
      </c>
      <c r="D189" t="s">
        <v>1444</v>
      </c>
      <c r="E189" t="s">
        <v>586</v>
      </c>
      <c r="F189" t="s">
        <v>1056</v>
      </c>
      <c r="G189" t="s">
        <v>1071</v>
      </c>
      <c r="H189" t="s">
        <v>1445</v>
      </c>
      <c r="I189" t="s">
        <v>90</v>
      </c>
      <c r="J189" t="s">
        <v>90</v>
      </c>
      <c r="K189">
        <v>39.508152340000002</v>
      </c>
      <c r="L189">
        <v>6.6606497999999998</v>
      </c>
      <c r="M189">
        <v>6.0154677999999997</v>
      </c>
      <c r="N189">
        <v>5.1705238400000004</v>
      </c>
      <c r="O189">
        <v>5.7725188300000001</v>
      </c>
      <c r="P189">
        <v>29.412452505111759</v>
      </c>
      <c r="Q189">
        <v>111.34254906</v>
      </c>
      <c r="R189">
        <v>27.63537916960647</v>
      </c>
      <c r="S189" t="s">
        <v>30</v>
      </c>
      <c r="T189">
        <v>39.508152340000002</v>
      </c>
      <c r="U189" t="s">
        <v>2819</v>
      </c>
      <c r="V189" t="s">
        <v>1059</v>
      </c>
      <c r="W189" s="114" t="str">
        <f t="shared" si="6"/>
        <v>ETF</v>
      </c>
      <c r="X189" s="114" t="str">
        <f t="shared" si="7"/>
        <v>Otros ETFs</v>
      </c>
    </row>
    <row r="190" spans="1:24" hidden="1" x14ac:dyDescent="0.25">
      <c r="A190" s="114" t="str">
        <f t="shared" si="8"/>
        <v>5205</v>
      </c>
      <c r="B190" t="s">
        <v>2368</v>
      </c>
      <c r="C190" t="s">
        <v>2369</v>
      </c>
      <c r="D190" t="s">
        <v>4266</v>
      </c>
      <c r="E190" t="s">
        <v>512</v>
      </c>
      <c r="F190" t="s">
        <v>4797</v>
      </c>
      <c r="G190" t="s">
        <v>1185</v>
      </c>
      <c r="H190" t="s">
        <v>1147</v>
      </c>
      <c r="I190">
        <v>55174.33</v>
      </c>
      <c r="J190">
        <v>6035857</v>
      </c>
      <c r="K190">
        <v>109.4</v>
      </c>
      <c r="L190">
        <v>3.3</v>
      </c>
      <c r="M190">
        <v>2.6</v>
      </c>
      <c r="N190">
        <v>3.8</v>
      </c>
      <c r="O190">
        <v>3.6</v>
      </c>
      <c r="P190">
        <v>6</v>
      </c>
      <c r="Q190"/>
      <c r="R190">
        <v>4</v>
      </c>
      <c r="S190" t="s">
        <v>1138</v>
      </c>
      <c r="T190">
        <v>109.4</v>
      </c>
      <c r="U190" t="s">
        <v>2819</v>
      </c>
      <c r="V190" t="s">
        <v>1062</v>
      </c>
      <c r="W190" s="114" t="str">
        <f t="shared" si="6"/>
        <v>Portafolio</v>
      </c>
      <c r="X190" s="114" t="str">
        <f t="shared" si="7"/>
        <v>Portafolio</v>
      </c>
    </row>
    <row r="191" spans="1:24" hidden="1" x14ac:dyDescent="0.25">
      <c r="A191" s="114" t="str">
        <f t="shared" si="8"/>
        <v>7111</v>
      </c>
      <c r="B191" t="s">
        <v>6182</v>
      </c>
      <c r="C191" t="s">
        <v>6183</v>
      </c>
      <c r="D191" t="s">
        <v>6184</v>
      </c>
      <c r="E191" t="s">
        <v>586</v>
      </c>
      <c r="F191" t="s">
        <v>1056</v>
      </c>
      <c r="G191" t="s">
        <v>1260</v>
      </c>
      <c r="H191" t="s">
        <v>1261</v>
      </c>
      <c r="I191" t="s">
        <v>90</v>
      </c>
      <c r="J191" t="s">
        <v>90</v>
      </c>
      <c r="K191">
        <v>71.657646670000005</v>
      </c>
      <c r="L191">
        <v>7.3437807399999997</v>
      </c>
      <c r="M191">
        <v>5.9878252700000001</v>
      </c>
      <c r="N191">
        <v>5.3610774599999997</v>
      </c>
      <c r="O191">
        <v>6.23838252</v>
      </c>
      <c r="P191">
        <v>20.791187370241701</v>
      </c>
      <c r="Q191">
        <v>156.0547804</v>
      </c>
      <c r="R191">
        <v>44.378912721531563</v>
      </c>
      <c r="S191" t="s">
        <v>1073</v>
      </c>
      <c r="T191">
        <v>71.657646670000005</v>
      </c>
      <c r="U191" t="s">
        <v>2819</v>
      </c>
      <c r="V191" t="s">
        <v>1059</v>
      </c>
      <c r="W191" s="114" t="str">
        <f t="shared" si="6"/>
        <v>ETF</v>
      </c>
      <c r="X191" s="114" t="str">
        <f t="shared" si="7"/>
        <v>Otros ETFs</v>
      </c>
    </row>
    <row r="192" spans="1:24" hidden="1" x14ac:dyDescent="0.25">
      <c r="A192" s="114" t="str">
        <f t="shared" si="8"/>
        <v>5434</v>
      </c>
      <c r="B192" t="s">
        <v>6185</v>
      </c>
      <c r="C192" t="s">
        <v>6186</v>
      </c>
      <c r="D192" t="s">
        <v>6187</v>
      </c>
      <c r="E192" t="s">
        <v>191</v>
      </c>
      <c r="F192" t="s">
        <v>4804</v>
      </c>
      <c r="G192" t="s">
        <v>1296</v>
      </c>
      <c r="H192" t="s">
        <v>1140</v>
      </c>
      <c r="I192">
        <v>9484.1</v>
      </c>
      <c r="J192">
        <v>165948</v>
      </c>
      <c r="K192">
        <v>17.5</v>
      </c>
      <c r="L192">
        <v>6.6</v>
      </c>
      <c r="M192">
        <v>3.9</v>
      </c>
      <c r="N192">
        <v>5.7</v>
      </c>
      <c r="O192">
        <v>5</v>
      </c>
      <c r="P192">
        <v>0</v>
      </c>
      <c r="Q192"/>
      <c r="R192">
        <v>42</v>
      </c>
      <c r="S192" t="s">
        <v>30</v>
      </c>
      <c r="T192">
        <v>17.5</v>
      </c>
      <c r="U192" t="s">
        <v>2819</v>
      </c>
      <c r="V192" t="s">
        <v>1062</v>
      </c>
      <c r="W192" s="114" t="str">
        <f t="shared" si="6"/>
        <v>Portafolio</v>
      </c>
      <c r="X192" s="114" t="str">
        <f t="shared" si="7"/>
        <v>Portafolio</v>
      </c>
    </row>
    <row r="193" spans="1:24" hidden="1" x14ac:dyDescent="0.25">
      <c r="A193" s="114" t="str">
        <f t="shared" si="8"/>
        <v>7512</v>
      </c>
      <c r="B193" t="s">
        <v>1446</v>
      </c>
      <c r="C193" t="s">
        <v>1447</v>
      </c>
      <c r="D193" t="s">
        <v>1448</v>
      </c>
      <c r="E193" t="s">
        <v>586</v>
      </c>
      <c r="F193" t="s">
        <v>1056</v>
      </c>
      <c r="G193" t="s">
        <v>1071</v>
      </c>
      <c r="H193" t="s">
        <v>1328</v>
      </c>
      <c r="I193" t="s">
        <v>90</v>
      </c>
      <c r="J193" t="s">
        <v>90</v>
      </c>
      <c r="K193">
        <v>246.12525002000001</v>
      </c>
      <c r="L193">
        <v>6.5341949399999999</v>
      </c>
      <c r="M193">
        <v>6.6989865999999996</v>
      </c>
      <c r="N193">
        <v>5.23826809</v>
      </c>
      <c r="O193">
        <v>5.9195994199999999</v>
      </c>
      <c r="P193">
        <v>5.6182201521744997</v>
      </c>
      <c r="Q193">
        <v>556.78935080999997</v>
      </c>
      <c r="R193">
        <v>25.823678720062698</v>
      </c>
      <c r="S193" t="s">
        <v>30</v>
      </c>
      <c r="T193">
        <v>246.12525002000001</v>
      </c>
      <c r="U193" t="s">
        <v>2819</v>
      </c>
      <c r="V193" t="s">
        <v>1059</v>
      </c>
      <c r="W193" s="114" t="str">
        <f t="shared" si="6"/>
        <v>ETF</v>
      </c>
      <c r="X193" s="114" t="str">
        <f t="shared" si="7"/>
        <v>Otros ETFs</v>
      </c>
    </row>
    <row r="194" spans="1:24" hidden="1" x14ac:dyDescent="0.25">
      <c r="A194" s="114" t="str">
        <f t="shared" si="8"/>
        <v>5434</v>
      </c>
      <c r="B194" t="s">
        <v>6185</v>
      </c>
      <c r="C194" t="s">
        <v>6188</v>
      </c>
      <c r="D194" t="s">
        <v>6189</v>
      </c>
      <c r="E194" t="s">
        <v>191</v>
      </c>
      <c r="F194" t="s">
        <v>4804</v>
      </c>
      <c r="G194" t="s">
        <v>1296</v>
      </c>
      <c r="H194" t="s">
        <v>1140</v>
      </c>
      <c r="I194">
        <v>9484.1</v>
      </c>
      <c r="J194">
        <v>165948</v>
      </c>
      <c r="K194">
        <v>17.5</v>
      </c>
      <c r="L194">
        <v>6.6</v>
      </c>
      <c r="M194">
        <v>3.9</v>
      </c>
      <c r="N194">
        <v>5.7</v>
      </c>
      <c r="O194">
        <v>5</v>
      </c>
      <c r="P194">
        <v>0</v>
      </c>
      <c r="Q194"/>
      <c r="R194">
        <v>42</v>
      </c>
      <c r="S194" t="s">
        <v>30</v>
      </c>
      <c r="T194">
        <v>17.5</v>
      </c>
      <c r="U194" t="s">
        <v>2819</v>
      </c>
      <c r="V194" t="s">
        <v>1062</v>
      </c>
      <c r="W194" s="114" t="str">
        <f t="shared" ref="W194:W257" si="9">IF(V194="ETF_ETY","ETF",IF(V194="ETF_SOV","ETF",IF(V194="RF_SOV","SOV",IF(V194="-","Cuestionario Integra","Portafolio"))))</f>
        <v>Portafolio</v>
      </c>
      <c r="X194" s="114" t="str">
        <f t="shared" ref="X194:X257" si="10">IF(V194="ETF_ETY","Otros ETFs",IF(V194="ETF_SOV","Soberanos",W194))</f>
        <v>Portafolio</v>
      </c>
    </row>
    <row r="195" spans="1:24" hidden="1" x14ac:dyDescent="0.25">
      <c r="A195" s="114" t="str">
        <f t="shared" ref="A195:A258" si="11">RIGHT(LEFT(D195,6),4)</f>
        <v>7111</v>
      </c>
      <c r="B195" t="s">
        <v>1449</v>
      </c>
      <c r="C195" t="s">
        <v>625</v>
      </c>
      <c r="D195" t="s">
        <v>624</v>
      </c>
      <c r="E195" t="s">
        <v>586</v>
      </c>
      <c r="F195" t="s">
        <v>1056</v>
      </c>
      <c r="G195" t="s">
        <v>1265</v>
      </c>
      <c r="H195" t="s">
        <v>1266</v>
      </c>
      <c r="I195" t="s">
        <v>90</v>
      </c>
      <c r="J195" t="s">
        <v>90</v>
      </c>
      <c r="K195">
        <v>105.37258032</v>
      </c>
      <c r="L195">
        <v>6.5849846000000003</v>
      </c>
      <c r="M195">
        <v>5.6947761899999998</v>
      </c>
      <c r="N195">
        <v>5.5375726800000002</v>
      </c>
      <c r="O195">
        <v>5.3344766699999999</v>
      </c>
      <c r="P195">
        <v>21.71546490711377</v>
      </c>
      <c r="Q195">
        <v>265.69665980000002</v>
      </c>
      <c r="R195">
        <v>12.09781860659753</v>
      </c>
      <c r="S195" t="s">
        <v>30</v>
      </c>
      <c r="T195">
        <v>105.37258032</v>
      </c>
      <c r="U195" t="s">
        <v>2819</v>
      </c>
      <c r="V195" t="s">
        <v>1059</v>
      </c>
      <c r="W195" s="114" t="str">
        <f t="shared" si="9"/>
        <v>ETF</v>
      </c>
      <c r="X195" s="114" t="str">
        <f t="shared" si="10"/>
        <v>Otros ETFs</v>
      </c>
    </row>
    <row r="196" spans="1:24" hidden="1" x14ac:dyDescent="0.25">
      <c r="A196" s="114" t="str">
        <f t="shared" si="11"/>
        <v>5072</v>
      </c>
      <c r="B196" t="s">
        <v>5790</v>
      </c>
      <c r="C196" t="s">
        <v>2378</v>
      </c>
      <c r="D196" t="s">
        <v>3437</v>
      </c>
      <c r="E196" t="s">
        <v>191</v>
      </c>
      <c r="F196" t="s">
        <v>4804</v>
      </c>
      <c r="G196" t="s">
        <v>1185</v>
      </c>
      <c r="H196" t="s">
        <v>1749</v>
      </c>
      <c r="I196">
        <v>6551.03</v>
      </c>
      <c r="J196">
        <v>245021.99</v>
      </c>
      <c r="K196">
        <v>37.4</v>
      </c>
      <c r="L196">
        <v>4.8</v>
      </c>
      <c r="M196">
        <v>9.6999999999999993</v>
      </c>
      <c r="N196">
        <v>5.9</v>
      </c>
      <c r="O196">
        <v>3.4</v>
      </c>
      <c r="P196">
        <v>1</v>
      </c>
      <c r="Q196"/>
      <c r="R196">
        <v>8</v>
      </c>
      <c r="S196" t="s">
        <v>1063</v>
      </c>
      <c r="T196">
        <v>37.4</v>
      </c>
      <c r="U196" t="s">
        <v>2819</v>
      </c>
      <c r="V196" t="s">
        <v>1062</v>
      </c>
      <c r="W196" s="114" t="str">
        <f t="shared" si="9"/>
        <v>Portafolio</v>
      </c>
      <c r="X196" s="114" t="str">
        <f t="shared" si="10"/>
        <v>Portafolio</v>
      </c>
    </row>
    <row r="197" spans="1:24" hidden="1" x14ac:dyDescent="0.25">
      <c r="A197" s="114" t="str">
        <f t="shared" si="11"/>
        <v>7017</v>
      </c>
      <c r="B197" t="s">
        <v>1450</v>
      </c>
      <c r="C197" t="s">
        <v>1451</v>
      </c>
      <c r="D197" t="s">
        <v>1452</v>
      </c>
      <c r="E197" t="s">
        <v>586</v>
      </c>
      <c r="F197" t="s">
        <v>1056</v>
      </c>
      <c r="G197" t="s">
        <v>1071</v>
      </c>
      <c r="H197" t="s">
        <v>1445</v>
      </c>
      <c r="I197" t="s">
        <v>90</v>
      </c>
      <c r="J197" t="s">
        <v>90</v>
      </c>
      <c r="K197">
        <v>45.028523870000001</v>
      </c>
      <c r="L197">
        <v>6.5785798299999998</v>
      </c>
      <c r="M197">
        <v>5.8831819899999998</v>
      </c>
      <c r="N197">
        <v>5.1227870900000001</v>
      </c>
      <c r="O197">
        <v>5.8105638700000002</v>
      </c>
      <c r="P197">
        <v>26.152894799410991</v>
      </c>
      <c r="Q197">
        <v>120.62499348999999</v>
      </c>
      <c r="R197">
        <v>27.40893624588163</v>
      </c>
      <c r="S197" t="s">
        <v>30</v>
      </c>
      <c r="T197">
        <v>45.028523870000001</v>
      </c>
      <c r="U197" t="s">
        <v>2819</v>
      </c>
      <c r="V197" t="s">
        <v>1059</v>
      </c>
      <c r="W197" s="114" t="str">
        <f t="shared" si="9"/>
        <v>ETF</v>
      </c>
      <c r="X197" s="114" t="str">
        <f t="shared" si="10"/>
        <v>Otros ETFs</v>
      </c>
    </row>
    <row r="198" spans="1:24" hidden="1" x14ac:dyDescent="0.25">
      <c r="A198" s="114" t="str">
        <f t="shared" si="11"/>
        <v>7393</v>
      </c>
      <c r="B198" t="s">
        <v>1453</v>
      </c>
      <c r="C198" t="s">
        <v>1454</v>
      </c>
      <c r="D198" t="s">
        <v>1455</v>
      </c>
      <c r="E198" t="s">
        <v>586</v>
      </c>
      <c r="F198" t="s">
        <v>1056</v>
      </c>
      <c r="G198" t="s">
        <v>1057</v>
      </c>
      <c r="H198" t="s">
        <v>1456</v>
      </c>
      <c r="I198" t="s">
        <v>90</v>
      </c>
      <c r="J198" t="s">
        <v>90</v>
      </c>
      <c r="K198">
        <v>49.107639769999999</v>
      </c>
      <c r="L198">
        <v>6.0590053700000004</v>
      </c>
      <c r="M198">
        <v>5.2807968499999998</v>
      </c>
      <c r="N198">
        <v>4.7429570500000002</v>
      </c>
      <c r="O198">
        <v>5.8546087399999998</v>
      </c>
      <c r="P198">
        <v>10.541631624894871</v>
      </c>
      <c r="Q198">
        <v>258.02363656</v>
      </c>
      <c r="R198">
        <v>20.102860308580929</v>
      </c>
      <c r="S198" t="s">
        <v>30</v>
      </c>
      <c r="T198">
        <v>49.107639769999999</v>
      </c>
      <c r="U198" t="s">
        <v>2819</v>
      </c>
      <c r="V198" t="s">
        <v>1059</v>
      </c>
      <c r="W198" s="114" t="str">
        <f t="shared" si="9"/>
        <v>ETF</v>
      </c>
      <c r="X198" s="114" t="str">
        <f t="shared" si="10"/>
        <v>Otros ETFs</v>
      </c>
    </row>
    <row r="199" spans="1:24" hidden="1" x14ac:dyDescent="0.25">
      <c r="A199" s="114" t="str">
        <f t="shared" si="11"/>
        <v>6004</v>
      </c>
      <c r="B199" t="s">
        <v>1457</v>
      </c>
      <c r="C199" t="s">
        <v>822</v>
      </c>
      <c r="D199" t="s">
        <v>821</v>
      </c>
      <c r="E199" t="s">
        <v>820</v>
      </c>
      <c r="F199" t="s">
        <v>1458</v>
      </c>
      <c r="G199" t="s">
        <v>1459</v>
      </c>
      <c r="H199" t="s">
        <v>6190</v>
      </c>
      <c r="I199" t="s">
        <v>90</v>
      </c>
      <c r="J199" t="s">
        <v>90</v>
      </c>
      <c r="K199">
        <v>31.33247536</v>
      </c>
      <c r="L199">
        <v>5.71473532</v>
      </c>
      <c r="M199">
        <v>3.8204613300000001</v>
      </c>
      <c r="N199">
        <v>4.7809886400000003</v>
      </c>
      <c r="O199">
        <v>5.5582478599999998</v>
      </c>
      <c r="P199">
        <v>27.945333930470809</v>
      </c>
      <c r="Q199">
        <v>134.51209706</v>
      </c>
      <c r="R199">
        <v>19.76691645140394</v>
      </c>
      <c r="S199" t="s">
        <v>30</v>
      </c>
      <c r="T199">
        <v>31.33247536</v>
      </c>
      <c r="U199" t="s">
        <v>2819</v>
      </c>
      <c r="V199" t="s">
        <v>1059</v>
      </c>
      <c r="W199" s="114" t="str">
        <f t="shared" si="9"/>
        <v>ETF</v>
      </c>
      <c r="X199" s="114" t="str">
        <f t="shared" si="10"/>
        <v>Otros ETFs</v>
      </c>
    </row>
    <row r="200" spans="1:24" hidden="1" x14ac:dyDescent="0.25">
      <c r="A200" s="114" t="str">
        <f t="shared" si="11"/>
        <v>5878</v>
      </c>
      <c r="B200" t="s">
        <v>2430</v>
      </c>
      <c r="C200" t="s">
        <v>2431</v>
      </c>
      <c r="D200" t="s">
        <v>4109</v>
      </c>
      <c r="E200" t="s">
        <v>512</v>
      </c>
      <c r="F200" t="s">
        <v>4797</v>
      </c>
      <c r="G200" t="s">
        <v>1139</v>
      </c>
      <c r="H200"/>
      <c r="I200">
        <v>209.67</v>
      </c>
      <c r="J200">
        <v>96779</v>
      </c>
      <c r="K200">
        <v>461.58</v>
      </c>
      <c r="L200"/>
      <c r="M200"/>
      <c r="N200"/>
      <c r="O200"/>
      <c r="P200"/>
      <c r="Q200"/>
      <c r="R200"/>
      <c r="S200"/>
      <c r="T200">
        <v>461.58</v>
      </c>
      <c r="U200" t="s">
        <v>2819</v>
      </c>
      <c r="V200" t="s">
        <v>1062</v>
      </c>
      <c r="W200" s="114" t="str">
        <f t="shared" si="9"/>
        <v>Portafolio</v>
      </c>
      <c r="X200" s="114" t="str">
        <f t="shared" si="10"/>
        <v>Portafolio</v>
      </c>
    </row>
    <row r="201" spans="1:24" hidden="1" x14ac:dyDescent="0.25">
      <c r="A201" s="114" t="str">
        <f t="shared" si="11"/>
        <v>7528</v>
      </c>
      <c r="B201" t="s">
        <v>6191</v>
      </c>
      <c r="C201" t="s">
        <v>6192</v>
      </c>
      <c r="D201" t="s">
        <v>6193</v>
      </c>
      <c r="E201" t="s">
        <v>586</v>
      </c>
      <c r="F201" t="s">
        <v>1056</v>
      </c>
      <c r="G201" t="s">
        <v>6194</v>
      </c>
      <c r="H201" t="s">
        <v>6195</v>
      </c>
      <c r="I201" t="s">
        <v>90</v>
      </c>
      <c r="J201" t="s">
        <v>90</v>
      </c>
      <c r="K201">
        <v>207.09422203</v>
      </c>
      <c r="L201">
        <v>5.0771869799999996</v>
      </c>
      <c r="M201">
        <v>4.8359313000000004</v>
      </c>
      <c r="N201">
        <v>4.6997353899999998</v>
      </c>
      <c r="O201">
        <v>4.8389498900000003</v>
      </c>
      <c r="P201">
        <v>3.186971795284701</v>
      </c>
      <c r="Q201">
        <v>1222.84954885</v>
      </c>
      <c r="R201">
        <v>6.3400470376798452</v>
      </c>
      <c r="S201" t="s">
        <v>1063</v>
      </c>
      <c r="T201">
        <v>207.09422203</v>
      </c>
      <c r="U201" t="s">
        <v>2819</v>
      </c>
      <c r="V201" t="s">
        <v>1059</v>
      </c>
      <c r="W201" s="114" t="str">
        <f t="shared" si="9"/>
        <v>ETF</v>
      </c>
      <c r="X201" s="114" t="str">
        <f t="shared" si="10"/>
        <v>Otros ETFs</v>
      </c>
    </row>
    <row r="202" spans="1:24" hidden="1" x14ac:dyDescent="0.25">
      <c r="A202" s="114" t="str">
        <f t="shared" si="11"/>
        <v>7065</v>
      </c>
      <c r="B202" t="s">
        <v>1461</v>
      </c>
      <c r="C202" t="s">
        <v>1462</v>
      </c>
      <c r="D202" t="s">
        <v>1463</v>
      </c>
      <c r="E202" t="s">
        <v>586</v>
      </c>
      <c r="F202" t="s">
        <v>1056</v>
      </c>
      <c r="G202" t="s">
        <v>1174</v>
      </c>
      <c r="H202" t="s">
        <v>1175</v>
      </c>
      <c r="I202" t="s">
        <v>90</v>
      </c>
      <c r="J202" t="s">
        <v>90</v>
      </c>
      <c r="K202">
        <v>144.89155650000001</v>
      </c>
      <c r="L202">
        <v>4.72348781</v>
      </c>
      <c r="M202">
        <v>4.9275845699999996</v>
      </c>
      <c r="N202">
        <v>4.4384732800000002</v>
      </c>
      <c r="O202">
        <v>4.5556494799999996</v>
      </c>
      <c r="P202">
        <v>4.2841957158042838</v>
      </c>
      <c r="Q202">
        <v>202.42700515000001</v>
      </c>
      <c r="R202">
        <v>6.5568934431065573</v>
      </c>
      <c r="S202" t="s">
        <v>1063</v>
      </c>
      <c r="T202">
        <v>144.89155650000001</v>
      </c>
      <c r="U202" t="s">
        <v>2819</v>
      </c>
      <c r="V202" t="s">
        <v>1059</v>
      </c>
      <c r="W202" s="114" t="str">
        <f t="shared" si="9"/>
        <v>ETF</v>
      </c>
      <c r="X202" s="114" t="str">
        <f t="shared" si="10"/>
        <v>Otros ETFs</v>
      </c>
    </row>
    <row r="203" spans="1:24" hidden="1" x14ac:dyDescent="0.25">
      <c r="A203" s="114" t="str">
        <f t="shared" si="11"/>
        <v>7725</v>
      </c>
      <c r="B203" t="s">
        <v>5263</v>
      </c>
      <c r="C203" t="s">
        <v>5264</v>
      </c>
      <c r="D203" t="s">
        <v>5265</v>
      </c>
      <c r="E203" t="s">
        <v>586</v>
      </c>
      <c r="F203" t="s">
        <v>1056</v>
      </c>
      <c r="G203" t="s">
        <v>1057</v>
      </c>
      <c r="H203" t="s">
        <v>1280</v>
      </c>
      <c r="I203" t="s">
        <v>90</v>
      </c>
      <c r="J203" t="s">
        <v>90</v>
      </c>
      <c r="K203">
        <v>202.59174264999999</v>
      </c>
      <c r="L203">
        <v>5.7821902300000003</v>
      </c>
      <c r="M203">
        <v>5.7454840000000003</v>
      </c>
      <c r="N203">
        <v>7.4444753700000001</v>
      </c>
      <c r="O203">
        <v>6.1710504400000001</v>
      </c>
      <c r="P203">
        <v>0</v>
      </c>
      <c r="Q203"/>
      <c r="R203">
        <v>0</v>
      </c>
      <c r="S203" t="s">
        <v>30</v>
      </c>
      <c r="T203">
        <v>202.59174264999999</v>
      </c>
      <c r="U203" t="s">
        <v>2819</v>
      </c>
      <c r="V203" t="s">
        <v>1278</v>
      </c>
      <c r="W203" s="114" t="str">
        <f t="shared" si="9"/>
        <v>ETF</v>
      </c>
      <c r="X203" s="114" t="str">
        <f t="shared" si="10"/>
        <v>Soberanos</v>
      </c>
    </row>
    <row r="204" spans="1:24" hidden="1" x14ac:dyDescent="0.25">
      <c r="A204" s="114" t="str">
        <f t="shared" si="11"/>
        <v>7065</v>
      </c>
      <c r="B204" t="s">
        <v>1464</v>
      </c>
      <c r="C204" t="s">
        <v>1465</v>
      </c>
      <c r="D204" t="s">
        <v>1466</v>
      </c>
      <c r="E204" t="s">
        <v>586</v>
      </c>
      <c r="F204" t="s">
        <v>1056</v>
      </c>
      <c r="G204" t="s">
        <v>1071</v>
      </c>
      <c r="H204" t="s">
        <v>6169</v>
      </c>
      <c r="I204" t="s">
        <v>90</v>
      </c>
      <c r="J204" t="s">
        <v>90</v>
      </c>
      <c r="K204">
        <v>86.381042500000007</v>
      </c>
      <c r="L204">
        <v>5.9555677200000003</v>
      </c>
      <c r="M204">
        <v>2.7611955199999998</v>
      </c>
      <c r="N204">
        <v>5.3176241199999996</v>
      </c>
      <c r="O204">
        <v>6.8439842500000001</v>
      </c>
      <c r="P204">
        <v>13.433526867053731</v>
      </c>
      <c r="Q204">
        <v>273.13563642000003</v>
      </c>
      <c r="R204">
        <v>68.746137492274983</v>
      </c>
      <c r="S204" t="s">
        <v>30</v>
      </c>
      <c r="T204">
        <v>86.381042500000007</v>
      </c>
      <c r="U204" t="s">
        <v>2819</v>
      </c>
      <c r="V204" t="s">
        <v>1059</v>
      </c>
      <c r="W204" s="114" t="str">
        <f t="shared" si="9"/>
        <v>ETF</v>
      </c>
      <c r="X204" s="114" t="str">
        <f t="shared" si="10"/>
        <v>Otros ETFs</v>
      </c>
    </row>
    <row r="205" spans="1:24" hidden="1" x14ac:dyDescent="0.25">
      <c r="A205" s="114" t="str">
        <f t="shared" si="11"/>
        <v>7512</v>
      </c>
      <c r="B205" t="s">
        <v>1467</v>
      </c>
      <c r="C205" t="s">
        <v>682</v>
      </c>
      <c r="D205" t="s">
        <v>681</v>
      </c>
      <c r="E205" t="s">
        <v>586</v>
      </c>
      <c r="F205" t="s">
        <v>1056</v>
      </c>
      <c r="G205" t="s">
        <v>1290</v>
      </c>
      <c r="H205" t="s">
        <v>6153</v>
      </c>
      <c r="I205" t="s">
        <v>90</v>
      </c>
      <c r="J205" t="s">
        <v>90</v>
      </c>
      <c r="K205">
        <v>19.418242490000001</v>
      </c>
      <c r="L205">
        <v>4.9318447499999998</v>
      </c>
      <c r="M205">
        <v>5.21473985</v>
      </c>
      <c r="N205">
        <v>4.7116200499999996</v>
      </c>
      <c r="O205">
        <v>4.3227719200000001</v>
      </c>
      <c r="P205">
        <v>18.55842054633705</v>
      </c>
      <c r="Q205">
        <v>75.036540270000003</v>
      </c>
      <c r="R205">
        <v>1.5886332774023491</v>
      </c>
      <c r="S205" t="s">
        <v>1063</v>
      </c>
      <c r="T205">
        <v>19.418242490000001</v>
      </c>
      <c r="U205" t="s">
        <v>2819</v>
      </c>
      <c r="V205" t="s">
        <v>1059</v>
      </c>
      <c r="W205" s="114" t="str">
        <f t="shared" si="9"/>
        <v>ETF</v>
      </c>
      <c r="X205" s="114" t="str">
        <f t="shared" si="10"/>
        <v>Otros ETFs</v>
      </c>
    </row>
    <row r="206" spans="1:24" hidden="1" x14ac:dyDescent="0.25">
      <c r="A206" s="114" t="str">
        <f t="shared" si="11"/>
        <v>7287</v>
      </c>
      <c r="B206" t="s">
        <v>1468</v>
      </c>
      <c r="C206" t="s">
        <v>1469</v>
      </c>
      <c r="D206" t="s">
        <v>1470</v>
      </c>
      <c r="E206" t="s">
        <v>586</v>
      </c>
      <c r="F206" t="s">
        <v>1056</v>
      </c>
      <c r="G206" t="s">
        <v>1163</v>
      </c>
      <c r="H206" t="s">
        <v>1164</v>
      </c>
      <c r="I206" t="s">
        <v>90</v>
      </c>
      <c r="J206" t="s">
        <v>90</v>
      </c>
      <c r="K206">
        <v>52.821705090000002</v>
      </c>
      <c r="L206">
        <v>7.4264516699999996</v>
      </c>
      <c r="M206">
        <v>6.2193171899999999</v>
      </c>
      <c r="N206">
        <v>5.1544194499999998</v>
      </c>
      <c r="O206">
        <v>6.3821722400000001</v>
      </c>
      <c r="P206">
        <v>27.961486515923841</v>
      </c>
      <c r="Q206">
        <v>81.199456850000004</v>
      </c>
      <c r="R206">
        <v>38.730528392010548</v>
      </c>
      <c r="S206" t="s">
        <v>1073</v>
      </c>
      <c r="T206">
        <v>52.821705090000002</v>
      </c>
      <c r="U206" t="s">
        <v>2819</v>
      </c>
      <c r="V206" t="s">
        <v>1059</v>
      </c>
      <c r="W206" s="114" t="str">
        <f t="shared" si="9"/>
        <v>ETF</v>
      </c>
      <c r="X206" s="114" t="str">
        <f t="shared" si="10"/>
        <v>Otros ETFs</v>
      </c>
    </row>
    <row r="207" spans="1:24" hidden="1" x14ac:dyDescent="0.25">
      <c r="A207" s="114" t="str">
        <f t="shared" si="11"/>
        <v>7111</v>
      </c>
      <c r="B207" t="s">
        <v>1471</v>
      </c>
      <c r="C207" t="s">
        <v>1472</v>
      </c>
      <c r="D207" t="s">
        <v>1473</v>
      </c>
      <c r="E207" t="s">
        <v>586</v>
      </c>
      <c r="F207" t="s">
        <v>1056</v>
      </c>
      <c r="G207" t="s">
        <v>1163</v>
      </c>
      <c r="H207" t="s">
        <v>1159</v>
      </c>
      <c r="I207" t="s">
        <v>90</v>
      </c>
      <c r="J207" t="s">
        <v>90</v>
      </c>
      <c r="K207">
        <v>0.47921637</v>
      </c>
      <c r="L207">
        <v>8.4304829600000009</v>
      </c>
      <c r="M207">
        <v>8.54256934</v>
      </c>
      <c r="N207">
        <v>5.4755984800000004</v>
      </c>
      <c r="O207">
        <v>6.5860058800000001</v>
      </c>
      <c r="P207">
        <v>17.444534889069779</v>
      </c>
      <c r="Q207">
        <v>1.58325571</v>
      </c>
      <c r="R207">
        <v>71.069842139684283</v>
      </c>
      <c r="S207" t="s">
        <v>1073</v>
      </c>
      <c r="T207">
        <v>0.47921637</v>
      </c>
      <c r="U207" t="s">
        <v>2819</v>
      </c>
      <c r="V207" t="s">
        <v>1059</v>
      </c>
      <c r="W207" s="114" t="str">
        <f t="shared" si="9"/>
        <v>ETF</v>
      </c>
      <c r="X207" s="114" t="str">
        <f t="shared" si="10"/>
        <v>Otros ETFs</v>
      </c>
    </row>
    <row r="208" spans="1:24" hidden="1" x14ac:dyDescent="0.25">
      <c r="A208" s="114" t="str">
        <f t="shared" si="11"/>
        <v>7111</v>
      </c>
      <c r="B208" t="s">
        <v>1471</v>
      </c>
      <c r="C208" t="s">
        <v>1472</v>
      </c>
      <c r="D208" t="s">
        <v>1474</v>
      </c>
      <c r="E208" t="s">
        <v>586</v>
      </c>
      <c r="F208" t="s">
        <v>1056</v>
      </c>
      <c r="G208" t="s">
        <v>1163</v>
      </c>
      <c r="H208" t="s">
        <v>1159</v>
      </c>
      <c r="I208" t="s">
        <v>90</v>
      </c>
      <c r="J208" t="s">
        <v>90</v>
      </c>
      <c r="K208">
        <v>0.47921637</v>
      </c>
      <c r="L208">
        <v>8.4304829600000009</v>
      </c>
      <c r="M208">
        <v>8.54256934</v>
      </c>
      <c r="N208">
        <v>5.4755984800000004</v>
      </c>
      <c r="O208">
        <v>6.5860058800000001</v>
      </c>
      <c r="P208">
        <v>17.444534889069779</v>
      </c>
      <c r="Q208">
        <v>1.58325571</v>
      </c>
      <c r="R208">
        <v>71.069842139684283</v>
      </c>
      <c r="S208" t="s">
        <v>1073</v>
      </c>
      <c r="T208">
        <v>0.47921637</v>
      </c>
      <c r="U208" t="s">
        <v>2819</v>
      </c>
      <c r="V208" t="s">
        <v>1059</v>
      </c>
      <c r="W208" s="114" t="str">
        <f t="shared" si="9"/>
        <v>ETF</v>
      </c>
      <c r="X208" s="114" t="str">
        <f t="shared" si="10"/>
        <v>Otros ETFs</v>
      </c>
    </row>
    <row r="209" spans="1:24" hidden="1" x14ac:dyDescent="0.25">
      <c r="A209" s="114" t="str">
        <f t="shared" si="11"/>
        <v>7528</v>
      </c>
      <c r="B209" t="s">
        <v>1475</v>
      </c>
      <c r="C209" t="s">
        <v>1476</v>
      </c>
      <c r="D209" t="s">
        <v>1477</v>
      </c>
      <c r="E209" t="s">
        <v>586</v>
      </c>
      <c r="F209" t="s">
        <v>1056</v>
      </c>
      <c r="G209" t="s">
        <v>1071</v>
      </c>
      <c r="H209" t="s">
        <v>1189</v>
      </c>
      <c r="I209" t="s">
        <v>90</v>
      </c>
      <c r="J209" t="s">
        <v>90</v>
      </c>
      <c r="K209">
        <v>120.63185874</v>
      </c>
      <c r="L209">
        <v>5.7852377400000004</v>
      </c>
      <c r="M209">
        <v>3.3550938100000001</v>
      </c>
      <c r="N209">
        <v>4.4729610299999996</v>
      </c>
      <c r="O209">
        <v>6.2649628699999997</v>
      </c>
      <c r="P209">
        <v>31.723389681361152</v>
      </c>
      <c r="Q209">
        <v>300.29198102999999</v>
      </c>
      <c r="R209">
        <v>42.676206332778349</v>
      </c>
      <c r="S209" t="s">
        <v>30</v>
      </c>
      <c r="T209">
        <v>120.63185874</v>
      </c>
      <c r="U209" t="s">
        <v>2819</v>
      </c>
      <c r="V209" t="s">
        <v>1059</v>
      </c>
      <c r="W209" s="114" t="str">
        <f t="shared" si="9"/>
        <v>ETF</v>
      </c>
      <c r="X209" s="114" t="str">
        <f t="shared" si="10"/>
        <v>Otros ETFs</v>
      </c>
    </row>
    <row r="210" spans="1:24" hidden="1" x14ac:dyDescent="0.25">
      <c r="A210" s="114" t="str">
        <f t="shared" si="11"/>
        <v>7528</v>
      </c>
      <c r="B210" t="s">
        <v>6196</v>
      </c>
      <c r="C210" t="s">
        <v>6197</v>
      </c>
      <c r="D210" t="s">
        <v>6198</v>
      </c>
      <c r="E210" t="s">
        <v>586</v>
      </c>
      <c r="F210" t="s">
        <v>1056</v>
      </c>
      <c r="G210" t="s">
        <v>1071</v>
      </c>
      <c r="H210" t="s">
        <v>6169</v>
      </c>
      <c r="I210" t="s">
        <v>90</v>
      </c>
      <c r="J210" t="s">
        <v>90</v>
      </c>
      <c r="K210">
        <v>66.174081770000001</v>
      </c>
      <c r="L210">
        <v>6.3252021799999998</v>
      </c>
      <c r="M210">
        <v>3.1295866999999999</v>
      </c>
      <c r="N210">
        <v>5.5326272999999997</v>
      </c>
      <c r="O210">
        <v>6.4299304499999996</v>
      </c>
      <c r="P210">
        <v>12.591018997589959</v>
      </c>
      <c r="Q210">
        <v>179.04807312</v>
      </c>
      <c r="R210">
        <v>46.917661293670832</v>
      </c>
      <c r="S210" t="s">
        <v>30</v>
      </c>
      <c r="T210">
        <v>66.174081770000001</v>
      </c>
      <c r="U210" t="s">
        <v>2819</v>
      </c>
      <c r="V210" t="s">
        <v>1059</v>
      </c>
      <c r="W210" s="114" t="str">
        <f t="shared" si="9"/>
        <v>ETF</v>
      </c>
      <c r="X210" s="114" t="str">
        <f t="shared" si="10"/>
        <v>Otros ETFs</v>
      </c>
    </row>
    <row r="211" spans="1:24" hidden="1" x14ac:dyDescent="0.25">
      <c r="A211" s="114" t="str">
        <f t="shared" si="11"/>
        <v>7111</v>
      </c>
      <c r="B211" t="s">
        <v>1478</v>
      </c>
      <c r="C211" t="s">
        <v>1479</v>
      </c>
      <c r="D211" t="s">
        <v>1480</v>
      </c>
      <c r="E211" t="s">
        <v>586</v>
      </c>
      <c r="F211" t="s">
        <v>1056</v>
      </c>
      <c r="G211" t="s">
        <v>1481</v>
      </c>
      <c r="H211" t="s">
        <v>1482</v>
      </c>
      <c r="I211" t="s">
        <v>90</v>
      </c>
      <c r="J211" t="s">
        <v>90</v>
      </c>
      <c r="K211">
        <v>452.9662917</v>
      </c>
      <c r="L211">
        <v>6.4714832400000004</v>
      </c>
      <c r="M211">
        <v>6.0386382200000002</v>
      </c>
      <c r="N211">
        <v>4.8747797999999998</v>
      </c>
      <c r="O211">
        <v>5.55451359</v>
      </c>
      <c r="P211">
        <v>2.1363042726085451</v>
      </c>
      <c r="Q211">
        <v>187.02300410000001</v>
      </c>
      <c r="R211">
        <v>26.233152466304929</v>
      </c>
      <c r="S211" t="s">
        <v>30</v>
      </c>
      <c r="T211">
        <v>452.9662917</v>
      </c>
      <c r="U211" t="s">
        <v>2819</v>
      </c>
      <c r="V211" t="s">
        <v>1059</v>
      </c>
      <c r="W211" s="114" t="str">
        <f t="shared" si="9"/>
        <v>ETF</v>
      </c>
      <c r="X211" s="114" t="str">
        <f t="shared" si="10"/>
        <v>Otros ETFs</v>
      </c>
    </row>
    <row r="212" spans="1:24" hidden="1" x14ac:dyDescent="0.25">
      <c r="A212" s="114" t="str">
        <f t="shared" si="11"/>
        <v>7111</v>
      </c>
      <c r="B212" t="s">
        <v>1483</v>
      </c>
      <c r="C212" t="s">
        <v>936</v>
      </c>
      <c r="D212" t="s">
        <v>935</v>
      </c>
      <c r="E212" t="s">
        <v>586</v>
      </c>
      <c r="F212" t="s">
        <v>1056</v>
      </c>
      <c r="G212" t="s">
        <v>1174</v>
      </c>
      <c r="H212" t="s">
        <v>1175</v>
      </c>
      <c r="I212" t="s">
        <v>90</v>
      </c>
      <c r="J212" t="s">
        <v>90</v>
      </c>
      <c r="K212">
        <v>147.0099031</v>
      </c>
      <c r="L212">
        <v>4.8124450999999997</v>
      </c>
      <c r="M212">
        <v>5.1246450399999999</v>
      </c>
      <c r="N212">
        <v>4.5369975399999998</v>
      </c>
      <c r="O212">
        <v>4.80193066</v>
      </c>
      <c r="P212">
        <v>3.3630870981376959</v>
      </c>
      <c r="Q212">
        <v>206.08885218</v>
      </c>
      <c r="R212">
        <v>3.1507496456898481</v>
      </c>
      <c r="S212" t="s">
        <v>1063</v>
      </c>
      <c r="T212">
        <v>147.0099031</v>
      </c>
      <c r="U212" t="s">
        <v>2819</v>
      </c>
      <c r="V212" t="s">
        <v>1059</v>
      </c>
      <c r="W212" s="114" t="str">
        <f t="shared" si="9"/>
        <v>ETF</v>
      </c>
      <c r="X212" s="114" t="str">
        <f t="shared" si="10"/>
        <v>Otros ETFs</v>
      </c>
    </row>
    <row r="213" spans="1:24" hidden="1" x14ac:dyDescent="0.25">
      <c r="A213" s="114" t="str">
        <f t="shared" si="11"/>
        <v>7111</v>
      </c>
      <c r="B213" t="s">
        <v>1483</v>
      </c>
      <c r="C213" t="s">
        <v>936</v>
      </c>
      <c r="D213" t="s">
        <v>1484</v>
      </c>
      <c r="E213" t="s">
        <v>586</v>
      </c>
      <c r="F213" t="s">
        <v>1056</v>
      </c>
      <c r="G213" t="s">
        <v>1174</v>
      </c>
      <c r="H213" t="s">
        <v>1175</v>
      </c>
      <c r="I213" t="s">
        <v>90</v>
      </c>
      <c r="J213" t="s">
        <v>90</v>
      </c>
      <c r="K213">
        <v>147.0099031</v>
      </c>
      <c r="L213">
        <v>4.8124450999999997</v>
      </c>
      <c r="M213">
        <v>5.1246450399999999</v>
      </c>
      <c r="N213">
        <v>4.5369975399999998</v>
      </c>
      <c r="O213">
        <v>4.80193066</v>
      </c>
      <c r="P213">
        <v>3.3630870981376959</v>
      </c>
      <c r="Q213">
        <v>206.08885218</v>
      </c>
      <c r="R213">
        <v>3.1507496456898481</v>
      </c>
      <c r="S213" t="s">
        <v>1063</v>
      </c>
      <c r="T213">
        <v>147.0099031</v>
      </c>
      <c r="U213" t="s">
        <v>2819</v>
      </c>
      <c r="V213" t="s">
        <v>1059</v>
      </c>
      <c r="W213" s="114" t="str">
        <f t="shared" si="9"/>
        <v>ETF</v>
      </c>
      <c r="X213" s="114" t="str">
        <f t="shared" si="10"/>
        <v>Otros ETFs</v>
      </c>
    </row>
    <row r="214" spans="1:24" hidden="1" x14ac:dyDescent="0.25">
      <c r="A214" s="114" t="str">
        <f t="shared" si="11"/>
        <v>5074</v>
      </c>
      <c r="B214" t="s">
        <v>2583</v>
      </c>
      <c r="C214" t="s">
        <v>847</v>
      </c>
      <c r="D214" t="s">
        <v>3078</v>
      </c>
      <c r="E214" t="s">
        <v>191</v>
      </c>
      <c r="F214" t="s">
        <v>4804</v>
      </c>
      <c r="G214" t="s">
        <v>1384</v>
      </c>
      <c r="H214" t="s">
        <v>1399</v>
      </c>
      <c r="I214">
        <v>16869.57</v>
      </c>
      <c r="J214">
        <v>289723</v>
      </c>
      <c r="K214">
        <v>17.170000000000002</v>
      </c>
      <c r="L214">
        <v>7.1</v>
      </c>
      <c r="M214">
        <v>5.5</v>
      </c>
      <c r="N214">
        <v>5.7</v>
      </c>
      <c r="O214">
        <v>5.6</v>
      </c>
      <c r="P214">
        <v>0</v>
      </c>
      <c r="Q214"/>
      <c r="R214">
        <v>42</v>
      </c>
      <c r="S214" t="s">
        <v>30</v>
      </c>
      <c r="T214">
        <v>17.170000000000002</v>
      </c>
      <c r="U214" t="s">
        <v>2819</v>
      </c>
      <c r="V214" t="s">
        <v>1062</v>
      </c>
      <c r="W214" s="114" t="str">
        <f t="shared" si="9"/>
        <v>Portafolio</v>
      </c>
      <c r="X214" s="114" t="str">
        <f t="shared" si="10"/>
        <v>Portafolio</v>
      </c>
    </row>
    <row r="215" spans="1:24" hidden="1" x14ac:dyDescent="0.25">
      <c r="A215" s="114" t="str">
        <f t="shared" si="11"/>
        <v>5074</v>
      </c>
      <c r="B215" t="s">
        <v>2583</v>
      </c>
      <c r="C215" t="s">
        <v>2591</v>
      </c>
      <c r="D215" t="s">
        <v>3081</v>
      </c>
      <c r="E215" t="s">
        <v>191</v>
      </c>
      <c r="F215" t="s">
        <v>4804</v>
      </c>
      <c r="G215" t="s">
        <v>1384</v>
      </c>
      <c r="H215" t="s">
        <v>1399</v>
      </c>
      <c r="I215">
        <v>16869.57</v>
      </c>
      <c r="J215">
        <v>289723</v>
      </c>
      <c r="K215">
        <v>17.170000000000002</v>
      </c>
      <c r="L215">
        <v>7.1</v>
      </c>
      <c r="M215">
        <v>5.5</v>
      </c>
      <c r="N215">
        <v>5.7</v>
      </c>
      <c r="O215">
        <v>5.6</v>
      </c>
      <c r="P215">
        <v>0</v>
      </c>
      <c r="Q215"/>
      <c r="R215">
        <v>42</v>
      </c>
      <c r="S215" t="s">
        <v>30</v>
      </c>
      <c r="T215">
        <v>17.170000000000002</v>
      </c>
      <c r="U215" t="s">
        <v>2819</v>
      </c>
      <c r="V215" t="s">
        <v>1062</v>
      </c>
      <c r="W215" s="114" t="str">
        <f t="shared" si="9"/>
        <v>Portafolio</v>
      </c>
      <c r="X215" s="114" t="str">
        <f t="shared" si="10"/>
        <v>Portafolio</v>
      </c>
    </row>
    <row r="216" spans="1:24" hidden="1" x14ac:dyDescent="0.25">
      <c r="A216" s="114" t="str">
        <f t="shared" si="11"/>
        <v>7111</v>
      </c>
      <c r="B216" t="s">
        <v>1485</v>
      </c>
      <c r="C216" t="s">
        <v>1486</v>
      </c>
      <c r="D216" t="s">
        <v>1487</v>
      </c>
      <c r="E216" t="s">
        <v>586</v>
      </c>
      <c r="F216" t="s">
        <v>1056</v>
      </c>
      <c r="G216" t="s">
        <v>1488</v>
      </c>
      <c r="H216" t="s">
        <v>1489</v>
      </c>
      <c r="I216" t="s">
        <v>90</v>
      </c>
      <c r="J216" t="s">
        <v>90</v>
      </c>
      <c r="K216">
        <v>38.877391629999998</v>
      </c>
      <c r="L216">
        <v>7.2535908600000001</v>
      </c>
      <c r="M216">
        <v>7.4748389099999999</v>
      </c>
      <c r="N216">
        <v>5.0045342699999997</v>
      </c>
      <c r="O216">
        <v>7.1518025999999999</v>
      </c>
      <c r="P216">
        <v>0</v>
      </c>
      <c r="Q216">
        <v>58.422098929999997</v>
      </c>
      <c r="R216">
        <v>81.218555730266772</v>
      </c>
      <c r="S216" t="s">
        <v>1073</v>
      </c>
      <c r="T216">
        <v>38.877391629999998</v>
      </c>
      <c r="U216" t="s">
        <v>2819</v>
      </c>
      <c r="V216" t="s">
        <v>1059</v>
      </c>
      <c r="W216" s="114" t="str">
        <f t="shared" si="9"/>
        <v>ETF</v>
      </c>
      <c r="X216" s="114" t="str">
        <f t="shared" si="10"/>
        <v>Otros ETFs</v>
      </c>
    </row>
    <row r="217" spans="1:24" hidden="1" x14ac:dyDescent="0.25">
      <c r="A217" s="114" t="str">
        <f t="shared" si="11"/>
        <v>7065</v>
      </c>
      <c r="B217" t="s">
        <v>1493</v>
      </c>
      <c r="C217" t="s">
        <v>724</v>
      </c>
      <c r="D217" t="s">
        <v>723</v>
      </c>
      <c r="E217" t="s">
        <v>586</v>
      </c>
      <c r="F217" t="s">
        <v>1056</v>
      </c>
      <c r="G217" t="s">
        <v>1136</v>
      </c>
      <c r="H217" t="s">
        <v>1494</v>
      </c>
      <c r="I217" t="s">
        <v>90</v>
      </c>
      <c r="J217" t="s">
        <v>90</v>
      </c>
      <c r="K217">
        <v>10.65572682</v>
      </c>
      <c r="L217">
        <v>4.7282559800000001</v>
      </c>
      <c r="M217">
        <v>5.1546918799999997</v>
      </c>
      <c r="N217">
        <v>6.2094947999999999</v>
      </c>
      <c r="O217">
        <v>5.5833167599999998</v>
      </c>
      <c r="P217">
        <v>0</v>
      </c>
      <c r="Q217">
        <v>27.03889362</v>
      </c>
      <c r="R217">
        <v>0</v>
      </c>
      <c r="S217" t="s">
        <v>1063</v>
      </c>
      <c r="T217">
        <v>10.65572682</v>
      </c>
      <c r="U217" t="s">
        <v>2819</v>
      </c>
      <c r="V217" t="s">
        <v>1059</v>
      </c>
      <c r="W217" s="114" t="str">
        <f t="shared" si="9"/>
        <v>ETF</v>
      </c>
      <c r="X217" s="114" t="str">
        <f t="shared" si="10"/>
        <v>Otros ETFs</v>
      </c>
    </row>
    <row r="218" spans="1:24" hidden="1" x14ac:dyDescent="0.25">
      <c r="A218" s="114" t="str">
        <f t="shared" si="11"/>
        <v>7528</v>
      </c>
      <c r="B218" t="s">
        <v>6199</v>
      </c>
      <c r="C218" t="s">
        <v>6200</v>
      </c>
      <c r="D218" t="s">
        <v>6201</v>
      </c>
      <c r="E218" t="s">
        <v>586</v>
      </c>
      <c r="F218" t="s">
        <v>1056</v>
      </c>
      <c r="G218" t="s">
        <v>1071</v>
      </c>
      <c r="H218" t="s">
        <v>1328</v>
      </c>
      <c r="I218" t="s">
        <v>90</v>
      </c>
      <c r="J218" t="s">
        <v>90</v>
      </c>
      <c r="K218">
        <v>68.750798759999995</v>
      </c>
      <c r="L218">
        <v>6.3279996900000004</v>
      </c>
      <c r="M218">
        <v>3.49368773</v>
      </c>
      <c r="N218">
        <v>5.12933094</v>
      </c>
      <c r="O218">
        <v>6.3466374500000002</v>
      </c>
      <c r="P218">
        <v>4.3703434576921572</v>
      </c>
      <c r="Q218">
        <v>572.98014535000004</v>
      </c>
      <c r="R218">
        <v>47.303651616016268</v>
      </c>
      <c r="S218" t="s">
        <v>30</v>
      </c>
      <c r="T218">
        <v>68.750798759999995</v>
      </c>
      <c r="U218" t="s">
        <v>2819</v>
      </c>
      <c r="V218" t="s">
        <v>1059</v>
      </c>
      <c r="W218" s="114" t="str">
        <f t="shared" si="9"/>
        <v>ETF</v>
      </c>
      <c r="X218" s="114" t="str">
        <f t="shared" si="10"/>
        <v>Otros ETFs</v>
      </c>
    </row>
    <row r="219" spans="1:24" hidden="1" x14ac:dyDescent="0.25">
      <c r="A219" s="114" t="str">
        <f t="shared" si="11"/>
        <v>7017</v>
      </c>
      <c r="B219" t="s">
        <v>1495</v>
      </c>
      <c r="C219" t="s">
        <v>726</v>
      </c>
      <c r="D219" t="s">
        <v>725</v>
      </c>
      <c r="E219" t="s">
        <v>586</v>
      </c>
      <c r="F219" t="s">
        <v>1056</v>
      </c>
      <c r="G219" t="s">
        <v>1057</v>
      </c>
      <c r="H219" t="s">
        <v>1058</v>
      </c>
      <c r="I219" t="s">
        <v>90</v>
      </c>
      <c r="J219" t="s">
        <v>90</v>
      </c>
      <c r="K219">
        <v>22.768172870000001</v>
      </c>
      <c r="L219">
        <v>6.2639020199999997</v>
      </c>
      <c r="M219">
        <v>6.0440261599999996</v>
      </c>
      <c r="N219">
        <v>5.0597400800000001</v>
      </c>
      <c r="O219">
        <v>5.5151613399999997</v>
      </c>
      <c r="P219">
        <v>34.920834832673627</v>
      </c>
      <c r="Q219">
        <v>87.375421549999999</v>
      </c>
      <c r="R219">
        <v>18.387509495821838</v>
      </c>
      <c r="S219" t="s">
        <v>30</v>
      </c>
      <c r="T219">
        <v>22.768172870000001</v>
      </c>
      <c r="U219" t="s">
        <v>2819</v>
      </c>
      <c r="V219" t="s">
        <v>1059</v>
      </c>
      <c r="W219" s="114" t="str">
        <f t="shared" si="9"/>
        <v>ETF</v>
      </c>
      <c r="X219" s="114" t="str">
        <f t="shared" si="10"/>
        <v>Otros ETFs</v>
      </c>
    </row>
    <row r="220" spans="1:24" hidden="1" x14ac:dyDescent="0.25">
      <c r="A220" s="114" t="str">
        <f t="shared" si="11"/>
        <v>7209</v>
      </c>
      <c r="B220" t="s">
        <v>1498</v>
      </c>
      <c r="C220" t="s">
        <v>1499</v>
      </c>
      <c r="D220" t="s">
        <v>1500</v>
      </c>
      <c r="E220" t="s">
        <v>586</v>
      </c>
      <c r="F220" t="s">
        <v>1056</v>
      </c>
      <c r="G220" t="s">
        <v>1501</v>
      </c>
      <c r="H220" t="s">
        <v>1502</v>
      </c>
      <c r="I220" t="s">
        <v>90</v>
      </c>
      <c r="J220" t="s">
        <v>90</v>
      </c>
      <c r="K220">
        <v>37.83332308</v>
      </c>
      <c r="L220">
        <v>6.6339382100000002</v>
      </c>
      <c r="M220">
        <v>5.7187652199999999</v>
      </c>
      <c r="N220">
        <v>4.9319010399999996</v>
      </c>
      <c r="O220">
        <v>5.3049458400000002</v>
      </c>
      <c r="P220">
        <v>10.844029405544029</v>
      </c>
      <c r="Q220">
        <v>172.66968718000001</v>
      </c>
      <c r="R220">
        <v>32.827338695833213</v>
      </c>
      <c r="S220" t="s">
        <v>30</v>
      </c>
      <c r="T220">
        <v>37.83332308</v>
      </c>
      <c r="U220" t="s">
        <v>2819</v>
      </c>
      <c r="V220" t="s">
        <v>1059</v>
      </c>
      <c r="W220" s="114" t="str">
        <f t="shared" si="9"/>
        <v>ETF</v>
      </c>
      <c r="X220" s="114" t="str">
        <f t="shared" si="10"/>
        <v>Otros ETFs</v>
      </c>
    </row>
    <row r="221" spans="1:24" hidden="1" x14ac:dyDescent="0.25">
      <c r="A221" s="114" t="str">
        <f t="shared" si="11"/>
        <v>7209</v>
      </c>
      <c r="B221" t="s">
        <v>1503</v>
      </c>
      <c r="C221" t="s">
        <v>1504</v>
      </c>
      <c r="D221" t="s">
        <v>1505</v>
      </c>
      <c r="E221" t="s">
        <v>586</v>
      </c>
      <c r="F221" t="s">
        <v>1056</v>
      </c>
      <c r="G221" t="s">
        <v>1375</v>
      </c>
      <c r="H221" t="s">
        <v>1376</v>
      </c>
      <c r="I221" t="s">
        <v>90</v>
      </c>
      <c r="J221" t="s">
        <v>90</v>
      </c>
      <c r="K221">
        <v>24.671751140000001</v>
      </c>
      <c r="L221">
        <v>7.5890648799999996</v>
      </c>
      <c r="M221">
        <v>5.9343004099999996</v>
      </c>
      <c r="N221">
        <v>5.4485096899999998</v>
      </c>
      <c r="O221">
        <v>6.2909691299999997</v>
      </c>
      <c r="P221">
        <v>6.0538172603339273</v>
      </c>
      <c r="Q221">
        <v>41.267517400000003</v>
      </c>
      <c r="R221">
        <v>35.890031246346517</v>
      </c>
      <c r="S221" t="s">
        <v>1073</v>
      </c>
      <c r="T221">
        <v>24.671751140000001</v>
      </c>
      <c r="U221" t="s">
        <v>2819</v>
      </c>
      <c r="V221" t="s">
        <v>1059</v>
      </c>
      <c r="W221" s="114" t="str">
        <f t="shared" si="9"/>
        <v>ETF</v>
      </c>
      <c r="X221" s="114" t="str">
        <f t="shared" si="10"/>
        <v>Otros ETFs</v>
      </c>
    </row>
    <row r="222" spans="1:24" hidden="1" x14ac:dyDescent="0.25">
      <c r="A222" s="114" t="str">
        <f t="shared" si="11"/>
        <v>7209</v>
      </c>
      <c r="B222" t="s">
        <v>1506</v>
      </c>
      <c r="C222" t="s">
        <v>1507</v>
      </c>
      <c r="D222" t="s">
        <v>1508</v>
      </c>
      <c r="E222" t="s">
        <v>586</v>
      </c>
      <c r="F222" t="s">
        <v>1056</v>
      </c>
      <c r="G222" t="s">
        <v>1509</v>
      </c>
      <c r="H222" t="s">
        <v>1510</v>
      </c>
      <c r="I222" t="s">
        <v>90</v>
      </c>
      <c r="J222" t="s">
        <v>90</v>
      </c>
      <c r="K222">
        <v>17.026601639999999</v>
      </c>
      <c r="L222">
        <v>7.0109168899999998</v>
      </c>
      <c r="M222">
        <v>6.2093213299999999</v>
      </c>
      <c r="N222">
        <v>5.5348468500000001</v>
      </c>
      <c r="O222">
        <v>5.58578069</v>
      </c>
      <c r="P222">
        <v>21.821388771169811</v>
      </c>
      <c r="Q222">
        <v>57.615929129999998</v>
      </c>
      <c r="R222">
        <v>22.31688797852804</v>
      </c>
      <c r="S222" t="s">
        <v>30</v>
      </c>
      <c r="T222">
        <v>17.026601639999999</v>
      </c>
      <c r="U222" t="s">
        <v>2819</v>
      </c>
      <c r="V222" t="s">
        <v>1059</v>
      </c>
      <c r="W222" s="114" t="str">
        <f t="shared" si="9"/>
        <v>ETF</v>
      </c>
      <c r="X222" s="114" t="str">
        <f t="shared" si="10"/>
        <v>Otros ETFs</v>
      </c>
    </row>
    <row r="223" spans="1:24" hidden="1" x14ac:dyDescent="0.25">
      <c r="A223" s="114" t="str">
        <f t="shared" si="11"/>
        <v>5299</v>
      </c>
      <c r="B223" t="s">
        <v>2622</v>
      </c>
      <c r="C223" t="s">
        <v>2623</v>
      </c>
      <c r="D223" t="s">
        <v>3053</v>
      </c>
      <c r="E223" t="s">
        <v>202</v>
      </c>
      <c r="F223" t="s">
        <v>4800</v>
      </c>
      <c r="G223" t="s">
        <v>1296</v>
      </c>
      <c r="H223" t="s">
        <v>1572</v>
      </c>
      <c r="I223">
        <v>6823.18</v>
      </c>
      <c r="J223">
        <v>6255</v>
      </c>
      <c r="K223">
        <v>0.92</v>
      </c>
      <c r="L223">
        <v>4.9000000000000004</v>
      </c>
      <c r="M223">
        <v>9</v>
      </c>
      <c r="N223">
        <v>4.5</v>
      </c>
      <c r="O223">
        <v>4.2</v>
      </c>
      <c r="P223">
        <v>0</v>
      </c>
      <c r="Q223"/>
      <c r="R223">
        <v>9</v>
      </c>
      <c r="S223" t="s">
        <v>1063</v>
      </c>
      <c r="T223">
        <v>0.92</v>
      </c>
      <c r="U223" t="s">
        <v>2819</v>
      </c>
      <c r="V223" t="s">
        <v>1062</v>
      </c>
      <c r="W223" s="114" t="str">
        <f t="shared" si="9"/>
        <v>Portafolio</v>
      </c>
      <c r="X223" s="114" t="str">
        <f t="shared" si="10"/>
        <v>Portafolio</v>
      </c>
    </row>
    <row r="224" spans="1:24" hidden="1" x14ac:dyDescent="0.25">
      <c r="A224" s="114" t="str">
        <f t="shared" si="11"/>
        <v>7209</v>
      </c>
      <c r="B224" t="s">
        <v>1511</v>
      </c>
      <c r="C224" t="s">
        <v>1512</v>
      </c>
      <c r="D224" t="s">
        <v>1513</v>
      </c>
      <c r="E224" t="s">
        <v>586</v>
      </c>
      <c r="F224" t="s">
        <v>1056</v>
      </c>
      <c r="G224" t="s">
        <v>1265</v>
      </c>
      <c r="H224" t="s">
        <v>1266</v>
      </c>
      <c r="I224" t="s">
        <v>90</v>
      </c>
      <c r="J224" t="s">
        <v>90</v>
      </c>
      <c r="K224">
        <v>17.73665892</v>
      </c>
      <c r="L224">
        <v>6.9489093500000001</v>
      </c>
      <c r="M224">
        <v>6.1314041899999996</v>
      </c>
      <c r="N224">
        <v>5.6867087500000002</v>
      </c>
      <c r="O224">
        <v>5.4685991100000004</v>
      </c>
      <c r="P224">
        <v>21.0791</v>
      </c>
      <c r="Q224">
        <v>63.155287379999997</v>
      </c>
      <c r="R224">
        <v>15.853899999999999</v>
      </c>
      <c r="S224" t="s">
        <v>30</v>
      </c>
      <c r="T224">
        <v>17.73665892</v>
      </c>
      <c r="U224" t="s">
        <v>2819</v>
      </c>
      <c r="V224" t="s">
        <v>1059</v>
      </c>
      <c r="W224" s="114" t="str">
        <f t="shared" si="9"/>
        <v>ETF</v>
      </c>
      <c r="X224" s="114" t="str">
        <f t="shared" si="10"/>
        <v>Otros ETFs</v>
      </c>
    </row>
    <row r="225" spans="1:24" hidden="1" x14ac:dyDescent="0.25">
      <c r="A225" s="114" t="str">
        <f t="shared" si="11"/>
        <v>7209</v>
      </c>
      <c r="B225" t="s">
        <v>1515</v>
      </c>
      <c r="C225" t="s">
        <v>1516</v>
      </c>
      <c r="D225" t="s">
        <v>1517</v>
      </c>
      <c r="E225" t="s">
        <v>586</v>
      </c>
      <c r="F225" t="s">
        <v>1056</v>
      </c>
      <c r="G225" t="s">
        <v>1290</v>
      </c>
      <c r="H225" t="s">
        <v>1291</v>
      </c>
      <c r="I225" t="s">
        <v>90</v>
      </c>
      <c r="J225" t="s">
        <v>90</v>
      </c>
      <c r="K225">
        <v>32.466411800000003</v>
      </c>
      <c r="L225">
        <v>6.4683731199999999</v>
      </c>
      <c r="M225">
        <v>6.2569635899999998</v>
      </c>
      <c r="N225">
        <v>5.3292335800000004</v>
      </c>
      <c r="O225">
        <v>4.9862654900000001</v>
      </c>
      <c r="P225">
        <v>28.754215482506432</v>
      </c>
      <c r="Q225">
        <v>60.886287340000003</v>
      </c>
      <c r="R225">
        <v>9.2654054925671971</v>
      </c>
      <c r="S225" t="s">
        <v>30</v>
      </c>
      <c r="T225">
        <v>32.466411800000003</v>
      </c>
      <c r="U225" t="s">
        <v>2819</v>
      </c>
      <c r="V225" t="s">
        <v>1059</v>
      </c>
      <c r="W225" s="114" t="str">
        <f t="shared" si="9"/>
        <v>ETF</v>
      </c>
      <c r="X225" s="114" t="str">
        <f t="shared" si="10"/>
        <v>Otros ETFs</v>
      </c>
    </row>
    <row r="226" spans="1:24" hidden="1" x14ac:dyDescent="0.25">
      <c r="A226" s="114" t="str">
        <f t="shared" si="11"/>
        <v>7111</v>
      </c>
      <c r="B226" t="s">
        <v>1518</v>
      </c>
      <c r="C226" t="s">
        <v>1519</v>
      </c>
      <c r="D226" t="s">
        <v>1520</v>
      </c>
      <c r="E226" t="s">
        <v>586</v>
      </c>
      <c r="F226" t="s">
        <v>1056</v>
      </c>
      <c r="G226" t="s">
        <v>1057</v>
      </c>
      <c r="H226" t="s">
        <v>1323</v>
      </c>
      <c r="I226" t="s">
        <v>90</v>
      </c>
      <c r="J226" t="s">
        <v>90</v>
      </c>
      <c r="K226">
        <v>202.59174264999999</v>
      </c>
      <c r="L226">
        <v>5.7821902300000003</v>
      </c>
      <c r="M226">
        <v>5.7454840000000003</v>
      </c>
      <c r="N226">
        <v>7.4444753700000001</v>
      </c>
      <c r="O226">
        <v>6.1710504400000001</v>
      </c>
      <c r="P226">
        <v>0</v>
      </c>
      <c r="Q226"/>
      <c r="R226">
        <v>0</v>
      </c>
      <c r="S226" t="s">
        <v>30</v>
      </c>
      <c r="T226">
        <v>202.59174264999999</v>
      </c>
      <c r="U226" t="s">
        <v>2819</v>
      </c>
      <c r="V226" t="s">
        <v>1278</v>
      </c>
      <c r="W226" s="114" t="str">
        <f t="shared" si="9"/>
        <v>ETF</v>
      </c>
      <c r="X226" s="114" t="str">
        <f t="shared" si="10"/>
        <v>Soberanos</v>
      </c>
    </row>
    <row r="227" spans="1:24" hidden="1" x14ac:dyDescent="0.25">
      <c r="A227" s="114" t="str">
        <f t="shared" si="11"/>
        <v>7111</v>
      </c>
      <c r="B227" t="s">
        <v>1521</v>
      </c>
      <c r="C227" t="s">
        <v>611</v>
      </c>
      <c r="D227" t="s">
        <v>610</v>
      </c>
      <c r="E227" t="s">
        <v>586</v>
      </c>
      <c r="F227" t="s">
        <v>1056</v>
      </c>
      <c r="G227" t="s">
        <v>1290</v>
      </c>
      <c r="H227" t="s">
        <v>1291</v>
      </c>
      <c r="I227" t="s">
        <v>90</v>
      </c>
      <c r="J227" t="s">
        <v>90</v>
      </c>
      <c r="K227">
        <v>116.1731892</v>
      </c>
      <c r="L227">
        <v>6.3057712500000003</v>
      </c>
      <c r="M227">
        <v>5.9134108599999999</v>
      </c>
      <c r="N227">
        <v>5.4070119500000002</v>
      </c>
      <c r="O227">
        <v>4.5954347599999998</v>
      </c>
      <c r="P227">
        <v>36.807348550149293</v>
      </c>
      <c r="Q227">
        <v>225.47003071</v>
      </c>
      <c r="R227">
        <v>6.1486909445078863</v>
      </c>
      <c r="S227" t="s">
        <v>30</v>
      </c>
      <c r="T227">
        <v>116.1731892</v>
      </c>
      <c r="U227" t="s">
        <v>2819</v>
      </c>
      <c r="V227" t="s">
        <v>1059</v>
      </c>
      <c r="W227" s="114" t="str">
        <f t="shared" si="9"/>
        <v>ETF</v>
      </c>
      <c r="X227" s="114" t="str">
        <f t="shared" si="10"/>
        <v>Otros ETFs</v>
      </c>
    </row>
    <row r="228" spans="1:24" hidden="1" x14ac:dyDescent="0.25">
      <c r="A228" s="114" t="str">
        <f t="shared" si="11"/>
        <v>7393</v>
      </c>
      <c r="B228" t="s">
        <v>1523</v>
      </c>
      <c r="C228" t="s">
        <v>1524</v>
      </c>
      <c r="D228" t="s">
        <v>1525</v>
      </c>
      <c r="E228" t="s">
        <v>586</v>
      </c>
      <c r="F228" t="s">
        <v>1056</v>
      </c>
      <c r="G228" t="s">
        <v>1057</v>
      </c>
      <c r="H228" t="s">
        <v>1155</v>
      </c>
      <c r="I228" t="s">
        <v>90</v>
      </c>
      <c r="J228" t="s">
        <v>90</v>
      </c>
      <c r="K228">
        <v>5.19138476</v>
      </c>
      <c r="L228">
        <v>6.2593587399999997</v>
      </c>
      <c r="M228">
        <v>8.1286694399999995</v>
      </c>
      <c r="N228">
        <v>5.1367624100000002</v>
      </c>
      <c r="O228">
        <v>6.3378429499999998</v>
      </c>
      <c r="P228">
        <v>10.51054204216817</v>
      </c>
      <c r="Q228">
        <v>19.146544639999998</v>
      </c>
      <c r="R228">
        <v>24.68509874039496</v>
      </c>
      <c r="S228" t="s">
        <v>30</v>
      </c>
      <c r="T228">
        <v>5.19138476</v>
      </c>
      <c r="U228" t="s">
        <v>2819</v>
      </c>
      <c r="V228" t="s">
        <v>1059</v>
      </c>
      <c r="W228" s="114" t="str">
        <f t="shared" si="9"/>
        <v>ETF</v>
      </c>
      <c r="X228" s="114" t="str">
        <f t="shared" si="10"/>
        <v>Otros ETFs</v>
      </c>
    </row>
    <row r="229" spans="1:24" hidden="1" x14ac:dyDescent="0.25">
      <c r="A229" s="114" t="str">
        <f t="shared" si="11"/>
        <v>7379</v>
      </c>
      <c r="B229" t="s">
        <v>1526</v>
      </c>
      <c r="C229" t="s">
        <v>1527</v>
      </c>
      <c r="D229" t="s">
        <v>1528</v>
      </c>
      <c r="E229" t="s">
        <v>586</v>
      </c>
      <c r="F229" t="s">
        <v>1056</v>
      </c>
      <c r="G229" t="s">
        <v>1260</v>
      </c>
      <c r="H229" t="s">
        <v>1261</v>
      </c>
      <c r="I229" t="s">
        <v>90</v>
      </c>
      <c r="J229" t="s">
        <v>90</v>
      </c>
      <c r="K229">
        <v>50.719899560000002</v>
      </c>
      <c r="L229">
        <v>7.7171473400000004</v>
      </c>
      <c r="M229">
        <v>6.2887435099999998</v>
      </c>
      <c r="N229">
        <v>5.3273732899999997</v>
      </c>
      <c r="O229">
        <v>6.6319974200000003</v>
      </c>
      <c r="P229">
        <v>19.289994223756629</v>
      </c>
      <c r="Q229">
        <v>85.035122240000007</v>
      </c>
      <c r="R229">
        <v>53.596666161211367</v>
      </c>
      <c r="S229" t="s">
        <v>1073</v>
      </c>
      <c r="T229">
        <v>50.719899560000002</v>
      </c>
      <c r="U229" t="s">
        <v>2819</v>
      </c>
      <c r="V229" t="s">
        <v>1059</v>
      </c>
      <c r="W229" s="114" t="str">
        <f t="shared" si="9"/>
        <v>ETF</v>
      </c>
      <c r="X229" s="114" t="str">
        <f t="shared" si="10"/>
        <v>Otros ETFs</v>
      </c>
    </row>
    <row r="230" spans="1:24" hidden="1" x14ac:dyDescent="0.25">
      <c r="A230" s="114" t="str">
        <f t="shared" si="11"/>
        <v>7404</v>
      </c>
      <c r="B230" t="s">
        <v>1529</v>
      </c>
      <c r="C230" t="s">
        <v>1530</v>
      </c>
      <c r="D230" t="s">
        <v>1531</v>
      </c>
      <c r="E230" t="s">
        <v>586</v>
      </c>
      <c r="F230" t="s">
        <v>1056</v>
      </c>
      <c r="G230" t="s">
        <v>1136</v>
      </c>
      <c r="H230" t="s">
        <v>6144</v>
      </c>
      <c r="I230" t="s">
        <v>90</v>
      </c>
      <c r="J230" t="s">
        <v>90</v>
      </c>
      <c r="K230">
        <v>486.74856645</v>
      </c>
      <c r="L230">
        <v>4.8474060799999998</v>
      </c>
      <c r="M230">
        <v>4.95898445</v>
      </c>
      <c r="N230">
        <v>4.8469163899999996</v>
      </c>
      <c r="O230">
        <v>4.5374738399999996</v>
      </c>
      <c r="P230">
        <v>13.61737184723348</v>
      </c>
      <c r="Q230">
        <v>662.48786084999995</v>
      </c>
      <c r="R230">
        <v>8.5395518664897683</v>
      </c>
      <c r="S230" t="s">
        <v>1063</v>
      </c>
      <c r="T230">
        <v>486.74856645</v>
      </c>
      <c r="U230" t="s">
        <v>2819</v>
      </c>
      <c r="V230" t="s">
        <v>1059</v>
      </c>
      <c r="W230" s="114" t="str">
        <f t="shared" si="9"/>
        <v>ETF</v>
      </c>
      <c r="X230" s="114" t="str">
        <f t="shared" si="10"/>
        <v>Otros ETFs</v>
      </c>
    </row>
    <row r="231" spans="1:24" hidden="1" x14ac:dyDescent="0.25">
      <c r="A231" s="114" t="str">
        <f t="shared" si="11"/>
        <v>7552</v>
      </c>
      <c r="B231" t="s">
        <v>1534</v>
      </c>
      <c r="C231" t="s">
        <v>684</v>
      </c>
      <c r="D231" t="s">
        <v>683</v>
      </c>
      <c r="E231" t="s">
        <v>586</v>
      </c>
      <c r="F231" t="s">
        <v>1056</v>
      </c>
      <c r="G231" t="s">
        <v>1057</v>
      </c>
      <c r="H231" t="s">
        <v>6153</v>
      </c>
      <c r="I231" t="s">
        <v>90</v>
      </c>
      <c r="J231" t="s">
        <v>90</v>
      </c>
      <c r="K231">
        <v>4.1286529300000003</v>
      </c>
      <c r="L231">
        <v>7.60954701</v>
      </c>
      <c r="M231">
        <v>6.0528497799999998</v>
      </c>
      <c r="N231">
        <v>5.7653488499999996</v>
      </c>
      <c r="O231">
        <v>5.8091903800000004</v>
      </c>
      <c r="P231">
        <v>3.6231094440573388</v>
      </c>
      <c r="Q231">
        <v>18.570233460000001</v>
      </c>
      <c r="R231">
        <v>4.4161707326094843</v>
      </c>
      <c r="S231" t="s">
        <v>1073</v>
      </c>
      <c r="T231">
        <v>4.1286529300000003</v>
      </c>
      <c r="U231" t="s">
        <v>2819</v>
      </c>
      <c r="V231" t="s">
        <v>1059</v>
      </c>
      <c r="W231" s="114" t="str">
        <f t="shared" si="9"/>
        <v>ETF</v>
      </c>
      <c r="X231" s="114" t="str">
        <f t="shared" si="10"/>
        <v>Otros ETFs</v>
      </c>
    </row>
    <row r="232" spans="1:24" hidden="1" x14ac:dyDescent="0.25">
      <c r="A232" s="114" t="str">
        <f t="shared" si="11"/>
        <v>7111</v>
      </c>
      <c r="B232" t="s">
        <v>1536</v>
      </c>
      <c r="C232" t="s">
        <v>1537</v>
      </c>
      <c r="D232" t="s">
        <v>1538</v>
      </c>
      <c r="E232" t="s">
        <v>586</v>
      </c>
      <c r="F232" t="s">
        <v>1056</v>
      </c>
      <c r="G232" t="s">
        <v>1136</v>
      </c>
      <c r="H232" t="s">
        <v>6144</v>
      </c>
      <c r="I232" t="s">
        <v>90</v>
      </c>
      <c r="J232" t="s">
        <v>90</v>
      </c>
      <c r="K232">
        <v>106.94682328</v>
      </c>
      <c r="L232">
        <v>6.1053947199999996</v>
      </c>
      <c r="M232">
        <v>5.3268013400000003</v>
      </c>
      <c r="N232">
        <v>5.5567144500000003</v>
      </c>
      <c r="O232">
        <v>4.88679636</v>
      </c>
      <c r="P232">
        <v>5.6327725671182574</v>
      </c>
      <c r="Q232">
        <v>300.11237199999999</v>
      </c>
      <c r="R232">
        <v>5.9658577738077518</v>
      </c>
      <c r="S232" t="s">
        <v>30</v>
      </c>
      <c r="T232">
        <v>106.94682328</v>
      </c>
      <c r="U232" t="s">
        <v>2819</v>
      </c>
      <c r="V232" t="s">
        <v>1059</v>
      </c>
      <c r="W232" s="114" t="str">
        <f t="shared" si="9"/>
        <v>ETF</v>
      </c>
      <c r="X232" s="114" t="str">
        <f t="shared" si="10"/>
        <v>Otros ETFs</v>
      </c>
    </row>
    <row r="233" spans="1:24" hidden="1" x14ac:dyDescent="0.25">
      <c r="A233" s="114" t="str">
        <f t="shared" si="11"/>
        <v>7111</v>
      </c>
      <c r="B233" t="s">
        <v>1539</v>
      </c>
      <c r="C233" t="s">
        <v>1540</v>
      </c>
      <c r="D233" t="s">
        <v>1541</v>
      </c>
      <c r="E233" t="s">
        <v>586</v>
      </c>
      <c r="F233" t="s">
        <v>1056</v>
      </c>
      <c r="G233" t="s">
        <v>1136</v>
      </c>
      <c r="H233" t="s">
        <v>1494</v>
      </c>
      <c r="I233" t="s">
        <v>90</v>
      </c>
      <c r="J233" t="s">
        <v>90</v>
      </c>
      <c r="K233">
        <v>662.16602215</v>
      </c>
      <c r="L233">
        <v>4.3441247399999998</v>
      </c>
      <c r="M233">
        <v>5.1823596399999996</v>
      </c>
      <c r="N233">
        <v>6.0163359300000003</v>
      </c>
      <c r="O233">
        <v>5.4303891399999999</v>
      </c>
      <c r="P233">
        <v>0</v>
      </c>
      <c r="Q233"/>
      <c r="R233">
        <v>0</v>
      </c>
      <c r="S233" t="s">
        <v>1063</v>
      </c>
      <c r="T233">
        <v>662.16602215</v>
      </c>
      <c r="U233" t="s">
        <v>2819</v>
      </c>
      <c r="V233" t="s">
        <v>1278</v>
      </c>
      <c r="W233" s="114" t="str">
        <f t="shared" si="9"/>
        <v>ETF</v>
      </c>
      <c r="X233" s="114" t="str">
        <f t="shared" si="10"/>
        <v>Soberanos</v>
      </c>
    </row>
    <row r="234" spans="1:24" hidden="1" x14ac:dyDescent="0.25">
      <c r="A234" s="114" t="str">
        <f t="shared" si="11"/>
        <v>7512</v>
      </c>
      <c r="B234" t="s">
        <v>1542</v>
      </c>
      <c r="C234" t="s">
        <v>1543</v>
      </c>
      <c r="D234" t="s">
        <v>1544</v>
      </c>
      <c r="E234" t="s">
        <v>586</v>
      </c>
      <c r="F234" t="s">
        <v>1056</v>
      </c>
      <c r="G234" t="s">
        <v>1057</v>
      </c>
      <c r="H234" t="s">
        <v>1159</v>
      </c>
      <c r="I234" t="s">
        <v>90</v>
      </c>
      <c r="J234" t="s">
        <v>90</v>
      </c>
      <c r="K234">
        <v>0.93908736999999998</v>
      </c>
      <c r="L234">
        <v>6.6957842999999997</v>
      </c>
      <c r="M234">
        <v>6.4220741600000002</v>
      </c>
      <c r="N234">
        <v>4.7687106000000004</v>
      </c>
      <c r="O234">
        <v>5.8005768099999999</v>
      </c>
      <c r="P234">
        <v>43.566187132374267</v>
      </c>
      <c r="Q234">
        <v>3.85122206</v>
      </c>
      <c r="R234">
        <v>20.222040444080889</v>
      </c>
      <c r="S234" t="s">
        <v>30</v>
      </c>
      <c r="T234">
        <v>0.93908736999999998</v>
      </c>
      <c r="U234" t="s">
        <v>2819</v>
      </c>
      <c r="V234" t="s">
        <v>1059</v>
      </c>
      <c r="W234" s="114" t="str">
        <f t="shared" si="9"/>
        <v>ETF</v>
      </c>
      <c r="X234" s="114" t="str">
        <f t="shared" si="10"/>
        <v>Otros ETFs</v>
      </c>
    </row>
    <row r="235" spans="1:24" hidden="1" x14ac:dyDescent="0.25">
      <c r="A235" s="114" t="str">
        <f t="shared" si="11"/>
        <v>7512</v>
      </c>
      <c r="B235" t="s">
        <v>1542</v>
      </c>
      <c r="C235" t="s">
        <v>1543</v>
      </c>
      <c r="D235" t="s">
        <v>1545</v>
      </c>
      <c r="E235" t="s">
        <v>586</v>
      </c>
      <c r="F235" t="s">
        <v>1056</v>
      </c>
      <c r="G235" t="s">
        <v>1057</v>
      </c>
      <c r="H235" t="s">
        <v>1159</v>
      </c>
      <c r="I235" t="s">
        <v>90</v>
      </c>
      <c r="J235" t="s">
        <v>90</v>
      </c>
      <c r="K235">
        <v>0.93908736999999998</v>
      </c>
      <c r="L235">
        <v>6.6957842999999997</v>
      </c>
      <c r="M235">
        <v>6.4220741600000002</v>
      </c>
      <c r="N235">
        <v>4.7687106000000004</v>
      </c>
      <c r="O235">
        <v>5.8005768099999999</v>
      </c>
      <c r="P235">
        <v>43.566187132374267</v>
      </c>
      <c r="Q235">
        <v>3.85122206</v>
      </c>
      <c r="R235">
        <v>20.222040444080889</v>
      </c>
      <c r="S235" t="s">
        <v>30</v>
      </c>
      <c r="T235">
        <v>0.93908736999999998</v>
      </c>
      <c r="U235" t="s">
        <v>2819</v>
      </c>
      <c r="V235" t="s">
        <v>1059</v>
      </c>
      <c r="W235" s="114" t="str">
        <f t="shared" si="9"/>
        <v>ETF</v>
      </c>
      <c r="X235" s="114" t="str">
        <f t="shared" si="10"/>
        <v>Otros ETFs</v>
      </c>
    </row>
    <row r="236" spans="1:24" hidden="1" x14ac:dyDescent="0.25">
      <c r="A236" s="114" t="str">
        <f t="shared" si="11"/>
        <v>7065</v>
      </c>
      <c r="B236" t="s">
        <v>1546</v>
      </c>
      <c r="C236" t="s">
        <v>1547</v>
      </c>
      <c r="D236" t="s">
        <v>1548</v>
      </c>
      <c r="E236" t="s">
        <v>586</v>
      </c>
      <c r="F236" t="s">
        <v>1056</v>
      </c>
      <c r="G236" t="s">
        <v>1057</v>
      </c>
      <c r="H236" t="s">
        <v>6153</v>
      </c>
      <c r="I236" t="s">
        <v>90</v>
      </c>
      <c r="J236" t="s">
        <v>90</v>
      </c>
      <c r="K236">
        <v>6.2709699299999997</v>
      </c>
      <c r="L236">
        <v>7.9295934800000003</v>
      </c>
      <c r="M236">
        <v>5.7451474600000001</v>
      </c>
      <c r="N236">
        <v>7.4571175700000003</v>
      </c>
      <c r="O236">
        <v>6.7048845699999999</v>
      </c>
      <c r="P236">
        <v>0</v>
      </c>
      <c r="Q236">
        <v>48.266615250000001</v>
      </c>
      <c r="R236">
        <v>34.712530574938853</v>
      </c>
      <c r="S236" t="s">
        <v>1073</v>
      </c>
      <c r="T236">
        <v>6.2709699299999997</v>
      </c>
      <c r="U236" t="s">
        <v>2819</v>
      </c>
      <c r="V236" t="s">
        <v>1059</v>
      </c>
      <c r="W236" s="114" t="str">
        <f t="shared" si="9"/>
        <v>ETF</v>
      </c>
      <c r="X236" s="114" t="str">
        <f t="shared" si="10"/>
        <v>Otros ETFs</v>
      </c>
    </row>
    <row r="237" spans="1:24" hidden="1" x14ac:dyDescent="0.25">
      <c r="A237" s="114" t="str">
        <f t="shared" si="11"/>
        <v>7065</v>
      </c>
      <c r="B237" t="s">
        <v>1549</v>
      </c>
      <c r="C237" t="s">
        <v>1550</v>
      </c>
      <c r="D237" t="s">
        <v>1551</v>
      </c>
      <c r="E237" t="s">
        <v>586</v>
      </c>
      <c r="F237" t="s">
        <v>1056</v>
      </c>
      <c r="G237" t="s">
        <v>1057</v>
      </c>
      <c r="H237" t="s">
        <v>1205</v>
      </c>
      <c r="I237" t="s">
        <v>90</v>
      </c>
      <c r="J237" t="s">
        <v>90</v>
      </c>
      <c r="K237">
        <v>108.21078897</v>
      </c>
      <c r="L237">
        <v>5.6976180699999999</v>
      </c>
      <c r="M237">
        <v>6.8407382700000001</v>
      </c>
      <c r="N237">
        <v>5.5900001100000001</v>
      </c>
      <c r="O237">
        <v>6.2806228300000004</v>
      </c>
      <c r="P237">
        <v>0</v>
      </c>
      <c r="Q237">
        <v>171.67814018000001</v>
      </c>
      <c r="R237">
        <v>45.512591025182047</v>
      </c>
      <c r="S237" t="s">
        <v>1063</v>
      </c>
      <c r="T237">
        <v>108.21078897</v>
      </c>
      <c r="U237" t="s">
        <v>2819</v>
      </c>
      <c r="V237" t="s">
        <v>1059</v>
      </c>
      <c r="W237" s="114" t="str">
        <f t="shared" si="9"/>
        <v>ETF</v>
      </c>
      <c r="X237" s="114" t="str">
        <f t="shared" si="10"/>
        <v>Otros ETFs</v>
      </c>
    </row>
    <row r="238" spans="1:24" s="16" customFormat="1" hidden="1" x14ac:dyDescent="0.25">
      <c r="A238" s="115" t="str">
        <f t="shared" si="11"/>
        <v>7111</v>
      </c>
      <c r="B238" t="s">
        <v>1552</v>
      </c>
      <c r="C238" t="s">
        <v>1553</v>
      </c>
      <c r="D238" t="s">
        <v>1554</v>
      </c>
      <c r="E238" t="s">
        <v>586</v>
      </c>
      <c r="F238" t="s">
        <v>1056</v>
      </c>
      <c r="G238" t="s">
        <v>1071</v>
      </c>
      <c r="H238" t="s">
        <v>1189</v>
      </c>
      <c r="I238" t="s">
        <v>90</v>
      </c>
      <c r="J238" t="s">
        <v>90</v>
      </c>
      <c r="K238">
        <v>539.91916984</v>
      </c>
      <c r="L238">
        <v>5.5903443800000003</v>
      </c>
      <c r="M238">
        <v>3.2824932599999999</v>
      </c>
      <c r="N238">
        <v>4.2236970999999999</v>
      </c>
      <c r="O238">
        <v>6.3863393300000002</v>
      </c>
      <c r="P238">
        <v>48.374752995920453</v>
      </c>
      <c r="Q238">
        <v>692.28328863000002</v>
      </c>
      <c r="R238">
        <v>50.131469913309537</v>
      </c>
      <c r="S238" t="s">
        <v>1063</v>
      </c>
      <c r="T238">
        <v>539.91916984</v>
      </c>
      <c r="U238" t="s">
        <v>2819</v>
      </c>
      <c r="V238" t="s">
        <v>1059</v>
      </c>
      <c r="W238" s="114" t="str">
        <f t="shared" si="9"/>
        <v>ETF</v>
      </c>
      <c r="X238" s="114" t="str">
        <f t="shared" si="10"/>
        <v>Otros ETFs</v>
      </c>
    </row>
    <row r="239" spans="1:24" hidden="1" x14ac:dyDescent="0.25">
      <c r="A239" s="114" t="str">
        <f t="shared" si="11"/>
        <v>7111</v>
      </c>
      <c r="B239" t="s">
        <v>1555</v>
      </c>
      <c r="C239" t="s">
        <v>1556</v>
      </c>
      <c r="D239" t="s">
        <v>1557</v>
      </c>
      <c r="E239" t="s">
        <v>586</v>
      </c>
      <c r="F239" t="s">
        <v>1056</v>
      </c>
      <c r="G239" t="s">
        <v>1071</v>
      </c>
      <c r="H239" t="s">
        <v>6202</v>
      </c>
      <c r="I239" t="s">
        <v>90</v>
      </c>
      <c r="J239" t="s">
        <v>90</v>
      </c>
      <c r="K239">
        <v>200.57766169000001</v>
      </c>
      <c r="L239">
        <v>7.0354392199999998</v>
      </c>
      <c r="M239">
        <v>4.7613338799999996</v>
      </c>
      <c r="N239">
        <v>5.3309124099999998</v>
      </c>
      <c r="O239">
        <v>6.1304073499999996</v>
      </c>
      <c r="P239">
        <v>18.04187216748867</v>
      </c>
      <c r="Q239">
        <v>303.12887151000001</v>
      </c>
      <c r="R239">
        <v>21.805087220348881</v>
      </c>
      <c r="S239" t="s">
        <v>30</v>
      </c>
      <c r="T239">
        <v>200.57766169000001</v>
      </c>
      <c r="U239" t="s">
        <v>2819</v>
      </c>
      <c r="V239" t="s">
        <v>1059</v>
      </c>
      <c r="W239" s="114" t="str">
        <f t="shared" si="9"/>
        <v>ETF</v>
      </c>
      <c r="X239" s="114" t="str">
        <f t="shared" si="10"/>
        <v>Otros ETFs</v>
      </c>
    </row>
    <row r="240" spans="1:24" hidden="1" x14ac:dyDescent="0.25">
      <c r="A240" s="114" t="str">
        <f t="shared" si="11"/>
        <v>7111</v>
      </c>
      <c r="B240" t="s">
        <v>1559</v>
      </c>
      <c r="C240" t="s">
        <v>1560</v>
      </c>
      <c r="D240" t="s">
        <v>1561</v>
      </c>
      <c r="E240" t="s">
        <v>586</v>
      </c>
      <c r="F240" t="s">
        <v>1056</v>
      </c>
      <c r="G240" t="s">
        <v>1501</v>
      </c>
      <c r="H240" t="s">
        <v>1502</v>
      </c>
      <c r="I240" t="s">
        <v>90</v>
      </c>
      <c r="J240" t="s">
        <v>90</v>
      </c>
      <c r="K240">
        <v>196.1959894</v>
      </c>
      <c r="L240">
        <v>5.5031169100000001</v>
      </c>
      <c r="M240">
        <v>5.1674292499999996</v>
      </c>
      <c r="N240">
        <v>4.6946653100000004</v>
      </c>
      <c r="O240">
        <v>4.8247131799999998</v>
      </c>
      <c r="P240">
        <v>15.88410214798153</v>
      </c>
      <c r="Q240">
        <v>575.60340667000003</v>
      </c>
      <c r="R240">
        <v>20.439085652978449</v>
      </c>
      <c r="S240" t="s">
        <v>1063</v>
      </c>
      <c r="T240">
        <v>196.1959894</v>
      </c>
      <c r="U240" t="s">
        <v>2819</v>
      </c>
      <c r="V240" t="s">
        <v>1059</v>
      </c>
      <c r="W240" s="114" t="str">
        <f t="shared" si="9"/>
        <v>ETF</v>
      </c>
      <c r="X240" s="114" t="str">
        <f t="shared" si="10"/>
        <v>Otros ETFs</v>
      </c>
    </row>
    <row r="241" spans="1:24" hidden="1" x14ac:dyDescent="0.25">
      <c r="A241" s="114" t="str">
        <f t="shared" si="11"/>
        <v>7111</v>
      </c>
      <c r="B241" t="s">
        <v>1559</v>
      </c>
      <c r="C241" t="s">
        <v>1560</v>
      </c>
      <c r="D241" t="s">
        <v>1562</v>
      </c>
      <c r="E241" t="s">
        <v>586</v>
      </c>
      <c r="F241" t="s">
        <v>1056</v>
      </c>
      <c r="G241" t="s">
        <v>1501</v>
      </c>
      <c r="H241" t="s">
        <v>1502</v>
      </c>
      <c r="I241" t="s">
        <v>90</v>
      </c>
      <c r="J241" t="s">
        <v>90</v>
      </c>
      <c r="K241">
        <v>196.1959894</v>
      </c>
      <c r="L241">
        <v>5.5031169100000001</v>
      </c>
      <c r="M241">
        <v>5.1674292499999996</v>
      </c>
      <c r="N241">
        <v>4.6946653100000004</v>
      </c>
      <c r="O241">
        <v>4.8247131799999998</v>
      </c>
      <c r="P241">
        <v>15.88410214798153</v>
      </c>
      <c r="Q241">
        <v>575.60340667000003</v>
      </c>
      <c r="R241">
        <v>20.439085652978449</v>
      </c>
      <c r="S241" t="s">
        <v>1063</v>
      </c>
      <c r="T241">
        <v>196.1959894</v>
      </c>
      <c r="U241" t="s">
        <v>2819</v>
      </c>
      <c r="V241" t="s">
        <v>1059</v>
      </c>
      <c r="W241" s="114" t="str">
        <f t="shared" si="9"/>
        <v>ETF</v>
      </c>
      <c r="X241" s="114" t="str">
        <f t="shared" si="10"/>
        <v>Otros ETFs</v>
      </c>
    </row>
    <row r="242" spans="1:24" hidden="1" x14ac:dyDescent="0.25">
      <c r="A242" s="114" t="str">
        <f t="shared" si="11"/>
        <v>7111</v>
      </c>
      <c r="B242" t="s">
        <v>6038</v>
      </c>
      <c r="C242" t="s">
        <v>5966</v>
      </c>
      <c r="D242" t="s">
        <v>5965</v>
      </c>
      <c r="E242" t="s">
        <v>586</v>
      </c>
      <c r="F242" t="s">
        <v>1056</v>
      </c>
      <c r="G242" t="s">
        <v>1501</v>
      </c>
      <c r="H242" t="s">
        <v>1502</v>
      </c>
      <c r="I242" t="s">
        <v>90</v>
      </c>
      <c r="J242" t="s">
        <v>90</v>
      </c>
      <c r="K242">
        <v>192.33030203000001</v>
      </c>
      <c r="L242">
        <v>4.4370668000000002</v>
      </c>
      <c r="M242">
        <v>3.9925487500000001</v>
      </c>
      <c r="N242">
        <v>3.8616322099999998</v>
      </c>
      <c r="O242">
        <v>5.2123338199999996</v>
      </c>
      <c r="P242">
        <v>0.77481938823310303</v>
      </c>
      <c r="Q242">
        <v>529.40886962000002</v>
      </c>
      <c r="R242">
        <v>13.54066953162658</v>
      </c>
      <c r="S242" t="s">
        <v>1063</v>
      </c>
      <c r="T242">
        <v>192.33030203000001</v>
      </c>
      <c r="U242" t="s">
        <v>2819</v>
      </c>
      <c r="V242" t="s">
        <v>1059</v>
      </c>
      <c r="W242" s="114" t="str">
        <f t="shared" si="9"/>
        <v>ETF</v>
      </c>
      <c r="X242" s="114" t="str">
        <f t="shared" si="10"/>
        <v>Otros ETFs</v>
      </c>
    </row>
    <row r="243" spans="1:24" hidden="1" x14ac:dyDescent="0.25">
      <c r="A243" s="114" t="str">
        <f t="shared" si="11"/>
        <v>7111</v>
      </c>
      <c r="B243" t="s">
        <v>1563</v>
      </c>
      <c r="C243" t="s">
        <v>1564</v>
      </c>
      <c r="D243" t="s">
        <v>1565</v>
      </c>
      <c r="E243" t="s">
        <v>586</v>
      </c>
      <c r="F243" t="s">
        <v>1056</v>
      </c>
      <c r="G243" t="s">
        <v>1136</v>
      </c>
      <c r="H243" t="s">
        <v>1437</v>
      </c>
      <c r="I243" t="s">
        <v>90</v>
      </c>
      <c r="J243" t="s">
        <v>90</v>
      </c>
      <c r="K243">
        <v>378.51011319999998</v>
      </c>
      <c r="L243">
        <v>4.0642117799999999</v>
      </c>
      <c r="M243">
        <v>4.8867891200000004</v>
      </c>
      <c r="N243">
        <v>5.1830218300000004</v>
      </c>
      <c r="O243">
        <v>4.7524083199999998</v>
      </c>
      <c r="P243">
        <v>12.423702365801081</v>
      </c>
      <c r="Q243">
        <v>534.05119995999996</v>
      </c>
      <c r="R243">
        <v>3.6222270617593759</v>
      </c>
      <c r="S243" t="s">
        <v>1138</v>
      </c>
      <c r="T243">
        <v>378.51011319999998</v>
      </c>
      <c r="U243" t="s">
        <v>2819</v>
      </c>
      <c r="V243" t="s">
        <v>1059</v>
      </c>
      <c r="W243" s="114" t="str">
        <f t="shared" si="9"/>
        <v>ETF</v>
      </c>
      <c r="X243" s="114" t="str">
        <f t="shared" si="10"/>
        <v>Otros ETFs</v>
      </c>
    </row>
    <row r="244" spans="1:24" hidden="1" x14ac:dyDescent="0.25">
      <c r="A244" s="114" t="str">
        <f t="shared" si="11"/>
        <v>7111</v>
      </c>
      <c r="B244" t="s">
        <v>1566</v>
      </c>
      <c r="C244" t="s">
        <v>1567</v>
      </c>
      <c r="D244" t="s">
        <v>1568</v>
      </c>
      <c r="E244" t="s">
        <v>586</v>
      </c>
      <c r="F244" t="s">
        <v>1056</v>
      </c>
      <c r="G244" t="s">
        <v>1136</v>
      </c>
      <c r="H244" t="s">
        <v>1437</v>
      </c>
      <c r="I244" t="s">
        <v>90</v>
      </c>
      <c r="J244" t="s">
        <v>90</v>
      </c>
      <c r="K244">
        <v>202.2581385</v>
      </c>
      <c r="L244">
        <v>5.73390456</v>
      </c>
      <c r="M244">
        <v>5.1758909600000003</v>
      </c>
      <c r="N244">
        <v>5.3763107000000003</v>
      </c>
      <c r="O244">
        <v>4.70910604</v>
      </c>
      <c r="P244">
        <v>14.90204495200827</v>
      </c>
      <c r="Q244">
        <v>415.60102576999998</v>
      </c>
      <c r="R244">
        <v>11.11751111820991</v>
      </c>
      <c r="S244" t="s">
        <v>30</v>
      </c>
      <c r="T244">
        <v>202.2581385</v>
      </c>
      <c r="U244" t="s">
        <v>2819</v>
      </c>
      <c r="V244" t="s">
        <v>1059</v>
      </c>
      <c r="W244" s="114" t="str">
        <f t="shared" si="9"/>
        <v>ETF</v>
      </c>
      <c r="X244" s="114" t="str">
        <f t="shared" si="10"/>
        <v>Otros ETFs</v>
      </c>
    </row>
    <row r="245" spans="1:24" hidden="1" x14ac:dyDescent="0.25">
      <c r="A245" s="114" t="str">
        <f t="shared" si="11"/>
        <v>7065</v>
      </c>
      <c r="B245" t="s">
        <v>1569</v>
      </c>
      <c r="C245" t="s">
        <v>1570</v>
      </c>
      <c r="D245" t="s">
        <v>1571</v>
      </c>
      <c r="E245" t="s">
        <v>586</v>
      </c>
      <c r="F245" t="s">
        <v>1056</v>
      </c>
      <c r="G245" t="s">
        <v>1057</v>
      </c>
      <c r="H245" t="s">
        <v>1288</v>
      </c>
      <c r="I245" t="s">
        <v>90</v>
      </c>
      <c r="J245" t="s">
        <v>90</v>
      </c>
      <c r="K245">
        <v>107.3469413</v>
      </c>
      <c r="L245">
        <v>6.1102891399999999</v>
      </c>
      <c r="M245">
        <v>5.6814362100000002</v>
      </c>
      <c r="N245">
        <v>4.3588467800000004</v>
      </c>
      <c r="O245">
        <v>5.8258739200000003</v>
      </c>
      <c r="P245">
        <v>17.256130655745789</v>
      </c>
      <c r="Q245">
        <v>264.04629488</v>
      </c>
      <c r="R245">
        <v>11.1740267429812</v>
      </c>
      <c r="S245" t="s">
        <v>30</v>
      </c>
      <c r="T245">
        <v>107.3469413</v>
      </c>
      <c r="U245" t="s">
        <v>2819</v>
      </c>
      <c r="V245" t="s">
        <v>1059</v>
      </c>
      <c r="W245" s="114" t="str">
        <f t="shared" si="9"/>
        <v>ETF</v>
      </c>
      <c r="X245" s="114" t="str">
        <f t="shared" si="10"/>
        <v>Otros ETFs</v>
      </c>
    </row>
    <row r="246" spans="1:24" hidden="1" x14ac:dyDescent="0.25">
      <c r="A246" s="114" t="str">
        <f t="shared" si="11"/>
        <v>7065</v>
      </c>
      <c r="B246" t="s">
        <v>6203</v>
      </c>
      <c r="C246" t="s">
        <v>6204</v>
      </c>
      <c r="D246" t="s">
        <v>6205</v>
      </c>
      <c r="E246" t="s">
        <v>586</v>
      </c>
      <c r="F246" t="s">
        <v>1056</v>
      </c>
      <c r="G246" t="s">
        <v>1136</v>
      </c>
      <c r="H246" t="s">
        <v>1437</v>
      </c>
      <c r="I246" t="s">
        <v>90</v>
      </c>
      <c r="J246" t="s">
        <v>90</v>
      </c>
      <c r="K246">
        <v>456.01838684000001</v>
      </c>
      <c r="L246">
        <v>4.6762927300000001</v>
      </c>
      <c r="M246">
        <v>4.8615950899999998</v>
      </c>
      <c r="N246">
        <v>4.8272303799999996</v>
      </c>
      <c r="O246">
        <v>4.3337108100000004</v>
      </c>
      <c r="P246">
        <v>16.268716085152359</v>
      </c>
      <c r="Q246">
        <v>704.55706292000002</v>
      </c>
      <c r="R246">
        <v>5.4598669187516879</v>
      </c>
      <c r="S246" t="s">
        <v>1063</v>
      </c>
      <c r="T246">
        <v>456.01838684000001</v>
      </c>
      <c r="U246" t="s">
        <v>2819</v>
      </c>
      <c r="V246" t="s">
        <v>1059</v>
      </c>
      <c r="W246" s="114" t="str">
        <f t="shared" si="9"/>
        <v>ETF</v>
      </c>
      <c r="X246" s="114" t="str">
        <f t="shared" si="10"/>
        <v>Otros ETFs</v>
      </c>
    </row>
    <row r="247" spans="1:24" hidden="1" x14ac:dyDescent="0.25">
      <c r="A247" s="114" t="str">
        <f t="shared" si="11"/>
        <v>7287</v>
      </c>
      <c r="B247" t="s">
        <v>1575</v>
      </c>
      <c r="C247" t="s">
        <v>1576</v>
      </c>
      <c r="D247" t="s">
        <v>1577</v>
      </c>
      <c r="E247" t="s">
        <v>586</v>
      </c>
      <c r="F247" t="s">
        <v>1056</v>
      </c>
      <c r="G247" t="s">
        <v>1290</v>
      </c>
      <c r="H247" t="s">
        <v>1291</v>
      </c>
      <c r="I247" t="s">
        <v>90</v>
      </c>
      <c r="J247" t="s">
        <v>90</v>
      </c>
      <c r="K247">
        <v>73.721132990000001</v>
      </c>
      <c r="L247">
        <v>6.1313434100000004</v>
      </c>
      <c r="M247">
        <v>5.7796398099999999</v>
      </c>
      <c r="N247">
        <v>5.1122341799999997</v>
      </c>
      <c r="O247">
        <v>4.9492384200000004</v>
      </c>
      <c r="P247">
        <v>26.286790256663071</v>
      </c>
      <c r="Q247">
        <v>138.76071637999999</v>
      </c>
      <c r="R247">
        <v>4.5577769400226193</v>
      </c>
      <c r="S247" t="s">
        <v>30</v>
      </c>
      <c r="T247">
        <v>73.721132990000001</v>
      </c>
      <c r="U247" t="s">
        <v>2819</v>
      </c>
      <c r="V247" t="s">
        <v>1059</v>
      </c>
      <c r="W247" s="114" t="str">
        <f t="shared" si="9"/>
        <v>ETF</v>
      </c>
      <c r="X247" s="114" t="str">
        <f t="shared" si="10"/>
        <v>Otros ETFs</v>
      </c>
    </row>
    <row r="248" spans="1:24" hidden="1" x14ac:dyDescent="0.25">
      <c r="A248" s="114" t="str">
        <f t="shared" si="11"/>
        <v>7111</v>
      </c>
      <c r="B248" t="s">
        <v>1578</v>
      </c>
      <c r="C248" t="s">
        <v>609</v>
      </c>
      <c r="D248" t="s">
        <v>608</v>
      </c>
      <c r="E248" t="s">
        <v>586</v>
      </c>
      <c r="F248" t="s">
        <v>1056</v>
      </c>
      <c r="G248" t="s">
        <v>1136</v>
      </c>
      <c r="H248" t="s">
        <v>6144</v>
      </c>
      <c r="I248" t="s">
        <v>90</v>
      </c>
      <c r="J248" t="s">
        <v>90</v>
      </c>
      <c r="K248">
        <v>124.77189239</v>
      </c>
      <c r="L248">
        <v>6.2657285299999996</v>
      </c>
      <c r="M248">
        <v>5.4452348500000003</v>
      </c>
      <c r="N248">
        <v>5.4078834999999996</v>
      </c>
      <c r="O248">
        <v>5.1823700199999996</v>
      </c>
      <c r="P248">
        <v>18.752378539241551</v>
      </c>
      <c r="Q248">
        <v>291.07701519</v>
      </c>
      <c r="R248">
        <v>11.105480452506219</v>
      </c>
      <c r="S248" t="s">
        <v>30</v>
      </c>
      <c r="T248">
        <v>124.77189239</v>
      </c>
      <c r="U248" t="s">
        <v>2819</v>
      </c>
      <c r="V248" t="s">
        <v>1059</v>
      </c>
      <c r="W248" s="114" t="str">
        <f t="shared" si="9"/>
        <v>ETF</v>
      </c>
      <c r="X248" s="114" t="str">
        <f t="shared" si="10"/>
        <v>Otros ETFs</v>
      </c>
    </row>
    <row r="249" spans="1:24" hidden="1" x14ac:dyDescent="0.25">
      <c r="A249" s="114" t="str">
        <f t="shared" si="11"/>
        <v>6001</v>
      </c>
      <c r="B249" t="s">
        <v>1580</v>
      </c>
      <c r="C249" t="s">
        <v>1581</v>
      </c>
      <c r="D249" t="s">
        <v>1582</v>
      </c>
      <c r="E249" t="s">
        <v>586</v>
      </c>
      <c r="F249" t="s">
        <v>1056</v>
      </c>
      <c r="G249" t="s">
        <v>1057</v>
      </c>
      <c r="H249" t="s">
        <v>1583</v>
      </c>
      <c r="I249" t="s">
        <v>90</v>
      </c>
      <c r="J249" t="s">
        <v>90</v>
      </c>
      <c r="K249">
        <v>130.42998961999999</v>
      </c>
      <c r="L249">
        <v>4.9547873999999998</v>
      </c>
      <c r="M249">
        <v>4.1279482700000001</v>
      </c>
      <c r="N249">
        <v>4.6631998000000001</v>
      </c>
      <c r="O249">
        <v>5.8875943900000003</v>
      </c>
      <c r="P249">
        <v>0.47889113757236301</v>
      </c>
      <c r="Q249">
        <v>167.99318908999999</v>
      </c>
      <c r="R249">
        <v>1.5083501984593899</v>
      </c>
      <c r="S249" t="s">
        <v>1063</v>
      </c>
      <c r="T249">
        <v>130.42998961999999</v>
      </c>
      <c r="U249" t="s">
        <v>2819</v>
      </c>
      <c r="V249" t="s">
        <v>1059</v>
      </c>
      <c r="W249" s="114" t="str">
        <f t="shared" si="9"/>
        <v>ETF</v>
      </c>
      <c r="X249" s="114" t="str">
        <f t="shared" si="10"/>
        <v>Otros ETFs</v>
      </c>
    </row>
    <row r="250" spans="1:24" hidden="1" x14ac:dyDescent="0.25">
      <c r="A250" s="114" t="str">
        <f t="shared" si="11"/>
        <v>7393</v>
      </c>
      <c r="B250" t="s">
        <v>1580</v>
      </c>
      <c r="C250" t="s">
        <v>1581</v>
      </c>
      <c r="D250" t="s">
        <v>6206</v>
      </c>
      <c r="E250" t="s">
        <v>586</v>
      </c>
      <c r="F250" t="s">
        <v>1056</v>
      </c>
      <c r="G250" t="s">
        <v>1057</v>
      </c>
      <c r="H250" t="s">
        <v>1583</v>
      </c>
      <c r="I250" t="s">
        <v>90</v>
      </c>
      <c r="J250" t="s">
        <v>90</v>
      </c>
      <c r="K250">
        <v>130.42998961999999</v>
      </c>
      <c r="L250">
        <v>4.9547873999999998</v>
      </c>
      <c r="M250">
        <v>4.1279482700000001</v>
      </c>
      <c r="N250">
        <v>4.6631998000000001</v>
      </c>
      <c r="O250">
        <v>5.8875943900000003</v>
      </c>
      <c r="P250">
        <v>0.47889113757236301</v>
      </c>
      <c r="Q250">
        <v>167.99318908999999</v>
      </c>
      <c r="R250">
        <v>1.5083501984593899</v>
      </c>
      <c r="S250" t="s">
        <v>1063</v>
      </c>
      <c r="T250">
        <v>130.42998961999999</v>
      </c>
      <c r="U250" t="s">
        <v>2819</v>
      </c>
      <c r="V250" t="s">
        <v>1059</v>
      </c>
      <c r="W250" s="114" t="str">
        <f t="shared" si="9"/>
        <v>ETF</v>
      </c>
      <c r="X250" s="114" t="str">
        <f t="shared" si="10"/>
        <v>Otros ETFs</v>
      </c>
    </row>
    <row r="251" spans="1:24" hidden="1" x14ac:dyDescent="0.25">
      <c r="A251" s="114" t="str">
        <f t="shared" si="11"/>
        <v>7111</v>
      </c>
      <c r="B251" t="s">
        <v>1584</v>
      </c>
      <c r="C251" t="s">
        <v>1585</v>
      </c>
      <c r="D251" t="s">
        <v>1586</v>
      </c>
      <c r="E251" t="s">
        <v>586</v>
      </c>
      <c r="F251" t="s">
        <v>1056</v>
      </c>
      <c r="G251" t="s">
        <v>1057</v>
      </c>
      <c r="H251" t="s">
        <v>1058</v>
      </c>
      <c r="I251" t="s">
        <v>90</v>
      </c>
      <c r="J251" t="s">
        <v>90</v>
      </c>
      <c r="K251">
        <v>36.242321339999997</v>
      </c>
      <c r="L251">
        <v>6.7375750600000002</v>
      </c>
      <c r="M251">
        <v>5.8303222200000002</v>
      </c>
      <c r="N251">
        <v>5.1263750300000002</v>
      </c>
      <c r="O251">
        <v>6.1517050400000004</v>
      </c>
      <c r="P251">
        <v>20.96102096102096</v>
      </c>
      <c r="Q251">
        <v>80.392739129999995</v>
      </c>
      <c r="R251">
        <v>20.410320410320409</v>
      </c>
      <c r="S251" t="s">
        <v>30</v>
      </c>
      <c r="T251">
        <v>36.242321339999997</v>
      </c>
      <c r="U251" t="s">
        <v>2819</v>
      </c>
      <c r="V251" t="s">
        <v>1059</v>
      </c>
      <c r="W251" s="114" t="str">
        <f t="shared" si="9"/>
        <v>ETF</v>
      </c>
      <c r="X251" s="114" t="str">
        <f t="shared" si="10"/>
        <v>Otros ETFs</v>
      </c>
    </row>
    <row r="252" spans="1:24" hidden="1" x14ac:dyDescent="0.25">
      <c r="A252" s="114" t="str">
        <f t="shared" si="11"/>
        <v>7209</v>
      </c>
      <c r="B252" t="s">
        <v>1587</v>
      </c>
      <c r="C252" t="s">
        <v>1588</v>
      </c>
      <c r="D252" t="s">
        <v>1589</v>
      </c>
      <c r="E252" t="s">
        <v>586</v>
      </c>
      <c r="F252" t="s">
        <v>1056</v>
      </c>
      <c r="G252" t="s">
        <v>1136</v>
      </c>
      <c r="H252" t="s">
        <v>6144</v>
      </c>
      <c r="I252" t="s">
        <v>90</v>
      </c>
      <c r="J252" t="s">
        <v>90</v>
      </c>
      <c r="K252">
        <v>36.116794669999997</v>
      </c>
      <c r="L252">
        <v>4.8755297400000002</v>
      </c>
      <c r="M252">
        <v>4.2675632600000002</v>
      </c>
      <c r="N252">
        <v>4.36967602</v>
      </c>
      <c r="O252">
        <v>5.49476049</v>
      </c>
      <c r="P252">
        <v>0</v>
      </c>
      <c r="Q252">
        <v>85.462445130000006</v>
      </c>
      <c r="R252">
        <v>11.73313103683229</v>
      </c>
      <c r="S252" t="s">
        <v>1063</v>
      </c>
      <c r="T252">
        <v>36.116794669999997</v>
      </c>
      <c r="U252" t="s">
        <v>2819</v>
      </c>
      <c r="V252" t="s">
        <v>1059</v>
      </c>
      <c r="W252" s="114" t="str">
        <f t="shared" si="9"/>
        <v>ETF</v>
      </c>
      <c r="X252" s="114" t="str">
        <f t="shared" si="10"/>
        <v>Otros ETFs</v>
      </c>
    </row>
    <row r="253" spans="1:24" hidden="1" x14ac:dyDescent="0.25">
      <c r="A253" s="114" t="str">
        <f t="shared" si="11"/>
        <v>7393</v>
      </c>
      <c r="B253" t="s">
        <v>1590</v>
      </c>
      <c r="C253" t="s">
        <v>1591</v>
      </c>
      <c r="D253" t="s">
        <v>1592</v>
      </c>
      <c r="E253" t="s">
        <v>586</v>
      </c>
      <c r="F253" t="s">
        <v>1056</v>
      </c>
      <c r="G253" t="s">
        <v>1057</v>
      </c>
      <c r="H253" t="s">
        <v>1067</v>
      </c>
      <c r="I253" t="s">
        <v>90</v>
      </c>
      <c r="J253" t="s">
        <v>90</v>
      </c>
      <c r="K253">
        <v>61.216915589999999</v>
      </c>
      <c r="L253">
        <v>5.6913689200000004</v>
      </c>
      <c r="M253">
        <v>4.4351717099999997</v>
      </c>
      <c r="N253">
        <v>4.4982356499999998</v>
      </c>
      <c r="O253">
        <v>6.3201036999999998</v>
      </c>
      <c r="P253">
        <v>1.4756304066630279</v>
      </c>
      <c r="Q253">
        <v>106.30704676000001</v>
      </c>
      <c r="R253">
        <v>28.38444360476856</v>
      </c>
      <c r="S253" t="s">
        <v>1063</v>
      </c>
      <c r="T253">
        <v>61.216915589999999</v>
      </c>
      <c r="U253" t="s">
        <v>2819</v>
      </c>
      <c r="V253" t="s">
        <v>1059</v>
      </c>
      <c r="W253" s="114" t="str">
        <f t="shared" si="9"/>
        <v>ETF</v>
      </c>
      <c r="X253" s="114" t="str">
        <f t="shared" si="10"/>
        <v>Otros ETFs</v>
      </c>
    </row>
    <row r="254" spans="1:24" hidden="1" x14ac:dyDescent="0.25">
      <c r="A254" s="114" t="str">
        <f t="shared" si="11"/>
        <v>7111</v>
      </c>
      <c r="B254" t="s">
        <v>1593</v>
      </c>
      <c r="C254" t="s">
        <v>1594</v>
      </c>
      <c r="D254" t="s">
        <v>1595</v>
      </c>
      <c r="E254" t="s">
        <v>586</v>
      </c>
      <c r="F254" t="s">
        <v>1056</v>
      </c>
      <c r="G254" t="s">
        <v>1057</v>
      </c>
      <c r="H254" t="s">
        <v>1058</v>
      </c>
      <c r="I254" t="s">
        <v>90</v>
      </c>
      <c r="J254" t="s">
        <v>90</v>
      </c>
      <c r="K254">
        <v>6.9892296900000002</v>
      </c>
      <c r="L254">
        <v>6.5501533900000002</v>
      </c>
      <c r="M254">
        <v>5.7037011</v>
      </c>
      <c r="N254">
        <v>5.4248208299999998</v>
      </c>
      <c r="O254">
        <v>5.7436584399999999</v>
      </c>
      <c r="P254">
        <v>24.355426933719201</v>
      </c>
      <c r="Q254">
        <v>51.625411810000003</v>
      </c>
      <c r="R254">
        <v>25.589623231130311</v>
      </c>
      <c r="S254" t="s">
        <v>30</v>
      </c>
      <c r="T254">
        <v>6.9892296900000002</v>
      </c>
      <c r="U254" t="s">
        <v>2819</v>
      </c>
      <c r="V254" t="s">
        <v>1059</v>
      </c>
      <c r="W254" s="114" t="str">
        <f t="shared" si="9"/>
        <v>ETF</v>
      </c>
      <c r="X254" s="114" t="str">
        <f t="shared" si="10"/>
        <v>Otros ETFs</v>
      </c>
    </row>
    <row r="255" spans="1:24" hidden="1" x14ac:dyDescent="0.25">
      <c r="A255" s="114" t="str">
        <f t="shared" si="11"/>
        <v>7017</v>
      </c>
      <c r="B255" t="s">
        <v>6207</v>
      </c>
      <c r="C255" t="s">
        <v>6208</v>
      </c>
      <c r="D255" t="s">
        <v>6209</v>
      </c>
      <c r="E255" t="s">
        <v>586</v>
      </c>
      <c r="F255" t="s">
        <v>1056</v>
      </c>
      <c r="G255" t="s">
        <v>1136</v>
      </c>
      <c r="H255" t="s">
        <v>1437</v>
      </c>
      <c r="I255" t="s">
        <v>90</v>
      </c>
      <c r="J255" t="s">
        <v>90</v>
      </c>
      <c r="K255">
        <v>362.85345909</v>
      </c>
      <c r="L255">
        <v>3.9585081</v>
      </c>
      <c r="M255">
        <v>4.9344323899999996</v>
      </c>
      <c r="N255">
        <v>5.7573608900000002</v>
      </c>
      <c r="O255">
        <v>5.1530604699999998</v>
      </c>
      <c r="P255">
        <v>4.0925863133015064</v>
      </c>
      <c r="Q255">
        <v>628.51056524000001</v>
      </c>
      <c r="R255">
        <v>0</v>
      </c>
      <c r="S255" t="s">
        <v>1138</v>
      </c>
      <c r="T255">
        <v>362.85345909</v>
      </c>
      <c r="U255" t="s">
        <v>2819</v>
      </c>
      <c r="V255" t="s">
        <v>1059</v>
      </c>
      <c r="W255" s="114" t="str">
        <f t="shared" si="9"/>
        <v>ETF</v>
      </c>
      <c r="X255" s="114" t="str">
        <f t="shared" si="10"/>
        <v>Otros ETFs</v>
      </c>
    </row>
    <row r="256" spans="1:24" hidden="1" x14ac:dyDescent="0.25">
      <c r="A256" s="114" t="str">
        <f t="shared" si="11"/>
        <v>7472</v>
      </c>
      <c r="B256" t="s">
        <v>1596</v>
      </c>
      <c r="C256" t="s">
        <v>946</v>
      </c>
      <c r="D256" t="s">
        <v>1597</v>
      </c>
      <c r="E256" t="s">
        <v>586</v>
      </c>
      <c r="F256" t="s">
        <v>1056</v>
      </c>
      <c r="G256" t="s">
        <v>1290</v>
      </c>
      <c r="H256" t="s">
        <v>6153</v>
      </c>
      <c r="I256" t="s">
        <v>90</v>
      </c>
      <c r="J256" t="s">
        <v>90</v>
      </c>
      <c r="K256">
        <v>7.0893212800000001</v>
      </c>
      <c r="L256">
        <v>6.3173470299999996</v>
      </c>
      <c r="M256">
        <v>6.7888081199999997</v>
      </c>
      <c r="N256">
        <v>5.54410326</v>
      </c>
      <c r="O256">
        <v>4.6165328199999998</v>
      </c>
      <c r="P256">
        <v>23.82881977666668</v>
      </c>
      <c r="Q256">
        <v>15.47720206</v>
      </c>
      <c r="R256">
        <v>0</v>
      </c>
      <c r="S256" t="s">
        <v>30</v>
      </c>
      <c r="T256">
        <v>7.0893212800000001</v>
      </c>
      <c r="U256" t="s">
        <v>2819</v>
      </c>
      <c r="V256" t="s">
        <v>1059</v>
      </c>
      <c r="W256" s="114" t="str">
        <f t="shared" si="9"/>
        <v>ETF</v>
      </c>
      <c r="X256" s="114" t="str">
        <f t="shared" si="10"/>
        <v>Otros ETFs</v>
      </c>
    </row>
    <row r="257" spans="1:24" hidden="1" x14ac:dyDescent="0.25">
      <c r="A257" s="114" t="str">
        <f t="shared" si="11"/>
        <v>7472</v>
      </c>
      <c r="B257" t="s">
        <v>1596</v>
      </c>
      <c r="C257" t="s">
        <v>946</v>
      </c>
      <c r="D257" t="s">
        <v>945</v>
      </c>
      <c r="E257" t="s">
        <v>586</v>
      </c>
      <c r="F257" t="s">
        <v>1056</v>
      </c>
      <c r="G257" t="s">
        <v>1290</v>
      </c>
      <c r="H257" t="s">
        <v>6153</v>
      </c>
      <c r="I257" t="s">
        <v>90</v>
      </c>
      <c r="J257" t="s">
        <v>90</v>
      </c>
      <c r="K257">
        <v>7.0893212800000001</v>
      </c>
      <c r="L257">
        <v>6.3173470299999996</v>
      </c>
      <c r="M257">
        <v>6.7888081199999997</v>
      </c>
      <c r="N257">
        <v>5.54410326</v>
      </c>
      <c r="O257">
        <v>4.6165328199999998</v>
      </c>
      <c r="P257">
        <v>23.82881977666668</v>
      </c>
      <c r="Q257">
        <v>15.47720206</v>
      </c>
      <c r="R257">
        <v>0</v>
      </c>
      <c r="S257" t="s">
        <v>30</v>
      </c>
      <c r="T257">
        <v>7.0893212800000001</v>
      </c>
      <c r="U257" t="s">
        <v>2819</v>
      </c>
      <c r="V257" t="s">
        <v>1059</v>
      </c>
      <c r="W257" s="114" t="str">
        <f t="shared" si="9"/>
        <v>ETF</v>
      </c>
      <c r="X257" s="114" t="str">
        <f t="shared" si="10"/>
        <v>Otros ETFs</v>
      </c>
    </row>
    <row r="258" spans="1:24" hidden="1" x14ac:dyDescent="0.25">
      <c r="A258" s="114" t="str">
        <f t="shared" si="11"/>
        <v>7287</v>
      </c>
      <c r="B258" t="s">
        <v>1598</v>
      </c>
      <c r="C258" t="s">
        <v>1599</v>
      </c>
      <c r="D258" t="s">
        <v>1600</v>
      </c>
      <c r="E258" t="s">
        <v>586</v>
      </c>
      <c r="F258" t="s">
        <v>1056</v>
      </c>
      <c r="G258" t="s">
        <v>1057</v>
      </c>
      <c r="H258" t="s">
        <v>1359</v>
      </c>
      <c r="I258" t="s">
        <v>90</v>
      </c>
      <c r="J258" t="s">
        <v>90</v>
      </c>
      <c r="K258">
        <v>27.861616430000002</v>
      </c>
      <c r="L258">
        <v>6.1945874200000004</v>
      </c>
      <c r="M258">
        <v>5.5204752600000004</v>
      </c>
      <c r="N258">
        <v>5.2158004699999996</v>
      </c>
      <c r="O258">
        <v>5.424811</v>
      </c>
      <c r="P258">
        <v>39.405760594239403</v>
      </c>
      <c r="Q258">
        <v>58.32638146</v>
      </c>
      <c r="R258">
        <v>17.627082372917631</v>
      </c>
      <c r="S258" t="s">
        <v>30</v>
      </c>
      <c r="T258">
        <v>27.861616430000002</v>
      </c>
      <c r="U258" t="s">
        <v>2819</v>
      </c>
      <c r="V258" t="s">
        <v>1059</v>
      </c>
      <c r="W258" s="114" t="str">
        <f t="shared" ref="W258:W321" si="12">IF(V258="ETF_ETY","ETF",IF(V258="ETF_SOV","ETF",IF(V258="RF_SOV","SOV",IF(V258="-","Cuestionario Integra","Portafolio"))))</f>
        <v>ETF</v>
      </c>
      <c r="X258" s="114" t="str">
        <f t="shared" ref="X258:X321" si="13">IF(V258="ETF_ETY","Otros ETFs",IF(V258="ETF_SOV","Soberanos",W258))</f>
        <v>Otros ETFs</v>
      </c>
    </row>
    <row r="259" spans="1:24" hidden="1" x14ac:dyDescent="0.25">
      <c r="A259" s="114" t="str">
        <f t="shared" ref="A259:A322" si="14">RIGHT(LEFT(D259,6),4)</f>
        <v>7379</v>
      </c>
      <c r="B259" t="s">
        <v>1601</v>
      </c>
      <c r="C259" t="s">
        <v>1602</v>
      </c>
      <c r="D259" t="s">
        <v>1603</v>
      </c>
      <c r="E259" t="s">
        <v>586</v>
      </c>
      <c r="F259" t="s">
        <v>1056</v>
      </c>
      <c r="G259" t="s">
        <v>1163</v>
      </c>
      <c r="H259" t="s">
        <v>1164</v>
      </c>
      <c r="I259" t="s">
        <v>90</v>
      </c>
      <c r="J259" t="s">
        <v>90</v>
      </c>
      <c r="K259">
        <v>52.197093529999997</v>
      </c>
      <c r="L259">
        <v>7.7895988899999997</v>
      </c>
      <c r="M259">
        <v>6.4468530399999997</v>
      </c>
      <c r="N259">
        <v>5.3055304599999999</v>
      </c>
      <c r="O259">
        <v>6.7042825700000002</v>
      </c>
      <c r="P259">
        <v>24.169006181813192</v>
      </c>
      <c r="Q259">
        <v>82.445811329999998</v>
      </c>
      <c r="R259">
        <v>58.750179019502824</v>
      </c>
      <c r="S259" t="s">
        <v>1073</v>
      </c>
      <c r="T259">
        <v>52.197093529999997</v>
      </c>
      <c r="U259" t="s">
        <v>2819</v>
      </c>
      <c r="V259" t="s">
        <v>1059</v>
      </c>
      <c r="W259" s="114" t="str">
        <f t="shared" si="12"/>
        <v>ETF</v>
      </c>
      <c r="X259" s="114" t="str">
        <f t="shared" si="13"/>
        <v>Otros ETFs</v>
      </c>
    </row>
    <row r="260" spans="1:24" hidden="1" x14ac:dyDescent="0.25">
      <c r="A260" s="114" t="str">
        <f t="shared" si="14"/>
        <v>7379</v>
      </c>
      <c r="B260" t="s">
        <v>1604</v>
      </c>
      <c r="C260" t="s">
        <v>627</v>
      </c>
      <c r="D260" t="s">
        <v>626</v>
      </c>
      <c r="E260" t="s">
        <v>586</v>
      </c>
      <c r="F260" t="s">
        <v>1056</v>
      </c>
      <c r="G260" t="s">
        <v>1605</v>
      </c>
      <c r="H260" t="s">
        <v>1606</v>
      </c>
      <c r="I260" t="s">
        <v>90</v>
      </c>
      <c r="J260" t="s">
        <v>90</v>
      </c>
      <c r="K260">
        <v>178.55636718</v>
      </c>
      <c r="L260">
        <v>5.3462573600000001</v>
      </c>
      <c r="M260">
        <v>5.0726802800000002</v>
      </c>
      <c r="N260">
        <v>4.8110240099999997</v>
      </c>
      <c r="O260">
        <v>4.9016563800000004</v>
      </c>
      <c r="P260">
        <v>9.5429618281526878</v>
      </c>
      <c r="Q260">
        <v>337.30394324999997</v>
      </c>
      <c r="R260">
        <v>8.6084655661377347</v>
      </c>
      <c r="S260" t="s">
        <v>1063</v>
      </c>
      <c r="T260">
        <v>178.55636718</v>
      </c>
      <c r="U260" t="s">
        <v>2819</v>
      </c>
      <c r="V260" t="s">
        <v>1059</v>
      </c>
      <c r="W260" s="114" t="str">
        <f t="shared" si="12"/>
        <v>ETF</v>
      </c>
      <c r="X260" s="114" t="str">
        <f t="shared" si="13"/>
        <v>Otros ETFs</v>
      </c>
    </row>
    <row r="261" spans="1:24" hidden="1" x14ac:dyDescent="0.25">
      <c r="A261" s="114" t="str">
        <f t="shared" si="14"/>
        <v>7111</v>
      </c>
      <c r="B261" t="s">
        <v>1607</v>
      </c>
      <c r="C261" t="s">
        <v>1608</v>
      </c>
      <c r="D261" t="s">
        <v>1609</v>
      </c>
      <c r="E261" t="s">
        <v>586</v>
      </c>
      <c r="F261" t="s">
        <v>1056</v>
      </c>
      <c r="G261" t="s">
        <v>1375</v>
      </c>
      <c r="H261" t="s">
        <v>1376</v>
      </c>
      <c r="I261" t="s">
        <v>90</v>
      </c>
      <c r="J261" t="s">
        <v>90</v>
      </c>
      <c r="K261">
        <v>47.248674530000002</v>
      </c>
      <c r="L261">
        <v>7.6570397200000002</v>
      </c>
      <c r="M261">
        <v>5.9882069099999997</v>
      </c>
      <c r="N261">
        <v>5.5277096400000003</v>
      </c>
      <c r="O261">
        <v>6.3254411099999999</v>
      </c>
      <c r="P261">
        <v>6.7391012767551839</v>
      </c>
      <c r="Q261">
        <v>57.522601729999998</v>
      </c>
      <c r="R261">
        <v>36.174282531975003</v>
      </c>
      <c r="S261" t="s">
        <v>1073</v>
      </c>
      <c r="T261">
        <v>47.248674530000002</v>
      </c>
      <c r="U261" t="s">
        <v>2819</v>
      </c>
      <c r="V261" t="s">
        <v>1059</v>
      </c>
      <c r="W261" s="114" t="str">
        <f t="shared" si="12"/>
        <v>ETF</v>
      </c>
      <c r="X261" s="114" t="str">
        <f t="shared" si="13"/>
        <v>Otros ETFs</v>
      </c>
    </row>
    <row r="262" spans="1:24" hidden="1" x14ac:dyDescent="0.25">
      <c r="A262" s="114" t="str">
        <f t="shared" si="14"/>
        <v>7472</v>
      </c>
      <c r="B262" t="s">
        <v>1610</v>
      </c>
      <c r="C262" t="s">
        <v>1611</v>
      </c>
      <c r="D262" t="s">
        <v>1612</v>
      </c>
      <c r="E262" t="s">
        <v>586</v>
      </c>
      <c r="F262" t="s">
        <v>1056</v>
      </c>
      <c r="G262" t="s">
        <v>1290</v>
      </c>
      <c r="H262" t="s">
        <v>1291</v>
      </c>
      <c r="I262" t="s">
        <v>90</v>
      </c>
      <c r="J262" t="s">
        <v>90</v>
      </c>
      <c r="K262">
        <v>65.422340840000004</v>
      </c>
      <c r="L262">
        <v>5.8225335300000003</v>
      </c>
      <c r="M262">
        <v>5.5405146199999997</v>
      </c>
      <c r="N262">
        <v>4.8717634900000002</v>
      </c>
      <c r="O262">
        <v>5.1538315600000004</v>
      </c>
      <c r="P262">
        <v>17.439368618012299</v>
      </c>
      <c r="Q262">
        <v>139.35983619000001</v>
      </c>
      <c r="R262">
        <v>11.25028986318458</v>
      </c>
      <c r="S262" t="s">
        <v>30</v>
      </c>
      <c r="T262">
        <v>65.422340840000004</v>
      </c>
      <c r="U262" t="s">
        <v>2819</v>
      </c>
      <c r="V262" t="s">
        <v>1059</v>
      </c>
      <c r="W262" s="114" t="str">
        <f t="shared" si="12"/>
        <v>ETF</v>
      </c>
      <c r="X262" s="114" t="str">
        <f t="shared" si="13"/>
        <v>Otros ETFs</v>
      </c>
    </row>
    <row r="263" spans="1:24" hidden="1" x14ac:dyDescent="0.25">
      <c r="A263" s="114" t="str">
        <f t="shared" si="14"/>
        <v>7404</v>
      </c>
      <c r="B263" t="s">
        <v>5631</v>
      </c>
      <c r="C263" t="s">
        <v>5632</v>
      </c>
      <c r="D263" t="s">
        <v>5633</v>
      </c>
      <c r="E263" t="s">
        <v>586</v>
      </c>
      <c r="F263" t="s">
        <v>1056</v>
      </c>
      <c r="G263" t="s">
        <v>1057</v>
      </c>
      <c r="H263" t="s">
        <v>1212</v>
      </c>
      <c r="I263" t="s">
        <v>90</v>
      </c>
      <c r="J263" t="s">
        <v>90</v>
      </c>
      <c r="K263">
        <v>26.742295039999998</v>
      </c>
      <c r="L263">
        <v>6.5665889499999999</v>
      </c>
      <c r="M263">
        <v>4.17599038</v>
      </c>
      <c r="N263">
        <v>5.2080335199999999</v>
      </c>
      <c r="O263">
        <v>6.4967636400000002</v>
      </c>
      <c r="P263">
        <v>0</v>
      </c>
      <c r="Q263">
        <v>56.719042880000003</v>
      </c>
      <c r="R263">
        <v>25.449708322964479</v>
      </c>
      <c r="S263" t="s">
        <v>30</v>
      </c>
      <c r="T263">
        <v>26.742295039999998</v>
      </c>
      <c r="U263" t="s">
        <v>2819</v>
      </c>
      <c r="V263" t="s">
        <v>1059</v>
      </c>
      <c r="W263" s="114" t="str">
        <f t="shared" si="12"/>
        <v>ETF</v>
      </c>
      <c r="X263" s="114" t="str">
        <f t="shared" si="13"/>
        <v>Otros ETFs</v>
      </c>
    </row>
    <row r="264" spans="1:24" hidden="1" x14ac:dyDescent="0.25">
      <c r="A264" s="114" t="str">
        <f t="shared" si="14"/>
        <v>7111</v>
      </c>
      <c r="B264" t="s">
        <v>1613</v>
      </c>
      <c r="C264" t="s">
        <v>1614</v>
      </c>
      <c r="D264" t="s">
        <v>1615</v>
      </c>
      <c r="E264" t="s">
        <v>586</v>
      </c>
      <c r="F264" t="s">
        <v>1056</v>
      </c>
      <c r="G264" t="s">
        <v>1163</v>
      </c>
      <c r="H264" t="s">
        <v>1164</v>
      </c>
      <c r="I264" t="s">
        <v>90</v>
      </c>
      <c r="J264" t="s">
        <v>90</v>
      </c>
      <c r="K264">
        <v>61.731639360000003</v>
      </c>
      <c r="L264">
        <v>7.7970430100000003</v>
      </c>
      <c r="M264">
        <v>6.7745214799999998</v>
      </c>
      <c r="N264">
        <v>5.4755418200000001</v>
      </c>
      <c r="O264">
        <v>6.5466556300000001</v>
      </c>
      <c r="P264">
        <v>22.784382931033761</v>
      </c>
      <c r="Q264">
        <v>95.408714090000004</v>
      </c>
      <c r="R264">
        <v>52.066414431865716</v>
      </c>
      <c r="S264" t="s">
        <v>1073</v>
      </c>
      <c r="T264">
        <v>61.731639360000003</v>
      </c>
      <c r="U264" t="s">
        <v>2819</v>
      </c>
      <c r="V264" t="s">
        <v>1059</v>
      </c>
      <c r="W264" s="114" t="str">
        <f t="shared" si="12"/>
        <v>ETF</v>
      </c>
      <c r="X264" s="114" t="str">
        <f t="shared" si="13"/>
        <v>Otros ETFs</v>
      </c>
    </row>
    <row r="265" spans="1:24" hidden="1" x14ac:dyDescent="0.25">
      <c r="A265" s="114" t="str">
        <f t="shared" si="14"/>
        <v>7111</v>
      </c>
      <c r="B265" t="s">
        <v>6210</v>
      </c>
      <c r="C265" t="s">
        <v>1617</v>
      </c>
      <c r="D265" t="s">
        <v>1618</v>
      </c>
      <c r="E265" t="s">
        <v>586</v>
      </c>
      <c r="F265" t="s">
        <v>1056</v>
      </c>
      <c r="G265" t="s">
        <v>1071</v>
      </c>
      <c r="H265" t="s">
        <v>1445</v>
      </c>
      <c r="I265" t="s">
        <v>90</v>
      </c>
      <c r="J265" t="s">
        <v>90</v>
      </c>
      <c r="K265">
        <v>7.6555719900000003</v>
      </c>
      <c r="L265">
        <v>6.7492477500000003</v>
      </c>
      <c r="M265">
        <v>6.2774573499999997</v>
      </c>
      <c r="N265">
        <v>5.2321217200000003</v>
      </c>
      <c r="O265">
        <v>5.7832413899999997</v>
      </c>
      <c r="P265">
        <v>25.29414823511059</v>
      </c>
      <c r="Q265">
        <v>43.342453890000002</v>
      </c>
      <c r="R265">
        <v>27.463035221788669</v>
      </c>
      <c r="S265" t="s">
        <v>30</v>
      </c>
      <c r="T265">
        <v>7.6555719900000003</v>
      </c>
      <c r="U265" t="s">
        <v>2819</v>
      </c>
      <c r="V265" t="s">
        <v>1059</v>
      </c>
      <c r="W265" s="114" t="str">
        <f t="shared" si="12"/>
        <v>ETF</v>
      </c>
      <c r="X265" s="114" t="str">
        <f t="shared" si="13"/>
        <v>Otros ETFs</v>
      </c>
    </row>
    <row r="266" spans="1:24" hidden="1" x14ac:dyDescent="0.25">
      <c r="A266" s="114" t="str">
        <f t="shared" si="14"/>
        <v>7287</v>
      </c>
      <c r="B266" t="s">
        <v>1619</v>
      </c>
      <c r="C266" t="s">
        <v>1620</v>
      </c>
      <c r="D266" t="s">
        <v>1621</v>
      </c>
      <c r="E266" t="s">
        <v>586</v>
      </c>
      <c r="F266" t="s">
        <v>1056</v>
      </c>
      <c r="G266" t="s">
        <v>1136</v>
      </c>
      <c r="H266" t="s">
        <v>6144</v>
      </c>
      <c r="I266" t="s">
        <v>90</v>
      </c>
      <c r="J266" t="s">
        <v>90</v>
      </c>
      <c r="K266">
        <v>87.498187419999994</v>
      </c>
      <c r="L266">
        <v>6.40732079</v>
      </c>
      <c r="M266">
        <v>5.5354835900000001</v>
      </c>
      <c r="N266">
        <v>5.3751154100000003</v>
      </c>
      <c r="O266">
        <v>5.3144372400000002</v>
      </c>
      <c r="P266">
        <v>20.13463849771782</v>
      </c>
      <c r="Q266">
        <v>217.03334530000001</v>
      </c>
      <c r="R266">
        <v>12.454507650455991</v>
      </c>
      <c r="S266" t="s">
        <v>30</v>
      </c>
      <c r="T266">
        <v>87.498187419999994</v>
      </c>
      <c r="U266" t="s">
        <v>2819</v>
      </c>
      <c r="V266" t="s">
        <v>1059</v>
      </c>
      <c r="W266" s="114" t="str">
        <f t="shared" si="12"/>
        <v>ETF</v>
      </c>
      <c r="X266" s="114" t="str">
        <f t="shared" si="13"/>
        <v>Otros ETFs</v>
      </c>
    </row>
    <row r="267" spans="1:24" hidden="1" x14ac:dyDescent="0.25">
      <c r="A267" s="114" t="str">
        <f t="shared" si="14"/>
        <v>7111</v>
      </c>
      <c r="B267" t="s">
        <v>1622</v>
      </c>
      <c r="C267" t="s">
        <v>1623</v>
      </c>
      <c r="D267" t="s">
        <v>1624</v>
      </c>
      <c r="E267" t="s">
        <v>586</v>
      </c>
      <c r="F267" t="s">
        <v>1056</v>
      </c>
      <c r="G267" t="s">
        <v>1625</v>
      </c>
      <c r="H267" t="s">
        <v>1626</v>
      </c>
      <c r="I267" t="s">
        <v>90</v>
      </c>
      <c r="J267" t="s">
        <v>90</v>
      </c>
      <c r="K267">
        <v>105.58160115</v>
      </c>
      <c r="L267">
        <v>5.1767560799999996</v>
      </c>
      <c r="M267">
        <v>4.5126748900000004</v>
      </c>
      <c r="N267">
        <v>5.5083218199999999</v>
      </c>
      <c r="O267">
        <v>3.9620589700000002</v>
      </c>
      <c r="P267">
        <v>0</v>
      </c>
      <c r="Q267">
        <v>717.83319495000001</v>
      </c>
      <c r="R267">
        <v>0.75102385087854295</v>
      </c>
      <c r="S267" t="s">
        <v>1063</v>
      </c>
      <c r="T267">
        <v>105.58160115</v>
      </c>
      <c r="U267" t="s">
        <v>2819</v>
      </c>
      <c r="V267" t="s">
        <v>1059</v>
      </c>
      <c r="W267" s="114" t="str">
        <f t="shared" si="12"/>
        <v>ETF</v>
      </c>
      <c r="X267" s="114" t="str">
        <f t="shared" si="13"/>
        <v>Otros ETFs</v>
      </c>
    </row>
    <row r="268" spans="1:24" hidden="1" x14ac:dyDescent="0.25">
      <c r="A268" s="114" t="str">
        <f t="shared" si="14"/>
        <v>7111</v>
      </c>
      <c r="B268" t="s">
        <v>1627</v>
      </c>
      <c r="C268" t="s">
        <v>1628</v>
      </c>
      <c r="D268" t="s">
        <v>1629</v>
      </c>
      <c r="E268" t="s">
        <v>586</v>
      </c>
      <c r="F268" t="s">
        <v>1056</v>
      </c>
      <c r="G268" t="s">
        <v>1057</v>
      </c>
      <c r="H268" t="s">
        <v>1058</v>
      </c>
      <c r="I268" t="s">
        <v>90</v>
      </c>
      <c r="J268" t="s">
        <v>90</v>
      </c>
      <c r="K268">
        <v>24.043501819999999</v>
      </c>
      <c r="L268">
        <v>6.4210064999999998</v>
      </c>
      <c r="M268">
        <v>5.9395476299999999</v>
      </c>
      <c r="N268">
        <v>5.0945919499999999</v>
      </c>
      <c r="O268">
        <v>5.67762718</v>
      </c>
      <c r="P268">
        <v>33.558295064929872</v>
      </c>
      <c r="Q268">
        <v>73.444661300000007</v>
      </c>
      <c r="R268">
        <v>22.909126818845952</v>
      </c>
      <c r="S268" t="s">
        <v>30</v>
      </c>
      <c r="T268">
        <v>24.043501819999999</v>
      </c>
      <c r="U268" t="s">
        <v>2819</v>
      </c>
      <c r="V268" t="s">
        <v>1059</v>
      </c>
      <c r="W268" s="114" t="str">
        <f t="shared" si="12"/>
        <v>ETF</v>
      </c>
      <c r="X268" s="114" t="str">
        <f t="shared" si="13"/>
        <v>Otros ETFs</v>
      </c>
    </row>
    <row r="269" spans="1:24" hidden="1" x14ac:dyDescent="0.25">
      <c r="A269" s="114" t="str">
        <f t="shared" si="14"/>
        <v>7111</v>
      </c>
      <c r="B269" t="s">
        <v>1630</v>
      </c>
      <c r="C269" t="s">
        <v>1631</v>
      </c>
      <c r="D269" t="s">
        <v>1632</v>
      </c>
      <c r="E269" t="s">
        <v>586</v>
      </c>
      <c r="F269" t="s">
        <v>1056</v>
      </c>
      <c r="G269" t="s">
        <v>1057</v>
      </c>
      <c r="H269" t="s">
        <v>1456</v>
      </c>
      <c r="I269" t="s">
        <v>90</v>
      </c>
      <c r="J269" t="s">
        <v>90</v>
      </c>
      <c r="K269">
        <v>55.558979000000001</v>
      </c>
      <c r="L269">
        <v>5.9687469200000001</v>
      </c>
      <c r="M269">
        <v>5.0395657099999998</v>
      </c>
      <c r="N269">
        <v>4.7299734899999999</v>
      </c>
      <c r="O269">
        <v>5.9025872899999996</v>
      </c>
      <c r="P269">
        <v>4.77868832789403</v>
      </c>
      <c r="Q269">
        <v>280.67844875999998</v>
      </c>
      <c r="R269">
        <v>21.41725859090036</v>
      </c>
      <c r="S269" t="s">
        <v>30</v>
      </c>
      <c r="T269">
        <v>55.558979000000001</v>
      </c>
      <c r="U269" t="s">
        <v>2819</v>
      </c>
      <c r="V269" t="s">
        <v>1059</v>
      </c>
      <c r="W269" s="114" t="str">
        <f t="shared" si="12"/>
        <v>ETF</v>
      </c>
      <c r="X269" s="114" t="str">
        <f t="shared" si="13"/>
        <v>Otros ETFs</v>
      </c>
    </row>
    <row r="270" spans="1:24" hidden="1" x14ac:dyDescent="0.25">
      <c r="A270" s="114" t="str">
        <f t="shared" si="14"/>
        <v>7552</v>
      </c>
      <c r="B270" t="s">
        <v>1633</v>
      </c>
      <c r="C270" t="s">
        <v>1634</v>
      </c>
      <c r="D270" t="s">
        <v>1635</v>
      </c>
      <c r="E270" t="s">
        <v>586</v>
      </c>
      <c r="F270" t="s">
        <v>1056</v>
      </c>
      <c r="G270" t="s">
        <v>1057</v>
      </c>
      <c r="H270" t="s">
        <v>6153</v>
      </c>
      <c r="I270" t="s">
        <v>90</v>
      </c>
      <c r="J270" t="s">
        <v>90</v>
      </c>
      <c r="K270">
        <v>1.63849581</v>
      </c>
      <c r="L270">
        <v>7.5091097199999997</v>
      </c>
      <c r="M270">
        <v>6.9393192600000004</v>
      </c>
      <c r="N270">
        <v>5.1435346800000001</v>
      </c>
      <c r="O270">
        <v>6.4066849299999999</v>
      </c>
      <c r="P270">
        <v>0</v>
      </c>
      <c r="Q270">
        <v>9.3892658900000008</v>
      </c>
      <c r="R270">
        <v>31.307972912975131</v>
      </c>
      <c r="S270" t="s">
        <v>1073</v>
      </c>
      <c r="T270">
        <v>1.63849581</v>
      </c>
      <c r="U270" t="s">
        <v>2819</v>
      </c>
      <c r="V270" t="s">
        <v>1059</v>
      </c>
      <c r="W270" s="114" t="str">
        <f t="shared" si="12"/>
        <v>ETF</v>
      </c>
      <c r="X270" s="114" t="str">
        <f t="shared" si="13"/>
        <v>Otros ETFs</v>
      </c>
    </row>
    <row r="271" spans="1:24" hidden="1" x14ac:dyDescent="0.25">
      <c r="A271" s="114" t="str">
        <f t="shared" si="14"/>
        <v>7111</v>
      </c>
      <c r="B271" t="s">
        <v>1636</v>
      </c>
      <c r="C271" t="s">
        <v>1637</v>
      </c>
      <c r="D271" t="s">
        <v>1638</v>
      </c>
      <c r="E271" t="s">
        <v>586</v>
      </c>
      <c r="F271" t="s">
        <v>1056</v>
      </c>
      <c r="G271" t="s">
        <v>1057</v>
      </c>
      <c r="H271" t="s">
        <v>1288</v>
      </c>
      <c r="I271" t="s">
        <v>90</v>
      </c>
      <c r="J271" t="s">
        <v>90</v>
      </c>
      <c r="K271">
        <v>142.90975118</v>
      </c>
      <c r="L271">
        <v>6.0750898199999996</v>
      </c>
      <c r="M271">
        <v>5.4382164800000004</v>
      </c>
      <c r="N271">
        <v>4.5210392700000002</v>
      </c>
      <c r="O271">
        <v>5.8919320500000003</v>
      </c>
      <c r="P271">
        <v>12.701638104914309</v>
      </c>
      <c r="Q271">
        <v>304.94767075999999</v>
      </c>
      <c r="R271">
        <v>17.559252677758028</v>
      </c>
      <c r="S271" t="s">
        <v>30</v>
      </c>
      <c r="T271">
        <v>142.90975118</v>
      </c>
      <c r="U271" t="s">
        <v>2819</v>
      </c>
      <c r="V271" t="s">
        <v>1059</v>
      </c>
      <c r="W271" s="114" t="str">
        <f t="shared" si="12"/>
        <v>ETF</v>
      </c>
      <c r="X271" s="114" t="str">
        <f t="shared" si="13"/>
        <v>Otros ETFs</v>
      </c>
    </row>
    <row r="272" spans="1:24" hidden="1" x14ac:dyDescent="0.25">
      <c r="A272" s="114" t="str">
        <f t="shared" si="14"/>
        <v>7111</v>
      </c>
      <c r="B272" t="s">
        <v>1639</v>
      </c>
      <c r="C272" t="s">
        <v>857</v>
      </c>
      <c r="D272" t="s">
        <v>856</v>
      </c>
      <c r="E272" t="s">
        <v>586</v>
      </c>
      <c r="F272" t="s">
        <v>1056</v>
      </c>
      <c r="G272" t="s">
        <v>1136</v>
      </c>
      <c r="H272" t="s">
        <v>6144</v>
      </c>
      <c r="I272" t="s">
        <v>90</v>
      </c>
      <c r="J272" t="s">
        <v>90</v>
      </c>
      <c r="K272">
        <v>115.44900221</v>
      </c>
      <c r="L272">
        <v>6.5081611600000002</v>
      </c>
      <c r="M272">
        <v>5.4772830900000002</v>
      </c>
      <c r="N272">
        <v>5.5415323799999996</v>
      </c>
      <c r="O272">
        <v>5.4559428800000003</v>
      </c>
      <c r="P272">
        <v>15.528439127151319</v>
      </c>
      <c r="Q272">
        <v>294.14052600999997</v>
      </c>
      <c r="R272">
        <v>12.90691203942923</v>
      </c>
      <c r="S272" t="s">
        <v>30</v>
      </c>
      <c r="T272">
        <v>115.44900221</v>
      </c>
      <c r="U272" t="s">
        <v>2819</v>
      </c>
      <c r="V272" t="s">
        <v>1059</v>
      </c>
      <c r="W272" s="114" t="str">
        <f t="shared" si="12"/>
        <v>ETF</v>
      </c>
      <c r="X272" s="114" t="str">
        <f t="shared" si="13"/>
        <v>Otros ETFs</v>
      </c>
    </row>
    <row r="273" spans="1:24" hidden="1" x14ac:dyDescent="0.25">
      <c r="A273" s="114" t="str">
        <f t="shared" si="14"/>
        <v>7472</v>
      </c>
      <c r="B273" t="s">
        <v>1640</v>
      </c>
      <c r="C273" t="s">
        <v>1641</v>
      </c>
      <c r="D273" t="s">
        <v>1642</v>
      </c>
      <c r="E273" t="s">
        <v>586</v>
      </c>
      <c r="F273" t="s">
        <v>1056</v>
      </c>
      <c r="G273" t="s">
        <v>1290</v>
      </c>
      <c r="H273" t="s">
        <v>1291</v>
      </c>
      <c r="I273" t="s">
        <v>90</v>
      </c>
      <c r="J273" t="s">
        <v>90</v>
      </c>
      <c r="K273">
        <v>114.30758043</v>
      </c>
      <c r="L273">
        <v>7.0205421699999997</v>
      </c>
      <c r="M273">
        <v>7.1836492300000003</v>
      </c>
      <c r="N273">
        <v>4.7969063299999997</v>
      </c>
      <c r="O273">
        <v>4.9521977899999996</v>
      </c>
      <c r="P273">
        <v>11.06372092465493</v>
      </c>
      <c r="Q273">
        <v>469.88528245999998</v>
      </c>
      <c r="R273">
        <v>7.7720460968385368</v>
      </c>
      <c r="S273" t="s">
        <v>30</v>
      </c>
      <c r="T273">
        <v>114.30758043</v>
      </c>
      <c r="U273" t="s">
        <v>2819</v>
      </c>
      <c r="V273" t="s">
        <v>1059</v>
      </c>
      <c r="W273" s="114" t="str">
        <f t="shared" si="12"/>
        <v>ETF</v>
      </c>
      <c r="X273" s="114" t="str">
        <f t="shared" si="13"/>
        <v>Otros ETFs</v>
      </c>
    </row>
    <row r="274" spans="1:24" hidden="1" x14ac:dyDescent="0.25">
      <c r="A274" s="114" t="str">
        <f t="shared" si="14"/>
        <v>7555</v>
      </c>
      <c r="B274" t="s">
        <v>5791</v>
      </c>
      <c r="C274" t="s">
        <v>5792</v>
      </c>
      <c r="D274" t="s">
        <v>5793</v>
      </c>
      <c r="E274" t="s">
        <v>586</v>
      </c>
      <c r="F274" t="s">
        <v>1056</v>
      </c>
      <c r="G274" t="s">
        <v>1057</v>
      </c>
      <c r="H274" t="s">
        <v>1058</v>
      </c>
      <c r="I274" t="s">
        <v>90</v>
      </c>
      <c r="J274" t="s">
        <v>90</v>
      </c>
      <c r="K274">
        <v>22.196389369999999</v>
      </c>
      <c r="L274">
        <v>6.7375099699999996</v>
      </c>
      <c r="M274">
        <v>5.6396685299999998</v>
      </c>
      <c r="N274">
        <v>5.2290940199999998</v>
      </c>
      <c r="O274">
        <v>6.0563741599999998</v>
      </c>
      <c r="P274">
        <v>18.446300000000001</v>
      </c>
      <c r="Q274">
        <v>82.630306200000007</v>
      </c>
      <c r="R274">
        <v>23.9163</v>
      </c>
      <c r="S274" t="s">
        <v>30</v>
      </c>
      <c r="T274">
        <v>22.196389369999999</v>
      </c>
      <c r="U274" t="s">
        <v>2819</v>
      </c>
      <c r="V274" t="s">
        <v>1059</v>
      </c>
      <c r="W274" s="114" t="str">
        <f t="shared" si="12"/>
        <v>ETF</v>
      </c>
      <c r="X274" s="114" t="str">
        <f t="shared" si="13"/>
        <v>Otros ETFs</v>
      </c>
    </row>
    <row r="275" spans="1:24" hidden="1" x14ac:dyDescent="0.25">
      <c r="A275" s="114" t="str">
        <f t="shared" si="14"/>
        <v>7472</v>
      </c>
      <c r="B275" t="s">
        <v>1643</v>
      </c>
      <c r="C275" t="s">
        <v>1644</v>
      </c>
      <c r="D275" t="s">
        <v>1645</v>
      </c>
      <c r="E275" t="s">
        <v>586</v>
      </c>
      <c r="F275" t="s">
        <v>1056</v>
      </c>
      <c r="G275" t="s">
        <v>1071</v>
      </c>
      <c r="H275" t="s">
        <v>1328</v>
      </c>
      <c r="I275" t="s">
        <v>90</v>
      </c>
      <c r="J275" t="s">
        <v>90</v>
      </c>
      <c r="K275">
        <v>45.173572</v>
      </c>
      <c r="L275">
        <v>6.96975064</v>
      </c>
      <c r="M275">
        <v>6.3732198799999997</v>
      </c>
      <c r="N275">
        <v>4.3969097899999996</v>
      </c>
      <c r="O275">
        <v>5.41281357</v>
      </c>
      <c r="P275">
        <v>12.680423917456499</v>
      </c>
      <c r="Q275">
        <v>116.93473449</v>
      </c>
      <c r="R275">
        <v>17.273896356621862</v>
      </c>
      <c r="S275" t="s">
        <v>30</v>
      </c>
      <c r="T275">
        <v>45.173572</v>
      </c>
      <c r="U275" t="s">
        <v>2819</v>
      </c>
      <c r="V275" t="s">
        <v>1059</v>
      </c>
      <c r="W275" s="114" t="str">
        <f t="shared" si="12"/>
        <v>ETF</v>
      </c>
      <c r="X275" s="114" t="str">
        <f t="shared" si="13"/>
        <v>Otros ETFs</v>
      </c>
    </row>
    <row r="276" spans="1:24" hidden="1" x14ac:dyDescent="0.25">
      <c r="A276" s="114" t="str">
        <f t="shared" si="14"/>
        <v>7472</v>
      </c>
      <c r="B276" t="s">
        <v>1646</v>
      </c>
      <c r="C276" t="s">
        <v>1647</v>
      </c>
      <c r="D276" t="s">
        <v>1648</v>
      </c>
      <c r="E276" t="s">
        <v>586</v>
      </c>
      <c r="F276" t="s">
        <v>1056</v>
      </c>
      <c r="G276" t="s">
        <v>1290</v>
      </c>
      <c r="H276" t="s">
        <v>1291</v>
      </c>
      <c r="I276" t="s">
        <v>90</v>
      </c>
      <c r="J276" t="s">
        <v>90</v>
      </c>
      <c r="K276">
        <v>20.091064379999999</v>
      </c>
      <c r="L276">
        <v>6.9429941599999996</v>
      </c>
      <c r="M276">
        <v>6.21822403</v>
      </c>
      <c r="N276">
        <v>5.3114101199999997</v>
      </c>
      <c r="O276">
        <v>5.7269057300000004</v>
      </c>
      <c r="P276">
        <v>1.671029132074265</v>
      </c>
      <c r="Q276">
        <v>90.904538169999995</v>
      </c>
      <c r="R276">
        <v>14.58032882895038</v>
      </c>
      <c r="S276" t="s">
        <v>30</v>
      </c>
      <c r="T276">
        <v>20.091064379999999</v>
      </c>
      <c r="U276" t="s">
        <v>2819</v>
      </c>
      <c r="V276" t="s">
        <v>1059</v>
      </c>
      <c r="W276" s="114" t="str">
        <f t="shared" si="12"/>
        <v>ETF</v>
      </c>
      <c r="X276" s="114" t="str">
        <f t="shared" si="13"/>
        <v>Otros ETFs</v>
      </c>
    </row>
    <row r="277" spans="1:24" hidden="1" x14ac:dyDescent="0.25">
      <c r="A277" s="114" t="str">
        <f t="shared" si="14"/>
        <v>7393</v>
      </c>
      <c r="B277" t="s">
        <v>6211</v>
      </c>
      <c r="C277" t="s">
        <v>859</v>
      </c>
      <c r="D277" t="s">
        <v>858</v>
      </c>
      <c r="E277" t="s">
        <v>586</v>
      </c>
      <c r="F277" t="s">
        <v>1056</v>
      </c>
      <c r="G277" t="s">
        <v>1057</v>
      </c>
      <c r="H277" t="s">
        <v>1250</v>
      </c>
      <c r="I277" t="s">
        <v>90</v>
      </c>
      <c r="J277" t="s">
        <v>90</v>
      </c>
      <c r="K277">
        <v>3.5921581499999999</v>
      </c>
      <c r="L277">
        <v>4.4374387500000001</v>
      </c>
      <c r="M277">
        <v>8.6987292499999995</v>
      </c>
      <c r="N277">
        <v>4.4753738199999997</v>
      </c>
      <c r="O277">
        <v>4.0743441300000001</v>
      </c>
      <c r="P277">
        <v>40.616430898264127</v>
      </c>
      <c r="Q277">
        <v>10.94978775</v>
      </c>
      <c r="R277">
        <v>4.5289310356194923</v>
      </c>
      <c r="S277" t="s">
        <v>1063</v>
      </c>
      <c r="T277">
        <v>3.5921581499999999</v>
      </c>
      <c r="U277" t="s">
        <v>2819</v>
      </c>
      <c r="V277" t="s">
        <v>1059</v>
      </c>
      <c r="W277" s="114" t="str">
        <f t="shared" si="12"/>
        <v>ETF</v>
      </c>
      <c r="X277" s="114" t="str">
        <f t="shared" si="13"/>
        <v>Otros ETFs</v>
      </c>
    </row>
    <row r="278" spans="1:24" hidden="1" x14ac:dyDescent="0.25">
      <c r="A278" s="114" t="str">
        <f t="shared" si="14"/>
        <v>7555</v>
      </c>
      <c r="B278" t="s">
        <v>1650</v>
      </c>
      <c r="C278" t="s">
        <v>686</v>
      </c>
      <c r="D278" t="s">
        <v>685</v>
      </c>
      <c r="E278" t="s">
        <v>586</v>
      </c>
      <c r="F278" t="s">
        <v>1056</v>
      </c>
      <c r="G278" t="s">
        <v>1375</v>
      </c>
      <c r="H278" t="s">
        <v>1376</v>
      </c>
      <c r="I278" t="s">
        <v>90</v>
      </c>
      <c r="J278" t="s">
        <v>90</v>
      </c>
      <c r="K278">
        <v>50.177049429999997</v>
      </c>
      <c r="L278">
        <v>7.6138807000000002</v>
      </c>
      <c r="M278">
        <v>5.9907819599999996</v>
      </c>
      <c r="N278">
        <v>5.5217526000000001</v>
      </c>
      <c r="O278">
        <v>6.2772606700000004</v>
      </c>
      <c r="P278">
        <v>6.7174335871679363</v>
      </c>
      <c r="Q278">
        <v>60.945659460000002</v>
      </c>
      <c r="R278">
        <v>34.660373301866507</v>
      </c>
      <c r="S278" t="s">
        <v>1073</v>
      </c>
      <c r="T278">
        <v>50.177049429999997</v>
      </c>
      <c r="U278" t="s">
        <v>2819</v>
      </c>
      <c r="V278" t="s">
        <v>1059</v>
      </c>
      <c r="W278" s="114" t="str">
        <f t="shared" si="12"/>
        <v>ETF</v>
      </c>
      <c r="X278" s="114" t="str">
        <f t="shared" si="13"/>
        <v>Otros ETFs</v>
      </c>
    </row>
    <row r="279" spans="1:24" hidden="1" x14ac:dyDescent="0.25">
      <c r="A279" s="114" t="str">
        <f t="shared" si="14"/>
        <v>7555</v>
      </c>
      <c r="B279" t="s">
        <v>5794</v>
      </c>
      <c r="C279" t="s">
        <v>5795</v>
      </c>
      <c r="D279" t="s">
        <v>5796</v>
      </c>
      <c r="E279" t="s">
        <v>586</v>
      </c>
      <c r="F279" t="s">
        <v>1056</v>
      </c>
      <c r="G279" t="s">
        <v>1163</v>
      </c>
      <c r="H279" t="s">
        <v>1164</v>
      </c>
      <c r="I279" t="s">
        <v>90</v>
      </c>
      <c r="J279" t="s">
        <v>90</v>
      </c>
      <c r="K279">
        <v>54.340241480000003</v>
      </c>
      <c r="L279">
        <v>7.7968203300000001</v>
      </c>
      <c r="M279">
        <v>6.4118575299999998</v>
      </c>
      <c r="N279">
        <v>5.2932941400000004</v>
      </c>
      <c r="O279">
        <v>6.6750503600000002</v>
      </c>
      <c r="P279">
        <v>25.83825739659467</v>
      </c>
      <c r="Q279">
        <v>89.860871209999999</v>
      </c>
      <c r="R279">
        <v>62.908478921942638</v>
      </c>
      <c r="S279" t="s">
        <v>1073</v>
      </c>
      <c r="T279">
        <v>54.340241480000003</v>
      </c>
      <c r="U279" t="s">
        <v>2819</v>
      </c>
      <c r="V279" t="s">
        <v>1059</v>
      </c>
      <c r="W279" s="114" t="str">
        <f t="shared" si="12"/>
        <v>ETF</v>
      </c>
      <c r="X279" s="114" t="str">
        <f t="shared" si="13"/>
        <v>Otros ETFs</v>
      </c>
    </row>
    <row r="280" spans="1:24" hidden="1" x14ac:dyDescent="0.25">
      <c r="A280" s="114" t="str">
        <f t="shared" si="14"/>
        <v>7287</v>
      </c>
      <c r="B280" t="s">
        <v>1651</v>
      </c>
      <c r="C280" t="s">
        <v>1652</v>
      </c>
      <c r="D280" t="s">
        <v>1653</v>
      </c>
      <c r="E280" t="s">
        <v>586</v>
      </c>
      <c r="F280" t="s">
        <v>1056</v>
      </c>
      <c r="G280" t="s">
        <v>1057</v>
      </c>
      <c r="H280" t="s">
        <v>6153</v>
      </c>
      <c r="I280" t="s">
        <v>90</v>
      </c>
      <c r="J280" t="s">
        <v>90</v>
      </c>
      <c r="K280">
        <v>2.1677847300000002</v>
      </c>
      <c r="L280">
        <v>7.0546124600000004</v>
      </c>
      <c r="M280">
        <v>5.6903117300000003</v>
      </c>
      <c r="N280">
        <v>5.4630747</v>
      </c>
      <c r="O280">
        <v>5.8419171900000002</v>
      </c>
      <c r="P280">
        <v>0</v>
      </c>
      <c r="Q280">
        <v>15.893523419999999</v>
      </c>
      <c r="R280">
        <v>9.5752433371552872</v>
      </c>
      <c r="S280" t="s">
        <v>30</v>
      </c>
      <c r="T280">
        <v>2.1677847300000002</v>
      </c>
      <c r="U280" t="s">
        <v>2819</v>
      </c>
      <c r="V280" t="s">
        <v>1059</v>
      </c>
      <c r="W280" s="114" t="str">
        <f t="shared" si="12"/>
        <v>ETF</v>
      </c>
      <c r="X280" s="114" t="str">
        <f t="shared" si="13"/>
        <v>Otros ETFs</v>
      </c>
    </row>
    <row r="281" spans="1:24" hidden="1" x14ac:dyDescent="0.25">
      <c r="A281" s="114" t="str">
        <f t="shared" si="14"/>
        <v>7512</v>
      </c>
      <c r="B281" t="s">
        <v>5065</v>
      </c>
      <c r="C281" t="s">
        <v>5066</v>
      </c>
      <c r="D281" t="s">
        <v>5067</v>
      </c>
      <c r="E281" t="s">
        <v>586</v>
      </c>
      <c r="F281" t="s">
        <v>1056</v>
      </c>
      <c r="G281" t="s">
        <v>1057</v>
      </c>
      <c r="H281" t="s">
        <v>1058</v>
      </c>
      <c r="I281" t="s">
        <v>90</v>
      </c>
      <c r="J281" t="s">
        <v>90</v>
      </c>
      <c r="K281">
        <v>9.1941971099999993</v>
      </c>
      <c r="L281">
        <v>6.2530058200000003</v>
      </c>
      <c r="M281">
        <v>6.1093209499999999</v>
      </c>
      <c r="N281">
        <v>5.2195737299999996</v>
      </c>
      <c r="O281">
        <v>5.4374070000000003</v>
      </c>
      <c r="P281">
        <v>28.967280848464611</v>
      </c>
      <c r="Q281">
        <v>53.957087549999997</v>
      </c>
      <c r="R281">
        <v>14.95139962871176</v>
      </c>
      <c r="S281" t="s">
        <v>30</v>
      </c>
      <c r="T281">
        <v>9.1941971099999993</v>
      </c>
      <c r="U281" t="s">
        <v>2819</v>
      </c>
      <c r="V281" t="s">
        <v>1059</v>
      </c>
      <c r="W281" s="114" t="str">
        <f t="shared" si="12"/>
        <v>ETF</v>
      </c>
      <c r="X281" s="114" t="str">
        <f t="shared" si="13"/>
        <v>Otros ETFs</v>
      </c>
    </row>
    <row r="282" spans="1:24" hidden="1" x14ac:dyDescent="0.25">
      <c r="A282" s="114" t="str">
        <f t="shared" si="14"/>
        <v>7512</v>
      </c>
      <c r="B282" t="s">
        <v>5065</v>
      </c>
      <c r="C282" t="s">
        <v>5066</v>
      </c>
      <c r="D282" t="s">
        <v>5068</v>
      </c>
      <c r="E282" t="s">
        <v>586</v>
      </c>
      <c r="F282" t="s">
        <v>1056</v>
      </c>
      <c r="G282" t="s">
        <v>1057</v>
      </c>
      <c r="H282" t="s">
        <v>1058</v>
      </c>
      <c r="I282" t="s">
        <v>90</v>
      </c>
      <c r="J282" t="s">
        <v>90</v>
      </c>
      <c r="K282">
        <v>9.1941971099999993</v>
      </c>
      <c r="L282">
        <v>6.2530058200000003</v>
      </c>
      <c r="M282">
        <v>6.1093209499999999</v>
      </c>
      <c r="N282">
        <v>5.2195737299999996</v>
      </c>
      <c r="O282">
        <v>5.4374070000000003</v>
      </c>
      <c r="P282">
        <v>28.967280848464611</v>
      </c>
      <c r="Q282">
        <v>53.957087549999997</v>
      </c>
      <c r="R282">
        <v>14.95139962871176</v>
      </c>
      <c r="S282" t="s">
        <v>30</v>
      </c>
      <c r="T282">
        <v>9.1941971099999993</v>
      </c>
      <c r="U282" t="s">
        <v>2819</v>
      </c>
      <c r="V282" t="s">
        <v>1059</v>
      </c>
      <c r="W282" s="114" t="str">
        <f t="shared" si="12"/>
        <v>ETF</v>
      </c>
      <c r="X282" s="114" t="str">
        <f t="shared" si="13"/>
        <v>Otros ETFs</v>
      </c>
    </row>
    <row r="283" spans="1:24" hidden="1" x14ac:dyDescent="0.25">
      <c r="A283" s="114" t="str">
        <f t="shared" si="14"/>
        <v>7528</v>
      </c>
      <c r="B283" t="s">
        <v>6212</v>
      </c>
      <c r="C283" t="s">
        <v>6213</v>
      </c>
      <c r="D283" t="s">
        <v>6214</v>
      </c>
      <c r="E283" t="s">
        <v>586</v>
      </c>
      <c r="F283" t="s">
        <v>1056</v>
      </c>
      <c r="G283" t="s">
        <v>1071</v>
      </c>
      <c r="H283" t="s">
        <v>6153</v>
      </c>
      <c r="I283" t="s">
        <v>90</v>
      </c>
      <c r="J283" t="s">
        <v>90</v>
      </c>
      <c r="K283">
        <v>42.912985669999998</v>
      </c>
      <c r="L283">
        <v>7.3499389099999997</v>
      </c>
      <c r="M283">
        <v>5.75850989</v>
      </c>
      <c r="N283">
        <v>6.2137079799999997</v>
      </c>
      <c r="O283">
        <v>6.0114541700000004</v>
      </c>
      <c r="P283">
        <v>0</v>
      </c>
      <c r="Q283">
        <v>284.69004009999998</v>
      </c>
      <c r="R283">
        <v>23.34077689296479</v>
      </c>
      <c r="S283" t="s">
        <v>1073</v>
      </c>
      <c r="T283">
        <v>42.912985669999998</v>
      </c>
      <c r="U283" t="s">
        <v>2819</v>
      </c>
      <c r="V283" t="s">
        <v>1059</v>
      </c>
      <c r="W283" s="114" t="str">
        <f t="shared" si="12"/>
        <v>ETF</v>
      </c>
      <c r="X283" s="114" t="str">
        <f t="shared" si="13"/>
        <v>Otros ETFs</v>
      </c>
    </row>
    <row r="284" spans="1:24" hidden="1" x14ac:dyDescent="0.25">
      <c r="A284" s="114" t="str">
        <f t="shared" si="14"/>
        <v>7111</v>
      </c>
      <c r="B284" t="s">
        <v>6215</v>
      </c>
      <c r="C284" t="s">
        <v>613</v>
      </c>
      <c r="D284" t="s">
        <v>612</v>
      </c>
      <c r="E284" t="s">
        <v>586</v>
      </c>
      <c r="F284" t="s">
        <v>1056</v>
      </c>
      <c r="G284" t="s">
        <v>1260</v>
      </c>
      <c r="H284" t="s">
        <v>1261</v>
      </c>
      <c r="I284" t="s">
        <v>90</v>
      </c>
      <c r="J284" t="s">
        <v>90</v>
      </c>
      <c r="K284">
        <v>30.54927515</v>
      </c>
      <c r="L284">
        <v>8.1161049700000003</v>
      </c>
      <c r="M284">
        <v>6.7009841100000003</v>
      </c>
      <c r="N284">
        <v>5.3957143900000002</v>
      </c>
      <c r="O284">
        <v>6.7053418499999999</v>
      </c>
      <c r="P284">
        <v>17.95035639714882</v>
      </c>
      <c r="Q284">
        <v>47.22543958</v>
      </c>
      <c r="R284">
        <v>63.311393508851928</v>
      </c>
      <c r="S284" t="s">
        <v>1073</v>
      </c>
      <c r="T284">
        <v>30.54927515</v>
      </c>
      <c r="U284" t="s">
        <v>2819</v>
      </c>
      <c r="V284" t="s">
        <v>1059</v>
      </c>
      <c r="W284" s="114" t="str">
        <f t="shared" si="12"/>
        <v>ETF</v>
      </c>
      <c r="X284" s="114" t="str">
        <f t="shared" si="13"/>
        <v>Otros ETFs</v>
      </c>
    </row>
    <row r="285" spans="1:24" hidden="1" x14ac:dyDescent="0.25">
      <c r="A285" s="114" t="str">
        <f t="shared" si="14"/>
        <v>7111</v>
      </c>
      <c r="B285" t="s">
        <v>6216</v>
      </c>
      <c r="C285" t="s">
        <v>1657</v>
      </c>
      <c r="D285" t="s">
        <v>1658</v>
      </c>
      <c r="E285" t="s">
        <v>586</v>
      </c>
      <c r="F285" t="s">
        <v>1056</v>
      </c>
      <c r="G285" t="s">
        <v>1057</v>
      </c>
      <c r="H285" t="s">
        <v>1058</v>
      </c>
      <c r="I285" t="s">
        <v>90</v>
      </c>
      <c r="J285" t="s">
        <v>90</v>
      </c>
      <c r="K285">
        <v>15.23441661</v>
      </c>
      <c r="L285">
        <v>6.5530362499999999</v>
      </c>
      <c r="M285">
        <v>6.3207776899999999</v>
      </c>
      <c r="N285">
        <v>5.1965844299999997</v>
      </c>
      <c r="O285">
        <v>5.61261265</v>
      </c>
      <c r="P285">
        <v>33.398466015339849</v>
      </c>
      <c r="Q285">
        <v>44.935155729999998</v>
      </c>
      <c r="R285">
        <v>20.02289977100229</v>
      </c>
      <c r="S285" t="s">
        <v>30</v>
      </c>
      <c r="T285">
        <v>15.23441661</v>
      </c>
      <c r="U285" t="s">
        <v>2819</v>
      </c>
      <c r="V285" t="s">
        <v>1059</v>
      </c>
      <c r="W285" s="114" t="str">
        <f t="shared" si="12"/>
        <v>ETF</v>
      </c>
      <c r="X285" s="114" t="str">
        <f t="shared" si="13"/>
        <v>Otros ETFs</v>
      </c>
    </row>
    <row r="286" spans="1:24" hidden="1" x14ac:dyDescent="0.25">
      <c r="A286" s="114" t="str">
        <f t="shared" si="14"/>
        <v>7065</v>
      </c>
      <c r="B286" t="s">
        <v>6039</v>
      </c>
      <c r="C286" t="s">
        <v>6040</v>
      </c>
      <c r="D286" t="s">
        <v>6041</v>
      </c>
      <c r="E286" t="s">
        <v>586</v>
      </c>
      <c r="F286" t="s">
        <v>1056</v>
      </c>
      <c r="G286" t="s">
        <v>1071</v>
      </c>
      <c r="H286" t="s">
        <v>6153</v>
      </c>
      <c r="I286" t="s">
        <v>90</v>
      </c>
      <c r="J286" t="s">
        <v>90</v>
      </c>
      <c r="K286">
        <v>35.400805630000001</v>
      </c>
      <c r="L286">
        <v>3.19335038</v>
      </c>
      <c r="M286">
        <v>2.0896200999999999</v>
      </c>
      <c r="N286">
        <v>2.8422923099999999</v>
      </c>
      <c r="O286">
        <v>5.5779489499999997</v>
      </c>
      <c r="P286">
        <v>0</v>
      </c>
      <c r="Q286">
        <v>427.60874720999999</v>
      </c>
      <c r="R286">
        <v>10.88343265029795</v>
      </c>
      <c r="S286" t="s">
        <v>1138</v>
      </c>
      <c r="T286">
        <v>35.400805630000001</v>
      </c>
      <c r="U286" t="s">
        <v>2819</v>
      </c>
      <c r="V286" t="s">
        <v>1059</v>
      </c>
      <c r="W286" s="114" t="str">
        <f t="shared" si="12"/>
        <v>ETF</v>
      </c>
      <c r="X286" s="114" t="str">
        <f t="shared" si="13"/>
        <v>Otros ETFs</v>
      </c>
    </row>
    <row r="287" spans="1:24" hidden="1" x14ac:dyDescent="0.25">
      <c r="A287" s="114" t="str">
        <f t="shared" si="14"/>
        <v>7287</v>
      </c>
      <c r="B287" t="s">
        <v>4778</v>
      </c>
      <c r="C287" t="s">
        <v>4779</v>
      </c>
      <c r="D287" t="s">
        <v>4780</v>
      </c>
      <c r="E287" t="s">
        <v>586</v>
      </c>
      <c r="F287" t="s">
        <v>1056</v>
      </c>
      <c r="G287" t="s">
        <v>1071</v>
      </c>
      <c r="H287" t="s">
        <v>6153</v>
      </c>
      <c r="I287" t="s">
        <v>90</v>
      </c>
      <c r="J287" t="s">
        <v>90</v>
      </c>
      <c r="K287">
        <v>9.4685529400000004</v>
      </c>
      <c r="L287">
        <v>6.8000860100000002</v>
      </c>
      <c r="M287">
        <v>5.78836583</v>
      </c>
      <c r="N287">
        <v>5.7541015399999997</v>
      </c>
      <c r="O287">
        <v>5.7251540700000003</v>
      </c>
      <c r="P287">
        <v>11.986406827379909</v>
      </c>
      <c r="Q287">
        <v>43.418814750000003</v>
      </c>
      <c r="R287">
        <v>12.95880456864972</v>
      </c>
      <c r="S287" t="s">
        <v>30</v>
      </c>
      <c r="T287">
        <v>9.4685529400000004</v>
      </c>
      <c r="U287" t="s">
        <v>2819</v>
      </c>
      <c r="V287" t="s">
        <v>1059</v>
      </c>
      <c r="W287" s="114" t="str">
        <f t="shared" si="12"/>
        <v>ETF</v>
      </c>
      <c r="X287" s="114" t="str">
        <f t="shared" si="13"/>
        <v>Otros ETFs</v>
      </c>
    </row>
    <row r="288" spans="1:24" hidden="1" x14ac:dyDescent="0.25">
      <c r="A288" s="114" t="str">
        <f t="shared" si="14"/>
        <v>7725</v>
      </c>
      <c r="B288" t="s">
        <v>6217</v>
      </c>
      <c r="C288" t="s">
        <v>6218</v>
      </c>
      <c r="D288" t="s">
        <v>6219</v>
      </c>
      <c r="E288" t="s">
        <v>586</v>
      </c>
      <c r="F288" t="s">
        <v>1056</v>
      </c>
      <c r="G288" t="s">
        <v>1057</v>
      </c>
      <c r="H288" t="s">
        <v>1583</v>
      </c>
      <c r="I288" t="s">
        <v>90</v>
      </c>
      <c r="J288" t="s">
        <v>90</v>
      </c>
      <c r="K288">
        <v>5.0062994999999999</v>
      </c>
      <c r="L288">
        <v>5.9978792500000004</v>
      </c>
      <c r="M288">
        <v>3.7453401199999998</v>
      </c>
      <c r="N288">
        <v>3.77177601</v>
      </c>
      <c r="O288">
        <v>5.82544678</v>
      </c>
      <c r="P288">
        <v>0.28270557288634901</v>
      </c>
      <c r="Q288">
        <v>9.8101558099999995</v>
      </c>
      <c r="R288">
        <v>0.12888612278129399</v>
      </c>
      <c r="S288" t="s">
        <v>30</v>
      </c>
      <c r="T288">
        <v>5.0062994999999999</v>
      </c>
      <c r="U288" t="s">
        <v>2819</v>
      </c>
      <c r="V288" t="s">
        <v>1059</v>
      </c>
      <c r="W288" s="114" t="str">
        <f t="shared" si="12"/>
        <v>ETF</v>
      </c>
      <c r="X288" s="114" t="str">
        <f t="shared" si="13"/>
        <v>Otros ETFs</v>
      </c>
    </row>
    <row r="289" spans="1:24" hidden="1" x14ac:dyDescent="0.25">
      <c r="A289" s="114" t="str">
        <f t="shared" si="14"/>
        <v>7287</v>
      </c>
      <c r="B289" t="s">
        <v>6220</v>
      </c>
      <c r="C289" t="s">
        <v>6221</v>
      </c>
      <c r="D289" t="s">
        <v>6222</v>
      </c>
      <c r="E289" t="s">
        <v>586</v>
      </c>
      <c r="F289" t="s">
        <v>1056</v>
      </c>
      <c r="G289" t="s">
        <v>1057</v>
      </c>
      <c r="H289" t="s">
        <v>1058</v>
      </c>
      <c r="I289" t="s">
        <v>90</v>
      </c>
      <c r="J289" t="s">
        <v>90</v>
      </c>
      <c r="K289">
        <v>8.4594216499999995</v>
      </c>
      <c r="L289">
        <v>6.06255934</v>
      </c>
      <c r="M289">
        <v>6.1603324300000004</v>
      </c>
      <c r="N289">
        <v>5.2601061400000004</v>
      </c>
      <c r="O289">
        <v>5.1489243900000004</v>
      </c>
      <c r="P289">
        <v>27.09931372627436</v>
      </c>
      <c r="Q289">
        <v>44.512365549999998</v>
      </c>
      <c r="R289">
        <v>13.67768330627165</v>
      </c>
      <c r="S289" t="s">
        <v>30</v>
      </c>
      <c r="T289">
        <v>8.4594216499999995</v>
      </c>
      <c r="U289" t="s">
        <v>2819</v>
      </c>
      <c r="V289" t="s">
        <v>1059</v>
      </c>
      <c r="W289" s="114" t="str">
        <f t="shared" si="12"/>
        <v>ETF</v>
      </c>
      <c r="X289" s="114" t="str">
        <f t="shared" si="13"/>
        <v>Otros ETFs</v>
      </c>
    </row>
    <row r="290" spans="1:24" hidden="1" x14ac:dyDescent="0.25">
      <c r="A290" s="114" t="str">
        <f t="shared" si="14"/>
        <v>5925</v>
      </c>
      <c r="B290" t="s">
        <v>5634</v>
      </c>
      <c r="C290" t="s">
        <v>5635</v>
      </c>
      <c r="D290" t="s">
        <v>5636</v>
      </c>
      <c r="E290" t="s">
        <v>586</v>
      </c>
      <c r="F290" t="s">
        <v>1056</v>
      </c>
      <c r="G290" t="s">
        <v>1057</v>
      </c>
      <c r="H290" t="s">
        <v>6153</v>
      </c>
      <c r="I290" t="s">
        <v>90</v>
      </c>
      <c r="J290" t="s">
        <v>90</v>
      </c>
      <c r="K290">
        <v>1.7376194599999999</v>
      </c>
      <c r="L290">
        <v>5.5066265999999997</v>
      </c>
      <c r="M290">
        <v>6.2403662799999999</v>
      </c>
      <c r="N290">
        <v>5.6376112799999998</v>
      </c>
      <c r="O290">
        <v>5.3706058800000003</v>
      </c>
      <c r="P290">
        <v>21.69978845899</v>
      </c>
      <c r="Q290">
        <v>12.765483270000001</v>
      </c>
      <c r="R290">
        <v>0</v>
      </c>
      <c r="S290" t="s">
        <v>1063</v>
      </c>
      <c r="T290">
        <v>1.7376194599999999</v>
      </c>
      <c r="U290" t="s">
        <v>2819</v>
      </c>
      <c r="V290" t="s">
        <v>1059</v>
      </c>
      <c r="W290" s="114" t="str">
        <f t="shared" si="12"/>
        <v>ETF</v>
      </c>
      <c r="X290" s="114" t="str">
        <f t="shared" si="13"/>
        <v>Otros ETFs</v>
      </c>
    </row>
    <row r="291" spans="1:24" hidden="1" x14ac:dyDescent="0.25">
      <c r="A291" s="114" t="str">
        <f t="shared" si="14"/>
        <v>7408</v>
      </c>
      <c r="B291" t="s">
        <v>5069</v>
      </c>
      <c r="C291" t="s">
        <v>1659</v>
      </c>
      <c r="D291" t="s">
        <v>1660</v>
      </c>
      <c r="E291" t="s">
        <v>586</v>
      </c>
      <c r="F291" t="s">
        <v>1056</v>
      </c>
      <c r="G291" t="s">
        <v>1605</v>
      </c>
      <c r="H291" t="s">
        <v>1606</v>
      </c>
      <c r="I291" t="s">
        <v>90</v>
      </c>
      <c r="J291" t="s">
        <v>90</v>
      </c>
      <c r="K291">
        <v>35.921905029999998</v>
      </c>
      <c r="L291">
        <v>6.6771658800000004</v>
      </c>
      <c r="M291">
        <v>5.9158144500000001</v>
      </c>
      <c r="N291">
        <v>5.69266089</v>
      </c>
      <c r="O291">
        <v>5.2491940899999996</v>
      </c>
      <c r="P291">
        <v>22.33403758889083</v>
      </c>
      <c r="Q291">
        <v>95.272588510000006</v>
      </c>
      <c r="R291">
        <v>5.5761187276661159</v>
      </c>
      <c r="S291" t="s">
        <v>30</v>
      </c>
      <c r="T291">
        <v>35.921905029999998</v>
      </c>
      <c r="U291" t="s">
        <v>2819</v>
      </c>
      <c r="V291" t="s">
        <v>1059</v>
      </c>
      <c r="W291" s="114" t="str">
        <f t="shared" si="12"/>
        <v>ETF</v>
      </c>
      <c r="X291" s="114" t="str">
        <f t="shared" si="13"/>
        <v>Otros ETFs</v>
      </c>
    </row>
    <row r="292" spans="1:24" hidden="1" x14ac:dyDescent="0.25">
      <c r="A292" s="114" t="str">
        <f t="shared" si="14"/>
        <v>7408</v>
      </c>
      <c r="B292" t="s">
        <v>1661</v>
      </c>
      <c r="C292" t="s">
        <v>1662</v>
      </c>
      <c r="D292" t="s">
        <v>1663</v>
      </c>
      <c r="E292" t="s">
        <v>586</v>
      </c>
      <c r="F292" t="s">
        <v>1056</v>
      </c>
      <c r="G292" t="s">
        <v>1071</v>
      </c>
      <c r="H292" t="s">
        <v>1202</v>
      </c>
      <c r="I292" t="s">
        <v>90</v>
      </c>
      <c r="J292" t="s">
        <v>90</v>
      </c>
      <c r="K292">
        <v>4.3596946699999997</v>
      </c>
      <c r="L292">
        <v>5.2412893800000004</v>
      </c>
      <c r="M292">
        <v>6.8430374799999996</v>
      </c>
      <c r="N292">
        <v>4.1883698300000001</v>
      </c>
      <c r="O292">
        <v>4.9959495199999999</v>
      </c>
      <c r="P292">
        <v>27.53728838709613</v>
      </c>
      <c r="Q292">
        <v>16.288737390000001</v>
      </c>
      <c r="R292">
        <v>3.5352886520012792</v>
      </c>
      <c r="S292" t="s">
        <v>1063</v>
      </c>
      <c r="T292">
        <v>4.3596946699999997</v>
      </c>
      <c r="U292" t="s">
        <v>2819</v>
      </c>
      <c r="V292" t="s">
        <v>1059</v>
      </c>
      <c r="W292" s="114" t="str">
        <f t="shared" si="12"/>
        <v>ETF</v>
      </c>
      <c r="X292" s="114" t="str">
        <f t="shared" si="13"/>
        <v>Otros ETFs</v>
      </c>
    </row>
    <row r="293" spans="1:24" hidden="1" x14ac:dyDescent="0.25">
      <c r="A293" s="114" t="str">
        <f t="shared" si="14"/>
        <v>7080</v>
      </c>
      <c r="B293" t="s">
        <v>1664</v>
      </c>
      <c r="C293" t="s">
        <v>1665</v>
      </c>
      <c r="D293" t="s">
        <v>1666</v>
      </c>
      <c r="E293" t="s">
        <v>586</v>
      </c>
      <c r="F293" t="s">
        <v>1056</v>
      </c>
      <c r="G293" t="s">
        <v>1375</v>
      </c>
      <c r="H293" t="s">
        <v>1376</v>
      </c>
      <c r="I293" t="s">
        <v>90</v>
      </c>
      <c r="J293" t="s">
        <v>90</v>
      </c>
      <c r="K293">
        <v>25.527675769999998</v>
      </c>
      <c r="L293">
        <v>8.0542086200000007</v>
      </c>
      <c r="M293">
        <v>5.97305229</v>
      </c>
      <c r="N293">
        <v>5.7181684300000004</v>
      </c>
      <c r="O293">
        <v>6.4978927000000004</v>
      </c>
      <c r="P293">
        <v>4.1363859189156544</v>
      </c>
      <c r="Q293">
        <v>52.194268999999998</v>
      </c>
      <c r="R293">
        <v>31.509416443107469</v>
      </c>
      <c r="S293" t="s">
        <v>1073</v>
      </c>
      <c r="T293">
        <v>25.527675769999998</v>
      </c>
      <c r="U293" t="s">
        <v>2819</v>
      </c>
      <c r="V293" t="s">
        <v>1059</v>
      </c>
      <c r="W293" s="114" t="str">
        <f t="shared" si="12"/>
        <v>ETF</v>
      </c>
      <c r="X293" s="114" t="str">
        <f t="shared" si="13"/>
        <v>Otros ETFs</v>
      </c>
    </row>
    <row r="294" spans="1:24" hidden="1" x14ac:dyDescent="0.25">
      <c r="A294" s="114" t="str">
        <f t="shared" si="14"/>
        <v>7412</v>
      </c>
      <c r="B294" t="s">
        <v>1667</v>
      </c>
      <c r="C294" t="s">
        <v>652</v>
      </c>
      <c r="D294" t="s">
        <v>651</v>
      </c>
      <c r="E294" t="s">
        <v>586</v>
      </c>
      <c r="F294" t="s">
        <v>1056</v>
      </c>
      <c r="G294" t="s">
        <v>1057</v>
      </c>
      <c r="H294" t="s">
        <v>1288</v>
      </c>
      <c r="I294" t="s">
        <v>90</v>
      </c>
      <c r="J294" t="s">
        <v>90</v>
      </c>
      <c r="K294">
        <v>106.87427083999999</v>
      </c>
      <c r="L294">
        <v>5.3821756199999999</v>
      </c>
      <c r="M294">
        <v>5.1778330199999996</v>
      </c>
      <c r="N294">
        <v>4.8504359499999996</v>
      </c>
      <c r="O294">
        <v>5.4287821699999999</v>
      </c>
      <c r="P294">
        <v>8.6452114596201461</v>
      </c>
      <c r="Q294">
        <v>159.56165439</v>
      </c>
      <c r="R294">
        <v>12.10317792334989</v>
      </c>
      <c r="S294" t="s">
        <v>1063</v>
      </c>
      <c r="T294">
        <v>106.87427083999999</v>
      </c>
      <c r="U294" t="s">
        <v>2819</v>
      </c>
      <c r="V294" t="s">
        <v>1059</v>
      </c>
      <c r="W294" s="114" t="str">
        <f t="shared" si="12"/>
        <v>ETF</v>
      </c>
      <c r="X294" s="114" t="str">
        <f t="shared" si="13"/>
        <v>Otros ETFs</v>
      </c>
    </row>
    <row r="295" spans="1:24" hidden="1" x14ac:dyDescent="0.25">
      <c r="A295" s="114" t="str">
        <f t="shared" si="14"/>
        <v>7088</v>
      </c>
      <c r="B295" t="s">
        <v>1668</v>
      </c>
      <c r="C295" t="s">
        <v>1669</v>
      </c>
      <c r="D295" t="s">
        <v>1670</v>
      </c>
      <c r="E295" t="s">
        <v>586</v>
      </c>
      <c r="F295" t="s">
        <v>1056</v>
      </c>
      <c r="G295" t="s">
        <v>1057</v>
      </c>
      <c r="H295" t="s">
        <v>1671</v>
      </c>
      <c r="I295" t="s">
        <v>90</v>
      </c>
      <c r="J295" t="s">
        <v>90</v>
      </c>
      <c r="K295">
        <v>1.0306503</v>
      </c>
      <c r="L295">
        <v>7.9921928299999996</v>
      </c>
      <c r="M295">
        <v>7.6978396699999996</v>
      </c>
      <c r="N295">
        <v>5.0682496300000004</v>
      </c>
      <c r="O295">
        <v>6.7076368000000004</v>
      </c>
      <c r="P295">
        <v>10.506389493610509</v>
      </c>
      <c r="Q295">
        <v>2.28230954</v>
      </c>
      <c r="R295">
        <v>38.343061656938353</v>
      </c>
      <c r="S295" t="s">
        <v>1073</v>
      </c>
      <c r="T295">
        <v>1.0306503</v>
      </c>
      <c r="U295" t="s">
        <v>2819</v>
      </c>
      <c r="V295" t="s">
        <v>1059</v>
      </c>
      <c r="W295" s="114" t="str">
        <f t="shared" si="12"/>
        <v>ETF</v>
      </c>
      <c r="X295" s="114" t="str">
        <f t="shared" si="13"/>
        <v>Otros ETFs</v>
      </c>
    </row>
    <row r="296" spans="1:24" hidden="1" x14ac:dyDescent="0.25">
      <c r="A296" s="114" t="str">
        <f t="shared" si="14"/>
        <v>7412</v>
      </c>
      <c r="B296" t="s">
        <v>1672</v>
      </c>
      <c r="C296" t="s">
        <v>1673</v>
      </c>
      <c r="D296" t="s">
        <v>1674</v>
      </c>
      <c r="E296" t="s">
        <v>586</v>
      </c>
      <c r="F296" t="s">
        <v>1056</v>
      </c>
      <c r="G296" t="s">
        <v>1057</v>
      </c>
      <c r="H296" t="s">
        <v>1288</v>
      </c>
      <c r="I296" t="s">
        <v>90</v>
      </c>
      <c r="J296" t="s">
        <v>90</v>
      </c>
      <c r="K296">
        <v>106.87427083999999</v>
      </c>
      <c r="L296">
        <v>5.3821756199999999</v>
      </c>
      <c r="M296">
        <v>5.1778330199999996</v>
      </c>
      <c r="N296">
        <v>4.8504359499999996</v>
      </c>
      <c r="O296">
        <v>5.4287821699999999</v>
      </c>
      <c r="P296">
        <v>8.6452114596201461</v>
      </c>
      <c r="Q296">
        <v>159.56165439</v>
      </c>
      <c r="R296">
        <v>12.10317792334989</v>
      </c>
      <c r="S296" t="s">
        <v>1063</v>
      </c>
      <c r="T296">
        <v>106.87427083999999</v>
      </c>
      <c r="U296" t="s">
        <v>2819</v>
      </c>
      <c r="V296" t="s">
        <v>1059</v>
      </c>
      <c r="W296" s="114" t="str">
        <f t="shared" si="12"/>
        <v>ETF</v>
      </c>
      <c r="X296" s="114" t="str">
        <f t="shared" si="13"/>
        <v>Otros ETFs</v>
      </c>
    </row>
    <row r="297" spans="1:24" hidden="1" x14ac:dyDescent="0.25">
      <c r="A297" s="114" t="str">
        <f t="shared" si="14"/>
        <v>7462</v>
      </c>
      <c r="B297" t="s">
        <v>1675</v>
      </c>
      <c r="C297" t="s">
        <v>1676</v>
      </c>
      <c r="D297" t="s">
        <v>1677</v>
      </c>
      <c r="E297" t="s">
        <v>586</v>
      </c>
      <c r="F297" t="s">
        <v>1056</v>
      </c>
      <c r="G297" t="s">
        <v>1375</v>
      </c>
      <c r="H297" t="s">
        <v>1678</v>
      </c>
      <c r="I297" t="s">
        <v>90</v>
      </c>
      <c r="J297" t="s">
        <v>90</v>
      </c>
      <c r="K297">
        <v>26.51339707</v>
      </c>
      <c r="L297">
        <v>4.5404802399999999</v>
      </c>
      <c r="M297">
        <v>3.9777535099999999</v>
      </c>
      <c r="N297">
        <v>4.9192719900000004</v>
      </c>
      <c r="O297">
        <v>5.0811525800000004</v>
      </c>
      <c r="P297">
        <v>0</v>
      </c>
      <c r="Q297">
        <v>33.149339640000001</v>
      </c>
      <c r="R297">
        <v>6.6391999999999998</v>
      </c>
      <c r="S297" t="s">
        <v>1063</v>
      </c>
      <c r="T297">
        <v>26.51339707</v>
      </c>
      <c r="U297" t="s">
        <v>2819</v>
      </c>
      <c r="V297" t="s">
        <v>1059</v>
      </c>
      <c r="W297" s="114" t="str">
        <f t="shared" si="12"/>
        <v>ETF</v>
      </c>
      <c r="X297" s="114" t="str">
        <f t="shared" si="13"/>
        <v>Otros ETFs</v>
      </c>
    </row>
    <row r="298" spans="1:24" hidden="1" x14ac:dyDescent="0.25">
      <c r="A298" s="114" t="str">
        <f t="shared" si="14"/>
        <v>7533</v>
      </c>
      <c r="B298" t="s">
        <v>1675</v>
      </c>
      <c r="C298" t="s">
        <v>1676</v>
      </c>
      <c r="D298" t="s">
        <v>5245</v>
      </c>
      <c r="E298" t="s">
        <v>586</v>
      </c>
      <c r="F298" t="s">
        <v>1056</v>
      </c>
      <c r="G298" t="s">
        <v>1375</v>
      </c>
      <c r="H298" t="s">
        <v>1678</v>
      </c>
      <c r="I298" t="s">
        <v>90</v>
      </c>
      <c r="J298" t="s">
        <v>90</v>
      </c>
      <c r="K298">
        <v>26.51339707</v>
      </c>
      <c r="L298">
        <v>4.5404802399999999</v>
      </c>
      <c r="M298">
        <v>3.9777535099999999</v>
      </c>
      <c r="N298">
        <v>4.9192719900000004</v>
      </c>
      <c r="O298">
        <v>5.0811525800000004</v>
      </c>
      <c r="P298">
        <v>0</v>
      </c>
      <c r="Q298">
        <v>33.149339640000001</v>
      </c>
      <c r="R298">
        <v>6.6391999999999998</v>
      </c>
      <c r="S298" t="s">
        <v>1063</v>
      </c>
      <c r="T298">
        <v>26.51339707</v>
      </c>
      <c r="U298" t="s">
        <v>2819</v>
      </c>
      <c r="V298" t="s">
        <v>1059</v>
      </c>
      <c r="W298" s="114" t="str">
        <f t="shared" si="12"/>
        <v>ETF</v>
      </c>
      <c r="X298" s="114" t="str">
        <f t="shared" si="13"/>
        <v>Otros ETFs</v>
      </c>
    </row>
    <row r="299" spans="1:24" hidden="1" x14ac:dyDescent="0.25">
      <c r="A299" s="114" t="str">
        <f t="shared" si="14"/>
        <v>7533</v>
      </c>
      <c r="B299" t="s">
        <v>1679</v>
      </c>
      <c r="C299" t="s">
        <v>1680</v>
      </c>
      <c r="D299" t="s">
        <v>5385</v>
      </c>
      <c r="E299" t="s">
        <v>586</v>
      </c>
      <c r="F299" t="s">
        <v>1056</v>
      </c>
      <c r="G299" t="s">
        <v>1265</v>
      </c>
      <c r="H299" t="s">
        <v>1266</v>
      </c>
      <c r="I299" t="s">
        <v>90</v>
      </c>
      <c r="J299" t="s">
        <v>90</v>
      </c>
      <c r="K299">
        <v>26.159180240000001</v>
      </c>
      <c r="L299">
        <v>6.13348432</v>
      </c>
      <c r="M299">
        <v>5.1970698899999999</v>
      </c>
      <c r="N299">
        <v>5.2732088399999997</v>
      </c>
      <c r="O299">
        <v>4.9237610099999998</v>
      </c>
      <c r="P299">
        <v>30.3291</v>
      </c>
      <c r="Q299">
        <v>79.910513809999998</v>
      </c>
      <c r="R299">
        <v>2.2824</v>
      </c>
      <c r="S299" t="s">
        <v>30</v>
      </c>
      <c r="T299">
        <v>26.159180240000001</v>
      </c>
      <c r="U299" t="s">
        <v>2819</v>
      </c>
      <c r="V299" t="s">
        <v>1059</v>
      </c>
      <c r="W299" s="114" t="str">
        <f t="shared" si="12"/>
        <v>ETF</v>
      </c>
      <c r="X299" s="114" t="str">
        <f t="shared" si="13"/>
        <v>Otros ETFs</v>
      </c>
    </row>
    <row r="300" spans="1:24" hidden="1" x14ac:dyDescent="0.25">
      <c r="A300" s="114" t="str">
        <f t="shared" si="14"/>
        <v>7533</v>
      </c>
      <c r="B300" t="s">
        <v>1679</v>
      </c>
      <c r="C300" t="s">
        <v>1680</v>
      </c>
      <c r="D300" t="s">
        <v>1681</v>
      </c>
      <c r="E300" t="s">
        <v>586</v>
      </c>
      <c r="F300" t="s">
        <v>1056</v>
      </c>
      <c r="G300" t="s">
        <v>1265</v>
      </c>
      <c r="H300" t="s">
        <v>1266</v>
      </c>
      <c r="I300" t="s">
        <v>90</v>
      </c>
      <c r="J300" t="s">
        <v>90</v>
      </c>
      <c r="K300">
        <v>26.159180240000001</v>
      </c>
      <c r="L300">
        <v>6.13348432</v>
      </c>
      <c r="M300">
        <v>5.1970698899999999</v>
      </c>
      <c r="N300">
        <v>5.2732088399999997</v>
      </c>
      <c r="O300">
        <v>4.9237610099999998</v>
      </c>
      <c r="P300">
        <v>30.3291</v>
      </c>
      <c r="Q300">
        <v>79.910513809999998</v>
      </c>
      <c r="R300">
        <v>2.2824</v>
      </c>
      <c r="S300" t="s">
        <v>30</v>
      </c>
      <c r="T300">
        <v>26.159180240000001</v>
      </c>
      <c r="U300" t="s">
        <v>2819</v>
      </c>
      <c r="V300" t="s">
        <v>1059</v>
      </c>
      <c r="W300" s="114" t="str">
        <f t="shared" si="12"/>
        <v>ETF</v>
      </c>
      <c r="X300" s="114" t="str">
        <f t="shared" si="13"/>
        <v>Otros ETFs</v>
      </c>
    </row>
    <row r="301" spans="1:24" hidden="1" x14ac:dyDescent="0.25">
      <c r="A301" s="114" t="str">
        <f t="shared" si="14"/>
        <v>7413</v>
      </c>
      <c r="B301" t="s">
        <v>1682</v>
      </c>
      <c r="C301" t="s">
        <v>1683</v>
      </c>
      <c r="D301" t="s">
        <v>1684</v>
      </c>
      <c r="E301" t="s">
        <v>586</v>
      </c>
      <c r="F301" t="s">
        <v>1056</v>
      </c>
      <c r="G301" t="s">
        <v>1265</v>
      </c>
      <c r="H301" t="s">
        <v>1266</v>
      </c>
      <c r="I301" t="s">
        <v>90</v>
      </c>
      <c r="J301" t="s">
        <v>90</v>
      </c>
      <c r="K301">
        <v>99.060895369999997</v>
      </c>
      <c r="L301">
        <v>6.8644145700000001</v>
      </c>
      <c r="M301">
        <v>5.3397059799999997</v>
      </c>
      <c r="N301">
        <v>5.6615896299999999</v>
      </c>
      <c r="O301">
        <v>5.3796046999999998</v>
      </c>
      <c r="P301">
        <v>25.781554219083219</v>
      </c>
      <c r="Q301">
        <v>189.51519901</v>
      </c>
      <c r="R301">
        <v>20.6766369420967</v>
      </c>
      <c r="S301" t="s">
        <v>30</v>
      </c>
      <c r="T301">
        <v>99.060895369999997</v>
      </c>
      <c r="U301" t="s">
        <v>2819</v>
      </c>
      <c r="V301" t="s">
        <v>1059</v>
      </c>
      <c r="W301" s="114" t="str">
        <f t="shared" si="12"/>
        <v>ETF</v>
      </c>
      <c r="X301" s="114" t="str">
        <f t="shared" si="13"/>
        <v>Otros ETFs</v>
      </c>
    </row>
    <row r="302" spans="1:24" hidden="1" x14ac:dyDescent="0.25">
      <c r="A302" s="114" t="str">
        <f t="shared" si="14"/>
        <v>7413</v>
      </c>
      <c r="B302" t="s">
        <v>1686</v>
      </c>
      <c r="C302" t="s">
        <v>1687</v>
      </c>
      <c r="D302" t="s">
        <v>1688</v>
      </c>
      <c r="E302" t="s">
        <v>586</v>
      </c>
      <c r="F302" t="s">
        <v>1056</v>
      </c>
      <c r="G302" t="s">
        <v>1689</v>
      </c>
      <c r="H302" t="s">
        <v>1690</v>
      </c>
      <c r="I302" t="s">
        <v>90</v>
      </c>
      <c r="J302" t="s">
        <v>90</v>
      </c>
      <c r="K302">
        <v>137.04821731000001</v>
      </c>
      <c r="L302">
        <v>7.3906072700000003</v>
      </c>
      <c r="M302">
        <v>6.5553466599999997</v>
      </c>
      <c r="N302">
        <v>5.0785376600000003</v>
      </c>
      <c r="O302">
        <v>6.3940376199999998</v>
      </c>
      <c r="P302">
        <v>32.184366380131053</v>
      </c>
      <c r="Q302">
        <v>108.60019800000001</v>
      </c>
      <c r="R302">
        <v>51.52686632779502</v>
      </c>
      <c r="S302" t="s">
        <v>1073</v>
      </c>
      <c r="T302">
        <v>137.04821731000001</v>
      </c>
      <c r="U302" t="s">
        <v>2819</v>
      </c>
      <c r="V302" t="s">
        <v>1059</v>
      </c>
      <c r="W302" s="114" t="str">
        <f t="shared" si="12"/>
        <v>ETF</v>
      </c>
      <c r="X302" s="114" t="str">
        <f t="shared" si="13"/>
        <v>Otros ETFs</v>
      </c>
    </row>
    <row r="303" spans="1:24" hidden="1" x14ac:dyDescent="0.25">
      <c r="A303" s="114" t="str">
        <f t="shared" si="14"/>
        <v>7413</v>
      </c>
      <c r="B303" t="s">
        <v>1691</v>
      </c>
      <c r="C303" t="s">
        <v>1692</v>
      </c>
      <c r="D303" t="s">
        <v>1693</v>
      </c>
      <c r="E303" t="s">
        <v>586</v>
      </c>
      <c r="F303" t="s">
        <v>1056</v>
      </c>
      <c r="G303" t="s">
        <v>1080</v>
      </c>
      <c r="H303" t="s">
        <v>1081</v>
      </c>
      <c r="I303" t="s">
        <v>90</v>
      </c>
      <c r="J303" t="s">
        <v>90</v>
      </c>
      <c r="K303">
        <v>78.909164189999998</v>
      </c>
      <c r="L303">
        <v>7.6327198799999998</v>
      </c>
      <c r="M303">
        <v>5.8995226799999996</v>
      </c>
      <c r="N303">
        <v>4.8167703199999998</v>
      </c>
      <c r="O303">
        <v>7.2052717900000003</v>
      </c>
      <c r="P303">
        <v>31.230471100128899</v>
      </c>
      <c r="Q303">
        <v>110.00134111</v>
      </c>
      <c r="R303">
        <v>96.493521185778818</v>
      </c>
      <c r="S303" t="s">
        <v>1073</v>
      </c>
      <c r="T303">
        <v>78.909164189999998</v>
      </c>
      <c r="U303" t="s">
        <v>2819</v>
      </c>
      <c r="V303" t="s">
        <v>1059</v>
      </c>
      <c r="W303" s="114" t="str">
        <f t="shared" si="12"/>
        <v>ETF</v>
      </c>
      <c r="X303" s="114" t="str">
        <f t="shared" si="13"/>
        <v>Otros ETFs</v>
      </c>
    </row>
    <row r="304" spans="1:24" hidden="1" x14ac:dyDescent="0.25">
      <c r="A304" s="114" t="str">
        <f t="shared" si="14"/>
        <v>7085</v>
      </c>
      <c r="B304" t="s">
        <v>4781</v>
      </c>
      <c r="C304" t="s">
        <v>1694</v>
      </c>
      <c r="D304" t="s">
        <v>1695</v>
      </c>
      <c r="E304" t="s">
        <v>586</v>
      </c>
      <c r="F304" t="s">
        <v>1056</v>
      </c>
      <c r="G304" t="s">
        <v>1080</v>
      </c>
      <c r="H304" t="s">
        <v>1696</v>
      </c>
      <c r="I304" t="s">
        <v>90</v>
      </c>
      <c r="J304" t="s">
        <v>90</v>
      </c>
      <c r="K304">
        <v>27.586578920000001</v>
      </c>
      <c r="L304">
        <v>8.2037227700000006</v>
      </c>
      <c r="M304">
        <v>6.1301639699999999</v>
      </c>
      <c r="N304">
        <v>4.8849728499999996</v>
      </c>
      <c r="O304">
        <v>7.54302574</v>
      </c>
      <c r="P304">
        <v>11.269050424939349</v>
      </c>
      <c r="Q304">
        <v>34.725158020000002</v>
      </c>
      <c r="R304">
        <v>95.017776904094532</v>
      </c>
      <c r="S304" t="s">
        <v>1073</v>
      </c>
      <c r="T304">
        <v>27.586578920000001</v>
      </c>
      <c r="U304" t="s">
        <v>2819</v>
      </c>
      <c r="V304" t="s">
        <v>1059</v>
      </c>
      <c r="W304" s="114" t="str">
        <f t="shared" si="12"/>
        <v>ETF</v>
      </c>
      <c r="X304" s="114" t="str">
        <f t="shared" si="13"/>
        <v>Otros ETFs</v>
      </c>
    </row>
    <row r="305" spans="1:24" hidden="1" x14ac:dyDescent="0.25">
      <c r="A305" s="114" t="str">
        <f t="shared" si="14"/>
        <v>7412</v>
      </c>
      <c r="B305" t="s">
        <v>1697</v>
      </c>
      <c r="C305" t="s">
        <v>1698</v>
      </c>
      <c r="D305" t="s">
        <v>1699</v>
      </c>
      <c r="E305" t="s">
        <v>586</v>
      </c>
      <c r="F305" t="s">
        <v>1056</v>
      </c>
      <c r="G305" t="s">
        <v>1057</v>
      </c>
      <c r="H305" t="s">
        <v>1058</v>
      </c>
      <c r="I305" t="s">
        <v>90</v>
      </c>
      <c r="J305" t="s">
        <v>90</v>
      </c>
      <c r="K305">
        <v>33.36937966</v>
      </c>
      <c r="L305">
        <v>6.2567400600000003</v>
      </c>
      <c r="M305">
        <v>6.3005135499999998</v>
      </c>
      <c r="N305">
        <v>4.84880741</v>
      </c>
      <c r="O305">
        <v>5.9148803499999998</v>
      </c>
      <c r="P305">
        <v>6.2868268789706097</v>
      </c>
      <c r="Q305">
        <v>136.52106739000001</v>
      </c>
      <c r="R305">
        <v>12.28425576482771</v>
      </c>
      <c r="S305" t="s">
        <v>30</v>
      </c>
      <c r="T305">
        <v>33.36937966</v>
      </c>
      <c r="U305" t="s">
        <v>2819</v>
      </c>
      <c r="V305" t="s">
        <v>1059</v>
      </c>
      <c r="W305" s="114" t="str">
        <f t="shared" si="12"/>
        <v>ETF</v>
      </c>
      <c r="X305" s="114" t="str">
        <f t="shared" si="13"/>
        <v>Otros ETFs</v>
      </c>
    </row>
    <row r="306" spans="1:24" hidden="1" x14ac:dyDescent="0.25">
      <c r="A306" s="114" t="str">
        <f t="shared" si="14"/>
        <v>7388</v>
      </c>
      <c r="B306" t="s">
        <v>1701</v>
      </c>
      <c r="C306" t="s">
        <v>1702</v>
      </c>
      <c r="D306" t="s">
        <v>1703</v>
      </c>
      <c r="E306" t="s">
        <v>586</v>
      </c>
      <c r="F306" t="s">
        <v>1056</v>
      </c>
      <c r="G306" t="s">
        <v>1071</v>
      </c>
      <c r="H306" t="s">
        <v>1445</v>
      </c>
      <c r="I306" t="s">
        <v>90</v>
      </c>
      <c r="J306" t="s">
        <v>90</v>
      </c>
      <c r="K306">
        <v>3.8395992699999999</v>
      </c>
      <c r="L306">
        <v>6.5767364600000002</v>
      </c>
      <c r="M306">
        <v>6.25467102</v>
      </c>
      <c r="N306">
        <v>5.3703628400000003</v>
      </c>
      <c r="O306">
        <v>5.2995385300000004</v>
      </c>
      <c r="P306">
        <v>29.761500000000002</v>
      </c>
      <c r="Q306">
        <v>16.245698040000001</v>
      </c>
      <c r="R306">
        <v>12.687900000000001</v>
      </c>
      <c r="S306" t="s">
        <v>30</v>
      </c>
      <c r="T306">
        <v>3.8395992699999999</v>
      </c>
      <c r="U306" t="s">
        <v>2819</v>
      </c>
      <c r="V306" t="s">
        <v>1059</v>
      </c>
      <c r="W306" s="114" t="str">
        <f t="shared" si="12"/>
        <v>ETF</v>
      </c>
      <c r="X306" s="114" t="str">
        <f t="shared" si="13"/>
        <v>Otros ETFs</v>
      </c>
    </row>
    <row r="307" spans="1:24" hidden="1" x14ac:dyDescent="0.25">
      <c r="A307" s="114" t="str">
        <f t="shared" si="14"/>
        <v>7026</v>
      </c>
      <c r="B307" t="s">
        <v>1704</v>
      </c>
      <c r="C307" t="s">
        <v>1705</v>
      </c>
      <c r="D307" t="s">
        <v>1706</v>
      </c>
      <c r="E307" t="s">
        <v>586</v>
      </c>
      <c r="F307" t="s">
        <v>1056</v>
      </c>
      <c r="G307" t="s">
        <v>1290</v>
      </c>
      <c r="H307" t="s">
        <v>1291</v>
      </c>
      <c r="I307" t="s">
        <v>90</v>
      </c>
      <c r="J307" t="s">
        <v>90</v>
      </c>
      <c r="K307">
        <v>71.988742619999996</v>
      </c>
      <c r="L307">
        <v>6.4912836599999997</v>
      </c>
      <c r="M307">
        <v>5.7562324699999996</v>
      </c>
      <c r="N307">
        <v>5.49938766</v>
      </c>
      <c r="O307">
        <v>4.89755699</v>
      </c>
      <c r="P307">
        <v>27.930564422628851</v>
      </c>
      <c r="Q307">
        <v>118.64738858</v>
      </c>
      <c r="R307">
        <v>5.7777883812678086</v>
      </c>
      <c r="S307" t="s">
        <v>30</v>
      </c>
      <c r="T307">
        <v>71.988742619999996</v>
      </c>
      <c r="U307" t="s">
        <v>2819</v>
      </c>
      <c r="V307" t="s">
        <v>1059</v>
      </c>
      <c r="W307" s="114" t="str">
        <f t="shared" si="12"/>
        <v>ETF</v>
      </c>
      <c r="X307" s="114" t="str">
        <f t="shared" si="13"/>
        <v>Otros ETFs</v>
      </c>
    </row>
    <row r="308" spans="1:24" hidden="1" x14ac:dyDescent="0.25">
      <c r="A308" s="114" t="str">
        <f t="shared" si="14"/>
        <v>7094</v>
      </c>
      <c r="B308" t="s">
        <v>1707</v>
      </c>
      <c r="C308" t="s">
        <v>1708</v>
      </c>
      <c r="D308" t="s">
        <v>1709</v>
      </c>
      <c r="E308" t="s">
        <v>586</v>
      </c>
      <c r="F308" t="s">
        <v>1056</v>
      </c>
      <c r="G308" t="s">
        <v>1071</v>
      </c>
      <c r="H308" t="s">
        <v>6223</v>
      </c>
      <c r="I308" t="s">
        <v>90</v>
      </c>
      <c r="J308" t="s">
        <v>90</v>
      </c>
      <c r="K308">
        <v>38.994061819999999</v>
      </c>
      <c r="L308">
        <v>6.7692870000000003</v>
      </c>
      <c r="M308">
        <v>6.075939</v>
      </c>
      <c r="N308">
        <v>5.56416602</v>
      </c>
      <c r="O308">
        <v>5.6988321600000003</v>
      </c>
      <c r="P308">
        <v>18.13782741432318</v>
      </c>
      <c r="Q308">
        <v>75.923185829999994</v>
      </c>
      <c r="R308">
        <v>14.932135282096979</v>
      </c>
      <c r="S308" t="s">
        <v>30</v>
      </c>
      <c r="T308">
        <v>38.994061819999999</v>
      </c>
      <c r="U308" t="s">
        <v>2819</v>
      </c>
      <c r="V308" t="s">
        <v>1059</v>
      </c>
      <c r="W308" s="114" t="str">
        <f t="shared" si="12"/>
        <v>ETF</v>
      </c>
      <c r="X308" s="114" t="str">
        <f t="shared" si="13"/>
        <v>Otros ETFs</v>
      </c>
    </row>
    <row r="309" spans="1:24" hidden="1" x14ac:dyDescent="0.25">
      <c r="A309" s="114" t="str">
        <f t="shared" si="14"/>
        <v>7047</v>
      </c>
      <c r="B309" t="s">
        <v>1711</v>
      </c>
      <c r="C309" t="s">
        <v>1712</v>
      </c>
      <c r="D309" t="s">
        <v>1713</v>
      </c>
      <c r="E309" t="s">
        <v>586</v>
      </c>
      <c r="F309" t="s">
        <v>1056</v>
      </c>
      <c r="G309" t="s">
        <v>1714</v>
      </c>
      <c r="H309" t="s">
        <v>1164</v>
      </c>
      <c r="I309" t="s">
        <v>90</v>
      </c>
      <c r="J309" t="s">
        <v>90</v>
      </c>
      <c r="K309">
        <v>33.027217059999998</v>
      </c>
      <c r="L309">
        <v>7.7539551700000002</v>
      </c>
      <c r="M309">
        <v>6.5589223099999998</v>
      </c>
      <c r="N309">
        <v>5.3408359399999998</v>
      </c>
      <c r="O309">
        <v>6.9107003799999998</v>
      </c>
      <c r="P309">
        <v>11.85674742698971</v>
      </c>
      <c r="Q309">
        <v>68.181107789999999</v>
      </c>
      <c r="R309">
        <v>56.36922547690191</v>
      </c>
      <c r="S309" t="s">
        <v>1073</v>
      </c>
      <c r="T309">
        <v>33.027217059999998</v>
      </c>
      <c r="U309" t="s">
        <v>2819</v>
      </c>
      <c r="V309" t="s">
        <v>1059</v>
      </c>
      <c r="W309" s="114" t="str">
        <f t="shared" si="12"/>
        <v>ETF</v>
      </c>
      <c r="X309" s="114" t="str">
        <f t="shared" si="13"/>
        <v>Otros ETFs</v>
      </c>
    </row>
    <row r="310" spans="1:24" hidden="1" x14ac:dyDescent="0.25">
      <c r="A310" s="114" t="str">
        <f t="shared" si="14"/>
        <v>7047</v>
      </c>
      <c r="B310" t="s">
        <v>1716</v>
      </c>
      <c r="C310" t="s">
        <v>1717</v>
      </c>
      <c r="D310" t="s">
        <v>1718</v>
      </c>
      <c r="E310" t="s">
        <v>586</v>
      </c>
      <c r="F310" t="s">
        <v>1056</v>
      </c>
      <c r="G310" t="s">
        <v>1128</v>
      </c>
      <c r="H310" t="s">
        <v>1129</v>
      </c>
      <c r="I310" t="s">
        <v>90</v>
      </c>
      <c r="J310" t="s">
        <v>90</v>
      </c>
      <c r="K310">
        <v>17.21611798</v>
      </c>
      <c r="L310">
        <v>7.9728389100000001</v>
      </c>
      <c r="M310">
        <v>6.4417796799999998</v>
      </c>
      <c r="N310">
        <v>5.5043318299999999</v>
      </c>
      <c r="O310">
        <v>6.8196503799999997</v>
      </c>
      <c r="P310">
        <v>7.183792816207184</v>
      </c>
      <c r="Q310">
        <v>37.953183189999997</v>
      </c>
      <c r="R310">
        <v>47.706205035647713</v>
      </c>
      <c r="S310" t="s">
        <v>1073</v>
      </c>
      <c r="T310">
        <v>17.21611798</v>
      </c>
      <c r="U310" t="s">
        <v>2819</v>
      </c>
      <c r="V310" t="s">
        <v>1059</v>
      </c>
      <c r="W310" s="114" t="str">
        <f t="shared" si="12"/>
        <v>ETF</v>
      </c>
      <c r="X310" s="114" t="str">
        <f t="shared" si="13"/>
        <v>Otros ETFs</v>
      </c>
    </row>
    <row r="311" spans="1:24" hidden="1" x14ac:dyDescent="0.25">
      <c r="A311" s="114" t="str">
        <f t="shared" si="14"/>
        <v>7047</v>
      </c>
      <c r="B311" t="s">
        <v>1719</v>
      </c>
      <c r="C311" t="s">
        <v>1720</v>
      </c>
      <c r="D311" t="s">
        <v>1721</v>
      </c>
      <c r="E311" t="s">
        <v>586</v>
      </c>
      <c r="F311" t="s">
        <v>1056</v>
      </c>
      <c r="G311" t="s">
        <v>1163</v>
      </c>
      <c r="H311" t="s">
        <v>1164</v>
      </c>
      <c r="I311" t="s">
        <v>90</v>
      </c>
      <c r="J311" t="s">
        <v>90</v>
      </c>
      <c r="K311">
        <v>6.3875414599999996</v>
      </c>
      <c r="L311">
        <v>8.0508949399999992</v>
      </c>
      <c r="M311">
        <v>6.1291181400000001</v>
      </c>
      <c r="N311">
        <v>5.4652007500000002</v>
      </c>
      <c r="O311">
        <v>7.1637324199999997</v>
      </c>
      <c r="P311">
        <v>5.1916948083051917</v>
      </c>
      <c r="Q311">
        <v>16.347338489999999</v>
      </c>
      <c r="R311">
        <v>60.195539804460203</v>
      </c>
      <c r="S311" t="s">
        <v>1073</v>
      </c>
      <c r="T311">
        <v>6.3875414599999996</v>
      </c>
      <c r="U311" t="s">
        <v>2819</v>
      </c>
      <c r="V311" t="s">
        <v>1059</v>
      </c>
      <c r="W311" s="114" t="str">
        <f t="shared" si="12"/>
        <v>ETF</v>
      </c>
      <c r="X311" s="114" t="str">
        <f t="shared" si="13"/>
        <v>Otros ETFs</v>
      </c>
    </row>
    <row r="312" spans="1:24" hidden="1" x14ac:dyDescent="0.25">
      <c r="A312" s="114" t="str">
        <f t="shared" si="14"/>
        <v>7040</v>
      </c>
      <c r="B312" t="s">
        <v>1722</v>
      </c>
      <c r="C312" t="s">
        <v>1723</v>
      </c>
      <c r="D312" t="s">
        <v>1724</v>
      </c>
      <c r="E312" t="s">
        <v>586</v>
      </c>
      <c r="F312" t="s">
        <v>1056</v>
      </c>
      <c r="G312" t="s">
        <v>1136</v>
      </c>
      <c r="H312" t="s">
        <v>6144</v>
      </c>
      <c r="I312" t="s">
        <v>90</v>
      </c>
      <c r="J312" t="s">
        <v>90</v>
      </c>
      <c r="K312">
        <v>30.586384240000001</v>
      </c>
      <c r="L312">
        <v>6.5513355999999998</v>
      </c>
      <c r="M312">
        <v>5.2584847300000002</v>
      </c>
      <c r="N312">
        <v>5.2648973999999997</v>
      </c>
      <c r="O312">
        <v>5.6348631300000003</v>
      </c>
      <c r="P312">
        <v>13.776079299828391</v>
      </c>
      <c r="Q312">
        <v>105.1071826</v>
      </c>
      <c r="R312">
        <v>13.095945194817309</v>
      </c>
      <c r="S312" t="s">
        <v>30</v>
      </c>
      <c r="T312">
        <v>30.586384240000001</v>
      </c>
      <c r="U312" t="s">
        <v>2819</v>
      </c>
      <c r="V312" t="s">
        <v>1059</v>
      </c>
      <c r="W312" s="114" t="str">
        <f t="shared" si="12"/>
        <v>ETF</v>
      </c>
      <c r="X312" s="114" t="str">
        <f t="shared" si="13"/>
        <v>Otros ETFs</v>
      </c>
    </row>
    <row r="313" spans="1:24" hidden="1" x14ac:dyDescent="0.25">
      <c r="A313" s="114" t="str">
        <f t="shared" si="14"/>
        <v>7040</v>
      </c>
      <c r="B313" t="s">
        <v>5070</v>
      </c>
      <c r="C313" t="s">
        <v>1725</v>
      </c>
      <c r="D313" t="s">
        <v>1726</v>
      </c>
      <c r="E313" t="s">
        <v>586</v>
      </c>
      <c r="F313" t="s">
        <v>1056</v>
      </c>
      <c r="G313" t="s">
        <v>1163</v>
      </c>
      <c r="H313" t="s">
        <v>1727</v>
      </c>
      <c r="I313" t="s">
        <v>90</v>
      </c>
      <c r="J313" t="s">
        <v>90</v>
      </c>
      <c r="K313">
        <v>85.157243710000003</v>
      </c>
      <c r="L313">
        <v>5.9176709499999998</v>
      </c>
      <c r="M313">
        <v>6.2488893399999998</v>
      </c>
      <c r="N313">
        <v>4.88415556</v>
      </c>
      <c r="O313">
        <v>5.4007742800000003</v>
      </c>
      <c r="P313">
        <v>12.479073947962011</v>
      </c>
      <c r="Q313">
        <v>124.34781717</v>
      </c>
      <c r="R313">
        <v>23.331480975106629</v>
      </c>
      <c r="S313" t="s">
        <v>30</v>
      </c>
      <c r="T313">
        <v>85.157243710000003</v>
      </c>
      <c r="U313" t="s">
        <v>2819</v>
      </c>
      <c r="V313" t="s">
        <v>1059</v>
      </c>
      <c r="W313" s="114" t="str">
        <f t="shared" si="12"/>
        <v>ETF</v>
      </c>
      <c r="X313" s="114" t="str">
        <f t="shared" si="13"/>
        <v>Otros ETFs</v>
      </c>
    </row>
    <row r="314" spans="1:24" hidden="1" x14ac:dyDescent="0.25">
      <c r="A314" s="114" t="str">
        <f t="shared" si="14"/>
        <v>7040</v>
      </c>
      <c r="B314" t="s">
        <v>5797</v>
      </c>
      <c r="C314" t="s">
        <v>1728</v>
      </c>
      <c r="D314" t="s">
        <v>1729</v>
      </c>
      <c r="E314" t="s">
        <v>586</v>
      </c>
      <c r="F314" t="s">
        <v>1056</v>
      </c>
      <c r="G314" t="s">
        <v>1071</v>
      </c>
      <c r="H314" t="s">
        <v>1155</v>
      </c>
      <c r="I314" t="s">
        <v>90</v>
      </c>
      <c r="J314" t="s">
        <v>90</v>
      </c>
      <c r="K314">
        <v>3.35723211</v>
      </c>
      <c r="L314">
        <v>6.9437092600000003</v>
      </c>
      <c r="M314">
        <v>6.9579625700000003</v>
      </c>
      <c r="N314">
        <v>5.0195359100000001</v>
      </c>
      <c r="O314">
        <v>6.1503676</v>
      </c>
      <c r="P314">
        <v>35.982170278171132</v>
      </c>
      <c r="Q314">
        <v>12.29172526</v>
      </c>
      <c r="R314">
        <v>32.140471885368058</v>
      </c>
      <c r="S314" t="s">
        <v>30</v>
      </c>
      <c r="T314">
        <v>3.35723211</v>
      </c>
      <c r="U314" t="s">
        <v>2819</v>
      </c>
      <c r="V314" t="s">
        <v>1059</v>
      </c>
      <c r="W314" s="114" t="str">
        <f t="shared" si="12"/>
        <v>ETF</v>
      </c>
      <c r="X314" s="114" t="str">
        <f t="shared" si="13"/>
        <v>Otros ETFs</v>
      </c>
    </row>
    <row r="315" spans="1:24" hidden="1" x14ac:dyDescent="0.25">
      <c r="A315" s="114" t="str">
        <f t="shared" si="14"/>
        <v>7040</v>
      </c>
      <c r="B315" t="s">
        <v>1731</v>
      </c>
      <c r="C315" t="s">
        <v>1732</v>
      </c>
      <c r="D315" t="s">
        <v>1733</v>
      </c>
      <c r="E315" t="s">
        <v>586</v>
      </c>
      <c r="F315" t="s">
        <v>1056</v>
      </c>
      <c r="G315" t="s">
        <v>1605</v>
      </c>
      <c r="H315" t="s">
        <v>1606</v>
      </c>
      <c r="I315" t="s">
        <v>90</v>
      </c>
      <c r="J315" t="s">
        <v>90</v>
      </c>
      <c r="K315">
        <v>167.27267628000001</v>
      </c>
      <c r="L315">
        <v>6.5927045099999999</v>
      </c>
      <c r="M315">
        <v>5.7012100099999996</v>
      </c>
      <c r="N315">
        <v>5.6752718700000004</v>
      </c>
      <c r="O315">
        <v>5.19939281</v>
      </c>
      <c r="P315">
        <v>24.531462470264611</v>
      </c>
      <c r="Q315">
        <v>335.03486975999999</v>
      </c>
      <c r="R315">
        <v>6.9894585344822788</v>
      </c>
      <c r="S315" t="s">
        <v>30</v>
      </c>
      <c r="T315">
        <v>167.27267628000001</v>
      </c>
      <c r="U315" t="s">
        <v>2819</v>
      </c>
      <c r="V315" t="s">
        <v>1059</v>
      </c>
      <c r="W315" s="114" t="str">
        <f t="shared" si="12"/>
        <v>ETF</v>
      </c>
      <c r="X315" s="114" t="str">
        <f t="shared" si="13"/>
        <v>Otros ETFs</v>
      </c>
    </row>
    <row r="316" spans="1:24" hidden="1" x14ac:dyDescent="0.25">
      <c r="A316" s="114" t="str">
        <f t="shared" si="14"/>
        <v>7387</v>
      </c>
      <c r="B316" t="s">
        <v>1734</v>
      </c>
      <c r="C316" t="s">
        <v>1735</v>
      </c>
      <c r="D316" t="s">
        <v>1736</v>
      </c>
      <c r="E316" t="s">
        <v>586</v>
      </c>
      <c r="F316" t="s">
        <v>1056</v>
      </c>
      <c r="G316" t="s">
        <v>1737</v>
      </c>
      <c r="H316" t="s">
        <v>1738</v>
      </c>
      <c r="I316" t="s">
        <v>90</v>
      </c>
      <c r="J316" t="s">
        <v>90</v>
      </c>
      <c r="K316">
        <v>28.01529056</v>
      </c>
      <c r="L316">
        <v>7.8541611299999996</v>
      </c>
      <c r="M316">
        <v>7.4995052800000002</v>
      </c>
      <c r="N316">
        <v>5.1766098899999999</v>
      </c>
      <c r="O316">
        <v>6.3168749399999999</v>
      </c>
      <c r="P316">
        <v>26.168536860784702</v>
      </c>
      <c r="Q316">
        <v>50.456450529999998</v>
      </c>
      <c r="R316">
        <v>47.833040915122773</v>
      </c>
      <c r="S316" t="s">
        <v>1073</v>
      </c>
      <c r="T316">
        <v>28.01529056</v>
      </c>
      <c r="U316" t="s">
        <v>2819</v>
      </c>
      <c r="V316" t="s">
        <v>1059</v>
      </c>
      <c r="W316" s="114" t="str">
        <f t="shared" si="12"/>
        <v>ETF</v>
      </c>
      <c r="X316" s="114" t="str">
        <f t="shared" si="13"/>
        <v>Otros ETFs</v>
      </c>
    </row>
    <row r="317" spans="1:24" hidden="1" x14ac:dyDescent="0.25">
      <c r="A317" s="114" t="str">
        <f t="shared" si="14"/>
        <v>7018</v>
      </c>
      <c r="B317" t="s">
        <v>6224</v>
      </c>
      <c r="C317" t="s">
        <v>1740</v>
      </c>
      <c r="D317" t="s">
        <v>1741</v>
      </c>
      <c r="E317" t="s">
        <v>586</v>
      </c>
      <c r="F317" t="s">
        <v>1056</v>
      </c>
      <c r="G317" t="s">
        <v>1136</v>
      </c>
      <c r="H317" t="s">
        <v>1494</v>
      </c>
      <c r="I317" t="s">
        <v>90</v>
      </c>
      <c r="J317" t="s">
        <v>90</v>
      </c>
      <c r="K317">
        <v>685.17560999</v>
      </c>
      <c r="L317">
        <v>4.3292628999999998</v>
      </c>
      <c r="M317">
        <v>5.10828959</v>
      </c>
      <c r="N317">
        <v>5.9524061499999998</v>
      </c>
      <c r="O317">
        <v>5.4546609400000001</v>
      </c>
      <c r="P317">
        <v>0</v>
      </c>
      <c r="Q317"/>
      <c r="R317">
        <v>0</v>
      </c>
      <c r="S317" t="s">
        <v>1063</v>
      </c>
      <c r="T317">
        <v>685.17560999</v>
      </c>
      <c r="U317" t="s">
        <v>2819</v>
      </c>
      <c r="V317" t="s">
        <v>1278</v>
      </c>
      <c r="W317" s="114" t="str">
        <f t="shared" si="12"/>
        <v>ETF</v>
      </c>
      <c r="X317" s="114" t="str">
        <f t="shared" si="13"/>
        <v>Soberanos</v>
      </c>
    </row>
    <row r="318" spans="1:24" hidden="1" x14ac:dyDescent="0.25">
      <c r="A318" s="114" t="str">
        <f t="shared" si="14"/>
        <v>7018</v>
      </c>
      <c r="B318" t="s">
        <v>1742</v>
      </c>
      <c r="C318" t="s">
        <v>1743</v>
      </c>
      <c r="D318" t="s">
        <v>1744</v>
      </c>
      <c r="E318" t="s">
        <v>586</v>
      </c>
      <c r="F318" t="s">
        <v>1056</v>
      </c>
      <c r="G318" t="s">
        <v>1375</v>
      </c>
      <c r="H318" t="s">
        <v>1376</v>
      </c>
      <c r="I318" t="s">
        <v>90</v>
      </c>
      <c r="J318" t="s">
        <v>90</v>
      </c>
      <c r="K318">
        <v>103.56900107</v>
      </c>
      <c r="L318">
        <v>6.2822340600000004</v>
      </c>
      <c r="M318">
        <v>5.4315793899999996</v>
      </c>
      <c r="N318">
        <v>5.1256656100000004</v>
      </c>
      <c r="O318">
        <v>5.5531673399999999</v>
      </c>
      <c r="P318">
        <v>2.0223979776020218</v>
      </c>
      <c r="Q318">
        <v>216.35351413000001</v>
      </c>
      <c r="R318">
        <v>10.984589015410981</v>
      </c>
      <c r="S318" t="s">
        <v>30</v>
      </c>
      <c r="T318">
        <v>103.56900107</v>
      </c>
      <c r="U318" t="s">
        <v>2819</v>
      </c>
      <c r="V318" t="s">
        <v>1059</v>
      </c>
      <c r="W318" s="114" t="str">
        <f t="shared" si="12"/>
        <v>ETF</v>
      </c>
      <c r="X318" s="114" t="str">
        <f t="shared" si="13"/>
        <v>Otros ETFs</v>
      </c>
    </row>
    <row r="319" spans="1:24" hidden="1" x14ac:dyDescent="0.25">
      <c r="A319" s="114" t="str">
        <f t="shared" si="14"/>
        <v>7046</v>
      </c>
      <c r="B319" t="s">
        <v>1745</v>
      </c>
      <c r="C319" t="s">
        <v>699</v>
      </c>
      <c r="D319" t="s">
        <v>698</v>
      </c>
      <c r="E319" t="s">
        <v>586</v>
      </c>
      <c r="F319" t="s">
        <v>1056</v>
      </c>
      <c r="G319" t="s">
        <v>1375</v>
      </c>
      <c r="H319" t="s">
        <v>1678</v>
      </c>
      <c r="I319" t="s">
        <v>90</v>
      </c>
      <c r="J319" t="s">
        <v>90</v>
      </c>
      <c r="K319">
        <v>121.3874163</v>
      </c>
      <c r="L319">
        <v>5.0176694900000003</v>
      </c>
      <c r="M319">
        <v>4.9909735299999998</v>
      </c>
      <c r="N319">
        <v>4.5947779000000004</v>
      </c>
      <c r="O319">
        <v>5.1352475100000001</v>
      </c>
      <c r="P319">
        <v>0.77889761104087896</v>
      </c>
      <c r="Q319">
        <v>130.86445137999999</v>
      </c>
      <c r="R319">
        <v>4.3414997326724274</v>
      </c>
      <c r="S319" t="s">
        <v>1063</v>
      </c>
      <c r="T319">
        <v>121.3874163</v>
      </c>
      <c r="U319" t="s">
        <v>2819</v>
      </c>
      <c r="V319" t="s">
        <v>1059</v>
      </c>
      <c r="W319" s="114" t="str">
        <f t="shared" si="12"/>
        <v>ETF</v>
      </c>
      <c r="X319" s="114" t="str">
        <f t="shared" si="13"/>
        <v>Otros ETFs</v>
      </c>
    </row>
    <row r="320" spans="1:24" hidden="1" x14ac:dyDescent="0.25">
      <c r="A320" s="114" t="str">
        <f t="shared" si="14"/>
        <v>7080</v>
      </c>
      <c r="B320" t="s">
        <v>1746</v>
      </c>
      <c r="C320" t="s">
        <v>1747</v>
      </c>
      <c r="D320" t="s">
        <v>1748</v>
      </c>
      <c r="E320" t="s">
        <v>586</v>
      </c>
      <c r="F320" t="s">
        <v>1056</v>
      </c>
      <c r="G320" t="s">
        <v>1071</v>
      </c>
      <c r="H320" t="s">
        <v>1445</v>
      </c>
      <c r="I320" t="s">
        <v>90</v>
      </c>
      <c r="J320" t="s">
        <v>90</v>
      </c>
      <c r="K320">
        <v>3.6697682299999999</v>
      </c>
      <c r="L320">
        <v>6.8746409499999999</v>
      </c>
      <c r="M320">
        <v>6.51541573</v>
      </c>
      <c r="N320">
        <v>5.6725986099999997</v>
      </c>
      <c r="O320">
        <v>5.4379184699999996</v>
      </c>
      <c r="P320">
        <v>18.94791895296116</v>
      </c>
      <c r="Q320">
        <v>25.03024868</v>
      </c>
      <c r="R320">
        <v>17.003209215966589</v>
      </c>
      <c r="S320" t="s">
        <v>30</v>
      </c>
      <c r="T320">
        <v>3.6697682299999999</v>
      </c>
      <c r="U320" t="s">
        <v>2819</v>
      </c>
      <c r="V320" t="s">
        <v>1059</v>
      </c>
      <c r="W320" s="114" t="str">
        <f t="shared" si="12"/>
        <v>ETF</v>
      </c>
      <c r="X320" s="114" t="str">
        <f t="shared" si="13"/>
        <v>Otros ETFs</v>
      </c>
    </row>
    <row r="321" spans="1:24" hidden="1" x14ac:dyDescent="0.25">
      <c r="A321" s="114" t="str">
        <f t="shared" si="14"/>
        <v>7026</v>
      </c>
      <c r="B321" t="s">
        <v>1750</v>
      </c>
      <c r="C321" t="s">
        <v>1751</v>
      </c>
      <c r="D321" t="s">
        <v>1752</v>
      </c>
      <c r="E321" t="s">
        <v>586</v>
      </c>
      <c r="F321" t="s">
        <v>1056</v>
      </c>
      <c r="G321" t="s">
        <v>1071</v>
      </c>
      <c r="H321" t="s">
        <v>1753</v>
      </c>
      <c r="I321" t="s">
        <v>90</v>
      </c>
      <c r="J321" t="s">
        <v>90</v>
      </c>
      <c r="K321">
        <v>111.30548919</v>
      </c>
      <c r="L321">
        <v>6.2076212899999996</v>
      </c>
      <c r="M321">
        <v>5.2808873600000004</v>
      </c>
      <c r="N321">
        <v>4.74576259</v>
      </c>
      <c r="O321">
        <v>5.9604740100000004</v>
      </c>
      <c r="P321">
        <v>10.03061193017087</v>
      </c>
      <c r="Q321">
        <v>176.44223474</v>
      </c>
      <c r="R321">
        <v>22.512298747763861</v>
      </c>
      <c r="S321" t="s">
        <v>30</v>
      </c>
      <c r="T321">
        <v>111.30548919</v>
      </c>
      <c r="U321" t="s">
        <v>2819</v>
      </c>
      <c r="V321" t="s">
        <v>1059</v>
      </c>
      <c r="W321" s="114" t="str">
        <f t="shared" si="12"/>
        <v>ETF</v>
      </c>
      <c r="X321" s="114" t="str">
        <f t="shared" si="13"/>
        <v>Otros ETFs</v>
      </c>
    </row>
    <row r="322" spans="1:24" hidden="1" x14ac:dyDescent="0.25">
      <c r="A322" s="114" t="str">
        <f t="shared" si="14"/>
        <v>5093</v>
      </c>
      <c r="B322" t="s">
        <v>2625</v>
      </c>
      <c r="C322" t="s">
        <v>2626</v>
      </c>
      <c r="D322" t="s">
        <v>3107</v>
      </c>
      <c r="E322" t="s">
        <v>191</v>
      </c>
      <c r="F322" t="s">
        <v>4804</v>
      </c>
      <c r="G322" t="s">
        <v>1185</v>
      </c>
      <c r="H322" t="s">
        <v>1148</v>
      </c>
      <c r="I322">
        <v>6951.14</v>
      </c>
      <c r="J322">
        <v>1005644</v>
      </c>
      <c r="K322">
        <v>144.66999999999999</v>
      </c>
      <c r="L322">
        <v>1.9</v>
      </c>
      <c r="M322">
        <v>2.6</v>
      </c>
      <c r="N322">
        <v>4.9000000000000004</v>
      </c>
      <c r="O322">
        <v>3.9</v>
      </c>
      <c r="P322">
        <v>0</v>
      </c>
      <c r="Q322"/>
      <c r="R322">
        <v>10</v>
      </c>
      <c r="S322" t="s">
        <v>21</v>
      </c>
      <c r="T322">
        <v>144.66999999999999</v>
      </c>
      <c r="U322" t="s">
        <v>2819</v>
      </c>
      <c r="V322" t="s">
        <v>1062</v>
      </c>
      <c r="W322" s="114" t="str">
        <f t="shared" ref="W322:W385" si="15">IF(V322="ETF_ETY","ETF",IF(V322="ETF_SOV","ETF",IF(V322="RF_SOV","SOV",IF(V322="-","Cuestionario Integra","Portafolio"))))</f>
        <v>Portafolio</v>
      </c>
      <c r="X322" s="114" t="str">
        <f t="shared" ref="X322:X385" si="16">IF(V322="ETF_ETY","Otros ETFs",IF(V322="ETF_SOV","Soberanos",W322))</f>
        <v>Portafolio</v>
      </c>
    </row>
    <row r="323" spans="1:24" hidden="1" x14ac:dyDescent="0.25">
      <c r="A323" s="114" t="str">
        <f t="shared" ref="A323:A386" si="17">RIGHT(LEFT(D323,6),4)</f>
        <v>7019</v>
      </c>
      <c r="B323" t="s">
        <v>1754</v>
      </c>
      <c r="C323" t="s">
        <v>1755</v>
      </c>
      <c r="D323" t="s">
        <v>1756</v>
      </c>
      <c r="E323" t="s">
        <v>586</v>
      </c>
      <c r="F323" t="s">
        <v>1056</v>
      </c>
      <c r="G323" t="s">
        <v>1714</v>
      </c>
      <c r="H323" t="s">
        <v>1164</v>
      </c>
      <c r="I323" t="s">
        <v>90</v>
      </c>
      <c r="J323" t="s">
        <v>90</v>
      </c>
      <c r="K323">
        <v>30.941510449999999</v>
      </c>
      <c r="L323">
        <v>7.9382689600000003</v>
      </c>
      <c r="M323">
        <v>6.38806779</v>
      </c>
      <c r="N323">
        <v>5.5748810100000004</v>
      </c>
      <c r="O323">
        <v>6.8302703600000001</v>
      </c>
      <c r="P323">
        <v>14.08367183265633</v>
      </c>
      <c r="Q323">
        <v>33.720039079999999</v>
      </c>
      <c r="R323">
        <v>64.622870754258486</v>
      </c>
      <c r="S323" t="s">
        <v>1073</v>
      </c>
      <c r="T323">
        <v>30.941510449999999</v>
      </c>
      <c r="U323" t="s">
        <v>2819</v>
      </c>
      <c r="V323" t="s">
        <v>1059</v>
      </c>
      <c r="W323" s="114" t="str">
        <f t="shared" si="15"/>
        <v>ETF</v>
      </c>
      <c r="X323" s="114" t="str">
        <f t="shared" si="16"/>
        <v>Otros ETFs</v>
      </c>
    </row>
    <row r="324" spans="1:24" hidden="1" x14ac:dyDescent="0.25">
      <c r="A324" s="114" t="str">
        <f t="shared" si="17"/>
        <v>5093</v>
      </c>
      <c r="B324" t="s">
        <v>2625</v>
      </c>
      <c r="C324" t="s">
        <v>2627</v>
      </c>
      <c r="D324" t="s">
        <v>3108</v>
      </c>
      <c r="E324" t="s">
        <v>191</v>
      </c>
      <c r="F324" t="s">
        <v>4804</v>
      </c>
      <c r="G324" t="s">
        <v>1185</v>
      </c>
      <c r="H324" t="s">
        <v>1148</v>
      </c>
      <c r="I324">
        <v>6951.14</v>
      </c>
      <c r="J324">
        <v>1005644</v>
      </c>
      <c r="K324">
        <v>144.66999999999999</v>
      </c>
      <c r="L324">
        <v>1.9</v>
      </c>
      <c r="M324">
        <v>2.6</v>
      </c>
      <c r="N324">
        <v>4.9000000000000004</v>
      </c>
      <c r="O324">
        <v>3.9</v>
      </c>
      <c r="P324">
        <v>0</v>
      </c>
      <c r="Q324"/>
      <c r="R324">
        <v>10</v>
      </c>
      <c r="S324" t="s">
        <v>21</v>
      </c>
      <c r="T324">
        <v>144.66999999999999</v>
      </c>
      <c r="U324" t="s">
        <v>2819</v>
      </c>
      <c r="V324" t="s">
        <v>1062</v>
      </c>
      <c r="W324" s="114" t="str">
        <f t="shared" si="15"/>
        <v>Portafolio</v>
      </c>
      <c r="X324" s="114" t="str">
        <f t="shared" si="16"/>
        <v>Portafolio</v>
      </c>
    </row>
    <row r="325" spans="1:24" hidden="1" x14ac:dyDescent="0.25">
      <c r="A325" s="114" t="str">
        <f t="shared" si="17"/>
        <v>7019</v>
      </c>
      <c r="B325" t="s">
        <v>1758</v>
      </c>
      <c r="C325" t="s">
        <v>1759</v>
      </c>
      <c r="D325" t="s">
        <v>1760</v>
      </c>
      <c r="E325" t="s">
        <v>586</v>
      </c>
      <c r="F325" t="s">
        <v>1056</v>
      </c>
      <c r="G325" t="s">
        <v>1375</v>
      </c>
      <c r="H325" t="s">
        <v>1678</v>
      </c>
      <c r="I325" t="s">
        <v>90</v>
      </c>
      <c r="J325" t="s">
        <v>90</v>
      </c>
      <c r="K325">
        <v>25.029347340000001</v>
      </c>
      <c r="L325">
        <v>4.8551023899999999</v>
      </c>
      <c r="M325">
        <v>4.5790412600000003</v>
      </c>
      <c r="N325">
        <v>5.2421902400000002</v>
      </c>
      <c r="O325">
        <v>4.4947042799999997</v>
      </c>
      <c r="P325">
        <v>0</v>
      </c>
      <c r="Q325">
        <v>29.459131240000001</v>
      </c>
      <c r="R325">
        <v>5.3656731716341417</v>
      </c>
      <c r="S325" t="s">
        <v>1063</v>
      </c>
      <c r="T325">
        <v>25.029347340000001</v>
      </c>
      <c r="U325" t="s">
        <v>2819</v>
      </c>
      <c r="V325" t="s">
        <v>1059</v>
      </c>
      <c r="W325" s="114" t="str">
        <f t="shared" si="15"/>
        <v>ETF</v>
      </c>
      <c r="X325" s="114" t="str">
        <f t="shared" si="16"/>
        <v>Otros ETFs</v>
      </c>
    </row>
    <row r="326" spans="1:24" hidden="1" x14ac:dyDescent="0.25">
      <c r="A326" s="114" t="str">
        <f t="shared" si="17"/>
        <v>7019</v>
      </c>
      <c r="B326" t="s">
        <v>1762</v>
      </c>
      <c r="C326" t="s">
        <v>1763</v>
      </c>
      <c r="D326" t="s">
        <v>1764</v>
      </c>
      <c r="E326" t="s">
        <v>586</v>
      </c>
      <c r="F326" t="s">
        <v>1056</v>
      </c>
      <c r="G326" t="s">
        <v>1375</v>
      </c>
      <c r="H326" t="s">
        <v>1376</v>
      </c>
      <c r="I326" t="s">
        <v>90</v>
      </c>
      <c r="J326" t="s">
        <v>90</v>
      </c>
      <c r="K326">
        <v>23.900616809999999</v>
      </c>
      <c r="L326">
        <v>7.0414361000000003</v>
      </c>
      <c r="M326">
        <v>5.7778029599999998</v>
      </c>
      <c r="N326">
        <v>5.56519589</v>
      </c>
      <c r="O326">
        <v>5.7337702500000001</v>
      </c>
      <c r="P326">
        <v>0</v>
      </c>
      <c r="Q326">
        <v>40.87450243</v>
      </c>
      <c r="R326">
        <v>28.828984684061261</v>
      </c>
      <c r="S326" t="s">
        <v>30</v>
      </c>
      <c r="T326">
        <v>23.900616809999999</v>
      </c>
      <c r="U326" t="s">
        <v>2819</v>
      </c>
      <c r="V326" t="s">
        <v>1059</v>
      </c>
      <c r="W326" s="114" t="str">
        <f t="shared" si="15"/>
        <v>ETF</v>
      </c>
      <c r="X326" s="114" t="str">
        <f t="shared" si="16"/>
        <v>Otros ETFs</v>
      </c>
    </row>
    <row r="327" spans="1:24" hidden="1" x14ac:dyDescent="0.25">
      <c r="A327" s="114" t="str">
        <f t="shared" si="17"/>
        <v>7019</v>
      </c>
      <c r="B327" t="s">
        <v>1765</v>
      </c>
      <c r="C327" t="s">
        <v>711</v>
      </c>
      <c r="D327" t="s">
        <v>710</v>
      </c>
      <c r="E327" t="s">
        <v>586</v>
      </c>
      <c r="F327" t="s">
        <v>1056</v>
      </c>
      <c r="G327" t="s">
        <v>1766</v>
      </c>
      <c r="H327" t="s">
        <v>1266</v>
      </c>
      <c r="I327" t="s">
        <v>90</v>
      </c>
      <c r="J327" t="s">
        <v>90</v>
      </c>
      <c r="K327">
        <v>25.11745269</v>
      </c>
      <c r="L327">
        <v>6.7032452600000001</v>
      </c>
      <c r="M327">
        <v>5.89724936</v>
      </c>
      <c r="N327">
        <v>5.5397462400000004</v>
      </c>
      <c r="O327">
        <v>5.28982741</v>
      </c>
      <c r="P327">
        <v>24.406700850216861</v>
      </c>
      <c r="Q327">
        <v>78.497449450000005</v>
      </c>
      <c r="R327">
        <v>11.51252815626119</v>
      </c>
      <c r="S327" t="s">
        <v>30</v>
      </c>
      <c r="T327">
        <v>25.11745269</v>
      </c>
      <c r="U327" t="s">
        <v>2819</v>
      </c>
      <c r="V327" t="s">
        <v>1059</v>
      </c>
      <c r="W327" s="114" t="str">
        <f t="shared" si="15"/>
        <v>ETF</v>
      </c>
      <c r="X327" s="114" t="str">
        <f t="shared" si="16"/>
        <v>Otros ETFs</v>
      </c>
    </row>
    <row r="328" spans="1:24" hidden="1" x14ac:dyDescent="0.25">
      <c r="A328" s="114" t="str">
        <f t="shared" si="17"/>
        <v>7008</v>
      </c>
      <c r="B328" t="s">
        <v>1768</v>
      </c>
      <c r="C328" t="s">
        <v>1769</v>
      </c>
      <c r="D328" t="s">
        <v>1770</v>
      </c>
      <c r="E328" t="s">
        <v>586</v>
      </c>
      <c r="F328" t="s">
        <v>1056</v>
      </c>
      <c r="G328" t="s">
        <v>1290</v>
      </c>
      <c r="H328" t="s">
        <v>1291</v>
      </c>
      <c r="I328" t="s">
        <v>90</v>
      </c>
      <c r="J328" t="s">
        <v>90</v>
      </c>
      <c r="K328">
        <v>100.84136264</v>
      </c>
      <c r="L328">
        <v>6.4631243100000004</v>
      </c>
      <c r="M328">
        <v>6.2849303499999998</v>
      </c>
      <c r="N328">
        <v>5.1845827599999996</v>
      </c>
      <c r="O328">
        <v>5.0484457200000001</v>
      </c>
      <c r="P328">
        <v>20.82594572208777</v>
      </c>
      <c r="Q328">
        <v>199.45817011</v>
      </c>
      <c r="R328">
        <v>5.5486477311530047</v>
      </c>
      <c r="S328" t="s">
        <v>30</v>
      </c>
      <c r="T328">
        <v>100.84136264</v>
      </c>
      <c r="U328" t="s">
        <v>2819</v>
      </c>
      <c r="V328" t="s">
        <v>1059</v>
      </c>
      <c r="W328" s="114" t="str">
        <f t="shared" si="15"/>
        <v>ETF</v>
      </c>
      <c r="X328" s="114" t="str">
        <f t="shared" si="16"/>
        <v>Otros ETFs</v>
      </c>
    </row>
    <row r="329" spans="1:24" hidden="1" x14ac:dyDescent="0.25">
      <c r="A329" s="114" t="str">
        <f t="shared" si="17"/>
        <v>7049</v>
      </c>
      <c r="B329" t="s">
        <v>6225</v>
      </c>
      <c r="C329" t="s">
        <v>1772</v>
      </c>
      <c r="D329" t="s">
        <v>1773</v>
      </c>
      <c r="E329" t="s">
        <v>586</v>
      </c>
      <c r="F329" t="s">
        <v>1056</v>
      </c>
      <c r="G329" t="s">
        <v>1136</v>
      </c>
      <c r="H329" t="s">
        <v>6144</v>
      </c>
      <c r="I329" t="s">
        <v>90</v>
      </c>
      <c r="J329" t="s">
        <v>90</v>
      </c>
      <c r="K329">
        <v>16.20976448</v>
      </c>
      <c r="L329">
        <v>6.9125018100000002</v>
      </c>
      <c r="M329">
        <v>5.8327509099999997</v>
      </c>
      <c r="N329">
        <v>5.6811824499999997</v>
      </c>
      <c r="O329">
        <v>5.5073886700000001</v>
      </c>
      <c r="P329">
        <v>14.74333152874784</v>
      </c>
      <c r="Q329">
        <v>59.126506239999998</v>
      </c>
      <c r="R329">
        <v>7.8253029278822313</v>
      </c>
      <c r="S329" t="s">
        <v>30</v>
      </c>
      <c r="T329">
        <v>16.20976448</v>
      </c>
      <c r="U329" t="s">
        <v>2819</v>
      </c>
      <c r="V329" t="s">
        <v>1059</v>
      </c>
      <c r="W329" s="114" t="str">
        <f t="shared" si="15"/>
        <v>ETF</v>
      </c>
      <c r="X329" s="114" t="str">
        <f t="shared" si="16"/>
        <v>Otros ETFs</v>
      </c>
    </row>
    <row r="330" spans="1:24" hidden="1" x14ac:dyDescent="0.25">
      <c r="A330" s="114" t="str">
        <f t="shared" si="17"/>
        <v>7032</v>
      </c>
      <c r="B330" t="s">
        <v>1775</v>
      </c>
      <c r="C330" t="s">
        <v>1776</v>
      </c>
      <c r="D330" t="s">
        <v>1777</v>
      </c>
      <c r="E330" t="s">
        <v>586</v>
      </c>
      <c r="F330" t="s">
        <v>1056</v>
      </c>
      <c r="G330" t="s">
        <v>1689</v>
      </c>
      <c r="H330" t="s">
        <v>1690</v>
      </c>
      <c r="I330" t="s">
        <v>90</v>
      </c>
      <c r="J330" t="s">
        <v>90</v>
      </c>
      <c r="K330">
        <v>67.773162119999995</v>
      </c>
      <c r="L330">
        <v>7.7375297300000003</v>
      </c>
      <c r="M330">
        <v>6.2679047900000002</v>
      </c>
      <c r="N330">
        <v>5.3449251799999997</v>
      </c>
      <c r="O330">
        <v>6.6070921900000004</v>
      </c>
      <c r="P330">
        <v>29.54925591198684</v>
      </c>
      <c r="Q330">
        <v>115.59507016000001</v>
      </c>
      <c r="R330">
        <v>54.225513756047711</v>
      </c>
      <c r="S330" t="s">
        <v>1073</v>
      </c>
      <c r="T330">
        <v>67.773162119999995</v>
      </c>
      <c r="U330" t="s">
        <v>2819</v>
      </c>
      <c r="V330" t="s">
        <v>1059</v>
      </c>
      <c r="W330" s="114" t="str">
        <f t="shared" si="15"/>
        <v>ETF</v>
      </c>
      <c r="X330" s="114" t="str">
        <f t="shared" si="16"/>
        <v>Otros ETFs</v>
      </c>
    </row>
    <row r="331" spans="1:24" hidden="1" x14ac:dyDescent="0.25">
      <c r="A331" s="114" t="str">
        <f t="shared" si="17"/>
        <v>7025</v>
      </c>
      <c r="B331" t="s">
        <v>5637</v>
      </c>
      <c r="C331" t="s">
        <v>1780</v>
      </c>
      <c r="D331" t="s">
        <v>1781</v>
      </c>
      <c r="E331" t="s">
        <v>586</v>
      </c>
      <c r="F331" t="s">
        <v>1056</v>
      </c>
      <c r="G331" t="s">
        <v>1163</v>
      </c>
      <c r="H331" t="s">
        <v>1782</v>
      </c>
      <c r="I331" t="s">
        <v>90</v>
      </c>
      <c r="J331" t="s">
        <v>90</v>
      </c>
      <c r="K331">
        <v>82.65899435</v>
      </c>
      <c r="L331">
        <v>5.9686085200000001</v>
      </c>
      <c r="M331">
        <v>6.8090375200000004</v>
      </c>
      <c r="N331">
        <v>4.7427868200000001</v>
      </c>
      <c r="O331">
        <v>5.5390189799999998</v>
      </c>
      <c r="P331">
        <v>7.0510558958160194</v>
      </c>
      <c r="Q331">
        <v>110.53441592</v>
      </c>
      <c r="R331">
        <v>18.90128085036956</v>
      </c>
      <c r="S331" t="s">
        <v>30</v>
      </c>
      <c r="T331">
        <v>82.65899435</v>
      </c>
      <c r="U331" t="s">
        <v>2819</v>
      </c>
      <c r="V331" t="s">
        <v>1059</v>
      </c>
      <c r="W331" s="114" t="str">
        <f t="shared" si="15"/>
        <v>ETF</v>
      </c>
      <c r="X331" s="114" t="str">
        <f t="shared" si="16"/>
        <v>Otros ETFs</v>
      </c>
    </row>
    <row r="332" spans="1:24" hidden="1" x14ac:dyDescent="0.25">
      <c r="A332" s="114" t="str">
        <f t="shared" si="17"/>
        <v>WELL</v>
      </c>
      <c r="B332" t="s">
        <v>6226</v>
      </c>
      <c r="C332" t="s">
        <v>1785</v>
      </c>
      <c r="D332" t="s">
        <v>1786</v>
      </c>
      <c r="E332" t="s">
        <v>586</v>
      </c>
      <c r="F332" t="s">
        <v>1056</v>
      </c>
      <c r="G332" t="s">
        <v>1057</v>
      </c>
      <c r="H332" t="s">
        <v>1058</v>
      </c>
      <c r="I332" t="s">
        <v>90</v>
      </c>
      <c r="J332" t="s">
        <v>90</v>
      </c>
      <c r="K332">
        <v>30.385724419999999</v>
      </c>
      <c r="L332">
        <v>6.2935543000000003</v>
      </c>
      <c r="M332">
        <v>5.84420115</v>
      </c>
      <c r="N332">
        <v>5.19473641</v>
      </c>
      <c r="O332">
        <v>5.5724683500000003</v>
      </c>
      <c r="P332">
        <v>33.157266842733158</v>
      </c>
      <c r="Q332">
        <v>110.63486269000001</v>
      </c>
      <c r="R332">
        <v>19.335980664019331</v>
      </c>
      <c r="S332" t="s">
        <v>30</v>
      </c>
      <c r="T332">
        <v>30.385724419999999</v>
      </c>
      <c r="U332" t="s">
        <v>2819</v>
      </c>
      <c r="V332" t="s">
        <v>1059</v>
      </c>
      <c r="W332" s="114" t="str">
        <f t="shared" si="15"/>
        <v>ETF</v>
      </c>
      <c r="X332" s="114" t="str">
        <f t="shared" si="16"/>
        <v>Otros ETFs</v>
      </c>
    </row>
    <row r="333" spans="1:24" hidden="1" x14ac:dyDescent="0.25">
      <c r="A333" s="114" t="str">
        <f t="shared" si="17"/>
        <v>5278</v>
      </c>
      <c r="B333" t="s">
        <v>2628</v>
      </c>
      <c r="C333" t="s">
        <v>908</v>
      </c>
      <c r="D333" t="s">
        <v>907</v>
      </c>
      <c r="E333" t="s">
        <v>202</v>
      </c>
      <c r="F333" t="s">
        <v>4800</v>
      </c>
      <c r="G333" t="s">
        <v>1185</v>
      </c>
      <c r="H333" t="s">
        <v>1119</v>
      </c>
      <c r="I333">
        <v>199831.21</v>
      </c>
      <c r="J333">
        <v>240535</v>
      </c>
      <c r="K333">
        <v>1.2</v>
      </c>
      <c r="L333">
        <v>8.4</v>
      </c>
      <c r="M333">
        <v>7.3</v>
      </c>
      <c r="N333">
        <v>6.1</v>
      </c>
      <c r="O333">
        <v>5.0999999999999996</v>
      </c>
      <c r="P333">
        <v>6</v>
      </c>
      <c r="Q333"/>
      <c r="R333">
        <v>77</v>
      </c>
      <c r="S333" t="s">
        <v>1073</v>
      </c>
      <c r="T333">
        <v>1.2</v>
      </c>
      <c r="U333" t="s">
        <v>2819</v>
      </c>
      <c r="V333" t="s">
        <v>1062</v>
      </c>
      <c r="W333" s="114" t="str">
        <f t="shared" si="15"/>
        <v>Portafolio</v>
      </c>
      <c r="X333" s="114" t="str">
        <f t="shared" si="16"/>
        <v>Portafolio</v>
      </c>
    </row>
    <row r="334" spans="1:24" hidden="1" x14ac:dyDescent="0.25">
      <c r="A334" s="114" t="str">
        <f t="shared" si="17"/>
        <v>7032</v>
      </c>
      <c r="B334" t="s">
        <v>1788</v>
      </c>
      <c r="C334" t="s">
        <v>1789</v>
      </c>
      <c r="D334" t="s">
        <v>1790</v>
      </c>
      <c r="E334" t="s">
        <v>586</v>
      </c>
      <c r="F334" t="s">
        <v>1056</v>
      </c>
      <c r="G334" t="s">
        <v>1163</v>
      </c>
      <c r="H334" t="s">
        <v>1791</v>
      </c>
      <c r="I334" t="s">
        <v>90</v>
      </c>
      <c r="J334" t="s">
        <v>90</v>
      </c>
      <c r="K334">
        <v>50.732141740000003</v>
      </c>
      <c r="L334">
        <v>7.11058301</v>
      </c>
      <c r="M334">
        <v>5.3767876899999996</v>
      </c>
      <c r="N334">
        <v>4.8978865200000001</v>
      </c>
      <c r="O334">
        <v>6.8907968200000003</v>
      </c>
      <c r="P334">
        <v>3.1591701254727749</v>
      </c>
      <c r="Q334">
        <v>59.48274524</v>
      </c>
      <c r="R334">
        <v>60.889987565222853</v>
      </c>
      <c r="S334" t="s">
        <v>30</v>
      </c>
      <c r="T334">
        <v>50.732141740000003</v>
      </c>
      <c r="U334" t="s">
        <v>2819</v>
      </c>
      <c r="V334" t="s">
        <v>1059</v>
      </c>
      <c r="W334" s="114" t="str">
        <f t="shared" si="15"/>
        <v>ETF</v>
      </c>
      <c r="X334" s="114" t="str">
        <f t="shared" si="16"/>
        <v>Otros ETFs</v>
      </c>
    </row>
    <row r="335" spans="1:24" hidden="1" x14ac:dyDescent="0.25">
      <c r="A335" s="114" t="str">
        <f t="shared" si="17"/>
        <v>5278</v>
      </c>
      <c r="B335" t="s">
        <v>2628</v>
      </c>
      <c r="C335" t="s">
        <v>5072</v>
      </c>
      <c r="D335" t="s">
        <v>4842</v>
      </c>
      <c r="E335" t="s">
        <v>202</v>
      </c>
      <c r="F335" t="s">
        <v>4800</v>
      </c>
      <c r="G335" t="s">
        <v>1185</v>
      </c>
      <c r="H335" t="s">
        <v>1119</v>
      </c>
      <c r="I335">
        <v>199831.21</v>
      </c>
      <c r="J335">
        <v>240535</v>
      </c>
      <c r="K335">
        <v>1.2</v>
      </c>
      <c r="L335">
        <v>8.4</v>
      </c>
      <c r="M335">
        <v>7.3</v>
      </c>
      <c r="N335">
        <v>6.1</v>
      </c>
      <c r="O335">
        <v>5.0999999999999996</v>
      </c>
      <c r="P335">
        <v>6</v>
      </c>
      <c r="Q335"/>
      <c r="R335">
        <v>77</v>
      </c>
      <c r="S335" t="s">
        <v>1073</v>
      </c>
      <c r="T335">
        <v>1.2</v>
      </c>
      <c r="U335" t="s">
        <v>2819</v>
      </c>
      <c r="V335" t="s">
        <v>1062</v>
      </c>
      <c r="W335" s="114" t="str">
        <f t="shared" si="15"/>
        <v>Portafolio</v>
      </c>
      <c r="X335" s="114" t="str">
        <f t="shared" si="16"/>
        <v>Portafolio</v>
      </c>
    </row>
    <row r="336" spans="1:24" hidden="1" x14ac:dyDescent="0.25">
      <c r="A336" s="114" t="str">
        <f t="shared" si="17"/>
        <v>5278</v>
      </c>
      <c r="B336" t="s">
        <v>2628</v>
      </c>
      <c r="C336" t="s">
        <v>5798</v>
      </c>
      <c r="D336" t="s">
        <v>5799</v>
      </c>
      <c r="E336" t="s">
        <v>202</v>
      </c>
      <c r="F336" t="s">
        <v>4800</v>
      </c>
      <c r="G336" t="s">
        <v>1185</v>
      </c>
      <c r="H336" t="s">
        <v>1119</v>
      </c>
      <c r="I336">
        <v>199831.21</v>
      </c>
      <c r="J336">
        <v>240535</v>
      </c>
      <c r="K336">
        <v>1.2</v>
      </c>
      <c r="L336">
        <v>8.4</v>
      </c>
      <c r="M336">
        <v>7.3</v>
      </c>
      <c r="N336">
        <v>6.1</v>
      </c>
      <c r="O336">
        <v>5.0999999999999996</v>
      </c>
      <c r="P336">
        <v>6</v>
      </c>
      <c r="Q336"/>
      <c r="R336">
        <v>77</v>
      </c>
      <c r="S336" t="s">
        <v>1073</v>
      </c>
      <c r="T336">
        <v>1.2</v>
      </c>
      <c r="U336" t="s">
        <v>2819</v>
      </c>
      <c r="V336" t="s">
        <v>1062</v>
      </c>
      <c r="W336" s="114" t="str">
        <f t="shared" si="15"/>
        <v>Portafolio</v>
      </c>
      <c r="X336" s="114" t="str">
        <f t="shared" si="16"/>
        <v>Portafolio</v>
      </c>
    </row>
    <row r="337" spans="1:24" hidden="1" x14ac:dyDescent="0.25">
      <c r="A337" s="114" t="str">
        <f t="shared" si="17"/>
        <v>7019</v>
      </c>
      <c r="B337" t="s">
        <v>1792</v>
      </c>
      <c r="C337" t="s">
        <v>1793</v>
      </c>
      <c r="D337" t="s">
        <v>1794</v>
      </c>
      <c r="E337" t="s">
        <v>586</v>
      </c>
      <c r="F337" t="s">
        <v>1056</v>
      </c>
      <c r="G337" t="s">
        <v>1795</v>
      </c>
      <c r="H337" t="s">
        <v>6227</v>
      </c>
      <c r="I337" t="s">
        <v>90</v>
      </c>
      <c r="J337" t="s">
        <v>90</v>
      </c>
      <c r="K337">
        <v>71.592810150000005</v>
      </c>
      <c r="L337">
        <v>6.6533743000000003</v>
      </c>
      <c r="M337">
        <v>5.30341241</v>
      </c>
      <c r="N337">
        <v>4.8269525800000004</v>
      </c>
      <c r="O337">
        <v>5.8757400300000002</v>
      </c>
      <c r="P337">
        <v>0</v>
      </c>
      <c r="Q337">
        <v>75.523639279999998</v>
      </c>
      <c r="R337">
        <v>26.27927372072628</v>
      </c>
      <c r="S337" t="s">
        <v>30</v>
      </c>
      <c r="T337">
        <v>71.592810150000005</v>
      </c>
      <c r="U337" t="s">
        <v>2819</v>
      </c>
      <c r="V337" t="s">
        <v>1059</v>
      </c>
      <c r="W337" s="114" t="str">
        <f t="shared" si="15"/>
        <v>ETF</v>
      </c>
      <c r="X337" s="114" t="str">
        <f t="shared" si="16"/>
        <v>Otros ETFs</v>
      </c>
    </row>
    <row r="338" spans="1:24" hidden="1" x14ac:dyDescent="0.25">
      <c r="A338" s="114" t="str">
        <f t="shared" si="17"/>
        <v>7077</v>
      </c>
      <c r="B338" t="s">
        <v>1797</v>
      </c>
      <c r="C338" t="s">
        <v>1798</v>
      </c>
      <c r="D338" t="s">
        <v>1799</v>
      </c>
      <c r="E338" t="s">
        <v>586</v>
      </c>
      <c r="F338" t="s">
        <v>1056</v>
      </c>
      <c r="G338" t="s">
        <v>1163</v>
      </c>
      <c r="H338" t="s">
        <v>1164</v>
      </c>
      <c r="I338" t="s">
        <v>90</v>
      </c>
      <c r="J338" t="s">
        <v>90</v>
      </c>
      <c r="K338">
        <v>45.7311154</v>
      </c>
      <c r="L338">
        <v>8.0383244999999999</v>
      </c>
      <c r="M338">
        <v>6.4020945400000002</v>
      </c>
      <c r="N338">
        <v>5.36694899</v>
      </c>
      <c r="O338">
        <v>6.7570151999999997</v>
      </c>
      <c r="P338">
        <v>28.894142211715579</v>
      </c>
      <c r="Q338">
        <v>59.405145740000002</v>
      </c>
      <c r="R338">
        <v>69.032161935676129</v>
      </c>
      <c r="S338" t="s">
        <v>1073</v>
      </c>
      <c r="T338">
        <v>45.7311154</v>
      </c>
      <c r="U338" t="s">
        <v>2819</v>
      </c>
      <c r="V338" t="s">
        <v>1059</v>
      </c>
      <c r="W338" s="114" t="str">
        <f t="shared" si="15"/>
        <v>ETF</v>
      </c>
      <c r="X338" s="114" t="str">
        <f t="shared" si="16"/>
        <v>Otros ETFs</v>
      </c>
    </row>
    <row r="339" spans="1:24" hidden="1" x14ac:dyDescent="0.25">
      <c r="A339" s="114" t="str">
        <f t="shared" si="17"/>
        <v>5864</v>
      </c>
      <c r="B339" t="s">
        <v>2629</v>
      </c>
      <c r="C339" t="s">
        <v>5800</v>
      </c>
      <c r="D339" t="s">
        <v>5801</v>
      </c>
      <c r="E339" t="s">
        <v>191</v>
      </c>
      <c r="F339" t="s">
        <v>4804</v>
      </c>
      <c r="G339" t="s">
        <v>1185</v>
      </c>
      <c r="H339" t="s">
        <v>1147</v>
      </c>
      <c r="I339">
        <v>79094.73</v>
      </c>
      <c r="J339">
        <v>3683722</v>
      </c>
      <c r="K339">
        <v>46.57</v>
      </c>
      <c r="L339">
        <v>3.3</v>
      </c>
      <c r="M339">
        <v>2.2999999999999998</v>
      </c>
      <c r="N339">
        <v>3.9</v>
      </c>
      <c r="O339">
        <v>3.7</v>
      </c>
      <c r="P339">
        <v>4</v>
      </c>
      <c r="Q339"/>
      <c r="R339">
        <v>5</v>
      </c>
      <c r="S339" t="s">
        <v>1138</v>
      </c>
      <c r="T339">
        <v>46.57</v>
      </c>
      <c r="U339" t="s">
        <v>2819</v>
      </c>
      <c r="V339" t="s">
        <v>1062</v>
      </c>
      <c r="W339" s="114" t="str">
        <f t="shared" si="15"/>
        <v>Portafolio</v>
      </c>
      <c r="X339" s="114" t="str">
        <f t="shared" si="16"/>
        <v>Portafolio</v>
      </c>
    </row>
    <row r="340" spans="1:24" hidden="1" x14ac:dyDescent="0.25">
      <c r="A340" s="114" t="str">
        <f t="shared" si="17"/>
        <v>7063</v>
      </c>
      <c r="B340" t="s">
        <v>6228</v>
      </c>
      <c r="C340" t="s">
        <v>1801</v>
      </c>
      <c r="D340" t="s">
        <v>1802</v>
      </c>
      <c r="E340" t="s">
        <v>586</v>
      </c>
      <c r="F340" t="s">
        <v>1056</v>
      </c>
      <c r="G340" t="s">
        <v>1071</v>
      </c>
      <c r="H340" t="s">
        <v>1155</v>
      </c>
      <c r="I340" t="s">
        <v>90</v>
      </c>
      <c r="J340" t="s">
        <v>90</v>
      </c>
      <c r="K340">
        <v>2.7941911300000002</v>
      </c>
      <c r="L340">
        <v>6.6788164500000002</v>
      </c>
      <c r="M340">
        <v>7.02859327</v>
      </c>
      <c r="N340">
        <v>4.9302133699999997</v>
      </c>
      <c r="O340">
        <v>6.0682442099999996</v>
      </c>
      <c r="P340">
        <v>49.028850558884521</v>
      </c>
      <c r="Q340">
        <v>12.11565457</v>
      </c>
      <c r="R340">
        <v>29.111037487774901</v>
      </c>
      <c r="S340" t="s">
        <v>30</v>
      </c>
      <c r="T340">
        <v>2.7941911300000002</v>
      </c>
      <c r="U340" t="s">
        <v>2819</v>
      </c>
      <c r="V340" t="s">
        <v>1059</v>
      </c>
      <c r="W340" s="114" t="str">
        <f t="shared" si="15"/>
        <v>ETF</v>
      </c>
      <c r="X340" s="114" t="str">
        <f t="shared" si="16"/>
        <v>Otros ETFs</v>
      </c>
    </row>
    <row r="341" spans="1:24" hidden="1" x14ac:dyDescent="0.25">
      <c r="A341" s="114" t="str">
        <f t="shared" si="17"/>
        <v>5864</v>
      </c>
      <c r="B341" t="s">
        <v>2629</v>
      </c>
      <c r="C341" t="s">
        <v>2630</v>
      </c>
      <c r="D341" t="s">
        <v>3092</v>
      </c>
      <c r="E341" t="s">
        <v>191</v>
      </c>
      <c r="F341" t="s">
        <v>4804</v>
      </c>
      <c r="G341" t="s">
        <v>1185</v>
      </c>
      <c r="H341" t="s">
        <v>1147</v>
      </c>
      <c r="I341">
        <v>79094.73</v>
      </c>
      <c r="J341">
        <v>3683722</v>
      </c>
      <c r="K341">
        <v>46.57</v>
      </c>
      <c r="L341">
        <v>3.3</v>
      </c>
      <c r="M341">
        <v>2.2999999999999998</v>
      </c>
      <c r="N341">
        <v>3.9</v>
      </c>
      <c r="O341">
        <v>3.7</v>
      </c>
      <c r="P341">
        <v>4</v>
      </c>
      <c r="Q341"/>
      <c r="R341">
        <v>5</v>
      </c>
      <c r="S341" t="s">
        <v>1138</v>
      </c>
      <c r="T341">
        <v>46.57</v>
      </c>
      <c r="U341" t="s">
        <v>2819</v>
      </c>
      <c r="V341" t="s">
        <v>1062</v>
      </c>
      <c r="W341" s="114" t="str">
        <f t="shared" si="15"/>
        <v>Portafolio</v>
      </c>
      <c r="X341" s="114" t="str">
        <f t="shared" si="16"/>
        <v>Portafolio</v>
      </c>
    </row>
    <row r="342" spans="1:24" hidden="1" x14ac:dyDescent="0.25">
      <c r="A342" s="114" t="str">
        <f t="shared" si="17"/>
        <v>5356</v>
      </c>
      <c r="B342" t="s">
        <v>2631</v>
      </c>
      <c r="C342" t="s">
        <v>2632</v>
      </c>
      <c r="D342" t="s">
        <v>3111</v>
      </c>
      <c r="E342" t="s">
        <v>191</v>
      </c>
      <c r="F342" t="s">
        <v>4804</v>
      </c>
      <c r="G342" t="s">
        <v>1384</v>
      </c>
      <c r="H342" t="s">
        <v>1836</v>
      </c>
      <c r="I342">
        <v>12586.8</v>
      </c>
      <c r="J342">
        <v>1599820</v>
      </c>
      <c r="K342">
        <v>165.25</v>
      </c>
      <c r="L342">
        <v>5.5</v>
      </c>
      <c r="M342">
        <v>5.2</v>
      </c>
      <c r="N342">
        <v>4.3</v>
      </c>
      <c r="O342">
        <v>5.0999999999999996</v>
      </c>
      <c r="P342">
        <v>0</v>
      </c>
      <c r="Q342"/>
      <c r="R342"/>
      <c r="S342" t="s">
        <v>1063</v>
      </c>
      <c r="T342">
        <v>165.25</v>
      </c>
      <c r="U342" t="s">
        <v>2819</v>
      </c>
      <c r="V342" t="s">
        <v>1062</v>
      </c>
      <c r="W342" s="114" t="str">
        <f t="shared" si="15"/>
        <v>Portafolio</v>
      </c>
      <c r="X342" s="114" t="str">
        <f t="shared" si="16"/>
        <v>Portafolio</v>
      </c>
    </row>
    <row r="343" spans="1:24" hidden="1" x14ac:dyDescent="0.25">
      <c r="A343" s="114" t="str">
        <f t="shared" si="17"/>
        <v>7022</v>
      </c>
      <c r="B343" t="s">
        <v>1803</v>
      </c>
      <c r="C343" t="s">
        <v>1804</v>
      </c>
      <c r="D343" t="s">
        <v>1805</v>
      </c>
      <c r="E343" t="s">
        <v>586</v>
      </c>
      <c r="F343" t="s">
        <v>1056</v>
      </c>
      <c r="G343" t="s">
        <v>1714</v>
      </c>
      <c r="H343" t="s">
        <v>6229</v>
      </c>
      <c r="I343" t="s">
        <v>90</v>
      </c>
      <c r="J343" t="s">
        <v>90</v>
      </c>
      <c r="K343">
        <v>32.460286150000002</v>
      </c>
      <c r="L343">
        <v>8.1078976199999993</v>
      </c>
      <c r="M343">
        <v>6.9225003200000002</v>
      </c>
      <c r="N343">
        <v>5.5483348499999998</v>
      </c>
      <c r="O343">
        <v>6.7202342699999997</v>
      </c>
      <c r="P343">
        <v>25.037800000000001</v>
      </c>
      <c r="Q343">
        <v>78.850130050000004</v>
      </c>
      <c r="R343">
        <v>59.248100000000001</v>
      </c>
      <c r="S343" t="s">
        <v>1073</v>
      </c>
      <c r="T343">
        <v>32.460286150000002</v>
      </c>
      <c r="U343" t="s">
        <v>2819</v>
      </c>
      <c r="V343" t="s">
        <v>1059</v>
      </c>
      <c r="W343" s="114" t="str">
        <f t="shared" si="15"/>
        <v>ETF</v>
      </c>
      <c r="X343" s="114" t="str">
        <f t="shared" si="16"/>
        <v>Otros ETFs</v>
      </c>
    </row>
    <row r="344" spans="1:24" hidden="1" x14ac:dyDescent="0.25">
      <c r="A344" s="114" t="str">
        <f t="shared" si="17"/>
        <v>7094</v>
      </c>
      <c r="B344" t="s">
        <v>1806</v>
      </c>
      <c r="C344" t="s">
        <v>1807</v>
      </c>
      <c r="D344" t="s">
        <v>1808</v>
      </c>
      <c r="E344" t="s">
        <v>586</v>
      </c>
      <c r="F344" t="s">
        <v>1056</v>
      </c>
      <c r="G344" t="s">
        <v>1375</v>
      </c>
      <c r="H344" t="s">
        <v>1678</v>
      </c>
      <c r="I344" t="s">
        <v>90</v>
      </c>
      <c r="J344" t="s">
        <v>90</v>
      </c>
      <c r="K344">
        <v>53.915658319999999</v>
      </c>
      <c r="L344">
        <v>4.5283281200000003</v>
      </c>
      <c r="M344">
        <v>4.5633149599999996</v>
      </c>
      <c r="N344">
        <v>4.3832181800000001</v>
      </c>
      <c r="O344">
        <v>4.9076114500000001</v>
      </c>
      <c r="P344">
        <v>0</v>
      </c>
      <c r="Q344">
        <v>92.387787619999997</v>
      </c>
      <c r="R344">
        <v>3.0115969884030109</v>
      </c>
      <c r="S344" t="s">
        <v>1063</v>
      </c>
      <c r="T344">
        <v>53.915658319999999</v>
      </c>
      <c r="U344" t="s">
        <v>2819</v>
      </c>
      <c r="V344" t="s">
        <v>1059</v>
      </c>
      <c r="W344" s="114" t="str">
        <f t="shared" si="15"/>
        <v>ETF</v>
      </c>
      <c r="X344" s="114" t="str">
        <f t="shared" si="16"/>
        <v>Otros ETFs</v>
      </c>
    </row>
    <row r="345" spans="1:24" hidden="1" x14ac:dyDescent="0.25">
      <c r="A345" s="114" t="str">
        <f t="shared" si="17"/>
        <v>5356</v>
      </c>
      <c r="B345" t="s">
        <v>2631</v>
      </c>
      <c r="C345" t="s">
        <v>6230</v>
      </c>
      <c r="D345" t="s">
        <v>6231</v>
      </c>
      <c r="E345" t="s">
        <v>191</v>
      </c>
      <c r="F345" t="s">
        <v>4804</v>
      </c>
      <c r="G345" t="s">
        <v>1384</v>
      </c>
      <c r="H345" t="s">
        <v>1836</v>
      </c>
      <c r="I345">
        <v>12586.8</v>
      </c>
      <c r="J345">
        <v>1599820</v>
      </c>
      <c r="K345">
        <v>165.25</v>
      </c>
      <c r="L345">
        <v>5.5</v>
      </c>
      <c r="M345">
        <v>5.2</v>
      </c>
      <c r="N345">
        <v>4.3</v>
      </c>
      <c r="O345">
        <v>5.0999999999999996</v>
      </c>
      <c r="P345">
        <v>0</v>
      </c>
      <c r="Q345"/>
      <c r="R345"/>
      <c r="S345" t="s">
        <v>1063</v>
      </c>
      <c r="T345">
        <v>165.25</v>
      </c>
      <c r="U345" t="s">
        <v>2819</v>
      </c>
      <c r="V345" t="s">
        <v>1062</v>
      </c>
      <c r="W345" s="114" t="str">
        <f t="shared" si="15"/>
        <v>Portafolio</v>
      </c>
      <c r="X345" s="114" t="str">
        <f t="shared" si="16"/>
        <v>Portafolio</v>
      </c>
    </row>
    <row r="346" spans="1:24" hidden="1" x14ac:dyDescent="0.25">
      <c r="A346" s="114" t="str">
        <f t="shared" si="17"/>
        <v>5294</v>
      </c>
      <c r="B346" t="s">
        <v>4953</v>
      </c>
      <c r="C346" t="s">
        <v>5386</v>
      </c>
      <c r="D346" t="s">
        <v>3105</v>
      </c>
      <c r="E346" t="s">
        <v>823</v>
      </c>
      <c r="F346" t="s">
        <v>4805</v>
      </c>
      <c r="G346" t="s">
        <v>1185</v>
      </c>
      <c r="H346" t="s">
        <v>1324</v>
      </c>
      <c r="I346">
        <v>100328.73</v>
      </c>
      <c r="J346">
        <v>90105225.930501863</v>
      </c>
      <c r="K346">
        <v>898.1</v>
      </c>
      <c r="L346">
        <v>1.3</v>
      </c>
      <c r="M346">
        <v>3.8</v>
      </c>
      <c r="N346">
        <v>2.6</v>
      </c>
      <c r="O346">
        <v>2.6</v>
      </c>
      <c r="P346">
        <v>0</v>
      </c>
      <c r="Q346"/>
      <c r="R346">
        <v>27</v>
      </c>
      <c r="S346" t="s">
        <v>6232</v>
      </c>
      <c r="T346">
        <v>898.1</v>
      </c>
      <c r="U346" t="s">
        <v>2819</v>
      </c>
      <c r="V346" t="s">
        <v>1062</v>
      </c>
      <c r="W346" s="114" t="str">
        <f t="shared" si="15"/>
        <v>Portafolio</v>
      </c>
      <c r="X346" s="114" t="str">
        <f t="shared" si="16"/>
        <v>Portafolio</v>
      </c>
    </row>
    <row r="347" spans="1:24" hidden="1" x14ac:dyDescent="0.25">
      <c r="A347" s="114" t="str">
        <f t="shared" si="17"/>
        <v>7085</v>
      </c>
      <c r="B347" t="s">
        <v>1809</v>
      </c>
      <c r="C347" t="s">
        <v>1810</v>
      </c>
      <c r="D347" t="s">
        <v>1811</v>
      </c>
      <c r="E347" t="s">
        <v>586</v>
      </c>
      <c r="F347" t="s">
        <v>1056</v>
      </c>
      <c r="G347" t="s">
        <v>1689</v>
      </c>
      <c r="H347" t="s">
        <v>1690</v>
      </c>
      <c r="I347" t="s">
        <v>90</v>
      </c>
      <c r="J347" t="s">
        <v>90</v>
      </c>
      <c r="K347">
        <v>119.88749494</v>
      </c>
      <c r="L347">
        <v>7.9852115100000001</v>
      </c>
      <c r="M347">
        <v>6.7513436699999998</v>
      </c>
      <c r="N347">
        <v>5.3380135700000002</v>
      </c>
      <c r="O347">
        <v>6.7419623800000004</v>
      </c>
      <c r="P347">
        <v>27.826427826427832</v>
      </c>
      <c r="Q347">
        <v>207.01090348</v>
      </c>
      <c r="R347">
        <v>52.309352309352313</v>
      </c>
      <c r="S347" t="s">
        <v>1073</v>
      </c>
      <c r="T347">
        <v>119.88749494</v>
      </c>
      <c r="U347" t="s">
        <v>2819</v>
      </c>
      <c r="V347" t="s">
        <v>1059</v>
      </c>
      <c r="W347" s="114" t="str">
        <f t="shared" si="15"/>
        <v>ETF</v>
      </c>
      <c r="X347" s="114" t="str">
        <f t="shared" si="16"/>
        <v>Otros ETFs</v>
      </c>
    </row>
    <row r="348" spans="1:24" hidden="1" x14ac:dyDescent="0.25">
      <c r="A348" s="114" t="str">
        <f t="shared" si="17"/>
        <v>7025</v>
      </c>
      <c r="B348" t="s">
        <v>5071</v>
      </c>
      <c r="C348" t="s">
        <v>1812</v>
      </c>
      <c r="D348" t="s">
        <v>1813</v>
      </c>
      <c r="E348" t="s">
        <v>586</v>
      </c>
      <c r="F348" t="s">
        <v>1056</v>
      </c>
      <c r="G348" t="s">
        <v>1136</v>
      </c>
      <c r="H348" t="s">
        <v>6144</v>
      </c>
      <c r="I348" t="s">
        <v>90</v>
      </c>
      <c r="J348" t="s">
        <v>90</v>
      </c>
      <c r="K348">
        <v>37.825877730000002</v>
      </c>
      <c r="L348">
        <v>6.5597256699999997</v>
      </c>
      <c r="M348">
        <v>5.6516246199999998</v>
      </c>
      <c r="N348">
        <v>5.50219433</v>
      </c>
      <c r="O348">
        <v>5.1558113399999996</v>
      </c>
      <c r="P348">
        <v>24.744407990380541</v>
      </c>
      <c r="Q348">
        <v>163.53171613000001</v>
      </c>
      <c r="R348">
        <v>8.5545588538236057</v>
      </c>
      <c r="S348" t="s">
        <v>30</v>
      </c>
      <c r="T348">
        <v>37.825877730000002</v>
      </c>
      <c r="U348" t="s">
        <v>2819</v>
      </c>
      <c r="V348" t="s">
        <v>1059</v>
      </c>
      <c r="W348" s="114" t="str">
        <f t="shared" si="15"/>
        <v>ETF</v>
      </c>
      <c r="X348" s="114" t="str">
        <f t="shared" si="16"/>
        <v>Otros ETFs</v>
      </c>
    </row>
    <row r="349" spans="1:24" hidden="1" x14ac:dyDescent="0.25">
      <c r="A349" s="114" t="str">
        <f t="shared" si="17"/>
        <v>5294</v>
      </c>
      <c r="B349" t="s">
        <v>4953</v>
      </c>
      <c r="C349" t="s">
        <v>5387</v>
      </c>
      <c r="D349" t="s">
        <v>5388</v>
      </c>
      <c r="E349" t="s">
        <v>823</v>
      </c>
      <c r="F349" t="s">
        <v>4805</v>
      </c>
      <c r="G349" t="s">
        <v>1185</v>
      </c>
      <c r="H349" t="s">
        <v>1324</v>
      </c>
      <c r="I349">
        <v>100328.73</v>
      </c>
      <c r="J349">
        <v>90105225.930501863</v>
      </c>
      <c r="K349">
        <v>898.1</v>
      </c>
      <c r="L349">
        <v>1.3</v>
      </c>
      <c r="M349">
        <v>3.8</v>
      </c>
      <c r="N349">
        <v>2.6</v>
      </c>
      <c r="O349">
        <v>2.6</v>
      </c>
      <c r="P349">
        <v>0</v>
      </c>
      <c r="Q349"/>
      <c r="R349">
        <v>27</v>
      </c>
      <c r="S349" t="s">
        <v>6232</v>
      </c>
      <c r="T349">
        <v>898.1</v>
      </c>
      <c r="U349" t="s">
        <v>2819</v>
      </c>
      <c r="V349" t="s">
        <v>1062</v>
      </c>
      <c r="W349" s="114" t="str">
        <f t="shared" si="15"/>
        <v>Portafolio</v>
      </c>
      <c r="X349" s="114" t="str">
        <f t="shared" si="16"/>
        <v>Portafolio</v>
      </c>
    </row>
    <row r="350" spans="1:24" hidden="1" x14ac:dyDescent="0.25">
      <c r="A350" s="114" t="str">
        <f t="shared" si="17"/>
        <v>7025</v>
      </c>
      <c r="B350" t="s">
        <v>5638</v>
      </c>
      <c r="C350" t="s">
        <v>1814</v>
      </c>
      <c r="D350" t="s">
        <v>1815</v>
      </c>
      <c r="E350" t="s">
        <v>586</v>
      </c>
      <c r="F350" t="s">
        <v>1056</v>
      </c>
      <c r="G350" t="s">
        <v>1136</v>
      </c>
      <c r="H350" t="s">
        <v>1437</v>
      </c>
      <c r="I350" t="s">
        <v>90</v>
      </c>
      <c r="J350" t="s">
        <v>90</v>
      </c>
      <c r="K350">
        <v>443.00939258</v>
      </c>
      <c r="L350">
        <v>3.6707467299999998</v>
      </c>
      <c r="M350">
        <v>4.9050791299999998</v>
      </c>
      <c r="N350">
        <v>5.2152294899999996</v>
      </c>
      <c r="O350">
        <v>4.8463289400000003</v>
      </c>
      <c r="P350">
        <v>3.1128442462999999</v>
      </c>
      <c r="Q350">
        <v>512.80474534999996</v>
      </c>
      <c r="R350">
        <v>1.4912062993999999</v>
      </c>
      <c r="S350" t="s">
        <v>1138</v>
      </c>
      <c r="T350">
        <v>443.00939258</v>
      </c>
      <c r="U350" t="s">
        <v>2819</v>
      </c>
      <c r="V350" t="s">
        <v>1059</v>
      </c>
      <c r="W350" s="114" t="str">
        <f t="shared" si="15"/>
        <v>ETF</v>
      </c>
      <c r="X350" s="114" t="str">
        <f t="shared" si="16"/>
        <v>Otros ETFs</v>
      </c>
    </row>
    <row r="351" spans="1:24" hidden="1" x14ac:dyDescent="0.25">
      <c r="A351" s="114" t="str">
        <f t="shared" si="17"/>
        <v>5024</v>
      </c>
      <c r="B351" t="s">
        <v>2633</v>
      </c>
      <c r="C351" t="s">
        <v>2634</v>
      </c>
      <c r="D351" t="s">
        <v>3070</v>
      </c>
      <c r="E351" t="s">
        <v>191</v>
      </c>
      <c r="F351" t="s">
        <v>4804</v>
      </c>
      <c r="G351" t="s">
        <v>1168</v>
      </c>
      <c r="H351" t="s">
        <v>1176</v>
      </c>
      <c r="I351">
        <v>54358.5</v>
      </c>
      <c r="J351">
        <v>8550000</v>
      </c>
      <c r="K351">
        <v>157.29</v>
      </c>
      <c r="L351">
        <v>3.3</v>
      </c>
      <c r="M351">
        <v>3.6</v>
      </c>
      <c r="N351">
        <v>1.3</v>
      </c>
      <c r="O351">
        <v>5.5</v>
      </c>
      <c r="P351">
        <v>17</v>
      </c>
      <c r="Q351"/>
      <c r="R351">
        <v>34</v>
      </c>
      <c r="S351" t="s">
        <v>1138</v>
      </c>
      <c r="T351">
        <v>157.29</v>
      </c>
      <c r="U351" t="s">
        <v>2819</v>
      </c>
      <c r="V351" t="s">
        <v>1062</v>
      </c>
      <c r="W351" s="114" t="str">
        <f t="shared" si="15"/>
        <v>Portafolio</v>
      </c>
      <c r="X351" s="114" t="str">
        <f t="shared" si="16"/>
        <v>Portafolio</v>
      </c>
    </row>
    <row r="352" spans="1:24" hidden="1" x14ac:dyDescent="0.25">
      <c r="A352" s="114" t="str">
        <f t="shared" si="17"/>
        <v>5024</v>
      </c>
      <c r="B352" t="s">
        <v>2633</v>
      </c>
      <c r="C352" t="s">
        <v>4782</v>
      </c>
      <c r="D352" t="s">
        <v>4820</v>
      </c>
      <c r="E352" t="s">
        <v>191</v>
      </c>
      <c r="F352" t="s">
        <v>4804</v>
      </c>
      <c r="G352" t="s">
        <v>1168</v>
      </c>
      <c r="H352" t="s">
        <v>1176</v>
      </c>
      <c r="I352">
        <v>54358.5</v>
      </c>
      <c r="J352">
        <v>8550000</v>
      </c>
      <c r="K352">
        <v>157.29</v>
      </c>
      <c r="L352">
        <v>3.3</v>
      </c>
      <c r="M352">
        <v>3.6</v>
      </c>
      <c r="N352">
        <v>1.3</v>
      </c>
      <c r="O352">
        <v>5.5</v>
      </c>
      <c r="P352">
        <v>17</v>
      </c>
      <c r="Q352"/>
      <c r="R352">
        <v>34</v>
      </c>
      <c r="S352" t="s">
        <v>1138</v>
      </c>
      <c r="T352">
        <v>157.29</v>
      </c>
      <c r="U352" t="s">
        <v>2819</v>
      </c>
      <c r="V352" t="s">
        <v>1062</v>
      </c>
      <c r="W352" s="114" t="str">
        <f t="shared" si="15"/>
        <v>Portafolio</v>
      </c>
      <c r="X352" s="114" t="str">
        <f t="shared" si="16"/>
        <v>Portafolio</v>
      </c>
    </row>
    <row r="353" spans="1:24" hidden="1" x14ac:dyDescent="0.25">
      <c r="A353" s="114" t="str">
        <f t="shared" si="17"/>
        <v>GLDS</v>
      </c>
      <c r="B353" t="s">
        <v>1816</v>
      </c>
      <c r="C353" t="s">
        <v>1817</v>
      </c>
      <c r="D353" t="s">
        <v>1818</v>
      </c>
      <c r="E353" t="s">
        <v>586</v>
      </c>
      <c r="F353" t="s">
        <v>1056</v>
      </c>
      <c r="G353" t="s">
        <v>1136</v>
      </c>
      <c r="H353" t="s">
        <v>1437</v>
      </c>
      <c r="I353" t="s">
        <v>90</v>
      </c>
      <c r="J353" t="s">
        <v>90</v>
      </c>
      <c r="K353">
        <v>484.20228766000002</v>
      </c>
      <c r="L353">
        <v>3.9107736499999999</v>
      </c>
      <c r="M353">
        <v>5.0195011899999997</v>
      </c>
      <c r="N353">
        <v>5.2103331700000002</v>
      </c>
      <c r="O353">
        <v>4.9505302999999996</v>
      </c>
      <c r="P353">
        <v>4.3643281842554229</v>
      </c>
      <c r="Q353">
        <v>822.10229648999996</v>
      </c>
      <c r="R353">
        <v>1.9089454468093681</v>
      </c>
      <c r="S353" t="s">
        <v>1138</v>
      </c>
      <c r="T353">
        <v>484.20228766000002</v>
      </c>
      <c r="U353" t="s">
        <v>2819</v>
      </c>
      <c r="V353" t="s">
        <v>1059</v>
      </c>
      <c r="W353" s="114" t="str">
        <f t="shared" si="15"/>
        <v>ETF</v>
      </c>
      <c r="X353" s="114" t="str">
        <f t="shared" si="16"/>
        <v>Otros ETFs</v>
      </c>
    </row>
    <row r="354" spans="1:24" hidden="1" x14ac:dyDescent="0.25">
      <c r="A354" s="114" t="str">
        <f t="shared" si="17"/>
        <v>7097</v>
      </c>
      <c r="B354" t="s">
        <v>1819</v>
      </c>
      <c r="C354" t="s">
        <v>1820</v>
      </c>
      <c r="D354" t="s">
        <v>1821</v>
      </c>
      <c r="E354" t="s">
        <v>586</v>
      </c>
      <c r="F354" t="s">
        <v>1056</v>
      </c>
      <c r="G354" t="s">
        <v>1057</v>
      </c>
      <c r="H354" t="s">
        <v>1288</v>
      </c>
      <c r="I354" t="s">
        <v>90</v>
      </c>
      <c r="J354" t="s">
        <v>90</v>
      </c>
      <c r="K354">
        <v>107.29322227</v>
      </c>
      <c r="L354">
        <v>5.3784884999999996</v>
      </c>
      <c r="M354">
        <v>4.6545563799999998</v>
      </c>
      <c r="N354">
        <v>4.5607129300000002</v>
      </c>
      <c r="O354">
        <v>5.63756302</v>
      </c>
      <c r="P354">
        <v>6.8024885014208181</v>
      </c>
      <c r="Q354">
        <v>170.05877068999999</v>
      </c>
      <c r="R354">
        <v>14.09576040389868</v>
      </c>
      <c r="S354" t="s">
        <v>1063</v>
      </c>
      <c r="T354">
        <v>107.29322227</v>
      </c>
      <c r="U354" t="s">
        <v>2819</v>
      </c>
      <c r="V354" t="s">
        <v>1059</v>
      </c>
      <c r="W354" s="114" t="str">
        <f t="shared" si="15"/>
        <v>ETF</v>
      </c>
      <c r="X354" s="114" t="str">
        <f t="shared" si="16"/>
        <v>Otros ETFs</v>
      </c>
    </row>
    <row r="355" spans="1:24" hidden="1" x14ac:dyDescent="0.25">
      <c r="A355" s="114" t="str">
        <f t="shared" si="17"/>
        <v>5024</v>
      </c>
      <c r="B355" t="s">
        <v>2633</v>
      </c>
      <c r="C355" t="s">
        <v>5751</v>
      </c>
      <c r="D355" t="s">
        <v>5752</v>
      </c>
      <c r="E355" t="s">
        <v>191</v>
      </c>
      <c r="F355" t="s">
        <v>4804</v>
      </c>
      <c r="G355" t="s">
        <v>1168</v>
      </c>
      <c r="H355" t="s">
        <v>1176</v>
      </c>
      <c r="I355">
        <v>54358.5</v>
      </c>
      <c r="J355">
        <v>8550000</v>
      </c>
      <c r="K355">
        <v>157.29</v>
      </c>
      <c r="L355">
        <v>3.3</v>
      </c>
      <c r="M355">
        <v>3.6</v>
      </c>
      <c r="N355">
        <v>1.3</v>
      </c>
      <c r="O355">
        <v>5.5</v>
      </c>
      <c r="P355">
        <v>17</v>
      </c>
      <c r="Q355"/>
      <c r="R355">
        <v>34</v>
      </c>
      <c r="S355" t="s">
        <v>1138</v>
      </c>
      <c r="T355">
        <v>157.29</v>
      </c>
      <c r="U355" t="s">
        <v>2819</v>
      </c>
      <c r="V355" t="s">
        <v>1062</v>
      </c>
      <c r="W355" s="114" t="str">
        <f t="shared" si="15"/>
        <v>Portafolio</v>
      </c>
      <c r="X355" s="114" t="str">
        <f t="shared" si="16"/>
        <v>Portafolio</v>
      </c>
    </row>
    <row r="356" spans="1:24" hidden="1" x14ac:dyDescent="0.25">
      <c r="A356" s="114" t="str">
        <f t="shared" si="17"/>
        <v>0086</v>
      </c>
      <c r="B356" t="s">
        <v>5389</v>
      </c>
      <c r="C356" t="s">
        <v>5390</v>
      </c>
      <c r="D356" t="s">
        <v>370</v>
      </c>
      <c r="E356" t="s">
        <v>350</v>
      </c>
      <c r="F356" t="s">
        <v>4802</v>
      </c>
      <c r="G356" t="s">
        <v>1198</v>
      </c>
      <c r="H356" t="s">
        <v>5391</v>
      </c>
      <c r="I356">
        <v>2786.38</v>
      </c>
      <c r="J356">
        <v>190.93</v>
      </c>
      <c r="K356">
        <v>7.0000000000000007E-2</v>
      </c>
      <c r="L356">
        <v>6.8</v>
      </c>
      <c r="M356">
        <v>4.5999999999999996</v>
      </c>
      <c r="N356">
        <v>6.7</v>
      </c>
      <c r="O356">
        <v>6.6</v>
      </c>
      <c r="P356">
        <v>0</v>
      </c>
      <c r="Q356"/>
      <c r="R356"/>
      <c r="S356" t="s">
        <v>30</v>
      </c>
      <c r="T356">
        <v>7.0000000000000007E-2</v>
      </c>
      <c r="U356" t="s">
        <v>2819</v>
      </c>
      <c r="V356" t="s">
        <v>1062</v>
      </c>
      <c r="W356" s="114" t="str">
        <f t="shared" si="15"/>
        <v>Portafolio</v>
      </c>
      <c r="X356" s="114" t="str">
        <f t="shared" si="16"/>
        <v>Portafolio</v>
      </c>
    </row>
    <row r="357" spans="1:24" hidden="1" x14ac:dyDescent="0.25">
      <c r="A357" s="114" t="str">
        <f t="shared" si="17"/>
        <v>7080</v>
      </c>
      <c r="B357" t="s">
        <v>1822</v>
      </c>
      <c r="C357" t="s">
        <v>1823</v>
      </c>
      <c r="D357" t="s">
        <v>1824</v>
      </c>
      <c r="E357" t="s">
        <v>586</v>
      </c>
      <c r="F357" t="s">
        <v>1056</v>
      </c>
      <c r="G357" t="s">
        <v>1136</v>
      </c>
      <c r="H357" t="s">
        <v>1437</v>
      </c>
      <c r="I357" t="s">
        <v>90</v>
      </c>
      <c r="J357" t="s">
        <v>90</v>
      </c>
      <c r="K357">
        <v>129.96680204</v>
      </c>
      <c r="L357">
        <v>3.8533860999999998</v>
      </c>
      <c r="M357">
        <v>4.9580814999999996</v>
      </c>
      <c r="N357">
        <v>5.2773836300000001</v>
      </c>
      <c r="O357">
        <v>5.0653786099999998</v>
      </c>
      <c r="P357">
        <v>0.108344173323926</v>
      </c>
      <c r="Q357">
        <v>302.70579957000001</v>
      </c>
      <c r="R357">
        <v>1.1172992874029839</v>
      </c>
      <c r="S357" t="s">
        <v>1138</v>
      </c>
      <c r="T357">
        <v>129.96680204</v>
      </c>
      <c r="U357" t="s">
        <v>2819</v>
      </c>
      <c r="V357" t="s">
        <v>1059</v>
      </c>
      <c r="W357" s="114" t="str">
        <f t="shared" si="15"/>
        <v>ETF</v>
      </c>
      <c r="X357" s="114" t="str">
        <f t="shared" si="16"/>
        <v>Otros ETFs</v>
      </c>
    </row>
    <row r="358" spans="1:24" hidden="1" x14ac:dyDescent="0.25">
      <c r="A358" s="114" t="str">
        <f t="shared" si="17"/>
        <v>0086</v>
      </c>
      <c r="B358" t="s">
        <v>5389</v>
      </c>
      <c r="C358" t="s">
        <v>5392</v>
      </c>
      <c r="D358" t="s">
        <v>3797</v>
      </c>
      <c r="E358" t="s">
        <v>350</v>
      </c>
      <c r="F358" t="s">
        <v>4802</v>
      </c>
      <c r="G358" t="s">
        <v>1198</v>
      </c>
      <c r="H358" t="s">
        <v>5391</v>
      </c>
      <c r="I358">
        <v>2786.38</v>
      </c>
      <c r="J358">
        <v>190.93</v>
      </c>
      <c r="K358">
        <v>7.0000000000000007E-2</v>
      </c>
      <c r="L358">
        <v>6.8</v>
      </c>
      <c r="M358">
        <v>4.5999999999999996</v>
      </c>
      <c r="N358">
        <v>6.7</v>
      </c>
      <c r="O358">
        <v>6.6</v>
      </c>
      <c r="P358">
        <v>0</v>
      </c>
      <c r="Q358"/>
      <c r="R358"/>
      <c r="S358" t="s">
        <v>30</v>
      </c>
      <c r="T358">
        <v>7.0000000000000007E-2</v>
      </c>
      <c r="U358" t="s">
        <v>2819</v>
      </c>
      <c r="V358" t="s">
        <v>1062</v>
      </c>
      <c r="W358" s="114" t="str">
        <f t="shared" si="15"/>
        <v>Portafolio</v>
      </c>
      <c r="X358" s="114" t="str">
        <f t="shared" si="16"/>
        <v>Portafolio</v>
      </c>
    </row>
    <row r="359" spans="1:24" hidden="1" x14ac:dyDescent="0.25">
      <c r="A359" s="114" t="str">
        <f t="shared" si="17"/>
        <v>7094</v>
      </c>
      <c r="B359" t="s">
        <v>1825</v>
      </c>
      <c r="C359" t="s">
        <v>1826</v>
      </c>
      <c r="D359" t="s">
        <v>1827</v>
      </c>
      <c r="E359" t="s">
        <v>586</v>
      </c>
      <c r="F359" t="s">
        <v>1056</v>
      </c>
      <c r="G359" t="s">
        <v>1375</v>
      </c>
      <c r="H359" t="s">
        <v>1678</v>
      </c>
      <c r="I359" t="s">
        <v>90</v>
      </c>
      <c r="J359" t="s">
        <v>90</v>
      </c>
      <c r="K359">
        <v>53.915658319999999</v>
      </c>
      <c r="L359">
        <v>4.5283281200000003</v>
      </c>
      <c r="M359">
        <v>4.5633149599999996</v>
      </c>
      <c r="N359">
        <v>4.3832181800000001</v>
      </c>
      <c r="O359">
        <v>4.9076114500000001</v>
      </c>
      <c r="P359">
        <v>0</v>
      </c>
      <c r="Q359">
        <v>92.387787619999997</v>
      </c>
      <c r="R359">
        <v>3.0115969884030109</v>
      </c>
      <c r="S359" t="s">
        <v>1063</v>
      </c>
      <c r="T359">
        <v>53.915658319999999</v>
      </c>
      <c r="U359" t="s">
        <v>2819</v>
      </c>
      <c r="V359" t="s">
        <v>1059</v>
      </c>
      <c r="W359" s="114" t="str">
        <f t="shared" si="15"/>
        <v>ETF</v>
      </c>
      <c r="X359" s="114" t="str">
        <f t="shared" si="16"/>
        <v>Otros ETFs</v>
      </c>
    </row>
    <row r="360" spans="1:24" hidden="1" x14ac:dyDescent="0.25">
      <c r="A360" s="114" t="str">
        <f t="shared" si="17"/>
        <v>7094</v>
      </c>
      <c r="B360" t="s">
        <v>1828</v>
      </c>
      <c r="C360" t="s">
        <v>599</v>
      </c>
      <c r="D360" t="s">
        <v>598</v>
      </c>
      <c r="E360" t="s">
        <v>586</v>
      </c>
      <c r="F360" t="s">
        <v>1056</v>
      </c>
      <c r="G360" t="s">
        <v>1265</v>
      </c>
      <c r="H360" t="s">
        <v>1829</v>
      </c>
      <c r="I360" t="s">
        <v>90</v>
      </c>
      <c r="J360" t="s">
        <v>90</v>
      </c>
      <c r="K360">
        <v>77.352352210000006</v>
      </c>
      <c r="L360">
        <v>5.5253822799999996</v>
      </c>
      <c r="M360">
        <v>4.7796910500000003</v>
      </c>
      <c r="N360">
        <v>4.8767784699999996</v>
      </c>
      <c r="O360">
        <v>5.5175629400000004</v>
      </c>
      <c r="P360">
        <v>0.37204912365420301</v>
      </c>
      <c r="Q360">
        <v>211.75639851</v>
      </c>
      <c r="R360">
        <v>20.17555849771572</v>
      </c>
      <c r="S360" t="s">
        <v>1063</v>
      </c>
      <c r="T360">
        <v>77.352352210000006</v>
      </c>
      <c r="U360" t="s">
        <v>2819</v>
      </c>
      <c r="V360" t="s">
        <v>1059</v>
      </c>
      <c r="W360" s="114" t="str">
        <f t="shared" si="15"/>
        <v>ETF</v>
      </c>
      <c r="X360" s="114" t="str">
        <f t="shared" si="16"/>
        <v>Otros ETFs</v>
      </c>
    </row>
    <row r="361" spans="1:24" hidden="1" x14ac:dyDescent="0.25">
      <c r="A361" s="114" t="str">
        <f t="shared" si="17"/>
        <v>0086</v>
      </c>
      <c r="B361" t="s">
        <v>5389</v>
      </c>
      <c r="C361" t="s">
        <v>4717</v>
      </c>
      <c r="D361" t="s">
        <v>3800</v>
      </c>
      <c r="E361" t="s">
        <v>350</v>
      </c>
      <c r="F361" t="s">
        <v>4802</v>
      </c>
      <c r="G361" t="s">
        <v>1198</v>
      </c>
      <c r="H361" t="s">
        <v>5391</v>
      </c>
      <c r="I361">
        <v>2786.38</v>
      </c>
      <c r="J361">
        <v>190.93</v>
      </c>
      <c r="K361">
        <v>7.0000000000000007E-2</v>
      </c>
      <c r="L361">
        <v>6.8</v>
      </c>
      <c r="M361">
        <v>4.5999999999999996</v>
      </c>
      <c r="N361">
        <v>6.7</v>
      </c>
      <c r="O361">
        <v>6.6</v>
      </c>
      <c r="P361">
        <v>0</v>
      </c>
      <c r="Q361"/>
      <c r="R361"/>
      <c r="S361" t="s">
        <v>30</v>
      </c>
      <c r="T361">
        <v>7.0000000000000007E-2</v>
      </c>
      <c r="U361" t="s">
        <v>2819</v>
      </c>
      <c r="V361" t="s">
        <v>1062</v>
      </c>
      <c r="W361" s="114" t="str">
        <f t="shared" si="15"/>
        <v>Portafolio</v>
      </c>
      <c r="X361" s="114" t="str">
        <f t="shared" si="16"/>
        <v>Portafolio</v>
      </c>
    </row>
    <row r="362" spans="1:24" hidden="1" x14ac:dyDescent="0.25">
      <c r="A362" s="114" t="str">
        <f t="shared" si="17"/>
        <v>0086</v>
      </c>
      <c r="B362" t="s">
        <v>5389</v>
      </c>
      <c r="C362" t="s">
        <v>4718</v>
      </c>
      <c r="D362" t="s">
        <v>3801</v>
      </c>
      <c r="E362" t="s">
        <v>350</v>
      </c>
      <c r="F362" t="s">
        <v>4802</v>
      </c>
      <c r="G362" t="s">
        <v>1198</v>
      </c>
      <c r="H362" t="s">
        <v>5391</v>
      </c>
      <c r="I362">
        <v>2786.38</v>
      </c>
      <c r="J362">
        <v>190.93</v>
      </c>
      <c r="K362">
        <v>7.0000000000000007E-2</v>
      </c>
      <c r="L362">
        <v>6.8</v>
      </c>
      <c r="M362">
        <v>4.5999999999999996</v>
      </c>
      <c r="N362">
        <v>6.7</v>
      </c>
      <c r="O362">
        <v>6.6</v>
      </c>
      <c r="P362">
        <v>0</v>
      </c>
      <c r="Q362"/>
      <c r="R362"/>
      <c r="S362" t="s">
        <v>30</v>
      </c>
      <c r="T362">
        <v>7.0000000000000007E-2</v>
      </c>
      <c r="U362" t="s">
        <v>2819</v>
      </c>
      <c r="V362" t="s">
        <v>1062</v>
      </c>
      <c r="W362" s="114" t="str">
        <f t="shared" si="15"/>
        <v>Portafolio</v>
      </c>
      <c r="X362" s="114" t="str">
        <f t="shared" si="16"/>
        <v>Portafolio</v>
      </c>
    </row>
    <row r="363" spans="1:24" hidden="1" x14ac:dyDescent="0.25">
      <c r="A363" s="114" t="str">
        <f t="shared" si="17"/>
        <v>7311</v>
      </c>
      <c r="B363" t="s">
        <v>1830</v>
      </c>
      <c r="C363" t="s">
        <v>1831</v>
      </c>
      <c r="D363" t="s">
        <v>1832</v>
      </c>
      <c r="E363" t="s">
        <v>586</v>
      </c>
      <c r="F363" t="s">
        <v>1056</v>
      </c>
      <c r="G363" t="s">
        <v>1071</v>
      </c>
      <c r="H363" t="s">
        <v>1155</v>
      </c>
      <c r="I363" t="s">
        <v>90</v>
      </c>
      <c r="J363" t="s">
        <v>90</v>
      </c>
      <c r="K363">
        <v>2.5984701800000001</v>
      </c>
      <c r="L363">
        <v>5.6179887700000002</v>
      </c>
      <c r="M363">
        <v>6.0173944199999996</v>
      </c>
      <c r="N363">
        <v>4.3720201999999997</v>
      </c>
      <c r="O363">
        <v>5.9301569900000004</v>
      </c>
      <c r="P363">
        <v>37.240266631854517</v>
      </c>
      <c r="Q363">
        <v>20.09245606</v>
      </c>
      <c r="R363">
        <v>27.677853392341259</v>
      </c>
      <c r="S363" t="s">
        <v>1063</v>
      </c>
      <c r="T363">
        <v>2.5984701800000001</v>
      </c>
      <c r="U363" t="s">
        <v>2819</v>
      </c>
      <c r="V363" t="s">
        <v>1059</v>
      </c>
      <c r="W363" s="114" t="str">
        <f t="shared" si="15"/>
        <v>ETF</v>
      </c>
      <c r="X363" s="114" t="str">
        <f t="shared" si="16"/>
        <v>Otros ETFs</v>
      </c>
    </row>
    <row r="364" spans="1:24" hidden="1" x14ac:dyDescent="0.25">
      <c r="A364" s="114" t="str">
        <f t="shared" si="17"/>
        <v>0086</v>
      </c>
      <c r="B364" t="s">
        <v>5389</v>
      </c>
      <c r="C364" t="s">
        <v>5393</v>
      </c>
      <c r="D364" t="s">
        <v>3802</v>
      </c>
      <c r="E364" t="s">
        <v>350</v>
      </c>
      <c r="F364" t="s">
        <v>4802</v>
      </c>
      <c r="G364" t="s">
        <v>1198</v>
      </c>
      <c r="H364" t="s">
        <v>5391</v>
      </c>
      <c r="I364">
        <v>2786.38</v>
      </c>
      <c r="J364">
        <v>190.93</v>
      </c>
      <c r="K364">
        <v>7.0000000000000007E-2</v>
      </c>
      <c r="L364">
        <v>6.8</v>
      </c>
      <c r="M364">
        <v>4.5999999999999996</v>
      </c>
      <c r="N364">
        <v>6.7</v>
      </c>
      <c r="O364">
        <v>6.6</v>
      </c>
      <c r="P364">
        <v>0</v>
      </c>
      <c r="Q364"/>
      <c r="R364"/>
      <c r="S364" t="s">
        <v>30</v>
      </c>
      <c r="T364">
        <v>7.0000000000000007E-2</v>
      </c>
      <c r="U364" t="s">
        <v>2819</v>
      </c>
      <c r="V364" t="s">
        <v>1062</v>
      </c>
      <c r="W364" s="114" t="str">
        <f t="shared" si="15"/>
        <v>Portafolio</v>
      </c>
      <c r="X364" s="114" t="str">
        <f t="shared" si="16"/>
        <v>Portafolio</v>
      </c>
    </row>
    <row r="365" spans="1:24" hidden="1" x14ac:dyDescent="0.25">
      <c r="A365" s="114" t="str">
        <f t="shared" si="17"/>
        <v>7028</v>
      </c>
      <c r="B365" t="s">
        <v>1833</v>
      </c>
      <c r="C365" t="s">
        <v>1834</v>
      </c>
      <c r="D365" t="s">
        <v>1835</v>
      </c>
      <c r="E365" t="s">
        <v>586</v>
      </c>
      <c r="F365" t="s">
        <v>1056</v>
      </c>
      <c r="G365" t="s">
        <v>1057</v>
      </c>
      <c r="H365" t="s">
        <v>1288</v>
      </c>
      <c r="I365" t="s">
        <v>90</v>
      </c>
      <c r="J365" t="s">
        <v>90</v>
      </c>
      <c r="K365">
        <v>68.174817820000001</v>
      </c>
      <c r="L365">
        <v>5.0359449400000003</v>
      </c>
      <c r="M365">
        <v>4.3341993700000003</v>
      </c>
      <c r="N365">
        <v>4.3272559700000004</v>
      </c>
      <c r="O365">
        <v>5.6220985900000002</v>
      </c>
      <c r="P365">
        <v>8.3382083693553568</v>
      </c>
      <c r="Q365">
        <v>130.54419182999999</v>
      </c>
      <c r="R365">
        <v>7.6286160954056204</v>
      </c>
      <c r="S365" t="s">
        <v>1063</v>
      </c>
      <c r="T365">
        <v>68.174817820000001</v>
      </c>
      <c r="U365" t="s">
        <v>2819</v>
      </c>
      <c r="V365" t="s">
        <v>1059</v>
      </c>
      <c r="W365" s="114" t="str">
        <f t="shared" si="15"/>
        <v>ETF</v>
      </c>
      <c r="X365" s="114" t="str">
        <f t="shared" si="16"/>
        <v>Otros ETFs</v>
      </c>
    </row>
    <row r="366" spans="1:24" hidden="1" x14ac:dyDescent="0.25">
      <c r="A366" s="114" t="str">
        <f t="shared" si="17"/>
        <v>7128</v>
      </c>
      <c r="B366" t="s">
        <v>1837</v>
      </c>
      <c r="C366" t="s">
        <v>1838</v>
      </c>
      <c r="D366" t="s">
        <v>1839</v>
      </c>
      <c r="E366" t="s">
        <v>586</v>
      </c>
      <c r="F366" t="s">
        <v>1056</v>
      </c>
      <c r="G366" t="s">
        <v>1714</v>
      </c>
      <c r="H366" t="s">
        <v>1159</v>
      </c>
      <c r="I366" t="s">
        <v>90</v>
      </c>
      <c r="J366" t="s">
        <v>90</v>
      </c>
      <c r="K366">
        <v>0.42006296999999998</v>
      </c>
      <c r="L366">
        <v>8.3088290699999998</v>
      </c>
      <c r="M366">
        <v>7.9997376200000003</v>
      </c>
      <c r="N366">
        <v>5.1155727000000004</v>
      </c>
      <c r="O366">
        <v>6.66029435</v>
      </c>
      <c r="P366">
        <v>30.21820934537196</v>
      </c>
      <c r="Q366">
        <v>1.58414184</v>
      </c>
      <c r="R366">
        <v>75.0785747642757</v>
      </c>
      <c r="S366" t="s">
        <v>1073</v>
      </c>
      <c r="T366">
        <v>0.42006296999999998</v>
      </c>
      <c r="U366" t="s">
        <v>2819</v>
      </c>
      <c r="V366" t="s">
        <v>1059</v>
      </c>
      <c r="W366" s="114" t="str">
        <f t="shared" si="15"/>
        <v>ETF</v>
      </c>
      <c r="X366" s="114" t="str">
        <f t="shared" si="16"/>
        <v>Otros ETFs</v>
      </c>
    </row>
    <row r="367" spans="1:24" hidden="1" x14ac:dyDescent="0.25">
      <c r="A367" s="114" t="str">
        <f t="shared" si="17"/>
        <v>5378</v>
      </c>
      <c r="B367" t="s">
        <v>5246</v>
      </c>
      <c r="C367" t="s">
        <v>5753</v>
      </c>
      <c r="D367" t="s">
        <v>5802</v>
      </c>
      <c r="E367" t="s">
        <v>202</v>
      </c>
      <c r="F367" t="s">
        <v>4800</v>
      </c>
      <c r="G367" t="s">
        <v>1185</v>
      </c>
      <c r="H367" t="s">
        <v>1119</v>
      </c>
      <c r="I367">
        <v>32520.51</v>
      </c>
      <c r="J367">
        <v>61232.71</v>
      </c>
      <c r="K367">
        <v>1.88</v>
      </c>
      <c r="L367">
        <v>7.5</v>
      </c>
      <c r="M367">
        <v>5.4</v>
      </c>
      <c r="N367">
        <v>5.8</v>
      </c>
      <c r="O367">
        <v>5.2</v>
      </c>
      <c r="P367">
        <v>0</v>
      </c>
      <c r="Q367"/>
      <c r="R367">
        <v>31</v>
      </c>
      <c r="S367" t="s">
        <v>1073</v>
      </c>
      <c r="T367">
        <v>1.88</v>
      </c>
      <c r="U367" t="s">
        <v>2819</v>
      </c>
      <c r="V367" t="s">
        <v>1062</v>
      </c>
      <c r="W367" s="114" t="str">
        <f t="shared" si="15"/>
        <v>Portafolio</v>
      </c>
      <c r="X367" s="114" t="str">
        <f t="shared" si="16"/>
        <v>Portafolio</v>
      </c>
    </row>
    <row r="368" spans="1:24" hidden="1" x14ac:dyDescent="0.25">
      <c r="A368" s="114" t="str">
        <f t="shared" si="17"/>
        <v>7041</v>
      </c>
      <c r="B368" t="s">
        <v>1842</v>
      </c>
      <c r="C368" t="s">
        <v>1843</v>
      </c>
      <c r="D368" t="s">
        <v>1844</v>
      </c>
      <c r="E368" t="s">
        <v>586</v>
      </c>
      <c r="F368" t="s">
        <v>1056</v>
      </c>
      <c r="G368" t="s">
        <v>1714</v>
      </c>
      <c r="H368" t="s">
        <v>1164</v>
      </c>
      <c r="I368" t="s">
        <v>90</v>
      </c>
      <c r="J368" t="s">
        <v>90</v>
      </c>
      <c r="K368">
        <v>68.494135889999995</v>
      </c>
      <c r="L368">
        <v>8.1205251300000008</v>
      </c>
      <c r="M368">
        <v>7.0991740800000001</v>
      </c>
      <c r="N368">
        <v>5.7787065699999998</v>
      </c>
      <c r="O368">
        <v>6.6017786200000002</v>
      </c>
      <c r="P368">
        <v>19.644080355919641</v>
      </c>
      <c r="Q368">
        <v>61.840940269999997</v>
      </c>
      <c r="R368">
        <v>48.414551585448407</v>
      </c>
      <c r="S368" t="s">
        <v>1073</v>
      </c>
      <c r="T368">
        <v>68.494135889999995</v>
      </c>
      <c r="U368" t="s">
        <v>2819</v>
      </c>
      <c r="V368" t="s">
        <v>1059</v>
      </c>
      <c r="W368" s="114" t="str">
        <f t="shared" si="15"/>
        <v>ETF</v>
      </c>
      <c r="X368" s="114" t="str">
        <f t="shared" si="16"/>
        <v>Otros ETFs</v>
      </c>
    </row>
    <row r="369" spans="1:24" hidden="1" x14ac:dyDescent="0.25">
      <c r="A369" s="114" t="str">
        <f t="shared" si="17"/>
        <v>7049</v>
      </c>
      <c r="B369" t="s">
        <v>6233</v>
      </c>
      <c r="C369" t="s">
        <v>1846</v>
      </c>
      <c r="D369" t="s">
        <v>1847</v>
      </c>
      <c r="E369" t="s">
        <v>586</v>
      </c>
      <c r="F369" t="s">
        <v>1056</v>
      </c>
      <c r="G369" t="s">
        <v>1163</v>
      </c>
      <c r="H369" t="s">
        <v>1164</v>
      </c>
      <c r="I369" t="s">
        <v>90</v>
      </c>
      <c r="J369" t="s">
        <v>90</v>
      </c>
      <c r="K369">
        <v>14.88911716</v>
      </c>
      <c r="L369">
        <v>7.6634262299999998</v>
      </c>
      <c r="M369">
        <v>6.0140964099999996</v>
      </c>
      <c r="N369">
        <v>5.4337661900000001</v>
      </c>
      <c r="O369">
        <v>6.6587704900000002</v>
      </c>
      <c r="P369">
        <v>2.3349278662111619</v>
      </c>
      <c r="Q369">
        <v>70.670444219999993</v>
      </c>
      <c r="R369">
        <v>41.119358082242712</v>
      </c>
      <c r="S369" t="s">
        <v>1073</v>
      </c>
      <c r="T369">
        <v>14.88911716</v>
      </c>
      <c r="U369" t="s">
        <v>2819</v>
      </c>
      <c r="V369" t="s">
        <v>1059</v>
      </c>
      <c r="W369" s="114" t="str">
        <f t="shared" si="15"/>
        <v>ETF</v>
      </c>
      <c r="X369" s="114" t="str">
        <f t="shared" si="16"/>
        <v>Otros ETFs</v>
      </c>
    </row>
    <row r="370" spans="1:24" hidden="1" x14ac:dyDescent="0.25">
      <c r="A370" s="114" t="str">
        <f t="shared" si="17"/>
        <v>CAND</v>
      </c>
      <c r="B370" t="s">
        <v>1849</v>
      </c>
      <c r="C370" t="s">
        <v>1850</v>
      </c>
      <c r="D370" t="s">
        <v>1851</v>
      </c>
      <c r="E370" t="s">
        <v>532</v>
      </c>
      <c r="F370" t="s">
        <v>1852</v>
      </c>
      <c r="G370" t="s">
        <v>1136</v>
      </c>
      <c r="H370" t="s">
        <v>6144</v>
      </c>
      <c r="I370" t="s">
        <v>90</v>
      </c>
      <c r="J370" t="s">
        <v>90</v>
      </c>
      <c r="K370">
        <v>56.492174400000003</v>
      </c>
      <c r="L370">
        <v>6.4886163699999999</v>
      </c>
      <c r="M370">
        <v>5.5555636000000002</v>
      </c>
      <c r="N370">
        <v>5.5592741099999996</v>
      </c>
      <c r="O370">
        <v>5.2843939100000004</v>
      </c>
      <c r="P370">
        <v>18.559842732600021</v>
      </c>
      <c r="Q370">
        <v>114.31091186</v>
      </c>
      <c r="R370">
        <v>12.29618693662132</v>
      </c>
      <c r="S370" t="s">
        <v>30</v>
      </c>
      <c r="T370">
        <v>56.492174400000003</v>
      </c>
      <c r="U370" t="s">
        <v>2819</v>
      </c>
      <c r="V370" t="s">
        <v>1059</v>
      </c>
      <c r="W370" s="114" t="str">
        <f t="shared" si="15"/>
        <v>ETF</v>
      </c>
      <c r="X370" s="114" t="str">
        <f t="shared" si="16"/>
        <v>Otros ETFs</v>
      </c>
    </row>
    <row r="371" spans="1:24" hidden="1" x14ac:dyDescent="0.25">
      <c r="A371" s="114" t="str">
        <f t="shared" si="17"/>
        <v>0202</v>
      </c>
      <c r="B371" t="s">
        <v>6234</v>
      </c>
      <c r="C371" t="s">
        <v>6235</v>
      </c>
      <c r="D371" t="s">
        <v>6236</v>
      </c>
      <c r="E371" t="s">
        <v>379</v>
      </c>
      <c r="F371" t="s">
        <v>4809</v>
      </c>
      <c r="G371" t="s">
        <v>1198</v>
      </c>
      <c r="H371" t="s">
        <v>1119</v>
      </c>
      <c r="I371">
        <v>24631.25</v>
      </c>
      <c r="J371">
        <v>17900.96</v>
      </c>
      <c r="K371">
        <v>0.73</v>
      </c>
      <c r="L371">
        <v>7.7</v>
      </c>
      <c r="M371">
        <v>7.7</v>
      </c>
      <c r="N371">
        <v>4.7</v>
      </c>
      <c r="O371">
        <v>6.2</v>
      </c>
      <c r="P371">
        <v>0</v>
      </c>
      <c r="Q371"/>
      <c r="R371">
        <v>56</v>
      </c>
      <c r="S371" t="s">
        <v>1073</v>
      </c>
      <c r="T371">
        <v>0.73</v>
      </c>
      <c r="U371" t="s">
        <v>2819</v>
      </c>
      <c r="V371" t="s">
        <v>1062</v>
      </c>
      <c r="W371" s="114" t="str">
        <f t="shared" si="15"/>
        <v>Portafolio</v>
      </c>
      <c r="X371" s="114" t="str">
        <f t="shared" si="16"/>
        <v>Portafolio</v>
      </c>
    </row>
    <row r="372" spans="1:24" hidden="1" x14ac:dyDescent="0.25">
      <c r="A372" s="114" t="str">
        <f t="shared" si="17"/>
        <v>MOST</v>
      </c>
      <c r="B372" t="s">
        <v>1853</v>
      </c>
      <c r="C372" t="s">
        <v>1854</v>
      </c>
      <c r="D372" t="s">
        <v>1855</v>
      </c>
      <c r="E372" t="s">
        <v>586</v>
      </c>
      <c r="F372" t="s">
        <v>1056</v>
      </c>
      <c r="G372" t="s">
        <v>1071</v>
      </c>
      <c r="H372" t="s">
        <v>1856</v>
      </c>
      <c r="I372" t="s">
        <v>90</v>
      </c>
      <c r="J372" t="s">
        <v>90</v>
      </c>
      <c r="K372">
        <v>106.75419248999999</v>
      </c>
      <c r="L372">
        <v>6.4866640000000002</v>
      </c>
      <c r="M372">
        <v>5.8981884000000004</v>
      </c>
      <c r="N372">
        <v>4.9432955700000001</v>
      </c>
      <c r="O372">
        <v>5.9690680499999997</v>
      </c>
      <c r="P372">
        <v>12.43581350066416</v>
      </c>
      <c r="Q372">
        <v>279.4621004</v>
      </c>
      <c r="R372">
        <v>19.02869994748491</v>
      </c>
      <c r="S372" t="s">
        <v>30</v>
      </c>
      <c r="T372">
        <v>106.75419248999999</v>
      </c>
      <c r="U372" t="s">
        <v>2819</v>
      </c>
      <c r="V372" t="s">
        <v>1059</v>
      </c>
      <c r="W372" s="114" t="str">
        <f t="shared" si="15"/>
        <v>ETF</v>
      </c>
      <c r="X372" s="114" t="str">
        <f t="shared" si="16"/>
        <v>Otros ETFs</v>
      </c>
    </row>
    <row r="373" spans="1:24" hidden="1" x14ac:dyDescent="0.25">
      <c r="A373" s="114" t="str">
        <f t="shared" si="17"/>
        <v>2055</v>
      </c>
      <c r="B373" t="s">
        <v>2635</v>
      </c>
      <c r="C373" t="s">
        <v>2636</v>
      </c>
      <c r="D373" t="s">
        <v>3324</v>
      </c>
      <c r="E373" t="s">
        <v>249</v>
      </c>
      <c r="F373" t="s">
        <v>4806</v>
      </c>
      <c r="G373" t="s">
        <v>1198</v>
      </c>
      <c r="H373" t="s">
        <v>1324</v>
      </c>
      <c r="I373">
        <v>14351.37</v>
      </c>
      <c r="J373">
        <v>494648.40362768213</v>
      </c>
      <c r="K373">
        <v>34.47</v>
      </c>
      <c r="L373">
        <v>4.9000000000000004</v>
      </c>
      <c r="M373">
        <v>7.8</v>
      </c>
      <c r="N373">
        <v>5.3</v>
      </c>
      <c r="O373">
        <v>1.8</v>
      </c>
      <c r="P373">
        <v>0</v>
      </c>
      <c r="Q373"/>
      <c r="R373">
        <v>2</v>
      </c>
      <c r="S373" t="s">
        <v>1063</v>
      </c>
      <c r="T373">
        <v>34.47</v>
      </c>
      <c r="U373" t="s">
        <v>2819</v>
      </c>
      <c r="V373" t="s">
        <v>1062</v>
      </c>
      <c r="W373" s="114" t="str">
        <f t="shared" si="15"/>
        <v>Portafolio</v>
      </c>
      <c r="X373" s="114" t="str">
        <f t="shared" si="16"/>
        <v>Portafolio</v>
      </c>
    </row>
    <row r="374" spans="1:24" hidden="1" x14ac:dyDescent="0.25">
      <c r="A374" s="114" t="str">
        <f t="shared" si="17"/>
        <v>2055</v>
      </c>
      <c r="B374" t="s">
        <v>2635</v>
      </c>
      <c r="C374" t="s">
        <v>2637</v>
      </c>
      <c r="D374" t="s">
        <v>3322</v>
      </c>
      <c r="E374" t="s">
        <v>249</v>
      </c>
      <c r="F374" t="s">
        <v>4806</v>
      </c>
      <c r="G374" t="s">
        <v>1198</v>
      </c>
      <c r="H374" t="s">
        <v>1324</v>
      </c>
      <c r="I374">
        <v>14351.37</v>
      </c>
      <c r="J374">
        <v>494648.40362768213</v>
      </c>
      <c r="K374">
        <v>34.47</v>
      </c>
      <c r="L374">
        <v>4.9000000000000004</v>
      </c>
      <c r="M374">
        <v>7.8</v>
      </c>
      <c r="N374">
        <v>5.3</v>
      </c>
      <c r="O374">
        <v>1.8</v>
      </c>
      <c r="P374">
        <v>0</v>
      </c>
      <c r="Q374"/>
      <c r="R374">
        <v>2</v>
      </c>
      <c r="S374" t="s">
        <v>1063</v>
      </c>
      <c r="T374">
        <v>34.47</v>
      </c>
      <c r="U374" t="s">
        <v>2819</v>
      </c>
      <c r="V374" t="s">
        <v>1062</v>
      </c>
      <c r="W374" s="114" t="str">
        <f t="shared" si="15"/>
        <v>Portafolio</v>
      </c>
      <c r="X374" s="114" t="str">
        <f t="shared" si="16"/>
        <v>Portafolio</v>
      </c>
    </row>
    <row r="375" spans="1:24" hidden="1" x14ac:dyDescent="0.25">
      <c r="A375" s="114" t="str">
        <f t="shared" si="17"/>
        <v>7094</v>
      </c>
      <c r="B375" t="s">
        <v>1857</v>
      </c>
      <c r="C375" t="s">
        <v>1858</v>
      </c>
      <c r="D375" t="s">
        <v>1859</v>
      </c>
      <c r="E375" t="s">
        <v>586</v>
      </c>
      <c r="F375" t="s">
        <v>1056</v>
      </c>
      <c r="G375" t="s">
        <v>1766</v>
      </c>
      <c r="H375" t="s">
        <v>1266</v>
      </c>
      <c r="I375" t="s">
        <v>90</v>
      </c>
      <c r="J375" t="s">
        <v>90</v>
      </c>
      <c r="K375">
        <v>32.879767889999997</v>
      </c>
      <c r="L375">
        <v>6.46296436</v>
      </c>
      <c r="M375">
        <v>5.5299189799999997</v>
      </c>
      <c r="N375">
        <v>5.5178964600000002</v>
      </c>
      <c r="O375">
        <v>5.4475398500000001</v>
      </c>
      <c r="P375">
        <v>19.472719472719469</v>
      </c>
      <c r="Q375">
        <v>89.876020539999999</v>
      </c>
      <c r="R375">
        <v>11.055211055211061</v>
      </c>
      <c r="S375" t="s">
        <v>30</v>
      </c>
      <c r="T375">
        <v>32.879767889999997</v>
      </c>
      <c r="U375" t="s">
        <v>2819</v>
      </c>
      <c r="V375" t="s">
        <v>1059</v>
      </c>
      <c r="W375" s="114" t="str">
        <f t="shared" si="15"/>
        <v>ETF</v>
      </c>
      <c r="X375" s="114" t="str">
        <f t="shared" si="16"/>
        <v>Otros ETFs</v>
      </c>
    </row>
    <row r="376" spans="1:24" hidden="1" x14ac:dyDescent="0.25">
      <c r="A376" s="114" t="str">
        <f t="shared" si="17"/>
        <v>7019</v>
      </c>
      <c r="B376" t="s">
        <v>1860</v>
      </c>
      <c r="C376" t="s">
        <v>1861</v>
      </c>
      <c r="D376" t="s">
        <v>1862</v>
      </c>
      <c r="E376" t="s">
        <v>586</v>
      </c>
      <c r="F376" t="s">
        <v>1056</v>
      </c>
      <c r="G376" t="s">
        <v>1163</v>
      </c>
      <c r="H376" t="s">
        <v>1164</v>
      </c>
      <c r="I376" t="s">
        <v>90</v>
      </c>
      <c r="J376" t="s">
        <v>90</v>
      </c>
      <c r="K376">
        <v>101.85664119</v>
      </c>
      <c r="L376">
        <v>7.2196270299999998</v>
      </c>
      <c r="M376">
        <v>6.2327506499999998</v>
      </c>
      <c r="N376">
        <v>5.0860258500000004</v>
      </c>
      <c r="O376">
        <v>6.3153075699999999</v>
      </c>
      <c r="P376">
        <v>20.295398523007389</v>
      </c>
      <c r="Q376">
        <v>95.059910119999998</v>
      </c>
      <c r="R376">
        <v>40.907795461022687</v>
      </c>
      <c r="S376" t="s">
        <v>1073</v>
      </c>
      <c r="T376">
        <v>101.85664119</v>
      </c>
      <c r="U376" t="s">
        <v>2819</v>
      </c>
      <c r="V376" t="s">
        <v>1059</v>
      </c>
      <c r="W376" s="114" t="str">
        <f t="shared" si="15"/>
        <v>ETF</v>
      </c>
      <c r="X376" s="114" t="str">
        <f t="shared" si="16"/>
        <v>Otros ETFs</v>
      </c>
    </row>
    <row r="377" spans="1:24" hidden="1" x14ac:dyDescent="0.25">
      <c r="A377" s="114" t="str">
        <f t="shared" si="17"/>
        <v>GLDS</v>
      </c>
      <c r="B377" t="s">
        <v>1863</v>
      </c>
      <c r="C377" t="s">
        <v>1864</v>
      </c>
      <c r="D377" t="s">
        <v>1865</v>
      </c>
      <c r="E377" t="s">
        <v>586</v>
      </c>
      <c r="F377" t="s">
        <v>1056</v>
      </c>
      <c r="G377" t="s">
        <v>1057</v>
      </c>
      <c r="H377" t="s">
        <v>1866</v>
      </c>
      <c r="I377" t="s">
        <v>90</v>
      </c>
      <c r="J377" t="s">
        <v>90</v>
      </c>
      <c r="K377">
        <v>41.874299700000002</v>
      </c>
      <c r="L377">
        <v>6.3949856699999996</v>
      </c>
      <c r="M377">
        <v>6.2147490000000003</v>
      </c>
      <c r="N377">
        <v>5.2549588700000003</v>
      </c>
      <c r="O377">
        <v>5.8914618699999997</v>
      </c>
      <c r="P377">
        <v>8.7869289464127114</v>
      </c>
      <c r="Q377">
        <v>202.69733052000001</v>
      </c>
      <c r="R377">
        <v>5.9279554667155203</v>
      </c>
      <c r="S377" t="s">
        <v>30</v>
      </c>
      <c r="T377">
        <v>41.874299700000002</v>
      </c>
      <c r="U377" t="s">
        <v>2819</v>
      </c>
      <c r="V377" t="s">
        <v>1059</v>
      </c>
      <c r="W377" s="114" t="str">
        <f t="shared" si="15"/>
        <v>ETF</v>
      </c>
      <c r="X377" s="114" t="str">
        <f t="shared" si="16"/>
        <v>Otros ETFs</v>
      </c>
    </row>
    <row r="378" spans="1:24" hidden="1" x14ac:dyDescent="0.25">
      <c r="A378" s="114" t="str">
        <f t="shared" si="17"/>
        <v>7073</v>
      </c>
      <c r="B378" t="s">
        <v>1867</v>
      </c>
      <c r="C378" t="s">
        <v>1868</v>
      </c>
      <c r="D378" t="s">
        <v>1869</v>
      </c>
      <c r="E378" t="s">
        <v>586</v>
      </c>
      <c r="F378" t="s">
        <v>1056</v>
      </c>
      <c r="G378" t="s">
        <v>1057</v>
      </c>
      <c r="H378" t="s">
        <v>1283</v>
      </c>
      <c r="I378" t="s">
        <v>90</v>
      </c>
      <c r="J378" t="s">
        <v>90</v>
      </c>
      <c r="K378">
        <v>47.639228940000002</v>
      </c>
      <c r="L378">
        <v>6.4986217000000002</v>
      </c>
      <c r="M378">
        <v>6.1804754900000001</v>
      </c>
      <c r="N378">
        <v>4.9244245500000003</v>
      </c>
      <c r="O378">
        <v>5.7846641700000001</v>
      </c>
      <c r="P378">
        <v>45.640625914661847</v>
      </c>
      <c r="Q378">
        <v>158.54983677999999</v>
      </c>
      <c r="R378">
        <v>28.511080324837859</v>
      </c>
      <c r="S378" t="s">
        <v>30</v>
      </c>
      <c r="T378">
        <v>47.639228940000002</v>
      </c>
      <c r="U378" t="s">
        <v>2819</v>
      </c>
      <c r="V378" t="s">
        <v>1059</v>
      </c>
      <c r="W378" s="114" t="str">
        <f t="shared" si="15"/>
        <v>ETF</v>
      </c>
      <c r="X378" s="114" t="str">
        <f t="shared" si="16"/>
        <v>Otros ETFs</v>
      </c>
    </row>
    <row r="379" spans="1:24" hidden="1" x14ac:dyDescent="0.25">
      <c r="A379" s="114" t="str">
        <f t="shared" si="17"/>
        <v>7395</v>
      </c>
      <c r="B379" t="s">
        <v>1870</v>
      </c>
      <c r="C379" t="s">
        <v>1871</v>
      </c>
      <c r="D379" t="s">
        <v>1872</v>
      </c>
      <c r="E379" t="s">
        <v>586</v>
      </c>
      <c r="F379" t="s">
        <v>1056</v>
      </c>
      <c r="G379" t="s">
        <v>1375</v>
      </c>
      <c r="H379" t="s">
        <v>1376</v>
      </c>
      <c r="I379" t="s">
        <v>90</v>
      </c>
      <c r="J379" t="s">
        <v>90</v>
      </c>
      <c r="K379">
        <v>46.958075800000003</v>
      </c>
      <c r="L379">
        <v>7.6510284799999999</v>
      </c>
      <c r="M379">
        <v>6.0012031800000001</v>
      </c>
      <c r="N379">
        <v>5.5111967499999999</v>
      </c>
      <c r="O379">
        <v>6.3348912799999999</v>
      </c>
      <c r="P379">
        <v>6.6982531122282154</v>
      </c>
      <c r="Q379">
        <v>57.492692439999999</v>
      </c>
      <c r="R379">
        <v>36.579943940392418</v>
      </c>
      <c r="S379" t="s">
        <v>1073</v>
      </c>
      <c r="T379">
        <v>46.958075800000003</v>
      </c>
      <c r="U379" t="s">
        <v>2819</v>
      </c>
      <c r="V379" t="s">
        <v>1059</v>
      </c>
      <c r="W379" s="114" t="str">
        <f t="shared" si="15"/>
        <v>ETF</v>
      </c>
      <c r="X379" s="114" t="str">
        <f t="shared" si="16"/>
        <v>Otros ETFs</v>
      </c>
    </row>
    <row r="380" spans="1:24" hidden="1" x14ac:dyDescent="0.25">
      <c r="A380" s="114" t="str">
        <f t="shared" si="17"/>
        <v>0204</v>
      </c>
      <c r="B380" t="s">
        <v>2638</v>
      </c>
      <c r="C380" t="s">
        <v>2639</v>
      </c>
      <c r="D380" t="s">
        <v>4093</v>
      </c>
      <c r="E380" t="s">
        <v>379</v>
      </c>
      <c r="F380" t="s">
        <v>4809</v>
      </c>
      <c r="G380" t="s">
        <v>1198</v>
      </c>
      <c r="H380" t="s">
        <v>1119</v>
      </c>
      <c r="I380">
        <v>291945.73</v>
      </c>
      <c r="J380">
        <v>89234</v>
      </c>
      <c r="K380">
        <v>0.31</v>
      </c>
      <c r="L380">
        <v>10</v>
      </c>
      <c r="M380">
        <v>8.9</v>
      </c>
      <c r="N380">
        <v>5.9</v>
      </c>
      <c r="O380">
        <v>7.1</v>
      </c>
      <c r="P380">
        <v>2</v>
      </c>
      <c r="Q380"/>
      <c r="R380">
        <v>89</v>
      </c>
      <c r="S380" t="s">
        <v>5750</v>
      </c>
      <c r="T380">
        <v>0.31</v>
      </c>
      <c r="U380" t="s">
        <v>2819</v>
      </c>
      <c r="V380" t="s">
        <v>1062</v>
      </c>
      <c r="W380" s="114" t="str">
        <f t="shared" si="15"/>
        <v>Portafolio</v>
      </c>
      <c r="X380" s="114" t="str">
        <f t="shared" si="16"/>
        <v>Portafolio</v>
      </c>
    </row>
    <row r="381" spans="1:24" hidden="1" x14ac:dyDescent="0.25">
      <c r="A381" s="114" t="str">
        <f t="shared" si="17"/>
        <v>AVIV</v>
      </c>
      <c r="B381" t="s">
        <v>1873</v>
      </c>
      <c r="C381" t="s">
        <v>1874</v>
      </c>
      <c r="D381" t="s">
        <v>1875</v>
      </c>
      <c r="E381" t="s">
        <v>586</v>
      </c>
      <c r="F381" t="s">
        <v>1056</v>
      </c>
      <c r="G381" t="s">
        <v>1136</v>
      </c>
      <c r="H381" t="s">
        <v>1437</v>
      </c>
      <c r="I381" t="s">
        <v>90</v>
      </c>
      <c r="J381" t="s">
        <v>90</v>
      </c>
      <c r="K381">
        <v>405.88166131999998</v>
      </c>
      <c r="L381">
        <v>3.8449309899999999</v>
      </c>
      <c r="M381">
        <v>5.0825153500000004</v>
      </c>
      <c r="N381">
        <v>5.5548792799999998</v>
      </c>
      <c r="O381">
        <v>4.8948353899999999</v>
      </c>
      <c r="P381">
        <v>6.934055091035324</v>
      </c>
      <c r="Q381">
        <v>438.63587914999999</v>
      </c>
      <c r="R381">
        <v>0.86769933087828</v>
      </c>
      <c r="S381" t="s">
        <v>1138</v>
      </c>
      <c r="T381">
        <v>405.88166131999998</v>
      </c>
      <c r="U381" t="s">
        <v>2819</v>
      </c>
      <c r="V381" t="s">
        <v>1059</v>
      </c>
      <c r="W381" s="114" t="str">
        <f t="shared" si="15"/>
        <v>ETF</v>
      </c>
      <c r="X381" s="114" t="str">
        <f t="shared" si="16"/>
        <v>Otros ETFs</v>
      </c>
    </row>
    <row r="382" spans="1:24" hidden="1" x14ac:dyDescent="0.25">
      <c r="A382" s="114" t="str">
        <f t="shared" si="17"/>
        <v>2058</v>
      </c>
      <c r="B382" t="s">
        <v>2640</v>
      </c>
      <c r="C382" t="s">
        <v>2641</v>
      </c>
      <c r="D382" t="s">
        <v>3246</v>
      </c>
      <c r="E382" t="s">
        <v>249</v>
      </c>
      <c r="F382" t="s">
        <v>4806</v>
      </c>
      <c r="G382" t="s">
        <v>1198</v>
      </c>
      <c r="H382" t="s">
        <v>1324</v>
      </c>
      <c r="I382">
        <v>14351.37</v>
      </c>
      <c r="J382">
        <v>494648.40362768213</v>
      </c>
      <c r="K382">
        <v>34.47</v>
      </c>
      <c r="L382">
        <v>4.9000000000000004</v>
      </c>
      <c r="M382">
        <v>7.8</v>
      </c>
      <c r="N382">
        <v>5.3</v>
      </c>
      <c r="O382">
        <v>1.8</v>
      </c>
      <c r="P382">
        <v>0</v>
      </c>
      <c r="Q382"/>
      <c r="R382">
        <v>2</v>
      </c>
      <c r="S382" t="s">
        <v>1063</v>
      </c>
      <c r="T382">
        <v>34.47</v>
      </c>
      <c r="U382" t="s">
        <v>2819</v>
      </c>
      <c r="V382" t="s">
        <v>1062</v>
      </c>
      <c r="W382" s="114" t="str">
        <f t="shared" si="15"/>
        <v>Portafolio</v>
      </c>
      <c r="X382" s="114" t="str">
        <f t="shared" si="16"/>
        <v>Portafolio</v>
      </c>
    </row>
    <row r="383" spans="1:24" hidden="1" x14ac:dyDescent="0.25">
      <c r="A383" s="114" t="str">
        <f t="shared" si="17"/>
        <v>7019</v>
      </c>
      <c r="B383" t="s">
        <v>1876</v>
      </c>
      <c r="C383" t="s">
        <v>1877</v>
      </c>
      <c r="D383" t="s">
        <v>1878</v>
      </c>
      <c r="E383" t="s">
        <v>586</v>
      </c>
      <c r="F383" t="s">
        <v>1056</v>
      </c>
      <c r="G383" t="s">
        <v>1766</v>
      </c>
      <c r="H383" t="s">
        <v>6237</v>
      </c>
      <c r="I383" t="s">
        <v>90</v>
      </c>
      <c r="J383" t="s">
        <v>90</v>
      </c>
      <c r="K383">
        <v>53.859106910000001</v>
      </c>
      <c r="L383">
        <v>6.5962350699999996</v>
      </c>
      <c r="M383">
        <v>5.8734200300000001</v>
      </c>
      <c r="N383">
        <v>5.4877159999999998</v>
      </c>
      <c r="O383">
        <v>5.1535857399999996</v>
      </c>
      <c r="P383">
        <v>29.39831180506458</v>
      </c>
      <c r="Q383">
        <v>102.95301684</v>
      </c>
      <c r="R383">
        <v>8.1076756769729688</v>
      </c>
      <c r="S383" t="s">
        <v>30</v>
      </c>
      <c r="T383">
        <v>53.859106910000001</v>
      </c>
      <c r="U383" t="s">
        <v>2819</v>
      </c>
      <c r="V383" t="s">
        <v>1059</v>
      </c>
      <c r="W383" s="114" t="str">
        <f t="shared" si="15"/>
        <v>ETF</v>
      </c>
      <c r="X383" s="114" t="str">
        <f t="shared" si="16"/>
        <v>Otros ETFs</v>
      </c>
    </row>
    <row r="384" spans="1:24" hidden="1" x14ac:dyDescent="0.25">
      <c r="A384" s="114" t="str">
        <f t="shared" si="17"/>
        <v>2058</v>
      </c>
      <c r="B384" t="s">
        <v>2640</v>
      </c>
      <c r="C384" t="s">
        <v>2642</v>
      </c>
      <c r="D384" t="s">
        <v>3247</v>
      </c>
      <c r="E384" t="s">
        <v>249</v>
      </c>
      <c r="F384" t="s">
        <v>4806</v>
      </c>
      <c r="G384" t="s">
        <v>1198</v>
      </c>
      <c r="H384" t="s">
        <v>1324</v>
      </c>
      <c r="I384">
        <v>14351.37</v>
      </c>
      <c r="J384">
        <v>494648.40362768213</v>
      </c>
      <c r="K384">
        <v>34.47</v>
      </c>
      <c r="L384">
        <v>4.9000000000000004</v>
      </c>
      <c r="M384">
        <v>7.8</v>
      </c>
      <c r="N384">
        <v>5.3</v>
      </c>
      <c r="O384">
        <v>1.8</v>
      </c>
      <c r="P384">
        <v>0</v>
      </c>
      <c r="Q384"/>
      <c r="R384">
        <v>2</v>
      </c>
      <c r="S384" t="s">
        <v>1063</v>
      </c>
      <c r="T384">
        <v>34.47</v>
      </c>
      <c r="U384" t="s">
        <v>2819</v>
      </c>
      <c r="V384" t="s">
        <v>1062</v>
      </c>
      <c r="W384" s="114" t="str">
        <f t="shared" si="15"/>
        <v>Portafolio</v>
      </c>
      <c r="X384" s="114" t="str">
        <f t="shared" si="16"/>
        <v>Portafolio</v>
      </c>
    </row>
    <row r="385" spans="1:24" hidden="1" x14ac:dyDescent="0.25">
      <c r="A385" s="114" t="str">
        <f t="shared" si="17"/>
        <v>7667</v>
      </c>
      <c r="B385" t="s">
        <v>5395</v>
      </c>
      <c r="C385" t="s">
        <v>5396</v>
      </c>
      <c r="D385" t="s">
        <v>5397</v>
      </c>
      <c r="E385" t="s">
        <v>586</v>
      </c>
      <c r="F385" t="s">
        <v>1056</v>
      </c>
      <c r="G385" t="s">
        <v>1501</v>
      </c>
      <c r="H385" t="s">
        <v>1502</v>
      </c>
      <c r="I385" t="s">
        <v>90</v>
      </c>
      <c r="J385" t="s">
        <v>90</v>
      </c>
      <c r="K385">
        <v>111.60744745</v>
      </c>
      <c r="L385">
        <v>5.6568171700000001</v>
      </c>
      <c r="M385">
        <v>4.9590150299999998</v>
      </c>
      <c r="N385">
        <v>4.67398443</v>
      </c>
      <c r="O385">
        <v>4.9429934299999996</v>
      </c>
      <c r="P385">
        <v>14.724173936990111</v>
      </c>
      <c r="Q385">
        <v>411.22880757000001</v>
      </c>
      <c r="R385">
        <v>26.038817981189592</v>
      </c>
      <c r="S385" t="s">
        <v>1063</v>
      </c>
      <c r="T385">
        <v>111.60744745</v>
      </c>
      <c r="U385" t="s">
        <v>2819</v>
      </c>
      <c r="V385" t="s">
        <v>1059</v>
      </c>
      <c r="W385" s="114" t="str">
        <f t="shared" si="15"/>
        <v>ETF</v>
      </c>
      <c r="X385" s="114" t="str">
        <f t="shared" si="16"/>
        <v>Otros ETFs</v>
      </c>
    </row>
    <row r="386" spans="1:24" hidden="1" x14ac:dyDescent="0.25">
      <c r="A386" s="114" t="str">
        <f t="shared" si="17"/>
        <v>7412</v>
      </c>
      <c r="B386" t="s">
        <v>1880</v>
      </c>
      <c r="C386" t="s">
        <v>1881</v>
      </c>
      <c r="D386" t="s">
        <v>1882</v>
      </c>
      <c r="E386" t="s">
        <v>586</v>
      </c>
      <c r="F386" t="s">
        <v>1056</v>
      </c>
      <c r="G386" t="s">
        <v>1136</v>
      </c>
      <c r="H386" t="s">
        <v>1437</v>
      </c>
      <c r="I386" t="s">
        <v>90</v>
      </c>
      <c r="J386" t="s">
        <v>90</v>
      </c>
      <c r="K386">
        <v>536.01392079000004</v>
      </c>
      <c r="L386">
        <v>4.0374905500000002</v>
      </c>
      <c r="M386">
        <v>4.8696755899999999</v>
      </c>
      <c r="N386">
        <v>5.4753596099999999</v>
      </c>
      <c r="O386">
        <v>4.9534162400000001</v>
      </c>
      <c r="P386">
        <v>5.8093350668341532</v>
      </c>
      <c r="Q386">
        <v>959.82993032000002</v>
      </c>
      <c r="R386">
        <v>1.2551388862165609</v>
      </c>
      <c r="S386" t="s">
        <v>1138</v>
      </c>
      <c r="T386">
        <v>536.01392079000004</v>
      </c>
      <c r="U386" t="s">
        <v>2819</v>
      </c>
      <c r="V386" t="s">
        <v>1059</v>
      </c>
      <c r="W386" s="114" t="str">
        <f t="shared" ref="W386:W449" si="18">IF(V386="ETF_ETY","ETF",IF(V386="ETF_SOV","ETF",IF(V386="RF_SOV","SOV",IF(V386="-","Cuestionario Integra","Portafolio"))))</f>
        <v>ETF</v>
      </c>
      <c r="X386" s="114" t="str">
        <f t="shared" ref="X386:X449" si="19">IF(V386="ETF_ETY","Otros ETFs",IF(V386="ETF_SOV","Soberanos",W386))</f>
        <v>Otros ETFs</v>
      </c>
    </row>
    <row r="387" spans="1:24" hidden="1" x14ac:dyDescent="0.25">
      <c r="A387" s="114" t="str">
        <f t="shared" ref="A387:A450" si="20">RIGHT(LEFT(D387,6),4)</f>
        <v>7077</v>
      </c>
      <c r="B387" t="s">
        <v>1883</v>
      </c>
      <c r="C387" t="s">
        <v>1884</v>
      </c>
      <c r="D387" t="s">
        <v>1885</v>
      </c>
      <c r="E387" t="s">
        <v>586</v>
      </c>
      <c r="F387" t="s">
        <v>1056</v>
      </c>
      <c r="G387" t="s">
        <v>1071</v>
      </c>
      <c r="H387" t="s">
        <v>1886</v>
      </c>
      <c r="I387" t="s">
        <v>90</v>
      </c>
      <c r="J387" t="s">
        <v>90</v>
      </c>
      <c r="K387">
        <v>9.9259299999999995E-2</v>
      </c>
      <c r="L387">
        <v>4.7001751900000004</v>
      </c>
      <c r="M387">
        <v>5.2364059200000002</v>
      </c>
      <c r="N387">
        <v>5.5014300399999998</v>
      </c>
      <c r="O387">
        <v>5.7708164399999999</v>
      </c>
      <c r="P387">
        <v>0</v>
      </c>
      <c r="Q387">
        <v>1.57696729</v>
      </c>
      <c r="R387">
        <v>0</v>
      </c>
      <c r="S387" t="s">
        <v>1063</v>
      </c>
      <c r="T387">
        <v>9.9259299999999995E-2</v>
      </c>
      <c r="U387" t="s">
        <v>2819</v>
      </c>
      <c r="V387" t="s">
        <v>1059</v>
      </c>
      <c r="W387" s="114" t="str">
        <f t="shared" si="18"/>
        <v>ETF</v>
      </c>
      <c r="X387" s="114" t="str">
        <f t="shared" si="19"/>
        <v>Otros ETFs</v>
      </c>
    </row>
    <row r="388" spans="1:24" hidden="1" x14ac:dyDescent="0.25">
      <c r="A388" s="114" t="str">
        <f t="shared" si="20"/>
        <v>7046</v>
      </c>
      <c r="B388" t="s">
        <v>1887</v>
      </c>
      <c r="C388" t="s">
        <v>1888</v>
      </c>
      <c r="D388" t="s">
        <v>1889</v>
      </c>
      <c r="E388" t="s">
        <v>586</v>
      </c>
      <c r="F388" t="s">
        <v>1056</v>
      </c>
      <c r="G388" t="s">
        <v>1057</v>
      </c>
      <c r="H388" t="s">
        <v>1067</v>
      </c>
      <c r="I388" t="s">
        <v>90</v>
      </c>
      <c r="J388" t="s">
        <v>90</v>
      </c>
      <c r="K388">
        <v>31.345234390000002</v>
      </c>
      <c r="L388">
        <v>6.09078403</v>
      </c>
      <c r="M388">
        <v>4.6819702899999998</v>
      </c>
      <c r="N388">
        <v>4.6066633899999996</v>
      </c>
      <c r="O388">
        <v>6.4310271800000001</v>
      </c>
      <c r="P388">
        <v>0</v>
      </c>
      <c r="Q388">
        <v>101.17519681</v>
      </c>
      <c r="R388">
        <v>31.516313282215581</v>
      </c>
      <c r="S388" t="s">
        <v>30</v>
      </c>
      <c r="T388">
        <v>31.345234390000002</v>
      </c>
      <c r="U388" t="s">
        <v>2819</v>
      </c>
      <c r="V388" t="s">
        <v>1059</v>
      </c>
      <c r="W388" s="114" t="str">
        <f t="shared" si="18"/>
        <v>ETF</v>
      </c>
      <c r="X388" s="114" t="str">
        <f t="shared" si="19"/>
        <v>Otros ETFs</v>
      </c>
    </row>
    <row r="389" spans="1:24" hidden="1" x14ac:dyDescent="0.25">
      <c r="A389" s="114" t="str">
        <f t="shared" si="20"/>
        <v>7019</v>
      </c>
      <c r="B389" t="s">
        <v>1890</v>
      </c>
      <c r="C389" t="s">
        <v>1891</v>
      </c>
      <c r="D389" t="s">
        <v>1892</v>
      </c>
      <c r="E389" t="s">
        <v>586</v>
      </c>
      <c r="F389" t="s">
        <v>1056</v>
      </c>
      <c r="G389" t="s">
        <v>1071</v>
      </c>
      <c r="H389" t="s">
        <v>1893</v>
      </c>
      <c r="I389" t="s">
        <v>90</v>
      </c>
      <c r="J389" t="s">
        <v>90</v>
      </c>
      <c r="K389">
        <v>76.543252710000004</v>
      </c>
      <c r="L389">
        <v>5.6709663700000004</v>
      </c>
      <c r="M389">
        <v>5.10068812</v>
      </c>
      <c r="N389">
        <v>5.00753877</v>
      </c>
      <c r="O389">
        <v>5.7384052399999996</v>
      </c>
      <c r="P389">
        <v>9.0458543911628517</v>
      </c>
      <c r="Q389">
        <v>158.89674744000001</v>
      </c>
      <c r="R389">
        <v>17.199565811771219</v>
      </c>
      <c r="S389" t="s">
        <v>1063</v>
      </c>
      <c r="T389">
        <v>76.543252710000004</v>
      </c>
      <c r="U389" t="s">
        <v>2819</v>
      </c>
      <c r="V389" t="s">
        <v>1059</v>
      </c>
      <c r="W389" s="114" t="str">
        <f t="shared" si="18"/>
        <v>ETF</v>
      </c>
      <c r="X389" s="114" t="str">
        <f t="shared" si="19"/>
        <v>Otros ETFs</v>
      </c>
    </row>
    <row r="390" spans="1:24" hidden="1" x14ac:dyDescent="0.25">
      <c r="A390" s="114" t="str">
        <f t="shared" si="20"/>
        <v>5304</v>
      </c>
      <c r="B390" t="s">
        <v>2645</v>
      </c>
      <c r="C390" t="s">
        <v>2646</v>
      </c>
      <c r="D390" t="s">
        <v>3058</v>
      </c>
      <c r="E390" t="s">
        <v>191</v>
      </c>
      <c r="F390" t="s">
        <v>4804</v>
      </c>
      <c r="G390" t="s">
        <v>1296</v>
      </c>
      <c r="H390" t="s">
        <v>1324</v>
      </c>
      <c r="I390">
        <v>9485.2000000000007</v>
      </c>
      <c r="J390">
        <v>307340.39</v>
      </c>
      <c r="K390">
        <v>32.4</v>
      </c>
      <c r="L390">
        <v>7.8</v>
      </c>
      <c r="M390">
        <v>7.3</v>
      </c>
      <c r="N390">
        <v>8.6</v>
      </c>
      <c r="O390">
        <v>5.4</v>
      </c>
      <c r="P390">
        <v>0</v>
      </c>
      <c r="Q390"/>
      <c r="R390">
        <v>63</v>
      </c>
      <c r="S390" t="s">
        <v>1073</v>
      </c>
      <c r="T390">
        <v>32.4</v>
      </c>
      <c r="U390" t="s">
        <v>2819</v>
      </c>
      <c r="V390" t="s">
        <v>1062</v>
      </c>
      <c r="W390" s="114" t="str">
        <f t="shared" si="18"/>
        <v>Portafolio</v>
      </c>
      <c r="X390" s="114" t="str">
        <f t="shared" si="19"/>
        <v>Portafolio</v>
      </c>
    </row>
    <row r="391" spans="1:24" hidden="1" x14ac:dyDescent="0.25">
      <c r="A391" s="114" t="str">
        <f t="shared" si="20"/>
        <v>7418</v>
      </c>
      <c r="B391" t="s">
        <v>5754</v>
      </c>
      <c r="C391" t="s">
        <v>657</v>
      </c>
      <c r="D391" t="s">
        <v>656</v>
      </c>
      <c r="E391" t="s">
        <v>586</v>
      </c>
      <c r="F391" t="s">
        <v>1056</v>
      </c>
      <c r="G391" t="s">
        <v>1689</v>
      </c>
      <c r="H391" t="s">
        <v>1690</v>
      </c>
      <c r="I391" t="s">
        <v>90</v>
      </c>
      <c r="J391" t="s">
        <v>90</v>
      </c>
      <c r="K391">
        <v>71.352824049999995</v>
      </c>
      <c r="L391">
        <v>7.4767871399999999</v>
      </c>
      <c r="M391">
        <v>5.8601211600000003</v>
      </c>
      <c r="N391">
        <v>5.1757</v>
      </c>
      <c r="O391">
        <v>7.0155588099999999</v>
      </c>
      <c r="P391">
        <v>12.57265361618218</v>
      </c>
      <c r="Q391">
        <v>178.40950083999999</v>
      </c>
      <c r="R391">
        <v>63.28944962152535</v>
      </c>
      <c r="S391" t="s">
        <v>1073</v>
      </c>
      <c r="T391">
        <v>71.352824049999995</v>
      </c>
      <c r="U391" t="s">
        <v>2819</v>
      </c>
      <c r="V391" t="s">
        <v>1059</v>
      </c>
      <c r="W391" s="114" t="str">
        <f t="shared" si="18"/>
        <v>ETF</v>
      </c>
      <c r="X391" s="114" t="str">
        <f t="shared" si="19"/>
        <v>Otros ETFs</v>
      </c>
    </row>
    <row r="392" spans="1:24" hidden="1" x14ac:dyDescent="0.25">
      <c r="A392" s="114" t="str">
        <f t="shared" si="20"/>
        <v>5304</v>
      </c>
      <c r="B392" t="s">
        <v>2645</v>
      </c>
      <c r="C392" t="s">
        <v>6238</v>
      </c>
      <c r="D392" t="s">
        <v>6239</v>
      </c>
      <c r="E392" t="s">
        <v>823</v>
      </c>
      <c r="F392" t="s">
        <v>4805</v>
      </c>
      <c r="G392" t="s">
        <v>1296</v>
      </c>
      <c r="H392" t="s">
        <v>1324</v>
      </c>
      <c r="I392">
        <v>9485.2000000000007</v>
      </c>
      <c r="J392">
        <v>307340.39</v>
      </c>
      <c r="K392">
        <v>32.4</v>
      </c>
      <c r="L392">
        <v>7.8</v>
      </c>
      <c r="M392">
        <v>7.3</v>
      </c>
      <c r="N392">
        <v>8.6</v>
      </c>
      <c r="O392">
        <v>5.4</v>
      </c>
      <c r="P392">
        <v>0</v>
      </c>
      <c r="Q392"/>
      <c r="R392">
        <v>63</v>
      </c>
      <c r="S392" t="s">
        <v>1073</v>
      </c>
      <c r="T392">
        <v>32.4</v>
      </c>
      <c r="U392" t="s">
        <v>2819</v>
      </c>
      <c r="V392" t="s">
        <v>1062</v>
      </c>
      <c r="W392" s="114" t="str">
        <f t="shared" si="18"/>
        <v>Portafolio</v>
      </c>
      <c r="X392" s="114" t="str">
        <f t="shared" si="19"/>
        <v>Portafolio</v>
      </c>
    </row>
    <row r="393" spans="1:24" hidden="1" x14ac:dyDescent="0.25">
      <c r="A393" s="114" t="str">
        <f t="shared" si="20"/>
        <v>7418</v>
      </c>
      <c r="B393" t="s">
        <v>6240</v>
      </c>
      <c r="C393" t="s">
        <v>1894</v>
      </c>
      <c r="D393" t="s">
        <v>1895</v>
      </c>
      <c r="E393" t="s">
        <v>586</v>
      </c>
      <c r="F393" t="s">
        <v>1056</v>
      </c>
      <c r="G393" t="s">
        <v>1375</v>
      </c>
      <c r="H393" t="s">
        <v>1376</v>
      </c>
      <c r="I393" t="s">
        <v>90</v>
      </c>
      <c r="J393" t="s">
        <v>90</v>
      </c>
      <c r="K393">
        <v>89.160453759999996</v>
      </c>
      <c r="L393">
        <v>7.4352700900000004</v>
      </c>
      <c r="M393">
        <v>5.9162469299999998</v>
      </c>
      <c r="N393">
        <v>5.45765177</v>
      </c>
      <c r="O393">
        <v>6.0647350299999996</v>
      </c>
      <c r="P393">
        <v>12.27290181678547</v>
      </c>
      <c r="Q393">
        <v>82.428658729999995</v>
      </c>
      <c r="R393">
        <v>30.317357461140311</v>
      </c>
      <c r="S393" t="s">
        <v>1073</v>
      </c>
      <c r="T393">
        <v>89.160453759999996</v>
      </c>
      <c r="U393" t="s">
        <v>2819</v>
      </c>
      <c r="V393" t="s">
        <v>1059</v>
      </c>
      <c r="W393" s="114" t="str">
        <f t="shared" si="18"/>
        <v>ETF</v>
      </c>
      <c r="X393" s="114" t="str">
        <f t="shared" si="19"/>
        <v>Otros ETFs</v>
      </c>
    </row>
    <row r="394" spans="1:24" hidden="1" x14ac:dyDescent="0.25">
      <c r="A394" s="114" t="str">
        <f t="shared" si="20"/>
        <v>7077</v>
      </c>
      <c r="B394" t="s">
        <v>1896</v>
      </c>
      <c r="C394" t="s">
        <v>1897</v>
      </c>
      <c r="D394" t="s">
        <v>1898</v>
      </c>
      <c r="E394" t="s">
        <v>586</v>
      </c>
      <c r="F394" t="s">
        <v>1056</v>
      </c>
      <c r="G394" t="s">
        <v>1136</v>
      </c>
      <c r="H394" t="s">
        <v>1494</v>
      </c>
      <c r="I394" t="s">
        <v>90</v>
      </c>
      <c r="J394" t="s">
        <v>90</v>
      </c>
      <c r="K394">
        <v>9.1103710000000004E-2</v>
      </c>
      <c r="L394">
        <v>4.3564304600000003</v>
      </c>
      <c r="M394">
        <v>4.8563307599999996</v>
      </c>
      <c r="N394">
        <v>5.3341762499999996</v>
      </c>
      <c r="O394">
        <v>5.4011595300000002</v>
      </c>
      <c r="P394">
        <v>0</v>
      </c>
      <c r="Q394">
        <v>1.49877365</v>
      </c>
      <c r="R394">
        <v>0</v>
      </c>
      <c r="S394" t="s">
        <v>1063</v>
      </c>
      <c r="T394">
        <v>9.1103710000000004E-2</v>
      </c>
      <c r="U394" t="s">
        <v>2819</v>
      </c>
      <c r="V394" t="s">
        <v>1059</v>
      </c>
      <c r="W394" s="114" t="str">
        <f t="shared" si="18"/>
        <v>ETF</v>
      </c>
      <c r="X394" s="114" t="str">
        <f t="shared" si="19"/>
        <v>Otros ETFs</v>
      </c>
    </row>
    <row r="395" spans="1:24" hidden="1" x14ac:dyDescent="0.25">
      <c r="A395" s="114" t="str">
        <f t="shared" si="20"/>
        <v>7077</v>
      </c>
      <c r="B395" t="s">
        <v>1899</v>
      </c>
      <c r="C395" t="s">
        <v>1900</v>
      </c>
      <c r="D395" t="s">
        <v>1901</v>
      </c>
      <c r="E395" t="s">
        <v>586</v>
      </c>
      <c r="F395" t="s">
        <v>1056</v>
      </c>
      <c r="G395" t="s">
        <v>1071</v>
      </c>
      <c r="H395" t="s">
        <v>1886</v>
      </c>
      <c r="I395" t="s">
        <v>90</v>
      </c>
      <c r="J395" t="s">
        <v>90</v>
      </c>
      <c r="K395">
        <v>0.10103648</v>
      </c>
      <c r="L395">
        <v>3.9599979699999999</v>
      </c>
      <c r="M395">
        <v>4.8219643699999999</v>
      </c>
      <c r="N395">
        <v>5.1625393800000001</v>
      </c>
      <c r="O395">
        <v>5.2356181099999999</v>
      </c>
      <c r="P395">
        <v>0</v>
      </c>
      <c r="Q395">
        <v>1.35991844</v>
      </c>
      <c r="R395">
        <v>0</v>
      </c>
      <c r="S395" t="s">
        <v>1138</v>
      </c>
      <c r="T395">
        <v>0.10103648</v>
      </c>
      <c r="U395" t="s">
        <v>2819</v>
      </c>
      <c r="V395" t="s">
        <v>1059</v>
      </c>
      <c r="W395" s="114" t="str">
        <f t="shared" si="18"/>
        <v>ETF</v>
      </c>
      <c r="X395" s="114" t="str">
        <f t="shared" si="19"/>
        <v>Otros ETFs</v>
      </c>
    </row>
    <row r="396" spans="1:24" hidden="1" x14ac:dyDescent="0.25">
      <c r="A396" s="114" t="str">
        <f t="shared" si="20"/>
        <v>5132</v>
      </c>
      <c r="B396" t="s">
        <v>5398</v>
      </c>
      <c r="C396" t="s">
        <v>829</v>
      </c>
      <c r="D396" t="s">
        <v>828</v>
      </c>
      <c r="E396" t="s">
        <v>823</v>
      </c>
      <c r="F396" t="s">
        <v>4805</v>
      </c>
      <c r="G396" t="s">
        <v>1296</v>
      </c>
      <c r="H396" t="s">
        <v>1324</v>
      </c>
      <c r="I396">
        <v>12803.3</v>
      </c>
      <c r="J396">
        <v>417787.13</v>
      </c>
      <c r="K396">
        <v>32.630000000000003</v>
      </c>
      <c r="L396">
        <v>6.7</v>
      </c>
      <c r="M396">
        <v>8.6999999999999993</v>
      </c>
      <c r="N396">
        <v>4.2</v>
      </c>
      <c r="O396">
        <v>3.3</v>
      </c>
      <c r="P396">
        <v>1</v>
      </c>
      <c r="Q396"/>
      <c r="R396">
        <v>15</v>
      </c>
      <c r="S396" t="s">
        <v>30</v>
      </c>
      <c r="T396">
        <v>32.630000000000003</v>
      </c>
      <c r="U396" t="s">
        <v>2819</v>
      </c>
      <c r="V396" t="s">
        <v>1062</v>
      </c>
      <c r="W396" s="114" t="str">
        <f t="shared" si="18"/>
        <v>Portafolio</v>
      </c>
      <c r="X396" s="114" t="str">
        <f t="shared" si="19"/>
        <v>Portafolio</v>
      </c>
    </row>
    <row r="397" spans="1:24" hidden="1" x14ac:dyDescent="0.25">
      <c r="A397" s="114" t="str">
        <f t="shared" si="20"/>
        <v>7013</v>
      </c>
      <c r="B397" t="s">
        <v>1902</v>
      </c>
      <c r="C397" t="s">
        <v>705</v>
      </c>
      <c r="D397" t="s">
        <v>704</v>
      </c>
      <c r="E397" t="s">
        <v>586</v>
      </c>
      <c r="F397" t="s">
        <v>1056</v>
      </c>
      <c r="G397" t="s">
        <v>1375</v>
      </c>
      <c r="H397" t="s">
        <v>1376</v>
      </c>
      <c r="I397" t="s">
        <v>90</v>
      </c>
      <c r="J397" t="s">
        <v>90</v>
      </c>
      <c r="K397">
        <v>22.738107729999999</v>
      </c>
      <c r="L397">
        <v>7.0462196800000001</v>
      </c>
      <c r="M397">
        <v>5.7590097599999996</v>
      </c>
      <c r="N397">
        <v>5.5131809900000004</v>
      </c>
      <c r="O397">
        <v>6.1369913599999997</v>
      </c>
      <c r="P397">
        <v>3.2606999999999999</v>
      </c>
      <c r="Q397">
        <v>41.47264097</v>
      </c>
      <c r="R397">
        <v>29.457899999999999</v>
      </c>
      <c r="S397" t="s">
        <v>30</v>
      </c>
      <c r="T397">
        <v>22.738107729999999</v>
      </c>
      <c r="U397" t="s">
        <v>2819</v>
      </c>
      <c r="V397" t="s">
        <v>1059</v>
      </c>
      <c r="W397" s="114" t="str">
        <f t="shared" si="18"/>
        <v>ETF</v>
      </c>
      <c r="X397" s="114" t="str">
        <f t="shared" si="19"/>
        <v>Otros ETFs</v>
      </c>
    </row>
    <row r="398" spans="1:24" hidden="1" x14ac:dyDescent="0.25">
      <c r="A398" s="114" t="str">
        <f t="shared" si="20"/>
        <v>7088</v>
      </c>
      <c r="B398" t="s">
        <v>1903</v>
      </c>
      <c r="C398" t="s">
        <v>1904</v>
      </c>
      <c r="D398" t="s">
        <v>1905</v>
      </c>
      <c r="E398" t="s">
        <v>586</v>
      </c>
      <c r="F398" t="s">
        <v>1056</v>
      </c>
      <c r="G398" t="s">
        <v>1057</v>
      </c>
      <c r="H398" t="s">
        <v>1058</v>
      </c>
      <c r="I398" t="s">
        <v>90</v>
      </c>
      <c r="J398" t="s">
        <v>90</v>
      </c>
      <c r="K398">
        <v>36.914653209999997</v>
      </c>
      <c r="L398">
        <v>6.5509513500000001</v>
      </c>
      <c r="M398">
        <v>6.0373405099999999</v>
      </c>
      <c r="N398">
        <v>4.9506588899999997</v>
      </c>
      <c r="O398">
        <v>5.8164532700000002</v>
      </c>
      <c r="P398">
        <v>34.430647563163497</v>
      </c>
      <c r="Q398">
        <v>179.48924235000001</v>
      </c>
      <c r="R398">
        <v>21.472145066984101</v>
      </c>
      <c r="S398" t="s">
        <v>30</v>
      </c>
      <c r="T398">
        <v>36.914653209999997</v>
      </c>
      <c r="U398" t="s">
        <v>2819</v>
      </c>
      <c r="V398" t="s">
        <v>1059</v>
      </c>
      <c r="W398" s="114" t="str">
        <f t="shared" si="18"/>
        <v>ETF</v>
      </c>
      <c r="X398" s="114" t="str">
        <f t="shared" si="19"/>
        <v>Otros ETFs</v>
      </c>
    </row>
    <row r="399" spans="1:24" hidden="1" x14ac:dyDescent="0.25">
      <c r="A399" s="114" t="str">
        <f t="shared" si="20"/>
        <v>5132</v>
      </c>
      <c r="B399" t="s">
        <v>5398</v>
      </c>
      <c r="C399" t="s">
        <v>5399</v>
      </c>
      <c r="D399" t="s">
        <v>962</v>
      </c>
      <c r="E399" t="s">
        <v>823</v>
      </c>
      <c r="F399" t="s">
        <v>4805</v>
      </c>
      <c r="G399" t="s">
        <v>1296</v>
      </c>
      <c r="H399" t="s">
        <v>1324</v>
      </c>
      <c r="I399">
        <v>12803.3</v>
      </c>
      <c r="J399">
        <v>417787.13</v>
      </c>
      <c r="K399">
        <v>32.630000000000003</v>
      </c>
      <c r="L399">
        <v>6.7</v>
      </c>
      <c r="M399">
        <v>8.6999999999999993</v>
      </c>
      <c r="N399">
        <v>4.2</v>
      </c>
      <c r="O399">
        <v>3.3</v>
      </c>
      <c r="P399">
        <v>1</v>
      </c>
      <c r="Q399"/>
      <c r="R399">
        <v>15</v>
      </c>
      <c r="S399" t="s">
        <v>30</v>
      </c>
      <c r="T399">
        <v>32.630000000000003</v>
      </c>
      <c r="U399" t="s">
        <v>2819</v>
      </c>
      <c r="V399" t="s">
        <v>1062</v>
      </c>
      <c r="W399" s="114" t="str">
        <f t="shared" si="18"/>
        <v>Portafolio</v>
      </c>
      <c r="X399" s="114" t="str">
        <f t="shared" si="19"/>
        <v>Portafolio</v>
      </c>
    </row>
    <row r="400" spans="1:24" hidden="1" x14ac:dyDescent="0.25">
      <c r="A400" s="114" t="str">
        <f t="shared" si="20"/>
        <v>5132</v>
      </c>
      <c r="B400" t="s">
        <v>5398</v>
      </c>
      <c r="C400" t="s">
        <v>5400</v>
      </c>
      <c r="D400" t="s">
        <v>832</v>
      </c>
      <c r="E400" t="s">
        <v>823</v>
      </c>
      <c r="F400" t="s">
        <v>4805</v>
      </c>
      <c r="G400" t="s">
        <v>1296</v>
      </c>
      <c r="H400" t="s">
        <v>1324</v>
      </c>
      <c r="I400">
        <v>12803.3</v>
      </c>
      <c r="J400">
        <v>417787.13</v>
      </c>
      <c r="K400">
        <v>32.630000000000003</v>
      </c>
      <c r="L400">
        <v>6.7</v>
      </c>
      <c r="M400">
        <v>8.6999999999999993</v>
      </c>
      <c r="N400">
        <v>4.2</v>
      </c>
      <c r="O400">
        <v>3.3</v>
      </c>
      <c r="P400">
        <v>1</v>
      </c>
      <c r="Q400"/>
      <c r="R400">
        <v>15</v>
      </c>
      <c r="S400" t="s">
        <v>30</v>
      </c>
      <c r="T400">
        <v>32.630000000000003</v>
      </c>
      <c r="U400" t="s">
        <v>2819</v>
      </c>
      <c r="V400" t="s">
        <v>1062</v>
      </c>
      <c r="W400" s="114" t="str">
        <f t="shared" si="18"/>
        <v>Portafolio</v>
      </c>
      <c r="X400" s="114" t="str">
        <f t="shared" si="19"/>
        <v>Portafolio</v>
      </c>
    </row>
    <row r="401" spans="1:24" hidden="1" x14ac:dyDescent="0.25">
      <c r="A401" s="114" t="str">
        <f t="shared" si="20"/>
        <v>7046</v>
      </c>
      <c r="B401" t="s">
        <v>5803</v>
      </c>
      <c r="C401" t="s">
        <v>1912</v>
      </c>
      <c r="D401" t="s">
        <v>1913</v>
      </c>
      <c r="E401" t="s">
        <v>586</v>
      </c>
      <c r="F401" t="s">
        <v>1056</v>
      </c>
      <c r="G401" t="s">
        <v>1766</v>
      </c>
      <c r="H401" t="s">
        <v>1266</v>
      </c>
      <c r="I401" t="s">
        <v>90</v>
      </c>
      <c r="J401" t="s">
        <v>90</v>
      </c>
      <c r="K401">
        <v>44.003742000000003</v>
      </c>
      <c r="L401">
        <v>6.7220872500000004</v>
      </c>
      <c r="M401">
        <v>5.6865307400000003</v>
      </c>
      <c r="N401">
        <v>5.5474050799999999</v>
      </c>
      <c r="O401">
        <v>5.31196497</v>
      </c>
      <c r="P401">
        <v>29.114917701645972</v>
      </c>
      <c r="Q401">
        <v>132.13793729</v>
      </c>
      <c r="R401">
        <v>9.6587068258634829</v>
      </c>
      <c r="S401" t="s">
        <v>30</v>
      </c>
      <c r="T401">
        <v>44.003742000000003</v>
      </c>
      <c r="U401" t="s">
        <v>2819</v>
      </c>
      <c r="V401" t="s">
        <v>1059</v>
      </c>
      <c r="W401" s="114" t="str">
        <f t="shared" si="18"/>
        <v>ETF</v>
      </c>
      <c r="X401" s="114" t="str">
        <f t="shared" si="19"/>
        <v>Otros ETFs</v>
      </c>
    </row>
    <row r="402" spans="1:24" hidden="1" x14ac:dyDescent="0.25">
      <c r="A402" s="114" t="str">
        <f t="shared" si="20"/>
        <v>1000</v>
      </c>
      <c r="B402" t="s">
        <v>2647</v>
      </c>
      <c r="C402" t="s">
        <v>153</v>
      </c>
      <c r="D402" t="s">
        <v>4046</v>
      </c>
      <c r="E402" t="s">
        <v>151</v>
      </c>
      <c r="F402" t="s">
        <v>4810</v>
      </c>
      <c r="G402" t="s">
        <v>1198</v>
      </c>
      <c r="H402" t="s">
        <v>2643</v>
      </c>
      <c r="I402">
        <v>289221969059.85327</v>
      </c>
      <c r="J402">
        <v>69265213.388658002</v>
      </c>
      <c r="K402">
        <v>239.48807766510001</v>
      </c>
      <c r="L402"/>
      <c r="M402"/>
      <c r="N402"/>
      <c r="O402"/>
      <c r="P402"/>
      <c r="Q402"/>
      <c r="R402"/>
      <c r="S402"/>
      <c r="T402">
        <v>170.4198394</v>
      </c>
      <c r="U402">
        <v>32.200000000000003</v>
      </c>
      <c r="V402" t="s">
        <v>2644</v>
      </c>
      <c r="W402" s="114" t="str">
        <f t="shared" si="18"/>
        <v>SOV</v>
      </c>
      <c r="X402" s="114" t="str">
        <f t="shared" si="19"/>
        <v>SOV</v>
      </c>
    </row>
    <row r="403" spans="1:24" hidden="1" x14ac:dyDescent="0.25">
      <c r="A403" s="114" t="str">
        <f t="shared" si="20"/>
        <v>1000</v>
      </c>
      <c r="B403" t="s">
        <v>2647</v>
      </c>
      <c r="C403" t="s">
        <v>2648</v>
      </c>
      <c r="D403" t="s">
        <v>4100</v>
      </c>
      <c r="E403" t="s">
        <v>151</v>
      </c>
      <c r="F403" t="s">
        <v>4810</v>
      </c>
      <c r="G403" t="s">
        <v>1198</v>
      </c>
      <c r="H403" t="s">
        <v>2643</v>
      </c>
      <c r="I403">
        <v>289221969059.85327</v>
      </c>
      <c r="J403">
        <v>69265213.388658002</v>
      </c>
      <c r="K403">
        <v>239.48807766510001</v>
      </c>
      <c r="L403"/>
      <c r="M403"/>
      <c r="N403"/>
      <c r="O403"/>
      <c r="P403"/>
      <c r="Q403"/>
      <c r="R403"/>
      <c r="S403"/>
      <c r="T403">
        <v>170.4198394</v>
      </c>
      <c r="U403">
        <v>32.200000000000003</v>
      </c>
      <c r="V403" t="s">
        <v>2644</v>
      </c>
      <c r="W403" s="114" t="str">
        <f t="shared" si="18"/>
        <v>SOV</v>
      </c>
      <c r="X403" s="114" t="str">
        <f t="shared" si="19"/>
        <v>SOV</v>
      </c>
    </row>
    <row r="404" spans="1:24" hidden="1" x14ac:dyDescent="0.25">
      <c r="A404" s="114" t="str">
        <f t="shared" si="20"/>
        <v>ALLB</v>
      </c>
      <c r="B404" t="s">
        <v>1914</v>
      </c>
      <c r="C404" t="s">
        <v>1915</v>
      </c>
      <c r="D404" t="s">
        <v>1916</v>
      </c>
      <c r="E404" t="s">
        <v>586</v>
      </c>
      <c r="F404" t="s">
        <v>1056</v>
      </c>
      <c r="G404" t="s">
        <v>1136</v>
      </c>
      <c r="H404" t="s">
        <v>6144</v>
      </c>
      <c r="I404" t="s">
        <v>90</v>
      </c>
      <c r="J404" t="s">
        <v>90</v>
      </c>
      <c r="K404">
        <v>90.561366949999993</v>
      </c>
      <c r="L404">
        <v>6.2774202800000003</v>
      </c>
      <c r="M404">
        <v>5.7696124800000002</v>
      </c>
      <c r="N404">
        <v>5.1761703099999998</v>
      </c>
      <c r="O404">
        <v>5.3179483699999999</v>
      </c>
      <c r="P404">
        <v>17.859817859817859</v>
      </c>
      <c r="Q404">
        <v>257.41538383</v>
      </c>
      <c r="R404">
        <v>9.2315092315092322</v>
      </c>
      <c r="S404" t="s">
        <v>30</v>
      </c>
      <c r="T404">
        <v>90.561366949999993</v>
      </c>
      <c r="U404" t="s">
        <v>2819</v>
      </c>
      <c r="V404" t="s">
        <v>1059</v>
      </c>
      <c r="W404" s="114" t="str">
        <f t="shared" si="18"/>
        <v>ETF</v>
      </c>
      <c r="X404" s="114" t="str">
        <f t="shared" si="19"/>
        <v>Otros ETFs</v>
      </c>
    </row>
    <row r="405" spans="1:24" hidden="1" x14ac:dyDescent="0.25">
      <c r="A405" s="114" t="str">
        <f t="shared" si="20"/>
        <v>1000</v>
      </c>
      <c r="B405" t="s">
        <v>2647</v>
      </c>
      <c r="C405" t="s">
        <v>165</v>
      </c>
      <c r="D405" t="s">
        <v>164</v>
      </c>
      <c r="E405" t="s">
        <v>151</v>
      </c>
      <c r="F405" t="s">
        <v>4810</v>
      </c>
      <c r="G405" t="s">
        <v>1198</v>
      </c>
      <c r="H405" t="s">
        <v>2643</v>
      </c>
      <c r="I405">
        <v>289221969059.85327</v>
      </c>
      <c r="J405">
        <v>69265213.388658002</v>
      </c>
      <c r="K405">
        <v>239.48807766510001</v>
      </c>
      <c r="L405"/>
      <c r="M405"/>
      <c r="N405"/>
      <c r="O405"/>
      <c r="P405"/>
      <c r="Q405"/>
      <c r="R405"/>
      <c r="S405"/>
      <c r="T405">
        <v>170.4198394</v>
      </c>
      <c r="U405">
        <v>32.200000000000003</v>
      </c>
      <c r="V405" t="s">
        <v>2644</v>
      </c>
      <c r="W405" s="114" t="str">
        <f t="shared" si="18"/>
        <v>SOV</v>
      </c>
      <c r="X405" s="114" t="str">
        <f t="shared" si="19"/>
        <v>SOV</v>
      </c>
    </row>
    <row r="406" spans="1:24" hidden="1" x14ac:dyDescent="0.25">
      <c r="A406" s="114" t="str">
        <f t="shared" si="20"/>
        <v>7088</v>
      </c>
      <c r="B406" t="s">
        <v>1917</v>
      </c>
      <c r="C406" t="s">
        <v>1918</v>
      </c>
      <c r="D406" t="s">
        <v>1919</v>
      </c>
      <c r="E406" t="s">
        <v>586</v>
      </c>
      <c r="F406" t="s">
        <v>1056</v>
      </c>
      <c r="G406" t="s">
        <v>1163</v>
      </c>
      <c r="H406" t="s">
        <v>1164</v>
      </c>
      <c r="I406" t="s">
        <v>90</v>
      </c>
      <c r="J406" t="s">
        <v>90</v>
      </c>
      <c r="K406">
        <v>29.553290990000001</v>
      </c>
      <c r="L406">
        <v>7.7000525599999996</v>
      </c>
      <c r="M406">
        <v>5.9743740299999999</v>
      </c>
      <c r="N406">
        <v>5.2969534300000003</v>
      </c>
      <c r="O406">
        <v>6.8996132100000001</v>
      </c>
      <c r="P406">
        <v>14.03888989238648</v>
      </c>
      <c r="Q406">
        <v>54.236347219999999</v>
      </c>
      <c r="R406">
        <v>68.869315119530114</v>
      </c>
      <c r="S406" t="s">
        <v>1073</v>
      </c>
      <c r="T406">
        <v>29.553290990000001</v>
      </c>
      <c r="U406" t="s">
        <v>2819</v>
      </c>
      <c r="V406" t="s">
        <v>1059</v>
      </c>
      <c r="W406" s="114" t="str">
        <f t="shared" si="18"/>
        <v>ETF</v>
      </c>
      <c r="X406" s="114" t="str">
        <f t="shared" si="19"/>
        <v>Otros ETFs</v>
      </c>
    </row>
    <row r="407" spans="1:24" hidden="1" x14ac:dyDescent="0.25">
      <c r="A407" s="114" t="str">
        <f t="shared" si="20"/>
        <v>1000</v>
      </c>
      <c r="B407" t="s">
        <v>2647</v>
      </c>
      <c r="C407" t="s">
        <v>163</v>
      </c>
      <c r="D407" t="s">
        <v>162</v>
      </c>
      <c r="E407" t="s">
        <v>151</v>
      </c>
      <c r="F407" t="s">
        <v>4810</v>
      </c>
      <c r="G407" t="s">
        <v>1198</v>
      </c>
      <c r="H407" t="s">
        <v>2643</v>
      </c>
      <c r="I407">
        <v>289221969059.85327</v>
      </c>
      <c r="J407">
        <v>69265213.388658002</v>
      </c>
      <c r="K407">
        <v>239.48807766510001</v>
      </c>
      <c r="L407"/>
      <c r="M407"/>
      <c r="N407"/>
      <c r="O407"/>
      <c r="P407"/>
      <c r="Q407"/>
      <c r="R407"/>
      <c r="S407"/>
      <c r="T407">
        <v>170.4198394</v>
      </c>
      <c r="U407">
        <v>32.200000000000003</v>
      </c>
      <c r="V407" t="s">
        <v>2644</v>
      </c>
      <c r="W407" s="114" t="str">
        <f t="shared" si="18"/>
        <v>SOV</v>
      </c>
      <c r="X407" s="114" t="str">
        <f t="shared" si="19"/>
        <v>SOV</v>
      </c>
    </row>
    <row r="408" spans="1:24" hidden="1" x14ac:dyDescent="0.25">
      <c r="A408" s="114" t="str">
        <f t="shared" si="20"/>
        <v>7511</v>
      </c>
      <c r="B408" t="s">
        <v>5756</v>
      </c>
      <c r="C408" t="s">
        <v>5757</v>
      </c>
      <c r="D408" t="s">
        <v>5758</v>
      </c>
      <c r="E408" t="s">
        <v>586</v>
      </c>
      <c r="F408" t="s">
        <v>1056</v>
      </c>
      <c r="G408" t="s">
        <v>1136</v>
      </c>
      <c r="H408" t="s">
        <v>2071</v>
      </c>
      <c r="I408" t="s">
        <v>90</v>
      </c>
      <c r="J408" t="s">
        <v>90</v>
      </c>
      <c r="K408">
        <v>101.99047464</v>
      </c>
      <c r="L408">
        <v>4.0604343600000004</v>
      </c>
      <c r="M408">
        <v>5.0480996300000003</v>
      </c>
      <c r="N408">
        <v>5.3566861100000001</v>
      </c>
      <c r="O408">
        <v>5.0237768000000003</v>
      </c>
      <c r="P408">
        <v>6.6811227375014139</v>
      </c>
      <c r="Q408">
        <v>166.92949419000001</v>
      </c>
      <c r="R408">
        <v>0</v>
      </c>
      <c r="S408" t="s">
        <v>1138</v>
      </c>
      <c r="T408">
        <v>101.99047464</v>
      </c>
      <c r="U408" t="s">
        <v>2819</v>
      </c>
      <c r="V408" t="s">
        <v>1059</v>
      </c>
      <c r="W408" s="114" t="str">
        <f t="shared" si="18"/>
        <v>ETF</v>
      </c>
      <c r="X408" s="114" t="str">
        <f t="shared" si="19"/>
        <v>Otros ETFs</v>
      </c>
    </row>
    <row r="409" spans="1:24" hidden="1" x14ac:dyDescent="0.25">
      <c r="A409" s="114" t="str">
        <f t="shared" si="20"/>
        <v>7006</v>
      </c>
      <c r="B409" t="s">
        <v>1920</v>
      </c>
      <c r="C409" t="s">
        <v>1921</v>
      </c>
      <c r="D409" t="s">
        <v>1922</v>
      </c>
      <c r="E409" t="s">
        <v>586</v>
      </c>
      <c r="F409" t="s">
        <v>1056</v>
      </c>
      <c r="G409" t="s">
        <v>1136</v>
      </c>
      <c r="H409" t="s">
        <v>1437</v>
      </c>
      <c r="I409" t="s">
        <v>90</v>
      </c>
      <c r="J409" t="s">
        <v>90</v>
      </c>
      <c r="K409">
        <v>735.25122380000005</v>
      </c>
      <c r="L409">
        <v>3.8991448499999999</v>
      </c>
      <c r="M409">
        <v>4.88277962</v>
      </c>
      <c r="N409">
        <v>5.5378663799999996</v>
      </c>
      <c r="O409">
        <v>4.8940670400000004</v>
      </c>
      <c r="P409">
        <v>9.1676666417035744</v>
      </c>
      <c r="Q409">
        <v>756.72255872999995</v>
      </c>
      <c r="R409">
        <v>1.1723655084372351</v>
      </c>
      <c r="S409" t="s">
        <v>1138</v>
      </c>
      <c r="T409">
        <v>735.25122380000005</v>
      </c>
      <c r="U409" t="s">
        <v>2819</v>
      </c>
      <c r="V409" t="s">
        <v>1059</v>
      </c>
      <c r="W409" s="114" t="str">
        <f t="shared" si="18"/>
        <v>ETF</v>
      </c>
      <c r="X409" s="114" t="str">
        <f t="shared" si="19"/>
        <v>Otros ETFs</v>
      </c>
    </row>
    <row r="410" spans="1:24" hidden="1" x14ac:dyDescent="0.25">
      <c r="A410" s="114" t="str">
        <f t="shared" si="20"/>
        <v>1000</v>
      </c>
      <c r="B410" t="s">
        <v>2647</v>
      </c>
      <c r="C410" t="s">
        <v>158</v>
      </c>
      <c r="D410" t="s">
        <v>157</v>
      </c>
      <c r="E410" t="s">
        <v>151</v>
      </c>
      <c r="F410" t="s">
        <v>4810</v>
      </c>
      <c r="G410" t="s">
        <v>1198</v>
      </c>
      <c r="H410" t="s">
        <v>2643</v>
      </c>
      <c r="I410">
        <v>289221969059.85327</v>
      </c>
      <c r="J410">
        <v>69265213.388658002</v>
      </c>
      <c r="K410">
        <v>239.48807766510001</v>
      </c>
      <c r="L410"/>
      <c r="M410"/>
      <c r="N410"/>
      <c r="O410"/>
      <c r="P410"/>
      <c r="Q410"/>
      <c r="R410"/>
      <c r="S410"/>
      <c r="T410">
        <v>170.4198394</v>
      </c>
      <c r="U410">
        <v>32.200000000000003</v>
      </c>
      <c r="V410" t="s">
        <v>2644</v>
      </c>
      <c r="W410" s="114" t="str">
        <f t="shared" si="18"/>
        <v>SOV</v>
      </c>
      <c r="X410" s="114" t="str">
        <f t="shared" si="19"/>
        <v>SOV</v>
      </c>
    </row>
    <row r="411" spans="1:24" hidden="1" x14ac:dyDescent="0.25">
      <c r="A411" s="114" t="str">
        <f t="shared" si="20"/>
        <v>1000</v>
      </c>
      <c r="B411" t="s">
        <v>2647</v>
      </c>
      <c r="C411" t="s">
        <v>2649</v>
      </c>
      <c r="D411" t="s">
        <v>4042</v>
      </c>
      <c r="E411" t="s">
        <v>151</v>
      </c>
      <c r="F411" t="s">
        <v>4810</v>
      </c>
      <c r="G411" t="s">
        <v>1198</v>
      </c>
      <c r="H411" t="s">
        <v>2643</v>
      </c>
      <c r="I411">
        <v>289221969059.85327</v>
      </c>
      <c r="J411">
        <v>69265213.388658002</v>
      </c>
      <c r="K411">
        <v>239.48807766510001</v>
      </c>
      <c r="L411"/>
      <c r="M411"/>
      <c r="N411"/>
      <c r="O411"/>
      <c r="P411"/>
      <c r="Q411"/>
      <c r="R411"/>
      <c r="S411"/>
      <c r="T411">
        <v>170.4198394</v>
      </c>
      <c r="U411">
        <v>32.200000000000003</v>
      </c>
      <c r="V411" t="s">
        <v>2644</v>
      </c>
      <c r="W411" s="114" t="str">
        <f t="shared" si="18"/>
        <v>SOV</v>
      </c>
      <c r="X411" s="114" t="str">
        <f t="shared" si="19"/>
        <v>SOV</v>
      </c>
    </row>
    <row r="412" spans="1:24" hidden="1" x14ac:dyDescent="0.25">
      <c r="A412" s="114" t="str">
        <f t="shared" si="20"/>
        <v>7043</v>
      </c>
      <c r="B412" t="s">
        <v>1926</v>
      </c>
      <c r="C412" t="s">
        <v>1927</v>
      </c>
      <c r="D412" t="s">
        <v>1928</v>
      </c>
      <c r="E412" t="s">
        <v>586</v>
      </c>
      <c r="F412" t="s">
        <v>1056</v>
      </c>
      <c r="G412" t="s">
        <v>1057</v>
      </c>
      <c r="H412" t="s">
        <v>1288</v>
      </c>
      <c r="I412" t="s">
        <v>90</v>
      </c>
      <c r="J412" t="s">
        <v>90</v>
      </c>
      <c r="K412">
        <v>67.141584199999997</v>
      </c>
      <c r="L412">
        <v>6.1239217100000003</v>
      </c>
      <c r="M412">
        <v>4.9465853099999997</v>
      </c>
      <c r="N412">
        <v>5.1851757699999999</v>
      </c>
      <c r="O412">
        <v>5.8797296100000001</v>
      </c>
      <c r="P412">
        <v>2.1219036178839241</v>
      </c>
      <c r="Q412">
        <v>134.05369313</v>
      </c>
      <c r="R412">
        <v>7.9478934942103532</v>
      </c>
      <c r="S412" t="s">
        <v>30</v>
      </c>
      <c r="T412">
        <v>67.141584199999997</v>
      </c>
      <c r="U412" t="s">
        <v>2819</v>
      </c>
      <c r="V412" t="s">
        <v>1059</v>
      </c>
      <c r="W412" s="114" t="str">
        <f t="shared" si="18"/>
        <v>ETF</v>
      </c>
      <c r="X412" s="114" t="str">
        <f t="shared" si="19"/>
        <v>Otros ETFs</v>
      </c>
    </row>
    <row r="413" spans="1:24" hidden="1" x14ac:dyDescent="0.25">
      <c r="A413" s="114" t="str">
        <f t="shared" si="20"/>
        <v>1000</v>
      </c>
      <c r="B413" t="s">
        <v>2647</v>
      </c>
      <c r="C413" t="s">
        <v>868</v>
      </c>
      <c r="D413" t="s">
        <v>867</v>
      </c>
      <c r="E413" t="s">
        <v>151</v>
      </c>
      <c r="F413" t="s">
        <v>4810</v>
      </c>
      <c r="G413" t="s">
        <v>1198</v>
      </c>
      <c r="H413" t="s">
        <v>2643</v>
      </c>
      <c r="I413">
        <v>289221969059.85327</v>
      </c>
      <c r="J413">
        <v>69265213.388658002</v>
      </c>
      <c r="K413">
        <v>239.48807766510001</v>
      </c>
      <c r="L413"/>
      <c r="M413"/>
      <c r="N413"/>
      <c r="O413"/>
      <c r="P413"/>
      <c r="Q413"/>
      <c r="R413"/>
      <c r="S413"/>
      <c r="T413">
        <v>170.4198394</v>
      </c>
      <c r="U413">
        <v>32.200000000000003</v>
      </c>
      <c r="V413" t="s">
        <v>2644</v>
      </c>
      <c r="W413" s="114" t="str">
        <f t="shared" si="18"/>
        <v>SOV</v>
      </c>
      <c r="X413" s="114" t="str">
        <f t="shared" si="19"/>
        <v>SOV</v>
      </c>
    </row>
    <row r="414" spans="1:24" hidden="1" x14ac:dyDescent="0.25">
      <c r="A414" s="114" t="str">
        <f t="shared" si="20"/>
        <v>7043</v>
      </c>
      <c r="B414" t="s">
        <v>1929</v>
      </c>
      <c r="C414" t="s">
        <v>1930</v>
      </c>
      <c r="D414" t="s">
        <v>1931</v>
      </c>
      <c r="E414" t="s">
        <v>586</v>
      </c>
      <c r="F414" t="s">
        <v>1056</v>
      </c>
      <c r="G414" t="s">
        <v>1057</v>
      </c>
      <c r="H414" t="s">
        <v>1288</v>
      </c>
      <c r="I414" t="s">
        <v>90</v>
      </c>
      <c r="J414" t="s">
        <v>90</v>
      </c>
      <c r="K414">
        <v>67.141584199999997</v>
      </c>
      <c r="L414">
        <v>6.1239217100000003</v>
      </c>
      <c r="M414">
        <v>4.9465853099999997</v>
      </c>
      <c r="N414">
        <v>5.1851757699999999</v>
      </c>
      <c r="O414">
        <v>5.8797296100000001</v>
      </c>
      <c r="P414">
        <v>2.1219036178839241</v>
      </c>
      <c r="Q414">
        <v>134.05369313</v>
      </c>
      <c r="R414">
        <v>7.9478934942103532</v>
      </c>
      <c r="S414" t="s">
        <v>30</v>
      </c>
      <c r="T414">
        <v>67.141584199999997</v>
      </c>
      <c r="U414" t="s">
        <v>2819</v>
      </c>
      <c r="V414" t="s">
        <v>1059</v>
      </c>
      <c r="W414" s="114" t="str">
        <f t="shared" si="18"/>
        <v>ETF</v>
      </c>
      <c r="X414" s="114" t="str">
        <f t="shared" si="19"/>
        <v>Otros ETFs</v>
      </c>
    </row>
    <row r="415" spans="1:24" hidden="1" x14ac:dyDescent="0.25">
      <c r="A415" s="114" t="str">
        <f t="shared" si="20"/>
        <v>1000</v>
      </c>
      <c r="B415" t="s">
        <v>2647</v>
      </c>
      <c r="C415" t="s">
        <v>2650</v>
      </c>
      <c r="D415" t="s">
        <v>4099</v>
      </c>
      <c r="E415" t="s">
        <v>151</v>
      </c>
      <c r="F415" t="s">
        <v>4810</v>
      </c>
      <c r="G415" t="s">
        <v>1198</v>
      </c>
      <c r="H415" t="s">
        <v>2643</v>
      </c>
      <c r="I415">
        <v>289221969059.85327</v>
      </c>
      <c r="J415">
        <v>69265213.388658002</v>
      </c>
      <c r="K415">
        <v>239.48807766510001</v>
      </c>
      <c r="L415"/>
      <c r="M415"/>
      <c r="N415"/>
      <c r="O415"/>
      <c r="P415"/>
      <c r="Q415"/>
      <c r="R415"/>
      <c r="S415"/>
      <c r="T415">
        <v>170.4198394</v>
      </c>
      <c r="U415">
        <v>32.200000000000003</v>
      </c>
      <c r="V415" t="s">
        <v>2644</v>
      </c>
      <c r="W415" s="114" t="str">
        <f t="shared" si="18"/>
        <v>SOV</v>
      </c>
      <c r="X415" s="114" t="str">
        <f t="shared" si="19"/>
        <v>SOV</v>
      </c>
    </row>
    <row r="416" spans="1:24" hidden="1" x14ac:dyDescent="0.25">
      <c r="A416" s="114" t="str">
        <f t="shared" si="20"/>
        <v>1000</v>
      </c>
      <c r="B416" t="s">
        <v>2647</v>
      </c>
      <c r="C416" t="s">
        <v>2651</v>
      </c>
      <c r="D416" t="s">
        <v>4097</v>
      </c>
      <c r="E416" t="s">
        <v>151</v>
      </c>
      <c r="F416" t="s">
        <v>4810</v>
      </c>
      <c r="G416" t="s">
        <v>1198</v>
      </c>
      <c r="H416" t="s">
        <v>2643</v>
      </c>
      <c r="I416">
        <v>289221969059.85327</v>
      </c>
      <c r="J416">
        <v>69265213.388658002</v>
      </c>
      <c r="K416">
        <v>239.48807766510001</v>
      </c>
      <c r="L416"/>
      <c r="M416"/>
      <c r="N416"/>
      <c r="O416"/>
      <c r="P416"/>
      <c r="Q416"/>
      <c r="R416"/>
      <c r="S416"/>
      <c r="T416">
        <v>170.4198394</v>
      </c>
      <c r="U416">
        <v>32.200000000000003</v>
      </c>
      <c r="V416" t="s">
        <v>2644</v>
      </c>
      <c r="W416" s="114" t="str">
        <f t="shared" si="18"/>
        <v>SOV</v>
      </c>
      <c r="X416" s="114" t="str">
        <f t="shared" si="19"/>
        <v>SOV</v>
      </c>
    </row>
    <row r="417" spans="1:24" hidden="1" x14ac:dyDescent="0.25">
      <c r="A417" s="114" t="str">
        <f t="shared" si="20"/>
        <v>7412</v>
      </c>
      <c r="B417" t="s">
        <v>1932</v>
      </c>
      <c r="C417" t="s">
        <v>1933</v>
      </c>
      <c r="D417" t="s">
        <v>1934</v>
      </c>
      <c r="E417" t="s">
        <v>586</v>
      </c>
      <c r="F417" t="s">
        <v>1056</v>
      </c>
      <c r="G417" t="s">
        <v>1071</v>
      </c>
      <c r="H417" t="s">
        <v>1893</v>
      </c>
      <c r="I417" t="s">
        <v>90</v>
      </c>
      <c r="J417" t="s">
        <v>90</v>
      </c>
      <c r="K417">
        <v>112.06001418</v>
      </c>
      <c r="L417">
        <v>5.4762845200000001</v>
      </c>
      <c r="M417">
        <v>5.0889279600000004</v>
      </c>
      <c r="N417">
        <v>4.96149606</v>
      </c>
      <c r="O417">
        <v>5.5411842399999998</v>
      </c>
      <c r="P417">
        <v>8.9317685477310835</v>
      </c>
      <c r="Q417">
        <v>204.49335479999999</v>
      </c>
      <c r="R417">
        <v>12.13459322785485</v>
      </c>
      <c r="S417" t="s">
        <v>1063</v>
      </c>
      <c r="T417">
        <v>112.06001418</v>
      </c>
      <c r="U417" t="s">
        <v>2819</v>
      </c>
      <c r="V417" t="s">
        <v>1059</v>
      </c>
      <c r="W417" s="114" t="str">
        <f t="shared" si="18"/>
        <v>ETF</v>
      </c>
      <c r="X417" s="114" t="str">
        <f t="shared" si="19"/>
        <v>Otros ETFs</v>
      </c>
    </row>
    <row r="418" spans="1:24" hidden="1" x14ac:dyDescent="0.25">
      <c r="A418" s="114" t="str">
        <f t="shared" si="20"/>
        <v>1000</v>
      </c>
      <c r="B418" t="s">
        <v>2647</v>
      </c>
      <c r="C418" t="s">
        <v>2652</v>
      </c>
      <c r="D418" t="s">
        <v>4098</v>
      </c>
      <c r="E418" t="s">
        <v>151</v>
      </c>
      <c r="F418" t="s">
        <v>4810</v>
      </c>
      <c r="G418" t="s">
        <v>1198</v>
      </c>
      <c r="H418" t="s">
        <v>2643</v>
      </c>
      <c r="I418">
        <v>289221969059.85327</v>
      </c>
      <c r="J418">
        <v>69265213.388658002</v>
      </c>
      <c r="K418">
        <v>239.48807766510001</v>
      </c>
      <c r="L418"/>
      <c r="M418"/>
      <c r="N418"/>
      <c r="O418"/>
      <c r="P418"/>
      <c r="Q418"/>
      <c r="R418"/>
      <c r="S418"/>
      <c r="T418">
        <v>170.4198394</v>
      </c>
      <c r="U418">
        <v>32.200000000000003</v>
      </c>
      <c r="V418" t="s">
        <v>2644</v>
      </c>
      <c r="W418" s="114" t="str">
        <f t="shared" si="18"/>
        <v>SOV</v>
      </c>
      <c r="X418" s="114" t="str">
        <f t="shared" si="19"/>
        <v>SOV</v>
      </c>
    </row>
    <row r="419" spans="1:24" hidden="1" x14ac:dyDescent="0.25">
      <c r="A419" s="114" t="str">
        <f t="shared" si="20"/>
        <v>7043</v>
      </c>
      <c r="B419" t="s">
        <v>1935</v>
      </c>
      <c r="C419" t="s">
        <v>1936</v>
      </c>
      <c r="D419" t="s">
        <v>1937</v>
      </c>
      <c r="E419" t="s">
        <v>586</v>
      </c>
      <c r="F419" t="s">
        <v>1056</v>
      </c>
      <c r="G419" t="s">
        <v>1163</v>
      </c>
      <c r="H419" t="s">
        <v>1791</v>
      </c>
      <c r="I419" t="s">
        <v>90</v>
      </c>
      <c r="J419" t="s">
        <v>90</v>
      </c>
      <c r="K419">
        <v>19.453274929999999</v>
      </c>
      <c r="L419">
        <v>7.6032872300000003</v>
      </c>
      <c r="M419">
        <v>6.54140502</v>
      </c>
      <c r="N419">
        <v>5.2180150999999997</v>
      </c>
      <c r="O419">
        <v>6.72830174</v>
      </c>
      <c r="P419">
        <v>2.634412689384825</v>
      </c>
      <c r="Q419">
        <v>38.593495189999999</v>
      </c>
      <c r="R419">
        <v>59.296748349156893</v>
      </c>
      <c r="S419" t="s">
        <v>1073</v>
      </c>
      <c r="T419">
        <v>19.453274929999999</v>
      </c>
      <c r="U419" t="s">
        <v>2819</v>
      </c>
      <c r="V419" t="s">
        <v>1059</v>
      </c>
      <c r="W419" s="114" t="str">
        <f t="shared" si="18"/>
        <v>ETF</v>
      </c>
      <c r="X419" s="114" t="str">
        <f t="shared" si="19"/>
        <v>Otros ETFs</v>
      </c>
    </row>
    <row r="420" spans="1:24" hidden="1" x14ac:dyDescent="0.25">
      <c r="A420" s="114" t="str">
        <f t="shared" si="20"/>
        <v>7039</v>
      </c>
      <c r="B420" t="s">
        <v>1938</v>
      </c>
      <c r="C420" t="s">
        <v>1939</v>
      </c>
      <c r="D420" t="s">
        <v>1940</v>
      </c>
      <c r="E420" t="s">
        <v>586</v>
      </c>
      <c r="F420" t="s">
        <v>1056</v>
      </c>
      <c r="G420" t="s">
        <v>1136</v>
      </c>
      <c r="H420" t="s">
        <v>1437</v>
      </c>
      <c r="I420" t="s">
        <v>90</v>
      </c>
      <c r="J420" t="s">
        <v>90</v>
      </c>
      <c r="K420">
        <v>257.89146407999999</v>
      </c>
      <c r="L420">
        <v>4.0695369399999999</v>
      </c>
      <c r="M420">
        <v>5.1086729599999998</v>
      </c>
      <c r="N420">
        <v>5.3548424299999997</v>
      </c>
      <c r="O420">
        <v>4.9777772300000001</v>
      </c>
      <c r="P420">
        <v>3.92936856505148</v>
      </c>
      <c r="Q420">
        <v>513.86848707000001</v>
      </c>
      <c r="R420">
        <v>1.963984288125695</v>
      </c>
      <c r="S420" t="s">
        <v>1138</v>
      </c>
      <c r="T420">
        <v>257.89146407999999</v>
      </c>
      <c r="U420" t="s">
        <v>2819</v>
      </c>
      <c r="V420" t="s">
        <v>1059</v>
      </c>
      <c r="W420" s="114" t="str">
        <f t="shared" si="18"/>
        <v>ETF</v>
      </c>
      <c r="X420" s="114" t="str">
        <f t="shared" si="19"/>
        <v>Otros ETFs</v>
      </c>
    </row>
    <row r="421" spans="1:24" hidden="1" x14ac:dyDescent="0.25">
      <c r="A421" s="114" t="str">
        <f t="shared" si="20"/>
        <v>1000</v>
      </c>
      <c r="B421" t="s">
        <v>2647</v>
      </c>
      <c r="C421" t="s">
        <v>171</v>
      </c>
      <c r="D421" t="s">
        <v>4047</v>
      </c>
      <c r="E421" t="s">
        <v>151</v>
      </c>
      <c r="F421" t="s">
        <v>4810</v>
      </c>
      <c r="G421" t="s">
        <v>1198</v>
      </c>
      <c r="H421" t="s">
        <v>2643</v>
      </c>
      <c r="I421">
        <v>289221969059.85327</v>
      </c>
      <c r="J421">
        <v>69265213.388658002</v>
      </c>
      <c r="K421">
        <v>239.48807766510001</v>
      </c>
      <c r="L421"/>
      <c r="M421"/>
      <c r="N421"/>
      <c r="O421"/>
      <c r="P421"/>
      <c r="Q421"/>
      <c r="R421"/>
      <c r="S421"/>
      <c r="T421">
        <v>170.4198394</v>
      </c>
      <c r="U421">
        <v>32.200000000000003</v>
      </c>
      <c r="V421" t="s">
        <v>2644</v>
      </c>
      <c r="W421" s="114" t="str">
        <f t="shared" si="18"/>
        <v>SOV</v>
      </c>
      <c r="X421" s="114" t="str">
        <f t="shared" si="19"/>
        <v>SOV</v>
      </c>
    </row>
    <row r="422" spans="1:24" hidden="1" x14ac:dyDescent="0.25">
      <c r="A422" s="114" t="str">
        <f t="shared" si="20"/>
        <v>7424</v>
      </c>
      <c r="B422" t="s">
        <v>1941</v>
      </c>
      <c r="C422" t="s">
        <v>1942</v>
      </c>
      <c r="D422" t="s">
        <v>1943</v>
      </c>
      <c r="E422" t="s">
        <v>586</v>
      </c>
      <c r="F422" t="s">
        <v>1056</v>
      </c>
      <c r="G422" t="s">
        <v>1375</v>
      </c>
      <c r="H422" t="s">
        <v>1678</v>
      </c>
      <c r="I422" t="s">
        <v>90</v>
      </c>
      <c r="J422" t="s">
        <v>90</v>
      </c>
      <c r="K422">
        <v>123.6325466</v>
      </c>
      <c r="L422">
        <v>5.0640510299999999</v>
      </c>
      <c r="M422">
        <v>4.5796295999999996</v>
      </c>
      <c r="N422">
        <v>4.8287932500000004</v>
      </c>
      <c r="O422">
        <v>5.1488618800000001</v>
      </c>
      <c r="P422">
        <v>2.7889914087862571</v>
      </c>
      <c r="Q422">
        <v>135.52830333</v>
      </c>
      <c r="R422">
        <v>3.2036061051145079</v>
      </c>
      <c r="S422" t="s">
        <v>1063</v>
      </c>
      <c r="T422">
        <v>123.6325466</v>
      </c>
      <c r="U422" t="s">
        <v>2819</v>
      </c>
      <c r="V422" t="s">
        <v>1059</v>
      </c>
      <c r="W422" s="114" t="str">
        <f t="shared" si="18"/>
        <v>ETF</v>
      </c>
      <c r="X422" s="114" t="str">
        <f t="shared" si="19"/>
        <v>Otros ETFs</v>
      </c>
    </row>
    <row r="423" spans="1:24" hidden="1" x14ac:dyDescent="0.25">
      <c r="A423" s="114" t="str">
        <f t="shared" si="20"/>
        <v>1000</v>
      </c>
      <c r="B423" t="s">
        <v>2647</v>
      </c>
      <c r="C423" t="s">
        <v>173</v>
      </c>
      <c r="D423" t="s">
        <v>172</v>
      </c>
      <c r="E423" t="s">
        <v>151</v>
      </c>
      <c r="F423" t="s">
        <v>4810</v>
      </c>
      <c r="G423" t="s">
        <v>1198</v>
      </c>
      <c r="H423" t="s">
        <v>2643</v>
      </c>
      <c r="I423">
        <v>289221969059.85327</v>
      </c>
      <c r="J423">
        <v>69265213.388658002</v>
      </c>
      <c r="K423">
        <v>239.48807766510001</v>
      </c>
      <c r="L423"/>
      <c r="M423"/>
      <c r="N423"/>
      <c r="O423"/>
      <c r="P423"/>
      <c r="Q423"/>
      <c r="R423"/>
      <c r="S423"/>
      <c r="T423">
        <v>170.4198394</v>
      </c>
      <c r="U423">
        <v>32.200000000000003</v>
      </c>
      <c r="V423" t="s">
        <v>2644</v>
      </c>
      <c r="W423" s="114" t="str">
        <f t="shared" si="18"/>
        <v>SOV</v>
      </c>
      <c r="X423" s="114" t="str">
        <f t="shared" si="19"/>
        <v>SOV</v>
      </c>
    </row>
    <row r="424" spans="1:24" hidden="1" x14ac:dyDescent="0.25">
      <c r="A424" s="114" t="str">
        <f t="shared" si="20"/>
        <v>1000</v>
      </c>
      <c r="B424" t="s">
        <v>2647</v>
      </c>
      <c r="C424" t="s">
        <v>170</v>
      </c>
      <c r="D424" t="s">
        <v>169</v>
      </c>
      <c r="E424" t="s">
        <v>151</v>
      </c>
      <c r="F424" t="s">
        <v>4810</v>
      </c>
      <c r="G424" t="s">
        <v>1198</v>
      </c>
      <c r="H424" t="s">
        <v>2643</v>
      </c>
      <c r="I424">
        <v>289221969059.85327</v>
      </c>
      <c r="J424">
        <v>69265213.388658002</v>
      </c>
      <c r="K424">
        <v>239.48807766510001</v>
      </c>
      <c r="L424"/>
      <c r="M424"/>
      <c r="N424"/>
      <c r="O424"/>
      <c r="P424"/>
      <c r="Q424"/>
      <c r="R424"/>
      <c r="S424"/>
      <c r="T424">
        <v>170.4198394</v>
      </c>
      <c r="U424">
        <v>32.200000000000003</v>
      </c>
      <c r="V424" t="s">
        <v>2644</v>
      </c>
      <c r="W424" s="114" t="str">
        <f t="shared" si="18"/>
        <v>SOV</v>
      </c>
      <c r="X424" s="114" t="str">
        <f t="shared" si="19"/>
        <v>SOV</v>
      </c>
    </row>
    <row r="425" spans="1:24" hidden="1" x14ac:dyDescent="0.25">
      <c r="A425" s="114" t="str">
        <f t="shared" si="20"/>
        <v>7077</v>
      </c>
      <c r="B425" t="s">
        <v>5759</v>
      </c>
      <c r="C425" t="s">
        <v>5073</v>
      </c>
      <c r="D425" t="s">
        <v>5074</v>
      </c>
      <c r="E425" t="s">
        <v>586</v>
      </c>
      <c r="F425" t="s">
        <v>1056</v>
      </c>
      <c r="G425" t="s">
        <v>1501</v>
      </c>
      <c r="H425" t="s">
        <v>1502</v>
      </c>
      <c r="I425" t="s">
        <v>90</v>
      </c>
      <c r="J425" t="s">
        <v>90</v>
      </c>
      <c r="K425">
        <v>94.063406279999995</v>
      </c>
      <c r="L425">
        <v>6.2517841599999997</v>
      </c>
      <c r="M425">
        <v>5.48599836</v>
      </c>
      <c r="N425">
        <v>4.7613072399999998</v>
      </c>
      <c r="O425">
        <v>5.4716631600000003</v>
      </c>
      <c r="P425">
        <v>13.574743661084151</v>
      </c>
      <c r="Q425">
        <v>362.93499386000002</v>
      </c>
      <c r="R425">
        <v>31.27693777461322</v>
      </c>
      <c r="S425" t="s">
        <v>30</v>
      </c>
      <c r="T425">
        <v>94.063406279999995</v>
      </c>
      <c r="U425" t="s">
        <v>2819</v>
      </c>
      <c r="V425" t="s">
        <v>1059</v>
      </c>
      <c r="W425" s="114" t="str">
        <f t="shared" si="18"/>
        <v>ETF</v>
      </c>
      <c r="X425" s="114" t="str">
        <f t="shared" si="19"/>
        <v>Otros ETFs</v>
      </c>
    </row>
    <row r="426" spans="1:24" hidden="1" x14ac:dyDescent="0.25">
      <c r="A426" s="114" t="str">
        <f t="shared" si="20"/>
        <v>7094</v>
      </c>
      <c r="B426" t="s">
        <v>1944</v>
      </c>
      <c r="C426" t="s">
        <v>602</v>
      </c>
      <c r="D426" t="s">
        <v>601</v>
      </c>
      <c r="E426" t="s">
        <v>586</v>
      </c>
      <c r="F426" t="s">
        <v>1056</v>
      </c>
      <c r="G426" t="s">
        <v>1501</v>
      </c>
      <c r="H426" t="s">
        <v>1502</v>
      </c>
      <c r="I426" t="s">
        <v>90</v>
      </c>
      <c r="J426" t="s">
        <v>90</v>
      </c>
      <c r="K426">
        <v>185.92841983</v>
      </c>
      <c r="L426">
        <v>4.7900587400000001</v>
      </c>
      <c r="M426">
        <v>4.3864268199999996</v>
      </c>
      <c r="N426">
        <v>4.7785475399999999</v>
      </c>
      <c r="O426">
        <v>4.4736699700000004</v>
      </c>
      <c r="P426">
        <v>7.1701689312402523</v>
      </c>
      <c r="Q426">
        <v>926.02637231999995</v>
      </c>
      <c r="R426">
        <v>10.88935275357146</v>
      </c>
      <c r="S426" t="s">
        <v>1063</v>
      </c>
      <c r="T426">
        <v>185.92841983</v>
      </c>
      <c r="U426" t="s">
        <v>2819</v>
      </c>
      <c r="V426" t="s">
        <v>1059</v>
      </c>
      <c r="W426" s="114" t="str">
        <f t="shared" si="18"/>
        <v>ETF</v>
      </c>
      <c r="X426" s="114" t="str">
        <f t="shared" si="19"/>
        <v>Otros ETFs</v>
      </c>
    </row>
    <row r="427" spans="1:24" hidden="1" x14ac:dyDescent="0.25">
      <c r="A427" s="114" t="str">
        <f t="shared" si="20"/>
        <v>1000</v>
      </c>
      <c r="B427" t="s">
        <v>2647</v>
      </c>
      <c r="C427" t="s">
        <v>168</v>
      </c>
      <c r="D427" t="s">
        <v>167</v>
      </c>
      <c r="E427" t="s">
        <v>151</v>
      </c>
      <c r="F427" t="s">
        <v>4810</v>
      </c>
      <c r="G427" t="s">
        <v>1198</v>
      </c>
      <c r="H427" t="s">
        <v>2643</v>
      </c>
      <c r="I427">
        <v>289221969059.85327</v>
      </c>
      <c r="J427">
        <v>69265213.388658002</v>
      </c>
      <c r="K427">
        <v>239.48807766510001</v>
      </c>
      <c r="L427"/>
      <c r="M427"/>
      <c r="N427"/>
      <c r="O427"/>
      <c r="P427"/>
      <c r="Q427"/>
      <c r="R427"/>
      <c r="S427"/>
      <c r="T427">
        <v>170.4198394</v>
      </c>
      <c r="U427">
        <v>32.200000000000003</v>
      </c>
      <c r="V427" t="s">
        <v>2644</v>
      </c>
      <c r="W427" s="114" t="str">
        <f t="shared" si="18"/>
        <v>SOV</v>
      </c>
      <c r="X427" s="114" t="str">
        <f t="shared" si="19"/>
        <v>SOV</v>
      </c>
    </row>
    <row r="428" spans="1:24" hidden="1" x14ac:dyDescent="0.25">
      <c r="A428" s="114" t="str">
        <f t="shared" si="20"/>
        <v>7001</v>
      </c>
      <c r="B428" t="s">
        <v>1945</v>
      </c>
      <c r="C428" t="s">
        <v>951</v>
      </c>
      <c r="D428" t="s">
        <v>950</v>
      </c>
      <c r="E428" t="s">
        <v>586</v>
      </c>
      <c r="F428" t="s">
        <v>1056</v>
      </c>
      <c r="G428" t="s">
        <v>1290</v>
      </c>
      <c r="H428" t="s">
        <v>1291</v>
      </c>
      <c r="I428" t="s">
        <v>90</v>
      </c>
      <c r="J428" t="s">
        <v>90</v>
      </c>
      <c r="K428">
        <v>25.653295719999999</v>
      </c>
      <c r="L428">
        <v>6.3015862900000004</v>
      </c>
      <c r="M428">
        <v>5.7488942500000002</v>
      </c>
      <c r="N428">
        <v>5.58011284</v>
      </c>
      <c r="O428">
        <v>4.8100378199999998</v>
      </c>
      <c r="P428">
        <v>22.30756461844916</v>
      </c>
      <c r="Q428">
        <v>75.761481219999993</v>
      </c>
      <c r="R428">
        <v>9.0386830716062807</v>
      </c>
      <c r="S428" t="s">
        <v>30</v>
      </c>
      <c r="T428">
        <v>25.653295719999999</v>
      </c>
      <c r="U428" t="s">
        <v>2819</v>
      </c>
      <c r="V428" t="s">
        <v>1059</v>
      </c>
      <c r="W428" s="114" t="str">
        <f t="shared" si="18"/>
        <v>ETF</v>
      </c>
      <c r="X428" s="114" t="str">
        <f t="shared" si="19"/>
        <v>Otros ETFs</v>
      </c>
    </row>
    <row r="429" spans="1:24" hidden="1" x14ac:dyDescent="0.25">
      <c r="A429" s="114" t="str">
        <f t="shared" si="20"/>
        <v>1000</v>
      </c>
      <c r="B429" t="s">
        <v>2647</v>
      </c>
      <c r="C429" t="s">
        <v>161</v>
      </c>
      <c r="D429" t="s">
        <v>160</v>
      </c>
      <c r="E429" t="s">
        <v>151</v>
      </c>
      <c r="F429" t="s">
        <v>4810</v>
      </c>
      <c r="G429" t="s">
        <v>1198</v>
      </c>
      <c r="H429" t="s">
        <v>2643</v>
      </c>
      <c r="I429">
        <v>289221969059.85327</v>
      </c>
      <c r="J429">
        <v>69265213.388658002</v>
      </c>
      <c r="K429">
        <v>239.48807766510001</v>
      </c>
      <c r="L429"/>
      <c r="M429"/>
      <c r="N429"/>
      <c r="O429"/>
      <c r="P429"/>
      <c r="Q429"/>
      <c r="R429"/>
      <c r="S429"/>
      <c r="T429">
        <v>170.4198394</v>
      </c>
      <c r="U429">
        <v>32.200000000000003</v>
      </c>
      <c r="V429" t="s">
        <v>2644</v>
      </c>
      <c r="W429" s="114" t="str">
        <f t="shared" si="18"/>
        <v>SOV</v>
      </c>
      <c r="X429" s="114" t="str">
        <f t="shared" si="19"/>
        <v>SOV</v>
      </c>
    </row>
    <row r="430" spans="1:24" hidden="1" x14ac:dyDescent="0.25">
      <c r="A430" s="114" t="str">
        <f t="shared" si="20"/>
        <v>7006</v>
      </c>
      <c r="B430" t="s">
        <v>1946</v>
      </c>
      <c r="C430" t="s">
        <v>1947</v>
      </c>
      <c r="D430" t="s">
        <v>1948</v>
      </c>
      <c r="E430" t="s">
        <v>586</v>
      </c>
      <c r="F430" t="s">
        <v>1056</v>
      </c>
      <c r="G430" t="s">
        <v>1136</v>
      </c>
      <c r="H430" t="s">
        <v>1494</v>
      </c>
      <c r="I430" t="s">
        <v>90</v>
      </c>
      <c r="J430" t="s">
        <v>90</v>
      </c>
      <c r="K430">
        <v>32.630000000000003</v>
      </c>
      <c r="L430">
        <v>4.4430163499999997</v>
      </c>
      <c r="M430">
        <v>5.3168626100000003</v>
      </c>
      <c r="N430">
        <v>5.8466281100000002</v>
      </c>
      <c r="O430">
        <v>5.4868530800000004</v>
      </c>
      <c r="P430">
        <v>0</v>
      </c>
      <c r="Q430">
        <v>44.47</v>
      </c>
      <c r="R430">
        <v>0</v>
      </c>
      <c r="S430" t="s">
        <v>1063</v>
      </c>
      <c r="T430">
        <v>32.630000000000003</v>
      </c>
      <c r="U430" t="s">
        <v>2819</v>
      </c>
      <c r="V430" t="s">
        <v>1059</v>
      </c>
      <c r="W430" s="114" t="str">
        <f t="shared" si="18"/>
        <v>ETF</v>
      </c>
      <c r="X430" s="114" t="str">
        <f t="shared" si="19"/>
        <v>Otros ETFs</v>
      </c>
    </row>
    <row r="431" spans="1:24" hidden="1" x14ac:dyDescent="0.25">
      <c r="A431" s="114" t="str">
        <f t="shared" si="20"/>
        <v>1000</v>
      </c>
      <c r="B431" t="s">
        <v>2647</v>
      </c>
      <c r="C431" t="s">
        <v>866</v>
      </c>
      <c r="D431" t="s">
        <v>865</v>
      </c>
      <c r="E431" t="s">
        <v>151</v>
      </c>
      <c r="F431" t="s">
        <v>4810</v>
      </c>
      <c r="G431" t="s">
        <v>1198</v>
      </c>
      <c r="H431" t="s">
        <v>2643</v>
      </c>
      <c r="I431">
        <v>289221969059.85327</v>
      </c>
      <c r="J431">
        <v>69265213.388658002</v>
      </c>
      <c r="K431">
        <v>239.48807766510001</v>
      </c>
      <c r="L431"/>
      <c r="M431"/>
      <c r="N431"/>
      <c r="O431"/>
      <c r="P431"/>
      <c r="Q431"/>
      <c r="R431"/>
      <c r="S431"/>
      <c r="T431">
        <v>170.4198394</v>
      </c>
      <c r="U431">
        <v>32.200000000000003</v>
      </c>
      <c r="V431" t="s">
        <v>2644</v>
      </c>
      <c r="W431" s="114" t="str">
        <f t="shared" si="18"/>
        <v>SOV</v>
      </c>
      <c r="X431" s="114" t="str">
        <f t="shared" si="19"/>
        <v>SOV</v>
      </c>
    </row>
    <row r="432" spans="1:24" hidden="1" x14ac:dyDescent="0.25">
      <c r="A432" s="114" t="str">
        <f t="shared" si="20"/>
        <v>1000</v>
      </c>
      <c r="B432" t="s">
        <v>2647</v>
      </c>
      <c r="C432" t="s">
        <v>5266</v>
      </c>
      <c r="D432" t="s">
        <v>5267</v>
      </c>
      <c r="E432" t="s">
        <v>151</v>
      </c>
      <c r="F432" t="s">
        <v>4810</v>
      </c>
      <c r="G432" t="s">
        <v>1198</v>
      </c>
      <c r="H432" t="s">
        <v>2643</v>
      </c>
      <c r="I432">
        <v>289221969059.85327</v>
      </c>
      <c r="J432">
        <v>69265213.388658002</v>
      </c>
      <c r="K432">
        <v>239.48807766510001</v>
      </c>
      <c r="L432"/>
      <c r="M432"/>
      <c r="N432"/>
      <c r="O432"/>
      <c r="P432"/>
      <c r="Q432"/>
      <c r="R432"/>
      <c r="S432"/>
      <c r="T432">
        <v>170.4198394</v>
      </c>
      <c r="U432">
        <v>32.200000000000003</v>
      </c>
      <c r="V432" t="s">
        <v>2644</v>
      </c>
      <c r="W432" s="114" t="str">
        <f t="shared" si="18"/>
        <v>SOV</v>
      </c>
      <c r="X432" s="114" t="str">
        <f t="shared" si="19"/>
        <v>SOV</v>
      </c>
    </row>
    <row r="433" spans="1:24" hidden="1" x14ac:dyDescent="0.25">
      <c r="A433" s="114" t="str">
        <f t="shared" si="20"/>
        <v>7006</v>
      </c>
      <c r="B433" t="s">
        <v>1950</v>
      </c>
      <c r="C433" t="s">
        <v>1951</v>
      </c>
      <c r="D433" t="s">
        <v>1952</v>
      </c>
      <c r="E433" t="s">
        <v>586</v>
      </c>
      <c r="F433" t="s">
        <v>1056</v>
      </c>
      <c r="G433" t="s">
        <v>1136</v>
      </c>
      <c r="H433" t="s">
        <v>1494</v>
      </c>
      <c r="I433" t="s">
        <v>90</v>
      </c>
      <c r="J433" t="s">
        <v>90</v>
      </c>
      <c r="K433">
        <v>32.630000000000003</v>
      </c>
      <c r="L433">
        <v>4.4430163499999997</v>
      </c>
      <c r="M433">
        <v>5.3168626100000003</v>
      </c>
      <c r="N433">
        <v>5.8466281100000002</v>
      </c>
      <c r="O433">
        <v>5.4868530800000004</v>
      </c>
      <c r="P433">
        <v>0</v>
      </c>
      <c r="Q433">
        <v>44.47</v>
      </c>
      <c r="R433">
        <v>0</v>
      </c>
      <c r="S433" t="s">
        <v>1063</v>
      </c>
      <c r="T433">
        <v>32.630000000000003</v>
      </c>
      <c r="U433" t="s">
        <v>2819</v>
      </c>
      <c r="V433" t="s">
        <v>1059</v>
      </c>
      <c r="W433" s="114" t="str">
        <f t="shared" si="18"/>
        <v>ETF</v>
      </c>
      <c r="X433" s="114" t="str">
        <f t="shared" si="19"/>
        <v>Otros ETFs</v>
      </c>
    </row>
    <row r="434" spans="1:24" hidden="1" x14ac:dyDescent="0.25">
      <c r="A434" s="114" t="str">
        <f t="shared" si="20"/>
        <v>7025</v>
      </c>
      <c r="B434" t="s">
        <v>5639</v>
      </c>
      <c r="C434" t="s">
        <v>1953</v>
      </c>
      <c r="D434" t="s">
        <v>1954</v>
      </c>
      <c r="E434" t="s">
        <v>586</v>
      </c>
      <c r="F434" t="s">
        <v>1056</v>
      </c>
      <c r="G434" t="s">
        <v>1163</v>
      </c>
      <c r="H434" t="s">
        <v>1782</v>
      </c>
      <c r="I434" t="s">
        <v>90</v>
      </c>
      <c r="J434" t="s">
        <v>90</v>
      </c>
      <c r="K434">
        <v>82.65899435</v>
      </c>
      <c r="L434">
        <v>5.9686085200000001</v>
      </c>
      <c r="M434">
        <v>6.8090375200000004</v>
      </c>
      <c r="N434">
        <v>4.7427868200000001</v>
      </c>
      <c r="O434">
        <v>5.5390189799999998</v>
      </c>
      <c r="P434">
        <v>7.0510558958160194</v>
      </c>
      <c r="Q434">
        <v>110.53441592</v>
      </c>
      <c r="R434">
        <v>18.90128085036956</v>
      </c>
      <c r="S434" t="s">
        <v>30</v>
      </c>
      <c r="T434">
        <v>82.65899435</v>
      </c>
      <c r="U434" t="s">
        <v>2819</v>
      </c>
      <c r="V434" t="s">
        <v>1059</v>
      </c>
      <c r="W434" s="114" t="str">
        <f t="shared" si="18"/>
        <v>ETF</v>
      </c>
      <c r="X434" s="114" t="str">
        <f t="shared" si="19"/>
        <v>Otros ETFs</v>
      </c>
    </row>
    <row r="435" spans="1:24" hidden="1" x14ac:dyDescent="0.25">
      <c r="A435" s="114" t="str">
        <f t="shared" si="20"/>
        <v>1000</v>
      </c>
      <c r="B435" t="s">
        <v>2647</v>
      </c>
      <c r="C435" t="s">
        <v>6241</v>
      </c>
      <c r="D435" t="s">
        <v>6242</v>
      </c>
      <c r="E435" t="s">
        <v>151</v>
      </c>
      <c r="F435" t="s">
        <v>4810</v>
      </c>
      <c r="G435" t="s">
        <v>1198</v>
      </c>
      <c r="H435" t="s">
        <v>2643</v>
      </c>
      <c r="I435">
        <v>289221969059.85327</v>
      </c>
      <c r="J435">
        <v>69265213.388658002</v>
      </c>
      <c r="K435">
        <v>239.48807766510001</v>
      </c>
      <c r="L435"/>
      <c r="M435"/>
      <c r="N435"/>
      <c r="O435"/>
      <c r="P435"/>
      <c r="Q435"/>
      <c r="R435"/>
      <c r="S435"/>
      <c r="T435">
        <v>170.4198394</v>
      </c>
      <c r="U435">
        <v>32.200000000000003</v>
      </c>
      <c r="V435" t="s">
        <v>2644</v>
      </c>
      <c r="W435" s="114" t="str">
        <f t="shared" si="18"/>
        <v>SOV</v>
      </c>
      <c r="X435" s="114" t="str">
        <f t="shared" si="19"/>
        <v>SOV</v>
      </c>
    </row>
    <row r="436" spans="1:24" hidden="1" x14ac:dyDescent="0.25">
      <c r="A436" s="114" t="str">
        <f t="shared" si="20"/>
        <v>SANT</v>
      </c>
      <c r="B436" t="s">
        <v>1955</v>
      </c>
      <c r="C436" t="s">
        <v>1956</v>
      </c>
      <c r="D436" t="s">
        <v>1957</v>
      </c>
      <c r="E436" t="s">
        <v>586</v>
      </c>
      <c r="F436" t="s">
        <v>1056</v>
      </c>
      <c r="G436" t="s">
        <v>1241</v>
      </c>
      <c r="H436" t="s">
        <v>6243</v>
      </c>
      <c r="I436" t="s">
        <v>90</v>
      </c>
      <c r="J436" t="s">
        <v>90</v>
      </c>
      <c r="K436">
        <v>214.7179222</v>
      </c>
      <c r="L436">
        <v>5.16658902</v>
      </c>
      <c r="M436">
        <v>4.8729852300000003</v>
      </c>
      <c r="N436">
        <v>5.2143199100000004</v>
      </c>
      <c r="O436">
        <v>4.7687223599999999</v>
      </c>
      <c r="P436">
        <v>16.970300000000002</v>
      </c>
      <c r="Q436">
        <v>427.13955795999999</v>
      </c>
      <c r="R436">
        <v>7.0826000000000002</v>
      </c>
      <c r="S436" t="s">
        <v>1063</v>
      </c>
      <c r="T436">
        <v>214.7179222</v>
      </c>
      <c r="U436" t="s">
        <v>2819</v>
      </c>
      <c r="V436" t="s">
        <v>1059</v>
      </c>
      <c r="W436" s="114" t="str">
        <f t="shared" si="18"/>
        <v>ETF</v>
      </c>
      <c r="X436" s="114" t="str">
        <f t="shared" si="19"/>
        <v>Otros ETFs</v>
      </c>
    </row>
    <row r="437" spans="1:24" hidden="1" x14ac:dyDescent="0.25">
      <c r="A437" s="114" t="str">
        <f t="shared" si="20"/>
        <v>1000</v>
      </c>
      <c r="B437" t="s">
        <v>2647</v>
      </c>
      <c r="C437" t="s">
        <v>2653</v>
      </c>
      <c r="D437" t="s">
        <v>4104</v>
      </c>
      <c r="E437" t="s">
        <v>151</v>
      </c>
      <c r="F437" t="s">
        <v>4810</v>
      </c>
      <c r="G437" t="s">
        <v>1198</v>
      </c>
      <c r="H437" t="s">
        <v>2643</v>
      </c>
      <c r="I437">
        <v>289221969059.85327</v>
      </c>
      <c r="J437">
        <v>69265213.388658002</v>
      </c>
      <c r="K437">
        <v>239.48807766510001</v>
      </c>
      <c r="L437"/>
      <c r="M437"/>
      <c r="N437"/>
      <c r="O437"/>
      <c r="P437"/>
      <c r="Q437"/>
      <c r="R437"/>
      <c r="S437"/>
      <c r="T437">
        <v>170.4198394</v>
      </c>
      <c r="U437">
        <v>32.200000000000003</v>
      </c>
      <c r="V437" t="s">
        <v>2644</v>
      </c>
      <c r="W437" s="114" t="str">
        <f t="shared" si="18"/>
        <v>SOV</v>
      </c>
      <c r="X437" s="114" t="str">
        <f t="shared" si="19"/>
        <v>SOV</v>
      </c>
    </row>
    <row r="438" spans="1:24" hidden="1" x14ac:dyDescent="0.25">
      <c r="A438" s="114" t="str">
        <f t="shared" si="20"/>
        <v>1000</v>
      </c>
      <c r="B438" t="s">
        <v>2647</v>
      </c>
      <c r="C438" t="s">
        <v>2654</v>
      </c>
      <c r="D438" t="s">
        <v>3416</v>
      </c>
      <c r="E438" t="s">
        <v>151</v>
      </c>
      <c r="F438" t="s">
        <v>4810</v>
      </c>
      <c r="G438" t="s">
        <v>1198</v>
      </c>
      <c r="H438" t="s">
        <v>2643</v>
      </c>
      <c r="I438">
        <v>289221969059.85327</v>
      </c>
      <c r="J438">
        <v>69265213.388658002</v>
      </c>
      <c r="K438">
        <v>239.48807766510001</v>
      </c>
      <c r="L438"/>
      <c r="M438"/>
      <c r="N438"/>
      <c r="O438"/>
      <c r="P438"/>
      <c r="Q438"/>
      <c r="R438"/>
      <c r="S438"/>
      <c r="T438">
        <v>170.4198394</v>
      </c>
      <c r="U438">
        <v>32.200000000000003</v>
      </c>
      <c r="V438" t="s">
        <v>2644</v>
      </c>
      <c r="W438" s="114" t="str">
        <f t="shared" si="18"/>
        <v>SOV</v>
      </c>
      <c r="X438" s="114" t="str">
        <f t="shared" si="19"/>
        <v>SOV</v>
      </c>
    </row>
    <row r="439" spans="1:24" hidden="1" x14ac:dyDescent="0.25">
      <c r="A439" s="114" t="str">
        <f t="shared" si="20"/>
        <v>7025</v>
      </c>
      <c r="B439" t="s">
        <v>5075</v>
      </c>
      <c r="C439" t="s">
        <v>1959</v>
      </c>
      <c r="D439" t="s">
        <v>1960</v>
      </c>
      <c r="E439" t="s">
        <v>586</v>
      </c>
      <c r="F439" t="s">
        <v>1056</v>
      </c>
      <c r="G439" t="s">
        <v>1265</v>
      </c>
      <c r="H439" t="s">
        <v>1829</v>
      </c>
      <c r="I439" t="s">
        <v>90</v>
      </c>
      <c r="J439" t="s">
        <v>90</v>
      </c>
      <c r="K439">
        <v>23.52139863</v>
      </c>
      <c r="L439">
        <v>5.2485955200000003</v>
      </c>
      <c r="M439">
        <v>4.40978125</v>
      </c>
      <c r="N439">
        <v>4.4364230899999999</v>
      </c>
      <c r="O439">
        <v>5.9950487600000004</v>
      </c>
      <c r="P439">
        <v>3.9013004934999998E-4</v>
      </c>
      <c r="Q439">
        <v>83.972696659999997</v>
      </c>
      <c r="R439">
        <v>20.28888517157414</v>
      </c>
      <c r="S439" t="s">
        <v>1063</v>
      </c>
      <c r="T439">
        <v>23.52139863</v>
      </c>
      <c r="U439" t="s">
        <v>2819</v>
      </c>
      <c r="V439" t="s">
        <v>1059</v>
      </c>
      <c r="W439" s="114" t="str">
        <f t="shared" si="18"/>
        <v>ETF</v>
      </c>
      <c r="X439" s="114" t="str">
        <f t="shared" si="19"/>
        <v>Otros ETFs</v>
      </c>
    </row>
    <row r="440" spans="1:24" hidden="1" x14ac:dyDescent="0.25">
      <c r="A440" s="114" t="str">
        <f t="shared" si="20"/>
        <v>7025</v>
      </c>
      <c r="B440" t="s">
        <v>5076</v>
      </c>
      <c r="C440" t="s">
        <v>1961</v>
      </c>
      <c r="D440" t="s">
        <v>1962</v>
      </c>
      <c r="E440" t="s">
        <v>586</v>
      </c>
      <c r="F440" t="s">
        <v>1056</v>
      </c>
      <c r="G440" t="s">
        <v>1290</v>
      </c>
      <c r="H440" t="s">
        <v>1291</v>
      </c>
      <c r="I440" t="s">
        <v>90</v>
      </c>
      <c r="J440" t="s">
        <v>90</v>
      </c>
      <c r="K440">
        <v>17.462506099999999</v>
      </c>
      <c r="L440">
        <v>6.3953620100000004</v>
      </c>
      <c r="M440">
        <v>5.9676064899999997</v>
      </c>
      <c r="N440">
        <v>5.3067502199999996</v>
      </c>
      <c r="O440">
        <v>5.0940033600000003</v>
      </c>
      <c r="P440">
        <v>19.492599999999999</v>
      </c>
      <c r="Q440">
        <v>66.811237939999998</v>
      </c>
      <c r="R440">
        <v>10.8108</v>
      </c>
      <c r="S440" t="s">
        <v>30</v>
      </c>
      <c r="T440">
        <v>17.462506099999999</v>
      </c>
      <c r="U440" t="s">
        <v>2819</v>
      </c>
      <c r="V440" t="s">
        <v>1059</v>
      </c>
      <c r="W440" s="114" t="str">
        <f t="shared" si="18"/>
        <v>ETF</v>
      </c>
      <c r="X440" s="114" t="str">
        <f t="shared" si="19"/>
        <v>Otros ETFs</v>
      </c>
    </row>
    <row r="441" spans="1:24" hidden="1" x14ac:dyDescent="0.25">
      <c r="A441" s="114" t="str">
        <f t="shared" si="20"/>
        <v>1000</v>
      </c>
      <c r="B441" t="s">
        <v>2647</v>
      </c>
      <c r="C441" t="s">
        <v>2656</v>
      </c>
      <c r="D441" t="s">
        <v>3413</v>
      </c>
      <c r="E441" t="s">
        <v>151</v>
      </c>
      <c r="F441" t="s">
        <v>4810</v>
      </c>
      <c r="G441" t="s">
        <v>1198</v>
      </c>
      <c r="H441" t="s">
        <v>2643</v>
      </c>
      <c r="I441">
        <v>289221969059.85327</v>
      </c>
      <c r="J441">
        <v>69265213.388658002</v>
      </c>
      <c r="K441">
        <v>239.48807766510001</v>
      </c>
      <c r="L441"/>
      <c r="M441"/>
      <c r="N441"/>
      <c r="O441"/>
      <c r="P441"/>
      <c r="Q441"/>
      <c r="R441"/>
      <c r="S441"/>
      <c r="T441">
        <v>170.4198394</v>
      </c>
      <c r="U441">
        <v>32.200000000000003</v>
      </c>
      <c r="V441" t="s">
        <v>2644</v>
      </c>
      <c r="W441" s="114" t="str">
        <f t="shared" si="18"/>
        <v>SOV</v>
      </c>
      <c r="X441" s="114" t="str">
        <f t="shared" si="19"/>
        <v>SOV</v>
      </c>
    </row>
    <row r="442" spans="1:24" hidden="1" x14ac:dyDescent="0.25">
      <c r="A442" s="114" t="str">
        <f t="shared" si="20"/>
        <v>7412</v>
      </c>
      <c r="B442" t="s">
        <v>1963</v>
      </c>
      <c r="C442" t="s">
        <v>1964</v>
      </c>
      <c r="D442" t="s">
        <v>1965</v>
      </c>
      <c r="E442" t="s">
        <v>586</v>
      </c>
      <c r="F442" t="s">
        <v>1056</v>
      </c>
      <c r="G442" t="s">
        <v>1071</v>
      </c>
      <c r="H442" t="s">
        <v>1966</v>
      </c>
      <c r="I442" t="s">
        <v>90</v>
      </c>
      <c r="J442" t="s">
        <v>90</v>
      </c>
      <c r="K442">
        <v>69.258129510000003</v>
      </c>
      <c r="L442">
        <v>6.4669973399999998</v>
      </c>
      <c r="M442">
        <v>6.2557531800000001</v>
      </c>
      <c r="N442">
        <v>5.1317788000000002</v>
      </c>
      <c r="O442">
        <v>5.9448757900000002</v>
      </c>
      <c r="P442">
        <v>17.59068198816389</v>
      </c>
      <c r="Q442">
        <v>168.12376186</v>
      </c>
      <c r="R442">
        <v>22.53128527441714</v>
      </c>
      <c r="S442" t="s">
        <v>30</v>
      </c>
      <c r="T442">
        <v>69.258129510000003</v>
      </c>
      <c r="U442" t="s">
        <v>2819</v>
      </c>
      <c r="V442" t="s">
        <v>1059</v>
      </c>
      <c r="W442" s="114" t="str">
        <f t="shared" si="18"/>
        <v>ETF</v>
      </c>
      <c r="X442" s="114" t="str">
        <f t="shared" si="19"/>
        <v>Otros ETFs</v>
      </c>
    </row>
    <row r="443" spans="1:24" hidden="1" x14ac:dyDescent="0.25">
      <c r="A443" s="114" t="str">
        <f t="shared" si="20"/>
        <v>1000</v>
      </c>
      <c r="B443" t="s">
        <v>2647</v>
      </c>
      <c r="C443" t="s">
        <v>526</v>
      </c>
      <c r="D443" t="s">
        <v>4061</v>
      </c>
      <c r="E443" t="s">
        <v>523</v>
      </c>
      <c r="F443" t="s">
        <v>4811</v>
      </c>
      <c r="G443" t="s">
        <v>1198</v>
      </c>
      <c r="H443" t="s">
        <v>2643</v>
      </c>
      <c r="I443">
        <v>289221969059.85327</v>
      </c>
      <c r="J443">
        <v>69265213.388658002</v>
      </c>
      <c r="K443">
        <v>239.48807766510001</v>
      </c>
      <c r="L443"/>
      <c r="M443"/>
      <c r="N443"/>
      <c r="O443"/>
      <c r="P443"/>
      <c r="Q443"/>
      <c r="R443"/>
      <c r="S443"/>
      <c r="T443">
        <v>170.4198394</v>
      </c>
      <c r="U443">
        <v>32.200000000000003</v>
      </c>
      <c r="V443" t="s">
        <v>2644</v>
      </c>
      <c r="W443" s="114" t="str">
        <f t="shared" si="18"/>
        <v>SOV</v>
      </c>
      <c r="X443" s="114" t="str">
        <f t="shared" si="19"/>
        <v>SOV</v>
      </c>
    </row>
    <row r="444" spans="1:24" hidden="1" x14ac:dyDescent="0.25">
      <c r="A444" s="114" t="str">
        <f t="shared" si="20"/>
        <v>1000</v>
      </c>
      <c r="B444" t="s">
        <v>2647</v>
      </c>
      <c r="C444" t="s">
        <v>528</v>
      </c>
      <c r="D444" t="s">
        <v>527</v>
      </c>
      <c r="E444" t="s">
        <v>523</v>
      </c>
      <c r="F444" t="s">
        <v>4811</v>
      </c>
      <c r="G444" t="s">
        <v>1198</v>
      </c>
      <c r="H444" t="s">
        <v>2643</v>
      </c>
      <c r="I444">
        <v>289221969059.85327</v>
      </c>
      <c r="J444">
        <v>69265213.388658002</v>
      </c>
      <c r="K444">
        <v>239.48807766510001</v>
      </c>
      <c r="L444"/>
      <c r="M444"/>
      <c r="N444"/>
      <c r="O444"/>
      <c r="P444"/>
      <c r="Q444"/>
      <c r="R444"/>
      <c r="S444"/>
      <c r="T444">
        <v>170.4198394</v>
      </c>
      <c r="U444">
        <v>32.200000000000003</v>
      </c>
      <c r="V444" t="s">
        <v>2644</v>
      </c>
      <c r="W444" s="114" t="str">
        <f t="shared" si="18"/>
        <v>SOV</v>
      </c>
      <c r="X444" s="114" t="str">
        <f t="shared" si="19"/>
        <v>SOV</v>
      </c>
    </row>
    <row r="445" spans="1:24" hidden="1" x14ac:dyDescent="0.25">
      <c r="A445" s="114" t="str">
        <f t="shared" si="20"/>
        <v>7088</v>
      </c>
      <c r="B445" t="s">
        <v>1968</v>
      </c>
      <c r="C445" t="s">
        <v>1969</v>
      </c>
      <c r="D445" t="s">
        <v>1970</v>
      </c>
      <c r="E445" t="s">
        <v>586</v>
      </c>
      <c r="F445" t="s">
        <v>1056</v>
      </c>
      <c r="G445" t="s">
        <v>1136</v>
      </c>
      <c r="H445" t="s">
        <v>6144</v>
      </c>
      <c r="I445" t="s">
        <v>90</v>
      </c>
      <c r="J445" t="s">
        <v>90</v>
      </c>
      <c r="K445">
        <v>24.00686546</v>
      </c>
      <c r="L445">
        <v>6.2949551699999997</v>
      </c>
      <c r="M445">
        <v>5.6648308199999997</v>
      </c>
      <c r="N445">
        <v>5.3448365400000002</v>
      </c>
      <c r="O445">
        <v>5.2683897399999999</v>
      </c>
      <c r="P445">
        <v>18.379653896690659</v>
      </c>
      <c r="Q445">
        <v>80.878434130000002</v>
      </c>
      <c r="R445">
        <v>7.6274084209236754</v>
      </c>
      <c r="S445" t="s">
        <v>30</v>
      </c>
      <c r="T445">
        <v>24.00686546</v>
      </c>
      <c r="U445" t="s">
        <v>2819</v>
      </c>
      <c r="V445" t="s">
        <v>1059</v>
      </c>
      <c r="W445" s="114" t="str">
        <f t="shared" si="18"/>
        <v>ETF</v>
      </c>
      <c r="X445" s="114" t="str">
        <f t="shared" si="19"/>
        <v>Otros ETFs</v>
      </c>
    </row>
    <row r="446" spans="1:24" hidden="1" x14ac:dyDescent="0.25">
      <c r="A446" s="114" t="str">
        <f t="shared" si="20"/>
        <v>7013</v>
      </c>
      <c r="B446" t="s">
        <v>1971</v>
      </c>
      <c r="C446" t="s">
        <v>1972</v>
      </c>
      <c r="D446" t="s">
        <v>1973</v>
      </c>
      <c r="E446" t="s">
        <v>586</v>
      </c>
      <c r="F446" t="s">
        <v>1056</v>
      </c>
      <c r="G446" t="s">
        <v>1375</v>
      </c>
      <c r="H446" t="s">
        <v>1376</v>
      </c>
      <c r="I446" t="s">
        <v>90</v>
      </c>
      <c r="J446" t="s">
        <v>90</v>
      </c>
      <c r="K446">
        <v>22.738107729999999</v>
      </c>
      <c r="L446">
        <v>7.0462196800000001</v>
      </c>
      <c r="M446">
        <v>5.7590097599999996</v>
      </c>
      <c r="N446">
        <v>5.5131809900000004</v>
      </c>
      <c r="O446">
        <v>6.1369913599999997</v>
      </c>
      <c r="P446">
        <v>3.2606999999999999</v>
      </c>
      <c r="Q446">
        <v>41.47264097</v>
      </c>
      <c r="R446">
        <v>29.457899999999999</v>
      </c>
      <c r="S446" t="s">
        <v>30</v>
      </c>
      <c r="T446">
        <v>22.738107729999999</v>
      </c>
      <c r="U446" t="s">
        <v>2819</v>
      </c>
      <c r="V446" t="s">
        <v>1059</v>
      </c>
      <c r="W446" s="114" t="str">
        <f t="shared" si="18"/>
        <v>ETF</v>
      </c>
      <c r="X446" s="114" t="str">
        <f t="shared" si="19"/>
        <v>Otros ETFs</v>
      </c>
    </row>
    <row r="447" spans="1:24" hidden="1" x14ac:dyDescent="0.25">
      <c r="A447" s="114" t="str">
        <f t="shared" si="20"/>
        <v>1000</v>
      </c>
      <c r="B447" t="s">
        <v>2647</v>
      </c>
      <c r="C447" t="s">
        <v>2657</v>
      </c>
      <c r="D447" t="s">
        <v>3419</v>
      </c>
      <c r="E447" t="s">
        <v>151</v>
      </c>
      <c r="F447" t="s">
        <v>4810</v>
      </c>
      <c r="G447" t="s">
        <v>1198</v>
      </c>
      <c r="H447" t="s">
        <v>2643</v>
      </c>
      <c r="I447">
        <v>289221969059.85327</v>
      </c>
      <c r="J447">
        <v>69265213.388658002</v>
      </c>
      <c r="K447">
        <v>239.48807766510001</v>
      </c>
      <c r="L447"/>
      <c r="M447"/>
      <c r="N447"/>
      <c r="O447"/>
      <c r="P447"/>
      <c r="Q447"/>
      <c r="R447"/>
      <c r="S447"/>
      <c r="T447">
        <v>170.4198394</v>
      </c>
      <c r="U447">
        <v>32.200000000000003</v>
      </c>
      <c r="V447" t="s">
        <v>2644</v>
      </c>
      <c r="W447" s="114" t="str">
        <f t="shared" si="18"/>
        <v>SOV</v>
      </c>
      <c r="X447" s="114" t="str">
        <f t="shared" si="19"/>
        <v>SOV</v>
      </c>
    </row>
    <row r="448" spans="1:24" hidden="1" x14ac:dyDescent="0.25">
      <c r="A448" s="114" t="str">
        <f t="shared" si="20"/>
        <v>7088</v>
      </c>
      <c r="B448" t="s">
        <v>1971</v>
      </c>
      <c r="C448" t="s">
        <v>1972</v>
      </c>
      <c r="D448" t="s">
        <v>6244</v>
      </c>
      <c r="E448" t="s">
        <v>586</v>
      </c>
      <c r="F448" t="s">
        <v>1056</v>
      </c>
      <c r="G448" t="s">
        <v>1375</v>
      </c>
      <c r="H448" t="s">
        <v>1376</v>
      </c>
      <c r="I448" t="s">
        <v>90</v>
      </c>
      <c r="J448" t="s">
        <v>90</v>
      </c>
      <c r="K448">
        <v>22.738107729999999</v>
      </c>
      <c r="L448">
        <v>7.0462196800000001</v>
      </c>
      <c r="M448">
        <v>5.7590097599999996</v>
      </c>
      <c r="N448">
        <v>5.5131809900000004</v>
      </c>
      <c r="O448">
        <v>6.1369913599999997</v>
      </c>
      <c r="P448">
        <v>3.2606999999999999</v>
      </c>
      <c r="Q448">
        <v>41.47264097</v>
      </c>
      <c r="R448">
        <v>29.457899999999999</v>
      </c>
      <c r="S448" t="s">
        <v>30</v>
      </c>
      <c r="T448">
        <v>22.738107729999999</v>
      </c>
      <c r="U448" t="s">
        <v>2819</v>
      </c>
      <c r="V448" t="s">
        <v>1059</v>
      </c>
      <c r="W448" s="114" t="str">
        <f t="shared" si="18"/>
        <v>ETF</v>
      </c>
      <c r="X448" s="114" t="str">
        <f t="shared" si="19"/>
        <v>Otros ETFs</v>
      </c>
    </row>
    <row r="449" spans="1:24" hidden="1" x14ac:dyDescent="0.25">
      <c r="A449" s="114" t="str">
        <f t="shared" si="20"/>
        <v>1000</v>
      </c>
      <c r="B449" t="s">
        <v>2647</v>
      </c>
      <c r="C449" t="s">
        <v>2658</v>
      </c>
      <c r="D449" t="s">
        <v>3421</v>
      </c>
      <c r="E449" t="s">
        <v>151</v>
      </c>
      <c r="F449" t="s">
        <v>4810</v>
      </c>
      <c r="G449" t="s">
        <v>1198</v>
      </c>
      <c r="H449" t="s">
        <v>2643</v>
      </c>
      <c r="I449">
        <v>289221969059.85327</v>
      </c>
      <c r="J449">
        <v>69265213.388658002</v>
      </c>
      <c r="K449">
        <v>239.48807766510001</v>
      </c>
      <c r="L449"/>
      <c r="M449"/>
      <c r="N449"/>
      <c r="O449"/>
      <c r="P449"/>
      <c r="Q449"/>
      <c r="R449"/>
      <c r="S449"/>
      <c r="T449">
        <v>170.4198394</v>
      </c>
      <c r="U449">
        <v>32.200000000000003</v>
      </c>
      <c r="V449" t="s">
        <v>2644</v>
      </c>
      <c r="W449" s="114" t="str">
        <f t="shared" si="18"/>
        <v>SOV</v>
      </c>
      <c r="X449" s="114" t="str">
        <f t="shared" si="19"/>
        <v>SOV</v>
      </c>
    </row>
    <row r="450" spans="1:24" hidden="1" x14ac:dyDescent="0.25">
      <c r="A450" s="114" t="str">
        <f t="shared" si="20"/>
        <v>1000</v>
      </c>
      <c r="B450" t="s">
        <v>2647</v>
      </c>
      <c r="C450" t="s">
        <v>2659</v>
      </c>
      <c r="D450" t="s">
        <v>3415</v>
      </c>
      <c r="E450" t="s">
        <v>151</v>
      </c>
      <c r="F450" t="s">
        <v>4810</v>
      </c>
      <c r="G450" t="s">
        <v>1198</v>
      </c>
      <c r="H450" t="s">
        <v>2643</v>
      </c>
      <c r="I450">
        <v>289221969059.85327</v>
      </c>
      <c r="J450">
        <v>69265213.388658002</v>
      </c>
      <c r="K450">
        <v>239.48807766510001</v>
      </c>
      <c r="L450"/>
      <c r="M450"/>
      <c r="N450"/>
      <c r="O450"/>
      <c r="P450"/>
      <c r="Q450"/>
      <c r="R450"/>
      <c r="S450"/>
      <c r="T450">
        <v>170.4198394</v>
      </c>
      <c r="U450">
        <v>32.200000000000003</v>
      </c>
      <c r="V450" t="s">
        <v>2644</v>
      </c>
      <c r="W450" s="114" t="str">
        <f t="shared" ref="W450:W513" si="21">IF(V450="ETF_ETY","ETF",IF(V450="ETF_SOV","ETF",IF(V450="RF_SOV","SOV",IF(V450="-","Cuestionario Integra","Portafolio"))))</f>
        <v>SOV</v>
      </c>
      <c r="X450" s="114" t="str">
        <f t="shared" ref="X450:X513" si="22">IF(V450="ETF_ETY","Otros ETFs",IF(V450="ETF_SOV","Soberanos",W450))</f>
        <v>SOV</v>
      </c>
    </row>
    <row r="451" spans="1:24" hidden="1" x14ac:dyDescent="0.25">
      <c r="A451" s="114" t="str">
        <f t="shared" ref="A451:A514" si="23">RIGHT(LEFT(D451,6),4)</f>
        <v>7088</v>
      </c>
      <c r="B451" t="s">
        <v>1974</v>
      </c>
      <c r="C451" t="s">
        <v>1975</v>
      </c>
      <c r="D451" t="s">
        <v>1976</v>
      </c>
      <c r="E451" t="s">
        <v>586</v>
      </c>
      <c r="F451" t="s">
        <v>1056</v>
      </c>
      <c r="G451" t="s">
        <v>1605</v>
      </c>
      <c r="H451" t="s">
        <v>1606</v>
      </c>
      <c r="I451" t="s">
        <v>90</v>
      </c>
      <c r="J451" t="s">
        <v>90</v>
      </c>
      <c r="K451">
        <v>34.922916209999997</v>
      </c>
      <c r="L451">
        <v>6.0779682499999996</v>
      </c>
      <c r="M451">
        <v>5.8090299700000001</v>
      </c>
      <c r="N451">
        <v>5.32164708</v>
      </c>
      <c r="O451">
        <v>5.1342072300000003</v>
      </c>
      <c r="P451">
        <v>18.885223430868709</v>
      </c>
      <c r="Q451">
        <v>92.018458229999993</v>
      </c>
      <c r="R451">
        <v>6.0816076152721052</v>
      </c>
      <c r="S451" t="s">
        <v>30</v>
      </c>
      <c r="T451">
        <v>34.922916209999997</v>
      </c>
      <c r="U451" t="s">
        <v>2819</v>
      </c>
      <c r="V451" t="s">
        <v>1059</v>
      </c>
      <c r="W451" s="114" t="str">
        <f t="shared" si="21"/>
        <v>ETF</v>
      </c>
      <c r="X451" s="114" t="str">
        <f t="shared" si="22"/>
        <v>Otros ETFs</v>
      </c>
    </row>
    <row r="452" spans="1:24" hidden="1" x14ac:dyDescent="0.25">
      <c r="A452" s="114" t="str">
        <f t="shared" si="23"/>
        <v>7080</v>
      </c>
      <c r="B452" t="s">
        <v>1977</v>
      </c>
      <c r="C452" t="s">
        <v>1978</v>
      </c>
      <c r="D452" t="s">
        <v>1979</v>
      </c>
      <c r="E452" t="s">
        <v>586</v>
      </c>
      <c r="F452" t="s">
        <v>1056</v>
      </c>
      <c r="G452" t="s">
        <v>1136</v>
      </c>
      <c r="H452" t="s">
        <v>1494</v>
      </c>
      <c r="I452" t="s">
        <v>90</v>
      </c>
      <c r="J452" t="s">
        <v>90</v>
      </c>
      <c r="K452">
        <v>3.5364386300000001</v>
      </c>
      <c r="L452">
        <v>4.3732872900000004</v>
      </c>
      <c r="M452">
        <v>5.0681028000000001</v>
      </c>
      <c r="N452">
        <v>5.7673251900000002</v>
      </c>
      <c r="O452">
        <v>5.4978064</v>
      </c>
      <c r="P452">
        <v>0.78744638094988395</v>
      </c>
      <c r="Q452">
        <v>27.909982899999999</v>
      </c>
      <c r="R452">
        <v>0.11892256159197701</v>
      </c>
      <c r="S452" t="s">
        <v>1063</v>
      </c>
      <c r="T452">
        <v>3.5364386300000001</v>
      </c>
      <c r="U452" t="s">
        <v>2819</v>
      </c>
      <c r="V452" t="s">
        <v>1059</v>
      </c>
      <c r="W452" s="114" t="str">
        <f t="shared" si="21"/>
        <v>ETF</v>
      </c>
      <c r="X452" s="114" t="str">
        <f t="shared" si="22"/>
        <v>Otros ETFs</v>
      </c>
    </row>
    <row r="453" spans="1:24" hidden="1" x14ac:dyDescent="0.25">
      <c r="A453" s="114" t="str">
        <f t="shared" si="23"/>
        <v>1000</v>
      </c>
      <c r="B453" t="s">
        <v>2647</v>
      </c>
      <c r="C453" t="s">
        <v>2660</v>
      </c>
      <c r="D453" t="s">
        <v>6245</v>
      </c>
      <c r="E453" t="s">
        <v>151</v>
      </c>
      <c r="F453" t="s">
        <v>4810</v>
      </c>
      <c r="G453" t="s">
        <v>1198</v>
      </c>
      <c r="H453" t="s">
        <v>2643</v>
      </c>
      <c r="I453">
        <v>289221969059.85327</v>
      </c>
      <c r="J453">
        <v>69265213.388658002</v>
      </c>
      <c r="K453">
        <v>239.48807766510001</v>
      </c>
      <c r="L453"/>
      <c r="M453"/>
      <c r="N453"/>
      <c r="O453"/>
      <c r="P453"/>
      <c r="Q453"/>
      <c r="R453"/>
      <c r="S453"/>
      <c r="T453">
        <v>170.4198394</v>
      </c>
      <c r="U453">
        <v>32.200000000000003</v>
      </c>
      <c r="V453" t="s">
        <v>2644</v>
      </c>
      <c r="W453" s="114" t="str">
        <f t="shared" si="21"/>
        <v>SOV</v>
      </c>
      <c r="X453" s="114" t="str">
        <f t="shared" si="22"/>
        <v>SOV</v>
      </c>
    </row>
    <row r="454" spans="1:24" hidden="1" x14ac:dyDescent="0.25">
      <c r="A454" s="114" t="str">
        <f t="shared" si="23"/>
        <v>7046</v>
      </c>
      <c r="B454" t="s">
        <v>1980</v>
      </c>
      <c r="C454" t="s">
        <v>1981</v>
      </c>
      <c r="D454" t="s">
        <v>1982</v>
      </c>
      <c r="E454" t="s">
        <v>586</v>
      </c>
      <c r="F454" t="s">
        <v>1056</v>
      </c>
      <c r="G454" t="s">
        <v>1501</v>
      </c>
      <c r="H454" t="s">
        <v>1502</v>
      </c>
      <c r="I454" t="s">
        <v>90</v>
      </c>
      <c r="J454" t="s">
        <v>90</v>
      </c>
      <c r="K454">
        <v>62.3909843</v>
      </c>
      <c r="L454">
        <v>5.9151539900000003</v>
      </c>
      <c r="M454">
        <v>5.4932331100000003</v>
      </c>
      <c r="N454">
        <v>4.6177603500000002</v>
      </c>
      <c r="O454">
        <v>5.16175052</v>
      </c>
      <c r="P454">
        <v>12.26471772348228</v>
      </c>
      <c r="Q454">
        <v>192.53936021000001</v>
      </c>
      <c r="R454">
        <v>26.024462689337309</v>
      </c>
      <c r="S454" t="s">
        <v>30</v>
      </c>
      <c r="T454">
        <v>62.3909843</v>
      </c>
      <c r="U454" t="s">
        <v>2819</v>
      </c>
      <c r="V454" t="s">
        <v>1059</v>
      </c>
      <c r="W454" s="114" t="str">
        <f t="shared" si="21"/>
        <v>ETF</v>
      </c>
      <c r="X454" s="114" t="str">
        <f t="shared" si="22"/>
        <v>Otros ETFs</v>
      </c>
    </row>
    <row r="455" spans="1:24" hidden="1" x14ac:dyDescent="0.25">
      <c r="A455" s="114" t="str">
        <f t="shared" si="23"/>
        <v>1000</v>
      </c>
      <c r="B455" t="s">
        <v>2647</v>
      </c>
      <c r="C455" t="s">
        <v>5806</v>
      </c>
      <c r="D455" t="s">
        <v>5807</v>
      </c>
      <c r="E455" t="s">
        <v>151</v>
      </c>
      <c r="F455" t="s">
        <v>4810</v>
      </c>
      <c r="G455" t="s">
        <v>1198</v>
      </c>
      <c r="H455" t="s">
        <v>2643</v>
      </c>
      <c r="I455">
        <v>289221969059.85327</v>
      </c>
      <c r="J455">
        <v>69265213.388658002</v>
      </c>
      <c r="K455">
        <v>239.48807766510001</v>
      </c>
      <c r="L455"/>
      <c r="M455"/>
      <c r="N455"/>
      <c r="O455"/>
      <c r="P455"/>
      <c r="Q455"/>
      <c r="R455"/>
      <c r="S455"/>
      <c r="T455">
        <v>170.4198394</v>
      </c>
      <c r="U455">
        <v>32.200000000000003</v>
      </c>
      <c r="V455" t="s">
        <v>2644</v>
      </c>
      <c r="W455" s="114" t="str">
        <f t="shared" si="21"/>
        <v>SOV</v>
      </c>
      <c r="X455" s="114" t="str">
        <f t="shared" si="22"/>
        <v>SOV</v>
      </c>
    </row>
    <row r="456" spans="1:24" hidden="1" x14ac:dyDescent="0.25">
      <c r="A456" s="114" t="str">
        <f t="shared" si="23"/>
        <v>7456</v>
      </c>
      <c r="B456" t="s">
        <v>6246</v>
      </c>
      <c r="C456" t="s">
        <v>1984</v>
      </c>
      <c r="D456" t="s">
        <v>1985</v>
      </c>
      <c r="E456" t="s">
        <v>586</v>
      </c>
      <c r="F456" t="s">
        <v>1056</v>
      </c>
      <c r="G456" t="s">
        <v>1163</v>
      </c>
      <c r="H456" t="s">
        <v>1164</v>
      </c>
      <c r="I456" t="s">
        <v>90</v>
      </c>
      <c r="J456" t="s">
        <v>90</v>
      </c>
      <c r="K456">
        <v>49.744520399999999</v>
      </c>
      <c r="L456">
        <v>8.3462460099999998</v>
      </c>
      <c r="M456">
        <v>6.5924434300000003</v>
      </c>
      <c r="N456">
        <v>5.4060814099999996</v>
      </c>
      <c r="O456">
        <v>7.0547735999999999</v>
      </c>
      <c r="P456">
        <v>20.931469980742872</v>
      </c>
      <c r="Q456">
        <v>117.27883371999999</v>
      </c>
      <c r="R456">
        <v>70.346718152114335</v>
      </c>
      <c r="S456" t="s">
        <v>1073</v>
      </c>
      <c r="T456">
        <v>49.744520399999999</v>
      </c>
      <c r="U456" t="s">
        <v>2819</v>
      </c>
      <c r="V456" t="s">
        <v>1059</v>
      </c>
      <c r="W456" s="114" t="str">
        <f t="shared" si="21"/>
        <v>ETF</v>
      </c>
      <c r="X456" s="114" t="str">
        <f t="shared" si="22"/>
        <v>Otros ETFs</v>
      </c>
    </row>
    <row r="457" spans="1:24" hidden="1" x14ac:dyDescent="0.25">
      <c r="A457" s="114" t="str">
        <f t="shared" si="23"/>
        <v>1000</v>
      </c>
      <c r="B457" t="s">
        <v>2647</v>
      </c>
      <c r="C457" t="s">
        <v>2661</v>
      </c>
      <c r="D457" t="s">
        <v>3409</v>
      </c>
      <c r="E457" t="s">
        <v>151</v>
      </c>
      <c r="F457" t="s">
        <v>4810</v>
      </c>
      <c r="G457" t="s">
        <v>1198</v>
      </c>
      <c r="H457" t="s">
        <v>2643</v>
      </c>
      <c r="I457">
        <v>289221969059.85327</v>
      </c>
      <c r="J457">
        <v>69265213.388658002</v>
      </c>
      <c r="K457">
        <v>239.48807766510001</v>
      </c>
      <c r="L457"/>
      <c r="M457"/>
      <c r="N457"/>
      <c r="O457"/>
      <c r="P457"/>
      <c r="Q457"/>
      <c r="R457"/>
      <c r="S457"/>
      <c r="T457">
        <v>170.4198394</v>
      </c>
      <c r="U457">
        <v>32.200000000000003</v>
      </c>
      <c r="V457" t="s">
        <v>2644</v>
      </c>
      <c r="W457" s="114" t="str">
        <f t="shared" si="21"/>
        <v>SOV</v>
      </c>
      <c r="X457" s="114" t="str">
        <f t="shared" si="22"/>
        <v>SOV</v>
      </c>
    </row>
    <row r="458" spans="1:24" hidden="1" x14ac:dyDescent="0.25">
      <c r="A458" s="114" t="str">
        <f t="shared" si="23"/>
        <v>JUPI</v>
      </c>
      <c r="B458" t="s">
        <v>6246</v>
      </c>
      <c r="C458" t="s">
        <v>1984</v>
      </c>
      <c r="D458" t="s">
        <v>1986</v>
      </c>
      <c r="E458" t="s">
        <v>586</v>
      </c>
      <c r="F458" t="s">
        <v>1056</v>
      </c>
      <c r="G458" t="s">
        <v>1163</v>
      </c>
      <c r="H458" t="s">
        <v>1164</v>
      </c>
      <c r="I458" t="s">
        <v>90</v>
      </c>
      <c r="J458" t="s">
        <v>90</v>
      </c>
      <c r="K458">
        <v>49.744520399999999</v>
      </c>
      <c r="L458">
        <v>8.3462460099999998</v>
      </c>
      <c r="M458">
        <v>6.5924434300000003</v>
      </c>
      <c r="N458">
        <v>5.4060814099999996</v>
      </c>
      <c r="O458">
        <v>7.0547735999999999</v>
      </c>
      <c r="P458">
        <v>20.931469980742872</v>
      </c>
      <c r="Q458">
        <v>117.27883371999999</v>
      </c>
      <c r="R458">
        <v>70.346718152114335</v>
      </c>
      <c r="S458" t="s">
        <v>1073</v>
      </c>
      <c r="T458">
        <v>49.744520399999999</v>
      </c>
      <c r="U458" t="s">
        <v>2819</v>
      </c>
      <c r="V458" t="s">
        <v>1059</v>
      </c>
      <c r="W458" s="114" t="str">
        <f t="shared" si="21"/>
        <v>ETF</v>
      </c>
      <c r="X458" s="114" t="str">
        <f t="shared" si="22"/>
        <v>Otros ETFs</v>
      </c>
    </row>
    <row r="459" spans="1:24" hidden="1" x14ac:dyDescent="0.25">
      <c r="A459" s="114" t="str">
        <f t="shared" si="23"/>
        <v>1000</v>
      </c>
      <c r="B459" t="s">
        <v>2647</v>
      </c>
      <c r="C459" t="s">
        <v>2662</v>
      </c>
      <c r="D459" t="s">
        <v>3410</v>
      </c>
      <c r="E459" t="s">
        <v>151</v>
      </c>
      <c r="F459" t="s">
        <v>4810</v>
      </c>
      <c r="G459" t="s">
        <v>1198</v>
      </c>
      <c r="H459" t="s">
        <v>2643</v>
      </c>
      <c r="I459">
        <v>289221969059.85327</v>
      </c>
      <c r="J459">
        <v>69265213.388658002</v>
      </c>
      <c r="K459">
        <v>239.48807766510001</v>
      </c>
      <c r="L459"/>
      <c r="M459"/>
      <c r="N459"/>
      <c r="O459"/>
      <c r="P459"/>
      <c r="Q459"/>
      <c r="R459"/>
      <c r="S459"/>
      <c r="T459">
        <v>170.4198394</v>
      </c>
      <c r="U459">
        <v>32.200000000000003</v>
      </c>
      <c r="V459" t="s">
        <v>2644</v>
      </c>
      <c r="W459" s="114" t="str">
        <f t="shared" si="21"/>
        <v>SOV</v>
      </c>
      <c r="X459" s="114" t="str">
        <f t="shared" si="22"/>
        <v>SOV</v>
      </c>
    </row>
    <row r="460" spans="1:24" hidden="1" x14ac:dyDescent="0.25">
      <c r="A460" s="114" t="str">
        <f t="shared" si="23"/>
        <v>1000</v>
      </c>
      <c r="B460" t="s">
        <v>2647</v>
      </c>
      <c r="C460" t="s">
        <v>2663</v>
      </c>
      <c r="D460" t="s">
        <v>3411</v>
      </c>
      <c r="E460" t="s">
        <v>151</v>
      </c>
      <c r="F460" t="s">
        <v>4810</v>
      </c>
      <c r="G460" t="s">
        <v>1198</v>
      </c>
      <c r="H460" t="s">
        <v>2643</v>
      </c>
      <c r="I460">
        <v>289221969059.85327</v>
      </c>
      <c r="J460">
        <v>69265213.388658002</v>
      </c>
      <c r="K460">
        <v>239.48807766510001</v>
      </c>
      <c r="L460"/>
      <c r="M460"/>
      <c r="N460"/>
      <c r="O460"/>
      <c r="P460"/>
      <c r="Q460"/>
      <c r="R460"/>
      <c r="S460"/>
      <c r="T460">
        <v>170.4198394</v>
      </c>
      <c r="U460">
        <v>32.200000000000003</v>
      </c>
      <c r="V460" t="s">
        <v>2644</v>
      </c>
      <c r="W460" s="114" t="str">
        <f t="shared" si="21"/>
        <v>SOV</v>
      </c>
      <c r="X460" s="114" t="str">
        <f t="shared" si="22"/>
        <v>SOV</v>
      </c>
    </row>
    <row r="461" spans="1:24" hidden="1" x14ac:dyDescent="0.25">
      <c r="A461" s="114" t="str">
        <f t="shared" si="23"/>
        <v>7408</v>
      </c>
      <c r="B461" t="s">
        <v>5805</v>
      </c>
      <c r="C461" t="s">
        <v>5401</v>
      </c>
      <c r="D461" t="s">
        <v>5402</v>
      </c>
      <c r="E461" t="s">
        <v>586</v>
      </c>
      <c r="F461" t="s">
        <v>1056</v>
      </c>
      <c r="G461" t="s">
        <v>1501</v>
      </c>
      <c r="H461" t="s">
        <v>1502</v>
      </c>
      <c r="I461" t="s">
        <v>90</v>
      </c>
      <c r="J461" t="s">
        <v>90</v>
      </c>
      <c r="K461">
        <v>29.65941153</v>
      </c>
      <c r="L461">
        <v>5.6447425200000003</v>
      </c>
      <c r="M461">
        <v>5.6572804100000003</v>
      </c>
      <c r="N461">
        <v>4.6818208800000001</v>
      </c>
      <c r="O461">
        <v>4.9107192800000004</v>
      </c>
      <c r="P461">
        <v>5.6581989573379934</v>
      </c>
      <c r="Q461">
        <v>125.74313558999999</v>
      </c>
      <c r="R461">
        <v>22.569523177693171</v>
      </c>
      <c r="S461" t="s">
        <v>1063</v>
      </c>
      <c r="T461">
        <v>29.65941153</v>
      </c>
      <c r="U461" t="s">
        <v>2819</v>
      </c>
      <c r="V461" t="s">
        <v>1059</v>
      </c>
      <c r="W461" s="114" t="str">
        <f t="shared" si="21"/>
        <v>ETF</v>
      </c>
      <c r="X461" s="114" t="str">
        <f t="shared" si="22"/>
        <v>Otros ETFs</v>
      </c>
    </row>
    <row r="462" spans="1:24" hidden="1" x14ac:dyDescent="0.25">
      <c r="A462" s="114" t="str">
        <f t="shared" si="23"/>
        <v>1000</v>
      </c>
      <c r="B462" t="s">
        <v>2647</v>
      </c>
      <c r="C462" t="s">
        <v>2664</v>
      </c>
      <c r="D462" t="s">
        <v>3420</v>
      </c>
      <c r="E462" t="s">
        <v>151</v>
      </c>
      <c r="F462" t="s">
        <v>4810</v>
      </c>
      <c r="G462" t="s">
        <v>1198</v>
      </c>
      <c r="H462" t="s">
        <v>2643</v>
      </c>
      <c r="I462">
        <v>289221969059.85327</v>
      </c>
      <c r="J462">
        <v>69265213.388658002</v>
      </c>
      <c r="K462">
        <v>239.48807766510001</v>
      </c>
      <c r="L462"/>
      <c r="M462"/>
      <c r="N462"/>
      <c r="O462"/>
      <c r="P462"/>
      <c r="Q462"/>
      <c r="R462"/>
      <c r="S462"/>
      <c r="T462">
        <v>170.4198394</v>
      </c>
      <c r="U462">
        <v>32.200000000000003</v>
      </c>
      <c r="V462" t="s">
        <v>2644</v>
      </c>
      <c r="W462" s="114" t="str">
        <f t="shared" si="21"/>
        <v>SOV</v>
      </c>
      <c r="X462" s="114" t="str">
        <f t="shared" si="22"/>
        <v>SOV</v>
      </c>
    </row>
    <row r="463" spans="1:24" hidden="1" x14ac:dyDescent="0.25">
      <c r="A463" s="114" t="str">
        <f t="shared" si="23"/>
        <v>7046</v>
      </c>
      <c r="B463" t="s">
        <v>1987</v>
      </c>
      <c r="C463" t="s">
        <v>1988</v>
      </c>
      <c r="D463" t="s">
        <v>1989</v>
      </c>
      <c r="E463" t="s">
        <v>586</v>
      </c>
      <c r="F463" t="s">
        <v>1056</v>
      </c>
      <c r="G463" t="s">
        <v>1136</v>
      </c>
      <c r="H463" t="s">
        <v>1494</v>
      </c>
      <c r="I463" t="s">
        <v>90</v>
      </c>
      <c r="J463" t="s">
        <v>90</v>
      </c>
      <c r="K463">
        <v>4.7606681799999997</v>
      </c>
      <c r="L463">
        <v>5.1992058700000001</v>
      </c>
      <c r="M463">
        <v>4.9111332000000001</v>
      </c>
      <c r="N463">
        <v>6.4357925500000004</v>
      </c>
      <c r="O463">
        <v>5.6899940999999998</v>
      </c>
      <c r="P463">
        <v>1.0502806794228161</v>
      </c>
      <c r="Q463">
        <v>14.511028550000001</v>
      </c>
      <c r="R463">
        <v>0.439189597538095</v>
      </c>
      <c r="S463" t="s">
        <v>1063</v>
      </c>
      <c r="T463">
        <v>4.7606681799999997</v>
      </c>
      <c r="U463" t="s">
        <v>2819</v>
      </c>
      <c r="V463" t="s">
        <v>1059</v>
      </c>
      <c r="W463" s="114" t="str">
        <f t="shared" si="21"/>
        <v>ETF</v>
      </c>
      <c r="X463" s="114" t="str">
        <f t="shared" si="22"/>
        <v>Otros ETFs</v>
      </c>
    </row>
    <row r="464" spans="1:24" hidden="1" x14ac:dyDescent="0.25">
      <c r="A464" s="114" t="str">
        <f t="shared" si="23"/>
        <v>1000</v>
      </c>
      <c r="B464" t="s">
        <v>2647</v>
      </c>
      <c r="C464" t="s">
        <v>2665</v>
      </c>
      <c r="D464" t="s">
        <v>3407</v>
      </c>
      <c r="E464" t="s">
        <v>151</v>
      </c>
      <c r="F464" t="s">
        <v>4810</v>
      </c>
      <c r="G464" t="s">
        <v>1198</v>
      </c>
      <c r="H464" t="s">
        <v>2643</v>
      </c>
      <c r="I464">
        <v>289221969059.85327</v>
      </c>
      <c r="J464">
        <v>69265213.388658002</v>
      </c>
      <c r="K464">
        <v>239.48807766510001</v>
      </c>
      <c r="L464"/>
      <c r="M464"/>
      <c r="N464"/>
      <c r="O464"/>
      <c r="P464"/>
      <c r="Q464"/>
      <c r="R464"/>
      <c r="S464"/>
      <c r="T464">
        <v>170.4198394</v>
      </c>
      <c r="U464">
        <v>32.200000000000003</v>
      </c>
      <c r="V464" t="s">
        <v>2644</v>
      </c>
      <c r="W464" s="114" t="str">
        <f t="shared" si="21"/>
        <v>SOV</v>
      </c>
      <c r="X464" s="114" t="str">
        <f t="shared" si="22"/>
        <v>SOV</v>
      </c>
    </row>
    <row r="465" spans="1:24" hidden="1" x14ac:dyDescent="0.25">
      <c r="A465" s="114" t="str">
        <f t="shared" si="23"/>
        <v>7041</v>
      </c>
      <c r="B465" t="s">
        <v>1990</v>
      </c>
      <c r="C465" t="s">
        <v>1991</v>
      </c>
      <c r="D465" t="s">
        <v>1992</v>
      </c>
      <c r="E465" t="s">
        <v>586</v>
      </c>
      <c r="F465" t="s">
        <v>1056</v>
      </c>
      <c r="G465" t="s">
        <v>1071</v>
      </c>
      <c r="H465" t="s">
        <v>1993</v>
      </c>
      <c r="I465" t="s">
        <v>90</v>
      </c>
      <c r="J465" t="s">
        <v>90</v>
      </c>
      <c r="K465">
        <v>158.73289281999999</v>
      </c>
      <c r="L465">
        <v>6.5477044900000001</v>
      </c>
      <c r="M465">
        <v>4.4575514299999996</v>
      </c>
      <c r="N465">
        <v>4.9810753700000001</v>
      </c>
      <c r="O465">
        <v>6.2554768999999997</v>
      </c>
      <c r="P465">
        <v>28.012584037752109</v>
      </c>
      <c r="Q465">
        <v>295.69799317000002</v>
      </c>
      <c r="R465">
        <v>34.59450378351135</v>
      </c>
      <c r="S465" t="s">
        <v>30</v>
      </c>
      <c r="T465">
        <v>158.73289281999999</v>
      </c>
      <c r="U465" t="s">
        <v>2819</v>
      </c>
      <c r="V465" t="s">
        <v>1059</v>
      </c>
      <c r="W465" s="114" t="str">
        <f t="shared" si="21"/>
        <v>ETF</v>
      </c>
      <c r="X465" s="114" t="str">
        <f t="shared" si="22"/>
        <v>Otros ETFs</v>
      </c>
    </row>
    <row r="466" spans="1:24" hidden="1" x14ac:dyDescent="0.25">
      <c r="A466" s="114" t="str">
        <f t="shared" si="23"/>
        <v>1000</v>
      </c>
      <c r="B466" t="s">
        <v>2647</v>
      </c>
      <c r="C466" t="s">
        <v>2666</v>
      </c>
      <c r="D466" t="s">
        <v>3408</v>
      </c>
      <c r="E466" t="s">
        <v>151</v>
      </c>
      <c r="F466" t="s">
        <v>4810</v>
      </c>
      <c r="G466" t="s">
        <v>1198</v>
      </c>
      <c r="H466" t="s">
        <v>2643</v>
      </c>
      <c r="I466">
        <v>289221969059.85327</v>
      </c>
      <c r="J466">
        <v>69265213.388658002</v>
      </c>
      <c r="K466">
        <v>239.48807766510001</v>
      </c>
      <c r="L466"/>
      <c r="M466"/>
      <c r="N466"/>
      <c r="O466"/>
      <c r="P466"/>
      <c r="Q466"/>
      <c r="R466"/>
      <c r="S466"/>
      <c r="T466">
        <v>170.4198394</v>
      </c>
      <c r="U466">
        <v>32.200000000000003</v>
      </c>
      <c r="V466" t="s">
        <v>2644</v>
      </c>
      <c r="W466" s="114" t="str">
        <f t="shared" si="21"/>
        <v>SOV</v>
      </c>
      <c r="X466" s="114" t="str">
        <f t="shared" si="22"/>
        <v>SOV</v>
      </c>
    </row>
    <row r="467" spans="1:24" hidden="1" x14ac:dyDescent="0.25">
      <c r="A467" s="114" t="str">
        <f t="shared" si="23"/>
        <v>7043</v>
      </c>
      <c r="B467" t="s">
        <v>1994</v>
      </c>
      <c r="C467" t="s">
        <v>1995</v>
      </c>
      <c r="D467" t="s">
        <v>1996</v>
      </c>
      <c r="E467" t="s">
        <v>586</v>
      </c>
      <c r="F467" t="s">
        <v>1056</v>
      </c>
      <c r="G467" t="s">
        <v>1057</v>
      </c>
      <c r="H467" t="s">
        <v>1288</v>
      </c>
      <c r="I467" t="s">
        <v>90</v>
      </c>
      <c r="J467" t="s">
        <v>90</v>
      </c>
      <c r="K467">
        <v>77.950528070000004</v>
      </c>
      <c r="L467">
        <v>6.0726595899999998</v>
      </c>
      <c r="M467">
        <v>5.0633956700000002</v>
      </c>
      <c r="N467">
        <v>5.10397795</v>
      </c>
      <c r="O467">
        <v>5.9543385200000003</v>
      </c>
      <c r="P467">
        <v>1.6216133377897719</v>
      </c>
      <c r="Q467">
        <v>178.12941255000001</v>
      </c>
      <c r="R467">
        <v>8.767410395664605</v>
      </c>
      <c r="S467" t="s">
        <v>30</v>
      </c>
      <c r="T467">
        <v>77.950528070000004</v>
      </c>
      <c r="U467" t="s">
        <v>2819</v>
      </c>
      <c r="V467" t="s">
        <v>1059</v>
      </c>
      <c r="W467" s="114" t="str">
        <f t="shared" si="21"/>
        <v>ETF</v>
      </c>
      <c r="X467" s="114" t="str">
        <f t="shared" si="22"/>
        <v>Otros ETFs</v>
      </c>
    </row>
    <row r="468" spans="1:24" hidden="1" x14ac:dyDescent="0.25">
      <c r="A468" s="114" t="str">
        <f t="shared" si="23"/>
        <v>1000</v>
      </c>
      <c r="B468" t="s">
        <v>2647</v>
      </c>
      <c r="C468" t="s">
        <v>923</v>
      </c>
      <c r="D468" t="s">
        <v>922</v>
      </c>
      <c r="E468" t="s">
        <v>523</v>
      </c>
      <c r="F468" t="s">
        <v>4811</v>
      </c>
      <c r="G468" t="s">
        <v>1198</v>
      </c>
      <c r="H468" t="s">
        <v>2643</v>
      </c>
      <c r="I468">
        <v>289221969059.85327</v>
      </c>
      <c r="J468">
        <v>69265213.388658002</v>
      </c>
      <c r="K468">
        <v>239.48807766510001</v>
      </c>
      <c r="L468"/>
      <c r="M468"/>
      <c r="N468"/>
      <c r="O468"/>
      <c r="P468"/>
      <c r="Q468"/>
      <c r="R468"/>
      <c r="S468"/>
      <c r="T468">
        <v>170.4198394</v>
      </c>
      <c r="U468">
        <v>32.200000000000003</v>
      </c>
      <c r="V468" t="s">
        <v>2644</v>
      </c>
      <c r="W468" s="114" t="str">
        <f t="shared" si="21"/>
        <v>SOV</v>
      </c>
      <c r="X468" s="114" t="str">
        <f t="shared" si="22"/>
        <v>SOV</v>
      </c>
    </row>
    <row r="469" spans="1:24" hidden="1" x14ac:dyDescent="0.25">
      <c r="A469" s="114" t="str">
        <f t="shared" si="23"/>
        <v>7019</v>
      </c>
      <c r="B469" t="s">
        <v>1997</v>
      </c>
      <c r="C469" t="s">
        <v>1998</v>
      </c>
      <c r="D469" t="s">
        <v>1999</v>
      </c>
      <c r="E469" t="s">
        <v>586</v>
      </c>
      <c r="F469" t="s">
        <v>1056</v>
      </c>
      <c r="G469" t="s">
        <v>1501</v>
      </c>
      <c r="H469" t="s">
        <v>1502</v>
      </c>
      <c r="I469" t="s">
        <v>90</v>
      </c>
      <c r="J469" t="s">
        <v>90</v>
      </c>
      <c r="K469">
        <v>45.043357520000001</v>
      </c>
      <c r="L469">
        <v>5.6155568000000002</v>
      </c>
      <c r="M469">
        <v>5.4549773799999999</v>
      </c>
      <c r="N469">
        <v>4.7473723999999997</v>
      </c>
      <c r="O469">
        <v>4.7014681200000004</v>
      </c>
      <c r="P469">
        <v>11.558778309778241</v>
      </c>
      <c r="Q469">
        <v>97.424388339999993</v>
      </c>
      <c r="R469">
        <v>20.379986390883229</v>
      </c>
      <c r="S469" t="s">
        <v>1063</v>
      </c>
      <c r="T469">
        <v>45.043357520000001</v>
      </c>
      <c r="U469" t="s">
        <v>2819</v>
      </c>
      <c r="V469" t="s">
        <v>1059</v>
      </c>
      <c r="W469" s="114" t="str">
        <f t="shared" si="21"/>
        <v>ETF</v>
      </c>
      <c r="X469" s="114" t="str">
        <f t="shared" si="22"/>
        <v>Otros ETFs</v>
      </c>
    </row>
    <row r="470" spans="1:24" hidden="1" x14ac:dyDescent="0.25">
      <c r="A470" s="114" t="str">
        <f t="shared" si="23"/>
        <v>1000</v>
      </c>
      <c r="B470" t="s">
        <v>2647</v>
      </c>
      <c r="C470" t="s">
        <v>5403</v>
      </c>
      <c r="D470" t="s">
        <v>5404</v>
      </c>
      <c r="E470" t="s">
        <v>151</v>
      </c>
      <c r="F470" t="s">
        <v>4810</v>
      </c>
      <c r="G470" t="s">
        <v>1198</v>
      </c>
      <c r="H470" t="s">
        <v>2643</v>
      </c>
      <c r="I470">
        <v>289221969059.85327</v>
      </c>
      <c r="J470">
        <v>69265213.388658002</v>
      </c>
      <c r="K470">
        <v>239.48807766510001</v>
      </c>
      <c r="L470"/>
      <c r="M470"/>
      <c r="N470"/>
      <c r="O470"/>
      <c r="P470"/>
      <c r="Q470"/>
      <c r="R470"/>
      <c r="S470"/>
      <c r="T470">
        <v>170.4198394</v>
      </c>
      <c r="U470">
        <v>32.200000000000003</v>
      </c>
      <c r="V470" t="s">
        <v>2644</v>
      </c>
      <c r="W470" s="114" t="str">
        <f t="shared" si="21"/>
        <v>SOV</v>
      </c>
      <c r="X470" s="114" t="str">
        <f t="shared" si="22"/>
        <v>SOV</v>
      </c>
    </row>
    <row r="471" spans="1:24" hidden="1" x14ac:dyDescent="0.25">
      <c r="A471" s="114" t="str">
        <f t="shared" si="23"/>
        <v>1000</v>
      </c>
      <c r="B471" t="s">
        <v>2647</v>
      </c>
      <c r="C471" t="s">
        <v>5405</v>
      </c>
      <c r="D471" t="s">
        <v>5406</v>
      </c>
      <c r="E471" t="s">
        <v>151</v>
      </c>
      <c r="F471" t="s">
        <v>4810</v>
      </c>
      <c r="G471" t="s">
        <v>1198</v>
      </c>
      <c r="H471" t="s">
        <v>2643</v>
      </c>
      <c r="I471">
        <v>289221969059.85327</v>
      </c>
      <c r="J471">
        <v>69265213.388658002</v>
      </c>
      <c r="K471">
        <v>239.48807766510001</v>
      </c>
      <c r="L471"/>
      <c r="M471"/>
      <c r="N471"/>
      <c r="O471"/>
      <c r="P471"/>
      <c r="Q471"/>
      <c r="R471"/>
      <c r="S471"/>
      <c r="T471">
        <v>170.4198394</v>
      </c>
      <c r="U471">
        <v>32.200000000000003</v>
      </c>
      <c r="V471" t="s">
        <v>2644</v>
      </c>
      <c r="W471" s="114" t="str">
        <f t="shared" si="21"/>
        <v>SOV</v>
      </c>
      <c r="X471" s="114" t="str">
        <f t="shared" si="22"/>
        <v>SOV</v>
      </c>
    </row>
    <row r="472" spans="1:24" hidden="1" x14ac:dyDescent="0.25">
      <c r="A472" s="114" t="str">
        <f t="shared" si="23"/>
        <v>AVIV</v>
      </c>
      <c r="B472" t="s">
        <v>2000</v>
      </c>
      <c r="C472" t="s">
        <v>2001</v>
      </c>
      <c r="D472" t="s">
        <v>2002</v>
      </c>
      <c r="E472" t="s">
        <v>586</v>
      </c>
      <c r="F472" t="s">
        <v>1056</v>
      </c>
      <c r="G472" t="s">
        <v>1136</v>
      </c>
      <c r="H472" t="s">
        <v>1494</v>
      </c>
      <c r="I472" t="s">
        <v>90</v>
      </c>
      <c r="J472" t="s">
        <v>90</v>
      </c>
      <c r="K472">
        <v>0.57903567</v>
      </c>
      <c r="L472">
        <v>4.1878806600000003</v>
      </c>
      <c r="M472">
        <v>5.0460292899999999</v>
      </c>
      <c r="N472">
        <v>5.8015471700000001</v>
      </c>
      <c r="O472">
        <v>5.3399609400000001</v>
      </c>
      <c r="P472">
        <v>0.21032683507707001</v>
      </c>
      <c r="Q472">
        <v>24.75552519</v>
      </c>
      <c r="R472">
        <v>0.70384555140873195</v>
      </c>
      <c r="S472" t="s">
        <v>1138</v>
      </c>
      <c r="T472">
        <v>0.57903567</v>
      </c>
      <c r="U472" t="s">
        <v>2819</v>
      </c>
      <c r="V472" t="s">
        <v>1059</v>
      </c>
      <c r="W472" s="114" t="str">
        <f t="shared" si="21"/>
        <v>ETF</v>
      </c>
      <c r="X472" s="114" t="str">
        <f t="shared" si="22"/>
        <v>Otros ETFs</v>
      </c>
    </row>
    <row r="473" spans="1:24" hidden="1" x14ac:dyDescent="0.25">
      <c r="A473" s="114" t="str">
        <f t="shared" si="23"/>
        <v>1000</v>
      </c>
      <c r="B473" t="s">
        <v>2647</v>
      </c>
      <c r="C473" t="s">
        <v>6247</v>
      </c>
      <c r="D473" t="s">
        <v>6248</v>
      </c>
      <c r="E473" t="s">
        <v>151</v>
      </c>
      <c r="F473" t="s">
        <v>4810</v>
      </c>
      <c r="G473" t="s">
        <v>1198</v>
      </c>
      <c r="H473" t="s">
        <v>2643</v>
      </c>
      <c r="I473">
        <v>289221969059.85327</v>
      </c>
      <c r="J473">
        <v>69265213.388658002</v>
      </c>
      <c r="K473">
        <v>239.48807766510001</v>
      </c>
      <c r="L473"/>
      <c r="M473"/>
      <c r="N473"/>
      <c r="O473"/>
      <c r="P473"/>
      <c r="Q473"/>
      <c r="R473"/>
      <c r="S473"/>
      <c r="T473">
        <v>170.4198394</v>
      </c>
      <c r="U473">
        <v>32.200000000000003</v>
      </c>
      <c r="V473" t="s">
        <v>2644</v>
      </c>
      <c r="W473" s="114" t="str">
        <f t="shared" si="21"/>
        <v>SOV</v>
      </c>
      <c r="X473" s="114" t="str">
        <f t="shared" si="22"/>
        <v>SOV</v>
      </c>
    </row>
    <row r="474" spans="1:24" hidden="1" x14ac:dyDescent="0.25">
      <c r="A474" s="114" t="str">
        <f t="shared" si="23"/>
        <v>7041</v>
      </c>
      <c r="B474" t="s">
        <v>2003</v>
      </c>
      <c r="C474" t="s">
        <v>2004</v>
      </c>
      <c r="D474" t="s">
        <v>2005</v>
      </c>
      <c r="E474" t="s">
        <v>586</v>
      </c>
      <c r="F474" t="s">
        <v>1056</v>
      </c>
      <c r="G474" t="s">
        <v>1071</v>
      </c>
      <c r="H474" t="s">
        <v>1856</v>
      </c>
      <c r="I474" t="s">
        <v>90</v>
      </c>
      <c r="J474" t="s">
        <v>90</v>
      </c>
      <c r="K474">
        <v>95.508388659999994</v>
      </c>
      <c r="L474">
        <v>6.5918284399999996</v>
      </c>
      <c r="M474">
        <v>6.0013160799999996</v>
      </c>
      <c r="N474">
        <v>5.0066461899999997</v>
      </c>
      <c r="O474">
        <v>5.83795603</v>
      </c>
      <c r="P474">
        <v>16.361869105047159</v>
      </c>
      <c r="Q474">
        <v>339.92547597999999</v>
      </c>
      <c r="R474">
        <v>19.96944024447804</v>
      </c>
      <c r="S474" t="s">
        <v>30</v>
      </c>
      <c r="T474">
        <v>95.508388659999994</v>
      </c>
      <c r="U474" t="s">
        <v>2819</v>
      </c>
      <c r="V474" t="s">
        <v>1059</v>
      </c>
      <c r="W474" s="114" t="str">
        <f t="shared" si="21"/>
        <v>ETF</v>
      </c>
      <c r="X474" s="114" t="str">
        <f t="shared" si="22"/>
        <v>Otros ETFs</v>
      </c>
    </row>
    <row r="475" spans="1:24" hidden="1" x14ac:dyDescent="0.25">
      <c r="A475" s="114" t="str">
        <f t="shared" si="23"/>
        <v>1000</v>
      </c>
      <c r="B475" t="s">
        <v>2647</v>
      </c>
      <c r="C475" t="s">
        <v>6249</v>
      </c>
      <c r="D475" t="s">
        <v>6250</v>
      </c>
      <c r="E475" t="s">
        <v>151</v>
      </c>
      <c r="F475" t="s">
        <v>4810</v>
      </c>
      <c r="G475" t="s">
        <v>1198</v>
      </c>
      <c r="H475" t="s">
        <v>2643</v>
      </c>
      <c r="I475">
        <v>289221969059.85327</v>
      </c>
      <c r="J475">
        <v>69265213.388658002</v>
      </c>
      <c r="K475">
        <v>239.48807766510001</v>
      </c>
      <c r="L475"/>
      <c r="M475"/>
      <c r="N475"/>
      <c r="O475"/>
      <c r="P475"/>
      <c r="Q475"/>
      <c r="R475"/>
      <c r="S475"/>
      <c r="T475">
        <v>170.4198394</v>
      </c>
      <c r="U475">
        <v>32.200000000000003</v>
      </c>
      <c r="V475" t="s">
        <v>2644</v>
      </c>
      <c r="W475" s="114" t="str">
        <f t="shared" si="21"/>
        <v>SOV</v>
      </c>
      <c r="X475" s="114" t="str">
        <f t="shared" si="22"/>
        <v>SOV</v>
      </c>
    </row>
    <row r="476" spans="1:24" hidden="1" x14ac:dyDescent="0.25">
      <c r="A476" s="114" t="str">
        <f t="shared" si="23"/>
        <v>7397</v>
      </c>
      <c r="B476" t="s">
        <v>2006</v>
      </c>
      <c r="C476" t="s">
        <v>2007</v>
      </c>
      <c r="D476" t="s">
        <v>2008</v>
      </c>
      <c r="E476" t="s">
        <v>586</v>
      </c>
      <c r="F476" t="s">
        <v>1056</v>
      </c>
      <c r="G476" t="s">
        <v>1375</v>
      </c>
      <c r="H476" t="s">
        <v>1376</v>
      </c>
      <c r="I476" t="s">
        <v>90</v>
      </c>
      <c r="J476" t="s">
        <v>90</v>
      </c>
      <c r="K476">
        <v>46.941706859999996</v>
      </c>
      <c r="L476">
        <v>7.6509740099999997</v>
      </c>
      <c r="M476">
        <v>6.0014496099999999</v>
      </c>
      <c r="N476">
        <v>5.5111382200000003</v>
      </c>
      <c r="O476">
        <v>6.3347422599999996</v>
      </c>
      <c r="P476">
        <v>5.6603597480626568</v>
      </c>
      <c r="Q476">
        <v>57.469566899999997</v>
      </c>
      <c r="R476">
        <v>30.90865277328778</v>
      </c>
      <c r="S476" t="s">
        <v>1073</v>
      </c>
      <c r="T476">
        <v>46.941706859999996</v>
      </c>
      <c r="U476" t="s">
        <v>2819</v>
      </c>
      <c r="V476" t="s">
        <v>1059</v>
      </c>
      <c r="W476" s="114" t="str">
        <f t="shared" si="21"/>
        <v>ETF</v>
      </c>
      <c r="X476" s="114" t="str">
        <f t="shared" si="22"/>
        <v>Otros ETFs</v>
      </c>
    </row>
    <row r="477" spans="1:24" hidden="1" x14ac:dyDescent="0.25">
      <c r="A477" s="114" t="str">
        <f t="shared" si="23"/>
        <v>1000</v>
      </c>
      <c r="B477" t="s">
        <v>2647</v>
      </c>
      <c r="C477" t="s">
        <v>525</v>
      </c>
      <c r="D477" t="s">
        <v>4062</v>
      </c>
      <c r="E477" t="s">
        <v>523</v>
      </c>
      <c r="F477" t="s">
        <v>4811</v>
      </c>
      <c r="G477" t="s">
        <v>1198</v>
      </c>
      <c r="H477" t="s">
        <v>2643</v>
      </c>
      <c r="I477">
        <v>289221969059.85327</v>
      </c>
      <c r="J477">
        <v>69265213.388658002</v>
      </c>
      <c r="K477">
        <v>239.48807766510001</v>
      </c>
      <c r="L477"/>
      <c r="M477"/>
      <c r="N477"/>
      <c r="O477"/>
      <c r="P477"/>
      <c r="Q477"/>
      <c r="R477"/>
      <c r="S477"/>
      <c r="T477">
        <v>170.4198394</v>
      </c>
      <c r="U477">
        <v>32.200000000000003</v>
      </c>
      <c r="V477" t="s">
        <v>2644</v>
      </c>
      <c r="W477" s="114" t="str">
        <f t="shared" si="21"/>
        <v>SOV</v>
      </c>
      <c r="X477" s="114" t="str">
        <f t="shared" si="22"/>
        <v>SOV</v>
      </c>
    </row>
    <row r="478" spans="1:24" hidden="1" x14ac:dyDescent="0.25">
      <c r="A478" s="114" t="str">
        <f t="shared" si="23"/>
        <v>7397</v>
      </c>
      <c r="B478" t="s">
        <v>2010</v>
      </c>
      <c r="C478" t="s">
        <v>2011</v>
      </c>
      <c r="D478" t="s">
        <v>2012</v>
      </c>
      <c r="E478" t="s">
        <v>586</v>
      </c>
      <c r="F478" t="s">
        <v>1056</v>
      </c>
      <c r="G478" t="s">
        <v>1128</v>
      </c>
      <c r="H478" t="s">
        <v>1129</v>
      </c>
      <c r="I478" t="s">
        <v>90</v>
      </c>
      <c r="J478" t="s">
        <v>90</v>
      </c>
      <c r="K478">
        <v>77.755182469999994</v>
      </c>
      <c r="L478">
        <v>7.6152134900000004</v>
      </c>
      <c r="M478">
        <v>6.7441179499999997</v>
      </c>
      <c r="N478">
        <v>5.5583250099999999</v>
      </c>
      <c r="O478">
        <v>6.4168732100000003</v>
      </c>
      <c r="P478">
        <v>31.921208472749161</v>
      </c>
      <c r="Q478">
        <v>113.97923228000001</v>
      </c>
      <c r="R478">
        <v>43.665438007371947</v>
      </c>
      <c r="S478" t="s">
        <v>1073</v>
      </c>
      <c r="T478">
        <v>77.755182469999994</v>
      </c>
      <c r="U478" t="s">
        <v>2819</v>
      </c>
      <c r="V478" t="s">
        <v>1059</v>
      </c>
      <c r="W478" s="114" t="str">
        <f t="shared" si="21"/>
        <v>ETF</v>
      </c>
      <c r="X478" s="114" t="str">
        <f t="shared" si="22"/>
        <v>Otros ETFs</v>
      </c>
    </row>
    <row r="479" spans="1:24" hidden="1" x14ac:dyDescent="0.25">
      <c r="A479" s="114" t="str">
        <f t="shared" si="23"/>
        <v>1000</v>
      </c>
      <c r="B479" t="s">
        <v>2647</v>
      </c>
      <c r="C479" t="s">
        <v>531</v>
      </c>
      <c r="D479" t="s">
        <v>530</v>
      </c>
      <c r="E479" t="s">
        <v>523</v>
      </c>
      <c r="F479" t="s">
        <v>4811</v>
      </c>
      <c r="G479" t="s">
        <v>1198</v>
      </c>
      <c r="H479" t="s">
        <v>2643</v>
      </c>
      <c r="I479">
        <v>289221969059.85327</v>
      </c>
      <c r="J479">
        <v>69265213.388658002</v>
      </c>
      <c r="K479">
        <v>239.48807766510001</v>
      </c>
      <c r="L479"/>
      <c r="M479"/>
      <c r="N479"/>
      <c r="O479"/>
      <c r="P479"/>
      <c r="Q479"/>
      <c r="R479"/>
      <c r="S479"/>
      <c r="T479">
        <v>170.4198394</v>
      </c>
      <c r="U479">
        <v>32.200000000000003</v>
      </c>
      <c r="V479" t="s">
        <v>2644</v>
      </c>
      <c r="W479" s="114" t="str">
        <f t="shared" si="21"/>
        <v>SOV</v>
      </c>
      <c r="X479" s="114" t="str">
        <f t="shared" si="22"/>
        <v>SOV</v>
      </c>
    </row>
    <row r="480" spans="1:24" hidden="1" x14ac:dyDescent="0.25">
      <c r="A480" s="114" t="str">
        <f t="shared" si="23"/>
        <v>7025</v>
      </c>
      <c r="B480" t="s">
        <v>5077</v>
      </c>
      <c r="C480" t="s">
        <v>2014</v>
      </c>
      <c r="D480" t="s">
        <v>2015</v>
      </c>
      <c r="E480" t="s">
        <v>586</v>
      </c>
      <c r="F480" t="s">
        <v>1056</v>
      </c>
      <c r="G480" t="s">
        <v>1375</v>
      </c>
      <c r="H480" t="s">
        <v>1678</v>
      </c>
      <c r="I480" t="s">
        <v>90</v>
      </c>
      <c r="J480" t="s">
        <v>90</v>
      </c>
      <c r="K480">
        <v>84.801430819999993</v>
      </c>
      <c r="L480">
        <v>5.7733414700000001</v>
      </c>
      <c r="M480">
        <v>4.7378205500000004</v>
      </c>
      <c r="N480">
        <v>5.3629983299999999</v>
      </c>
      <c r="O480">
        <v>5.1999470600000004</v>
      </c>
      <c r="P480">
        <v>0</v>
      </c>
      <c r="Q480">
        <v>91.850976540000005</v>
      </c>
      <c r="R480">
        <v>16.171216171216169</v>
      </c>
      <c r="S480" t="s">
        <v>30</v>
      </c>
      <c r="T480">
        <v>84.801430819999993</v>
      </c>
      <c r="U480" t="s">
        <v>2819</v>
      </c>
      <c r="V480" t="s">
        <v>1059</v>
      </c>
      <c r="W480" s="114" t="str">
        <f t="shared" si="21"/>
        <v>ETF</v>
      </c>
      <c r="X480" s="114" t="str">
        <f t="shared" si="22"/>
        <v>Otros ETFs</v>
      </c>
    </row>
    <row r="481" spans="1:24" hidden="1" x14ac:dyDescent="0.25">
      <c r="A481" s="114" t="str">
        <f t="shared" si="23"/>
        <v>7025</v>
      </c>
      <c r="B481" t="s">
        <v>5078</v>
      </c>
      <c r="C481" t="s">
        <v>2016</v>
      </c>
      <c r="D481" t="s">
        <v>2017</v>
      </c>
      <c r="E481" t="s">
        <v>586</v>
      </c>
      <c r="F481" t="s">
        <v>1056</v>
      </c>
      <c r="G481" t="s">
        <v>1375</v>
      </c>
      <c r="H481" t="s">
        <v>1678</v>
      </c>
      <c r="I481" t="s">
        <v>90</v>
      </c>
      <c r="J481" t="s">
        <v>90</v>
      </c>
      <c r="K481">
        <v>84.801430819999993</v>
      </c>
      <c r="L481">
        <v>5.7733414700000001</v>
      </c>
      <c r="M481">
        <v>4.7378205500000004</v>
      </c>
      <c r="N481">
        <v>5.3629983299999999</v>
      </c>
      <c r="O481">
        <v>5.1999470600000004</v>
      </c>
      <c r="P481">
        <v>0</v>
      </c>
      <c r="Q481">
        <v>91.850976540000005</v>
      </c>
      <c r="R481">
        <v>16.171216171216169</v>
      </c>
      <c r="S481" t="s">
        <v>30</v>
      </c>
      <c r="T481">
        <v>84.801430819999993</v>
      </c>
      <c r="U481" t="s">
        <v>2819</v>
      </c>
      <c r="V481" t="s">
        <v>1059</v>
      </c>
      <c r="W481" s="114" t="str">
        <f t="shared" si="21"/>
        <v>ETF</v>
      </c>
      <c r="X481" s="114" t="str">
        <f t="shared" si="22"/>
        <v>Otros ETFs</v>
      </c>
    </row>
    <row r="482" spans="1:24" hidden="1" x14ac:dyDescent="0.25">
      <c r="A482" s="114" t="str">
        <f t="shared" si="23"/>
        <v>1000</v>
      </c>
      <c r="B482" t="s">
        <v>2647</v>
      </c>
      <c r="C482" t="s">
        <v>2667</v>
      </c>
      <c r="D482" t="s">
        <v>4063</v>
      </c>
      <c r="E482" t="s">
        <v>523</v>
      </c>
      <c r="F482" t="s">
        <v>4811</v>
      </c>
      <c r="G482" t="s">
        <v>1198</v>
      </c>
      <c r="H482" t="s">
        <v>2643</v>
      </c>
      <c r="I482">
        <v>289221969059.85327</v>
      </c>
      <c r="J482">
        <v>69265213.388658002</v>
      </c>
      <c r="K482">
        <v>239.48807766510001</v>
      </c>
      <c r="L482"/>
      <c r="M482"/>
      <c r="N482"/>
      <c r="O482"/>
      <c r="P482"/>
      <c r="Q482"/>
      <c r="R482"/>
      <c r="S482"/>
      <c r="T482">
        <v>170.4198394</v>
      </c>
      <c r="U482">
        <v>32.200000000000003</v>
      </c>
      <c r="V482" t="s">
        <v>2644</v>
      </c>
      <c r="W482" s="114" t="str">
        <f t="shared" si="21"/>
        <v>SOV</v>
      </c>
      <c r="X482" s="114" t="str">
        <f t="shared" si="22"/>
        <v>SOV</v>
      </c>
    </row>
    <row r="483" spans="1:24" hidden="1" x14ac:dyDescent="0.25">
      <c r="A483" s="114" t="str">
        <f t="shared" si="23"/>
        <v>4015</v>
      </c>
      <c r="B483" t="s">
        <v>6251</v>
      </c>
      <c r="C483" t="s">
        <v>6252</v>
      </c>
      <c r="D483" t="s">
        <v>6253</v>
      </c>
      <c r="E483" t="s">
        <v>175</v>
      </c>
      <c r="F483" t="s">
        <v>4812</v>
      </c>
      <c r="G483" t="s">
        <v>6254</v>
      </c>
      <c r="H483" t="s">
        <v>2643</v>
      </c>
      <c r="I483">
        <v>400260724226.06702</v>
      </c>
      <c r="J483">
        <v>440167751.74880999</v>
      </c>
      <c r="K483">
        <v>1099.7025816108001</v>
      </c>
      <c r="L483"/>
      <c r="M483"/>
      <c r="N483"/>
      <c r="O483"/>
      <c r="P483"/>
      <c r="Q483"/>
      <c r="R483"/>
      <c r="S483"/>
      <c r="T483">
        <v>575.91989020000005</v>
      </c>
      <c r="U483">
        <v>76</v>
      </c>
      <c r="V483" t="s">
        <v>2644</v>
      </c>
      <c r="W483" s="114" t="str">
        <f t="shared" si="21"/>
        <v>SOV</v>
      </c>
      <c r="X483" s="114" t="str">
        <f t="shared" si="22"/>
        <v>SOV</v>
      </c>
    </row>
    <row r="484" spans="1:24" hidden="1" x14ac:dyDescent="0.25">
      <c r="A484" s="114" t="str">
        <f t="shared" si="23"/>
        <v>GAML</v>
      </c>
      <c r="B484" t="s">
        <v>2019</v>
      </c>
      <c r="C484" t="s">
        <v>2020</v>
      </c>
      <c r="D484" t="s">
        <v>2021</v>
      </c>
      <c r="E484" t="s">
        <v>586</v>
      </c>
      <c r="F484" t="s">
        <v>1056</v>
      </c>
      <c r="G484" t="s">
        <v>1290</v>
      </c>
      <c r="H484" t="s">
        <v>1291</v>
      </c>
      <c r="I484" t="s">
        <v>90</v>
      </c>
      <c r="J484" t="s">
        <v>90</v>
      </c>
      <c r="K484">
        <v>39.677517510000001</v>
      </c>
      <c r="L484">
        <v>6.2088559500000002</v>
      </c>
      <c r="M484">
        <v>6.7567872900000001</v>
      </c>
      <c r="N484">
        <v>5.1281677300000004</v>
      </c>
      <c r="O484">
        <v>4.9274958699999996</v>
      </c>
      <c r="P484">
        <v>27.000318964776611</v>
      </c>
      <c r="Q484">
        <v>109.79322016</v>
      </c>
      <c r="R484">
        <v>4.5713676281364464</v>
      </c>
      <c r="S484" t="s">
        <v>30</v>
      </c>
      <c r="T484">
        <v>39.677517510000001</v>
      </c>
      <c r="U484" t="s">
        <v>2819</v>
      </c>
      <c r="V484" t="s">
        <v>1059</v>
      </c>
      <c r="W484" s="114" t="str">
        <f t="shared" si="21"/>
        <v>ETF</v>
      </c>
      <c r="X484" s="114" t="str">
        <f t="shared" si="22"/>
        <v>Otros ETFs</v>
      </c>
    </row>
    <row r="485" spans="1:24" hidden="1" x14ac:dyDescent="0.25">
      <c r="A485" s="114" t="str">
        <f t="shared" si="23"/>
        <v>BRAF</v>
      </c>
      <c r="B485" t="s">
        <v>6255</v>
      </c>
      <c r="C485" t="s">
        <v>2023</v>
      </c>
      <c r="D485" t="s">
        <v>2024</v>
      </c>
      <c r="E485" t="s">
        <v>586</v>
      </c>
      <c r="F485" t="s">
        <v>1056</v>
      </c>
      <c r="G485" t="s">
        <v>1136</v>
      </c>
      <c r="H485" t="s">
        <v>1437</v>
      </c>
      <c r="I485" t="s">
        <v>90</v>
      </c>
      <c r="J485" t="s">
        <v>90</v>
      </c>
      <c r="K485">
        <v>562.35384635000003</v>
      </c>
      <c r="L485">
        <v>3.8209000799999999</v>
      </c>
      <c r="M485">
        <v>4.94101386</v>
      </c>
      <c r="N485">
        <v>5.3960926200000001</v>
      </c>
      <c r="O485">
        <v>5.0451195999999996</v>
      </c>
      <c r="P485">
        <v>4.2562255642414684</v>
      </c>
      <c r="Q485">
        <v>790.27583009</v>
      </c>
      <c r="R485">
        <v>0.84078493882832595</v>
      </c>
      <c r="S485" t="s">
        <v>1138</v>
      </c>
      <c r="T485">
        <v>562.35384635000003</v>
      </c>
      <c r="U485" t="s">
        <v>2819</v>
      </c>
      <c r="V485" t="s">
        <v>1059</v>
      </c>
      <c r="W485" s="114" t="str">
        <f t="shared" si="21"/>
        <v>ETF</v>
      </c>
      <c r="X485" s="114" t="str">
        <f t="shared" si="22"/>
        <v>Otros ETFs</v>
      </c>
    </row>
    <row r="486" spans="1:24" hidden="1" x14ac:dyDescent="0.25">
      <c r="A486" s="114" t="str">
        <f t="shared" si="23"/>
        <v>4009</v>
      </c>
      <c r="B486" t="s">
        <v>2668</v>
      </c>
      <c r="C486" t="s">
        <v>2669</v>
      </c>
      <c r="D486" t="s">
        <v>2939</v>
      </c>
      <c r="E486" t="s">
        <v>175</v>
      </c>
      <c r="F486" t="s">
        <v>4812</v>
      </c>
      <c r="G486" t="s">
        <v>2035</v>
      </c>
      <c r="H486" t="s">
        <v>2643</v>
      </c>
      <c r="I486">
        <v>1752193307380.343</v>
      </c>
      <c r="J486">
        <v>383403110.84884</v>
      </c>
      <c r="K486">
        <v>218.8132492197</v>
      </c>
      <c r="L486"/>
      <c r="M486"/>
      <c r="N486"/>
      <c r="O486"/>
      <c r="P486"/>
      <c r="Q486"/>
      <c r="R486"/>
      <c r="S486"/>
      <c r="T486">
        <v>305.37723069999998</v>
      </c>
      <c r="U486">
        <v>50.7</v>
      </c>
      <c r="V486" t="s">
        <v>2644</v>
      </c>
      <c r="W486" s="114" t="str">
        <f t="shared" si="21"/>
        <v>SOV</v>
      </c>
      <c r="X486" s="114" t="str">
        <f t="shared" si="22"/>
        <v>SOV</v>
      </c>
    </row>
    <row r="487" spans="1:24" hidden="1" x14ac:dyDescent="0.25">
      <c r="A487" s="114" t="str">
        <f t="shared" si="23"/>
        <v>4009</v>
      </c>
      <c r="B487" t="s">
        <v>2668</v>
      </c>
      <c r="C487" t="s">
        <v>874</v>
      </c>
      <c r="D487" t="s">
        <v>873</v>
      </c>
      <c r="E487" t="s">
        <v>175</v>
      </c>
      <c r="F487" t="s">
        <v>4812</v>
      </c>
      <c r="G487" t="s">
        <v>2035</v>
      </c>
      <c r="H487" t="s">
        <v>2643</v>
      </c>
      <c r="I487">
        <v>1752193307380.343</v>
      </c>
      <c r="J487">
        <v>383403110.84884</v>
      </c>
      <c r="K487">
        <v>218.8132492197</v>
      </c>
      <c r="L487"/>
      <c r="M487"/>
      <c r="N487"/>
      <c r="O487"/>
      <c r="P487"/>
      <c r="Q487"/>
      <c r="R487"/>
      <c r="S487"/>
      <c r="T487">
        <v>305.37723069999998</v>
      </c>
      <c r="U487">
        <v>50.7</v>
      </c>
      <c r="V487" t="s">
        <v>2644</v>
      </c>
      <c r="W487" s="114" t="str">
        <f t="shared" si="21"/>
        <v>SOV</v>
      </c>
      <c r="X487" s="114" t="str">
        <f t="shared" si="22"/>
        <v>SOV</v>
      </c>
    </row>
    <row r="488" spans="1:24" hidden="1" x14ac:dyDescent="0.25">
      <c r="A488" s="114" t="str">
        <f t="shared" si="23"/>
        <v>7412</v>
      </c>
      <c r="B488" t="s">
        <v>2026</v>
      </c>
      <c r="C488" t="s">
        <v>655</v>
      </c>
      <c r="D488" t="s">
        <v>654</v>
      </c>
      <c r="E488" t="s">
        <v>586</v>
      </c>
      <c r="F488" t="s">
        <v>1056</v>
      </c>
      <c r="G488" t="s">
        <v>1136</v>
      </c>
      <c r="H488" t="s">
        <v>1494</v>
      </c>
      <c r="I488" t="s">
        <v>90</v>
      </c>
      <c r="J488" t="s">
        <v>90</v>
      </c>
      <c r="K488">
        <v>169.70566217000001</v>
      </c>
      <c r="L488">
        <v>4.5353622299999996</v>
      </c>
      <c r="M488">
        <v>5.2088858</v>
      </c>
      <c r="N488">
        <v>5.7977177400000004</v>
      </c>
      <c r="O488">
        <v>5.4933487899999998</v>
      </c>
      <c r="P488">
        <v>1.201362691791771</v>
      </c>
      <c r="Q488">
        <v>415.30413024000001</v>
      </c>
      <c r="R488">
        <v>1.2399370220483099</v>
      </c>
      <c r="S488" t="s">
        <v>1063</v>
      </c>
      <c r="T488">
        <v>169.70566217000001</v>
      </c>
      <c r="U488" t="s">
        <v>2819</v>
      </c>
      <c r="V488" t="s">
        <v>1059</v>
      </c>
      <c r="W488" s="114" t="str">
        <f t="shared" si="21"/>
        <v>ETF</v>
      </c>
      <c r="X488" s="114" t="str">
        <f t="shared" si="22"/>
        <v>Otros ETFs</v>
      </c>
    </row>
    <row r="489" spans="1:24" hidden="1" x14ac:dyDescent="0.25">
      <c r="A489" s="114" t="str">
        <f t="shared" si="23"/>
        <v>4009</v>
      </c>
      <c r="B489" t="s">
        <v>2668</v>
      </c>
      <c r="C489" t="s">
        <v>2670</v>
      </c>
      <c r="D489" t="s">
        <v>2938</v>
      </c>
      <c r="E489" t="s">
        <v>175</v>
      </c>
      <c r="F489" t="s">
        <v>4812</v>
      </c>
      <c r="G489" t="s">
        <v>2035</v>
      </c>
      <c r="H489" t="s">
        <v>2643</v>
      </c>
      <c r="I489">
        <v>1752193307380.343</v>
      </c>
      <c r="J489">
        <v>383403110.84884</v>
      </c>
      <c r="K489">
        <v>218.8132492197</v>
      </c>
      <c r="L489"/>
      <c r="M489"/>
      <c r="N489"/>
      <c r="O489"/>
      <c r="P489"/>
      <c r="Q489"/>
      <c r="R489"/>
      <c r="S489"/>
      <c r="T489">
        <v>305.37723069999998</v>
      </c>
      <c r="U489">
        <v>50.7</v>
      </c>
      <c r="V489" t="s">
        <v>2644</v>
      </c>
      <c r="W489" s="114" t="str">
        <f t="shared" si="21"/>
        <v>SOV</v>
      </c>
      <c r="X489" s="114" t="str">
        <f t="shared" si="22"/>
        <v>SOV</v>
      </c>
    </row>
    <row r="490" spans="1:24" hidden="1" x14ac:dyDescent="0.25">
      <c r="A490" s="114" t="str">
        <f t="shared" si="23"/>
        <v>7027</v>
      </c>
      <c r="B490" t="s">
        <v>5760</v>
      </c>
      <c r="C490" t="s">
        <v>5686</v>
      </c>
      <c r="D490" t="s">
        <v>5685</v>
      </c>
      <c r="E490" t="s">
        <v>586</v>
      </c>
      <c r="F490" t="s">
        <v>1056</v>
      </c>
      <c r="G490" t="s">
        <v>1501</v>
      </c>
      <c r="H490" t="s">
        <v>1502</v>
      </c>
      <c r="I490" t="s">
        <v>90</v>
      </c>
      <c r="J490" t="s">
        <v>90</v>
      </c>
      <c r="K490">
        <v>128.29965439</v>
      </c>
      <c r="L490">
        <v>5.7842149000000003</v>
      </c>
      <c r="M490">
        <v>5.0476801900000003</v>
      </c>
      <c r="N490">
        <v>4.5706524699999997</v>
      </c>
      <c r="O490">
        <v>5.1290527099999998</v>
      </c>
      <c r="P490">
        <v>10.273638358169849</v>
      </c>
      <c r="Q490">
        <v>278.55647791000001</v>
      </c>
      <c r="R490">
        <v>19.796081223512662</v>
      </c>
      <c r="S490" t="s">
        <v>30</v>
      </c>
      <c r="T490">
        <v>128.29965439</v>
      </c>
      <c r="U490" t="s">
        <v>2819</v>
      </c>
      <c r="V490" t="s">
        <v>1059</v>
      </c>
      <c r="W490" s="114" t="str">
        <f t="shared" si="21"/>
        <v>ETF</v>
      </c>
      <c r="X490" s="114" t="str">
        <f t="shared" si="22"/>
        <v>Otros ETFs</v>
      </c>
    </row>
    <row r="491" spans="1:24" hidden="1" x14ac:dyDescent="0.25">
      <c r="A491" s="114" t="str">
        <f t="shared" si="23"/>
        <v>4009</v>
      </c>
      <c r="B491" t="s">
        <v>2668</v>
      </c>
      <c r="C491" t="s">
        <v>5410</v>
      </c>
      <c r="D491" t="s">
        <v>5411</v>
      </c>
      <c r="E491" t="s">
        <v>175</v>
      </c>
      <c r="F491" t="s">
        <v>4812</v>
      </c>
      <c r="G491" t="s">
        <v>2035</v>
      </c>
      <c r="H491" t="s">
        <v>2643</v>
      </c>
      <c r="I491">
        <v>1752193307380.343</v>
      </c>
      <c r="J491">
        <v>383403110.84884</v>
      </c>
      <c r="K491">
        <v>218.8132492197</v>
      </c>
      <c r="L491"/>
      <c r="M491"/>
      <c r="N491"/>
      <c r="O491"/>
      <c r="P491"/>
      <c r="Q491"/>
      <c r="R491"/>
      <c r="S491"/>
      <c r="T491">
        <v>305.37723069999998</v>
      </c>
      <c r="U491">
        <v>50.7</v>
      </c>
      <c r="V491" t="s">
        <v>2644</v>
      </c>
      <c r="W491" s="114" t="str">
        <f t="shared" si="21"/>
        <v>SOV</v>
      </c>
      <c r="X491" s="114" t="str">
        <f t="shared" si="22"/>
        <v>SOV</v>
      </c>
    </row>
    <row r="492" spans="1:24" hidden="1" x14ac:dyDescent="0.25">
      <c r="A492" s="114" t="str">
        <f t="shared" si="23"/>
        <v>7670</v>
      </c>
      <c r="B492" t="s">
        <v>2027</v>
      </c>
      <c r="C492" t="s">
        <v>2028</v>
      </c>
      <c r="D492" t="s">
        <v>2029</v>
      </c>
      <c r="E492" t="s">
        <v>586</v>
      </c>
      <c r="F492" t="s">
        <v>1056</v>
      </c>
      <c r="G492" t="s">
        <v>1071</v>
      </c>
      <c r="H492" t="s">
        <v>1205</v>
      </c>
      <c r="I492" t="s">
        <v>90</v>
      </c>
      <c r="J492" t="s">
        <v>90</v>
      </c>
      <c r="K492">
        <v>217.69004828000001</v>
      </c>
      <c r="L492">
        <v>6.3972632200000001</v>
      </c>
      <c r="M492">
        <v>4.3813273099999996</v>
      </c>
      <c r="N492">
        <v>5.20592773</v>
      </c>
      <c r="O492">
        <v>6.52825217</v>
      </c>
      <c r="P492">
        <v>39.574661904564202</v>
      </c>
      <c r="Q492">
        <v>413.17866907000001</v>
      </c>
      <c r="R492">
        <v>51.563296259949347</v>
      </c>
      <c r="S492" t="s">
        <v>30</v>
      </c>
      <c r="T492">
        <v>217.69004828000001</v>
      </c>
      <c r="U492" t="s">
        <v>2819</v>
      </c>
      <c r="V492" t="s">
        <v>1059</v>
      </c>
      <c r="W492" s="114" t="str">
        <f t="shared" si="21"/>
        <v>ETF</v>
      </c>
      <c r="X492" s="114" t="str">
        <f t="shared" si="22"/>
        <v>Otros ETFs</v>
      </c>
    </row>
    <row r="493" spans="1:24" hidden="1" x14ac:dyDescent="0.25">
      <c r="A493" s="114" t="str">
        <f t="shared" si="23"/>
        <v>4009</v>
      </c>
      <c r="B493" t="s">
        <v>2668</v>
      </c>
      <c r="C493" t="s">
        <v>2671</v>
      </c>
      <c r="D493" t="s">
        <v>4821</v>
      </c>
      <c r="E493" t="s">
        <v>175</v>
      </c>
      <c r="F493" t="s">
        <v>4812</v>
      </c>
      <c r="G493" t="s">
        <v>2035</v>
      </c>
      <c r="H493" t="s">
        <v>2643</v>
      </c>
      <c r="I493">
        <v>1752193307380.343</v>
      </c>
      <c r="J493">
        <v>383403110.84884</v>
      </c>
      <c r="K493">
        <v>218.8132492197</v>
      </c>
      <c r="L493"/>
      <c r="M493"/>
      <c r="N493"/>
      <c r="O493"/>
      <c r="P493"/>
      <c r="Q493"/>
      <c r="R493"/>
      <c r="S493"/>
      <c r="T493">
        <v>305.37723069999998</v>
      </c>
      <c r="U493">
        <v>50.7</v>
      </c>
      <c r="V493" t="s">
        <v>2644</v>
      </c>
      <c r="W493" s="114" t="str">
        <f t="shared" si="21"/>
        <v>SOV</v>
      </c>
      <c r="X493" s="114" t="str">
        <f t="shared" si="22"/>
        <v>SOV</v>
      </c>
    </row>
    <row r="494" spans="1:24" hidden="1" x14ac:dyDescent="0.25">
      <c r="A494" s="114" t="str">
        <f t="shared" si="23"/>
        <v>7670</v>
      </c>
      <c r="B494" t="s">
        <v>2030</v>
      </c>
      <c r="C494" t="s">
        <v>2031</v>
      </c>
      <c r="D494" t="s">
        <v>2032</v>
      </c>
      <c r="E494" t="s">
        <v>586</v>
      </c>
      <c r="F494" t="s">
        <v>1056</v>
      </c>
      <c r="G494" t="s">
        <v>1071</v>
      </c>
      <c r="H494" t="s">
        <v>1205</v>
      </c>
      <c r="I494" t="s">
        <v>90</v>
      </c>
      <c r="J494" t="s">
        <v>90</v>
      </c>
      <c r="K494">
        <v>217.69004828000001</v>
      </c>
      <c r="L494">
        <v>6.3972632200000001</v>
      </c>
      <c r="M494">
        <v>4.3813273099999996</v>
      </c>
      <c r="N494">
        <v>5.20592773</v>
      </c>
      <c r="O494">
        <v>6.52825217</v>
      </c>
      <c r="P494">
        <v>39.574661904564202</v>
      </c>
      <c r="Q494">
        <v>413.17866907000001</v>
      </c>
      <c r="R494">
        <v>51.563296259949347</v>
      </c>
      <c r="S494" t="s">
        <v>30</v>
      </c>
      <c r="T494">
        <v>217.69004828000001</v>
      </c>
      <c r="U494" t="s">
        <v>2819</v>
      </c>
      <c r="V494" t="s">
        <v>1059</v>
      </c>
      <c r="W494" s="114" t="str">
        <f t="shared" si="21"/>
        <v>ETF</v>
      </c>
      <c r="X494" s="114" t="str">
        <f t="shared" si="22"/>
        <v>Otros ETFs</v>
      </c>
    </row>
    <row r="495" spans="1:24" hidden="1" x14ac:dyDescent="0.25">
      <c r="A495" s="114" t="str">
        <f t="shared" si="23"/>
        <v>4009</v>
      </c>
      <c r="B495" t="s">
        <v>2668</v>
      </c>
      <c r="C495" t="s">
        <v>872</v>
      </c>
      <c r="D495" t="s">
        <v>871</v>
      </c>
      <c r="E495" t="s">
        <v>175</v>
      </c>
      <c r="F495" t="s">
        <v>4812</v>
      </c>
      <c r="G495" t="s">
        <v>2035</v>
      </c>
      <c r="H495" t="s">
        <v>2643</v>
      </c>
      <c r="I495">
        <v>1752193307380.343</v>
      </c>
      <c r="J495">
        <v>383403110.84884</v>
      </c>
      <c r="K495">
        <v>218.8132492197</v>
      </c>
      <c r="L495"/>
      <c r="M495"/>
      <c r="N495"/>
      <c r="O495"/>
      <c r="P495"/>
      <c r="Q495"/>
      <c r="R495"/>
      <c r="S495"/>
      <c r="T495">
        <v>305.37723069999998</v>
      </c>
      <c r="U495">
        <v>50.7</v>
      </c>
      <c r="V495" t="s">
        <v>2644</v>
      </c>
      <c r="W495" s="114" t="str">
        <f t="shared" si="21"/>
        <v>SOV</v>
      </c>
      <c r="X495" s="114" t="str">
        <f t="shared" si="22"/>
        <v>SOV</v>
      </c>
    </row>
    <row r="496" spans="1:24" hidden="1" x14ac:dyDescent="0.25">
      <c r="A496" s="114" t="str">
        <f t="shared" si="23"/>
        <v>4005</v>
      </c>
      <c r="B496" t="s">
        <v>2672</v>
      </c>
      <c r="C496" t="s">
        <v>2673</v>
      </c>
      <c r="D496" t="s">
        <v>3509</v>
      </c>
      <c r="E496" t="s">
        <v>175</v>
      </c>
      <c r="F496" t="s">
        <v>4812</v>
      </c>
      <c r="G496" t="s">
        <v>1185</v>
      </c>
      <c r="H496" t="s">
        <v>2643</v>
      </c>
      <c r="I496">
        <v>1852722885258.1101</v>
      </c>
      <c r="J496">
        <v>475992111.16602999</v>
      </c>
      <c r="K496">
        <v>256.91489804190002</v>
      </c>
      <c r="L496"/>
      <c r="M496"/>
      <c r="N496"/>
      <c r="O496"/>
      <c r="P496"/>
      <c r="Q496"/>
      <c r="R496"/>
      <c r="S496"/>
      <c r="T496">
        <v>204.30314809999999</v>
      </c>
      <c r="U496">
        <v>58.3</v>
      </c>
      <c r="V496" t="s">
        <v>2644</v>
      </c>
      <c r="W496" s="114" t="str">
        <f t="shared" si="21"/>
        <v>SOV</v>
      </c>
      <c r="X496" s="114" t="str">
        <f t="shared" si="22"/>
        <v>SOV</v>
      </c>
    </row>
    <row r="497" spans="1:24" hidden="1" x14ac:dyDescent="0.25">
      <c r="A497" s="114" t="str">
        <f t="shared" si="23"/>
        <v>7511</v>
      </c>
      <c r="B497" t="s">
        <v>5407</v>
      </c>
      <c r="C497" t="s">
        <v>5408</v>
      </c>
      <c r="D497" t="s">
        <v>5409</v>
      </c>
      <c r="E497" t="s">
        <v>586</v>
      </c>
      <c r="F497" t="s">
        <v>1056</v>
      </c>
      <c r="G497" t="s">
        <v>1136</v>
      </c>
      <c r="H497" t="s">
        <v>1437</v>
      </c>
      <c r="I497" t="s">
        <v>90</v>
      </c>
      <c r="J497" t="s">
        <v>90</v>
      </c>
      <c r="K497">
        <v>381.48971839000001</v>
      </c>
      <c r="L497">
        <v>3.5105051600000001</v>
      </c>
      <c r="M497">
        <v>4.88352991</v>
      </c>
      <c r="N497">
        <v>5.0840321399999997</v>
      </c>
      <c r="O497">
        <v>4.8986966499999998</v>
      </c>
      <c r="P497">
        <v>5.4036308722628936</v>
      </c>
      <c r="Q497">
        <v>514.42742092000003</v>
      </c>
      <c r="R497">
        <v>0</v>
      </c>
      <c r="S497" t="s">
        <v>1138</v>
      </c>
      <c r="T497">
        <v>381.48971839000001</v>
      </c>
      <c r="U497" t="s">
        <v>2819</v>
      </c>
      <c r="V497" t="s">
        <v>1059</v>
      </c>
      <c r="W497" s="114" t="str">
        <f t="shared" si="21"/>
        <v>ETF</v>
      </c>
      <c r="X497" s="114" t="str">
        <f t="shared" si="22"/>
        <v>Otros ETFs</v>
      </c>
    </row>
    <row r="498" spans="1:24" hidden="1" x14ac:dyDescent="0.25">
      <c r="A498" s="114" t="str">
        <f t="shared" si="23"/>
        <v>7025</v>
      </c>
      <c r="B498" t="s">
        <v>5640</v>
      </c>
      <c r="C498" t="s">
        <v>2033</v>
      </c>
      <c r="D498" t="s">
        <v>2034</v>
      </c>
      <c r="E498" t="s">
        <v>586</v>
      </c>
      <c r="F498" t="s">
        <v>1056</v>
      </c>
      <c r="G498" t="s">
        <v>1136</v>
      </c>
      <c r="H498" t="s">
        <v>1437</v>
      </c>
      <c r="I498" t="s">
        <v>90</v>
      </c>
      <c r="J498" t="s">
        <v>90</v>
      </c>
      <c r="K498">
        <v>443.00939258</v>
      </c>
      <c r="L498">
        <v>3.6707467299999998</v>
      </c>
      <c r="M498">
        <v>4.9050791299999998</v>
      </c>
      <c r="N498">
        <v>5.2152294899999996</v>
      </c>
      <c r="O498">
        <v>4.8463289400000003</v>
      </c>
      <c r="P498">
        <v>3.1128442462999999</v>
      </c>
      <c r="Q498">
        <v>512.80474534999996</v>
      </c>
      <c r="R498">
        <v>1.4912062993999999</v>
      </c>
      <c r="S498" t="s">
        <v>1138</v>
      </c>
      <c r="T498">
        <v>443.00939258</v>
      </c>
      <c r="U498" t="s">
        <v>2819</v>
      </c>
      <c r="V498" t="s">
        <v>1059</v>
      </c>
      <c r="W498" s="114" t="str">
        <f t="shared" si="21"/>
        <v>ETF</v>
      </c>
      <c r="X498" s="114" t="str">
        <f t="shared" si="22"/>
        <v>Otros ETFs</v>
      </c>
    </row>
    <row r="499" spans="1:24" hidden="1" x14ac:dyDescent="0.25">
      <c r="A499" s="114" t="str">
        <f t="shared" si="23"/>
        <v>4005</v>
      </c>
      <c r="B499" t="s">
        <v>2672</v>
      </c>
      <c r="C499" t="s">
        <v>2674</v>
      </c>
      <c r="D499" t="s">
        <v>3511</v>
      </c>
      <c r="E499" t="s">
        <v>175</v>
      </c>
      <c r="F499" t="s">
        <v>4812</v>
      </c>
      <c r="G499" t="s">
        <v>1185</v>
      </c>
      <c r="H499" t="s">
        <v>2643</v>
      </c>
      <c r="I499">
        <v>1852722885258.1101</v>
      </c>
      <c r="J499">
        <v>475992111.16602999</v>
      </c>
      <c r="K499">
        <v>256.91489804190002</v>
      </c>
      <c r="L499"/>
      <c r="M499"/>
      <c r="N499"/>
      <c r="O499"/>
      <c r="P499"/>
      <c r="Q499"/>
      <c r="R499"/>
      <c r="S499"/>
      <c r="T499">
        <v>204.30314809999999</v>
      </c>
      <c r="U499">
        <v>58.3</v>
      </c>
      <c r="V499" t="s">
        <v>2644</v>
      </c>
      <c r="W499" s="114" t="str">
        <f t="shared" si="21"/>
        <v>SOV</v>
      </c>
      <c r="X499" s="114" t="str">
        <f t="shared" si="22"/>
        <v>SOV</v>
      </c>
    </row>
    <row r="500" spans="1:24" hidden="1" x14ac:dyDescent="0.25">
      <c r="A500" s="114" t="str">
        <f t="shared" si="23"/>
        <v>4005</v>
      </c>
      <c r="B500" t="s">
        <v>2672</v>
      </c>
      <c r="C500" t="s">
        <v>2675</v>
      </c>
      <c r="D500" t="s">
        <v>3515</v>
      </c>
      <c r="E500" t="s">
        <v>175</v>
      </c>
      <c r="F500" t="s">
        <v>4812</v>
      </c>
      <c r="G500" t="s">
        <v>1185</v>
      </c>
      <c r="H500" t="s">
        <v>2643</v>
      </c>
      <c r="I500">
        <v>1852722885258.1101</v>
      </c>
      <c r="J500">
        <v>475992111.16602999</v>
      </c>
      <c r="K500">
        <v>256.91489804190002</v>
      </c>
      <c r="L500"/>
      <c r="M500"/>
      <c r="N500"/>
      <c r="O500"/>
      <c r="P500"/>
      <c r="Q500"/>
      <c r="R500"/>
      <c r="S500"/>
      <c r="T500">
        <v>204.30314809999999</v>
      </c>
      <c r="U500">
        <v>58.3</v>
      </c>
      <c r="V500" t="s">
        <v>2644</v>
      </c>
      <c r="W500" s="114" t="str">
        <f t="shared" si="21"/>
        <v>SOV</v>
      </c>
      <c r="X500" s="114" t="str">
        <f t="shared" si="22"/>
        <v>SOV</v>
      </c>
    </row>
    <row r="501" spans="1:24" hidden="1" x14ac:dyDescent="0.25">
      <c r="A501" s="114" t="str">
        <f t="shared" si="23"/>
        <v>4005</v>
      </c>
      <c r="B501" t="s">
        <v>2672</v>
      </c>
      <c r="C501" t="s">
        <v>2676</v>
      </c>
      <c r="D501" t="s">
        <v>3516</v>
      </c>
      <c r="E501" t="s">
        <v>175</v>
      </c>
      <c r="F501" t="s">
        <v>4812</v>
      </c>
      <c r="G501" t="s">
        <v>1185</v>
      </c>
      <c r="H501" t="s">
        <v>2643</v>
      </c>
      <c r="I501">
        <v>1852722885258.1101</v>
      </c>
      <c r="J501">
        <v>475992111.16602999</v>
      </c>
      <c r="K501">
        <v>256.91489804190002</v>
      </c>
      <c r="L501"/>
      <c r="M501"/>
      <c r="N501"/>
      <c r="O501"/>
      <c r="P501"/>
      <c r="Q501"/>
      <c r="R501"/>
      <c r="S501"/>
      <c r="T501">
        <v>204.30314809999999</v>
      </c>
      <c r="U501">
        <v>58.3</v>
      </c>
      <c r="V501" t="s">
        <v>2644</v>
      </c>
      <c r="W501" s="114" t="str">
        <f t="shared" si="21"/>
        <v>SOV</v>
      </c>
      <c r="X501" s="114" t="str">
        <f t="shared" si="22"/>
        <v>SOV</v>
      </c>
    </row>
    <row r="502" spans="1:24" hidden="1" x14ac:dyDescent="0.25">
      <c r="A502" s="114" t="str">
        <f t="shared" si="23"/>
        <v>4005</v>
      </c>
      <c r="B502" t="s">
        <v>2672</v>
      </c>
      <c r="C502" t="s">
        <v>2677</v>
      </c>
      <c r="D502" t="s">
        <v>3519</v>
      </c>
      <c r="E502" t="s">
        <v>175</v>
      </c>
      <c r="F502" t="s">
        <v>4812</v>
      </c>
      <c r="G502" t="s">
        <v>1185</v>
      </c>
      <c r="H502" t="s">
        <v>2643</v>
      </c>
      <c r="I502">
        <v>1852722885258.1101</v>
      </c>
      <c r="J502">
        <v>475992111.16602999</v>
      </c>
      <c r="K502">
        <v>256.91489804190002</v>
      </c>
      <c r="L502"/>
      <c r="M502"/>
      <c r="N502"/>
      <c r="O502"/>
      <c r="P502"/>
      <c r="Q502"/>
      <c r="R502"/>
      <c r="S502"/>
      <c r="T502">
        <v>204.30314809999999</v>
      </c>
      <c r="U502">
        <v>58.3</v>
      </c>
      <c r="V502" t="s">
        <v>2644</v>
      </c>
      <c r="W502" s="114" t="str">
        <f t="shared" si="21"/>
        <v>SOV</v>
      </c>
      <c r="X502" s="114" t="str">
        <f t="shared" si="22"/>
        <v>SOV</v>
      </c>
    </row>
    <row r="503" spans="1:24" hidden="1" x14ac:dyDescent="0.25">
      <c r="A503" s="114" t="str">
        <f t="shared" si="23"/>
        <v>7387</v>
      </c>
      <c r="B503" t="s">
        <v>2036</v>
      </c>
      <c r="C503" t="s">
        <v>2037</v>
      </c>
      <c r="D503" t="s">
        <v>2038</v>
      </c>
      <c r="E503" t="s">
        <v>586</v>
      </c>
      <c r="F503" t="s">
        <v>1056</v>
      </c>
      <c r="G503" t="s">
        <v>1737</v>
      </c>
      <c r="H503" t="s">
        <v>1738</v>
      </c>
      <c r="I503" t="s">
        <v>90</v>
      </c>
      <c r="J503" t="s">
        <v>90</v>
      </c>
      <c r="K503">
        <v>28.01529056</v>
      </c>
      <c r="L503">
        <v>7.8541611299999996</v>
      </c>
      <c r="M503">
        <v>7.4995052800000002</v>
      </c>
      <c r="N503">
        <v>5.1766098899999999</v>
      </c>
      <c r="O503">
        <v>6.3168749399999999</v>
      </c>
      <c r="P503">
        <v>26.168536860784702</v>
      </c>
      <c r="Q503">
        <v>50.456450529999998</v>
      </c>
      <c r="R503">
        <v>47.833040915122773</v>
      </c>
      <c r="S503" t="s">
        <v>1073</v>
      </c>
      <c r="T503">
        <v>28.01529056</v>
      </c>
      <c r="U503" t="s">
        <v>2819</v>
      </c>
      <c r="V503" t="s">
        <v>1059</v>
      </c>
      <c r="W503" s="114" t="str">
        <f t="shared" si="21"/>
        <v>ETF</v>
      </c>
      <c r="X503" s="114" t="str">
        <f t="shared" si="22"/>
        <v>Otros ETFs</v>
      </c>
    </row>
    <row r="504" spans="1:24" hidden="1" x14ac:dyDescent="0.25">
      <c r="A504" s="114" t="str">
        <f t="shared" si="23"/>
        <v>4005</v>
      </c>
      <c r="B504" t="s">
        <v>2672</v>
      </c>
      <c r="C504" t="s">
        <v>894</v>
      </c>
      <c r="D504" t="s">
        <v>893</v>
      </c>
      <c r="E504" t="s">
        <v>175</v>
      </c>
      <c r="F504" t="s">
        <v>4812</v>
      </c>
      <c r="G504" t="s">
        <v>1185</v>
      </c>
      <c r="H504" t="s">
        <v>2643</v>
      </c>
      <c r="I504">
        <v>1852722885258.1101</v>
      </c>
      <c r="J504">
        <v>475992111.16602999</v>
      </c>
      <c r="K504">
        <v>256.91489804190002</v>
      </c>
      <c r="L504"/>
      <c r="M504"/>
      <c r="N504"/>
      <c r="O504"/>
      <c r="P504"/>
      <c r="Q504"/>
      <c r="R504"/>
      <c r="S504"/>
      <c r="T504">
        <v>204.30314809999999</v>
      </c>
      <c r="U504">
        <v>58.3</v>
      </c>
      <c r="V504" t="s">
        <v>2644</v>
      </c>
      <c r="W504" s="114" t="str">
        <f t="shared" si="21"/>
        <v>SOV</v>
      </c>
      <c r="X504" s="114" t="str">
        <f t="shared" si="22"/>
        <v>SOV</v>
      </c>
    </row>
    <row r="505" spans="1:24" hidden="1" x14ac:dyDescent="0.25">
      <c r="A505" s="114" t="str">
        <f t="shared" si="23"/>
        <v>7073</v>
      </c>
      <c r="B505" t="s">
        <v>2039</v>
      </c>
      <c r="C505" t="s">
        <v>2040</v>
      </c>
      <c r="D505" t="s">
        <v>2041</v>
      </c>
      <c r="E505" t="s">
        <v>586</v>
      </c>
      <c r="F505" t="s">
        <v>1056</v>
      </c>
      <c r="G505" t="s">
        <v>1136</v>
      </c>
      <c r="H505" t="s">
        <v>1437</v>
      </c>
      <c r="I505" t="s">
        <v>90</v>
      </c>
      <c r="J505" t="s">
        <v>90</v>
      </c>
      <c r="K505">
        <v>399.30760852999998</v>
      </c>
      <c r="L505">
        <v>3.87627509</v>
      </c>
      <c r="M505">
        <v>4.9540661200000002</v>
      </c>
      <c r="N505">
        <v>5.6066907099999996</v>
      </c>
      <c r="O505">
        <v>5.1299809500000002</v>
      </c>
      <c r="P505">
        <v>3.1541959227647589</v>
      </c>
      <c r="Q505">
        <v>666.76020784000002</v>
      </c>
      <c r="R505">
        <v>3.1597682913643003E-2</v>
      </c>
      <c r="S505" t="s">
        <v>1138</v>
      </c>
      <c r="T505">
        <v>399.30760852999998</v>
      </c>
      <c r="U505" t="s">
        <v>2819</v>
      </c>
      <c r="V505" t="s">
        <v>1059</v>
      </c>
      <c r="W505" s="114" t="str">
        <f t="shared" si="21"/>
        <v>ETF</v>
      </c>
      <c r="X505" s="114" t="str">
        <f t="shared" si="22"/>
        <v>Otros ETFs</v>
      </c>
    </row>
    <row r="506" spans="1:24" hidden="1" x14ac:dyDescent="0.25">
      <c r="A506" s="114" t="str">
        <f t="shared" si="23"/>
        <v>4005</v>
      </c>
      <c r="B506" t="s">
        <v>2672</v>
      </c>
      <c r="C506" t="s">
        <v>2678</v>
      </c>
      <c r="D506" t="s">
        <v>3512</v>
      </c>
      <c r="E506" t="s">
        <v>175</v>
      </c>
      <c r="F506" t="s">
        <v>4812</v>
      </c>
      <c r="G506" t="s">
        <v>1185</v>
      </c>
      <c r="H506" t="s">
        <v>2643</v>
      </c>
      <c r="I506">
        <v>1852722885258.1101</v>
      </c>
      <c r="J506">
        <v>475992111.16602999</v>
      </c>
      <c r="K506">
        <v>256.91489804190002</v>
      </c>
      <c r="L506"/>
      <c r="M506"/>
      <c r="N506"/>
      <c r="O506"/>
      <c r="P506"/>
      <c r="Q506"/>
      <c r="R506"/>
      <c r="S506"/>
      <c r="T506">
        <v>204.30314809999999</v>
      </c>
      <c r="U506">
        <v>58.3</v>
      </c>
      <c r="V506" t="s">
        <v>2644</v>
      </c>
      <c r="W506" s="114" t="str">
        <f t="shared" si="21"/>
        <v>SOV</v>
      </c>
      <c r="X506" s="114" t="str">
        <f t="shared" si="22"/>
        <v>SOV</v>
      </c>
    </row>
    <row r="507" spans="1:24" hidden="1" x14ac:dyDescent="0.25">
      <c r="A507" s="114" t="str">
        <f t="shared" si="23"/>
        <v>7410</v>
      </c>
      <c r="B507" t="s">
        <v>5412</v>
      </c>
      <c r="C507" t="s">
        <v>649</v>
      </c>
      <c r="D507" t="s">
        <v>648</v>
      </c>
      <c r="E507" t="s">
        <v>586</v>
      </c>
      <c r="F507" t="s">
        <v>1056</v>
      </c>
      <c r="G507" t="s">
        <v>1714</v>
      </c>
      <c r="H507" t="s">
        <v>1791</v>
      </c>
      <c r="I507" t="s">
        <v>90</v>
      </c>
      <c r="J507" t="s">
        <v>90</v>
      </c>
      <c r="K507">
        <v>11.37433998</v>
      </c>
      <c r="L507">
        <v>6.6377736900000004</v>
      </c>
      <c r="M507">
        <v>6.0546306599999999</v>
      </c>
      <c r="N507">
        <v>4.7607551600000004</v>
      </c>
      <c r="O507">
        <v>6.2978722999999999</v>
      </c>
      <c r="P507">
        <v>3.3121629289821781</v>
      </c>
      <c r="Q507">
        <v>18.91354235</v>
      </c>
      <c r="R507">
        <v>41.345874857097378</v>
      </c>
      <c r="S507" t="s">
        <v>30</v>
      </c>
      <c r="T507">
        <v>11.37433998</v>
      </c>
      <c r="U507" t="s">
        <v>2819</v>
      </c>
      <c r="V507" t="s">
        <v>1059</v>
      </c>
      <c r="W507" s="114" t="str">
        <f t="shared" si="21"/>
        <v>ETF</v>
      </c>
      <c r="X507" s="114" t="str">
        <f t="shared" si="22"/>
        <v>Otros ETFs</v>
      </c>
    </row>
    <row r="508" spans="1:24" hidden="1" x14ac:dyDescent="0.25">
      <c r="A508" s="114" t="str">
        <f t="shared" si="23"/>
        <v>4005</v>
      </c>
      <c r="B508" t="s">
        <v>2672</v>
      </c>
      <c r="C508" t="s">
        <v>2679</v>
      </c>
      <c r="D508" t="s">
        <v>3544</v>
      </c>
      <c r="E508" t="s">
        <v>175</v>
      </c>
      <c r="F508" t="s">
        <v>4812</v>
      </c>
      <c r="G508" t="s">
        <v>1185</v>
      </c>
      <c r="H508" t="s">
        <v>2643</v>
      </c>
      <c r="I508">
        <v>1852722885258.1101</v>
      </c>
      <c r="J508">
        <v>475992111.16602999</v>
      </c>
      <c r="K508">
        <v>256.91489804190002</v>
      </c>
      <c r="L508"/>
      <c r="M508"/>
      <c r="N508"/>
      <c r="O508"/>
      <c r="P508"/>
      <c r="Q508"/>
      <c r="R508"/>
      <c r="S508"/>
      <c r="T508">
        <v>204.30314809999999</v>
      </c>
      <c r="U508">
        <v>58.3</v>
      </c>
      <c r="V508" t="s">
        <v>2644</v>
      </c>
      <c r="W508" s="114" t="str">
        <f t="shared" si="21"/>
        <v>SOV</v>
      </c>
      <c r="X508" s="114" t="str">
        <f t="shared" si="22"/>
        <v>SOV</v>
      </c>
    </row>
    <row r="509" spans="1:24" hidden="1" x14ac:dyDescent="0.25">
      <c r="A509" s="114" t="str">
        <f t="shared" si="23"/>
        <v>7550</v>
      </c>
      <c r="B509" t="s">
        <v>2043</v>
      </c>
      <c r="C509" t="s">
        <v>2044</v>
      </c>
      <c r="D509" t="s">
        <v>2045</v>
      </c>
      <c r="E509" t="s">
        <v>586</v>
      </c>
      <c r="F509" t="s">
        <v>1056</v>
      </c>
      <c r="G509" t="s">
        <v>1714</v>
      </c>
      <c r="H509" t="s">
        <v>2046</v>
      </c>
      <c r="I509" t="s">
        <v>90</v>
      </c>
      <c r="J509" t="s">
        <v>90</v>
      </c>
      <c r="K509">
        <v>3.7633917299999999</v>
      </c>
      <c r="L509">
        <v>7.3892229900000004</v>
      </c>
      <c r="M509">
        <v>6.7085229799999997</v>
      </c>
      <c r="N509">
        <v>4.9558339599999996</v>
      </c>
      <c r="O509">
        <v>6.3577374799999999</v>
      </c>
      <c r="P509">
        <v>12.57879286748517</v>
      </c>
      <c r="Q509">
        <v>8.3536199199999999</v>
      </c>
      <c r="R509">
        <v>42.595453914354287</v>
      </c>
      <c r="S509" t="s">
        <v>1073</v>
      </c>
      <c r="T509">
        <v>3.7633917299999999</v>
      </c>
      <c r="U509" t="s">
        <v>2819</v>
      </c>
      <c r="V509" t="s">
        <v>1059</v>
      </c>
      <c r="W509" s="114" t="str">
        <f t="shared" si="21"/>
        <v>ETF</v>
      </c>
      <c r="X509" s="114" t="str">
        <f t="shared" si="22"/>
        <v>Otros ETFs</v>
      </c>
    </row>
    <row r="510" spans="1:24" hidden="1" x14ac:dyDescent="0.25">
      <c r="A510" s="114" t="str">
        <f t="shared" si="23"/>
        <v>4005</v>
      </c>
      <c r="B510" t="s">
        <v>2672</v>
      </c>
      <c r="C510" t="s">
        <v>892</v>
      </c>
      <c r="D510" t="s">
        <v>891</v>
      </c>
      <c r="E510" t="s">
        <v>175</v>
      </c>
      <c r="F510" t="s">
        <v>4812</v>
      </c>
      <c r="G510" t="s">
        <v>1185</v>
      </c>
      <c r="H510" t="s">
        <v>2643</v>
      </c>
      <c r="I510">
        <v>1852722885258.1101</v>
      </c>
      <c r="J510">
        <v>475992111.16602999</v>
      </c>
      <c r="K510">
        <v>256.91489804190002</v>
      </c>
      <c r="L510"/>
      <c r="M510"/>
      <c r="N510"/>
      <c r="O510"/>
      <c r="P510"/>
      <c r="Q510"/>
      <c r="R510"/>
      <c r="S510"/>
      <c r="T510">
        <v>204.30314809999999</v>
      </c>
      <c r="U510">
        <v>58.3</v>
      </c>
      <c r="V510" t="s">
        <v>2644</v>
      </c>
      <c r="W510" s="114" t="str">
        <f t="shared" si="21"/>
        <v>SOV</v>
      </c>
      <c r="X510" s="114" t="str">
        <f t="shared" si="22"/>
        <v>SOV</v>
      </c>
    </row>
    <row r="511" spans="1:24" hidden="1" x14ac:dyDescent="0.25">
      <c r="A511" s="114" t="str">
        <f t="shared" si="23"/>
        <v>7046</v>
      </c>
      <c r="B511" t="s">
        <v>2047</v>
      </c>
      <c r="C511" t="s">
        <v>2048</v>
      </c>
      <c r="D511" t="s">
        <v>2049</v>
      </c>
      <c r="E511" t="s">
        <v>586</v>
      </c>
      <c r="F511" t="s">
        <v>1056</v>
      </c>
      <c r="G511" t="s">
        <v>1163</v>
      </c>
      <c r="H511" t="s">
        <v>1791</v>
      </c>
      <c r="I511" t="s">
        <v>90</v>
      </c>
      <c r="J511" t="s">
        <v>90</v>
      </c>
      <c r="K511">
        <v>52.411587699999998</v>
      </c>
      <c r="L511">
        <v>7.4302421799999996</v>
      </c>
      <c r="M511">
        <v>6.4799409399999996</v>
      </c>
      <c r="N511">
        <v>5.0010238500000002</v>
      </c>
      <c r="O511">
        <v>6.9699344999999999</v>
      </c>
      <c r="P511">
        <v>6.6224441342240441</v>
      </c>
      <c r="Q511">
        <v>81.576502309999995</v>
      </c>
      <c r="R511">
        <v>70.005579755378278</v>
      </c>
      <c r="S511" t="s">
        <v>1073</v>
      </c>
      <c r="T511">
        <v>52.411587699999998</v>
      </c>
      <c r="U511" t="s">
        <v>2819</v>
      </c>
      <c r="V511" t="s">
        <v>1059</v>
      </c>
      <c r="W511" s="114" t="str">
        <f t="shared" si="21"/>
        <v>ETF</v>
      </c>
      <c r="X511" s="114" t="str">
        <f t="shared" si="22"/>
        <v>Otros ETFs</v>
      </c>
    </row>
    <row r="512" spans="1:24" hidden="1" x14ac:dyDescent="0.25">
      <c r="A512" s="114" t="str">
        <f t="shared" si="23"/>
        <v>4005</v>
      </c>
      <c r="B512" t="s">
        <v>2672</v>
      </c>
      <c r="C512" t="s">
        <v>896</v>
      </c>
      <c r="D512" t="s">
        <v>895</v>
      </c>
      <c r="E512" t="s">
        <v>175</v>
      </c>
      <c r="F512" t="s">
        <v>4812</v>
      </c>
      <c r="G512" t="s">
        <v>1185</v>
      </c>
      <c r="H512" t="s">
        <v>2643</v>
      </c>
      <c r="I512">
        <v>1852722885258.1101</v>
      </c>
      <c r="J512">
        <v>475992111.16602999</v>
      </c>
      <c r="K512">
        <v>256.91489804190002</v>
      </c>
      <c r="L512"/>
      <c r="M512"/>
      <c r="N512"/>
      <c r="O512"/>
      <c r="P512"/>
      <c r="Q512"/>
      <c r="R512"/>
      <c r="S512"/>
      <c r="T512">
        <v>204.30314809999999</v>
      </c>
      <c r="U512">
        <v>58.3</v>
      </c>
      <c r="V512" t="s">
        <v>2644</v>
      </c>
      <c r="W512" s="114" t="str">
        <f t="shared" si="21"/>
        <v>SOV</v>
      </c>
      <c r="X512" s="114" t="str">
        <f t="shared" si="22"/>
        <v>SOV</v>
      </c>
    </row>
    <row r="513" spans="1:24" hidden="1" x14ac:dyDescent="0.25">
      <c r="A513" s="114" t="str">
        <f t="shared" si="23"/>
        <v>4005</v>
      </c>
      <c r="B513" t="s">
        <v>2672</v>
      </c>
      <c r="C513" t="s">
        <v>5079</v>
      </c>
      <c r="D513" t="s">
        <v>5080</v>
      </c>
      <c r="E513" t="s">
        <v>175</v>
      </c>
      <c r="F513" t="s">
        <v>4812</v>
      </c>
      <c r="G513" t="s">
        <v>1185</v>
      </c>
      <c r="H513" t="s">
        <v>2643</v>
      </c>
      <c r="I513">
        <v>1852722885258.1101</v>
      </c>
      <c r="J513">
        <v>475992111.16602999</v>
      </c>
      <c r="K513">
        <v>256.91489804190002</v>
      </c>
      <c r="L513"/>
      <c r="M513"/>
      <c r="N513"/>
      <c r="O513"/>
      <c r="P513"/>
      <c r="Q513"/>
      <c r="R513"/>
      <c r="S513"/>
      <c r="T513">
        <v>204.30314809999999</v>
      </c>
      <c r="U513">
        <v>58.3</v>
      </c>
      <c r="V513" t="s">
        <v>2644</v>
      </c>
      <c r="W513" s="114" t="str">
        <f t="shared" si="21"/>
        <v>SOV</v>
      </c>
      <c r="X513" s="114" t="str">
        <f t="shared" si="22"/>
        <v>SOV</v>
      </c>
    </row>
    <row r="514" spans="1:24" hidden="1" x14ac:dyDescent="0.25">
      <c r="A514" s="114" t="str">
        <f t="shared" si="23"/>
        <v>7449</v>
      </c>
      <c r="B514" t="s">
        <v>2050</v>
      </c>
      <c r="C514" t="s">
        <v>2051</v>
      </c>
      <c r="D514" t="s">
        <v>2052</v>
      </c>
      <c r="E514" t="s">
        <v>586</v>
      </c>
      <c r="F514" t="s">
        <v>1056</v>
      </c>
      <c r="G514" t="s">
        <v>1163</v>
      </c>
      <c r="H514" t="s">
        <v>2053</v>
      </c>
      <c r="I514" t="s">
        <v>90</v>
      </c>
      <c r="J514" t="s">
        <v>90</v>
      </c>
      <c r="K514">
        <v>74.162122460000006</v>
      </c>
      <c r="L514">
        <v>7.5560802699999998</v>
      </c>
      <c r="M514">
        <v>6.8709638100000001</v>
      </c>
      <c r="N514">
        <v>5.2434480499999996</v>
      </c>
      <c r="O514">
        <v>6.5795285000000003</v>
      </c>
      <c r="P514">
        <v>19.347913390782441</v>
      </c>
      <c r="Q514">
        <v>130.39622924</v>
      </c>
      <c r="R514">
        <v>41.443273839612708</v>
      </c>
      <c r="S514" t="s">
        <v>1073</v>
      </c>
      <c r="T514">
        <v>74.162122460000006</v>
      </c>
      <c r="U514" t="s">
        <v>2819</v>
      </c>
      <c r="V514" t="s">
        <v>1059</v>
      </c>
      <c r="W514" s="114" t="str">
        <f t="shared" ref="W514:W577" si="24">IF(V514="ETF_ETY","ETF",IF(V514="ETF_SOV","ETF",IF(V514="RF_SOV","SOV",IF(V514="-","Cuestionario Integra","Portafolio"))))</f>
        <v>ETF</v>
      </c>
      <c r="X514" s="114" t="str">
        <f t="shared" ref="X514:X577" si="25">IF(V514="ETF_ETY","Otros ETFs",IF(V514="ETF_SOV","Soberanos",W514))</f>
        <v>Otros ETFs</v>
      </c>
    </row>
    <row r="515" spans="1:24" hidden="1" x14ac:dyDescent="0.25">
      <c r="A515" s="114" t="str">
        <f t="shared" ref="A515:A578" si="26">RIGHT(LEFT(D515,6),4)</f>
        <v>4005</v>
      </c>
      <c r="B515" t="s">
        <v>2672</v>
      </c>
      <c r="C515" t="s">
        <v>2680</v>
      </c>
      <c r="D515" t="s">
        <v>3172</v>
      </c>
      <c r="E515" t="s">
        <v>175</v>
      </c>
      <c r="F515" t="s">
        <v>4812</v>
      </c>
      <c r="G515" t="s">
        <v>1185</v>
      </c>
      <c r="H515" t="s">
        <v>2643</v>
      </c>
      <c r="I515">
        <v>1852722885258.1101</v>
      </c>
      <c r="J515">
        <v>475992111.16602999</v>
      </c>
      <c r="K515">
        <v>256.91489804190002</v>
      </c>
      <c r="L515"/>
      <c r="M515"/>
      <c r="N515"/>
      <c r="O515"/>
      <c r="P515"/>
      <c r="Q515"/>
      <c r="R515"/>
      <c r="S515"/>
      <c r="T515">
        <v>204.30314809999999</v>
      </c>
      <c r="U515">
        <v>58.3</v>
      </c>
      <c r="V515" t="s">
        <v>2644</v>
      </c>
      <c r="W515" s="114" t="str">
        <f t="shared" si="24"/>
        <v>SOV</v>
      </c>
      <c r="X515" s="114" t="str">
        <f t="shared" si="25"/>
        <v>SOV</v>
      </c>
    </row>
    <row r="516" spans="1:24" hidden="1" x14ac:dyDescent="0.25">
      <c r="A516" s="114" t="str">
        <f t="shared" si="26"/>
        <v>7077</v>
      </c>
      <c r="B516" t="s">
        <v>2056</v>
      </c>
      <c r="C516" t="s">
        <v>2057</v>
      </c>
      <c r="D516" t="s">
        <v>2058</v>
      </c>
      <c r="E516" t="s">
        <v>586</v>
      </c>
      <c r="F516" t="s">
        <v>1056</v>
      </c>
      <c r="G516" t="s">
        <v>1766</v>
      </c>
      <c r="H516" t="s">
        <v>1829</v>
      </c>
      <c r="I516" t="s">
        <v>90</v>
      </c>
      <c r="J516" t="s">
        <v>90</v>
      </c>
      <c r="K516">
        <v>59.024699570000003</v>
      </c>
      <c r="L516">
        <v>4.0824051700000004</v>
      </c>
      <c r="M516">
        <v>4.3249151399999999</v>
      </c>
      <c r="N516">
        <v>3.8087413300000001</v>
      </c>
      <c r="O516">
        <v>5.0349569399999998</v>
      </c>
      <c r="P516">
        <v>0</v>
      </c>
      <c r="Q516">
        <v>92.517353979999996</v>
      </c>
      <c r="R516">
        <v>11.143931256713209</v>
      </c>
      <c r="S516" t="s">
        <v>1138</v>
      </c>
      <c r="T516">
        <v>59.024699570000003</v>
      </c>
      <c r="U516" t="s">
        <v>2819</v>
      </c>
      <c r="V516" t="s">
        <v>1059</v>
      </c>
      <c r="W516" s="114" t="str">
        <f t="shared" si="24"/>
        <v>ETF</v>
      </c>
      <c r="X516" s="114" t="str">
        <f t="shared" si="25"/>
        <v>Otros ETFs</v>
      </c>
    </row>
    <row r="517" spans="1:24" hidden="1" x14ac:dyDescent="0.25">
      <c r="A517" s="114" t="str">
        <f t="shared" si="26"/>
        <v>4005</v>
      </c>
      <c r="B517" t="s">
        <v>2672</v>
      </c>
      <c r="C517" t="s">
        <v>2681</v>
      </c>
      <c r="D517" t="s">
        <v>3175</v>
      </c>
      <c r="E517" t="s">
        <v>175</v>
      </c>
      <c r="F517" t="s">
        <v>4812</v>
      </c>
      <c r="G517" t="s">
        <v>1185</v>
      </c>
      <c r="H517" t="s">
        <v>2643</v>
      </c>
      <c r="I517">
        <v>1852722885258.1101</v>
      </c>
      <c r="J517">
        <v>475992111.16602999</v>
      </c>
      <c r="K517">
        <v>256.91489804190002</v>
      </c>
      <c r="L517"/>
      <c r="M517"/>
      <c r="N517"/>
      <c r="O517"/>
      <c r="P517"/>
      <c r="Q517"/>
      <c r="R517"/>
      <c r="S517"/>
      <c r="T517">
        <v>204.30314809999999</v>
      </c>
      <c r="U517">
        <v>58.3</v>
      </c>
      <c r="V517" t="s">
        <v>2644</v>
      </c>
      <c r="W517" s="114" t="str">
        <f t="shared" si="24"/>
        <v>SOV</v>
      </c>
      <c r="X517" s="114" t="str">
        <f t="shared" si="25"/>
        <v>SOV</v>
      </c>
    </row>
    <row r="518" spans="1:24" hidden="1" x14ac:dyDescent="0.25">
      <c r="A518" s="114" t="str">
        <f t="shared" si="26"/>
        <v>MSIM</v>
      </c>
      <c r="B518" t="s">
        <v>6256</v>
      </c>
      <c r="C518" t="s">
        <v>2060</v>
      </c>
      <c r="D518" t="s">
        <v>2061</v>
      </c>
      <c r="E518" t="s">
        <v>586</v>
      </c>
      <c r="F518" t="s">
        <v>1056</v>
      </c>
      <c r="G518" t="s">
        <v>1163</v>
      </c>
      <c r="H518" t="s">
        <v>1727</v>
      </c>
      <c r="I518" t="s">
        <v>90</v>
      </c>
      <c r="J518" t="s">
        <v>90</v>
      </c>
      <c r="K518">
        <v>34.82885744</v>
      </c>
      <c r="L518">
        <v>5.40169912</v>
      </c>
      <c r="M518">
        <v>6.5324937500000004</v>
      </c>
      <c r="N518">
        <v>4.7549419200000003</v>
      </c>
      <c r="O518">
        <v>5.0351031099999997</v>
      </c>
      <c r="P518">
        <v>11.65724701931317</v>
      </c>
      <c r="Q518">
        <v>53.809378500000001</v>
      </c>
      <c r="R518">
        <v>11.02628750315777</v>
      </c>
      <c r="S518" t="s">
        <v>1063</v>
      </c>
      <c r="T518">
        <v>34.82885744</v>
      </c>
      <c r="U518" t="s">
        <v>2819</v>
      </c>
      <c r="V518" t="s">
        <v>1059</v>
      </c>
      <c r="W518" s="114" t="str">
        <f t="shared" si="24"/>
        <v>ETF</v>
      </c>
      <c r="X518" s="114" t="str">
        <f t="shared" si="25"/>
        <v>Otros ETFs</v>
      </c>
    </row>
    <row r="519" spans="1:24" hidden="1" x14ac:dyDescent="0.25">
      <c r="A519" s="114" t="str">
        <f t="shared" si="26"/>
        <v>COMG</v>
      </c>
      <c r="B519" t="s">
        <v>2062</v>
      </c>
      <c r="C519" t="s">
        <v>2063</v>
      </c>
      <c r="D519" t="s">
        <v>2064</v>
      </c>
      <c r="E519" t="s">
        <v>586</v>
      </c>
      <c r="F519" t="s">
        <v>1056</v>
      </c>
      <c r="G519" t="s">
        <v>1375</v>
      </c>
      <c r="H519" t="s">
        <v>1376</v>
      </c>
      <c r="I519" t="s">
        <v>90</v>
      </c>
      <c r="J519" t="s">
        <v>90</v>
      </c>
      <c r="K519">
        <v>13.065891410000001</v>
      </c>
      <c r="L519">
        <v>7.3102282299999999</v>
      </c>
      <c r="M519">
        <v>5.1727060299999996</v>
      </c>
      <c r="N519">
        <v>5.4778952199999997</v>
      </c>
      <c r="O519">
        <v>6.3706901</v>
      </c>
      <c r="P519">
        <v>2.6760973239026762</v>
      </c>
      <c r="Q519">
        <v>37.81148366</v>
      </c>
      <c r="R519">
        <v>35.877464122535883</v>
      </c>
      <c r="S519" t="s">
        <v>1073</v>
      </c>
      <c r="T519">
        <v>13.065891410000001</v>
      </c>
      <c r="U519" t="s">
        <v>2819</v>
      </c>
      <c r="V519" t="s">
        <v>1059</v>
      </c>
      <c r="W519" s="114" t="str">
        <f t="shared" si="24"/>
        <v>ETF</v>
      </c>
      <c r="X519" s="114" t="str">
        <f t="shared" si="25"/>
        <v>Otros ETFs</v>
      </c>
    </row>
    <row r="520" spans="1:24" hidden="1" x14ac:dyDescent="0.25">
      <c r="A520" s="114" t="str">
        <f t="shared" si="26"/>
        <v>4005</v>
      </c>
      <c r="B520" t="s">
        <v>2672</v>
      </c>
      <c r="C520" t="s">
        <v>2682</v>
      </c>
      <c r="D520" t="s">
        <v>3177</v>
      </c>
      <c r="E520" t="s">
        <v>175</v>
      </c>
      <c r="F520" t="s">
        <v>4812</v>
      </c>
      <c r="G520" t="s">
        <v>1185</v>
      </c>
      <c r="H520" t="s">
        <v>2643</v>
      </c>
      <c r="I520">
        <v>1852722885258.1101</v>
      </c>
      <c r="J520">
        <v>475992111.16602999</v>
      </c>
      <c r="K520">
        <v>256.91489804190002</v>
      </c>
      <c r="L520"/>
      <c r="M520"/>
      <c r="N520"/>
      <c r="O520"/>
      <c r="P520"/>
      <c r="Q520"/>
      <c r="R520"/>
      <c r="S520"/>
      <c r="T520">
        <v>204.30314809999999</v>
      </c>
      <c r="U520">
        <v>58.3</v>
      </c>
      <c r="V520" t="s">
        <v>2644</v>
      </c>
      <c r="W520" s="114" t="str">
        <f t="shared" si="24"/>
        <v>SOV</v>
      </c>
      <c r="X520" s="114" t="str">
        <f t="shared" si="25"/>
        <v>SOV</v>
      </c>
    </row>
    <row r="521" spans="1:24" hidden="1" x14ac:dyDescent="0.25">
      <c r="A521" s="114" t="str">
        <f t="shared" si="26"/>
        <v>4005</v>
      </c>
      <c r="B521" t="s">
        <v>2672</v>
      </c>
      <c r="C521" t="s">
        <v>2683</v>
      </c>
      <c r="D521" t="s">
        <v>3179</v>
      </c>
      <c r="E521" t="s">
        <v>175</v>
      </c>
      <c r="F521" t="s">
        <v>4812</v>
      </c>
      <c r="G521" t="s">
        <v>1185</v>
      </c>
      <c r="H521" t="s">
        <v>2643</v>
      </c>
      <c r="I521">
        <v>1852722885258.1101</v>
      </c>
      <c r="J521">
        <v>475992111.16602999</v>
      </c>
      <c r="K521">
        <v>256.91489804190002</v>
      </c>
      <c r="L521"/>
      <c r="M521"/>
      <c r="N521"/>
      <c r="O521"/>
      <c r="P521"/>
      <c r="Q521"/>
      <c r="R521"/>
      <c r="S521"/>
      <c r="T521">
        <v>204.30314809999999</v>
      </c>
      <c r="U521">
        <v>58.3</v>
      </c>
      <c r="V521" t="s">
        <v>2644</v>
      </c>
      <c r="W521" s="114" t="str">
        <f t="shared" si="24"/>
        <v>SOV</v>
      </c>
      <c r="X521" s="114" t="str">
        <f t="shared" si="25"/>
        <v>SOV</v>
      </c>
    </row>
    <row r="522" spans="1:24" hidden="1" x14ac:dyDescent="0.25">
      <c r="A522" s="114" t="str">
        <f t="shared" si="26"/>
        <v>7511</v>
      </c>
      <c r="B522" t="s">
        <v>6257</v>
      </c>
      <c r="C522" t="s">
        <v>6258</v>
      </c>
      <c r="D522" t="s">
        <v>6259</v>
      </c>
      <c r="E522" t="s">
        <v>586</v>
      </c>
      <c r="F522" t="s">
        <v>1056</v>
      </c>
      <c r="G522" t="s">
        <v>1136</v>
      </c>
      <c r="H522" t="s">
        <v>2071</v>
      </c>
      <c r="I522" t="s">
        <v>90</v>
      </c>
      <c r="J522" t="s">
        <v>90</v>
      </c>
      <c r="K522">
        <v>101.99047464</v>
      </c>
      <c r="L522">
        <v>4.0604343600000004</v>
      </c>
      <c r="M522">
        <v>5.0480996300000003</v>
      </c>
      <c r="N522">
        <v>5.3566861100000001</v>
      </c>
      <c r="O522">
        <v>5.0237768000000003</v>
      </c>
      <c r="P522">
        <v>6.6811227375014139</v>
      </c>
      <c r="Q522">
        <v>166.92949419000001</v>
      </c>
      <c r="R522">
        <v>0</v>
      </c>
      <c r="S522" t="s">
        <v>1138</v>
      </c>
      <c r="T522">
        <v>101.99047464</v>
      </c>
      <c r="U522" t="s">
        <v>2819</v>
      </c>
      <c r="V522" t="s">
        <v>1059</v>
      </c>
      <c r="W522" s="114" t="str">
        <f t="shared" si="24"/>
        <v>ETF</v>
      </c>
      <c r="X522" s="114" t="str">
        <f t="shared" si="25"/>
        <v>Otros ETFs</v>
      </c>
    </row>
    <row r="523" spans="1:24" hidden="1" x14ac:dyDescent="0.25">
      <c r="A523" s="114" t="str">
        <f t="shared" si="26"/>
        <v>7386</v>
      </c>
      <c r="B523" t="s">
        <v>2065</v>
      </c>
      <c r="C523" t="s">
        <v>2066</v>
      </c>
      <c r="D523" t="s">
        <v>2067</v>
      </c>
      <c r="E523" t="s">
        <v>586</v>
      </c>
      <c r="F523" t="s">
        <v>1056</v>
      </c>
      <c r="G523" t="s">
        <v>1057</v>
      </c>
      <c r="H523" t="s">
        <v>1288</v>
      </c>
      <c r="I523" t="s">
        <v>90</v>
      </c>
      <c r="J523" t="s">
        <v>90</v>
      </c>
      <c r="K523">
        <v>147.15787048000001</v>
      </c>
      <c r="L523">
        <v>5.3428776899999999</v>
      </c>
      <c r="M523">
        <v>4.54475432</v>
      </c>
      <c r="N523">
        <v>4.7214560499999996</v>
      </c>
      <c r="O523">
        <v>5.6624830800000003</v>
      </c>
      <c r="P523">
        <v>8.3471252068781023</v>
      </c>
      <c r="Q523">
        <v>287.42703334999999</v>
      </c>
      <c r="R523">
        <v>14.778221673325101</v>
      </c>
      <c r="S523" t="s">
        <v>1063</v>
      </c>
      <c r="T523">
        <v>147.15787048000001</v>
      </c>
      <c r="U523" t="s">
        <v>2819</v>
      </c>
      <c r="V523" t="s">
        <v>1059</v>
      </c>
      <c r="W523" s="114" t="str">
        <f t="shared" si="24"/>
        <v>ETF</v>
      </c>
      <c r="X523" s="114" t="str">
        <f t="shared" si="25"/>
        <v>Otros ETFs</v>
      </c>
    </row>
    <row r="524" spans="1:24" hidden="1" x14ac:dyDescent="0.25">
      <c r="A524" s="114" t="str">
        <f t="shared" si="26"/>
        <v>4005</v>
      </c>
      <c r="B524" t="s">
        <v>2672</v>
      </c>
      <c r="C524" t="s">
        <v>2684</v>
      </c>
      <c r="D524" t="s">
        <v>3181</v>
      </c>
      <c r="E524" t="s">
        <v>175</v>
      </c>
      <c r="F524" t="s">
        <v>4812</v>
      </c>
      <c r="G524" t="s">
        <v>1185</v>
      </c>
      <c r="H524" t="s">
        <v>2643</v>
      </c>
      <c r="I524">
        <v>1852722885258.1101</v>
      </c>
      <c r="J524">
        <v>475992111.16602999</v>
      </c>
      <c r="K524">
        <v>256.91489804190002</v>
      </c>
      <c r="L524"/>
      <c r="M524"/>
      <c r="N524"/>
      <c r="O524"/>
      <c r="P524"/>
      <c r="Q524"/>
      <c r="R524"/>
      <c r="S524"/>
      <c r="T524">
        <v>204.30314809999999</v>
      </c>
      <c r="U524">
        <v>58.3</v>
      </c>
      <c r="V524" t="s">
        <v>2644</v>
      </c>
      <c r="W524" s="114" t="str">
        <f t="shared" si="24"/>
        <v>SOV</v>
      </c>
      <c r="X524" s="114" t="str">
        <f t="shared" si="25"/>
        <v>SOV</v>
      </c>
    </row>
    <row r="525" spans="1:24" hidden="1" x14ac:dyDescent="0.25">
      <c r="A525" s="114" t="str">
        <f t="shared" si="26"/>
        <v>BRAF</v>
      </c>
      <c r="B525" t="s">
        <v>5268</v>
      </c>
      <c r="C525" t="s">
        <v>2068</v>
      </c>
      <c r="D525" t="s">
        <v>2069</v>
      </c>
      <c r="E525" t="s">
        <v>586</v>
      </c>
      <c r="F525" t="s">
        <v>1056</v>
      </c>
      <c r="G525" t="s">
        <v>1766</v>
      </c>
      <c r="H525" t="s">
        <v>1266</v>
      </c>
      <c r="I525" t="s">
        <v>90</v>
      </c>
      <c r="J525" t="s">
        <v>90</v>
      </c>
      <c r="K525">
        <v>57.753063189999999</v>
      </c>
      <c r="L525">
        <v>6.7245364399999996</v>
      </c>
      <c r="M525">
        <v>5.66004577</v>
      </c>
      <c r="N525">
        <v>5.51142193</v>
      </c>
      <c r="O525">
        <v>5.4301323100000003</v>
      </c>
      <c r="P525">
        <v>25.178614882883618</v>
      </c>
      <c r="Q525">
        <v>221.46722711000001</v>
      </c>
      <c r="R525">
        <v>13.46325922779358</v>
      </c>
      <c r="S525" t="s">
        <v>30</v>
      </c>
      <c r="T525">
        <v>57.753063189999999</v>
      </c>
      <c r="U525" t="s">
        <v>2819</v>
      </c>
      <c r="V525" t="s">
        <v>1059</v>
      </c>
      <c r="W525" s="114" t="str">
        <f t="shared" si="24"/>
        <v>ETF</v>
      </c>
      <c r="X525" s="114" t="str">
        <f t="shared" si="25"/>
        <v>Otros ETFs</v>
      </c>
    </row>
    <row r="526" spans="1:24" hidden="1" x14ac:dyDescent="0.25">
      <c r="A526" s="114" t="str">
        <f t="shared" si="26"/>
        <v>4005</v>
      </c>
      <c r="B526" t="s">
        <v>2672</v>
      </c>
      <c r="C526" t="s">
        <v>2685</v>
      </c>
      <c r="D526" t="s">
        <v>3182</v>
      </c>
      <c r="E526" t="s">
        <v>175</v>
      </c>
      <c r="F526" t="s">
        <v>4812</v>
      </c>
      <c r="G526" t="s">
        <v>1185</v>
      </c>
      <c r="H526" t="s">
        <v>2643</v>
      </c>
      <c r="I526">
        <v>1852722885258.1101</v>
      </c>
      <c r="J526">
        <v>475992111.16602999</v>
      </c>
      <c r="K526">
        <v>256.91489804190002</v>
      </c>
      <c r="L526"/>
      <c r="M526"/>
      <c r="N526"/>
      <c r="O526"/>
      <c r="P526"/>
      <c r="Q526"/>
      <c r="R526"/>
      <c r="S526"/>
      <c r="T526">
        <v>204.30314809999999</v>
      </c>
      <c r="U526">
        <v>58.3</v>
      </c>
      <c r="V526" t="s">
        <v>2644</v>
      </c>
      <c r="W526" s="114" t="str">
        <f t="shared" si="24"/>
        <v>SOV</v>
      </c>
      <c r="X526" s="114" t="str">
        <f t="shared" si="25"/>
        <v>SOV</v>
      </c>
    </row>
    <row r="527" spans="1:24" hidden="1" x14ac:dyDescent="0.25">
      <c r="A527" s="114" t="str">
        <f t="shared" si="26"/>
        <v>4005</v>
      </c>
      <c r="B527" t="s">
        <v>2672</v>
      </c>
      <c r="C527" t="s">
        <v>2686</v>
      </c>
      <c r="D527" t="s">
        <v>3183</v>
      </c>
      <c r="E527" t="s">
        <v>175</v>
      </c>
      <c r="F527" t="s">
        <v>4812</v>
      </c>
      <c r="G527" t="s">
        <v>1185</v>
      </c>
      <c r="H527" t="s">
        <v>2643</v>
      </c>
      <c r="I527">
        <v>1852722885258.1101</v>
      </c>
      <c r="J527">
        <v>475992111.16602999</v>
      </c>
      <c r="K527">
        <v>256.91489804190002</v>
      </c>
      <c r="L527"/>
      <c r="M527"/>
      <c r="N527"/>
      <c r="O527"/>
      <c r="P527"/>
      <c r="Q527"/>
      <c r="R527"/>
      <c r="S527"/>
      <c r="T527">
        <v>204.30314809999999</v>
      </c>
      <c r="U527">
        <v>58.3</v>
      </c>
      <c r="V527" t="s">
        <v>2644</v>
      </c>
      <c r="W527" s="114" t="str">
        <f t="shared" si="24"/>
        <v>SOV</v>
      </c>
      <c r="X527" s="114" t="str">
        <f t="shared" si="25"/>
        <v>SOV</v>
      </c>
    </row>
    <row r="528" spans="1:24" hidden="1" x14ac:dyDescent="0.25">
      <c r="A528" s="114" t="str">
        <f t="shared" si="26"/>
        <v>7511</v>
      </c>
      <c r="B528" t="s">
        <v>2070</v>
      </c>
      <c r="C528" t="s">
        <v>679</v>
      </c>
      <c r="D528" t="s">
        <v>678</v>
      </c>
      <c r="E528" t="s">
        <v>586</v>
      </c>
      <c r="F528" t="s">
        <v>1056</v>
      </c>
      <c r="G528" t="s">
        <v>1071</v>
      </c>
      <c r="H528" t="s">
        <v>2071</v>
      </c>
      <c r="I528" t="s">
        <v>90</v>
      </c>
      <c r="J528" t="s">
        <v>90</v>
      </c>
      <c r="K528">
        <v>0.51333318999999999</v>
      </c>
      <c r="L528">
        <v>8.4060040600000008</v>
      </c>
      <c r="M528">
        <v>8.6088747399999992</v>
      </c>
      <c r="N528">
        <v>5.1237521299999997</v>
      </c>
      <c r="O528">
        <v>6.4384205899999998</v>
      </c>
      <c r="P528">
        <v>26.55794852912793</v>
      </c>
      <c r="Q528">
        <v>1.8902541799999999</v>
      </c>
      <c r="R528">
        <v>64.445487019446333</v>
      </c>
      <c r="S528" t="s">
        <v>1073</v>
      </c>
      <c r="T528">
        <v>0.51333318999999999</v>
      </c>
      <c r="U528" t="s">
        <v>2819</v>
      </c>
      <c r="V528" t="s">
        <v>1059</v>
      </c>
      <c r="W528" s="114" t="str">
        <f t="shared" si="24"/>
        <v>ETF</v>
      </c>
      <c r="X528" s="114" t="str">
        <f t="shared" si="25"/>
        <v>Otros ETFs</v>
      </c>
    </row>
    <row r="529" spans="1:24" hidden="1" x14ac:dyDescent="0.25">
      <c r="A529" s="114" t="str">
        <f t="shared" si="26"/>
        <v>4005</v>
      </c>
      <c r="B529" t="s">
        <v>2672</v>
      </c>
      <c r="C529" t="s">
        <v>2688</v>
      </c>
      <c r="D529" t="s">
        <v>3184</v>
      </c>
      <c r="E529" t="s">
        <v>175</v>
      </c>
      <c r="F529" t="s">
        <v>4812</v>
      </c>
      <c r="G529" t="s">
        <v>1185</v>
      </c>
      <c r="H529" t="s">
        <v>2643</v>
      </c>
      <c r="I529">
        <v>1852722885258.1101</v>
      </c>
      <c r="J529">
        <v>475992111.16602999</v>
      </c>
      <c r="K529">
        <v>256.91489804190002</v>
      </c>
      <c r="L529"/>
      <c r="M529"/>
      <c r="N529"/>
      <c r="O529"/>
      <c r="P529"/>
      <c r="Q529"/>
      <c r="R529"/>
      <c r="S529"/>
      <c r="T529">
        <v>204.30314809999999</v>
      </c>
      <c r="U529">
        <v>58.3</v>
      </c>
      <c r="V529" t="s">
        <v>2644</v>
      </c>
      <c r="W529" s="114" t="str">
        <f t="shared" si="24"/>
        <v>SOV</v>
      </c>
      <c r="X529" s="114" t="str">
        <f t="shared" si="25"/>
        <v>SOV</v>
      </c>
    </row>
    <row r="530" spans="1:24" hidden="1" x14ac:dyDescent="0.25">
      <c r="A530" s="114" t="str">
        <f t="shared" si="26"/>
        <v>7511</v>
      </c>
      <c r="B530" t="s">
        <v>2072</v>
      </c>
      <c r="C530" t="s">
        <v>2073</v>
      </c>
      <c r="D530" t="s">
        <v>2074</v>
      </c>
      <c r="E530" t="s">
        <v>586</v>
      </c>
      <c r="F530" t="s">
        <v>1056</v>
      </c>
      <c r="G530" t="s">
        <v>1071</v>
      </c>
      <c r="H530" t="s">
        <v>2071</v>
      </c>
      <c r="I530" t="s">
        <v>90</v>
      </c>
      <c r="J530" t="s">
        <v>90</v>
      </c>
      <c r="K530">
        <v>0.51333318999999999</v>
      </c>
      <c r="L530">
        <v>8.4060040600000008</v>
      </c>
      <c r="M530">
        <v>8.6088747399999992</v>
      </c>
      <c r="N530">
        <v>5.1237521299999997</v>
      </c>
      <c r="O530">
        <v>6.4384205899999998</v>
      </c>
      <c r="P530">
        <v>26.55794852912793</v>
      </c>
      <c r="Q530">
        <v>1.8902541799999999</v>
      </c>
      <c r="R530">
        <v>64.445487019446333</v>
      </c>
      <c r="S530" t="s">
        <v>1073</v>
      </c>
      <c r="T530">
        <v>0.51333318999999999</v>
      </c>
      <c r="U530" t="s">
        <v>2819</v>
      </c>
      <c r="V530" t="s">
        <v>1059</v>
      </c>
      <c r="W530" s="114" t="str">
        <f t="shared" si="24"/>
        <v>ETF</v>
      </c>
      <c r="X530" s="114" t="str">
        <f t="shared" si="25"/>
        <v>Otros ETFs</v>
      </c>
    </row>
    <row r="531" spans="1:24" hidden="1" x14ac:dyDescent="0.25">
      <c r="A531" s="114" t="str">
        <f t="shared" si="26"/>
        <v>7026</v>
      </c>
      <c r="B531" t="s">
        <v>2075</v>
      </c>
      <c r="C531" t="s">
        <v>2076</v>
      </c>
      <c r="D531" t="s">
        <v>2077</v>
      </c>
      <c r="E531" t="s">
        <v>586</v>
      </c>
      <c r="F531" t="s">
        <v>1056</v>
      </c>
      <c r="G531" t="s">
        <v>1136</v>
      </c>
      <c r="H531" t="s">
        <v>6144</v>
      </c>
      <c r="I531" t="s">
        <v>90</v>
      </c>
      <c r="J531" t="s">
        <v>90</v>
      </c>
      <c r="K531">
        <v>32.7721515</v>
      </c>
      <c r="L531">
        <v>7.1131629199999997</v>
      </c>
      <c r="M531">
        <v>6.1258047500000004</v>
      </c>
      <c r="N531">
        <v>5.5843861300000004</v>
      </c>
      <c r="O531">
        <v>5.3563341600000003</v>
      </c>
      <c r="P531">
        <v>24.656275343724651</v>
      </c>
      <c r="Q531">
        <v>74.330353360000004</v>
      </c>
      <c r="R531">
        <v>12.36048763951236</v>
      </c>
      <c r="S531" t="s">
        <v>30</v>
      </c>
      <c r="T531">
        <v>32.7721515</v>
      </c>
      <c r="U531" t="s">
        <v>2819</v>
      </c>
      <c r="V531" t="s">
        <v>1059</v>
      </c>
      <c r="W531" s="114" t="str">
        <f t="shared" si="24"/>
        <v>ETF</v>
      </c>
      <c r="X531" s="114" t="str">
        <f t="shared" si="25"/>
        <v>Otros ETFs</v>
      </c>
    </row>
    <row r="532" spans="1:24" hidden="1" x14ac:dyDescent="0.25">
      <c r="A532" s="114" t="str">
        <f t="shared" si="26"/>
        <v>4005</v>
      </c>
      <c r="B532" t="s">
        <v>2672</v>
      </c>
      <c r="C532" t="s">
        <v>2689</v>
      </c>
      <c r="D532" t="s">
        <v>3186</v>
      </c>
      <c r="E532" t="s">
        <v>175</v>
      </c>
      <c r="F532" t="s">
        <v>4812</v>
      </c>
      <c r="G532" t="s">
        <v>1185</v>
      </c>
      <c r="H532" t="s">
        <v>2643</v>
      </c>
      <c r="I532">
        <v>1852722885258.1101</v>
      </c>
      <c r="J532">
        <v>475992111.16602999</v>
      </c>
      <c r="K532">
        <v>256.91489804190002</v>
      </c>
      <c r="L532"/>
      <c r="M532"/>
      <c r="N532"/>
      <c r="O532"/>
      <c r="P532"/>
      <c r="Q532"/>
      <c r="R532"/>
      <c r="S532"/>
      <c r="T532">
        <v>204.30314809999999</v>
      </c>
      <c r="U532">
        <v>58.3</v>
      </c>
      <c r="V532" t="s">
        <v>2644</v>
      </c>
      <c r="W532" s="114" t="str">
        <f t="shared" si="24"/>
        <v>SOV</v>
      </c>
      <c r="X532" s="114" t="str">
        <f t="shared" si="25"/>
        <v>SOV</v>
      </c>
    </row>
    <row r="533" spans="1:24" hidden="1" x14ac:dyDescent="0.25">
      <c r="A533" s="114" t="str">
        <f t="shared" si="26"/>
        <v>4005</v>
      </c>
      <c r="B533" t="s">
        <v>2672</v>
      </c>
      <c r="C533" t="s">
        <v>2690</v>
      </c>
      <c r="D533" t="s">
        <v>3190</v>
      </c>
      <c r="E533" t="s">
        <v>175</v>
      </c>
      <c r="F533" t="s">
        <v>4812</v>
      </c>
      <c r="G533" t="s">
        <v>1185</v>
      </c>
      <c r="H533" t="s">
        <v>2643</v>
      </c>
      <c r="I533">
        <v>1852722885258.1101</v>
      </c>
      <c r="J533">
        <v>475992111.16602999</v>
      </c>
      <c r="K533">
        <v>256.91489804190002</v>
      </c>
      <c r="L533"/>
      <c r="M533"/>
      <c r="N533"/>
      <c r="O533"/>
      <c r="P533"/>
      <c r="Q533"/>
      <c r="R533"/>
      <c r="S533"/>
      <c r="T533">
        <v>204.30314809999999</v>
      </c>
      <c r="U533">
        <v>58.3</v>
      </c>
      <c r="V533" t="s">
        <v>2644</v>
      </c>
      <c r="W533" s="114" t="str">
        <f t="shared" si="24"/>
        <v>SOV</v>
      </c>
      <c r="X533" s="114" t="str">
        <f t="shared" si="25"/>
        <v>SOV</v>
      </c>
    </row>
    <row r="534" spans="1:24" hidden="1" x14ac:dyDescent="0.25">
      <c r="A534" s="114" t="str">
        <f t="shared" si="26"/>
        <v>7022</v>
      </c>
      <c r="B534" t="s">
        <v>6042</v>
      </c>
      <c r="C534" t="s">
        <v>6043</v>
      </c>
      <c r="D534" t="s">
        <v>2082</v>
      </c>
      <c r="E534" t="s">
        <v>586</v>
      </c>
      <c r="F534" t="s">
        <v>1056</v>
      </c>
      <c r="G534" t="s">
        <v>1071</v>
      </c>
      <c r="H534" t="s">
        <v>1583</v>
      </c>
      <c r="I534" t="s">
        <v>90</v>
      </c>
      <c r="J534" t="s">
        <v>90</v>
      </c>
      <c r="K534">
        <v>202.59174264999999</v>
      </c>
      <c r="L534">
        <v>5.7821902300000003</v>
      </c>
      <c r="M534">
        <v>5.7454840000000003</v>
      </c>
      <c r="N534">
        <v>7.4444753700000001</v>
      </c>
      <c r="O534">
        <v>6.1710504400000001</v>
      </c>
      <c r="P534">
        <v>0</v>
      </c>
      <c r="Q534"/>
      <c r="R534">
        <v>0</v>
      </c>
      <c r="S534" t="s">
        <v>30</v>
      </c>
      <c r="T534">
        <v>202.59174264999999</v>
      </c>
      <c r="U534" t="s">
        <v>2819</v>
      </c>
      <c r="V534" t="s">
        <v>1278</v>
      </c>
      <c r="W534" s="114" t="str">
        <f t="shared" si="24"/>
        <v>ETF</v>
      </c>
      <c r="X534" s="114" t="str">
        <f t="shared" si="25"/>
        <v>Soberanos</v>
      </c>
    </row>
    <row r="535" spans="1:24" hidden="1" x14ac:dyDescent="0.25">
      <c r="A535" s="114" t="str">
        <f t="shared" si="26"/>
        <v>4005</v>
      </c>
      <c r="B535" t="s">
        <v>2672</v>
      </c>
      <c r="C535" t="s">
        <v>2691</v>
      </c>
      <c r="D535" t="s">
        <v>3164</v>
      </c>
      <c r="E535" t="s">
        <v>175</v>
      </c>
      <c r="F535" t="s">
        <v>4812</v>
      </c>
      <c r="G535" t="s">
        <v>1185</v>
      </c>
      <c r="H535" t="s">
        <v>2643</v>
      </c>
      <c r="I535">
        <v>1852722885258.1101</v>
      </c>
      <c r="J535">
        <v>475992111.16602999</v>
      </c>
      <c r="K535">
        <v>256.91489804190002</v>
      </c>
      <c r="L535"/>
      <c r="M535"/>
      <c r="N535"/>
      <c r="O535"/>
      <c r="P535"/>
      <c r="Q535"/>
      <c r="R535"/>
      <c r="S535"/>
      <c r="T535">
        <v>204.30314809999999</v>
      </c>
      <c r="U535">
        <v>58.3</v>
      </c>
      <c r="V535" t="s">
        <v>2644</v>
      </c>
      <c r="W535" s="114" t="str">
        <f t="shared" si="24"/>
        <v>SOV</v>
      </c>
      <c r="X535" s="114" t="str">
        <f t="shared" si="25"/>
        <v>SOV</v>
      </c>
    </row>
    <row r="536" spans="1:24" hidden="1" x14ac:dyDescent="0.25">
      <c r="A536" s="114" t="str">
        <f t="shared" si="26"/>
        <v>4005</v>
      </c>
      <c r="B536" t="s">
        <v>2672</v>
      </c>
      <c r="C536" t="s">
        <v>2692</v>
      </c>
      <c r="D536" t="s">
        <v>3185</v>
      </c>
      <c r="E536" t="s">
        <v>175</v>
      </c>
      <c r="F536" t="s">
        <v>4812</v>
      </c>
      <c r="G536" t="s">
        <v>1185</v>
      </c>
      <c r="H536" t="s">
        <v>2643</v>
      </c>
      <c r="I536">
        <v>1852722885258.1101</v>
      </c>
      <c r="J536">
        <v>475992111.16602999</v>
      </c>
      <c r="K536">
        <v>256.91489804190002</v>
      </c>
      <c r="L536"/>
      <c r="M536"/>
      <c r="N536"/>
      <c r="O536"/>
      <c r="P536"/>
      <c r="Q536"/>
      <c r="R536"/>
      <c r="S536"/>
      <c r="T536">
        <v>204.30314809999999</v>
      </c>
      <c r="U536">
        <v>58.3</v>
      </c>
      <c r="V536" t="s">
        <v>2644</v>
      </c>
      <c r="W536" s="114" t="str">
        <f t="shared" si="24"/>
        <v>SOV</v>
      </c>
      <c r="X536" s="114" t="str">
        <f t="shared" si="25"/>
        <v>SOV</v>
      </c>
    </row>
    <row r="537" spans="1:24" hidden="1" x14ac:dyDescent="0.25">
      <c r="A537" s="114" t="str">
        <f t="shared" si="26"/>
        <v>7027</v>
      </c>
      <c r="B537" t="s">
        <v>2083</v>
      </c>
      <c r="C537" t="s">
        <v>2084</v>
      </c>
      <c r="D537" t="s">
        <v>2085</v>
      </c>
      <c r="E537" t="s">
        <v>586</v>
      </c>
      <c r="F537" t="s">
        <v>1056</v>
      </c>
      <c r="G537" t="s">
        <v>1136</v>
      </c>
      <c r="H537" t="s">
        <v>6144</v>
      </c>
      <c r="I537" t="s">
        <v>90</v>
      </c>
      <c r="J537" t="s">
        <v>90</v>
      </c>
      <c r="K537">
        <v>195.36807037</v>
      </c>
      <c r="L537">
        <v>6.2699650499999997</v>
      </c>
      <c r="M537">
        <v>5.3518847200000002</v>
      </c>
      <c r="N537">
        <v>5.4309446299999999</v>
      </c>
      <c r="O537">
        <v>5.0748861999999999</v>
      </c>
      <c r="P537">
        <v>19.474385043096468</v>
      </c>
      <c r="Q537">
        <v>332.55075412999997</v>
      </c>
      <c r="R537">
        <v>9.236699676301642</v>
      </c>
      <c r="S537" t="s">
        <v>30</v>
      </c>
      <c r="T537">
        <v>195.36807037</v>
      </c>
      <c r="U537" t="s">
        <v>2819</v>
      </c>
      <c r="V537" t="s">
        <v>1059</v>
      </c>
      <c r="W537" s="114" t="str">
        <f t="shared" si="24"/>
        <v>ETF</v>
      </c>
      <c r="X537" s="114" t="str">
        <f t="shared" si="25"/>
        <v>Otros ETFs</v>
      </c>
    </row>
    <row r="538" spans="1:24" hidden="1" x14ac:dyDescent="0.25">
      <c r="A538" s="114" t="str">
        <f t="shared" si="26"/>
        <v>4005</v>
      </c>
      <c r="B538" t="s">
        <v>2672</v>
      </c>
      <c r="C538" t="s">
        <v>2693</v>
      </c>
      <c r="D538" t="s">
        <v>3165</v>
      </c>
      <c r="E538" t="s">
        <v>175</v>
      </c>
      <c r="F538" t="s">
        <v>4812</v>
      </c>
      <c r="G538" t="s">
        <v>1185</v>
      </c>
      <c r="H538" t="s">
        <v>2643</v>
      </c>
      <c r="I538">
        <v>1852722885258.1101</v>
      </c>
      <c r="J538">
        <v>475992111.16602999</v>
      </c>
      <c r="K538">
        <v>256.91489804190002</v>
      </c>
      <c r="L538"/>
      <c r="M538"/>
      <c r="N538"/>
      <c r="O538"/>
      <c r="P538"/>
      <c r="Q538"/>
      <c r="R538"/>
      <c r="S538"/>
      <c r="T538">
        <v>204.30314809999999</v>
      </c>
      <c r="U538">
        <v>58.3</v>
      </c>
      <c r="V538" t="s">
        <v>2644</v>
      </c>
      <c r="W538" s="114" t="str">
        <f t="shared" si="24"/>
        <v>SOV</v>
      </c>
      <c r="X538" s="114" t="str">
        <f t="shared" si="25"/>
        <v>SOV</v>
      </c>
    </row>
    <row r="539" spans="1:24" hidden="1" x14ac:dyDescent="0.25">
      <c r="A539" s="114" t="str">
        <f t="shared" si="26"/>
        <v>BELL</v>
      </c>
      <c r="B539" t="s">
        <v>5761</v>
      </c>
      <c r="C539" t="s">
        <v>2086</v>
      </c>
      <c r="D539" t="s">
        <v>2087</v>
      </c>
      <c r="E539" t="s">
        <v>586</v>
      </c>
      <c r="F539" t="s">
        <v>1056</v>
      </c>
      <c r="G539" t="s">
        <v>1057</v>
      </c>
      <c r="H539" t="s">
        <v>1155</v>
      </c>
      <c r="I539" t="s">
        <v>90</v>
      </c>
      <c r="J539" t="s">
        <v>90</v>
      </c>
      <c r="K539">
        <v>3.3909785499999998</v>
      </c>
      <c r="L539">
        <v>6.6692025199999998</v>
      </c>
      <c r="M539">
        <v>9.1419579399999993</v>
      </c>
      <c r="N539">
        <v>5.2747746199999996</v>
      </c>
      <c r="O539">
        <v>6.4529485099999997</v>
      </c>
      <c r="P539">
        <v>30.318000000000001</v>
      </c>
      <c r="Q539">
        <v>17.22741705</v>
      </c>
      <c r="R539">
        <v>32.596299999999999</v>
      </c>
      <c r="S539" t="s">
        <v>30</v>
      </c>
      <c r="T539">
        <v>3.3909785499999998</v>
      </c>
      <c r="U539" t="s">
        <v>2819</v>
      </c>
      <c r="V539" t="s">
        <v>1059</v>
      </c>
      <c r="W539" s="114" t="str">
        <f t="shared" si="24"/>
        <v>ETF</v>
      </c>
      <c r="X539" s="114" t="str">
        <f t="shared" si="25"/>
        <v>Otros ETFs</v>
      </c>
    </row>
    <row r="540" spans="1:24" hidden="1" x14ac:dyDescent="0.25">
      <c r="A540" s="114" t="str">
        <f t="shared" si="26"/>
        <v>4005</v>
      </c>
      <c r="B540" t="s">
        <v>2672</v>
      </c>
      <c r="C540" t="s">
        <v>2694</v>
      </c>
      <c r="D540" t="s">
        <v>3188</v>
      </c>
      <c r="E540" t="s">
        <v>175</v>
      </c>
      <c r="F540" t="s">
        <v>4812</v>
      </c>
      <c r="G540" t="s">
        <v>1185</v>
      </c>
      <c r="H540" t="s">
        <v>2643</v>
      </c>
      <c r="I540">
        <v>1852722885258.1101</v>
      </c>
      <c r="J540">
        <v>475992111.16602999</v>
      </c>
      <c r="K540">
        <v>256.91489804190002</v>
      </c>
      <c r="L540"/>
      <c r="M540"/>
      <c r="N540"/>
      <c r="O540"/>
      <c r="P540"/>
      <c r="Q540"/>
      <c r="R540"/>
      <c r="S540"/>
      <c r="T540">
        <v>204.30314809999999</v>
      </c>
      <c r="U540">
        <v>58.3</v>
      </c>
      <c r="V540" t="s">
        <v>2644</v>
      </c>
      <c r="W540" s="114" t="str">
        <f t="shared" si="24"/>
        <v>SOV</v>
      </c>
      <c r="X540" s="114" t="str">
        <f t="shared" si="25"/>
        <v>SOV</v>
      </c>
    </row>
    <row r="541" spans="1:24" hidden="1" x14ac:dyDescent="0.25">
      <c r="A541" s="114" t="str">
        <f t="shared" si="26"/>
        <v>7388</v>
      </c>
      <c r="B541" t="s">
        <v>2088</v>
      </c>
      <c r="C541" t="s">
        <v>635</v>
      </c>
      <c r="D541" t="s">
        <v>634</v>
      </c>
      <c r="E541" t="s">
        <v>586</v>
      </c>
      <c r="F541" t="s">
        <v>1056</v>
      </c>
      <c r="G541" t="s">
        <v>1071</v>
      </c>
      <c r="H541" t="s">
        <v>1753</v>
      </c>
      <c r="I541" t="s">
        <v>90</v>
      </c>
      <c r="J541" t="s">
        <v>90</v>
      </c>
      <c r="K541">
        <v>111.30548919</v>
      </c>
      <c r="L541">
        <v>6.2076212899999996</v>
      </c>
      <c r="M541">
        <v>5.2808873600000004</v>
      </c>
      <c r="N541">
        <v>4.74576259</v>
      </c>
      <c r="O541">
        <v>5.9604740100000004</v>
      </c>
      <c r="P541">
        <v>10.03061193017087</v>
      </c>
      <c r="Q541">
        <v>176.44223474</v>
      </c>
      <c r="R541">
        <v>22.512298747763861</v>
      </c>
      <c r="S541" t="s">
        <v>30</v>
      </c>
      <c r="T541">
        <v>111.30548919</v>
      </c>
      <c r="U541" t="s">
        <v>2819</v>
      </c>
      <c r="V541" t="s">
        <v>1059</v>
      </c>
      <c r="W541" s="114" t="str">
        <f t="shared" si="24"/>
        <v>ETF</v>
      </c>
      <c r="X541" s="114" t="str">
        <f t="shared" si="25"/>
        <v>Otros ETFs</v>
      </c>
    </row>
    <row r="542" spans="1:24" hidden="1" x14ac:dyDescent="0.25">
      <c r="A542" s="114" t="str">
        <f t="shared" si="26"/>
        <v>7073</v>
      </c>
      <c r="B542" t="s">
        <v>2089</v>
      </c>
      <c r="C542" t="s">
        <v>2090</v>
      </c>
      <c r="D542" t="s">
        <v>2091</v>
      </c>
      <c r="E542" t="s">
        <v>586</v>
      </c>
      <c r="F542" t="s">
        <v>1056</v>
      </c>
      <c r="G542" t="s">
        <v>1071</v>
      </c>
      <c r="H542" t="s">
        <v>1445</v>
      </c>
      <c r="I542" t="s">
        <v>90</v>
      </c>
      <c r="J542" t="s">
        <v>90</v>
      </c>
      <c r="K542">
        <v>30.87994097</v>
      </c>
      <c r="L542">
        <v>6.6746660599999998</v>
      </c>
      <c r="M542">
        <v>6.0672425099999998</v>
      </c>
      <c r="N542">
        <v>5.1270011100000001</v>
      </c>
      <c r="O542">
        <v>5.8412132899999998</v>
      </c>
      <c r="P542">
        <v>30.342815317297159</v>
      </c>
      <c r="Q542">
        <v>92.983011360000006</v>
      </c>
      <c r="R542">
        <v>29.62366709596909</v>
      </c>
      <c r="S542" t="s">
        <v>30</v>
      </c>
      <c r="T542">
        <v>30.87994097</v>
      </c>
      <c r="U542" t="s">
        <v>2819</v>
      </c>
      <c r="V542" t="s">
        <v>1059</v>
      </c>
      <c r="W542" s="114" t="str">
        <f t="shared" si="24"/>
        <v>ETF</v>
      </c>
      <c r="X542" s="114" t="str">
        <f t="shared" si="25"/>
        <v>Otros ETFs</v>
      </c>
    </row>
    <row r="543" spans="1:24" hidden="1" x14ac:dyDescent="0.25">
      <c r="A543" s="114" t="str">
        <f t="shared" si="26"/>
        <v>4005</v>
      </c>
      <c r="B543" t="s">
        <v>2672</v>
      </c>
      <c r="C543" t="s">
        <v>2695</v>
      </c>
      <c r="D543" t="s">
        <v>3187</v>
      </c>
      <c r="E543" t="s">
        <v>175</v>
      </c>
      <c r="F543" t="s">
        <v>4812</v>
      </c>
      <c r="G543" t="s">
        <v>1185</v>
      </c>
      <c r="H543" t="s">
        <v>2643</v>
      </c>
      <c r="I543">
        <v>1852722885258.1101</v>
      </c>
      <c r="J543">
        <v>475992111.16602999</v>
      </c>
      <c r="K543">
        <v>256.91489804190002</v>
      </c>
      <c r="L543"/>
      <c r="M543"/>
      <c r="N543"/>
      <c r="O543"/>
      <c r="P543"/>
      <c r="Q543"/>
      <c r="R543"/>
      <c r="S543"/>
      <c r="T543">
        <v>204.30314809999999</v>
      </c>
      <c r="U543">
        <v>58.3</v>
      </c>
      <c r="V543" t="s">
        <v>2644</v>
      </c>
      <c r="W543" s="114" t="str">
        <f t="shared" si="24"/>
        <v>SOV</v>
      </c>
      <c r="X543" s="114" t="str">
        <f t="shared" si="25"/>
        <v>SOV</v>
      </c>
    </row>
    <row r="544" spans="1:24" hidden="1" x14ac:dyDescent="0.25">
      <c r="A544" s="114" t="str">
        <f t="shared" si="26"/>
        <v>4005</v>
      </c>
      <c r="B544" t="s">
        <v>2672</v>
      </c>
      <c r="C544" t="s">
        <v>2696</v>
      </c>
      <c r="D544" t="s">
        <v>3191</v>
      </c>
      <c r="E544" t="s">
        <v>175</v>
      </c>
      <c r="F544" t="s">
        <v>4812</v>
      </c>
      <c r="G544" t="s">
        <v>1185</v>
      </c>
      <c r="H544" t="s">
        <v>2643</v>
      </c>
      <c r="I544">
        <v>1852722885258.1101</v>
      </c>
      <c r="J544">
        <v>475992111.16602999</v>
      </c>
      <c r="K544">
        <v>256.91489804190002</v>
      </c>
      <c r="L544"/>
      <c r="M544"/>
      <c r="N544"/>
      <c r="O544"/>
      <c r="P544"/>
      <c r="Q544"/>
      <c r="R544"/>
      <c r="S544"/>
      <c r="T544">
        <v>204.30314809999999</v>
      </c>
      <c r="U544">
        <v>58.3</v>
      </c>
      <c r="V544" t="s">
        <v>2644</v>
      </c>
      <c r="W544" s="114" t="str">
        <f t="shared" si="24"/>
        <v>SOV</v>
      </c>
      <c r="X544" s="114" t="str">
        <f t="shared" si="25"/>
        <v>SOV</v>
      </c>
    </row>
    <row r="545" spans="1:24" hidden="1" x14ac:dyDescent="0.25">
      <c r="A545" s="114" t="str">
        <f t="shared" si="26"/>
        <v>7073</v>
      </c>
      <c r="B545" t="s">
        <v>2094</v>
      </c>
      <c r="C545" t="s">
        <v>2095</v>
      </c>
      <c r="D545" t="s">
        <v>2096</v>
      </c>
      <c r="E545" t="s">
        <v>586</v>
      </c>
      <c r="F545" t="s">
        <v>1056</v>
      </c>
      <c r="G545" t="s">
        <v>1375</v>
      </c>
      <c r="H545" t="s">
        <v>1376</v>
      </c>
      <c r="I545" t="s">
        <v>90</v>
      </c>
      <c r="J545" t="s">
        <v>90</v>
      </c>
      <c r="K545">
        <v>60.701213840000001</v>
      </c>
      <c r="L545">
        <v>7.2410170999999997</v>
      </c>
      <c r="M545">
        <v>5.7632268800000004</v>
      </c>
      <c r="N545">
        <v>5.4292267000000001</v>
      </c>
      <c r="O545">
        <v>6.1147697499999998</v>
      </c>
      <c r="P545">
        <v>5.6460685111910411</v>
      </c>
      <c r="Q545">
        <v>73.368460580000004</v>
      </c>
      <c r="R545">
        <v>30.692541605794158</v>
      </c>
      <c r="S545" t="s">
        <v>1073</v>
      </c>
      <c r="T545">
        <v>60.701213840000001</v>
      </c>
      <c r="U545" t="s">
        <v>2819</v>
      </c>
      <c r="V545" t="s">
        <v>1059</v>
      </c>
      <c r="W545" s="114" t="str">
        <f t="shared" si="24"/>
        <v>ETF</v>
      </c>
      <c r="X545" s="114" t="str">
        <f t="shared" si="25"/>
        <v>Otros ETFs</v>
      </c>
    </row>
    <row r="546" spans="1:24" hidden="1" x14ac:dyDescent="0.25">
      <c r="A546" s="114" t="str">
        <f t="shared" si="26"/>
        <v>4005</v>
      </c>
      <c r="B546" t="s">
        <v>2672</v>
      </c>
      <c r="C546" t="s">
        <v>6260</v>
      </c>
      <c r="D546" t="s">
        <v>6261</v>
      </c>
      <c r="E546" t="s">
        <v>175</v>
      </c>
      <c r="F546" t="s">
        <v>4812</v>
      </c>
      <c r="G546" t="s">
        <v>1185</v>
      </c>
      <c r="H546" t="s">
        <v>2643</v>
      </c>
      <c r="I546">
        <v>1852722885258.1101</v>
      </c>
      <c r="J546">
        <v>475992111.16602999</v>
      </c>
      <c r="K546">
        <v>256.91489804190002</v>
      </c>
      <c r="L546"/>
      <c r="M546"/>
      <c r="N546"/>
      <c r="O546"/>
      <c r="P546"/>
      <c r="Q546"/>
      <c r="R546"/>
      <c r="S546"/>
      <c r="T546">
        <v>204.30314809999999</v>
      </c>
      <c r="U546">
        <v>58.3</v>
      </c>
      <c r="V546" t="s">
        <v>2644</v>
      </c>
      <c r="W546" s="114" t="str">
        <f t="shared" si="24"/>
        <v>SOV</v>
      </c>
      <c r="X546" s="114" t="str">
        <f t="shared" si="25"/>
        <v>SOV</v>
      </c>
    </row>
    <row r="547" spans="1:24" hidden="1" x14ac:dyDescent="0.25">
      <c r="A547" s="114" t="str">
        <f t="shared" si="26"/>
        <v>7073</v>
      </c>
      <c r="B547" t="s">
        <v>2097</v>
      </c>
      <c r="C547" t="s">
        <v>2098</v>
      </c>
      <c r="D547" t="s">
        <v>2099</v>
      </c>
      <c r="E547" t="s">
        <v>586</v>
      </c>
      <c r="F547" t="s">
        <v>1056</v>
      </c>
      <c r="G547" t="s">
        <v>1714</v>
      </c>
      <c r="H547" t="s">
        <v>1164</v>
      </c>
      <c r="I547" t="s">
        <v>90</v>
      </c>
      <c r="J547" t="s">
        <v>90</v>
      </c>
      <c r="K547">
        <v>62.460011569999999</v>
      </c>
      <c r="L547">
        <v>7.7896547199999997</v>
      </c>
      <c r="M547">
        <v>6.7561080699999998</v>
      </c>
      <c r="N547">
        <v>5.4797486500000003</v>
      </c>
      <c r="O547">
        <v>6.5510395499999996</v>
      </c>
      <c r="P547">
        <v>22.541529501645979</v>
      </c>
      <c r="Q547">
        <v>97.296741130000001</v>
      </c>
      <c r="R547">
        <v>51.95887649348208</v>
      </c>
      <c r="S547" t="s">
        <v>1073</v>
      </c>
      <c r="T547">
        <v>62.460011569999999</v>
      </c>
      <c r="U547" t="s">
        <v>2819</v>
      </c>
      <c r="V547" t="s">
        <v>1059</v>
      </c>
      <c r="W547" s="114" t="str">
        <f t="shared" si="24"/>
        <v>ETF</v>
      </c>
      <c r="X547" s="114" t="str">
        <f t="shared" si="25"/>
        <v>Otros ETFs</v>
      </c>
    </row>
    <row r="548" spans="1:24" hidden="1" x14ac:dyDescent="0.25">
      <c r="A548" s="114" t="str">
        <f t="shared" si="26"/>
        <v>7073</v>
      </c>
      <c r="B548" t="s">
        <v>2097</v>
      </c>
      <c r="C548" t="s">
        <v>2098</v>
      </c>
      <c r="D548" t="s">
        <v>2100</v>
      </c>
      <c r="E548" t="s">
        <v>586</v>
      </c>
      <c r="F548" t="s">
        <v>1056</v>
      </c>
      <c r="G548" t="s">
        <v>1714</v>
      </c>
      <c r="H548" t="s">
        <v>1164</v>
      </c>
      <c r="I548" t="s">
        <v>90</v>
      </c>
      <c r="J548" t="s">
        <v>90</v>
      </c>
      <c r="K548">
        <v>62.460011569999999</v>
      </c>
      <c r="L548">
        <v>7.7896547199999997</v>
      </c>
      <c r="M548">
        <v>6.7561080699999998</v>
      </c>
      <c r="N548">
        <v>5.4797486500000003</v>
      </c>
      <c r="O548">
        <v>6.5510395499999996</v>
      </c>
      <c r="P548">
        <v>22.541529501645979</v>
      </c>
      <c r="Q548">
        <v>97.296741130000001</v>
      </c>
      <c r="R548">
        <v>51.95887649348208</v>
      </c>
      <c r="S548" t="s">
        <v>1073</v>
      </c>
      <c r="T548">
        <v>62.460011569999999</v>
      </c>
      <c r="U548" t="s">
        <v>2819</v>
      </c>
      <c r="V548" t="s">
        <v>1059</v>
      </c>
      <c r="W548" s="114" t="str">
        <f t="shared" si="24"/>
        <v>ETF</v>
      </c>
      <c r="X548" s="114" t="str">
        <f t="shared" si="25"/>
        <v>Otros ETFs</v>
      </c>
    </row>
    <row r="549" spans="1:24" hidden="1" x14ac:dyDescent="0.25">
      <c r="A549" s="114" t="str">
        <f t="shared" si="26"/>
        <v>4005</v>
      </c>
      <c r="B549" t="s">
        <v>2672</v>
      </c>
      <c r="C549" t="s">
        <v>6044</v>
      </c>
      <c r="D549" t="s">
        <v>6045</v>
      </c>
      <c r="E549" t="s">
        <v>175</v>
      </c>
      <c r="F549" t="s">
        <v>4812</v>
      </c>
      <c r="G549" t="s">
        <v>1185</v>
      </c>
      <c r="H549" t="s">
        <v>2643</v>
      </c>
      <c r="I549">
        <v>1852722885258.1101</v>
      </c>
      <c r="J549">
        <v>475992111.16602999</v>
      </c>
      <c r="K549">
        <v>256.91489804190002</v>
      </c>
      <c r="L549"/>
      <c r="M549"/>
      <c r="N549"/>
      <c r="O549"/>
      <c r="P549"/>
      <c r="Q549"/>
      <c r="R549"/>
      <c r="S549"/>
      <c r="T549">
        <v>204.30314809999999</v>
      </c>
      <c r="U549">
        <v>58.3</v>
      </c>
      <c r="V549" t="s">
        <v>2644</v>
      </c>
      <c r="W549" s="114" t="str">
        <f t="shared" si="24"/>
        <v>SOV</v>
      </c>
      <c r="X549" s="114" t="str">
        <f t="shared" si="25"/>
        <v>SOV</v>
      </c>
    </row>
    <row r="550" spans="1:24" hidden="1" x14ac:dyDescent="0.25">
      <c r="A550" s="114" t="str">
        <f t="shared" si="26"/>
        <v>4005</v>
      </c>
      <c r="B550" t="s">
        <v>2672</v>
      </c>
      <c r="C550" t="s">
        <v>2697</v>
      </c>
      <c r="D550" t="s">
        <v>3161</v>
      </c>
      <c r="E550" t="s">
        <v>175</v>
      </c>
      <c r="F550" t="s">
        <v>4812</v>
      </c>
      <c r="G550" t="s">
        <v>1185</v>
      </c>
      <c r="H550" t="s">
        <v>2643</v>
      </c>
      <c r="I550">
        <v>1852722885258.1101</v>
      </c>
      <c r="J550">
        <v>475992111.16602999</v>
      </c>
      <c r="K550">
        <v>256.91489804190002</v>
      </c>
      <c r="L550"/>
      <c r="M550"/>
      <c r="N550"/>
      <c r="O550"/>
      <c r="P550"/>
      <c r="Q550"/>
      <c r="R550"/>
      <c r="S550"/>
      <c r="T550">
        <v>204.30314809999999</v>
      </c>
      <c r="U550">
        <v>58.3</v>
      </c>
      <c r="V550" t="s">
        <v>2644</v>
      </c>
      <c r="W550" s="114" t="str">
        <f t="shared" si="24"/>
        <v>SOV</v>
      </c>
      <c r="X550" s="114" t="str">
        <f t="shared" si="25"/>
        <v>SOV</v>
      </c>
    </row>
    <row r="551" spans="1:24" hidden="1" x14ac:dyDescent="0.25">
      <c r="A551" s="114" t="str">
        <f t="shared" si="26"/>
        <v>7073</v>
      </c>
      <c r="B551" t="s">
        <v>2101</v>
      </c>
      <c r="C551" t="s">
        <v>2102</v>
      </c>
      <c r="D551" t="s">
        <v>2103</v>
      </c>
      <c r="E551" t="s">
        <v>586</v>
      </c>
      <c r="F551" t="s">
        <v>1056</v>
      </c>
      <c r="G551" t="s">
        <v>1714</v>
      </c>
      <c r="H551" t="s">
        <v>1164</v>
      </c>
      <c r="I551" t="s">
        <v>90</v>
      </c>
      <c r="J551" t="s">
        <v>90</v>
      </c>
      <c r="K551">
        <v>30.172867230000001</v>
      </c>
      <c r="L551">
        <v>7.7981639200000004</v>
      </c>
      <c r="M551">
        <v>6.74907638</v>
      </c>
      <c r="N551">
        <v>5.5373093000000004</v>
      </c>
      <c r="O551">
        <v>6.5231883000000002</v>
      </c>
      <c r="P551">
        <v>29.18030519447899</v>
      </c>
      <c r="Q551">
        <v>63.558212079999997</v>
      </c>
      <c r="R551">
        <v>52.28536843784169</v>
      </c>
      <c r="S551" t="s">
        <v>1073</v>
      </c>
      <c r="T551">
        <v>30.172867230000001</v>
      </c>
      <c r="U551" t="s">
        <v>2819</v>
      </c>
      <c r="V551" t="s">
        <v>1059</v>
      </c>
      <c r="W551" s="114" t="str">
        <f t="shared" si="24"/>
        <v>ETF</v>
      </c>
      <c r="X551" s="114" t="str">
        <f t="shared" si="25"/>
        <v>Otros ETFs</v>
      </c>
    </row>
    <row r="552" spans="1:24" hidden="1" x14ac:dyDescent="0.25">
      <c r="A552" s="114" t="str">
        <f t="shared" si="26"/>
        <v>4005</v>
      </c>
      <c r="B552" t="s">
        <v>2672</v>
      </c>
      <c r="C552" t="s">
        <v>5081</v>
      </c>
      <c r="D552" t="s">
        <v>5082</v>
      </c>
      <c r="E552" t="s">
        <v>175</v>
      </c>
      <c r="F552" t="s">
        <v>4812</v>
      </c>
      <c r="G552" t="s">
        <v>1185</v>
      </c>
      <c r="H552" t="s">
        <v>2643</v>
      </c>
      <c r="I552">
        <v>1852722885258.1101</v>
      </c>
      <c r="J552">
        <v>475992111.16602999</v>
      </c>
      <c r="K552">
        <v>256.91489804190002</v>
      </c>
      <c r="L552"/>
      <c r="M552"/>
      <c r="N552"/>
      <c r="O552"/>
      <c r="P552"/>
      <c r="Q552"/>
      <c r="R552"/>
      <c r="S552"/>
      <c r="T552">
        <v>204.30314809999999</v>
      </c>
      <c r="U552">
        <v>58.3</v>
      </c>
      <c r="V552" t="s">
        <v>2644</v>
      </c>
      <c r="W552" s="114" t="str">
        <f t="shared" si="24"/>
        <v>SOV</v>
      </c>
      <c r="X552" s="114" t="str">
        <f t="shared" si="25"/>
        <v>SOV</v>
      </c>
    </row>
    <row r="553" spans="1:24" hidden="1" x14ac:dyDescent="0.25">
      <c r="A553" s="114" t="str">
        <f t="shared" si="26"/>
        <v>7029</v>
      </c>
      <c r="B553" t="s">
        <v>2105</v>
      </c>
      <c r="C553" t="s">
        <v>2106</v>
      </c>
      <c r="D553" t="s">
        <v>2107</v>
      </c>
      <c r="E553" t="s">
        <v>586</v>
      </c>
      <c r="F553" t="s">
        <v>1056</v>
      </c>
      <c r="G553" t="s">
        <v>1241</v>
      </c>
      <c r="H553" t="s">
        <v>6243</v>
      </c>
      <c r="I553" t="s">
        <v>90</v>
      </c>
      <c r="J553" t="s">
        <v>90</v>
      </c>
      <c r="K553">
        <v>350.59494537</v>
      </c>
      <c r="L553">
        <v>5.2778165799999996</v>
      </c>
      <c r="M553">
        <v>5.2067819899999996</v>
      </c>
      <c r="N553">
        <v>5.23681397</v>
      </c>
      <c r="O553">
        <v>4.9070827299999999</v>
      </c>
      <c r="P553">
        <v>11.4110973001243</v>
      </c>
      <c r="Q553">
        <v>538.72869373000003</v>
      </c>
      <c r="R553">
        <v>5.641149229656933</v>
      </c>
      <c r="S553" t="s">
        <v>1063</v>
      </c>
      <c r="T553">
        <v>350.59494537</v>
      </c>
      <c r="U553" t="s">
        <v>2819</v>
      </c>
      <c r="V553" t="s">
        <v>1059</v>
      </c>
      <c r="W553" s="114" t="str">
        <f t="shared" si="24"/>
        <v>ETF</v>
      </c>
      <c r="X553" s="114" t="str">
        <f t="shared" si="25"/>
        <v>Otros ETFs</v>
      </c>
    </row>
    <row r="554" spans="1:24" hidden="1" x14ac:dyDescent="0.25">
      <c r="A554" s="114" t="str">
        <f t="shared" si="26"/>
        <v>4005</v>
      </c>
      <c r="B554" t="s">
        <v>2672</v>
      </c>
      <c r="C554" t="s">
        <v>2698</v>
      </c>
      <c r="D554" t="s">
        <v>3162</v>
      </c>
      <c r="E554" t="s">
        <v>175</v>
      </c>
      <c r="F554" t="s">
        <v>4812</v>
      </c>
      <c r="G554" t="s">
        <v>1185</v>
      </c>
      <c r="H554" t="s">
        <v>2643</v>
      </c>
      <c r="I554">
        <v>1852722885258.1101</v>
      </c>
      <c r="J554">
        <v>475992111.16602999</v>
      </c>
      <c r="K554">
        <v>256.91489804190002</v>
      </c>
      <c r="L554"/>
      <c r="M554"/>
      <c r="N554"/>
      <c r="O554"/>
      <c r="P554"/>
      <c r="Q554"/>
      <c r="R554"/>
      <c r="S554"/>
      <c r="T554">
        <v>204.30314809999999</v>
      </c>
      <c r="U554">
        <v>58.3</v>
      </c>
      <c r="V554" t="s">
        <v>2644</v>
      </c>
      <c r="W554" s="114" t="str">
        <f t="shared" si="24"/>
        <v>SOV</v>
      </c>
      <c r="X554" s="114" t="str">
        <f t="shared" si="25"/>
        <v>SOV</v>
      </c>
    </row>
    <row r="555" spans="1:24" hidden="1" x14ac:dyDescent="0.25">
      <c r="A555" s="114" t="str">
        <f t="shared" si="26"/>
        <v>7029</v>
      </c>
      <c r="B555" t="s">
        <v>2108</v>
      </c>
      <c r="C555" t="s">
        <v>2109</v>
      </c>
      <c r="D555" t="s">
        <v>2110</v>
      </c>
      <c r="E555" t="s">
        <v>586</v>
      </c>
      <c r="F555" t="s">
        <v>1056</v>
      </c>
      <c r="G555" t="s">
        <v>1241</v>
      </c>
      <c r="H555" t="s">
        <v>6158</v>
      </c>
      <c r="I555" t="s">
        <v>90</v>
      </c>
      <c r="J555" t="s">
        <v>90</v>
      </c>
      <c r="K555">
        <v>120.08098787</v>
      </c>
      <c r="L555">
        <v>5.7650727699999997</v>
      </c>
      <c r="M555">
        <v>6.1013293900000001</v>
      </c>
      <c r="N555">
        <v>4.9233067200000002</v>
      </c>
      <c r="O555">
        <v>4.8311044399999998</v>
      </c>
      <c r="P555">
        <v>17.439399999999999</v>
      </c>
      <c r="Q555">
        <v>271.03143576999997</v>
      </c>
      <c r="R555">
        <v>1.6451</v>
      </c>
      <c r="S555" t="s">
        <v>30</v>
      </c>
      <c r="T555">
        <v>120.08098787</v>
      </c>
      <c r="U555" t="s">
        <v>2819</v>
      </c>
      <c r="V555" t="s">
        <v>1059</v>
      </c>
      <c r="W555" s="114" t="str">
        <f t="shared" si="24"/>
        <v>ETF</v>
      </c>
      <c r="X555" s="114" t="str">
        <f t="shared" si="25"/>
        <v>Otros ETFs</v>
      </c>
    </row>
    <row r="556" spans="1:24" hidden="1" x14ac:dyDescent="0.25">
      <c r="A556" s="114" t="str">
        <f t="shared" si="26"/>
        <v>7007</v>
      </c>
      <c r="B556" t="s">
        <v>2112</v>
      </c>
      <c r="C556" t="s">
        <v>2113</v>
      </c>
      <c r="D556" t="s">
        <v>2114</v>
      </c>
      <c r="E556" t="s">
        <v>586</v>
      </c>
      <c r="F556" t="s">
        <v>1056</v>
      </c>
      <c r="G556" t="s">
        <v>1071</v>
      </c>
      <c r="H556" t="s">
        <v>1155</v>
      </c>
      <c r="I556" t="s">
        <v>90</v>
      </c>
      <c r="J556" t="s">
        <v>90</v>
      </c>
      <c r="K556">
        <v>2.0155828900000001</v>
      </c>
      <c r="L556">
        <v>7.0996511099999999</v>
      </c>
      <c r="M556">
        <v>6.4913148300000003</v>
      </c>
      <c r="N556">
        <v>5.0238549399999997</v>
      </c>
      <c r="O556">
        <v>6.0587974999999998</v>
      </c>
      <c r="P556">
        <v>49.421949421949421</v>
      </c>
      <c r="Q556">
        <v>10.195485680000001</v>
      </c>
      <c r="R556">
        <v>35.755135755135747</v>
      </c>
      <c r="S556" t="s">
        <v>30</v>
      </c>
      <c r="T556">
        <v>2.0155828900000001</v>
      </c>
      <c r="U556" t="s">
        <v>2819</v>
      </c>
      <c r="V556" t="s">
        <v>1059</v>
      </c>
      <c r="W556" s="114" t="str">
        <f t="shared" si="24"/>
        <v>ETF</v>
      </c>
      <c r="X556" s="114" t="str">
        <f t="shared" si="25"/>
        <v>Otros ETFs</v>
      </c>
    </row>
    <row r="557" spans="1:24" hidden="1" x14ac:dyDescent="0.25">
      <c r="A557" s="114" t="str">
        <f t="shared" si="26"/>
        <v>4005</v>
      </c>
      <c r="B557" t="s">
        <v>2672</v>
      </c>
      <c r="C557" t="s">
        <v>4783</v>
      </c>
      <c r="D557" t="s">
        <v>4822</v>
      </c>
      <c r="E557" t="s">
        <v>175</v>
      </c>
      <c r="F557" t="s">
        <v>4812</v>
      </c>
      <c r="G557" t="s">
        <v>1185</v>
      </c>
      <c r="H557" t="s">
        <v>2643</v>
      </c>
      <c r="I557">
        <v>1852722885258.1101</v>
      </c>
      <c r="J557">
        <v>475992111.16602999</v>
      </c>
      <c r="K557">
        <v>256.91489804190002</v>
      </c>
      <c r="L557"/>
      <c r="M557"/>
      <c r="N557"/>
      <c r="O557"/>
      <c r="P557"/>
      <c r="Q557"/>
      <c r="R557"/>
      <c r="S557"/>
      <c r="T557">
        <v>204.30314809999999</v>
      </c>
      <c r="U557">
        <v>58.3</v>
      </c>
      <c r="V557" t="s">
        <v>2644</v>
      </c>
      <c r="W557" s="114" t="str">
        <f t="shared" si="24"/>
        <v>SOV</v>
      </c>
      <c r="X557" s="114" t="str">
        <f t="shared" si="25"/>
        <v>SOV</v>
      </c>
    </row>
    <row r="558" spans="1:24" hidden="1" x14ac:dyDescent="0.25">
      <c r="A558" s="114" t="str">
        <f t="shared" si="26"/>
        <v>4005</v>
      </c>
      <c r="B558" t="s">
        <v>2672</v>
      </c>
      <c r="C558" t="s">
        <v>5346</v>
      </c>
      <c r="D558" t="s">
        <v>5347</v>
      </c>
      <c r="E558" t="s">
        <v>175</v>
      </c>
      <c r="F558" t="s">
        <v>4812</v>
      </c>
      <c r="G558" t="s">
        <v>1185</v>
      </c>
      <c r="H558" t="s">
        <v>2643</v>
      </c>
      <c r="I558">
        <v>1852722885258.1101</v>
      </c>
      <c r="J558">
        <v>475992111.16602999</v>
      </c>
      <c r="K558">
        <v>256.91489804190002</v>
      </c>
      <c r="L558"/>
      <c r="M558"/>
      <c r="N558"/>
      <c r="O558"/>
      <c r="P558"/>
      <c r="Q558"/>
      <c r="R558"/>
      <c r="S558"/>
      <c r="T558">
        <v>204.30314809999999</v>
      </c>
      <c r="U558">
        <v>58.3</v>
      </c>
      <c r="V558" t="s">
        <v>2644</v>
      </c>
      <c r="W558" s="114" t="str">
        <f t="shared" si="24"/>
        <v>SOV</v>
      </c>
      <c r="X558" s="114" t="str">
        <f t="shared" si="25"/>
        <v>SOV</v>
      </c>
    </row>
    <row r="559" spans="1:24" hidden="1" x14ac:dyDescent="0.25">
      <c r="A559" s="114" t="str">
        <f t="shared" si="26"/>
        <v>7524</v>
      </c>
      <c r="B559" t="s">
        <v>2115</v>
      </c>
      <c r="C559" t="s">
        <v>2116</v>
      </c>
      <c r="D559" t="s">
        <v>2117</v>
      </c>
      <c r="E559" t="s">
        <v>586</v>
      </c>
      <c r="F559" t="s">
        <v>1056</v>
      </c>
      <c r="G559" t="s">
        <v>1057</v>
      </c>
      <c r="H559" t="s">
        <v>1067</v>
      </c>
      <c r="I559" t="s">
        <v>90</v>
      </c>
      <c r="J559" t="s">
        <v>90</v>
      </c>
      <c r="K559">
        <v>40.562105000000003</v>
      </c>
      <c r="L559">
        <v>5.7202782399999998</v>
      </c>
      <c r="M559">
        <v>4.1602878600000004</v>
      </c>
      <c r="N559">
        <v>4.7468524199999997</v>
      </c>
      <c r="O559">
        <v>6.17693885</v>
      </c>
      <c r="P559">
        <v>0.86457914902340705</v>
      </c>
      <c r="Q559">
        <v>60.371069679999998</v>
      </c>
      <c r="R559">
        <v>19.917784887179149</v>
      </c>
      <c r="S559" t="s">
        <v>30</v>
      </c>
      <c r="T559">
        <v>40.562105000000003</v>
      </c>
      <c r="U559" t="s">
        <v>2819</v>
      </c>
      <c r="V559" t="s">
        <v>1059</v>
      </c>
      <c r="W559" s="114" t="str">
        <f t="shared" si="24"/>
        <v>ETF</v>
      </c>
      <c r="X559" s="114" t="str">
        <f t="shared" si="25"/>
        <v>Otros ETFs</v>
      </c>
    </row>
    <row r="560" spans="1:24" hidden="1" x14ac:dyDescent="0.25">
      <c r="A560" s="114" t="str">
        <f t="shared" si="26"/>
        <v>7073</v>
      </c>
      <c r="B560" t="s">
        <v>2118</v>
      </c>
      <c r="C560" t="s">
        <v>2119</v>
      </c>
      <c r="D560" t="s">
        <v>2120</v>
      </c>
      <c r="E560" t="s">
        <v>586</v>
      </c>
      <c r="F560" t="s">
        <v>1056</v>
      </c>
      <c r="G560" t="s">
        <v>1057</v>
      </c>
      <c r="H560" t="s">
        <v>1058</v>
      </c>
      <c r="I560" t="s">
        <v>90</v>
      </c>
      <c r="J560" t="s">
        <v>90</v>
      </c>
      <c r="K560">
        <v>22.72150443</v>
      </c>
      <c r="L560">
        <v>6.2637938899999996</v>
      </c>
      <c r="M560">
        <v>6.0482054300000003</v>
      </c>
      <c r="N560">
        <v>5.0588044600000002</v>
      </c>
      <c r="O560">
        <v>5.5130258200000002</v>
      </c>
      <c r="P560">
        <v>35.166796664066723</v>
      </c>
      <c r="Q560">
        <v>87.188605989999999</v>
      </c>
      <c r="R560">
        <v>18.425431491370169</v>
      </c>
      <c r="S560" t="s">
        <v>30</v>
      </c>
      <c r="T560">
        <v>22.72150443</v>
      </c>
      <c r="U560" t="s">
        <v>2819</v>
      </c>
      <c r="V560" t="s">
        <v>1059</v>
      </c>
      <c r="W560" s="114" t="str">
        <f t="shared" si="24"/>
        <v>ETF</v>
      </c>
      <c r="X560" s="114" t="str">
        <f t="shared" si="25"/>
        <v>Otros ETFs</v>
      </c>
    </row>
    <row r="561" spans="1:24" hidden="1" x14ac:dyDescent="0.25">
      <c r="A561" s="114" t="str">
        <f t="shared" si="26"/>
        <v>4005</v>
      </c>
      <c r="B561" t="s">
        <v>2672</v>
      </c>
      <c r="C561" t="s">
        <v>6262</v>
      </c>
      <c r="D561" t="s">
        <v>6263</v>
      </c>
      <c r="E561" t="s">
        <v>175</v>
      </c>
      <c r="F561" t="s">
        <v>4812</v>
      </c>
      <c r="G561" t="s">
        <v>1185</v>
      </c>
      <c r="H561" t="s">
        <v>2643</v>
      </c>
      <c r="I561">
        <v>1852722885258.1101</v>
      </c>
      <c r="J561">
        <v>475992111.16602999</v>
      </c>
      <c r="K561">
        <v>256.91489804190002</v>
      </c>
      <c r="L561"/>
      <c r="M561"/>
      <c r="N561"/>
      <c r="O561"/>
      <c r="P561"/>
      <c r="Q561"/>
      <c r="R561"/>
      <c r="S561"/>
      <c r="T561">
        <v>204.30314809999999</v>
      </c>
      <c r="U561">
        <v>58.3</v>
      </c>
      <c r="V561" t="s">
        <v>2644</v>
      </c>
      <c r="W561" s="114" t="str">
        <f t="shared" si="24"/>
        <v>SOV</v>
      </c>
      <c r="X561" s="114" t="str">
        <f t="shared" si="25"/>
        <v>SOV</v>
      </c>
    </row>
    <row r="562" spans="1:24" hidden="1" x14ac:dyDescent="0.25">
      <c r="A562" s="114" t="str">
        <f t="shared" si="26"/>
        <v>4005</v>
      </c>
      <c r="B562" t="s">
        <v>2672</v>
      </c>
      <c r="C562" t="s">
        <v>6264</v>
      </c>
      <c r="D562" t="s">
        <v>6265</v>
      </c>
      <c r="E562" t="s">
        <v>175</v>
      </c>
      <c r="F562" t="s">
        <v>4812</v>
      </c>
      <c r="G562" t="s">
        <v>1185</v>
      </c>
      <c r="H562" t="s">
        <v>2643</v>
      </c>
      <c r="I562">
        <v>1852722885258.1101</v>
      </c>
      <c r="J562">
        <v>475992111.16602999</v>
      </c>
      <c r="K562">
        <v>256.91489804190002</v>
      </c>
      <c r="L562"/>
      <c r="M562"/>
      <c r="N562"/>
      <c r="O562"/>
      <c r="P562"/>
      <c r="Q562"/>
      <c r="R562"/>
      <c r="S562"/>
      <c r="T562">
        <v>204.30314809999999</v>
      </c>
      <c r="U562">
        <v>58.3</v>
      </c>
      <c r="V562" t="s">
        <v>2644</v>
      </c>
      <c r="W562" s="114" t="str">
        <f t="shared" si="24"/>
        <v>SOV</v>
      </c>
      <c r="X562" s="114" t="str">
        <f t="shared" si="25"/>
        <v>SOV</v>
      </c>
    </row>
    <row r="563" spans="1:24" hidden="1" x14ac:dyDescent="0.25">
      <c r="A563" s="114" t="str">
        <f t="shared" si="26"/>
        <v>7456</v>
      </c>
      <c r="B563" t="s">
        <v>6266</v>
      </c>
      <c r="C563" t="s">
        <v>6267</v>
      </c>
      <c r="D563" t="s">
        <v>6268</v>
      </c>
      <c r="E563" t="s">
        <v>586</v>
      </c>
      <c r="F563" t="s">
        <v>1056</v>
      </c>
      <c r="G563" t="s">
        <v>1071</v>
      </c>
      <c r="H563" t="s">
        <v>6269</v>
      </c>
      <c r="I563" t="s">
        <v>90</v>
      </c>
      <c r="J563" t="s">
        <v>90</v>
      </c>
      <c r="K563">
        <v>44.777601879999999</v>
      </c>
      <c r="L563">
        <v>5.61599</v>
      </c>
      <c r="M563">
        <v>5.7329033300000001</v>
      </c>
      <c r="N563">
        <v>6.8751673899999997</v>
      </c>
      <c r="O563">
        <v>6.1891127199999998</v>
      </c>
      <c r="P563">
        <v>3.8116604807534003E-2</v>
      </c>
      <c r="Q563">
        <v>168.09088532000001</v>
      </c>
      <c r="R563">
        <v>0.19759910522398499</v>
      </c>
      <c r="S563" t="s">
        <v>1063</v>
      </c>
      <c r="T563">
        <v>44.777601879999999</v>
      </c>
      <c r="U563" t="s">
        <v>2819</v>
      </c>
      <c r="V563" t="s">
        <v>1059</v>
      </c>
      <c r="W563" s="114" t="str">
        <f t="shared" si="24"/>
        <v>ETF</v>
      </c>
      <c r="X563" s="114" t="str">
        <f t="shared" si="25"/>
        <v>Otros ETFs</v>
      </c>
    </row>
    <row r="564" spans="1:24" hidden="1" x14ac:dyDescent="0.25">
      <c r="A564" s="114" t="str">
        <f t="shared" si="26"/>
        <v>7073</v>
      </c>
      <c r="B564" t="s">
        <v>6046</v>
      </c>
      <c r="C564" t="s">
        <v>6047</v>
      </c>
      <c r="D564" t="s">
        <v>6048</v>
      </c>
      <c r="E564" t="s">
        <v>586</v>
      </c>
      <c r="F564" t="s">
        <v>1056</v>
      </c>
      <c r="G564" t="s">
        <v>1163</v>
      </c>
      <c r="H564" t="s">
        <v>1782</v>
      </c>
      <c r="I564" t="s">
        <v>90</v>
      </c>
      <c r="J564" t="s">
        <v>90</v>
      </c>
      <c r="K564">
        <v>105.47879072000001</v>
      </c>
      <c r="L564">
        <v>5.8086072599999996</v>
      </c>
      <c r="M564">
        <v>6.1742186999999999</v>
      </c>
      <c r="N564">
        <v>4.6248558500000003</v>
      </c>
      <c r="O564">
        <v>5.4170306899999998</v>
      </c>
      <c r="P564">
        <v>7.0329896237075582</v>
      </c>
      <c r="Q564">
        <v>130.03541278</v>
      </c>
      <c r="R564">
        <v>12.247704794756491</v>
      </c>
      <c r="S564" t="s">
        <v>30</v>
      </c>
      <c r="T564">
        <v>105.47879072000001</v>
      </c>
      <c r="U564" t="s">
        <v>2819</v>
      </c>
      <c r="V564" t="s">
        <v>1059</v>
      </c>
      <c r="W564" s="114" t="str">
        <f t="shared" si="24"/>
        <v>ETF</v>
      </c>
      <c r="X564" s="114" t="str">
        <f t="shared" si="25"/>
        <v>Otros ETFs</v>
      </c>
    </row>
    <row r="565" spans="1:24" hidden="1" x14ac:dyDescent="0.25">
      <c r="A565" s="114" t="str">
        <f t="shared" si="26"/>
        <v>4005</v>
      </c>
      <c r="B565" t="s">
        <v>2672</v>
      </c>
      <c r="C565" t="s">
        <v>6270</v>
      </c>
      <c r="D565" t="s">
        <v>6271</v>
      </c>
      <c r="E565" t="s">
        <v>175</v>
      </c>
      <c r="F565" t="s">
        <v>4812</v>
      </c>
      <c r="G565" t="s">
        <v>1185</v>
      </c>
      <c r="H565" t="s">
        <v>2643</v>
      </c>
      <c r="I565">
        <v>1852722885258.1101</v>
      </c>
      <c r="J565">
        <v>475992111.16602999</v>
      </c>
      <c r="K565">
        <v>256.91489804190002</v>
      </c>
      <c r="L565"/>
      <c r="M565"/>
      <c r="N565"/>
      <c r="O565"/>
      <c r="P565"/>
      <c r="Q565"/>
      <c r="R565"/>
      <c r="S565"/>
      <c r="T565">
        <v>204.30314809999999</v>
      </c>
      <c r="U565">
        <v>58.3</v>
      </c>
      <c r="V565" t="s">
        <v>2644</v>
      </c>
      <c r="W565" s="114" t="str">
        <f t="shared" si="24"/>
        <v>SOV</v>
      </c>
      <c r="X565" s="114" t="str">
        <f t="shared" si="25"/>
        <v>SOV</v>
      </c>
    </row>
    <row r="566" spans="1:24" hidden="1" x14ac:dyDescent="0.25">
      <c r="A566" s="114" t="str">
        <f t="shared" si="26"/>
        <v>4005</v>
      </c>
      <c r="B566" t="s">
        <v>2672</v>
      </c>
      <c r="C566" t="s">
        <v>6272</v>
      </c>
      <c r="D566" t="s">
        <v>6273</v>
      </c>
      <c r="E566" t="s">
        <v>175</v>
      </c>
      <c r="F566" t="s">
        <v>4812</v>
      </c>
      <c r="G566" t="s">
        <v>1185</v>
      </c>
      <c r="H566" t="s">
        <v>2643</v>
      </c>
      <c r="I566">
        <v>1852722885258.1101</v>
      </c>
      <c r="J566">
        <v>475992111.16602999</v>
      </c>
      <c r="K566">
        <v>256.91489804190002</v>
      </c>
      <c r="L566"/>
      <c r="M566"/>
      <c r="N566"/>
      <c r="O566"/>
      <c r="P566"/>
      <c r="Q566"/>
      <c r="R566"/>
      <c r="S566"/>
      <c r="T566">
        <v>204.30314809999999</v>
      </c>
      <c r="U566">
        <v>58.3</v>
      </c>
      <c r="V566" t="s">
        <v>2644</v>
      </c>
      <c r="W566" s="114" t="str">
        <f t="shared" si="24"/>
        <v>SOV</v>
      </c>
      <c r="X566" s="114" t="str">
        <f t="shared" si="25"/>
        <v>SOV</v>
      </c>
    </row>
    <row r="567" spans="1:24" hidden="1" x14ac:dyDescent="0.25">
      <c r="A567" s="114" t="str">
        <f t="shared" si="26"/>
        <v>7027</v>
      </c>
      <c r="B567" t="s">
        <v>2125</v>
      </c>
      <c r="C567" t="s">
        <v>2126</v>
      </c>
      <c r="D567" t="s">
        <v>2127</v>
      </c>
      <c r="E567" t="s">
        <v>586</v>
      </c>
      <c r="F567" t="s">
        <v>1056</v>
      </c>
      <c r="G567" t="s">
        <v>1136</v>
      </c>
      <c r="H567" t="s">
        <v>1437</v>
      </c>
      <c r="I567" t="s">
        <v>90</v>
      </c>
      <c r="J567" t="s">
        <v>90</v>
      </c>
      <c r="K567">
        <v>484.20228766000002</v>
      </c>
      <c r="L567">
        <v>3.9107736499999999</v>
      </c>
      <c r="M567">
        <v>5.0195011899999997</v>
      </c>
      <c r="N567">
        <v>5.2103331700000002</v>
      </c>
      <c r="O567">
        <v>4.9505302999999996</v>
      </c>
      <c r="P567">
        <v>4.3643281842554229</v>
      </c>
      <c r="Q567">
        <v>822.10229648999996</v>
      </c>
      <c r="R567">
        <v>1.9089454468093681</v>
      </c>
      <c r="S567" t="s">
        <v>1138</v>
      </c>
      <c r="T567">
        <v>484.20228766000002</v>
      </c>
      <c r="U567" t="s">
        <v>2819</v>
      </c>
      <c r="V567" t="s">
        <v>1059</v>
      </c>
      <c r="W567" s="114" t="str">
        <f t="shared" si="24"/>
        <v>ETF</v>
      </c>
      <c r="X567" s="114" t="str">
        <f t="shared" si="25"/>
        <v>Otros ETFs</v>
      </c>
    </row>
    <row r="568" spans="1:24" hidden="1" x14ac:dyDescent="0.25">
      <c r="A568" s="114" t="str">
        <f t="shared" si="26"/>
        <v>7684</v>
      </c>
      <c r="B568" t="s">
        <v>5345</v>
      </c>
      <c r="C568" t="s">
        <v>2128</v>
      </c>
      <c r="D568" t="s">
        <v>2129</v>
      </c>
      <c r="E568" t="s">
        <v>586</v>
      </c>
      <c r="F568" t="s">
        <v>1056</v>
      </c>
      <c r="G568" t="s">
        <v>1689</v>
      </c>
      <c r="H568" t="s">
        <v>1690</v>
      </c>
      <c r="I568" t="s">
        <v>90</v>
      </c>
      <c r="J568" t="s">
        <v>90</v>
      </c>
      <c r="K568">
        <v>209.88483607000001</v>
      </c>
      <c r="L568">
        <v>7.7738924699999998</v>
      </c>
      <c r="M568">
        <v>6.4416020600000001</v>
      </c>
      <c r="N568">
        <v>5.1112143799999998</v>
      </c>
      <c r="O568">
        <v>6.5604786400000004</v>
      </c>
      <c r="P568">
        <v>17.664247007258979</v>
      </c>
      <c r="Q568">
        <v>220.34326884999999</v>
      </c>
      <c r="R568">
        <v>70.801287596137215</v>
      </c>
      <c r="S568" t="s">
        <v>1073</v>
      </c>
      <c r="T568">
        <v>209.88483607000001</v>
      </c>
      <c r="U568" t="s">
        <v>2819</v>
      </c>
      <c r="V568" t="s">
        <v>1059</v>
      </c>
      <c r="W568" s="114" t="str">
        <f t="shared" si="24"/>
        <v>ETF</v>
      </c>
      <c r="X568" s="114" t="str">
        <f t="shared" si="25"/>
        <v>Otros ETFs</v>
      </c>
    </row>
    <row r="569" spans="1:24" hidden="1" x14ac:dyDescent="0.25">
      <c r="A569" s="114" t="str">
        <f t="shared" si="26"/>
        <v>4005</v>
      </c>
      <c r="B569" t="s">
        <v>2672</v>
      </c>
      <c r="C569" t="s">
        <v>189</v>
      </c>
      <c r="D569" t="s">
        <v>188</v>
      </c>
      <c r="E569" t="s">
        <v>175</v>
      </c>
      <c r="F569" t="s">
        <v>4812</v>
      </c>
      <c r="G569" t="s">
        <v>1185</v>
      </c>
      <c r="H569" t="s">
        <v>2643</v>
      </c>
      <c r="I569">
        <v>1852722885258.1101</v>
      </c>
      <c r="J569">
        <v>475992111.16602999</v>
      </c>
      <c r="K569">
        <v>256.91489804190002</v>
      </c>
      <c r="L569"/>
      <c r="M569"/>
      <c r="N569"/>
      <c r="O569"/>
      <c r="P569"/>
      <c r="Q569"/>
      <c r="R569"/>
      <c r="S569"/>
      <c r="T569">
        <v>204.30314809999999</v>
      </c>
      <c r="U569">
        <v>58.3</v>
      </c>
      <c r="V569" t="s">
        <v>2644</v>
      </c>
      <c r="W569" s="114" t="str">
        <f t="shared" si="24"/>
        <v>SOV</v>
      </c>
      <c r="X569" s="114" t="str">
        <f t="shared" si="25"/>
        <v>SOV</v>
      </c>
    </row>
    <row r="570" spans="1:24" hidden="1" x14ac:dyDescent="0.25">
      <c r="A570" s="114" t="str">
        <f t="shared" si="26"/>
        <v>4001</v>
      </c>
      <c r="B570" t="s">
        <v>2699</v>
      </c>
      <c r="C570" t="s">
        <v>2700</v>
      </c>
      <c r="D570" t="s">
        <v>2937</v>
      </c>
      <c r="E570" t="s">
        <v>175</v>
      </c>
      <c r="F570" t="s">
        <v>4812</v>
      </c>
      <c r="G570" t="s">
        <v>1217</v>
      </c>
      <c r="H570" t="s">
        <v>2643</v>
      </c>
      <c r="I570">
        <v>3643834188782.915</v>
      </c>
      <c r="J570">
        <v>292419358.66075999</v>
      </c>
      <c r="K570">
        <v>80.250456939299994</v>
      </c>
      <c r="L570"/>
      <c r="M570"/>
      <c r="N570"/>
      <c r="O570"/>
      <c r="P570"/>
      <c r="Q570"/>
      <c r="R570"/>
      <c r="S570"/>
      <c r="T570">
        <v>92.147055800000004</v>
      </c>
      <c r="U570">
        <v>101.2</v>
      </c>
      <c r="V570" t="s">
        <v>2644</v>
      </c>
      <c r="W570" s="114" t="str">
        <f t="shared" si="24"/>
        <v>SOV</v>
      </c>
      <c r="X570" s="114" t="str">
        <f t="shared" si="25"/>
        <v>SOV</v>
      </c>
    </row>
    <row r="571" spans="1:24" hidden="1" x14ac:dyDescent="0.25">
      <c r="A571" s="114" t="str">
        <f t="shared" si="26"/>
        <v>7733</v>
      </c>
      <c r="B571" t="s">
        <v>5345</v>
      </c>
      <c r="C571" t="s">
        <v>2128</v>
      </c>
      <c r="D571" t="s">
        <v>5413</v>
      </c>
      <c r="E571" t="s">
        <v>586</v>
      </c>
      <c r="F571" t="s">
        <v>1056</v>
      </c>
      <c r="G571" t="s">
        <v>1689</v>
      </c>
      <c r="H571" t="s">
        <v>1690</v>
      </c>
      <c r="I571" t="s">
        <v>90</v>
      </c>
      <c r="J571" t="s">
        <v>90</v>
      </c>
      <c r="K571">
        <v>209.88483607000001</v>
      </c>
      <c r="L571">
        <v>7.7738924699999998</v>
      </c>
      <c r="M571">
        <v>6.4416020600000001</v>
      </c>
      <c r="N571">
        <v>5.1112143799999998</v>
      </c>
      <c r="O571">
        <v>6.5604786400000004</v>
      </c>
      <c r="P571">
        <v>17.664247007258979</v>
      </c>
      <c r="Q571">
        <v>220.34326884999999</v>
      </c>
      <c r="R571">
        <v>70.801287596137215</v>
      </c>
      <c r="S571" t="s">
        <v>1073</v>
      </c>
      <c r="T571">
        <v>209.88483607000001</v>
      </c>
      <c r="U571" t="s">
        <v>2819</v>
      </c>
      <c r="V571" t="s">
        <v>1059</v>
      </c>
      <c r="W571" s="114" t="str">
        <f t="shared" si="24"/>
        <v>ETF</v>
      </c>
      <c r="X571" s="114" t="str">
        <f t="shared" si="25"/>
        <v>Otros ETFs</v>
      </c>
    </row>
    <row r="572" spans="1:24" hidden="1" x14ac:dyDescent="0.25">
      <c r="A572" s="114" t="str">
        <f t="shared" si="26"/>
        <v>7097</v>
      </c>
      <c r="B572" t="s">
        <v>2130</v>
      </c>
      <c r="C572" t="s">
        <v>2131</v>
      </c>
      <c r="D572" t="s">
        <v>2132</v>
      </c>
      <c r="E572" t="s">
        <v>586</v>
      </c>
      <c r="F572" t="s">
        <v>1056</v>
      </c>
      <c r="G572" t="s">
        <v>1057</v>
      </c>
      <c r="H572" t="s">
        <v>1288</v>
      </c>
      <c r="I572" t="s">
        <v>90</v>
      </c>
      <c r="J572" t="s">
        <v>90</v>
      </c>
      <c r="K572">
        <v>110.16390772</v>
      </c>
      <c r="L572">
        <v>5.5180096599999997</v>
      </c>
      <c r="M572">
        <v>5.0820235699999996</v>
      </c>
      <c r="N572">
        <v>4.7272665800000002</v>
      </c>
      <c r="O572">
        <v>5.6175290799999997</v>
      </c>
      <c r="P572">
        <v>6.1703122708699114</v>
      </c>
      <c r="Q572">
        <v>143.88965014999999</v>
      </c>
      <c r="R572">
        <v>11.065521792376931</v>
      </c>
      <c r="S572" t="s">
        <v>1063</v>
      </c>
      <c r="T572">
        <v>110.16390772</v>
      </c>
      <c r="U572" t="s">
        <v>2819</v>
      </c>
      <c r="V572" t="s">
        <v>1059</v>
      </c>
      <c r="W572" s="114" t="str">
        <f t="shared" si="24"/>
        <v>ETF</v>
      </c>
      <c r="X572" s="114" t="str">
        <f t="shared" si="25"/>
        <v>Otros ETFs</v>
      </c>
    </row>
    <row r="573" spans="1:24" hidden="1" x14ac:dyDescent="0.25">
      <c r="A573" s="114" t="str">
        <f t="shared" si="26"/>
        <v>4001</v>
      </c>
      <c r="B573" t="s">
        <v>2699</v>
      </c>
      <c r="C573" t="s">
        <v>5269</v>
      </c>
      <c r="D573" t="s">
        <v>5270</v>
      </c>
      <c r="E573" t="s">
        <v>175</v>
      </c>
      <c r="F573" t="s">
        <v>4812</v>
      </c>
      <c r="G573" t="s">
        <v>1217</v>
      </c>
      <c r="H573" t="s">
        <v>2643</v>
      </c>
      <c r="I573">
        <v>3643834188782.915</v>
      </c>
      <c r="J573">
        <v>292419358.66075999</v>
      </c>
      <c r="K573">
        <v>80.250456939299994</v>
      </c>
      <c r="L573"/>
      <c r="M573"/>
      <c r="N573"/>
      <c r="O573"/>
      <c r="P573"/>
      <c r="Q573"/>
      <c r="R573"/>
      <c r="S573"/>
      <c r="T573">
        <v>92.147055800000004</v>
      </c>
      <c r="U573">
        <v>101.2</v>
      </c>
      <c r="V573" t="s">
        <v>2644</v>
      </c>
      <c r="W573" s="114" t="str">
        <f t="shared" si="24"/>
        <v>SOV</v>
      </c>
      <c r="X573" s="114" t="str">
        <f t="shared" si="25"/>
        <v>SOV</v>
      </c>
    </row>
    <row r="574" spans="1:24" hidden="1" x14ac:dyDescent="0.25">
      <c r="A574" s="114" t="str">
        <f t="shared" si="26"/>
        <v>7532</v>
      </c>
      <c r="B574" t="s">
        <v>5808</v>
      </c>
      <c r="C574" t="s">
        <v>5809</v>
      </c>
      <c r="D574" t="s">
        <v>5810</v>
      </c>
      <c r="E574" t="s">
        <v>586</v>
      </c>
      <c r="F574" t="s">
        <v>1056</v>
      </c>
      <c r="G574" t="s">
        <v>1057</v>
      </c>
      <c r="H574" t="s">
        <v>1058</v>
      </c>
      <c r="I574" t="s">
        <v>90</v>
      </c>
      <c r="J574" t="s">
        <v>90</v>
      </c>
      <c r="K574">
        <v>23.072457109999998</v>
      </c>
      <c r="L574">
        <v>6.26994542</v>
      </c>
      <c r="M574">
        <v>6.0623088000000003</v>
      </c>
      <c r="N574">
        <v>5.0943596099999997</v>
      </c>
      <c r="O574">
        <v>5.4967239699999997</v>
      </c>
      <c r="P574">
        <v>34.834121327029393</v>
      </c>
      <c r="Q574">
        <v>88.959814480000006</v>
      </c>
      <c r="R574">
        <v>18.176654586763309</v>
      </c>
      <c r="S574" t="s">
        <v>30</v>
      </c>
      <c r="T574">
        <v>23.072457109999998</v>
      </c>
      <c r="U574" t="s">
        <v>2819</v>
      </c>
      <c r="V574" t="s">
        <v>1059</v>
      </c>
      <c r="W574" s="114" t="str">
        <f t="shared" si="24"/>
        <v>ETF</v>
      </c>
      <c r="X574" s="114" t="str">
        <f t="shared" si="25"/>
        <v>Otros ETFs</v>
      </c>
    </row>
    <row r="575" spans="1:24" hidden="1" x14ac:dyDescent="0.25">
      <c r="A575" s="114" t="str">
        <f t="shared" si="26"/>
        <v>4001</v>
      </c>
      <c r="B575" t="s">
        <v>2699</v>
      </c>
      <c r="C575" t="s">
        <v>2701</v>
      </c>
      <c r="D575" t="s">
        <v>2936</v>
      </c>
      <c r="E575" t="s">
        <v>175</v>
      </c>
      <c r="F575" t="s">
        <v>4812</v>
      </c>
      <c r="G575" t="s">
        <v>1217</v>
      </c>
      <c r="H575" t="s">
        <v>2643</v>
      </c>
      <c r="I575">
        <v>3643834188782.915</v>
      </c>
      <c r="J575">
        <v>292419358.66075999</v>
      </c>
      <c r="K575">
        <v>80.250456939299994</v>
      </c>
      <c r="L575"/>
      <c r="M575"/>
      <c r="N575"/>
      <c r="O575"/>
      <c r="P575"/>
      <c r="Q575"/>
      <c r="R575"/>
      <c r="S575"/>
      <c r="T575">
        <v>92.147055800000004</v>
      </c>
      <c r="U575">
        <v>101.2</v>
      </c>
      <c r="V575" t="s">
        <v>2644</v>
      </c>
      <c r="W575" s="114" t="str">
        <f t="shared" si="24"/>
        <v>SOV</v>
      </c>
      <c r="X575" s="114" t="str">
        <f t="shared" si="25"/>
        <v>SOV</v>
      </c>
    </row>
    <row r="576" spans="1:24" hidden="1" x14ac:dyDescent="0.25">
      <c r="A576" s="114" t="str">
        <f t="shared" si="26"/>
        <v>7397</v>
      </c>
      <c r="B576" t="s">
        <v>2133</v>
      </c>
      <c r="C576" t="s">
        <v>2134</v>
      </c>
      <c r="D576" t="s">
        <v>2135</v>
      </c>
      <c r="E576" t="s">
        <v>586</v>
      </c>
      <c r="F576" t="s">
        <v>1056</v>
      </c>
      <c r="G576" t="s">
        <v>1375</v>
      </c>
      <c r="H576" t="s">
        <v>1376</v>
      </c>
      <c r="I576" t="s">
        <v>90</v>
      </c>
      <c r="J576" t="s">
        <v>90</v>
      </c>
      <c r="K576">
        <v>46.941706859999996</v>
      </c>
      <c r="L576">
        <v>7.6509740099999997</v>
      </c>
      <c r="M576">
        <v>6.0014496099999999</v>
      </c>
      <c r="N576">
        <v>5.5111382200000003</v>
      </c>
      <c r="O576">
        <v>6.3347422599999996</v>
      </c>
      <c r="P576">
        <v>5.6603597480626568</v>
      </c>
      <c r="Q576">
        <v>57.469566899999997</v>
      </c>
      <c r="R576">
        <v>30.90865277328778</v>
      </c>
      <c r="S576" t="s">
        <v>1073</v>
      </c>
      <c r="T576">
        <v>46.941706859999996</v>
      </c>
      <c r="U576" t="s">
        <v>2819</v>
      </c>
      <c r="V576" t="s">
        <v>1059</v>
      </c>
      <c r="W576" s="114" t="str">
        <f t="shared" si="24"/>
        <v>ETF</v>
      </c>
      <c r="X576" s="114" t="str">
        <f t="shared" si="25"/>
        <v>Otros ETFs</v>
      </c>
    </row>
    <row r="577" spans="1:24" hidden="1" x14ac:dyDescent="0.25">
      <c r="A577" s="114" t="str">
        <f t="shared" si="26"/>
        <v>4001</v>
      </c>
      <c r="B577" t="s">
        <v>2699</v>
      </c>
      <c r="C577" t="s">
        <v>5414</v>
      </c>
      <c r="D577" t="s">
        <v>5415</v>
      </c>
      <c r="E577" t="s">
        <v>175</v>
      </c>
      <c r="F577" t="s">
        <v>4812</v>
      </c>
      <c r="G577" t="s">
        <v>1217</v>
      </c>
      <c r="H577" t="s">
        <v>2643</v>
      </c>
      <c r="I577">
        <v>3643834188782.915</v>
      </c>
      <c r="J577">
        <v>292419358.66075999</v>
      </c>
      <c r="K577">
        <v>80.250456939299994</v>
      </c>
      <c r="L577"/>
      <c r="M577"/>
      <c r="N577"/>
      <c r="O577"/>
      <c r="P577"/>
      <c r="Q577"/>
      <c r="R577"/>
      <c r="S577"/>
      <c r="T577">
        <v>92.147055800000004</v>
      </c>
      <c r="U577">
        <v>101.2</v>
      </c>
      <c r="V577" t="s">
        <v>2644</v>
      </c>
      <c r="W577" s="114" t="str">
        <f t="shared" si="24"/>
        <v>SOV</v>
      </c>
      <c r="X577" s="114" t="str">
        <f t="shared" si="25"/>
        <v>SOV</v>
      </c>
    </row>
    <row r="578" spans="1:24" hidden="1" x14ac:dyDescent="0.25">
      <c r="A578" s="114" t="str">
        <f t="shared" si="26"/>
        <v>7435</v>
      </c>
      <c r="B578" t="s">
        <v>2136</v>
      </c>
      <c r="C578" t="s">
        <v>2137</v>
      </c>
      <c r="D578" t="s">
        <v>2138</v>
      </c>
      <c r="E578" t="s">
        <v>586</v>
      </c>
      <c r="F578" t="s">
        <v>1056</v>
      </c>
      <c r="G578" t="s">
        <v>1136</v>
      </c>
      <c r="H578" t="s">
        <v>1494</v>
      </c>
      <c r="I578" t="s">
        <v>90</v>
      </c>
      <c r="J578" t="s">
        <v>90</v>
      </c>
      <c r="K578">
        <v>1718.7500152600001</v>
      </c>
      <c r="L578">
        <v>4.1470006799999997</v>
      </c>
      <c r="M578">
        <v>4.8816659700000002</v>
      </c>
      <c r="N578">
        <v>5.6130495500000004</v>
      </c>
      <c r="O578">
        <v>5.4210896999999996</v>
      </c>
      <c r="P578">
        <v>7.2963535988933001E-2</v>
      </c>
      <c r="Q578">
        <v>4264.0367255199999</v>
      </c>
      <c r="R578">
        <v>0.31023649452169899</v>
      </c>
      <c r="S578" t="s">
        <v>1138</v>
      </c>
      <c r="T578">
        <v>1718.7500152600001</v>
      </c>
      <c r="U578" t="s">
        <v>2819</v>
      </c>
      <c r="V578" t="s">
        <v>1059</v>
      </c>
      <c r="W578" s="114" t="str">
        <f t="shared" ref="W578:W641" si="27">IF(V578="ETF_ETY","ETF",IF(V578="ETF_SOV","ETF",IF(V578="RF_SOV","SOV",IF(V578="-","Cuestionario Integra","Portafolio"))))</f>
        <v>ETF</v>
      </c>
      <c r="X578" s="114" t="str">
        <f t="shared" ref="X578:X641" si="28">IF(V578="ETF_ETY","Otros ETFs",IF(V578="ETF_SOV","Soberanos",W578))</f>
        <v>Otros ETFs</v>
      </c>
    </row>
    <row r="579" spans="1:24" hidden="1" x14ac:dyDescent="0.25">
      <c r="A579" s="114" t="str">
        <f t="shared" ref="A579:A642" si="29">RIGHT(LEFT(D579,6),4)</f>
        <v>4000</v>
      </c>
      <c r="B579" t="s">
        <v>1057</v>
      </c>
      <c r="C579" t="s">
        <v>2702</v>
      </c>
      <c r="D579" t="s">
        <v>2959</v>
      </c>
      <c r="E579" t="s">
        <v>175</v>
      </c>
      <c r="F579" t="s">
        <v>4812</v>
      </c>
      <c r="G579" t="s">
        <v>1061</v>
      </c>
      <c r="H579" t="s">
        <v>2643</v>
      </c>
      <c r="I579">
        <v>29184890000000</v>
      </c>
      <c r="J579">
        <v>4632164875.8727999</v>
      </c>
      <c r="K579">
        <v>158.7179145055</v>
      </c>
      <c r="L579"/>
      <c r="M579"/>
      <c r="N579"/>
      <c r="O579"/>
      <c r="P579"/>
      <c r="Q579"/>
      <c r="R579"/>
      <c r="S579"/>
      <c r="T579">
        <v>202.5917426</v>
      </c>
      <c r="U579">
        <v>122.3</v>
      </c>
      <c r="V579" t="s">
        <v>2644</v>
      </c>
      <c r="W579" s="114" t="str">
        <f t="shared" si="27"/>
        <v>SOV</v>
      </c>
      <c r="X579" s="114" t="str">
        <f t="shared" si="28"/>
        <v>SOV</v>
      </c>
    </row>
    <row r="580" spans="1:24" hidden="1" x14ac:dyDescent="0.25">
      <c r="A580" s="114" t="str">
        <f t="shared" si="29"/>
        <v>4000</v>
      </c>
      <c r="B580" t="s">
        <v>1057</v>
      </c>
      <c r="C580" t="s">
        <v>2703</v>
      </c>
      <c r="D580" t="s">
        <v>2961</v>
      </c>
      <c r="E580" t="s">
        <v>175</v>
      </c>
      <c r="F580" t="s">
        <v>4812</v>
      </c>
      <c r="G580" t="s">
        <v>1061</v>
      </c>
      <c r="H580" t="s">
        <v>2643</v>
      </c>
      <c r="I580">
        <v>29184890000000</v>
      </c>
      <c r="J580">
        <v>4632164875.8727999</v>
      </c>
      <c r="K580">
        <v>158.7179145055</v>
      </c>
      <c r="L580"/>
      <c r="M580"/>
      <c r="N580"/>
      <c r="O580"/>
      <c r="P580"/>
      <c r="Q580"/>
      <c r="R580"/>
      <c r="S580"/>
      <c r="T580">
        <v>202.5917426</v>
      </c>
      <c r="U580">
        <v>122.3</v>
      </c>
      <c r="V580" t="s">
        <v>2644</v>
      </c>
      <c r="W580" s="114" t="str">
        <f t="shared" si="27"/>
        <v>SOV</v>
      </c>
      <c r="X580" s="114" t="str">
        <f t="shared" si="28"/>
        <v>SOV</v>
      </c>
    </row>
    <row r="581" spans="1:24" hidden="1" x14ac:dyDescent="0.25">
      <c r="A581" s="114" t="str">
        <f t="shared" si="29"/>
        <v>7388</v>
      </c>
      <c r="B581" t="s">
        <v>2139</v>
      </c>
      <c r="C581" t="s">
        <v>2140</v>
      </c>
      <c r="D581" t="s">
        <v>2141</v>
      </c>
      <c r="E581" t="s">
        <v>586</v>
      </c>
      <c r="F581" t="s">
        <v>1056</v>
      </c>
      <c r="G581" t="s">
        <v>1136</v>
      </c>
      <c r="H581" t="s">
        <v>6144</v>
      </c>
      <c r="I581" t="s">
        <v>90</v>
      </c>
      <c r="J581" t="s">
        <v>90</v>
      </c>
      <c r="K581">
        <v>40.107747080000003</v>
      </c>
      <c r="L581">
        <v>6.5651970400000002</v>
      </c>
      <c r="M581">
        <v>5.6891166000000002</v>
      </c>
      <c r="N581">
        <v>5.6091657699999997</v>
      </c>
      <c r="O581">
        <v>5.08212931</v>
      </c>
      <c r="P581">
        <v>9.3466439201364793</v>
      </c>
      <c r="Q581">
        <v>116.97477864</v>
      </c>
      <c r="R581">
        <v>6.7819593082441507</v>
      </c>
      <c r="S581" t="s">
        <v>30</v>
      </c>
      <c r="T581">
        <v>40.107747080000003</v>
      </c>
      <c r="U581" t="s">
        <v>2819</v>
      </c>
      <c r="V581" t="s">
        <v>1059</v>
      </c>
      <c r="W581" s="114" t="str">
        <f t="shared" si="27"/>
        <v>ETF</v>
      </c>
      <c r="X581" s="114" t="str">
        <f t="shared" si="28"/>
        <v>Otros ETFs</v>
      </c>
    </row>
    <row r="582" spans="1:24" hidden="1" x14ac:dyDescent="0.25">
      <c r="A582" s="114" t="str">
        <f t="shared" si="29"/>
        <v>7088</v>
      </c>
      <c r="B582" t="s">
        <v>2142</v>
      </c>
      <c r="C582" t="s">
        <v>2143</v>
      </c>
      <c r="D582" t="s">
        <v>2144</v>
      </c>
      <c r="E582" t="s">
        <v>586</v>
      </c>
      <c r="F582" t="s">
        <v>1056</v>
      </c>
      <c r="G582" t="s">
        <v>1136</v>
      </c>
      <c r="H582" t="s">
        <v>6274</v>
      </c>
      <c r="I582" t="s">
        <v>90</v>
      </c>
      <c r="J582" t="s">
        <v>90</v>
      </c>
      <c r="K582">
        <v>17.03242002</v>
      </c>
      <c r="L582">
        <v>5.9072822900000004</v>
      </c>
      <c r="M582">
        <v>4.9103505399999996</v>
      </c>
      <c r="N582">
        <v>4.9356607500000003</v>
      </c>
      <c r="O582">
        <v>5.6151870700000002</v>
      </c>
      <c r="P582">
        <v>0</v>
      </c>
      <c r="Q582">
        <v>53.842390020000003</v>
      </c>
      <c r="R582">
        <v>15.46758453241547</v>
      </c>
      <c r="S582" t="s">
        <v>30</v>
      </c>
      <c r="T582">
        <v>17.03242002</v>
      </c>
      <c r="U582" t="s">
        <v>2819</v>
      </c>
      <c r="V582" t="s">
        <v>1059</v>
      </c>
      <c r="W582" s="114" t="str">
        <f t="shared" si="27"/>
        <v>ETF</v>
      </c>
      <c r="X582" s="114" t="str">
        <f t="shared" si="28"/>
        <v>Otros ETFs</v>
      </c>
    </row>
    <row r="583" spans="1:24" hidden="1" x14ac:dyDescent="0.25">
      <c r="A583" s="114" t="str">
        <f t="shared" si="29"/>
        <v>4000</v>
      </c>
      <c r="B583" t="s">
        <v>1057</v>
      </c>
      <c r="C583" t="s">
        <v>2704</v>
      </c>
      <c r="D583" t="s">
        <v>2951</v>
      </c>
      <c r="E583" t="s">
        <v>175</v>
      </c>
      <c r="F583" t="s">
        <v>4812</v>
      </c>
      <c r="G583" t="s">
        <v>1061</v>
      </c>
      <c r="H583" t="s">
        <v>2643</v>
      </c>
      <c r="I583">
        <v>29184890000000</v>
      </c>
      <c r="J583">
        <v>4632164875.8727999</v>
      </c>
      <c r="K583">
        <v>158.7179145055</v>
      </c>
      <c r="L583"/>
      <c r="M583"/>
      <c r="N583"/>
      <c r="O583"/>
      <c r="P583"/>
      <c r="Q583"/>
      <c r="R583"/>
      <c r="S583"/>
      <c r="T583">
        <v>202.5917426</v>
      </c>
      <c r="U583">
        <v>122.3</v>
      </c>
      <c r="V583" t="s">
        <v>2644</v>
      </c>
      <c r="W583" s="114" t="str">
        <f t="shared" si="27"/>
        <v>SOV</v>
      </c>
      <c r="X583" s="114" t="str">
        <f t="shared" si="28"/>
        <v>SOV</v>
      </c>
    </row>
    <row r="584" spans="1:24" hidden="1" x14ac:dyDescent="0.25">
      <c r="A584" s="114" t="str">
        <f t="shared" si="29"/>
        <v>MSIM</v>
      </c>
      <c r="B584" t="s">
        <v>5416</v>
      </c>
      <c r="C584" t="s">
        <v>2146</v>
      </c>
      <c r="D584" t="s">
        <v>2147</v>
      </c>
      <c r="E584" t="s">
        <v>586</v>
      </c>
      <c r="F584" t="s">
        <v>1056</v>
      </c>
      <c r="G584" t="s">
        <v>1136</v>
      </c>
      <c r="H584" t="s">
        <v>2148</v>
      </c>
      <c r="I584" t="s">
        <v>90</v>
      </c>
      <c r="J584" t="s">
        <v>90</v>
      </c>
      <c r="K584">
        <v>294.35500396999998</v>
      </c>
      <c r="L584">
        <v>5.8926001799999996</v>
      </c>
      <c r="M584">
        <v>5.2867020499999997</v>
      </c>
      <c r="N584">
        <v>5.4289754300000004</v>
      </c>
      <c r="O584">
        <v>4.7846995999999997</v>
      </c>
      <c r="P584">
        <v>10.181163185423809</v>
      </c>
      <c r="Q584">
        <v>503.37264217000001</v>
      </c>
      <c r="R584">
        <v>8.6147770965395409</v>
      </c>
      <c r="S584" t="s">
        <v>30</v>
      </c>
      <c r="T584">
        <v>294.35500396999998</v>
      </c>
      <c r="U584" t="s">
        <v>2819</v>
      </c>
      <c r="V584" t="s">
        <v>1059</v>
      </c>
      <c r="W584" s="114" t="str">
        <f t="shared" si="27"/>
        <v>ETF</v>
      </c>
      <c r="X584" s="114" t="str">
        <f t="shared" si="28"/>
        <v>Otros ETFs</v>
      </c>
    </row>
    <row r="585" spans="1:24" hidden="1" x14ac:dyDescent="0.25">
      <c r="A585" s="114" t="str">
        <f t="shared" si="29"/>
        <v>4000</v>
      </c>
      <c r="B585" t="s">
        <v>1057</v>
      </c>
      <c r="C585" t="s">
        <v>2705</v>
      </c>
      <c r="D585" t="s">
        <v>2958</v>
      </c>
      <c r="E585" t="s">
        <v>175</v>
      </c>
      <c r="F585" t="s">
        <v>4812</v>
      </c>
      <c r="G585" t="s">
        <v>1061</v>
      </c>
      <c r="H585" t="s">
        <v>2643</v>
      </c>
      <c r="I585">
        <v>29184890000000</v>
      </c>
      <c r="J585">
        <v>4632164875.8727999</v>
      </c>
      <c r="K585">
        <v>158.7179145055</v>
      </c>
      <c r="L585"/>
      <c r="M585"/>
      <c r="N585"/>
      <c r="O585"/>
      <c r="P585"/>
      <c r="Q585"/>
      <c r="R585"/>
      <c r="S585"/>
      <c r="T585">
        <v>202.5917426</v>
      </c>
      <c r="U585">
        <v>122.3</v>
      </c>
      <c r="V585" t="s">
        <v>2644</v>
      </c>
      <c r="W585" s="114" t="str">
        <f t="shared" si="27"/>
        <v>SOV</v>
      </c>
      <c r="X585" s="114" t="str">
        <f t="shared" si="28"/>
        <v>SOV</v>
      </c>
    </row>
    <row r="586" spans="1:24" hidden="1" x14ac:dyDescent="0.25">
      <c r="A586" s="114" t="str">
        <f t="shared" si="29"/>
        <v>7029</v>
      </c>
      <c r="B586" t="s">
        <v>2149</v>
      </c>
      <c r="C586" t="s">
        <v>2150</v>
      </c>
      <c r="D586" t="s">
        <v>2151</v>
      </c>
      <c r="E586" t="s">
        <v>586</v>
      </c>
      <c r="F586" t="s">
        <v>1056</v>
      </c>
      <c r="G586" t="s">
        <v>1136</v>
      </c>
      <c r="H586" t="s">
        <v>2148</v>
      </c>
      <c r="I586" t="s">
        <v>90</v>
      </c>
      <c r="J586" t="s">
        <v>90</v>
      </c>
      <c r="K586">
        <v>273.92802606999999</v>
      </c>
      <c r="L586">
        <v>5.3524287900000003</v>
      </c>
      <c r="M586">
        <v>5.2240434999999996</v>
      </c>
      <c r="N586">
        <v>5.2451147100000002</v>
      </c>
      <c r="O586">
        <v>4.45767662</v>
      </c>
      <c r="P586">
        <v>9.5204615667055723</v>
      </c>
      <c r="Q586">
        <v>406.00320069000003</v>
      </c>
      <c r="R586">
        <v>7.6437858889212746</v>
      </c>
      <c r="S586" t="s">
        <v>1063</v>
      </c>
      <c r="T586">
        <v>273.92802606999999</v>
      </c>
      <c r="U586" t="s">
        <v>2819</v>
      </c>
      <c r="V586" t="s">
        <v>1059</v>
      </c>
      <c r="W586" s="114" t="str">
        <f t="shared" si="27"/>
        <v>ETF</v>
      </c>
      <c r="X586" s="114" t="str">
        <f t="shared" si="28"/>
        <v>Otros ETFs</v>
      </c>
    </row>
    <row r="587" spans="1:24" hidden="1" x14ac:dyDescent="0.25">
      <c r="A587" s="114" t="str">
        <f t="shared" si="29"/>
        <v>4000</v>
      </c>
      <c r="B587" t="s">
        <v>1057</v>
      </c>
      <c r="C587" t="s">
        <v>2706</v>
      </c>
      <c r="D587" t="s">
        <v>2953</v>
      </c>
      <c r="E587" t="s">
        <v>175</v>
      </c>
      <c r="F587" t="s">
        <v>4812</v>
      </c>
      <c r="G587" t="s">
        <v>1061</v>
      </c>
      <c r="H587" t="s">
        <v>2643</v>
      </c>
      <c r="I587">
        <v>29184890000000</v>
      </c>
      <c r="J587">
        <v>4632164875.8727999</v>
      </c>
      <c r="K587">
        <v>158.7179145055</v>
      </c>
      <c r="L587"/>
      <c r="M587"/>
      <c r="N587"/>
      <c r="O587"/>
      <c r="P587"/>
      <c r="Q587"/>
      <c r="R587"/>
      <c r="S587"/>
      <c r="T587">
        <v>202.5917426</v>
      </c>
      <c r="U587">
        <v>122.3</v>
      </c>
      <c r="V587" t="s">
        <v>2644</v>
      </c>
      <c r="W587" s="114" t="str">
        <f t="shared" si="27"/>
        <v>SOV</v>
      </c>
      <c r="X587" s="114" t="str">
        <f t="shared" si="28"/>
        <v>SOV</v>
      </c>
    </row>
    <row r="588" spans="1:24" hidden="1" x14ac:dyDescent="0.25">
      <c r="A588" s="114" t="str">
        <f t="shared" si="29"/>
        <v>7025</v>
      </c>
      <c r="B588" t="s">
        <v>5083</v>
      </c>
      <c r="C588" t="s">
        <v>2152</v>
      </c>
      <c r="D588" t="s">
        <v>2153</v>
      </c>
      <c r="E588" t="s">
        <v>586</v>
      </c>
      <c r="F588" t="s">
        <v>1056</v>
      </c>
      <c r="G588" t="s">
        <v>1136</v>
      </c>
      <c r="H588" t="s">
        <v>2148</v>
      </c>
      <c r="I588" t="s">
        <v>90</v>
      </c>
      <c r="J588" t="s">
        <v>90</v>
      </c>
      <c r="K588">
        <v>285.92928666</v>
      </c>
      <c r="L588">
        <v>5.4520764100000001</v>
      </c>
      <c r="M588">
        <v>5.2359862100000001</v>
      </c>
      <c r="N588">
        <v>5.1466655299999999</v>
      </c>
      <c r="O588">
        <v>4.6663010500000004</v>
      </c>
      <c r="P588">
        <v>9.6484992970698276</v>
      </c>
      <c r="Q588">
        <v>421.42396545999998</v>
      </c>
      <c r="R588">
        <v>7.897258158989553</v>
      </c>
      <c r="S588" t="s">
        <v>1063</v>
      </c>
      <c r="T588">
        <v>285.92928666</v>
      </c>
      <c r="U588" t="s">
        <v>2819</v>
      </c>
      <c r="V588" t="s">
        <v>1059</v>
      </c>
      <c r="W588" s="114" t="str">
        <f t="shared" si="27"/>
        <v>ETF</v>
      </c>
      <c r="X588" s="114" t="str">
        <f t="shared" si="28"/>
        <v>Otros ETFs</v>
      </c>
    </row>
    <row r="589" spans="1:24" hidden="1" x14ac:dyDescent="0.25">
      <c r="A589" s="114" t="str">
        <f t="shared" si="29"/>
        <v>4000</v>
      </c>
      <c r="B589" t="s">
        <v>1057</v>
      </c>
      <c r="C589" t="s">
        <v>2707</v>
      </c>
      <c r="D589" t="s">
        <v>2956</v>
      </c>
      <c r="E589" t="s">
        <v>175</v>
      </c>
      <c r="F589" t="s">
        <v>4812</v>
      </c>
      <c r="G589" t="s">
        <v>1061</v>
      </c>
      <c r="H589" t="s">
        <v>2643</v>
      </c>
      <c r="I589">
        <v>29184890000000</v>
      </c>
      <c r="J589">
        <v>4632164875.8727999</v>
      </c>
      <c r="K589">
        <v>158.7179145055</v>
      </c>
      <c r="L589"/>
      <c r="M589"/>
      <c r="N589"/>
      <c r="O589"/>
      <c r="P589"/>
      <c r="Q589"/>
      <c r="R589"/>
      <c r="S589"/>
      <c r="T589">
        <v>202.5917426</v>
      </c>
      <c r="U589">
        <v>122.3</v>
      </c>
      <c r="V589" t="s">
        <v>2644</v>
      </c>
      <c r="W589" s="114" t="str">
        <f t="shared" si="27"/>
        <v>SOV</v>
      </c>
      <c r="X589" s="114" t="str">
        <f t="shared" si="28"/>
        <v>SOV</v>
      </c>
    </row>
    <row r="590" spans="1:24" hidden="1" x14ac:dyDescent="0.25">
      <c r="A590" s="114" t="str">
        <f t="shared" si="29"/>
        <v>NORD</v>
      </c>
      <c r="B590" t="s">
        <v>6049</v>
      </c>
      <c r="C590" t="s">
        <v>2155</v>
      </c>
      <c r="D590" t="s">
        <v>2156</v>
      </c>
      <c r="E590" t="s">
        <v>586</v>
      </c>
      <c r="F590" t="s">
        <v>1056</v>
      </c>
      <c r="G590" t="s">
        <v>1136</v>
      </c>
      <c r="H590" t="s">
        <v>6144</v>
      </c>
      <c r="I590" t="s">
        <v>90</v>
      </c>
      <c r="J590" t="s">
        <v>90</v>
      </c>
      <c r="K590">
        <v>17.77009966</v>
      </c>
      <c r="L590">
        <v>6.5241208300000002</v>
      </c>
      <c r="M590">
        <v>5.69784545</v>
      </c>
      <c r="N590">
        <v>5.5528398799999996</v>
      </c>
      <c r="O590">
        <v>5.2097963199999997</v>
      </c>
      <c r="P590">
        <v>23.07387700532086</v>
      </c>
      <c r="Q590">
        <v>68.857619679999999</v>
      </c>
      <c r="R590">
        <v>7.8609877533306598</v>
      </c>
      <c r="S590" t="s">
        <v>30</v>
      </c>
      <c r="T590">
        <v>17.77009966</v>
      </c>
      <c r="U590" t="s">
        <v>2819</v>
      </c>
      <c r="V590" t="s">
        <v>1059</v>
      </c>
      <c r="W590" s="114" t="str">
        <f t="shared" si="27"/>
        <v>ETF</v>
      </c>
      <c r="X590" s="114" t="str">
        <f t="shared" si="28"/>
        <v>Otros ETFs</v>
      </c>
    </row>
    <row r="591" spans="1:24" hidden="1" x14ac:dyDescent="0.25">
      <c r="A591" s="114" t="str">
        <f t="shared" si="29"/>
        <v>4000</v>
      </c>
      <c r="B591" t="s">
        <v>1057</v>
      </c>
      <c r="C591" t="s">
        <v>2708</v>
      </c>
      <c r="D591" t="s">
        <v>2955</v>
      </c>
      <c r="E591" t="s">
        <v>175</v>
      </c>
      <c r="F591" t="s">
        <v>4812</v>
      </c>
      <c r="G591" t="s">
        <v>1061</v>
      </c>
      <c r="H591" t="s">
        <v>2643</v>
      </c>
      <c r="I591">
        <v>29184890000000</v>
      </c>
      <c r="J591">
        <v>4632164875.8727999</v>
      </c>
      <c r="K591">
        <v>158.7179145055</v>
      </c>
      <c r="L591"/>
      <c r="M591"/>
      <c r="N591"/>
      <c r="O591"/>
      <c r="P591"/>
      <c r="Q591"/>
      <c r="R591"/>
      <c r="S591"/>
      <c r="T591">
        <v>202.5917426</v>
      </c>
      <c r="U591">
        <v>122.3</v>
      </c>
      <c r="V591" t="s">
        <v>2644</v>
      </c>
      <c r="W591" s="114" t="str">
        <f t="shared" si="27"/>
        <v>SOV</v>
      </c>
      <c r="X591" s="114" t="str">
        <f t="shared" si="28"/>
        <v>SOV</v>
      </c>
    </row>
    <row r="592" spans="1:24" hidden="1" x14ac:dyDescent="0.25">
      <c r="A592" s="114" t="str">
        <f t="shared" si="29"/>
        <v>NORD</v>
      </c>
      <c r="B592" t="s">
        <v>6050</v>
      </c>
      <c r="C592" t="s">
        <v>2158</v>
      </c>
      <c r="D592" t="s">
        <v>2159</v>
      </c>
      <c r="E592" t="s">
        <v>586</v>
      </c>
      <c r="F592" t="s">
        <v>1056</v>
      </c>
      <c r="G592" t="s">
        <v>1136</v>
      </c>
      <c r="H592" t="s">
        <v>6144</v>
      </c>
      <c r="I592" t="s">
        <v>90</v>
      </c>
      <c r="J592" t="s">
        <v>90</v>
      </c>
      <c r="K592">
        <v>17.77009966</v>
      </c>
      <c r="L592">
        <v>6.5241208300000002</v>
      </c>
      <c r="M592">
        <v>5.69784545</v>
      </c>
      <c r="N592">
        <v>5.5528398799999996</v>
      </c>
      <c r="O592">
        <v>5.2097963199999997</v>
      </c>
      <c r="P592">
        <v>23.07387700532086</v>
      </c>
      <c r="Q592">
        <v>68.857619679999999</v>
      </c>
      <c r="R592">
        <v>7.8609877533306598</v>
      </c>
      <c r="S592" t="s">
        <v>30</v>
      </c>
      <c r="T592">
        <v>17.77009966</v>
      </c>
      <c r="U592" t="s">
        <v>2819</v>
      </c>
      <c r="V592" t="s">
        <v>1059</v>
      </c>
      <c r="W592" s="114" t="str">
        <f t="shared" si="27"/>
        <v>ETF</v>
      </c>
      <c r="X592" s="114" t="str">
        <f t="shared" si="28"/>
        <v>Otros ETFs</v>
      </c>
    </row>
    <row r="593" spans="1:24" hidden="1" x14ac:dyDescent="0.25">
      <c r="A593" s="114" t="str">
        <f t="shared" si="29"/>
        <v>4000</v>
      </c>
      <c r="B593" t="s">
        <v>1057</v>
      </c>
      <c r="C593" t="s">
        <v>2709</v>
      </c>
      <c r="D593" t="s">
        <v>2947</v>
      </c>
      <c r="E593" t="s">
        <v>175</v>
      </c>
      <c r="F593" t="s">
        <v>4812</v>
      </c>
      <c r="G593" t="s">
        <v>1061</v>
      </c>
      <c r="H593" t="s">
        <v>2643</v>
      </c>
      <c r="I593">
        <v>29184890000000</v>
      </c>
      <c r="J593">
        <v>4632164875.8727999</v>
      </c>
      <c r="K593">
        <v>158.7179145055</v>
      </c>
      <c r="L593"/>
      <c r="M593"/>
      <c r="N593"/>
      <c r="O593"/>
      <c r="P593"/>
      <c r="Q593"/>
      <c r="R593"/>
      <c r="S593"/>
      <c r="T593">
        <v>202.5917426</v>
      </c>
      <c r="U593">
        <v>122.3</v>
      </c>
      <c r="V593" t="s">
        <v>2644</v>
      </c>
      <c r="W593" s="114" t="str">
        <f t="shared" si="27"/>
        <v>SOV</v>
      </c>
      <c r="X593" s="114" t="str">
        <f t="shared" si="28"/>
        <v>SOV</v>
      </c>
    </row>
    <row r="594" spans="1:24" hidden="1" x14ac:dyDescent="0.25">
      <c r="A594" s="114" t="str">
        <f t="shared" si="29"/>
        <v>4000</v>
      </c>
      <c r="B594" t="s">
        <v>1057</v>
      </c>
      <c r="C594" t="s">
        <v>900</v>
      </c>
      <c r="D594" t="s">
        <v>899</v>
      </c>
      <c r="E594" t="s">
        <v>175</v>
      </c>
      <c r="F594" t="s">
        <v>4812</v>
      </c>
      <c r="G594" t="s">
        <v>1061</v>
      </c>
      <c r="H594" t="s">
        <v>2643</v>
      </c>
      <c r="I594">
        <v>29184890000000</v>
      </c>
      <c r="J594">
        <v>4632164875.8727999</v>
      </c>
      <c r="K594">
        <v>158.7179145055</v>
      </c>
      <c r="L594"/>
      <c r="M594"/>
      <c r="N594"/>
      <c r="O594"/>
      <c r="P594"/>
      <c r="Q594"/>
      <c r="R594"/>
      <c r="S594"/>
      <c r="T594">
        <v>202.5917426</v>
      </c>
      <c r="U594">
        <v>122.3</v>
      </c>
      <c r="V594" t="s">
        <v>2644</v>
      </c>
      <c r="W594" s="114" t="str">
        <f t="shared" si="27"/>
        <v>SOV</v>
      </c>
      <c r="X594" s="114" t="str">
        <f t="shared" si="28"/>
        <v>SOV</v>
      </c>
    </row>
    <row r="595" spans="1:24" hidden="1" x14ac:dyDescent="0.25">
      <c r="A595" s="114" t="str">
        <f t="shared" si="29"/>
        <v>7027</v>
      </c>
      <c r="B595" t="s">
        <v>2160</v>
      </c>
      <c r="C595" t="s">
        <v>702</v>
      </c>
      <c r="D595" t="s">
        <v>701</v>
      </c>
      <c r="E595" t="s">
        <v>586</v>
      </c>
      <c r="F595" t="s">
        <v>1056</v>
      </c>
      <c r="G595" t="s">
        <v>1136</v>
      </c>
      <c r="H595" t="s">
        <v>2148</v>
      </c>
      <c r="I595" t="s">
        <v>90</v>
      </c>
      <c r="J595" t="s">
        <v>90</v>
      </c>
      <c r="K595">
        <v>354.16831866000001</v>
      </c>
      <c r="L595">
        <v>5.5676100999999996</v>
      </c>
      <c r="M595">
        <v>5.1804435199999999</v>
      </c>
      <c r="N595">
        <v>5.0423836499999997</v>
      </c>
      <c r="O595">
        <v>4.9890190800000003</v>
      </c>
      <c r="P595">
        <v>12.982916986335351</v>
      </c>
      <c r="Q595">
        <v>636.22489901999995</v>
      </c>
      <c r="R595">
        <v>9.5997289044308332</v>
      </c>
      <c r="S595" t="s">
        <v>1063</v>
      </c>
      <c r="T595">
        <v>354.16831866000001</v>
      </c>
      <c r="U595" t="s">
        <v>2819</v>
      </c>
      <c r="V595" t="s">
        <v>1059</v>
      </c>
      <c r="W595" s="114" t="str">
        <f t="shared" si="27"/>
        <v>ETF</v>
      </c>
      <c r="X595" s="114" t="str">
        <f t="shared" si="28"/>
        <v>Otros ETFs</v>
      </c>
    </row>
    <row r="596" spans="1:24" hidden="1" x14ac:dyDescent="0.25">
      <c r="A596" s="114" t="str">
        <f t="shared" si="29"/>
        <v>4000</v>
      </c>
      <c r="B596" t="s">
        <v>1057</v>
      </c>
      <c r="C596" t="s">
        <v>2710</v>
      </c>
      <c r="D596" t="s">
        <v>2948</v>
      </c>
      <c r="E596" t="s">
        <v>175</v>
      </c>
      <c r="F596" t="s">
        <v>4812</v>
      </c>
      <c r="G596" t="s">
        <v>1061</v>
      </c>
      <c r="H596" t="s">
        <v>2643</v>
      </c>
      <c r="I596">
        <v>29184890000000</v>
      </c>
      <c r="J596">
        <v>4632164875.8727999</v>
      </c>
      <c r="K596">
        <v>158.7179145055</v>
      </c>
      <c r="L596"/>
      <c r="M596"/>
      <c r="N596"/>
      <c r="O596"/>
      <c r="P596"/>
      <c r="Q596"/>
      <c r="R596"/>
      <c r="S596"/>
      <c r="T596">
        <v>202.5917426</v>
      </c>
      <c r="U596">
        <v>122.3</v>
      </c>
      <c r="V596" t="s">
        <v>2644</v>
      </c>
      <c r="W596" s="114" t="str">
        <f t="shared" si="27"/>
        <v>SOV</v>
      </c>
      <c r="X596" s="114" t="str">
        <f t="shared" si="28"/>
        <v>SOV</v>
      </c>
    </row>
    <row r="597" spans="1:24" hidden="1" x14ac:dyDescent="0.25">
      <c r="A597" s="114" t="str">
        <f t="shared" si="29"/>
        <v>4000</v>
      </c>
      <c r="B597" t="s">
        <v>1057</v>
      </c>
      <c r="C597" t="s">
        <v>2711</v>
      </c>
      <c r="D597" t="s">
        <v>2950</v>
      </c>
      <c r="E597" t="s">
        <v>175</v>
      </c>
      <c r="F597" t="s">
        <v>4812</v>
      </c>
      <c r="G597" t="s">
        <v>1061</v>
      </c>
      <c r="H597" t="s">
        <v>2643</v>
      </c>
      <c r="I597">
        <v>29184890000000</v>
      </c>
      <c r="J597">
        <v>4632164875.8727999</v>
      </c>
      <c r="K597">
        <v>158.7179145055</v>
      </c>
      <c r="L597"/>
      <c r="M597"/>
      <c r="N597"/>
      <c r="O597"/>
      <c r="P597"/>
      <c r="Q597"/>
      <c r="R597"/>
      <c r="S597"/>
      <c r="T597">
        <v>202.5917426</v>
      </c>
      <c r="U597">
        <v>122.3</v>
      </c>
      <c r="V597" t="s">
        <v>2644</v>
      </c>
      <c r="W597" s="114" t="str">
        <f t="shared" si="27"/>
        <v>SOV</v>
      </c>
      <c r="X597" s="114" t="str">
        <f t="shared" si="28"/>
        <v>SOV</v>
      </c>
    </row>
    <row r="598" spans="1:24" hidden="1" x14ac:dyDescent="0.25">
      <c r="A598" s="114" t="str">
        <f t="shared" si="29"/>
        <v>7073</v>
      </c>
      <c r="B598" t="s">
        <v>2161</v>
      </c>
      <c r="C598" t="s">
        <v>2162</v>
      </c>
      <c r="D598" t="s">
        <v>2163</v>
      </c>
      <c r="E598" t="s">
        <v>586</v>
      </c>
      <c r="F598" t="s">
        <v>1056</v>
      </c>
      <c r="G598" t="s">
        <v>1136</v>
      </c>
      <c r="H598" t="s">
        <v>1494</v>
      </c>
      <c r="I598" t="s">
        <v>90</v>
      </c>
      <c r="J598" t="s">
        <v>90</v>
      </c>
      <c r="K598">
        <v>716.43095192999999</v>
      </c>
      <c r="L598">
        <v>4.33252799</v>
      </c>
      <c r="M598">
        <v>5.10274509</v>
      </c>
      <c r="N598">
        <v>5.9838989099999997</v>
      </c>
      <c r="O598">
        <v>5.4600694699999996</v>
      </c>
      <c r="P598">
        <v>0</v>
      </c>
      <c r="Q598"/>
      <c r="R598">
        <v>0</v>
      </c>
      <c r="S598" t="s">
        <v>1063</v>
      </c>
      <c r="T598">
        <v>716.43095192999999</v>
      </c>
      <c r="U598" t="s">
        <v>2819</v>
      </c>
      <c r="V598" t="s">
        <v>1278</v>
      </c>
      <c r="W598" s="114" t="str">
        <f t="shared" si="27"/>
        <v>ETF</v>
      </c>
      <c r="X598" s="114" t="str">
        <f t="shared" si="28"/>
        <v>Soberanos</v>
      </c>
    </row>
    <row r="599" spans="1:24" hidden="1" x14ac:dyDescent="0.25">
      <c r="A599" s="114" t="str">
        <f t="shared" si="29"/>
        <v>5323</v>
      </c>
      <c r="B599" t="s">
        <v>2165</v>
      </c>
      <c r="C599" t="s">
        <v>2166</v>
      </c>
      <c r="D599" t="s">
        <v>2167</v>
      </c>
      <c r="E599" t="s">
        <v>586</v>
      </c>
      <c r="F599" t="s">
        <v>1056</v>
      </c>
      <c r="G599" t="s">
        <v>1136</v>
      </c>
      <c r="H599" t="s">
        <v>2148</v>
      </c>
      <c r="I599" t="s">
        <v>90</v>
      </c>
      <c r="J599" t="s">
        <v>90</v>
      </c>
      <c r="K599">
        <v>171.20401054999999</v>
      </c>
      <c r="L599">
        <v>5.7041944500000001</v>
      </c>
      <c r="M599">
        <v>5.1120699099999998</v>
      </c>
      <c r="N599">
        <v>5.3134560100000003</v>
      </c>
      <c r="O599">
        <v>4.8374114500000003</v>
      </c>
      <c r="P599">
        <v>9.5611306751912775</v>
      </c>
      <c r="Q599">
        <v>320.36844947999998</v>
      </c>
      <c r="R599">
        <v>9.9688814723964825</v>
      </c>
      <c r="S599" t="s">
        <v>1063</v>
      </c>
      <c r="T599">
        <v>171.20401054999999</v>
      </c>
      <c r="U599" t="s">
        <v>2819</v>
      </c>
      <c r="V599" t="s">
        <v>1059</v>
      </c>
      <c r="W599" s="114" t="str">
        <f t="shared" si="27"/>
        <v>ETF</v>
      </c>
      <c r="X599" s="114" t="str">
        <f t="shared" si="28"/>
        <v>Otros ETFs</v>
      </c>
    </row>
    <row r="600" spans="1:24" hidden="1" x14ac:dyDescent="0.25">
      <c r="A600" s="114" t="str">
        <f t="shared" si="29"/>
        <v>4000</v>
      </c>
      <c r="B600" t="s">
        <v>1057</v>
      </c>
      <c r="C600" t="s">
        <v>2712</v>
      </c>
      <c r="D600" t="s">
        <v>2952</v>
      </c>
      <c r="E600" t="s">
        <v>175</v>
      </c>
      <c r="F600" t="s">
        <v>4812</v>
      </c>
      <c r="G600" t="s">
        <v>1061</v>
      </c>
      <c r="H600" t="s">
        <v>2643</v>
      </c>
      <c r="I600">
        <v>29184890000000</v>
      </c>
      <c r="J600">
        <v>4632164875.8727999</v>
      </c>
      <c r="K600">
        <v>158.7179145055</v>
      </c>
      <c r="L600"/>
      <c r="M600"/>
      <c r="N600"/>
      <c r="O600"/>
      <c r="P600"/>
      <c r="Q600"/>
      <c r="R600"/>
      <c r="S600"/>
      <c r="T600">
        <v>202.5917426</v>
      </c>
      <c r="U600">
        <v>122.3</v>
      </c>
      <c r="V600" t="s">
        <v>2644</v>
      </c>
      <c r="W600" s="114" t="str">
        <f t="shared" si="27"/>
        <v>SOV</v>
      </c>
      <c r="X600" s="114" t="str">
        <f t="shared" si="28"/>
        <v>SOV</v>
      </c>
    </row>
    <row r="601" spans="1:24" hidden="1" x14ac:dyDescent="0.25">
      <c r="A601" s="114" t="str">
        <f t="shared" si="29"/>
        <v>7013</v>
      </c>
      <c r="B601" t="s">
        <v>2165</v>
      </c>
      <c r="C601" t="s">
        <v>2166</v>
      </c>
      <c r="D601" t="s">
        <v>2168</v>
      </c>
      <c r="E601" t="s">
        <v>586</v>
      </c>
      <c r="F601" t="s">
        <v>1056</v>
      </c>
      <c r="G601" t="s">
        <v>1136</v>
      </c>
      <c r="H601" t="s">
        <v>2148</v>
      </c>
      <c r="I601" t="s">
        <v>90</v>
      </c>
      <c r="J601" t="s">
        <v>90</v>
      </c>
      <c r="K601">
        <v>171.20401054999999</v>
      </c>
      <c r="L601">
        <v>5.7041944500000001</v>
      </c>
      <c r="M601">
        <v>5.1120699099999998</v>
      </c>
      <c r="N601">
        <v>5.3134560100000003</v>
      </c>
      <c r="O601">
        <v>4.8374114500000003</v>
      </c>
      <c r="P601">
        <v>9.5611306751912775</v>
      </c>
      <c r="Q601">
        <v>320.36844947999998</v>
      </c>
      <c r="R601">
        <v>9.9688814723964825</v>
      </c>
      <c r="S601" t="s">
        <v>1063</v>
      </c>
      <c r="T601">
        <v>171.20401054999999</v>
      </c>
      <c r="U601" t="s">
        <v>2819</v>
      </c>
      <c r="V601" t="s">
        <v>1059</v>
      </c>
      <c r="W601" s="114" t="str">
        <f t="shared" si="27"/>
        <v>ETF</v>
      </c>
      <c r="X601" s="114" t="str">
        <f t="shared" si="28"/>
        <v>Otros ETFs</v>
      </c>
    </row>
    <row r="602" spans="1:24" hidden="1" x14ac:dyDescent="0.25">
      <c r="A602" s="114" t="str">
        <f t="shared" si="29"/>
        <v>4000</v>
      </c>
      <c r="B602" t="s">
        <v>1057</v>
      </c>
      <c r="C602" t="s">
        <v>898</v>
      </c>
      <c r="D602" t="s">
        <v>897</v>
      </c>
      <c r="E602" t="s">
        <v>175</v>
      </c>
      <c r="F602" t="s">
        <v>4812</v>
      </c>
      <c r="G602" t="s">
        <v>1061</v>
      </c>
      <c r="H602" t="s">
        <v>2643</v>
      </c>
      <c r="I602">
        <v>29184890000000</v>
      </c>
      <c r="J602">
        <v>4632164875.8727999</v>
      </c>
      <c r="K602">
        <v>158.7179145055</v>
      </c>
      <c r="L602"/>
      <c r="M602"/>
      <c r="N602"/>
      <c r="O602"/>
      <c r="P602"/>
      <c r="Q602"/>
      <c r="R602"/>
      <c r="S602"/>
      <c r="T602">
        <v>202.5917426</v>
      </c>
      <c r="U602">
        <v>122.3</v>
      </c>
      <c r="V602" t="s">
        <v>2644</v>
      </c>
      <c r="W602" s="114" t="str">
        <f t="shared" si="27"/>
        <v>SOV</v>
      </c>
      <c r="X602" s="114" t="str">
        <f t="shared" si="28"/>
        <v>SOV</v>
      </c>
    </row>
    <row r="603" spans="1:24" hidden="1" x14ac:dyDescent="0.25">
      <c r="A603" s="114" t="str">
        <f t="shared" si="29"/>
        <v>7088</v>
      </c>
      <c r="B603" t="s">
        <v>6275</v>
      </c>
      <c r="C603" t="s">
        <v>6276</v>
      </c>
      <c r="D603" t="s">
        <v>6277</v>
      </c>
      <c r="E603" t="s">
        <v>586</v>
      </c>
      <c r="F603" t="s">
        <v>1056</v>
      </c>
      <c r="G603" t="s">
        <v>1170</v>
      </c>
      <c r="H603" t="s">
        <v>1171</v>
      </c>
      <c r="I603" t="s">
        <v>90</v>
      </c>
      <c r="J603" t="s">
        <v>90</v>
      </c>
      <c r="K603">
        <v>173.38699137</v>
      </c>
      <c r="L603">
        <v>5.8583855500000004</v>
      </c>
      <c r="M603">
        <v>5.1728899200000003</v>
      </c>
      <c r="N603">
        <v>5.2737556300000001</v>
      </c>
      <c r="O603">
        <v>4.9402799100000001</v>
      </c>
      <c r="P603">
        <v>16.075667848664299</v>
      </c>
      <c r="Q603">
        <v>185.52778044999999</v>
      </c>
      <c r="R603">
        <v>10.99717800564399</v>
      </c>
      <c r="S603" t="s">
        <v>30</v>
      </c>
      <c r="T603">
        <v>173.38699137</v>
      </c>
      <c r="U603" t="s">
        <v>2819</v>
      </c>
      <c r="V603" t="s">
        <v>1059</v>
      </c>
      <c r="W603" s="114" t="str">
        <f t="shared" si="27"/>
        <v>ETF</v>
      </c>
      <c r="X603" s="114" t="str">
        <f t="shared" si="28"/>
        <v>Otros ETFs</v>
      </c>
    </row>
    <row r="604" spans="1:24" hidden="1" x14ac:dyDescent="0.25">
      <c r="A604" s="114" t="str">
        <f t="shared" si="29"/>
        <v>4000</v>
      </c>
      <c r="B604" t="s">
        <v>1057</v>
      </c>
      <c r="C604" t="s">
        <v>5084</v>
      </c>
      <c r="D604" t="s">
        <v>5085</v>
      </c>
      <c r="E604" t="s">
        <v>175</v>
      </c>
      <c r="F604" t="s">
        <v>4812</v>
      </c>
      <c r="G604" t="s">
        <v>1061</v>
      </c>
      <c r="H604" t="s">
        <v>2643</v>
      </c>
      <c r="I604">
        <v>29184890000000</v>
      </c>
      <c r="J604">
        <v>4632164875.8727999</v>
      </c>
      <c r="K604">
        <v>158.7179145055</v>
      </c>
      <c r="L604"/>
      <c r="M604"/>
      <c r="N604"/>
      <c r="O604"/>
      <c r="P604"/>
      <c r="Q604"/>
      <c r="R604"/>
      <c r="S604"/>
      <c r="T604">
        <v>202.5917426</v>
      </c>
      <c r="U604">
        <v>122.3</v>
      </c>
      <c r="V604" t="s">
        <v>2644</v>
      </c>
      <c r="W604" s="114" t="str">
        <f t="shared" si="27"/>
        <v>SOV</v>
      </c>
      <c r="X604" s="114" t="str">
        <f t="shared" si="28"/>
        <v>SOV</v>
      </c>
    </row>
    <row r="605" spans="1:24" hidden="1" x14ac:dyDescent="0.25">
      <c r="A605" s="114" t="str">
        <f t="shared" si="29"/>
        <v>4000</v>
      </c>
      <c r="B605" t="s">
        <v>1057</v>
      </c>
      <c r="C605" t="s">
        <v>5086</v>
      </c>
      <c r="D605" t="s">
        <v>5087</v>
      </c>
      <c r="E605" t="s">
        <v>175</v>
      </c>
      <c r="F605" t="s">
        <v>4812</v>
      </c>
      <c r="G605" t="s">
        <v>1061</v>
      </c>
      <c r="H605" t="s">
        <v>2643</v>
      </c>
      <c r="I605">
        <v>29184890000000</v>
      </c>
      <c r="J605">
        <v>4632164875.8727999</v>
      </c>
      <c r="K605">
        <v>158.7179145055</v>
      </c>
      <c r="L605"/>
      <c r="M605"/>
      <c r="N605"/>
      <c r="O605"/>
      <c r="P605"/>
      <c r="Q605"/>
      <c r="R605"/>
      <c r="S605"/>
      <c r="T605">
        <v>202.5917426</v>
      </c>
      <c r="U605">
        <v>122.3</v>
      </c>
      <c r="V605" t="s">
        <v>2644</v>
      </c>
      <c r="W605" s="114" t="str">
        <f t="shared" si="27"/>
        <v>SOV</v>
      </c>
      <c r="X605" s="114" t="str">
        <f t="shared" si="28"/>
        <v>SOV</v>
      </c>
    </row>
    <row r="606" spans="1:24" hidden="1" x14ac:dyDescent="0.25">
      <c r="A606" s="114" t="str">
        <f t="shared" si="29"/>
        <v>7041</v>
      </c>
      <c r="B606" t="s">
        <v>2169</v>
      </c>
      <c r="C606" t="s">
        <v>2170</v>
      </c>
      <c r="D606" t="s">
        <v>2171</v>
      </c>
      <c r="E606" t="s">
        <v>586</v>
      </c>
      <c r="F606" t="s">
        <v>1056</v>
      </c>
      <c r="G606" t="s">
        <v>1057</v>
      </c>
      <c r="H606" t="s">
        <v>1671</v>
      </c>
      <c r="I606" t="s">
        <v>90</v>
      </c>
      <c r="J606" t="s">
        <v>90</v>
      </c>
      <c r="K606">
        <v>2.2216731900000002</v>
      </c>
      <c r="L606">
        <v>8.2079630100000003</v>
      </c>
      <c r="M606">
        <v>8.3420351299999993</v>
      </c>
      <c r="N606">
        <v>4.9164552800000001</v>
      </c>
      <c r="O606">
        <v>6.8104939900000003</v>
      </c>
      <c r="P606">
        <v>13.286493758875849</v>
      </c>
      <c r="Q606">
        <v>4.3018117900000004</v>
      </c>
      <c r="R606">
        <v>33.01671774173456</v>
      </c>
      <c r="S606" t="s">
        <v>1073</v>
      </c>
      <c r="T606">
        <v>2.2216731900000002</v>
      </c>
      <c r="U606" t="s">
        <v>2819</v>
      </c>
      <c r="V606" t="s">
        <v>1059</v>
      </c>
      <c r="W606" s="114" t="str">
        <f t="shared" si="27"/>
        <v>ETF</v>
      </c>
      <c r="X606" s="114" t="str">
        <f t="shared" si="28"/>
        <v>Otros ETFs</v>
      </c>
    </row>
    <row r="607" spans="1:24" hidden="1" x14ac:dyDescent="0.25">
      <c r="A607" s="114" t="str">
        <f t="shared" si="29"/>
        <v>7388</v>
      </c>
      <c r="B607" t="s">
        <v>2172</v>
      </c>
      <c r="C607" t="s">
        <v>632</v>
      </c>
      <c r="D607" t="s">
        <v>631</v>
      </c>
      <c r="E607" t="s">
        <v>586</v>
      </c>
      <c r="F607" t="s">
        <v>1056</v>
      </c>
      <c r="G607" t="s">
        <v>1290</v>
      </c>
      <c r="H607" t="s">
        <v>1291</v>
      </c>
      <c r="I607" t="s">
        <v>90</v>
      </c>
      <c r="J607" t="s">
        <v>90</v>
      </c>
      <c r="K607">
        <v>71.988742619999996</v>
      </c>
      <c r="L607">
        <v>6.4912836599999997</v>
      </c>
      <c r="M607">
        <v>5.7562324699999996</v>
      </c>
      <c r="N607">
        <v>5.49938766</v>
      </c>
      <c r="O607">
        <v>4.89755699</v>
      </c>
      <c r="P607">
        <v>27.930564422628851</v>
      </c>
      <c r="Q607">
        <v>118.64738858</v>
      </c>
      <c r="R607">
        <v>5.7777883812678086</v>
      </c>
      <c r="S607" t="s">
        <v>30</v>
      </c>
      <c r="T607">
        <v>71.988742619999996</v>
      </c>
      <c r="U607" t="s">
        <v>2819</v>
      </c>
      <c r="V607" t="s">
        <v>1059</v>
      </c>
      <c r="W607" s="114" t="str">
        <f t="shared" si="27"/>
        <v>ETF</v>
      </c>
      <c r="X607" s="114" t="str">
        <f t="shared" si="28"/>
        <v>Otros ETFs</v>
      </c>
    </row>
    <row r="608" spans="1:24" hidden="1" x14ac:dyDescent="0.25">
      <c r="A608" s="114" t="str">
        <f t="shared" si="29"/>
        <v>4000</v>
      </c>
      <c r="B608" t="s">
        <v>1057</v>
      </c>
      <c r="C608" t="s">
        <v>5417</v>
      </c>
      <c r="D608" t="s">
        <v>5418</v>
      </c>
      <c r="E608" t="s">
        <v>175</v>
      </c>
      <c r="F608" t="s">
        <v>4812</v>
      </c>
      <c r="G608" t="s">
        <v>1061</v>
      </c>
      <c r="H608" t="s">
        <v>2643</v>
      </c>
      <c r="I608">
        <v>29184890000000</v>
      </c>
      <c r="J608">
        <v>4632164875.8727999</v>
      </c>
      <c r="K608">
        <v>158.7179145055</v>
      </c>
      <c r="L608"/>
      <c r="M608"/>
      <c r="N608"/>
      <c r="O608"/>
      <c r="P608"/>
      <c r="Q608"/>
      <c r="R608"/>
      <c r="S608"/>
      <c r="T608">
        <v>202.5917426</v>
      </c>
      <c r="U608">
        <v>122.3</v>
      </c>
      <c r="V608" t="s">
        <v>2644</v>
      </c>
      <c r="W608" s="114" t="str">
        <f t="shared" si="27"/>
        <v>SOV</v>
      </c>
      <c r="X608" s="114" t="str">
        <f t="shared" si="28"/>
        <v>SOV</v>
      </c>
    </row>
    <row r="609" spans="1:24" hidden="1" x14ac:dyDescent="0.25">
      <c r="A609" s="114" t="str">
        <f t="shared" si="29"/>
        <v>4000</v>
      </c>
      <c r="B609" t="s">
        <v>1057</v>
      </c>
      <c r="C609" t="s">
        <v>5811</v>
      </c>
      <c r="D609" t="s">
        <v>5812</v>
      </c>
      <c r="E609" t="s">
        <v>175</v>
      </c>
      <c r="F609" t="s">
        <v>4812</v>
      </c>
      <c r="G609" t="s">
        <v>1061</v>
      </c>
      <c r="H609" t="s">
        <v>2643</v>
      </c>
      <c r="I609">
        <v>29184890000000</v>
      </c>
      <c r="J609">
        <v>4632164875.8727999</v>
      </c>
      <c r="K609">
        <v>158.7179145055</v>
      </c>
      <c r="L609"/>
      <c r="M609"/>
      <c r="N609"/>
      <c r="O609"/>
      <c r="P609"/>
      <c r="Q609"/>
      <c r="R609"/>
      <c r="S609"/>
      <c r="T609">
        <v>202.5917426</v>
      </c>
      <c r="U609">
        <v>122.3</v>
      </c>
      <c r="V609" t="s">
        <v>2644</v>
      </c>
      <c r="W609" s="114" t="str">
        <f t="shared" si="27"/>
        <v>SOV</v>
      </c>
      <c r="X609" s="114" t="str">
        <f t="shared" si="28"/>
        <v>SOV</v>
      </c>
    </row>
    <row r="610" spans="1:24" hidden="1" x14ac:dyDescent="0.25">
      <c r="A610" s="114" t="str">
        <f t="shared" si="29"/>
        <v>7456</v>
      </c>
      <c r="B610" t="s">
        <v>2173</v>
      </c>
      <c r="C610" t="s">
        <v>2174</v>
      </c>
      <c r="D610" t="s">
        <v>2175</v>
      </c>
      <c r="E610" t="s">
        <v>586</v>
      </c>
      <c r="F610" t="s">
        <v>1056</v>
      </c>
      <c r="G610" t="s">
        <v>1689</v>
      </c>
      <c r="H610" t="s">
        <v>1690</v>
      </c>
      <c r="I610" t="s">
        <v>90</v>
      </c>
      <c r="J610" t="s">
        <v>90</v>
      </c>
      <c r="K610">
        <v>54.732766400000003</v>
      </c>
      <c r="L610">
        <v>8.2145089599999999</v>
      </c>
      <c r="M610">
        <v>6.6203317799999999</v>
      </c>
      <c r="N610">
        <v>5.4378222899999997</v>
      </c>
      <c r="O610">
        <v>7.0005538500000002</v>
      </c>
      <c r="P610">
        <v>22.455110179559281</v>
      </c>
      <c r="Q610">
        <v>120.18316182</v>
      </c>
      <c r="R610">
        <v>67.595129619481526</v>
      </c>
      <c r="S610" t="s">
        <v>1073</v>
      </c>
      <c r="T610">
        <v>54.732766400000003</v>
      </c>
      <c r="U610" t="s">
        <v>2819</v>
      </c>
      <c r="V610" t="s">
        <v>1059</v>
      </c>
      <c r="W610" s="114" t="str">
        <f t="shared" si="27"/>
        <v>ETF</v>
      </c>
      <c r="X610" s="114" t="str">
        <f t="shared" si="28"/>
        <v>Otros ETFs</v>
      </c>
    </row>
    <row r="611" spans="1:24" hidden="1" x14ac:dyDescent="0.25">
      <c r="A611" s="114" t="str">
        <f t="shared" si="29"/>
        <v>JUPI</v>
      </c>
      <c r="B611" t="s">
        <v>2173</v>
      </c>
      <c r="C611" t="s">
        <v>2174</v>
      </c>
      <c r="D611" t="s">
        <v>2176</v>
      </c>
      <c r="E611" t="s">
        <v>586</v>
      </c>
      <c r="F611" t="s">
        <v>1056</v>
      </c>
      <c r="G611" t="s">
        <v>1689</v>
      </c>
      <c r="H611" t="s">
        <v>1690</v>
      </c>
      <c r="I611" t="s">
        <v>90</v>
      </c>
      <c r="J611" t="s">
        <v>90</v>
      </c>
      <c r="K611">
        <v>54.732766400000003</v>
      </c>
      <c r="L611">
        <v>8.2145089599999999</v>
      </c>
      <c r="M611">
        <v>6.6203317799999999</v>
      </c>
      <c r="N611">
        <v>5.4378222899999997</v>
      </c>
      <c r="O611">
        <v>7.0005538500000002</v>
      </c>
      <c r="P611">
        <v>22.455110179559281</v>
      </c>
      <c r="Q611">
        <v>120.18316182</v>
      </c>
      <c r="R611">
        <v>67.595129619481526</v>
      </c>
      <c r="S611" t="s">
        <v>1073</v>
      </c>
      <c r="T611">
        <v>54.732766400000003</v>
      </c>
      <c r="U611" t="s">
        <v>2819</v>
      </c>
      <c r="V611" t="s">
        <v>1059</v>
      </c>
      <c r="W611" s="114" t="str">
        <f t="shared" si="27"/>
        <v>ETF</v>
      </c>
      <c r="X611" s="114" t="str">
        <f t="shared" si="28"/>
        <v>Otros ETFs</v>
      </c>
    </row>
    <row r="612" spans="1:24" hidden="1" x14ac:dyDescent="0.25">
      <c r="A612" s="114" t="str">
        <f t="shared" si="29"/>
        <v>4000</v>
      </c>
      <c r="B612" t="s">
        <v>1057</v>
      </c>
      <c r="C612" t="s">
        <v>6051</v>
      </c>
      <c r="D612" t="s">
        <v>6052</v>
      </c>
      <c r="E612" t="s">
        <v>175</v>
      </c>
      <c r="F612" t="s">
        <v>4812</v>
      </c>
      <c r="G612" t="s">
        <v>1061</v>
      </c>
      <c r="H612" t="s">
        <v>2643</v>
      </c>
      <c r="I612">
        <v>29184890000000</v>
      </c>
      <c r="J612">
        <v>4632164875.8727999</v>
      </c>
      <c r="K612">
        <v>158.7179145055</v>
      </c>
      <c r="L612"/>
      <c r="M612"/>
      <c r="N612"/>
      <c r="O612"/>
      <c r="P612"/>
      <c r="Q612"/>
      <c r="R612"/>
      <c r="S612"/>
      <c r="T612">
        <v>202.5917426</v>
      </c>
      <c r="U612">
        <v>122.3</v>
      </c>
      <c r="V612" t="s">
        <v>2644</v>
      </c>
      <c r="W612" s="114" t="str">
        <f t="shared" si="27"/>
        <v>SOV</v>
      </c>
      <c r="X612" s="114" t="str">
        <f t="shared" si="28"/>
        <v>SOV</v>
      </c>
    </row>
    <row r="613" spans="1:24" hidden="1" x14ac:dyDescent="0.25">
      <c r="A613" s="114" t="str">
        <f t="shared" si="29"/>
        <v>4000</v>
      </c>
      <c r="B613" t="s">
        <v>1057</v>
      </c>
      <c r="C613" t="s">
        <v>6053</v>
      </c>
      <c r="D613" t="s">
        <v>6054</v>
      </c>
      <c r="E613" t="s">
        <v>175</v>
      </c>
      <c r="F613" t="s">
        <v>4812</v>
      </c>
      <c r="G613" t="s">
        <v>1061</v>
      </c>
      <c r="H613" t="s">
        <v>2643</v>
      </c>
      <c r="I613">
        <v>29184890000000</v>
      </c>
      <c r="J613">
        <v>4632164875.8727999</v>
      </c>
      <c r="K613">
        <v>158.7179145055</v>
      </c>
      <c r="L613"/>
      <c r="M613"/>
      <c r="N613"/>
      <c r="O613"/>
      <c r="P613"/>
      <c r="Q613"/>
      <c r="R613"/>
      <c r="S613"/>
      <c r="T613">
        <v>202.5917426</v>
      </c>
      <c r="U613">
        <v>122.3</v>
      </c>
      <c r="V613" t="s">
        <v>2644</v>
      </c>
      <c r="W613" s="114" t="str">
        <f t="shared" si="27"/>
        <v>SOV</v>
      </c>
      <c r="X613" s="114" t="str">
        <f t="shared" si="28"/>
        <v>SOV</v>
      </c>
    </row>
    <row r="614" spans="1:24" hidden="1" x14ac:dyDescent="0.25">
      <c r="A614" s="114" t="str">
        <f t="shared" si="29"/>
        <v>7408</v>
      </c>
      <c r="B614" t="s">
        <v>5088</v>
      </c>
      <c r="C614" t="s">
        <v>2177</v>
      </c>
      <c r="D614" t="s">
        <v>2178</v>
      </c>
      <c r="E614" t="s">
        <v>586</v>
      </c>
      <c r="F614" t="s">
        <v>1056</v>
      </c>
      <c r="G614" t="s">
        <v>1375</v>
      </c>
      <c r="H614" t="s">
        <v>1376</v>
      </c>
      <c r="I614" t="s">
        <v>90</v>
      </c>
      <c r="J614" t="s">
        <v>90</v>
      </c>
      <c r="K614">
        <v>36.005082809999998</v>
      </c>
      <c r="L614">
        <v>6.89829603</v>
      </c>
      <c r="M614">
        <v>5.3073327600000004</v>
      </c>
      <c r="N614">
        <v>5.5600878299999996</v>
      </c>
      <c r="O614">
        <v>5.6737142399999998</v>
      </c>
      <c r="P614">
        <v>4.9939701783389641</v>
      </c>
      <c r="Q614">
        <v>72.075994660000006</v>
      </c>
      <c r="R614">
        <v>27.235326768414911</v>
      </c>
      <c r="S614" t="s">
        <v>30</v>
      </c>
      <c r="T614">
        <v>36.005082809999998</v>
      </c>
      <c r="U614" t="s">
        <v>2819</v>
      </c>
      <c r="V614" t="s">
        <v>1059</v>
      </c>
      <c r="W614" s="114" t="str">
        <f t="shared" si="27"/>
        <v>ETF</v>
      </c>
      <c r="X614" s="114" t="str">
        <f t="shared" si="28"/>
        <v>Otros ETFs</v>
      </c>
    </row>
    <row r="615" spans="1:24" hidden="1" x14ac:dyDescent="0.25">
      <c r="A615" s="114" t="str">
        <f t="shared" si="29"/>
        <v>7515</v>
      </c>
      <c r="B615" t="s">
        <v>5762</v>
      </c>
      <c r="C615" t="s">
        <v>2179</v>
      </c>
      <c r="D615" t="s">
        <v>2180</v>
      </c>
      <c r="E615" t="s">
        <v>586</v>
      </c>
      <c r="F615" t="s">
        <v>1056</v>
      </c>
      <c r="G615" t="s">
        <v>1071</v>
      </c>
      <c r="H615" t="s">
        <v>1155</v>
      </c>
      <c r="I615" t="s">
        <v>90</v>
      </c>
      <c r="J615" t="s">
        <v>90</v>
      </c>
      <c r="K615">
        <v>3.7074306300000002</v>
      </c>
      <c r="L615">
        <v>6.3495986799999997</v>
      </c>
      <c r="M615">
        <v>6.3777913399999999</v>
      </c>
      <c r="N615">
        <v>4.6220866899999997</v>
      </c>
      <c r="O615">
        <v>6.0772000000000004</v>
      </c>
      <c r="P615">
        <v>37.686736057057729</v>
      </c>
      <c r="Q615">
        <v>16.464203179999998</v>
      </c>
      <c r="R615">
        <v>32.636331934800879</v>
      </c>
      <c r="S615" t="s">
        <v>30</v>
      </c>
      <c r="T615">
        <v>3.7074306300000002</v>
      </c>
      <c r="U615" t="s">
        <v>2819</v>
      </c>
      <c r="V615" t="s">
        <v>1059</v>
      </c>
      <c r="W615" s="114" t="str">
        <f t="shared" si="27"/>
        <v>ETF</v>
      </c>
      <c r="X615" s="114" t="str">
        <f t="shared" si="28"/>
        <v>Otros ETFs</v>
      </c>
    </row>
    <row r="616" spans="1:24" hidden="1" x14ac:dyDescent="0.25">
      <c r="A616" s="114" t="str">
        <f t="shared" si="29"/>
        <v>4000</v>
      </c>
      <c r="B616" t="s">
        <v>1057</v>
      </c>
      <c r="C616" t="s">
        <v>6055</v>
      </c>
      <c r="D616" t="s">
        <v>6056</v>
      </c>
      <c r="E616" t="s">
        <v>175</v>
      </c>
      <c r="F616" t="s">
        <v>4812</v>
      </c>
      <c r="G616" t="s">
        <v>1061</v>
      </c>
      <c r="H616" t="s">
        <v>2643</v>
      </c>
      <c r="I616">
        <v>29184890000000</v>
      </c>
      <c r="J616">
        <v>4632164875.8727999</v>
      </c>
      <c r="K616">
        <v>158.7179145055</v>
      </c>
      <c r="L616"/>
      <c r="M616"/>
      <c r="N616"/>
      <c r="O616"/>
      <c r="P616"/>
      <c r="Q616"/>
      <c r="R616"/>
      <c r="S616"/>
      <c r="T616">
        <v>202.5917426</v>
      </c>
      <c r="U616">
        <v>122.3</v>
      </c>
      <c r="V616" t="s">
        <v>2644</v>
      </c>
      <c r="W616" s="114" t="str">
        <f t="shared" si="27"/>
        <v>SOV</v>
      </c>
      <c r="X616" s="114" t="str">
        <f t="shared" si="28"/>
        <v>SOV</v>
      </c>
    </row>
    <row r="617" spans="1:24" hidden="1" x14ac:dyDescent="0.25">
      <c r="A617" s="114" t="str">
        <f t="shared" si="29"/>
        <v>7550</v>
      </c>
      <c r="B617" t="s">
        <v>2181</v>
      </c>
      <c r="C617" t="s">
        <v>2182</v>
      </c>
      <c r="D617" t="s">
        <v>2183</v>
      </c>
      <c r="E617" t="s">
        <v>586</v>
      </c>
      <c r="F617" t="s">
        <v>1056</v>
      </c>
      <c r="G617" t="s">
        <v>1071</v>
      </c>
      <c r="H617" t="s">
        <v>6278</v>
      </c>
      <c r="I617" t="s">
        <v>90</v>
      </c>
      <c r="J617" t="s">
        <v>90</v>
      </c>
      <c r="K617">
        <v>38.733521529999997</v>
      </c>
      <c r="L617">
        <v>6.9371457599999999</v>
      </c>
      <c r="M617">
        <v>6.2811612700000001</v>
      </c>
      <c r="N617">
        <v>5.3748348100000003</v>
      </c>
      <c r="O617">
        <v>6.0482794499999999</v>
      </c>
      <c r="P617">
        <v>18.683405816129319</v>
      </c>
      <c r="Q617">
        <v>98.704070169999994</v>
      </c>
      <c r="R617">
        <v>26.415546450401759</v>
      </c>
      <c r="S617" t="s">
        <v>30</v>
      </c>
      <c r="T617">
        <v>38.733521529999997</v>
      </c>
      <c r="U617" t="s">
        <v>2819</v>
      </c>
      <c r="V617" t="s">
        <v>1059</v>
      </c>
      <c r="W617" s="114" t="str">
        <f t="shared" si="27"/>
        <v>ETF</v>
      </c>
      <c r="X617" s="114" t="str">
        <f t="shared" si="28"/>
        <v>Otros ETFs</v>
      </c>
    </row>
    <row r="618" spans="1:24" hidden="1" x14ac:dyDescent="0.25">
      <c r="A618" s="114" t="str">
        <f t="shared" si="29"/>
        <v>4000</v>
      </c>
      <c r="B618" t="s">
        <v>1057</v>
      </c>
      <c r="C618" t="s">
        <v>6279</v>
      </c>
      <c r="D618" t="s">
        <v>6280</v>
      </c>
      <c r="E618" t="s">
        <v>175</v>
      </c>
      <c r="F618" t="s">
        <v>4812</v>
      </c>
      <c r="G618" t="s">
        <v>1061</v>
      </c>
      <c r="H618" t="s">
        <v>2643</v>
      </c>
      <c r="I618">
        <v>29184890000000</v>
      </c>
      <c r="J618">
        <v>4632164875.8727999</v>
      </c>
      <c r="K618">
        <v>158.7179145055</v>
      </c>
      <c r="L618"/>
      <c r="M618"/>
      <c r="N618"/>
      <c r="O618"/>
      <c r="P618"/>
      <c r="Q618"/>
      <c r="R618"/>
      <c r="S618"/>
      <c r="T618">
        <v>202.5917426</v>
      </c>
      <c r="U618">
        <v>122.3</v>
      </c>
      <c r="V618" t="s">
        <v>2644</v>
      </c>
      <c r="W618" s="114" t="str">
        <f t="shared" si="27"/>
        <v>SOV</v>
      </c>
      <c r="X618" s="114" t="str">
        <f t="shared" si="28"/>
        <v>SOV</v>
      </c>
    </row>
    <row r="619" spans="1:24" hidden="1" x14ac:dyDescent="0.25">
      <c r="A619" s="114" t="str">
        <f t="shared" si="29"/>
        <v>7667</v>
      </c>
      <c r="B619" t="s">
        <v>5813</v>
      </c>
      <c r="C619" t="s">
        <v>5814</v>
      </c>
      <c r="D619" t="s">
        <v>5815</v>
      </c>
      <c r="E619" t="s">
        <v>586</v>
      </c>
      <c r="F619" t="s">
        <v>1056</v>
      </c>
      <c r="G619" t="s">
        <v>2247</v>
      </c>
      <c r="H619" t="s">
        <v>1574</v>
      </c>
      <c r="I619" t="s">
        <v>90</v>
      </c>
      <c r="J619" t="s">
        <v>90</v>
      </c>
      <c r="K619">
        <v>62.317615199999999</v>
      </c>
      <c r="L619">
        <v>5.4821639500000003</v>
      </c>
      <c r="M619">
        <v>4.7621738799999997</v>
      </c>
      <c r="N619">
        <v>5.0220142000000001</v>
      </c>
      <c r="O619">
        <v>5.0056870099999999</v>
      </c>
      <c r="P619">
        <v>0.80544716428150498</v>
      </c>
      <c r="Q619">
        <v>334.90369227999997</v>
      </c>
      <c r="R619">
        <v>7.7498237429908547</v>
      </c>
      <c r="S619" t="s">
        <v>1063</v>
      </c>
      <c r="T619">
        <v>62.317615199999999</v>
      </c>
      <c r="U619" t="s">
        <v>2819</v>
      </c>
      <c r="V619" t="s">
        <v>1059</v>
      </c>
      <c r="W619" s="114" t="str">
        <f t="shared" si="27"/>
        <v>ETF</v>
      </c>
      <c r="X619" s="114" t="str">
        <f t="shared" si="28"/>
        <v>Otros ETFs</v>
      </c>
    </row>
    <row r="620" spans="1:24" hidden="1" x14ac:dyDescent="0.25">
      <c r="A620" s="114" t="str">
        <f t="shared" si="29"/>
        <v>4000</v>
      </c>
      <c r="B620" t="s">
        <v>1057</v>
      </c>
      <c r="C620" t="s">
        <v>2713</v>
      </c>
      <c r="D620" t="s">
        <v>2989</v>
      </c>
      <c r="E620" t="s">
        <v>175</v>
      </c>
      <c r="F620" t="s">
        <v>4812</v>
      </c>
      <c r="G620" t="s">
        <v>1061</v>
      </c>
      <c r="H620" t="s">
        <v>2643</v>
      </c>
      <c r="I620">
        <v>29184890000000</v>
      </c>
      <c r="J620">
        <v>4632164875.8727999</v>
      </c>
      <c r="K620">
        <v>158.7179145055</v>
      </c>
      <c r="L620"/>
      <c r="M620"/>
      <c r="N620"/>
      <c r="O620"/>
      <c r="P620"/>
      <c r="Q620"/>
      <c r="R620"/>
      <c r="S620"/>
      <c r="T620">
        <v>202.5917426</v>
      </c>
      <c r="U620">
        <v>122.3</v>
      </c>
      <c r="V620" t="s">
        <v>2644</v>
      </c>
      <c r="W620" s="114" t="str">
        <f t="shared" si="27"/>
        <v>SOV</v>
      </c>
      <c r="X620" s="114" t="str">
        <f t="shared" si="28"/>
        <v>SOV</v>
      </c>
    </row>
    <row r="621" spans="1:24" hidden="1" x14ac:dyDescent="0.25">
      <c r="A621" s="114" t="str">
        <f t="shared" si="29"/>
        <v>7693</v>
      </c>
      <c r="B621" t="s">
        <v>2185</v>
      </c>
      <c r="C621" t="s">
        <v>2186</v>
      </c>
      <c r="D621" t="s">
        <v>2187</v>
      </c>
      <c r="E621" t="s">
        <v>586</v>
      </c>
      <c r="F621" t="s">
        <v>1056</v>
      </c>
      <c r="G621" t="s">
        <v>1766</v>
      </c>
      <c r="H621" t="s">
        <v>2188</v>
      </c>
      <c r="I621" t="s">
        <v>90</v>
      </c>
      <c r="J621" t="s">
        <v>90</v>
      </c>
      <c r="K621">
        <v>340.98132368</v>
      </c>
      <c r="L621">
        <v>4.97151356</v>
      </c>
      <c r="M621">
        <v>4.9598986600000003</v>
      </c>
      <c r="N621">
        <v>4.9042700699999999</v>
      </c>
      <c r="O621">
        <v>4.7456737499999999</v>
      </c>
      <c r="P621">
        <v>10.80511521598145</v>
      </c>
      <c r="Q621">
        <v>581.76869871999997</v>
      </c>
      <c r="R621">
        <v>9.2156135863882014</v>
      </c>
      <c r="S621" t="s">
        <v>1063</v>
      </c>
      <c r="T621">
        <v>340.98132368</v>
      </c>
      <c r="U621" t="s">
        <v>2819</v>
      </c>
      <c r="V621" t="s">
        <v>1059</v>
      </c>
      <c r="W621" s="114" t="str">
        <f t="shared" si="27"/>
        <v>ETF</v>
      </c>
      <c r="X621" s="114" t="str">
        <f t="shared" si="28"/>
        <v>Otros ETFs</v>
      </c>
    </row>
    <row r="622" spans="1:24" hidden="1" x14ac:dyDescent="0.25">
      <c r="A622" s="114" t="str">
        <f t="shared" si="29"/>
        <v>4000</v>
      </c>
      <c r="B622" t="s">
        <v>1057</v>
      </c>
      <c r="C622" t="s">
        <v>2714</v>
      </c>
      <c r="D622" t="s">
        <v>2993</v>
      </c>
      <c r="E622" t="s">
        <v>175</v>
      </c>
      <c r="F622" t="s">
        <v>4812</v>
      </c>
      <c r="G622" t="s">
        <v>1061</v>
      </c>
      <c r="H622" t="s">
        <v>2643</v>
      </c>
      <c r="I622">
        <v>29184890000000</v>
      </c>
      <c r="J622">
        <v>4632164875.8727999</v>
      </c>
      <c r="K622">
        <v>158.7179145055</v>
      </c>
      <c r="L622"/>
      <c r="M622"/>
      <c r="N622"/>
      <c r="O622"/>
      <c r="P622"/>
      <c r="Q622"/>
      <c r="R622"/>
      <c r="S622"/>
      <c r="T622">
        <v>202.5917426</v>
      </c>
      <c r="U622">
        <v>122.3</v>
      </c>
      <c r="V622" t="s">
        <v>2644</v>
      </c>
      <c r="W622" s="114" t="str">
        <f t="shared" si="27"/>
        <v>SOV</v>
      </c>
      <c r="X622" s="114" t="str">
        <f t="shared" si="28"/>
        <v>SOV</v>
      </c>
    </row>
    <row r="623" spans="1:24" hidden="1" x14ac:dyDescent="0.25">
      <c r="A623" s="114" t="str">
        <f t="shared" si="29"/>
        <v>4000</v>
      </c>
      <c r="B623" t="s">
        <v>1057</v>
      </c>
      <c r="C623" t="s">
        <v>2715</v>
      </c>
      <c r="D623" t="s">
        <v>2987</v>
      </c>
      <c r="E623" t="s">
        <v>175</v>
      </c>
      <c r="F623" t="s">
        <v>4812</v>
      </c>
      <c r="G623" t="s">
        <v>1061</v>
      </c>
      <c r="H623" t="s">
        <v>2643</v>
      </c>
      <c r="I623">
        <v>29184890000000</v>
      </c>
      <c r="J623">
        <v>4632164875.8727999</v>
      </c>
      <c r="K623">
        <v>158.7179145055</v>
      </c>
      <c r="L623"/>
      <c r="M623"/>
      <c r="N623"/>
      <c r="O623"/>
      <c r="P623"/>
      <c r="Q623"/>
      <c r="R623"/>
      <c r="S623"/>
      <c r="T623">
        <v>202.5917426</v>
      </c>
      <c r="U623">
        <v>122.3</v>
      </c>
      <c r="V623" t="s">
        <v>2644</v>
      </c>
      <c r="W623" s="114" t="str">
        <f t="shared" si="27"/>
        <v>SOV</v>
      </c>
      <c r="X623" s="114" t="str">
        <f t="shared" si="28"/>
        <v>SOV</v>
      </c>
    </row>
    <row r="624" spans="1:24" hidden="1" x14ac:dyDescent="0.25">
      <c r="A624" s="114" t="str">
        <f t="shared" si="29"/>
        <v>COMG</v>
      </c>
      <c r="B624" t="s">
        <v>2189</v>
      </c>
      <c r="C624" t="s">
        <v>2190</v>
      </c>
      <c r="D624" t="s">
        <v>2191</v>
      </c>
      <c r="E624" t="s">
        <v>586</v>
      </c>
      <c r="F624" t="s">
        <v>1056</v>
      </c>
      <c r="G624" t="s">
        <v>1163</v>
      </c>
      <c r="H624" t="s">
        <v>1164</v>
      </c>
      <c r="I624" t="s">
        <v>90</v>
      </c>
      <c r="J624" t="s">
        <v>90</v>
      </c>
      <c r="K624">
        <v>22.376526309999999</v>
      </c>
      <c r="L624">
        <v>8.2932770199999997</v>
      </c>
      <c r="M624">
        <v>6.2529704800000001</v>
      </c>
      <c r="N624">
        <v>6.0214198000000003</v>
      </c>
      <c r="O624">
        <v>7.1773852199999997</v>
      </c>
      <c r="P624">
        <v>8.344674829877551</v>
      </c>
      <c r="Q624">
        <v>86.443003009999998</v>
      </c>
      <c r="R624">
        <v>51.332530012049823</v>
      </c>
      <c r="S624" t="s">
        <v>1073</v>
      </c>
      <c r="T624">
        <v>22.376526309999999</v>
      </c>
      <c r="U624" t="s">
        <v>2819</v>
      </c>
      <c r="V624" t="s">
        <v>1059</v>
      </c>
      <c r="W624" s="114" t="str">
        <f t="shared" si="27"/>
        <v>ETF</v>
      </c>
      <c r="X624" s="114" t="str">
        <f t="shared" si="28"/>
        <v>Otros ETFs</v>
      </c>
    </row>
    <row r="625" spans="1:24" hidden="1" x14ac:dyDescent="0.25">
      <c r="A625" s="114" t="str">
        <f t="shared" si="29"/>
        <v>4000</v>
      </c>
      <c r="B625" t="s">
        <v>1057</v>
      </c>
      <c r="C625" t="s">
        <v>6281</v>
      </c>
      <c r="D625" t="s">
        <v>6282</v>
      </c>
      <c r="E625" t="s">
        <v>175</v>
      </c>
      <c r="F625" t="s">
        <v>4812</v>
      </c>
      <c r="G625" t="s">
        <v>1061</v>
      </c>
      <c r="H625" t="s">
        <v>2643</v>
      </c>
      <c r="I625">
        <v>29184890000000</v>
      </c>
      <c r="J625">
        <v>4632164875.8727999</v>
      </c>
      <c r="K625">
        <v>158.7179145055</v>
      </c>
      <c r="L625"/>
      <c r="M625"/>
      <c r="N625"/>
      <c r="O625"/>
      <c r="P625"/>
      <c r="Q625"/>
      <c r="R625"/>
      <c r="S625"/>
      <c r="T625">
        <v>202.5917426</v>
      </c>
      <c r="U625">
        <v>122.3</v>
      </c>
      <c r="V625" t="s">
        <v>2644</v>
      </c>
      <c r="W625" s="114" t="str">
        <f t="shared" si="27"/>
        <v>SOV</v>
      </c>
      <c r="X625" s="114" t="str">
        <f t="shared" si="28"/>
        <v>SOV</v>
      </c>
    </row>
    <row r="626" spans="1:24" hidden="1" x14ac:dyDescent="0.25">
      <c r="A626" s="114" t="str">
        <f t="shared" si="29"/>
        <v>7388</v>
      </c>
      <c r="B626" t="s">
        <v>5348</v>
      </c>
      <c r="C626" t="s">
        <v>5349</v>
      </c>
      <c r="D626" t="s">
        <v>5350</v>
      </c>
      <c r="E626" t="s">
        <v>586</v>
      </c>
      <c r="F626" t="s">
        <v>1056</v>
      </c>
      <c r="G626" t="s">
        <v>1501</v>
      </c>
      <c r="H626" t="s">
        <v>1502</v>
      </c>
      <c r="I626" t="s">
        <v>90</v>
      </c>
      <c r="J626" t="s">
        <v>90</v>
      </c>
      <c r="K626">
        <v>154.96276397</v>
      </c>
      <c r="L626">
        <v>5.7716045200000003</v>
      </c>
      <c r="M626">
        <v>5.0919632200000002</v>
      </c>
      <c r="N626">
        <v>4.5561308199999999</v>
      </c>
      <c r="O626">
        <v>5.3326979400000001</v>
      </c>
      <c r="P626">
        <v>10.456265616575021</v>
      </c>
      <c r="Q626">
        <v>470.32477716</v>
      </c>
      <c r="R626">
        <v>28.31220891003159</v>
      </c>
      <c r="S626" t="s">
        <v>30</v>
      </c>
      <c r="T626">
        <v>154.96276397</v>
      </c>
      <c r="U626" t="s">
        <v>2819</v>
      </c>
      <c r="V626" t="s">
        <v>1059</v>
      </c>
      <c r="W626" s="114" t="str">
        <f t="shared" si="27"/>
        <v>ETF</v>
      </c>
      <c r="X626" s="114" t="str">
        <f t="shared" si="28"/>
        <v>Otros ETFs</v>
      </c>
    </row>
    <row r="627" spans="1:24" hidden="1" x14ac:dyDescent="0.25">
      <c r="A627" s="114" t="str">
        <f t="shared" si="29"/>
        <v>4000</v>
      </c>
      <c r="B627" t="s">
        <v>1057</v>
      </c>
      <c r="C627" t="s">
        <v>2716</v>
      </c>
      <c r="D627" t="s">
        <v>2957</v>
      </c>
      <c r="E627" t="s">
        <v>175</v>
      </c>
      <c r="F627" t="s">
        <v>4812</v>
      </c>
      <c r="G627" t="s">
        <v>1061</v>
      </c>
      <c r="H627" t="s">
        <v>2643</v>
      </c>
      <c r="I627">
        <v>29184890000000</v>
      </c>
      <c r="J627">
        <v>4632164875.8727999</v>
      </c>
      <c r="K627">
        <v>158.7179145055</v>
      </c>
      <c r="L627"/>
      <c r="M627"/>
      <c r="N627"/>
      <c r="O627"/>
      <c r="P627"/>
      <c r="Q627"/>
      <c r="R627"/>
      <c r="S627"/>
      <c r="T627">
        <v>202.5917426</v>
      </c>
      <c r="U627">
        <v>122.3</v>
      </c>
      <c r="V627" t="s">
        <v>2644</v>
      </c>
      <c r="W627" s="114" t="str">
        <f t="shared" si="27"/>
        <v>SOV</v>
      </c>
      <c r="X627" s="114" t="str">
        <f t="shared" si="28"/>
        <v>SOV</v>
      </c>
    </row>
    <row r="628" spans="1:24" hidden="1" x14ac:dyDescent="0.25">
      <c r="A628" s="114" t="str">
        <f t="shared" si="29"/>
        <v>7387</v>
      </c>
      <c r="B628" t="s">
        <v>2193</v>
      </c>
      <c r="C628" t="s">
        <v>2194</v>
      </c>
      <c r="D628" t="s">
        <v>2195</v>
      </c>
      <c r="E628" t="s">
        <v>586</v>
      </c>
      <c r="F628" t="s">
        <v>1056</v>
      </c>
      <c r="G628" t="s">
        <v>1136</v>
      </c>
      <c r="H628" t="s">
        <v>6144</v>
      </c>
      <c r="I628" t="s">
        <v>90</v>
      </c>
      <c r="J628" t="s">
        <v>90</v>
      </c>
      <c r="K628">
        <v>30.586384240000001</v>
      </c>
      <c r="L628">
        <v>6.5513355999999998</v>
      </c>
      <c r="M628">
        <v>5.2584847300000002</v>
      </c>
      <c r="N628">
        <v>5.2648973999999997</v>
      </c>
      <c r="O628">
        <v>5.6348631300000003</v>
      </c>
      <c r="P628">
        <v>13.776079299828391</v>
      </c>
      <c r="Q628">
        <v>105.1071826</v>
      </c>
      <c r="R628">
        <v>13.095945194817309</v>
      </c>
      <c r="S628" t="s">
        <v>30</v>
      </c>
      <c r="T628">
        <v>30.586384240000001</v>
      </c>
      <c r="U628" t="s">
        <v>2819</v>
      </c>
      <c r="V628" t="s">
        <v>1059</v>
      </c>
      <c r="W628" s="114" t="str">
        <f t="shared" si="27"/>
        <v>ETF</v>
      </c>
      <c r="X628" s="114" t="str">
        <f t="shared" si="28"/>
        <v>Otros ETFs</v>
      </c>
    </row>
    <row r="629" spans="1:24" hidden="1" x14ac:dyDescent="0.25">
      <c r="A629" s="114" t="str">
        <f t="shared" si="29"/>
        <v>7077</v>
      </c>
      <c r="B629" t="s">
        <v>2196</v>
      </c>
      <c r="C629" t="s">
        <v>2197</v>
      </c>
      <c r="D629" t="s">
        <v>2198</v>
      </c>
      <c r="E629" t="s">
        <v>586</v>
      </c>
      <c r="F629" t="s">
        <v>1056</v>
      </c>
      <c r="G629" t="s">
        <v>1071</v>
      </c>
      <c r="H629" t="s">
        <v>1856</v>
      </c>
      <c r="I629" t="s">
        <v>90</v>
      </c>
      <c r="J629" t="s">
        <v>90</v>
      </c>
      <c r="K629">
        <v>51.366424739999999</v>
      </c>
      <c r="L629">
        <v>6.0757715499999998</v>
      </c>
      <c r="M629">
        <v>5.3412732199999997</v>
      </c>
      <c r="N629">
        <v>4.7536777900000002</v>
      </c>
      <c r="O629">
        <v>5.9525259300000002</v>
      </c>
      <c r="P629">
        <v>7.9449336698298136</v>
      </c>
      <c r="Q629">
        <v>116.01866894</v>
      </c>
      <c r="R629">
        <v>21.30578218446961</v>
      </c>
      <c r="S629" t="s">
        <v>30</v>
      </c>
      <c r="T629">
        <v>51.366424739999999</v>
      </c>
      <c r="U629" t="s">
        <v>2819</v>
      </c>
      <c r="V629" t="s">
        <v>1059</v>
      </c>
      <c r="W629" s="114" t="str">
        <f t="shared" si="27"/>
        <v>ETF</v>
      </c>
      <c r="X629" s="114" t="str">
        <f t="shared" si="28"/>
        <v>Otros ETFs</v>
      </c>
    </row>
    <row r="630" spans="1:24" hidden="1" x14ac:dyDescent="0.25">
      <c r="A630" s="114" t="str">
        <f t="shared" si="29"/>
        <v>4000</v>
      </c>
      <c r="B630" t="s">
        <v>1057</v>
      </c>
      <c r="C630" t="s">
        <v>2717</v>
      </c>
      <c r="D630" t="s">
        <v>4813</v>
      </c>
      <c r="E630" t="s">
        <v>175</v>
      </c>
      <c r="F630" t="s">
        <v>4812</v>
      </c>
      <c r="G630" t="s">
        <v>1061</v>
      </c>
      <c r="H630" t="s">
        <v>2643</v>
      </c>
      <c r="I630">
        <v>29184890000000</v>
      </c>
      <c r="J630">
        <v>4632164875.8727999</v>
      </c>
      <c r="K630">
        <v>158.7179145055</v>
      </c>
      <c r="L630"/>
      <c r="M630"/>
      <c r="N630"/>
      <c r="O630"/>
      <c r="P630"/>
      <c r="Q630"/>
      <c r="R630"/>
      <c r="S630"/>
      <c r="T630">
        <v>202.5917426</v>
      </c>
      <c r="U630">
        <v>122.3</v>
      </c>
      <c r="V630" t="s">
        <v>2644</v>
      </c>
      <c r="W630" s="114" t="str">
        <f t="shared" si="27"/>
        <v>SOV</v>
      </c>
      <c r="X630" s="114" t="str">
        <f t="shared" si="28"/>
        <v>SOV</v>
      </c>
    </row>
    <row r="631" spans="1:24" hidden="1" x14ac:dyDescent="0.25">
      <c r="A631" s="114" t="str">
        <f t="shared" si="29"/>
        <v>4000</v>
      </c>
      <c r="B631" t="s">
        <v>1057</v>
      </c>
      <c r="C631" t="s">
        <v>902</v>
      </c>
      <c r="D631" t="s">
        <v>901</v>
      </c>
      <c r="E631" t="s">
        <v>175</v>
      </c>
      <c r="F631" t="s">
        <v>4812</v>
      </c>
      <c r="G631" t="s">
        <v>1061</v>
      </c>
      <c r="H631" t="s">
        <v>2643</v>
      </c>
      <c r="I631">
        <v>29184890000000</v>
      </c>
      <c r="J631">
        <v>4632164875.8727999</v>
      </c>
      <c r="K631">
        <v>158.7179145055</v>
      </c>
      <c r="L631"/>
      <c r="M631"/>
      <c r="N631"/>
      <c r="O631"/>
      <c r="P631"/>
      <c r="Q631"/>
      <c r="R631"/>
      <c r="S631"/>
      <c r="T631">
        <v>202.5917426</v>
      </c>
      <c r="U631">
        <v>122.3</v>
      </c>
      <c r="V631" t="s">
        <v>2644</v>
      </c>
      <c r="W631" s="114" t="str">
        <f t="shared" si="27"/>
        <v>SOV</v>
      </c>
      <c r="X631" s="114" t="str">
        <f t="shared" si="28"/>
        <v>SOV</v>
      </c>
    </row>
    <row r="632" spans="1:24" hidden="1" x14ac:dyDescent="0.25">
      <c r="A632" s="114" t="str">
        <f t="shared" si="29"/>
        <v>7209</v>
      </c>
      <c r="B632" t="s">
        <v>5419</v>
      </c>
      <c r="C632" t="s">
        <v>2199</v>
      </c>
      <c r="D632" t="s">
        <v>2200</v>
      </c>
      <c r="E632" t="s">
        <v>586</v>
      </c>
      <c r="F632" t="s">
        <v>1056</v>
      </c>
      <c r="G632" t="s">
        <v>1605</v>
      </c>
      <c r="H632" t="s">
        <v>2201</v>
      </c>
      <c r="I632" t="s">
        <v>90</v>
      </c>
      <c r="J632" t="s">
        <v>90</v>
      </c>
      <c r="K632">
        <v>75.251365390000004</v>
      </c>
      <c r="L632">
        <v>4.8177302900000001</v>
      </c>
      <c r="M632">
        <v>5.0904820400000004</v>
      </c>
      <c r="N632">
        <v>4.9223172000000002</v>
      </c>
      <c r="O632">
        <v>4.9201673899999996</v>
      </c>
      <c r="P632">
        <v>3.0054729507434428</v>
      </c>
      <c r="Q632">
        <v>179.25975366</v>
      </c>
      <c r="R632">
        <v>2.2374798626812362</v>
      </c>
      <c r="S632" t="s">
        <v>1063</v>
      </c>
      <c r="T632">
        <v>75.251365390000004</v>
      </c>
      <c r="U632" t="s">
        <v>2819</v>
      </c>
      <c r="V632" t="s">
        <v>1059</v>
      </c>
      <c r="W632" s="114" t="str">
        <f t="shared" si="27"/>
        <v>ETF</v>
      </c>
      <c r="X632" s="114" t="str">
        <f t="shared" si="28"/>
        <v>Otros ETFs</v>
      </c>
    </row>
    <row r="633" spans="1:24" hidden="1" x14ac:dyDescent="0.25">
      <c r="A633" s="114" t="str">
        <f t="shared" si="29"/>
        <v>4000</v>
      </c>
      <c r="B633" t="s">
        <v>1057</v>
      </c>
      <c r="C633" t="s">
        <v>2718</v>
      </c>
      <c r="D633" t="s">
        <v>2949</v>
      </c>
      <c r="E633" t="s">
        <v>175</v>
      </c>
      <c r="F633" t="s">
        <v>4812</v>
      </c>
      <c r="G633" t="s">
        <v>1061</v>
      </c>
      <c r="H633" t="s">
        <v>2643</v>
      </c>
      <c r="I633">
        <v>29184890000000</v>
      </c>
      <c r="J633">
        <v>4632164875.8727999</v>
      </c>
      <c r="K633">
        <v>158.7179145055</v>
      </c>
      <c r="L633"/>
      <c r="M633"/>
      <c r="N633"/>
      <c r="O633"/>
      <c r="P633"/>
      <c r="Q633"/>
      <c r="R633"/>
      <c r="S633"/>
      <c r="T633">
        <v>202.5917426</v>
      </c>
      <c r="U633">
        <v>122.3</v>
      </c>
      <c r="V633" t="s">
        <v>2644</v>
      </c>
      <c r="W633" s="114" t="str">
        <f t="shared" si="27"/>
        <v>SOV</v>
      </c>
      <c r="X633" s="114" t="str">
        <f t="shared" si="28"/>
        <v>SOV</v>
      </c>
    </row>
    <row r="634" spans="1:24" hidden="1" x14ac:dyDescent="0.25">
      <c r="A634" s="114" t="str">
        <f t="shared" si="29"/>
        <v>7073</v>
      </c>
      <c r="B634" t="s">
        <v>2202</v>
      </c>
      <c r="C634" t="s">
        <v>2203</v>
      </c>
      <c r="D634" t="s">
        <v>2204</v>
      </c>
      <c r="E634" t="s">
        <v>586</v>
      </c>
      <c r="F634" t="s">
        <v>1056</v>
      </c>
      <c r="G634" t="s">
        <v>1071</v>
      </c>
      <c r="H634" t="s">
        <v>1445</v>
      </c>
      <c r="I634" t="s">
        <v>90</v>
      </c>
      <c r="J634" t="s">
        <v>90</v>
      </c>
      <c r="K634">
        <v>40.07073475</v>
      </c>
      <c r="L634">
        <v>6.66009925</v>
      </c>
      <c r="M634">
        <v>6.0125825400000004</v>
      </c>
      <c r="N634">
        <v>5.1693202200000004</v>
      </c>
      <c r="O634">
        <v>5.7789966499999998</v>
      </c>
      <c r="P634">
        <v>29.275852953445039</v>
      </c>
      <c r="Q634">
        <v>113.0994536</v>
      </c>
      <c r="R634">
        <v>27.658286038700108</v>
      </c>
      <c r="S634" t="s">
        <v>30</v>
      </c>
      <c r="T634">
        <v>40.07073475</v>
      </c>
      <c r="U634" t="s">
        <v>2819</v>
      </c>
      <c r="V634" t="s">
        <v>1059</v>
      </c>
      <c r="W634" s="114" t="str">
        <f t="shared" si="27"/>
        <v>ETF</v>
      </c>
      <c r="X634" s="114" t="str">
        <f t="shared" si="28"/>
        <v>Otros ETFs</v>
      </c>
    </row>
    <row r="635" spans="1:24" hidden="1" x14ac:dyDescent="0.25">
      <c r="A635" s="114" t="str">
        <f t="shared" si="29"/>
        <v>4000</v>
      </c>
      <c r="B635" t="s">
        <v>1057</v>
      </c>
      <c r="C635" t="s">
        <v>5089</v>
      </c>
      <c r="D635" t="s">
        <v>5090</v>
      </c>
      <c r="E635" t="s">
        <v>175</v>
      </c>
      <c r="F635" t="s">
        <v>4812</v>
      </c>
      <c r="G635" t="s">
        <v>1061</v>
      </c>
      <c r="H635" t="s">
        <v>2643</v>
      </c>
      <c r="I635">
        <v>29184890000000</v>
      </c>
      <c r="J635">
        <v>4632164875.8727999</v>
      </c>
      <c r="K635">
        <v>158.7179145055</v>
      </c>
      <c r="L635"/>
      <c r="M635"/>
      <c r="N635"/>
      <c r="O635"/>
      <c r="P635"/>
      <c r="Q635"/>
      <c r="R635"/>
      <c r="S635"/>
      <c r="T635">
        <v>202.5917426</v>
      </c>
      <c r="U635">
        <v>122.3</v>
      </c>
      <c r="V635" t="s">
        <v>2644</v>
      </c>
      <c r="W635" s="114" t="str">
        <f t="shared" si="27"/>
        <v>SOV</v>
      </c>
      <c r="X635" s="114" t="str">
        <f t="shared" si="28"/>
        <v>SOV</v>
      </c>
    </row>
    <row r="636" spans="1:24" hidden="1" x14ac:dyDescent="0.25">
      <c r="A636" s="114" t="str">
        <f t="shared" si="29"/>
        <v>7073</v>
      </c>
      <c r="B636" t="s">
        <v>2205</v>
      </c>
      <c r="C636" t="s">
        <v>2206</v>
      </c>
      <c r="D636" t="s">
        <v>2207</v>
      </c>
      <c r="E636" t="s">
        <v>586</v>
      </c>
      <c r="F636" t="s">
        <v>1056</v>
      </c>
      <c r="G636" t="s">
        <v>1057</v>
      </c>
      <c r="H636" t="s">
        <v>1288</v>
      </c>
      <c r="I636" t="s">
        <v>90</v>
      </c>
      <c r="J636" t="s">
        <v>90</v>
      </c>
      <c r="K636">
        <v>89.621526939999995</v>
      </c>
      <c r="L636">
        <v>5.6887185200000001</v>
      </c>
      <c r="M636">
        <v>5.1250091099999997</v>
      </c>
      <c r="N636">
        <v>4.66172539</v>
      </c>
      <c r="O636">
        <v>5.8258575400000003</v>
      </c>
      <c r="P636">
        <v>13.49009146020005</v>
      </c>
      <c r="Q636">
        <v>172.68531937</v>
      </c>
      <c r="R636">
        <v>22.786446909371701</v>
      </c>
      <c r="S636" t="s">
        <v>1063</v>
      </c>
      <c r="T636">
        <v>89.621526939999995</v>
      </c>
      <c r="U636" t="s">
        <v>2819</v>
      </c>
      <c r="V636" t="s">
        <v>1059</v>
      </c>
      <c r="W636" s="114" t="str">
        <f t="shared" si="27"/>
        <v>ETF</v>
      </c>
      <c r="X636" s="114" t="str">
        <f t="shared" si="28"/>
        <v>Otros ETFs</v>
      </c>
    </row>
    <row r="637" spans="1:24" hidden="1" x14ac:dyDescent="0.25">
      <c r="A637" s="114" t="str">
        <f t="shared" si="29"/>
        <v>4000</v>
      </c>
      <c r="B637" t="s">
        <v>1057</v>
      </c>
      <c r="C637" t="s">
        <v>4991</v>
      </c>
      <c r="D637" t="s">
        <v>4990</v>
      </c>
      <c r="E637" t="s">
        <v>175</v>
      </c>
      <c r="F637" t="s">
        <v>4812</v>
      </c>
      <c r="G637" t="s">
        <v>1061</v>
      </c>
      <c r="H637" t="s">
        <v>2643</v>
      </c>
      <c r="I637">
        <v>29184890000000</v>
      </c>
      <c r="J637">
        <v>4632164875.8727999</v>
      </c>
      <c r="K637">
        <v>158.7179145055</v>
      </c>
      <c r="L637"/>
      <c r="M637"/>
      <c r="N637"/>
      <c r="O637"/>
      <c r="P637"/>
      <c r="Q637"/>
      <c r="R637"/>
      <c r="S637"/>
      <c r="T637">
        <v>202.5917426</v>
      </c>
      <c r="U637">
        <v>122.3</v>
      </c>
      <c r="V637" t="s">
        <v>2644</v>
      </c>
      <c r="W637" s="114" t="str">
        <f t="shared" si="27"/>
        <v>SOV</v>
      </c>
      <c r="X637" s="114" t="str">
        <f t="shared" si="28"/>
        <v>SOV</v>
      </c>
    </row>
    <row r="638" spans="1:24" hidden="1" x14ac:dyDescent="0.25">
      <c r="A638" s="114" t="str">
        <f t="shared" si="29"/>
        <v>7437</v>
      </c>
      <c r="B638" t="s">
        <v>6283</v>
      </c>
      <c r="C638" t="s">
        <v>2209</v>
      </c>
      <c r="D638" t="s">
        <v>2210</v>
      </c>
      <c r="E638" t="s">
        <v>586</v>
      </c>
      <c r="F638" t="s">
        <v>1056</v>
      </c>
      <c r="G638" t="s">
        <v>1071</v>
      </c>
      <c r="H638" t="s">
        <v>2211</v>
      </c>
      <c r="I638" t="s">
        <v>90</v>
      </c>
      <c r="J638" t="s">
        <v>90</v>
      </c>
      <c r="K638">
        <v>124.49138762</v>
      </c>
      <c r="L638">
        <v>5.6705305099999999</v>
      </c>
      <c r="M638">
        <v>5.2743372400000004</v>
      </c>
      <c r="N638">
        <v>4.9361558800000003</v>
      </c>
      <c r="O638">
        <v>5.4617996199999999</v>
      </c>
      <c r="P638">
        <v>11.357461967210179</v>
      </c>
      <c r="Q638">
        <v>244.47503971</v>
      </c>
      <c r="R638">
        <v>17.24335514214858</v>
      </c>
      <c r="S638" t="s">
        <v>1063</v>
      </c>
      <c r="T638">
        <v>124.49138762</v>
      </c>
      <c r="U638" t="s">
        <v>2819</v>
      </c>
      <c r="V638" t="s">
        <v>1059</v>
      </c>
      <c r="W638" s="114" t="str">
        <f t="shared" si="27"/>
        <v>ETF</v>
      </c>
      <c r="X638" s="114" t="str">
        <f t="shared" si="28"/>
        <v>Otros ETFs</v>
      </c>
    </row>
    <row r="639" spans="1:24" hidden="1" x14ac:dyDescent="0.25">
      <c r="A639" s="114" t="str">
        <f t="shared" si="29"/>
        <v>4000</v>
      </c>
      <c r="B639" t="s">
        <v>1057</v>
      </c>
      <c r="C639" t="s">
        <v>5271</v>
      </c>
      <c r="D639" t="s">
        <v>5272</v>
      </c>
      <c r="E639" t="s">
        <v>175</v>
      </c>
      <c r="F639" t="s">
        <v>4812</v>
      </c>
      <c r="G639" t="s">
        <v>1061</v>
      </c>
      <c r="H639" t="s">
        <v>2643</v>
      </c>
      <c r="I639">
        <v>29184890000000</v>
      </c>
      <c r="J639">
        <v>4632164875.8727999</v>
      </c>
      <c r="K639">
        <v>158.7179145055</v>
      </c>
      <c r="L639"/>
      <c r="M639"/>
      <c r="N639"/>
      <c r="O639"/>
      <c r="P639"/>
      <c r="Q639"/>
      <c r="R639"/>
      <c r="S639"/>
      <c r="T639">
        <v>202.5917426</v>
      </c>
      <c r="U639">
        <v>122.3</v>
      </c>
      <c r="V639" t="s">
        <v>2644</v>
      </c>
      <c r="W639" s="114" t="str">
        <f t="shared" si="27"/>
        <v>SOV</v>
      </c>
      <c r="X639" s="114" t="str">
        <f t="shared" si="28"/>
        <v>SOV</v>
      </c>
    </row>
    <row r="640" spans="1:24" hidden="1" x14ac:dyDescent="0.25">
      <c r="A640" s="114" t="str">
        <f t="shared" si="29"/>
        <v>7395</v>
      </c>
      <c r="B640" t="s">
        <v>2213</v>
      </c>
      <c r="C640" t="s">
        <v>2214</v>
      </c>
      <c r="D640" t="s">
        <v>2215</v>
      </c>
      <c r="E640" t="s">
        <v>586</v>
      </c>
      <c r="F640" t="s">
        <v>1056</v>
      </c>
      <c r="G640" t="s">
        <v>1071</v>
      </c>
      <c r="H640" t="s">
        <v>1445</v>
      </c>
      <c r="I640" t="s">
        <v>90</v>
      </c>
      <c r="J640" t="s">
        <v>90</v>
      </c>
      <c r="K640">
        <v>42.597220800000002</v>
      </c>
      <c r="L640">
        <v>6.6453725400000003</v>
      </c>
      <c r="M640">
        <v>6.0014131500000003</v>
      </c>
      <c r="N640">
        <v>5.1648595400000001</v>
      </c>
      <c r="O640">
        <v>5.77157447</v>
      </c>
      <c r="P640">
        <v>28.76903664954968</v>
      </c>
      <c r="Q640">
        <v>117.44565484</v>
      </c>
      <c r="R640">
        <v>27.498260306186111</v>
      </c>
      <c r="S640" t="s">
        <v>30</v>
      </c>
      <c r="T640">
        <v>42.597220800000002</v>
      </c>
      <c r="U640" t="s">
        <v>2819</v>
      </c>
      <c r="V640" t="s">
        <v>1059</v>
      </c>
      <c r="W640" s="114" t="str">
        <f t="shared" si="27"/>
        <v>ETF</v>
      </c>
      <c r="X640" s="114" t="str">
        <f t="shared" si="28"/>
        <v>Otros ETFs</v>
      </c>
    </row>
    <row r="641" spans="1:24" hidden="1" x14ac:dyDescent="0.25">
      <c r="A641" s="114" t="str">
        <f t="shared" si="29"/>
        <v>4000</v>
      </c>
      <c r="B641" t="s">
        <v>1057</v>
      </c>
      <c r="C641" t="s">
        <v>5420</v>
      </c>
      <c r="D641" t="s">
        <v>5421</v>
      </c>
      <c r="E641" t="s">
        <v>175</v>
      </c>
      <c r="F641" t="s">
        <v>4812</v>
      </c>
      <c r="G641" t="s">
        <v>1061</v>
      </c>
      <c r="H641" t="s">
        <v>2643</v>
      </c>
      <c r="I641">
        <v>29184890000000</v>
      </c>
      <c r="J641">
        <v>4632164875.8727999</v>
      </c>
      <c r="K641">
        <v>158.7179145055</v>
      </c>
      <c r="L641"/>
      <c r="M641"/>
      <c r="N641"/>
      <c r="O641"/>
      <c r="P641"/>
      <c r="Q641"/>
      <c r="R641"/>
      <c r="S641"/>
      <c r="T641">
        <v>202.5917426</v>
      </c>
      <c r="U641">
        <v>122.3</v>
      </c>
      <c r="V641" t="s">
        <v>2644</v>
      </c>
      <c r="W641" s="114" t="str">
        <f t="shared" si="27"/>
        <v>SOV</v>
      </c>
      <c r="X641" s="114" t="str">
        <f t="shared" si="28"/>
        <v>SOV</v>
      </c>
    </row>
    <row r="642" spans="1:24" hidden="1" x14ac:dyDescent="0.25">
      <c r="A642" s="114" t="str">
        <f t="shared" si="29"/>
        <v>7395</v>
      </c>
      <c r="B642" t="s">
        <v>2216</v>
      </c>
      <c r="C642" t="s">
        <v>2217</v>
      </c>
      <c r="D642" t="s">
        <v>2218</v>
      </c>
      <c r="E642" t="s">
        <v>586</v>
      </c>
      <c r="F642" t="s">
        <v>1056</v>
      </c>
      <c r="G642" t="s">
        <v>1136</v>
      </c>
      <c r="H642" t="s">
        <v>6144</v>
      </c>
      <c r="I642" t="s">
        <v>90</v>
      </c>
      <c r="J642" t="s">
        <v>90</v>
      </c>
      <c r="K642">
        <v>128.94477307</v>
      </c>
      <c r="L642">
        <v>6.27287047</v>
      </c>
      <c r="M642">
        <v>5.5681113800000004</v>
      </c>
      <c r="N642">
        <v>5.4274040899999996</v>
      </c>
      <c r="O642">
        <v>5.1290123100000002</v>
      </c>
      <c r="P642">
        <v>17.934611977338761</v>
      </c>
      <c r="Q642">
        <v>338.65130461000001</v>
      </c>
      <c r="R642">
        <v>10.592407726257401</v>
      </c>
      <c r="S642" t="s">
        <v>30</v>
      </c>
      <c r="T642">
        <v>128.94477307</v>
      </c>
      <c r="U642" t="s">
        <v>2819</v>
      </c>
      <c r="V642" t="s">
        <v>1059</v>
      </c>
      <c r="W642" s="114" t="str">
        <f t="shared" ref="W642:W705" si="30">IF(V642="ETF_ETY","ETF",IF(V642="ETF_SOV","ETF",IF(V642="RF_SOV","SOV",IF(V642="-","Cuestionario Integra","Portafolio"))))</f>
        <v>ETF</v>
      </c>
      <c r="X642" s="114" t="str">
        <f t="shared" ref="X642:X705" si="31">IF(V642="ETF_ETY","Otros ETFs",IF(V642="ETF_SOV","Soberanos",W642))</f>
        <v>Otros ETFs</v>
      </c>
    </row>
    <row r="643" spans="1:24" hidden="1" x14ac:dyDescent="0.25">
      <c r="A643" s="114" t="str">
        <f t="shared" ref="A643:A706" si="32">RIGHT(LEFT(D643,6),4)</f>
        <v>4000</v>
      </c>
      <c r="B643" t="s">
        <v>1057</v>
      </c>
      <c r="C643" t="s">
        <v>5422</v>
      </c>
      <c r="D643" t="s">
        <v>5423</v>
      </c>
      <c r="E643" t="s">
        <v>175</v>
      </c>
      <c r="F643" t="s">
        <v>4812</v>
      </c>
      <c r="G643" t="s">
        <v>1061</v>
      </c>
      <c r="H643" t="s">
        <v>2643</v>
      </c>
      <c r="I643">
        <v>29184890000000</v>
      </c>
      <c r="J643">
        <v>4632164875.8727999</v>
      </c>
      <c r="K643">
        <v>158.7179145055</v>
      </c>
      <c r="L643"/>
      <c r="M643"/>
      <c r="N643"/>
      <c r="O643"/>
      <c r="P643"/>
      <c r="Q643"/>
      <c r="R643"/>
      <c r="S643"/>
      <c r="T643">
        <v>202.5917426</v>
      </c>
      <c r="U643">
        <v>122.3</v>
      </c>
      <c r="V643" t="s">
        <v>2644</v>
      </c>
      <c r="W643" s="114" t="str">
        <f t="shared" si="30"/>
        <v>SOV</v>
      </c>
      <c r="X643" s="114" t="str">
        <f t="shared" si="31"/>
        <v>SOV</v>
      </c>
    </row>
    <row r="644" spans="1:24" hidden="1" x14ac:dyDescent="0.25">
      <c r="A644" s="114" t="str">
        <f t="shared" si="32"/>
        <v>7395</v>
      </c>
      <c r="B644" t="s">
        <v>2219</v>
      </c>
      <c r="C644" t="s">
        <v>2220</v>
      </c>
      <c r="D644" t="s">
        <v>2221</v>
      </c>
      <c r="E644" t="s">
        <v>586</v>
      </c>
      <c r="F644" t="s">
        <v>1056</v>
      </c>
      <c r="G644" t="s">
        <v>1057</v>
      </c>
      <c r="H644" t="s">
        <v>1058</v>
      </c>
      <c r="I644" t="s">
        <v>90</v>
      </c>
      <c r="J644" t="s">
        <v>90</v>
      </c>
      <c r="K644">
        <v>22.718650539999999</v>
      </c>
      <c r="L644">
        <v>6.2638167400000002</v>
      </c>
      <c r="M644">
        <v>6.0481716399999996</v>
      </c>
      <c r="N644">
        <v>5.0587932799999997</v>
      </c>
      <c r="O644">
        <v>5.51302102</v>
      </c>
      <c r="P644">
        <v>35.175774375219987</v>
      </c>
      <c r="Q644">
        <v>87.183551989999998</v>
      </c>
      <c r="R644">
        <v>18.427510319669771</v>
      </c>
      <c r="S644" t="s">
        <v>30</v>
      </c>
      <c r="T644">
        <v>22.718650539999999</v>
      </c>
      <c r="U644" t="s">
        <v>2819</v>
      </c>
      <c r="V644" t="s">
        <v>1059</v>
      </c>
      <c r="W644" s="114" t="str">
        <f t="shared" si="30"/>
        <v>ETF</v>
      </c>
      <c r="X644" s="114" t="str">
        <f t="shared" si="31"/>
        <v>Otros ETFs</v>
      </c>
    </row>
    <row r="645" spans="1:24" hidden="1" x14ac:dyDescent="0.25">
      <c r="A645" s="114" t="str">
        <f t="shared" si="32"/>
        <v>NORD</v>
      </c>
      <c r="B645" t="s">
        <v>2222</v>
      </c>
      <c r="C645" t="s">
        <v>2223</v>
      </c>
      <c r="D645" t="s">
        <v>2224</v>
      </c>
      <c r="E645" t="s">
        <v>586</v>
      </c>
      <c r="F645" t="s">
        <v>1056</v>
      </c>
      <c r="G645" t="s">
        <v>1136</v>
      </c>
      <c r="H645" t="s">
        <v>1437</v>
      </c>
      <c r="I645" t="s">
        <v>90</v>
      </c>
      <c r="J645" t="s">
        <v>90</v>
      </c>
      <c r="K645">
        <v>264.06797368999997</v>
      </c>
      <c r="L645">
        <v>3.8136782</v>
      </c>
      <c r="M645">
        <v>5.0593392799999997</v>
      </c>
      <c r="N645">
        <v>5.22641402</v>
      </c>
      <c r="O645">
        <v>5.0523880700000001</v>
      </c>
      <c r="P645">
        <v>4.7250704039468907</v>
      </c>
      <c r="Q645">
        <v>388.07194894999998</v>
      </c>
      <c r="R645">
        <v>0.835919501747726</v>
      </c>
      <c r="S645" t="s">
        <v>1138</v>
      </c>
      <c r="T645">
        <v>264.06797368999997</v>
      </c>
      <c r="U645" t="s">
        <v>2819</v>
      </c>
      <c r="V645" t="s">
        <v>1059</v>
      </c>
      <c r="W645" s="114" t="str">
        <f t="shared" si="30"/>
        <v>ETF</v>
      </c>
      <c r="X645" s="114" t="str">
        <f t="shared" si="31"/>
        <v>Otros ETFs</v>
      </c>
    </row>
    <row r="646" spans="1:24" hidden="1" x14ac:dyDescent="0.25">
      <c r="A646" s="114" t="str">
        <f t="shared" si="32"/>
        <v>4000</v>
      </c>
      <c r="B646" t="s">
        <v>1057</v>
      </c>
      <c r="C646" t="s">
        <v>5424</v>
      </c>
      <c r="D646" t="s">
        <v>5425</v>
      </c>
      <c r="E646" t="s">
        <v>175</v>
      </c>
      <c r="F646" t="s">
        <v>4812</v>
      </c>
      <c r="G646" t="s">
        <v>1061</v>
      </c>
      <c r="H646" t="s">
        <v>2643</v>
      </c>
      <c r="I646">
        <v>29184890000000</v>
      </c>
      <c r="J646">
        <v>4632164875.8727999</v>
      </c>
      <c r="K646">
        <v>158.7179145055</v>
      </c>
      <c r="L646"/>
      <c r="M646"/>
      <c r="N646"/>
      <c r="O646"/>
      <c r="P646"/>
      <c r="Q646"/>
      <c r="R646"/>
      <c r="S646"/>
      <c r="T646">
        <v>202.5917426</v>
      </c>
      <c r="U646">
        <v>122.3</v>
      </c>
      <c r="V646" t="s">
        <v>2644</v>
      </c>
      <c r="W646" s="114" t="str">
        <f t="shared" si="30"/>
        <v>SOV</v>
      </c>
      <c r="X646" s="114" t="str">
        <f t="shared" si="31"/>
        <v>SOV</v>
      </c>
    </row>
    <row r="647" spans="1:24" hidden="1" x14ac:dyDescent="0.25">
      <c r="A647" s="114" t="str">
        <f t="shared" si="32"/>
        <v>7073</v>
      </c>
      <c r="B647" t="s">
        <v>2225</v>
      </c>
      <c r="C647" t="s">
        <v>2226</v>
      </c>
      <c r="D647" t="s">
        <v>2227</v>
      </c>
      <c r="E647" t="s">
        <v>586</v>
      </c>
      <c r="F647" t="s">
        <v>1056</v>
      </c>
      <c r="G647" t="s">
        <v>1136</v>
      </c>
      <c r="H647" t="s">
        <v>2148</v>
      </c>
      <c r="I647" t="s">
        <v>90</v>
      </c>
      <c r="J647" t="s">
        <v>90</v>
      </c>
      <c r="K647">
        <v>204.12517695</v>
      </c>
      <c r="L647">
        <v>5.7323908100000001</v>
      </c>
      <c r="M647">
        <v>5.2002381800000004</v>
      </c>
      <c r="N647">
        <v>5.3788432400000001</v>
      </c>
      <c r="O647">
        <v>4.6995375900000003</v>
      </c>
      <c r="P647">
        <v>15.26228060790346</v>
      </c>
      <c r="Q647">
        <v>421.85550812000002</v>
      </c>
      <c r="R647">
        <v>11.091368502729249</v>
      </c>
      <c r="S647" t="s">
        <v>30</v>
      </c>
      <c r="T647">
        <v>204.12517695</v>
      </c>
      <c r="U647" t="s">
        <v>2819</v>
      </c>
      <c r="V647" t="s">
        <v>1059</v>
      </c>
      <c r="W647" s="114" t="str">
        <f t="shared" si="30"/>
        <v>ETF</v>
      </c>
      <c r="X647" s="114" t="str">
        <f t="shared" si="31"/>
        <v>Otros ETFs</v>
      </c>
    </row>
    <row r="648" spans="1:24" hidden="1" x14ac:dyDescent="0.25">
      <c r="A648" s="114" t="str">
        <f t="shared" si="32"/>
        <v>4000</v>
      </c>
      <c r="B648" t="s">
        <v>1057</v>
      </c>
      <c r="C648" t="s">
        <v>5426</v>
      </c>
      <c r="D648" t="s">
        <v>5427</v>
      </c>
      <c r="E648" t="s">
        <v>175</v>
      </c>
      <c r="F648" t="s">
        <v>4812</v>
      </c>
      <c r="G648" t="s">
        <v>1061</v>
      </c>
      <c r="H648" t="s">
        <v>2643</v>
      </c>
      <c r="I648">
        <v>29184890000000</v>
      </c>
      <c r="J648">
        <v>4632164875.8727999</v>
      </c>
      <c r="K648">
        <v>158.7179145055</v>
      </c>
      <c r="L648"/>
      <c r="M648"/>
      <c r="N648"/>
      <c r="O648"/>
      <c r="P648"/>
      <c r="Q648"/>
      <c r="R648"/>
      <c r="S648"/>
      <c r="T648">
        <v>202.5917426</v>
      </c>
      <c r="U648">
        <v>122.3</v>
      </c>
      <c r="V648" t="s">
        <v>2644</v>
      </c>
      <c r="W648" s="114" t="str">
        <f t="shared" si="30"/>
        <v>SOV</v>
      </c>
      <c r="X648" s="114" t="str">
        <f t="shared" si="31"/>
        <v>SOV</v>
      </c>
    </row>
    <row r="649" spans="1:24" hidden="1" x14ac:dyDescent="0.25">
      <c r="A649" s="114" t="str">
        <f t="shared" si="32"/>
        <v>7550</v>
      </c>
      <c r="B649" t="s">
        <v>5820</v>
      </c>
      <c r="C649" t="s">
        <v>2228</v>
      </c>
      <c r="D649" t="s">
        <v>2229</v>
      </c>
      <c r="E649" t="s">
        <v>586</v>
      </c>
      <c r="F649" t="s">
        <v>1056</v>
      </c>
      <c r="G649" t="s">
        <v>1163</v>
      </c>
      <c r="H649" t="s">
        <v>5821</v>
      </c>
      <c r="I649" t="s">
        <v>90</v>
      </c>
      <c r="J649" t="s">
        <v>90</v>
      </c>
      <c r="K649">
        <v>1.2203430500000001</v>
      </c>
      <c r="L649">
        <v>7.8541832300000003</v>
      </c>
      <c r="M649">
        <v>6.7716097700000004</v>
      </c>
      <c r="N649">
        <v>5.00687134</v>
      </c>
      <c r="O649">
        <v>6.7370163500000002</v>
      </c>
      <c r="P649">
        <v>5.5651679905913314</v>
      </c>
      <c r="Q649">
        <v>3.48166032</v>
      </c>
      <c r="R649">
        <v>41.121266183608583</v>
      </c>
      <c r="S649" t="s">
        <v>1073</v>
      </c>
      <c r="T649">
        <v>1.2203430500000001</v>
      </c>
      <c r="U649" t="s">
        <v>2819</v>
      </c>
      <c r="V649" t="s">
        <v>1059</v>
      </c>
      <c r="W649" s="114" t="str">
        <f t="shared" si="30"/>
        <v>ETF</v>
      </c>
      <c r="X649" s="114" t="str">
        <f t="shared" si="31"/>
        <v>Otros ETFs</v>
      </c>
    </row>
    <row r="650" spans="1:24" hidden="1" x14ac:dyDescent="0.25">
      <c r="A650" s="114" t="str">
        <f t="shared" si="32"/>
        <v>4000</v>
      </c>
      <c r="B650" t="s">
        <v>1057</v>
      </c>
      <c r="C650" t="s">
        <v>5641</v>
      </c>
      <c r="D650" t="s">
        <v>5642</v>
      </c>
      <c r="E650" t="s">
        <v>175</v>
      </c>
      <c r="F650" t="s">
        <v>4812</v>
      </c>
      <c r="G650" t="s">
        <v>1061</v>
      </c>
      <c r="H650" t="s">
        <v>2643</v>
      </c>
      <c r="I650">
        <v>29184890000000</v>
      </c>
      <c r="J650">
        <v>4632164875.8727999</v>
      </c>
      <c r="K650">
        <v>158.7179145055</v>
      </c>
      <c r="L650"/>
      <c r="M650"/>
      <c r="N650"/>
      <c r="O650"/>
      <c r="P650"/>
      <c r="Q650"/>
      <c r="R650"/>
      <c r="S650"/>
      <c r="T650">
        <v>202.5917426</v>
      </c>
      <c r="U650">
        <v>122.3</v>
      </c>
      <c r="V650" t="s">
        <v>2644</v>
      </c>
      <c r="W650" s="114" t="str">
        <f t="shared" si="30"/>
        <v>SOV</v>
      </c>
      <c r="X650" s="114" t="str">
        <f t="shared" si="31"/>
        <v>SOV</v>
      </c>
    </row>
    <row r="651" spans="1:24" hidden="1" x14ac:dyDescent="0.25">
      <c r="A651" s="114" t="str">
        <f t="shared" si="32"/>
        <v>7397</v>
      </c>
      <c r="B651" t="s">
        <v>2231</v>
      </c>
      <c r="C651" t="s">
        <v>2232</v>
      </c>
      <c r="D651" t="s">
        <v>2233</v>
      </c>
      <c r="E651" t="s">
        <v>586</v>
      </c>
      <c r="F651" t="s">
        <v>1056</v>
      </c>
      <c r="G651" t="s">
        <v>1163</v>
      </c>
      <c r="H651" t="s">
        <v>1782</v>
      </c>
      <c r="I651" t="s">
        <v>90</v>
      </c>
      <c r="J651" t="s">
        <v>90</v>
      </c>
      <c r="K651">
        <v>99.168502970000006</v>
      </c>
      <c r="L651">
        <v>6.30446974</v>
      </c>
      <c r="M651">
        <v>6.65408036</v>
      </c>
      <c r="N651">
        <v>4.9893443800000004</v>
      </c>
      <c r="O651">
        <v>5.5824950900000001</v>
      </c>
      <c r="P651">
        <v>11.85974018703175</v>
      </c>
      <c r="Q651">
        <v>154.28139293000001</v>
      </c>
      <c r="R651">
        <v>18.228197125141708</v>
      </c>
      <c r="S651" t="s">
        <v>30</v>
      </c>
      <c r="T651">
        <v>99.168502970000006</v>
      </c>
      <c r="U651" t="s">
        <v>2819</v>
      </c>
      <c r="V651" t="s">
        <v>1059</v>
      </c>
      <c r="W651" s="114" t="str">
        <f t="shared" si="30"/>
        <v>ETF</v>
      </c>
      <c r="X651" s="114" t="str">
        <f t="shared" si="31"/>
        <v>Otros ETFs</v>
      </c>
    </row>
    <row r="652" spans="1:24" hidden="1" x14ac:dyDescent="0.25">
      <c r="A652" s="114" t="str">
        <f t="shared" si="32"/>
        <v>4000</v>
      </c>
      <c r="B652" t="s">
        <v>1057</v>
      </c>
      <c r="C652" t="s">
        <v>5816</v>
      </c>
      <c r="D652" t="s">
        <v>5817</v>
      </c>
      <c r="E652" t="s">
        <v>175</v>
      </c>
      <c r="F652" t="s">
        <v>4812</v>
      </c>
      <c r="G652" t="s">
        <v>1061</v>
      </c>
      <c r="H652" t="s">
        <v>2643</v>
      </c>
      <c r="I652">
        <v>29184890000000</v>
      </c>
      <c r="J652">
        <v>4632164875.8727999</v>
      </c>
      <c r="K652">
        <v>158.7179145055</v>
      </c>
      <c r="L652"/>
      <c r="M652"/>
      <c r="N652"/>
      <c r="O652"/>
      <c r="P652"/>
      <c r="Q652"/>
      <c r="R652"/>
      <c r="S652"/>
      <c r="T652">
        <v>202.5917426</v>
      </c>
      <c r="U652">
        <v>122.3</v>
      </c>
      <c r="V652" t="s">
        <v>2644</v>
      </c>
      <c r="W652" s="114" t="str">
        <f t="shared" si="30"/>
        <v>SOV</v>
      </c>
      <c r="X652" s="114" t="str">
        <f t="shared" si="31"/>
        <v>SOV</v>
      </c>
    </row>
    <row r="653" spans="1:24" hidden="1" x14ac:dyDescent="0.25">
      <c r="A653" s="114" t="str">
        <f t="shared" si="32"/>
        <v>MSIM</v>
      </c>
      <c r="B653" t="s">
        <v>6059</v>
      </c>
      <c r="C653" t="s">
        <v>2235</v>
      </c>
      <c r="D653" t="s">
        <v>2236</v>
      </c>
      <c r="E653" t="s">
        <v>586</v>
      </c>
      <c r="F653" t="s">
        <v>1056</v>
      </c>
      <c r="G653" t="s">
        <v>1136</v>
      </c>
      <c r="H653" t="s">
        <v>6144</v>
      </c>
      <c r="I653" t="s">
        <v>90</v>
      </c>
      <c r="J653" t="s">
        <v>90</v>
      </c>
      <c r="K653">
        <v>38.766674569999999</v>
      </c>
      <c r="L653">
        <v>6.2869734199999998</v>
      </c>
      <c r="M653">
        <v>5.8021858999999996</v>
      </c>
      <c r="N653">
        <v>5.06210556</v>
      </c>
      <c r="O653">
        <v>5.37541373</v>
      </c>
      <c r="P653">
        <v>8.3954985080358071</v>
      </c>
      <c r="Q653">
        <v>189.83564267</v>
      </c>
      <c r="R653">
        <v>9.4473732630416869</v>
      </c>
      <c r="S653" t="s">
        <v>30</v>
      </c>
      <c r="T653">
        <v>38.766674569999999</v>
      </c>
      <c r="U653" t="s">
        <v>2819</v>
      </c>
      <c r="V653" t="s">
        <v>1059</v>
      </c>
      <c r="W653" s="114" t="str">
        <f t="shared" si="30"/>
        <v>ETF</v>
      </c>
      <c r="X653" s="114" t="str">
        <f t="shared" si="31"/>
        <v>Otros ETFs</v>
      </c>
    </row>
    <row r="654" spans="1:24" hidden="1" x14ac:dyDescent="0.25">
      <c r="A654" s="114" t="str">
        <f t="shared" si="32"/>
        <v>4000</v>
      </c>
      <c r="B654" t="s">
        <v>1057</v>
      </c>
      <c r="C654" t="s">
        <v>5818</v>
      </c>
      <c r="D654" t="s">
        <v>5819</v>
      </c>
      <c r="E654" t="s">
        <v>175</v>
      </c>
      <c r="F654" t="s">
        <v>4812</v>
      </c>
      <c r="G654" t="s">
        <v>1061</v>
      </c>
      <c r="H654" t="s">
        <v>2643</v>
      </c>
      <c r="I654">
        <v>29184890000000</v>
      </c>
      <c r="J654">
        <v>4632164875.8727999</v>
      </c>
      <c r="K654">
        <v>158.7179145055</v>
      </c>
      <c r="L654"/>
      <c r="M654"/>
      <c r="N654"/>
      <c r="O654"/>
      <c r="P654"/>
      <c r="Q654"/>
      <c r="R654"/>
      <c r="S654"/>
      <c r="T654">
        <v>202.5917426</v>
      </c>
      <c r="U654">
        <v>122.3</v>
      </c>
      <c r="V654" t="s">
        <v>2644</v>
      </c>
      <c r="W654" s="114" t="str">
        <f t="shared" si="30"/>
        <v>SOV</v>
      </c>
      <c r="X654" s="114" t="str">
        <f t="shared" si="31"/>
        <v>SOV</v>
      </c>
    </row>
    <row r="655" spans="1:24" hidden="1" x14ac:dyDescent="0.25">
      <c r="A655" s="114" t="str">
        <f t="shared" si="32"/>
        <v>SANT</v>
      </c>
      <c r="B655" t="s">
        <v>2237</v>
      </c>
      <c r="C655" t="s">
        <v>2238</v>
      </c>
      <c r="D655" t="s">
        <v>2239</v>
      </c>
      <c r="E655" t="s">
        <v>586</v>
      </c>
      <c r="F655" t="s">
        <v>1056</v>
      </c>
      <c r="G655" t="s">
        <v>1071</v>
      </c>
      <c r="H655" t="s">
        <v>6284</v>
      </c>
      <c r="I655" t="s">
        <v>90</v>
      </c>
      <c r="J655" t="s">
        <v>90</v>
      </c>
      <c r="K655">
        <v>49.312482490000001</v>
      </c>
      <c r="L655">
        <v>7.1009330500000001</v>
      </c>
      <c r="M655">
        <v>6.5412428699999996</v>
      </c>
      <c r="N655">
        <v>5.1640216199999998</v>
      </c>
      <c r="O655">
        <v>6.2291820900000001</v>
      </c>
      <c r="P655">
        <v>8.1816459161829229</v>
      </c>
      <c r="Q655">
        <v>88.272834860000003</v>
      </c>
      <c r="R655">
        <v>16.576020002239851</v>
      </c>
      <c r="S655" t="s">
        <v>30</v>
      </c>
      <c r="T655">
        <v>49.312482490000001</v>
      </c>
      <c r="U655" t="s">
        <v>2819</v>
      </c>
      <c r="V655" t="s">
        <v>1059</v>
      </c>
      <c r="W655" s="114" t="str">
        <f t="shared" si="30"/>
        <v>ETF</v>
      </c>
      <c r="X655" s="114" t="str">
        <f t="shared" si="31"/>
        <v>Otros ETFs</v>
      </c>
    </row>
    <row r="656" spans="1:24" hidden="1" x14ac:dyDescent="0.25">
      <c r="A656" s="114" t="str">
        <f t="shared" si="32"/>
        <v>4000</v>
      </c>
      <c r="B656" t="s">
        <v>1057</v>
      </c>
      <c r="C656" t="s">
        <v>6057</v>
      </c>
      <c r="D656" t="s">
        <v>6058</v>
      </c>
      <c r="E656" t="s">
        <v>175</v>
      </c>
      <c r="F656" t="s">
        <v>4812</v>
      </c>
      <c r="G656" t="s">
        <v>1061</v>
      </c>
      <c r="H656" t="s">
        <v>2643</v>
      </c>
      <c r="I656">
        <v>29184890000000</v>
      </c>
      <c r="J656">
        <v>4632164875.8727999</v>
      </c>
      <c r="K656">
        <v>158.7179145055</v>
      </c>
      <c r="L656"/>
      <c r="M656"/>
      <c r="N656"/>
      <c r="O656"/>
      <c r="P656"/>
      <c r="Q656"/>
      <c r="R656"/>
      <c r="S656"/>
      <c r="T656">
        <v>202.5917426</v>
      </c>
      <c r="U656">
        <v>122.3</v>
      </c>
      <c r="V656" t="s">
        <v>2644</v>
      </c>
      <c r="W656" s="114" t="str">
        <f t="shared" si="30"/>
        <v>SOV</v>
      </c>
      <c r="X656" s="114" t="str">
        <f t="shared" si="31"/>
        <v>SOV</v>
      </c>
    </row>
    <row r="657" spans="1:24" hidden="1" x14ac:dyDescent="0.25">
      <c r="A657" s="114" t="str">
        <f t="shared" si="32"/>
        <v>4000</v>
      </c>
      <c r="B657" t="s">
        <v>1057</v>
      </c>
      <c r="C657" t="s">
        <v>6285</v>
      </c>
      <c r="D657" t="s">
        <v>6286</v>
      </c>
      <c r="E657" t="s">
        <v>175</v>
      </c>
      <c r="F657" t="s">
        <v>4812</v>
      </c>
      <c r="G657" t="s">
        <v>1061</v>
      </c>
      <c r="H657" t="s">
        <v>2643</v>
      </c>
      <c r="I657">
        <v>29184890000000</v>
      </c>
      <c r="J657">
        <v>4632164875.8727999</v>
      </c>
      <c r="K657">
        <v>158.7179145055</v>
      </c>
      <c r="L657"/>
      <c r="M657"/>
      <c r="N657"/>
      <c r="O657"/>
      <c r="P657"/>
      <c r="Q657"/>
      <c r="R657"/>
      <c r="S657"/>
      <c r="T657">
        <v>202.5917426</v>
      </c>
      <c r="U657">
        <v>122.3</v>
      </c>
      <c r="V657" t="s">
        <v>2644</v>
      </c>
      <c r="W657" s="114" t="str">
        <f t="shared" si="30"/>
        <v>SOV</v>
      </c>
      <c r="X657" s="114" t="str">
        <f t="shared" si="31"/>
        <v>SOV</v>
      </c>
    </row>
    <row r="658" spans="1:24" hidden="1" x14ac:dyDescent="0.25">
      <c r="A658" s="114" t="str">
        <f t="shared" si="32"/>
        <v>7456</v>
      </c>
      <c r="B658" t="s">
        <v>5428</v>
      </c>
      <c r="C658" t="s">
        <v>2241</v>
      </c>
      <c r="D658" t="s">
        <v>2242</v>
      </c>
      <c r="E658" t="s">
        <v>586</v>
      </c>
      <c r="F658" t="s">
        <v>1056</v>
      </c>
      <c r="G658" t="s">
        <v>1375</v>
      </c>
      <c r="H658" t="s">
        <v>1380</v>
      </c>
      <c r="I658" t="s">
        <v>90</v>
      </c>
      <c r="J658" t="s">
        <v>90</v>
      </c>
      <c r="K658">
        <v>26.372601320000001</v>
      </c>
      <c r="L658">
        <v>7.5344836099999997</v>
      </c>
      <c r="M658">
        <v>5.8783886299999999</v>
      </c>
      <c r="N658">
        <v>5.6096107499999999</v>
      </c>
      <c r="O658">
        <v>6.3926319899999999</v>
      </c>
      <c r="P658">
        <v>2.7408043939403051</v>
      </c>
      <c r="Q658">
        <v>52.73820259</v>
      </c>
      <c r="R658">
        <v>34.420887355489043</v>
      </c>
      <c r="S658" t="s">
        <v>1073</v>
      </c>
      <c r="T658">
        <v>26.372601320000001</v>
      </c>
      <c r="U658" t="s">
        <v>2819</v>
      </c>
      <c r="V658" t="s">
        <v>1059</v>
      </c>
      <c r="W658" s="114" t="str">
        <f t="shared" si="30"/>
        <v>ETF</v>
      </c>
      <c r="X658" s="114" t="str">
        <f t="shared" si="31"/>
        <v>Otros ETFs</v>
      </c>
    </row>
    <row r="659" spans="1:24" hidden="1" x14ac:dyDescent="0.25">
      <c r="A659" s="114" t="str">
        <f t="shared" si="32"/>
        <v>JUPI</v>
      </c>
      <c r="B659" t="s">
        <v>5428</v>
      </c>
      <c r="C659" t="s">
        <v>2241</v>
      </c>
      <c r="D659" t="s">
        <v>2243</v>
      </c>
      <c r="E659" t="s">
        <v>586</v>
      </c>
      <c r="F659" t="s">
        <v>1056</v>
      </c>
      <c r="G659" t="s">
        <v>1375</v>
      </c>
      <c r="H659" t="s">
        <v>1380</v>
      </c>
      <c r="I659" t="s">
        <v>90</v>
      </c>
      <c r="J659" t="s">
        <v>90</v>
      </c>
      <c r="K659">
        <v>26.372601320000001</v>
      </c>
      <c r="L659">
        <v>7.5344836099999997</v>
      </c>
      <c r="M659">
        <v>5.8783886299999999</v>
      </c>
      <c r="N659">
        <v>5.6096107499999999</v>
      </c>
      <c r="O659">
        <v>6.3926319899999999</v>
      </c>
      <c r="P659">
        <v>2.7408043939403051</v>
      </c>
      <c r="Q659">
        <v>52.73820259</v>
      </c>
      <c r="R659">
        <v>34.420887355489043</v>
      </c>
      <c r="S659" t="s">
        <v>1073</v>
      </c>
      <c r="T659">
        <v>26.372601320000001</v>
      </c>
      <c r="U659" t="s">
        <v>2819</v>
      </c>
      <c r="V659" t="s">
        <v>1059</v>
      </c>
      <c r="W659" s="114" t="str">
        <f t="shared" si="30"/>
        <v>ETF</v>
      </c>
      <c r="X659" s="114" t="str">
        <f t="shared" si="31"/>
        <v>Otros ETFs</v>
      </c>
    </row>
    <row r="660" spans="1:24" hidden="1" x14ac:dyDescent="0.25">
      <c r="A660" s="114" t="str">
        <f t="shared" si="32"/>
        <v>4000</v>
      </c>
      <c r="B660" t="s">
        <v>1057</v>
      </c>
      <c r="C660" t="s">
        <v>6287</v>
      </c>
      <c r="D660" t="s">
        <v>6288</v>
      </c>
      <c r="E660" t="s">
        <v>175</v>
      </c>
      <c r="F660" t="s">
        <v>4812</v>
      </c>
      <c r="G660" t="s">
        <v>1061</v>
      </c>
      <c r="H660" t="s">
        <v>2643</v>
      </c>
      <c r="I660">
        <v>29184890000000</v>
      </c>
      <c r="J660">
        <v>4632164875.8727999</v>
      </c>
      <c r="K660">
        <v>158.7179145055</v>
      </c>
      <c r="L660"/>
      <c r="M660"/>
      <c r="N660"/>
      <c r="O660"/>
      <c r="P660"/>
      <c r="Q660"/>
      <c r="R660"/>
      <c r="S660"/>
      <c r="T660">
        <v>202.5917426</v>
      </c>
      <c r="U660">
        <v>122.3</v>
      </c>
      <c r="V660" t="s">
        <v>2644</v>
      </c>
      <c r="W660" s="114" t="str">
        <f t="shared" si="30"/>
        <v>SOV</v>
      </c>
      <c r="X660" s="114" t="str">
        <f t="shared" si="31"/>
        <v>SOV</v>
      </c>
    </row>
    <row r="661" spans="1:24" hidden="1" x14ac:dyDescent="0.25">
      <c r="A661" s="114" t="str">
        <f t="shared" si="32"/>
        <v>4000</v>
      </c>
      <c r="B661" t="s">
        <v>1057</v>
      </c>
      <c r="C661" t="s">
        <v>6289</v>
      </c>
      <c r="D661" t="s">
        <v>6290</v>
      </c>
      <c r="E661" t="s">
        <v>175</v>
      </c>
      <c r="F661" t="s">
        <v>4812</v>
      </c>
      <c r="G661" t="s">
        <v>1061</v>
      </c>
      <c r="H661" t="s">
        <v>2643</v>
      </c>
      <c r="I661">
        <v>29184890000000</v>
      </c>
      <c r="J661">
        <v>4632164875.8727999</v>
      </c>
      <c r="K661">
        <v>158.7179145055</v>
      </c>
      <c r="L661"/>
      <c r="M661"/>
      <c r="N661"/>
      <c r="O661"/>
      <c r="P661"/>
      <c r="Q661"/>
      <c r="R661"/>
      <c r="S661"/>
      <c r="T661">
        <v>202.5917426</v>
      </c>
      <c r="U661">
        <v>122.3</v>
      </c>
      <c r="V661" t="s">
        <v>2644</v>
      </c>
      <c r="W661" s="114" t="str">
        <f t="shared" si="30"/>
        <v>SOV</v>
      </c>
      <c r="X661" s="114" t="str">
        <f t="shared" si="31"/>
        <v>SOV</v>
      </c>
    </row>
    <row r="662" spans="1:24" hidden="1" x14ac:dyDescent="0.25">
      <c r="A662" s="114" t="str">
        <f t="shared" si="32"/>
        <v>7414</v>
      </c>
      <c r="B662" t="s">
        <v>2244</v>
      </c>
      <c r="C662" t="s">
        <v>2245</v>
      </c>
      <c r="D662" t="s">
        <v>2246</v>
      </c>
      <c r="E662" t="s">
        <v>586</v>
      </c>
      <c r="F662" t="s">
        <v>1056</v>
      </c>
      <c r="G662" t="s">
        <v>2247</v>
      </c>
      <c r="H662" t="s">
        <v>1574</v>
      </c>
      <c r="I662" t="s">
        <v>90</v>
      </c>
      <c r="J662" t="s">
        <v>90</v>
      </c>
      <c r="K662">
        <v>57.990629810000001</v>
      </c>
      <c r="L662">
        <v>5.7072256599999998</v>
      </c>
      <c r="M662">
        <v>4.7620949100000001</v>
      </c>
      <c r="N662">
        <v>5.0291010099999998</v>
      </c>
      <c r="O662">
        <v>4.8152634699999997</v>
      </c>
      <c r="P662">
        <v>1.0365</v>
      </c>
      <c r="Q662">
        <v>288.87924278999998</v>
      </c>
      <c r="R662">
        <v>7.5575999999999999</v>
      </c>
      <c r="S662" t="s">
        <v>1063</v>
      </c>
      <c r="T662">
        <v>57.990629810000001</v>
      </c>
      <c r="U662" t="s">
        <v>2819</v>
      </c>
      <c r="V662" t="s">
        <v>1059</v>
      </c>
      <c r="W662" s="114" t="str">
        <f t="shared" si="30"/>
        <v>ETF</v>
      </c>
      <c r="X662" s="114" t="str">
        <f t="shared" si="31"/>
        <v>Otros ETFs</v>
      </c>
    </row>
    <row r="663" spans="1:24" hidden="1" x14ac:dyDescent="0.25">
      <c r="A663" s="114" t="str">
        <f t="shared" si="32"/>
        <v>4000</v>
      </c>
      <c r="B663" t="s">
        <v>1057</v>
      </c>
      <c r="C663" t="s">
        <v>6291</v>
      </c>
      <c r="D663" t="s">
        <v>6292</v>
      </c>
      <c r="E663" t="s">
        <v>175</v>
      </c>
      <c r="F663" t="s">
        <v>4812</v>
      </c>
      <c r="G663" t="s">
        <v>1061</v>
      </c>
      <c r="H663" t="s">
        <v>2643</v>
      </c>
      <c r="I663">
        <v>29184890000000</v>
      </c>
      <c r="J663">
        <v>4632164875.8727999</v>
      </c>
      <c r="K663">
        <v>158.7179145055</v>
      </c>
      <c r="L663"/>
      <c r="M663"/>
      <c r="N663"/>
      <c r="O663"/>
      <c r="P663"/>
      <c r="Q663"/>
      <c r="R663"/>
      <c r="S663"/>
      <c r="T663">
        <v>202.5917426</v>
      </c>
      <c r="U663">
        <v>122.3</v>
      </c>
      <c r="V663" t="s">
        <v>2644</v>
      </c>
      <c r="W663" s="114" t="str">
        <f t="shared" si="30"/>
        <v>SOV</v>
      </c>
      <c r="X663" s="114" t="str">
        <f t="shared" si="31"/>
        <v>SOV</v>
      </c>
    </row>
    <row r="664" spans="1:24" hidden="1" x14ac:dyDescent="0.25">
      <c r="A664" s="114" t="str">
        <f t="shared" si="32"/>
        <v>7481</v>
      </c>
      <c r="B664" t="s">
        <v>2244</v>
      </c>
      <c r="C664" t="s">
        <v>2245</v>
      </c>
      <c r="D664" t="s">
        <v>6293</v>
      </c>
      <c r="E664" t="s">
        <v>586</v>
      </c>
      <c r="F664" t="s">
        <v>1056</v>
      </c>
      <c r="G664" t="s">
        <v>2247</v>
      </c>
      <c r="H664" t="s">
        <v>1574</v>
      </c>
      <c r="I664" t="s">
        <v>90</v>
      </c>
      <c r="J664" t="s">
        <v>90</v>
      </c>
      <c r="K664">
        <v>57.990629810000001</v>
      </c>
      <c r="L664">
        <v>5.7072256599999998</v>
      </c>
      <c r="M664">
        <v>4.7620949100000001</v>
      </c>
      <c r="N664">
        <v>5.0291010099999998</v>
      </c>
      <c r="O664">
        <v>4.8152634699999997</v>
      </c>
      <c r="P664">
        <v>1.0365</v>
      </c>
      <c r="Q664">
        <v>288.87924278999998</v>
      </c>
      <c r="R664">
        <v>7.5575999999999999</v>
      </c>
      <c r="S664" t="s">
        <v>1063</v>
      </c>
      <c r="T664">
        <v>57.990629810000001</v>
      </c>
      <c r="U664" t="s">
        <v>2819</v>
      </c>
      <c r="V664" t="s">
        <v>1059</v>
      </c>
      <c r="W664" s="114" t="str">
        <f t="shared" si="30"/>
        <v>ETF</v>
      </c>
      <c r="X664" s="114" t="str">
        <f t="shared" si="31"/>
        <v>Otros ETFs</v>
      </c>
    </row>
    <row r="665" spans="1:24" hidden="1" x14ac:dyDescent="0.25">
      <c r="A665" s="114" t="str">
        <f t="shared" si="32"/>
        <v>NORT</v>
      </c>
      <c r="B665" t="s">
        <v>2244</v>
      </c>
      <c r="C665" t="s">
        <v>2245</v>
      </c>
      <c r="D665" t="s">
        <v>5763</v>
      </c>
      <c r="E665" t="s">
        <v>586</v>
      </c>
      <c r="F665" t="s">
        <v>1056</v>
      </c>
      <c r="G665" t="s">
        <v>2247</v>
      </c>
      <c r="H665" t="s">
        <v>1574</v>
      </c>
      <c r="I665" t="s">
        <v>90</v>
      </c>
      <c r="J665" t="s">
        <v>90</v>
      </c>
      <c r="K665">
        <v>57.990629810000001</v>
      </c>
      <c r="L665">
        <v>5.7072256599999998</v>
      </c>
      <c r="M665">
        <v>4.7620949100000001</v>
      </c>
      <c r="N665">
        <v>5.0291010099999998</v>
      </c>
      <c r="O665">
        <v>4.8152634699999997</v>
      </c>
      <c r="P665">
        <v>1.0365</v>
      </c>
      <c r="Q665">
        <v>288.87924278999998</v>
      </c>
      <c r="R665">
        <v>7.5575999999999999</v>
      </c>
      <c r="S665" t="s">
        <v>1063</v>
      </c>
      <c r="T665">
        <v>57.990629810000001</v>
      </c>
      <c r="U665" t="s">
        <v>2819</v>
      </c>
      <c r="V665" t="s">
        <v>1059</v>
      </c>
      <c r="W665" s="114" t="str">
        <f t="shared" si="30"/>
        <v>ETF</v>
      </c>
      <c r="X665" s="114" t="str">
        <f t="shared" si="31"/>
        <v>Otros ETFs</v>
      </c>
    </row>
    <row r="666" spans="1:24" hidden="1" x14ac:dyDescent="0.25">
      <c r="A666" s="114" t="str">
        <f t="shared" si="32"/>
        <v>4000</v>
      </c>
      <c r="B666" t="s">
        <v>1057</v>
      </c>
      <c r="C666" t="s">
        <v>6294</v>
      </c>
      <c r="D666" t="s">
        <v>6295</v>
      </c>
      <c r="E666" t="s">
        <v>175</v>
      </c>
      <c r="F666" t="s">
        <v>4812</v>
      </c>
      <c r="G666" t="s">
        <v>1061</v>
      </c>
      <c r="H666" t="s">
        <v>2643</v>
      </c>
      <c r="I666">
        <v>29184890000000</v>
      </c>
      <c r="J666">
        <v>4632164875.8727999</v>
      </c>
      <c r="K666">
        <v>158.7179145055</v>
      </c>
      <c r="L666"/>
      <c r="M666"/>
      <c r="N666"/>
      <c r="O666"/>
      <c r="P666"/>
      <c r="Q666"/>
      <c r="R666"/>
      <c r="S666"/>
      <c r="T666">
        <v>202.5917426</v>
      </c>
      <c r="U666">
        <v>122.3</v>
      </c>
      <c r="V666" t="s">
        <v>2644</v>
      </c>
      <c r="W666" s="114" t="str">
        <f t="shared" si="30"/>
        <v>SOV</v>
      </c>
      <c r="X666" s="114" t="str">
        <f t="shared" si="31"/>
        <v>SOV</v>
      </c>
    </row>
    <row r="667" spans="1:24" hidden="1" x14ac:dyDescent="0.25">
      <c r="A667" s="114" t="str">
        <f t="shared" si="32"/>
        <v>4003</v>
      </c>
      <c r="B667" t="s">
        <v>2719</v>
      </c>
      <c r="C667" t="s">
        <v>181</v>
      </c>
      <c r="D667" t="s">
        <v>3460</v>
      </c>
      <c r="E667" t="s">
        <v>175</v>
      </c>
      <c r="F667" t="s">
        <v>4812</v>
      </c>
      <c r="G667" t="s">
        <v>1168</v>
      </c>
      <c r="H667" t="s">
        <v>2643</v>
      </c>
      <c r="I667">
        <v>2179412080828.5869</v>
      </c>
      <c r="J667">
        <v>491468780.65337002</v>
      </c>
      <c r="K667">
        <v>225.5052107752</v>
      </c>
      <c r="L667"/>
      <c r="M667"/>
      <c r="N667"/>
      <c r="O667"/>
      <c r="P667"/>
      <c r="Q667"/>
      <c r="R667"/>
      <c r="S667"/>
      <c r="T667">
        <v>274.3982815</v>
      </c>
      <c r="U667">
        <v>87.3</v>
      </c>
      <c r="V667" t="s">
        <v>2644</v>
      </c>
      <c r="W667" s="114" t="str">
        <f t="shared" si="30"/>
        <v>SOV</v>
      </c>
      <c r="X667" s="114" t="str">
        <f t="shared" si="31"/>
        <v>SOV</v>
      </c>
    </row>
    <row r="668" spans="1:24" hidden="1" x14ac:dyDescent="0.25">
      <c r="A668" s="114" t="str">
        <f t="shared" si="32"/>
        <v>7550</v>
      </c>
      <c r="B668" t="s">
        <v>2248</v>
      </c>
      <c r="C668" t="s">
        <v>2249</v>
      </c>
      <c r="D668" t="s">
        <v>2250</v>
      </c>
      <c r="E668" t="s">
        <v>586</v>
      </c>
      <c r="F668" t="s">
        <v>1056</v>
      </c>
      <c r="G668" t="s">
        <v>1163</v>
      </c>
      <c r="H668" t="s">
        <v>2251</v>
      </c>
      <c r="I668" t="s">
        <v>90</v>
      </c>
      <c r="J668" t="s">
        <v>90</v>
      </c>
      <c r="K668">
        <v>43.0081846</v>
      </c>
      <c r="L668">
        <v>6.8363089300000004</v>
      </c>
      <c r="M668">
        <v>5.6938288699999999</v>
      </c>
      <c r="N668">
        <v>4.8197087400000003</v>
      </c>
      <c r="O668">
        <v>6.2538518400000003</v>
      </c>
      <c r="P668">
        <v>4.1472723085712104</v>
      </c>
      <c r="Q668">
        <v>37.896935110000001</v>
      </c>
      <c r="R668">
        <v>36.955785204875959</v>
      </c>
      <c r="S668" t="s">
        <v>30</v>
      </c>
      <c r="T668">
        <v>43.0081846</v>
      </c>
      <c r="U668" t="s">
        <v>2819</v>
      </c>
      <c r="V668" t="s">
        <v>1059</v>
      </c>
      <c r="W668" s="114" t="str">
        <f t="shared" si="30"/>
        <v>ETF</v>
      </c>
      <c r="X668" s="114" t="str">
        <f t="shared" si="31"/>
        <v>Otros ETFs</v>
      </c>
    </row>
    <row r="669" spans="1:24" hidden="1" x14ac:dyDescent="0.25">
      <c r="A669" s="114" t="str">
        <f t="shared" si="32"/>
        <v>GAML</v>
      </c>
      <c r="B669" t="s">
        <v>2252</v>
      </c>
      <c r="C669" t="s">
        <v>2253</v>
      </c>
      <c r="D669" t="s">
        <v>2254</v>
      </c>
      <c r="E669" t="s">
        <v>586</v>
      </c>
      <c r="F669" t="s">
        <v>1056</v>
      </c>
      <c r="G669" t="s">
        <v>1689</v>
      </c>
      <c r="H669" t="s">
        <v>1690</v>
      </c>
      <c r="I669" t="s">
        <v>90</v>
      </c>
      <c r="J669" t="s">
        <v>90</v>
      </c>
      <c r="K669">
        <v>53.49538364</v>
      </c>
      <c r="L669">
        <v>7.8665962499999997</v>
      </c>
      <c r="M669">
        <v>6.5427672000000001</v>
      </c>
      <c r="N669">
        <v>5.3510159000000002</v>
      </c>
      <c r="O669">
        <v>6.7927906199999999</v>
      </c>
      <c r="P669">
        <v>29.491024767098391</v>
      </c>
      <c r="Q669">
        <v>92.660569760000001</v>
      </c>
      <c r="R669">
        <v>65.267083567963809</v>
      </c>
      <c r="S669" t="s">
        <v>1073</v>
      </c>
      <c r="T669">
        <v>53.49538364</v>
      </c>
      <c r="U669" t="s">
        <v>2819</v>
      </c>
      <c r="V669" t="s">
        <v>1059</v>
      </c>
      <c r="W669" s="114" t="str">
        <f t="shared" si="30"/>
        <v>ETF</v>
      </c>
      <c r="X669" s="114" t="str">
        <f t="shared" si="31"/>
        <v>Otros ETFs</v>
      </c>
    </row>
    <row r="670" spans="1:24" hidden="1" x14ac:dyDescent="0.25">
      <c r="A670" s="114" t="str">
        <f t="shared" si="32"/>
        <v>4003</v>
      </c>
      <c r="B670" t="s">
        <v>2719</v>
      </c>
      <c r="C670" t="s">
        <v>184</v>
      </c>
      <c r="D670" t="s">
        <v>183</v>
      </c>
      <c r="E670" t="s">
        <v>175</v>
      </c>
      <c r="F670" t="s">
        <v>4812</v>
      </c>
      <c r="G670" t="s">
        <v>1168</v>
      </c>
      <c r="H670" t="s">
        <v>2643</v>
      </c>
      <c r="I670">
        <v>2179412080828.5869</v>
      </c>
      <c r="J670">
        <v>491468780.65337002</v>
      </c>
      <c r="K670">
        <v>225.5052107752</v>
      </c>
      <c r="L670"/>
      <c r="M670"/>
      <c r="N670"/>
      <c r="O670"/>
      <c r="P670"/>
      <c r="Q670"/>
      <c r="R670"/>
      <c r="S670"/>
      <c r="T670">
        <v>274.3982815</v>
      </c>
      <c r="U670">
        <v>87.3</v>
      </c>
      <c r="V670" t="s">
        <v>2644</v>
      </c>
      <c r="W670" s="114" t="str">
        <f t="shared" si="30"/>
        <v>SOV</v>
      </c>
      <c r="X670" s="114" t="str">
        <f t="shared" si="31"/>
        <v>SOV</v>
      </c>
    </row>
    <row r="671" spans="1:24" hidden="1" x14ac:dyDescent="0.25">
      <c r="A671" s="114" t="str">
        <f t="shared" si="32"/>
        <v>4003</v>
      </c>
      <c r="B671" t="s">
        <v>2719</v>
      </c>
      <c r="C671" t="s">
        <v>878</v>
      </c>
      <c r="D671" t="s">
        <v>877</v>
      </c>
      <c r="E671" t="s">
        <v>175</v>
      </c>
      <c r="F671" t="s">
        <v>4812</v>
      </c>
      <c r="G671" t="s">
        <v>1168</v>
      </c>
      <c r="H671" t="s">
        <v>2643</v>
      </c>
      <c r="I671">
        <v>2179412080828.5869</v>
      </c>
      <c r="J671">
        <v>491468780.65337002</v>
      </c>
      <c r="K671">
        <v>225.5052107752</v>
      </c>
      <c r="L671"/>
      <c r="M671"/>
      <c r="N671"/>
      <c r="O671"/>
      <c r="P671"/>
      <c r="Q671"/>
      <c r="R671"/>
      <c r="S671"/>
      <c r="T671">
        <v>274.3982815</v>
      </c>
      <c r="U671">
        <v>87.3</v>
      </c>
      <c r="V671" t="s">
        <v>2644</v>
      </c>
      <c r="W671" s="114" t="str">
        <f t="shared" si="30"/>
        <v>SOV</v>
      </c>
      <c r="X671" s="114" t="str">
        <f t="shared" si="31"/>
        <v>SOV</v>
      </c>
    </row>
    <row r="672" spans="1:24" hidden="1" x14ac:dyDescent="0.25">
      <c r="A672" s="114" t="str">
        <f t="shared" si="32"/>
        <v>GAML</v>
      </c>
      <c r="B672" t="s">
        <v>2252</v>
      </c>
      <c r="C672" t="s">
        <v>2253</v>
      </c>
      <c r="D672" t="s">
        <v>6296</v>
      </c>
      <c r="E672" t="s">
        <v>586</v>
      </c>
      <c r="F672" t="s">
        <v>1056</v>
      </c>
      <c r="G672" t="s">
        <v>1689</v>
      </c>
      <c r="H672" t="s">
        <v>1690</v>
      </c>
      <c r="I672" t="s">
        <v>90</v>
      </c>
      <c r="J672" t="s">
        <v>90</v>
      </c>
      <c r="K672">
        <v>53.49538364</v>
      </c>
      <c r="L672">
        <v>7.8665962499999997</v>
      </c>
      <c r="M672">
        <v>6.5427672000000001</v>
      </c>
      <c r="N672">
        <v>5.3510159000000002</v>
      </c>
      <c r="O672">
        <v>6.7927906199999999</v>
      </c>
      <c r="P672">
        <v>29.491024767098391</v>
      </c>
      <c r="Q672">
        <v>92.660569760000001</v>
      </c>
      <c r="R672">
        <v>65.267083567963809</v>
      </c>
      <c r="S672" t="s">
        <v>1073</v>
      </c>
      <c r="T672">
        <v>53.49538364</v>
      </c>
      <c r="U672" t="s">
        <v>2819</v>
      </c>
      <c r="V672" t="s">
        <v>1059</v>
      </c>
      <c r="W672" s="114" t="str">
        <f t="shared" si="30"/>
        <v>ETF</v>
      </c>
      <c r="X672" s="114" t="str">
        <f t="shared" si="31"/>
        <v>Otros ETFs</v>
      </c>
    </row>
    <row r="673" spans="1:24" hidden="1" x14ac:dyDescent="0.25">
      <c r="A673" s="114" t="str">
        <f t="shared" si="32"/>
        <v>7474</v>
      </c>
      <c r="B673" t="s">
        <v>2255</v>
      </c>
      <c r="C673" t="s">
        <v>2256</v>
      </c>
      <c r="D673" t="s">
        <v>2257</v>
      </c>
      <c r="E673" t="s">
        <v>586</v>
      </c>
      <c r="F673" t="s">
        <v>1056</v>
      </c>
      <c r="G673" t="s">
        <v>1136</v>
      </c>
      <c r="H673" t="s">
        <v>2148</v>
      </c>
      <c r="I673" t="s">
        <v>90</v>
      </c>
      <c r="J673" t="s">
        <v>90</v>
      </c>
      <c r="K673">
        <v>292.21201328000001</v>
      </c>
      <c r="L673">
        <v>5.4035473300000003</v>
      </c>
      <c r="M673">
        <v>5.0199112499999998</v>
      </c>
      <c r="N673">
        <v>5.5213072299999997</v>
      </c>
      <c r="O673">
        <v>5.3705879899999998</v>
      </c>
      <c r="P673">
        <v>4.6486544680274173</v>
      </c>
      <c r="Q673">
        <v>386.29511938000002</v>
      </c>
      <c r="R673">
        <v>6.1369336464733868</v>
      </c>
      <c r="S673" t="s">
        <v>1063</v>
      </c>
      <c r="T673">
        <v>292.21201328000001</v>
      </c>
      <c r="U673" t="s">
        <v>2819</v>
      </c>
      <c r="V673" t="s">
        <v>1059</v>
      </c>
      <c r="W673" s="114" t="str">
        <f t="shared" si="30"/>
        <v>ETF</v>
      </c>
      <c r="X673" s="114" t="str">
        <f t="shared" si="31"/>
        <v>Otros ETFs</v>
      </c>
    </row>
    <row r="674" spans="1:24" hidden="1" x14ac:dyDescent="0.25">
      <c r="A674" s="114" t="str">
        <f t="shared" si="32"/>
        <v>4003</v>
      </c>
      <c r="B674" t="s">
        <v>2719</v>
      </c>
      <c r="C674" t="s">
        <v>880</v>
      </c>
      <c r="D674" t="s">
        <v>879</v>
      </c>
      <c r="E674" t="s">
        <v>175</v>
      </c>
      <c r="F674" t="s">
        <v>4812</v>
      </c>
      <c r="G674" t="s">
        <v>1168</v>
      </c>
      <c r="H674" t="s">
        <v>2643</v>
      </c>
      <c r="I674">
        <v>2179412080828.5869</v>
      </c>
      <c r="J674">
        <v>491468780.65337002</v>
      </c>
      <c r="K674">
        <v>225.5052107752</v>
      </c>
      <c r="L674"/>
      <c r="M674"/>
      <c r="N674"/>
      <c r="O674"/>
      <c r="P674"/>
      <c r="Q674"/>
      <c r="R674"/>
      <c r="S674"/>
      <c r="T674">
        <v>274.3982815</v>
      </c>
      <c r="U674">
        <v>87.3</v>
      </c>
      <c r="V674" t="s">
        <v>2644</v>
      </c>
      <c r="W674" s="114" t="str">
        <f t="shared" si="30"/>
        <v>SOV</v>
      </c>
      <c r="X674" s="114" t="str">
        <f t="shared" si="31"/>
        <v>SOV</v>
      </c>
    </row>
    <row r="675" spans="1:24" hidden="1" x14ac:dyDescent="0.25">
      <c r="A675" s="114" t="str">
        <f t="shared" si="32"/>
        <v>7047</v>
      </c>
      <c r="B675" t="s">
        <v>2258</v>
      </c>
      <c r="C675" t="s">
        <v>2259</v>
      </c>
      <c r="D675" t="s">
        <v>2260</v>
      </c>
      <c r="E675" t="s">
        <v>586</v>
      </c>
      <c r="F675" t="s">
        <v>1056</v>
      </c>
      <c r="G675" t="s">
        <v>1128</v>
      </c>
      <c r="H675" t="s">
        <v>1129</v>
      </c>
      <c r="I675" t="s">
        <v>90</v>
      </c>
      <c r="J675" t="s">
        <v>90</v>
      </c>
      <c r="K675">
        <v>17.4765917</v>
      </c>
      <c r="L675">
        <v>7.9648088599999998</v>
      </c>
      <c r="M675">
        <v>6.4393116600000004</v>
      </c>
      <c r="N675">
        <v>5.4982502999999996</v>
      </c>
      <c r="O675">
        <v>6.8158551599999999</v>
      </c>
      <c r="P675">
        <v>7.0982141964283931</v>
      </c>
      <c r="Q675">
        <v>38.646954860000001</v>
      </c>
      <c r="R675">
        <v>46.996928888492668</v>
      </c>
      <c r="S675" t="s">
        <v>1073</v>
      </c>
      <c r="T675">
        <v>17.4765917</v>
      </c>
      <c r="U675" t="s">
        <v>2819</v>
      </c>
      <c r="V675" t="s">
        <v>1059</v>
      </c>
      <c r="W675" s="114" t="str">
        <f t="shared" si="30"/>
        <v>ETF</v>
      </c>
      <c r="X675" s="114" t="str">
        <f t="shared" si="31"/>
        <v>Otros ETFs</v>
      </c>
    </row>
    <row r="676" spans="1:24" hidden="1" x14ac:dyDescent="0.25">
      <c r="A676" s="114" t="str">
        <f t="shared" si="32"/>
        <v>4003</v>
      </c>
      <c r="B676" t="s">
        <v>2719</v>
      </c>
      <c r="C676" t="s">
        <v>4988</v>
      </c>
      <c r="D676" t="s">
        <v>4844</v>
      </c>
      <c r="E676" t="s">
        <v>175</v>
      </c>
      <c r="F676" t="s">
        <v>4812</v>
      </c>
      <c r="G676" t="s">
        <v>1168</v>
      </c>
      <c r="H676" t="s">
        <v>2643</v>
      </c>
      <c r="I676">
        <v>2179412080828.5869</v>
      </c>
      <c r="J676">
        <v>491468780.65337002</v>
      </c>
      <c r="K676">
        <v>225.5052107752</v>
      </c>
      <c r="L676"/>
      <c r="M676"/>
      <c r="N676"/>
      <c r="O676"/>
      <c r="P676"/>
      <c r="Q676"/>
      <c r="R676"/>
      <c r="S676"/>
      <c r="T676">
        <v>274.3982815</v>
      </c>
      <c r="U676">
        <v>87.3</v>
      </c>
      <c r="V676" t="s">
        <v>2644</v>
      </c>
      <c r="W676" s="114" t="str">
        <f t="shared" si="30"/>
        <v>SOV</v>
      </c>
      <c r="X676" s="114" t="str">
        <f t="shared" si="31"/>
        <v>SOV</v>
      </c>
    </row>
    <row r="677" spans="1:24" hidden="1" x14ac:dyDescent="0.25">
      <c r="A677" s="114" t="str">
        <f t="shared" si="32"/>
        <v>CAND</v>
      </c>
      <c r="B677" t="s">
        <v>2262</v>
      </c>
      <c r="C677" t="s">
        <v>2263</v>
      </c>
      <c r="D677" t="s">
        <v>2264</v>
      </c>
      <c r="E677" t="s">
        <v>532</v>
      </c>
      <c r="F677" t="s">
        <v>1852</v>
      </c>
      <c r="G677" t="s">
        <v>1136</v>
      </c>
      <c r="H677" t="s">
        <v>1494</v>
      </c>
      <c r="I677" t="s">
        <v>90</v>
      </c>
      <c r="J677" t="s">
        <v>90</v>
      </c>
      <c r="K677">
        <v>5.1676550000000002E-2</v>
      </c>
      <c r="L677">
        <v>4.7483255</v>
      </c>
      <c r="M677">
        <v>5.1627058400000001</v>
      </c>
      <c r="N677">
        <v>6.0871583600000001</v>
      </c>
      <c r="O677">
        <v>5.5817474200000001</v>
      </c>
      <c r="P677">
        <v>0</v>
      </c>
      <c r="Q677">
        <v>1.07354796</v>
      </c>
      <c r="R677">
        <v>0</v>
      </c>
      <c r="S677" t="s">
        <v>1063</v>
      </c>
      <c r="T677">
        <v>5.1676550000000002E-2</v>
      </c>
      <c r="U677" t="s">
        <v>2819</v>
      </c>
      <c r="V677" t="s">
        <v>1059</v>
      </c>
      <c r="W677" s="114" t="str">
        <f t="shared" si="30"/>
        <v>ETF</v>
      </c>
      <c r="X677" s="114" t="str">
        <f t="shared" si="31"/>
        <v>Otros ETFs</v>
      </c>
    </row>
    <row r="678" spans="1:24" hidden="1" x14ac:dyDescent="0.25">
      <c r="A678" s="114" t="str">
        <f t="shared" si="32"/>
        <v>4003</v>
      </c>
      <c r="B678" t="s">
        <v>2719</v>
      </c>
      <c r="C678" t="s">
        <v>2720</v>
      </c>
      <c r="D678" t="s">
        <v>3125</v>
      </c>
      <c r="E678" t="s">
        <v>175</v>
      </c>
      <c r="F678" t="s">
        <v>4812</v>
      </c>
      <c r="G678" t="s">
        <v>1168</v>
      </c>
      <c r="H678" t="s">
        <v>2643</v>
      </c>
      <c r="I678">
        <v>2179412080828.5869</v>
      </c>
      <c r="J678">
        <v>491468780.65337002</v>
      </c>
      <c r="K678">
        <v>225.5052107752</v>
      </c>
      <c r="L678"/>
      <c r="M678"/>
      <c r="N678"/>
      <c r="O678"/>
      <c r="P678"/>
      <c r="Q678"/>
      <c r="R678"/>
      <c r="S678"/>
      <c r="T678">
        <v>274.3982815</v>
      </c>
      <c r="U678">
        <v>87.3</v>
      </c>
      <c r="V678" t="s">
        <v>2644</v>
      </c>
      <c r="W678" s="114" t="str">
        <f t="shared" si="30"/>
        <v>SOV</v>
      </c>
      <c r="X678" s="114" t="str">
        <f t="shared" si="31"/>
        <v>SOV</v>
      </c>
    </row>
    <row r="679" spans="1:24" hidden="1" x14ac:dyDescent="0.25">
      <c r="A679" s="114" t="str">
        <f t="shared" si="32"/>
        <v>7515</v>
      </c>
      <c r="B679" t="s">
        <v>2265</v>
      </c>
      <c r="C679" t="s">
        <v>2266</v>
      </c>
      <c r="D679" t="s">
        <v>2267</v>
      </c>
      <c r="E679" t="s">
        <v>586</v>
      </c>
      <c r="F679" t="s">
        <v>1056</v>
      </c>
      <c r="G679" t="s">
        <v>1605</v>
      </c>
      <c r="H679" t="s">
        <v>2268</v>
      </c>
      <c r="I679" t="s">
        <v>90</v>
      </c>
      <c r="J679" t="s">
        <v>90</v>
      </c>
      <c r="K679">
        <v>10.950999599999999</v>
      </c>
      <c r="L679">
        <v>2.9169868499999998</v>
      </c>
      <c r="M679">
        <v>2.5615263700000002</v>
      </c>
      <c r="N679">
        <v>6.5021317099999996</v>
      </c>
      <c r="O679">
        <v>4.65621902</v>
      </c>
      <c r="P679">
        <v>1.451997096005808</v>
      </c>
      <c r="Q679">
        <v>18.31947267</v>
      </c>
      <c r="R679">
        <v>1.451997096005808</v>
      </c>
      <c r="S679" t="s">
        <v>1138</v>
      </c>
      <c r="T679">
        <v>10.950999599999999</v>
      </c>
      <c r="U679" t="s">
        <v>2819</v>
      </c>
      <c r="V679" t="s">
        <v>1059</v>
      </c>
      <c r="W679" s="114" t="str">
        <f t="shared" si="30"/>
        <v>ETF</v>
      </c>
      <c r="X679" s="114" t="str">
        <f t="shared" si="31"/>
        <v>Otros ETFs</v>
      </c>
    </row>
    <row r="680" spans="1:24" hidden="1" x14ac:dyDescent="0.25">
      <c r="A680" s="114" t="str">
        <f t="shared" si="32"/>
        <v>4003</v>
      </c>
      <c r="B680" t="s">
        <v>2719</v>
      </c>
      <c r="C680" t="s">
        <v>2721</v>
      </c>
      <c r="D680" t="s">
        <v>3124</v>
      </c>
      <c r="E680" t="s">
        <v>175</v>
      </c>
      <c r="F680" t="s">
        <v>4812</v>
      </c>
      <c r="G680" t="s">
        <v>1168</v>
      </c>
      <c r="H680" t="s">
        <v>2643</v>
      </c>
      <c r="I680">
        <v>2179412080828.5869</v>
      </c>
      <c r="J680">
        <v>491468780.65337002</v>
      </c>
      <c r="K680">
        <v>225.5052107752</v>
      </c>
      <c r="L680"/>
      <c r="M680"/>
      <c r="N680"/>
      <c r="O680"/>
      <c r="P680"/>
      <c r="Q680"/>
      <c r="R680"/>
      <c r="S680"/>
      <c r="T680">
        <v>274.3982815</v>
      </c>
      <c r="U680">
        <v>87.3</v>
      </c>
      <c r="V680" t="s">
        <v>2644</v>
      </c>
      <c r="W680" s="114" t="str">
        <f t="shared" si="30"/>
        <v>SOV</v>
      </c>
      <c r="X680" s="114" t="str">
        <f t="shared" si="31"/>
        <v>SOV</v>
      </c>
    </row>
    <row r="681" spans="1:24" hidden="1" x14ac:dyDescent="0.25">
      <c r="A681" s="114" t="str">
        <f t="shared" si="32"/>
        <v>4003</v>
      </c>
      <c r="B681" t="s">
        <v>2719</v>
      </c>
      <c r="C681" t="s">
        <v>2722</v>
      </c>
      <c r="D681" t="s">
        <v>3466</v>
      </c>
      <c r="E681" t="s">
        <v>175</v>
      </c>
      <c r="F681" t="s">
        <v>4812</v>
      </c>
      <c r="G681" t="s">
        <v>1168</v>
      </c>
      <c r="H681" t="s">
        <v>2643</v>
      </c>
      <c r="I681">
        <v>2179412080828.5869</v>
      </c>
      <c r="J681">
        <v>491468780.65337002</v>
      </c>
      <c r="K681">
        <v>225.5052107752</v>
      </c>
      <c r="L681"/>
      <c r="M681"/>
      <c r="N681"/>
      <c r="O681"/>
      <c r="P681"/>
      <c r="Q681"/>
      <c r="R681"/>
      <c r="S681"/>
      <c r="T681">
        <v>274.3982815</v>
      </c>
      <c r="U681">
        <v>87.3</v>
      </c>
      <c r="V681" t="s">
        <v>2644</v>
      </c>
      <c r="W681" s="114" t="str">
        <f t="shared" si="30"/>
        <v>SOV</v>
      </c>
      <c r="X681" s="114" t="str">
        <f t="shared" si="31"/>
        <v>SOV</v>
      </c>
    </row>
    <row r="682" spans="1:24" hidden="1" x14ac:dyDescent="0.25">
      <c r="A682" s="114" t="str">
        <f t="shared" si="32"/>
        <v>7397</v>
      </c>
      <c r="B682" t="s">
        <v>2269</v>
      </c>
      <c r="C682" t="s">
        <v>639</v>
      </c>
      <c r="D682" t="s">
        <v>2270</v>
      </c>
      <c r="E682" t="s">
        <v>586</v>
      </c>
      <c r="F682" t="s">
        <v>1056</v>
      </c>
      <c r="G682" t="s">
        <v>1714</v>
      </c>
      <c r="H682" t="s">
        <v>1164</v>
      </c>
      <c r="I682" t="s">
        <v>90</v>
      </c>
      <c r="J682" t="s">
        <v>90</v>
      </c>
      <c r="K682">
        <v>62.70600314</v>
      </c>
      <c r="L682">
        <v>7.7890779300000004</v>
      </c>
      <c r="M682">
        <v>6.7562067600000004</v>
      </c>
      <c r="N682">
        <v>5.4785078199999999</v>
      </c>
      <c r="O682">
        <v>6.5509648800000004</v>
      </c>
      <c r="P682">
        <v>19.641758029973008</v>
      </c>
      <c r="Q682">
        <v>97.497212640000001</v>
      </c>
      <c r="R682">
        <v>45.223599556559883</v>
      </c>
      <c r="S682" t="s">
        <v>1073</v>
      </c>
      <c r="T682">
        <v>62.70600314</v>
      </c>
      <c r="U682" t="s">
        <v>2819</v>
      </c>
      <c r="V682" t="s">
        <v>1059</v>
      </c>
      <c r="W682" s="114" t="str">
        <f t="shared" si="30"/>
        <v>ETF</v>
      </c>
      <c r="X682" s="114" t="str">
        <f t="shared" si="31"/>
        <v>Otros ETFs</v>
      </c>
    </row>
    <row r="683" spans="1:24" hidden="1" x14ac:dyDescent="0.25">
      <c r="A683" s="114" t="str">
        <f t="shared" si="32"/>
        <v>7397</v>
      </c>
      <c r="B683" t="s">
        <v>2269</v>
      </c>
      <c r="C683" t="s">
        <v>639</v>
      </c>
      <c r="D683" t="s">
        <v>638</v>
      </c>
      <c r="E683" t="s">
        <v>586</v>
      </c>
      <c r="F683" t="s">
        <v>1056</v>
      </c>
      <c r="G683" t="s">
        <v>1714</v>
      </c>
      <c r="H683" t="s">
        <v>1164</v>
      </c>
      <c r="I683" t="s">
        <v>90</v>
      </c>
      <c r="J683" t="s">
        <v>90</v>
      </c>
      <c r="K683">
        <v>62.70600314</v>
      </c>
      <c r="L683">
        <v>7.7890779300000004</v>
      </c>
      <c r="M683">
        <v>6.7562067600000004</v>
      </c>
      <c r="N683">
        <v>5.4785078199999999</v>
      </c>
      <c r="O683">
        <v>6.5509648800000004</v>
      </c>
      <c r="P683">
        <v>19.641758029973008</v>
      </c>
      <c r="Q683">
        <v>97.497212640000001</v>
      </c>
      <c r="R683">
        <v>45.223599556559883</v>
      </c>
      <c r="S683" t="s">
        <v>1073</v>
      </c>
      <c r="T683">
        <v>62.70600314</v>
      </c>
      <c r="U683" t="s">
        <v>2819</v>
      </c>
      <c r="V683" t="s">
        <v>1059</v>
      </c>
      <c r="W683" s="114" t="str">
        <f t="shared" si="30"/>
        <v>ETF</v>
      </c>
      <c r="X683" s="114" t="str">
        <f t="shared" si="31"/>
        <v>Otros ETFs</v>
      </c>
    </row>
    <row r="684" spans="1:24" hidden="1" x14ac:dyDescent="0.25">
      <c r="A684" s="114" t="str">
        <f t="shared" si="32"/>
        <v>4003</v>
      </c>
      <c r="B684" t="s">
        <v>2719</v>
      </c>
      <c r="C684" t="s">
        <v>2723</v>
      </c>
      <c r="D684" t="s">
        <v>3123</v>
      </c>
      <c r="E684" t="s">
        <v>175</v>
      </c>
      <c r="F684" t="s">
        <v>4812</v>
      </c>
      <c r="G684" t="s">
        <v>1168</v>
      </c>
      <c r="H684" t="s">
        <v>2643</v>
      </c>
      <c r="I684">
        <v>2179412080828.5869</v>
      </c>
      <c r="J684">
        <v>491468780.65337002</v>
      </c>
      <c r="K684">
        <v>225.5052107752</v>
      </c>
      <c r="L684"/>
      <c r="M684"/>
      <c r="N684"/>
      <c r="O684"/>
      <c r="P684"/>
      <c r="Q684"/>
      <c r="R684"/>
      <c r="S684"/>
      <c r="T684">
        <v>274.3982815</v>
      </c>
      <c r="U684">
        <v>87.3</v>
      </c>
      <c r="V684" t="s">
        <v>2644</v>
      </c>
      <c r="W684" s="114" t="str">
        <f t="shared" si="30"/>
        <v>SOV</v>
      </c>
      <c r="X684" s="114" t="str">
        <f t="shared" si="31"/>
        <v>SOV</v>
      </c>
    </row>
    <row r="685" spans="1:24" hidden="1" x14ac:dyDescent="0.25">
      <c r="A685" s="114" t="str">
        <f t="shared" si="32"/>
        <v>4003</v>
      </c>
      <c r="B685" t="s">
        <v>2719</v>
      </c>
      <c r="C685" t="s">
        <v>2724</v>
      </c>
      <c r="D685" t="s">
        <v>3132</v>
      </c>
      <c r="E685" t="s">
        <v>175</v>
      </c>
      <c r="F685" t="s">
        <v>4812</v>
      </c>
      <c r="G685" t="s">
        <v>1168</v>
      </c>
      <c r="H685" t="s">
        <v>2643</v>
      </c>
      <c r="I685">
        <v>2179412080828.5869</v>
      </c>
      <c r="J685">
        <v>491468780.65337002</v>
      </c>
      <c r="K685">
        <v>225.5052107752</v>
      </c>
      <c r="L685"/>
      <c r="M685"/>
      <c r="N685"/>
      <c r="O685"/>
      <c r="P685"/>
      <c r="Q685"/>
      <c r="R685"/>
      <c r="S685"/>
      <c r="T685">
        <v>274.3982815</v>
      </c>
      <c r="U685">
        <v>87.3</v>
      </c>
      <c r="V685" t="s">
        <v>2644</v>
      </c>
      <c r="W685" s="114" t="str">
        <f t="shared" si="30"/>
        <v>SOV</v>
      </c>
      <c r="X685" s="114" t="str">
        <f t="shared" si="31"/>
        <v>SOV</v>
      </c>
    </row>
    <row r="686" spans="1:24" hidden="1" x14ac:dyDescent="0.25">
      <c r="A686" s="114" t="str">
        <f t="shared" si="32"/>
        <v>7047</v>
      </c>
      <c r="B686" t="s">
        <v>2272</v>
      </c>
      <c r="C686" t="s">
        <v>692</v>
      </c>
      <c r="D686" t="s">
        <v>691</v>
      </c>
      <c r="E686" t="s">
        <v>586</v>
      </c>
      <c r="F686" t="s">
        <v>1056</v>
      </c>
      <c r="G686" t="s">
        <v>1714</v>
      </c>
      <c r="H686" t="s">
        <v>1164</v>
      </c>
      <c r="I686" t="s">
        <v>90</v>
      </c>
      <c r="J686" t="s">
        <v>90</v>
      </c>
      <c r="K686">
        <v>32.946213380000003</v>
      </c>
      <c r="L686">
        <v>7.7508024500000001</v>
      </c>
      <c r="M686">
        <v>6.5571153200000003</v>
      </c>
      <c r="N686">
        <v>5.3441620700000003</v>
      </c>
      <c r="O686">
        <v>6.9081862100000002</v>
      </c>
      <c r="P686">
        <v>11.804500000000001</v>
      </c>
      <c r="Q686">
        <v>68.14735666</v>
      </c>
      <c r="R686">
        <v>56.341500000000003</v>
      </c>
      <c r="S686" t="s">
        <v>1073</v>
      </c>
      <c r="T686">
        <v>32.946213380000003</v>
      </c>
      <c r="U686" t="s">
        <v>2819</v>
      </c>
      <c r="V686" t="s">
        <v>1059</v>
      </c>
      <c r="W686" s="114" t="str">
        <f t="shared" si="30"/>
        <v>ETF</v>
      </c>
      <c r="X686" s="114" t="str">
        <f t="shared" si="31"/>
        <v>Otros ETFs</v>
      </c>
    </row>
    <row r="687" spans="1:24" hidden="1" x14ac:dyDescent="0.25">
      <c r="A687" s="114" t="str">
        <f t="shared" si="32"/>
        <v>7412</v>
      </c>
      <c r="B687" t="s">
        <v>5429</v>
      </c>
      <c r="C687" t="s">
        <v>5430</v>
      </c>
      <c r="D687" t="s">
        <v>5431</v>
      </c>
      <c r="E687" t="s">
        <v>586</v>
      </c>
      <c r="F687" t="s">
        <v>1056</v>
      </c>
      <c r="G687" t="s">
        <v>1071</v>
      </c>
      <c r="H687" t="s">
        <v>1886</v>
      </c>
      <c r="I687" t="s">
        <v>90</v>
      </c>
      <c r="J687" t="s">
        <v>90</v>
      </c>
      <c r="K687">
        <v>46.205657029999998</v>
      </c>
      <c r="L687">
        <v>5.7541749900000001</v>
      </c>
      <c r="M687">
        <v>5.8676368099999996</v>
      </c>
      <c r="N687">
        <v>5.8084315100000001</v>
      </c>
      <c r="O687">
        <v>5.90080005</v>
      </c>
      <c r="P687">
        <v>3.9754559724328922</v>
      </c>
      <c r="Q687">
        <v>73.298338689999994</v>
      </c>
      <c r="R687">
        <v>5.3800607082393022</v>
      </c>
      <c r="S687" t="s">
        <v>30</v>
      </c>
      <c r="T687">
        <v>46.205657029999998</v>
      </c>
      <c r="U687" t="s">
        <v>2819</v>
      </c>
      <c r="V687" t="s">
        <v>1059</v>
      </c>
      <c r="W687" s="114" t="str">
        <f t="shared" si="30"/>
        <v>ETF</v>
      </c>
      <c r="X687" s="114" t="str">
        <f t="shared" si="31"/>
        <v>Otros ETFs</v>
      </c>
    </row>
    <row r="688" spans="1:24" hidden="1" x14ac:dyDescent="0.25">
      <c r="A688" s="114" t="str">
        <f t="shared" si="32"/>
        <v>4003</v>
      </c>
      <c r="B688" t="s">
        <v>2719</v>
      </c>
      <c r="C688" t="s">
        <v>2725</v>
      </c>
      <c r="D688" t="s">
        <v>3122</v>
      </c>
      <c r="E688" t="s">
        <v>175</v>
      </c>
      <c r="F688" t="s">
        <v>4812</v>
      </c>
      <c r="G688" t="s">
        <v>1168</v>
      </c>
      <c r="H688" t="s">
        <v>2643</v>
      </c>
      <c r="I688">
        <v>2179412080828.5869</v>
      </c>
      <c r="J688">
        <v>491468780.65337002</v>
      </c>
      <c r="K688">
        <v>225.5052107752</v>
      </c>
      <c r="L688"/>
      <c r="M688"/>
      <c r="N688"/>
      <c r="O688"/>
      <c r="P688"/>
      <c r="Q688"/>
      <c r="R688"/>
      <c r="S688"/>
      <c r="T688">
        <v>274.3982815</v>
      </c>
      <c r="U688">
        <v>87.3</v>
      </c>
      <c r="V688" t="s">
        <v>2644</v>
      </c>
      <c r="W688" s="114" t="str">
        <f t="shared" si="30"/>
        <v>SOV</v>
      </c>
      <c r="X688" s="114" t="str">
        <f t="shared" si="31"/>
        <v>SOV</v>
      </c>
    </row>
    <row r="689" spans="1:24" hidden="1" x14ac:dyDescent="0.25">
      <c r="A689" s="114" t="str">
        <f t="shared" si="32"/>
        <v>4003</v>
      </c>
      <c r="B689" t="s">
        <v>2719</v>
      </c>
      <c r="C689" t="s">
        <v>2726</v>
      </c>
      <c r="D689" t="s">
        <v>3129</v>
      </c>
      <c r="E689" t="s">
        <v>175</v>
      </c>
      <c r="F689" t="s">
        <v>4812</v>
      </c>
      <c r="G689" t="s">
        <v>1168</v>
      </c>
      <c r="H689" t="s">
        <v>2643</v>
      </c>
      <c r="I689">
        <v>2179412080828.5869</v>
      </c>
      <c r="J689">
        <v>491468780.65337002</v>
      </c>
      <c r="K689">
        <v>225.5052107752</v>
      </c>
      <c r="L689"/>
      <c r="M689"/>
      <c r="N689"/>
      <c r="O689"/>
      <c r="P689"/>
      <c r="Q689"/>
      <c r="R689"/>
      <c r="S689"/>
      <c r="T689">
        <v>274.3982815</v>
      </c>
      <c r="U689">
        <v>87.3</v>
      </c>
      <c r="V689" t="s">
        <v>2644</v>
      </c>
      <c r="W689" s="114" t="str">
        <f t="shared" si="30"/>
        <v>SOV</v>
      </c>
      <c r="X689" s="114" t="str">
        <f t="shared" si="31"/>
        <v>SOV</v>
      </c>
    </row>
    <row r="690" spans="1:24" hidden="1" x14ac:dyDescent="0.25">
      <c r="A690" s="114" t="str">
        <f t="shared" si="32"/>
        <v>7388</v>
      </c>
      <c r="B690" t="s">
        <v>6297</v>
      </c>
      <c r="C690" t="s">
        <v>6298</v>
      </c>
      <c r="D690" t="s">
        <v>6299</v>
      </c>
      <c r="E690" t="s">
        <v>586</v>
      </c>
      <c r="F690" t="s">
        <v>1056</v>
      </c>
      <c r="G690" t="s">
        <v>1136</v>
      </c>
      <c r="H690" t="s">
        <v>6144</v>
      </c>
      <c r="I690" t="s">
        <v>90</v>
      </c>
      <c r="J690" t="s">
        <v>90</v>
      </c>
      <c r="K690">
        <v>86.142033209999994</v>
      </c>
      <c r="L690">
        <v>6.5167422699999999</v>
      </c>
      <c r="M690">
        <v>5.5661522699999999</v>
      </c>
      <c r="N690">
        <v>5.5427905700000002</v>
      </c>
      <c r="O690">
        <v>5.2275673999999999</v>
      </c>
      <c r="P690">
        <v>16.231673500568039</v>
      </c>
      <c r="Q690">
        <v>153.05705721000001</v>
      </c>
      <c r="R690">
        <v>8.931559764445975</v>
      </c>
      <c r="S690" t="s">
        <v>30</v>
      </c>
      <c r="T690">
        <v>86.142033209999994</v>
      </c>
      <c r="U690" t="s">
        <v>2819</v>
      </c>
      <c r="V690" t="s">
        <v>1059</v>
      </c>
      <c r="W690" s="114" t="str">
        <f t="shared" si="30"/>
        <v>ETF</v>
      </c>
      <c r="X690" s="114" t="str">
        <f t="shared" si="31"/>
        <v>Otros ETFs</v>
      </c>
    </row>
    <row r="691" spans="1:24" hidden="1" x14ac:dyDescent="0.25">
      <c r="A691" s="114" t="str">
        <f t="shared" si="32"/>
        <v>4003</v>
      </c>
      <c r="B691" t="s">
        <v>2719</v>
      </c>
      <c r="C691" t="s">
        <v>2727</v>
      </c>
      <c r="D691" t="s">
        <v>3121</v>
      </c>
      <c r="E691" t="s">
        <v>175</v>
      </c>
      <c r="F691" t="s">
        <v>4812</v>
      </c>
      <c r="G691" t="s">
        <v>1168</v>
      </c>
      <c r="H691" t="s">
        <v>2643</v>
      </c>
      <c r="I691">
        <v>2179412080828.5869</v>
      </c>
      <c r="J691">
        <v>491468780.65337002</v>
      </c>
      <c r="K691">
        <v>225.5052107752</v>
      </c>
      <c r="L691"/>
      <c r="M691"/>
      <c r="N691"/>
      <c r="O691"/>
      <c r="P691"/>
      <c r="Q691"/>
      <c r="R691"/>
      <c r="S691"/>
      <c r="T691">
        <v>274.3982815</v>
      </c>
      <c r="U691">
        <v>87.3</v>
      </c>
      <c r="V691" t="s">
        <v>2644</v>
      </c>
      <c r="W691" s="114" t="str">
        <f t="shared" si="30"/>
        <v>SOV</v>
      </c>
      <c r="X691" s="114" t="str">
        <f t="shared" si="31"/>
        <v>SOV</v>
      </c>
    </row>
    <row r="692" spans="1:24" hidden="1" x14ac:dyDescent="0.25">
      <c r="A692" s="114" t="str">
        <f t="shared" si="32"/>
        <v>CRSU</v>
      </c>
      <c r="B692" t="s">
        <v>5643</v>
      </c>
      <c r="C692" t="s">
        <v>2273</v>
      </c>
      <c r="D692" t="s">
        <v>2274</v>
      </c>
      <c r="E692" t="s">
        <v>586</v>
      </c>
      <c r="F692" t="s">
        <v>1056</v>
      </c>
      <c r="G692" t="s">
        <v>1071</v>
      </c>
      <c r="H692" t="s">
        <v>1583</v>
      </c>
      <c r="I692" t="s">
        <v>90</v>
      </c>
      <c r="J692" t="s">
        <v>90</v>
      </c>
      <c r="K692">
        <v>99.790834459999999</v>
      </c>
      <c r="L692">
        <v>5.5579686400000003</v>
      </c>
      <c r="M692">
        <v>4.6869218300000002</v>
      </c>
      <c r="N692">
        <v>4.6179005999999996</v>
      </c>
      <c r="O692">
        <v>5.6056461000000004</v>
      </c>
      <c r="P692">
        <v>3.9073348720060998E-2</v>
      </c>
      <c r="Q692">
        <v>180.2463219</v>
      </c>
      <c r="R692">
        <v>0.398940109034297</v>
      </c>
      <c r="S692" t="s">
        <v>1063</v>
      </c>
      <c r="T692">
        <v>99.790834459999999</v>
      </c>
      <c r="U692" t="s">
        <v>2819</v>
      </c>
      <c r="V692" t="s">
        <v>1059</v>
      </c>
      <c r="W692" s="114" t="str">
        <f t="shared" si="30"/>
        <v>ETF</v>
      </c>
      <c r="X692" s="114" t="str">
        <f t="shared" si="31"/>
        <v>Otros ETFs</v>
      </c>
    </row>
    <row r="693" spans="1:24" hidden="1" x14ac:dyDescent="0.25">
      <c r="A693" s="114" t="str">
        <f t="shared" si="32"/>
        <v>7429</v>
      </c>
      <c r="B693" t="s">
        <v>5432</v>
      </c>
      <c r="C693" t="s">
        <v>5433</v>
      </c>
      <c r="D693" t="s">
        <v>5434</v>
      </c>
      <c r="E693" t="s">
        <v>586</v>
      </c>
      <c r="F693" t="s">
        <v>1056</v>
      </c>
      <c r="G693" t="s">
        <v>1689</v>
      </c>
      <c r="H693" t="s">
        <v>1690</v>
      </c>
      <c r="I693" t="s">
        <v>90</v>
      </c>
      <c r="J693" t="s">
        <v>90</v>
      </c>
      <c r="K693">
        <v>25.499685769999999</v>
      </c>
      <c r="L693">
        <v>7.4425699300000003</v>
      </c>
      <c r="M693">
        <v>6.4576283999999999</v>
      </c>
      <c r="N693">
        <v>4.93659157</v>
      </c>
      <c r="O693">
        <v>6.7814341599999999</v>
      </c>
      <c r="P693">
        <v>12.246542560421959</v>
      </c>
      <c r="Q693">
        <v>86.485313270000006</v>
      </c>
      <c r="R693">
        <v>49.356906849122993</v>
      </c>
      <c r="S693" t="s">
        <v>1073</v>
      </c>
      <c r="T693">
        <v>25.499685769999999</v>
      </c>
      <c r="U693" t="s">
        <v>2819</v>
      </c>
      <c r="V693" t="s">
        <v>1059</v>
      </c>
      <c r="W693" s="114" t="str">
        <f t="shared" si="30"/>
        <v>ETF</v>
      </c>
      <c r="X693" s="114" t="str">
        <f t="shared" si="31"/>
        <v>Otros ETFs</v>
      </c>
    </row>
    <row r="694" spans="1:24" hidden="1" x14ac:dyDescent="0.25">
      <c r="A694" s="114" t="str">
        <f t="shared" si="32"/>
        <v>4003</v>
      </c>
      <c r="B694" t="s">
        <v>2719</v>
      </c>
      <c r="C694" t="s">
        <v>182</v>
      </c>
      <c r="D694" t="s">
        <v>3126</v>
      </c>
      <c r="E694" t="s">
        <v>175</v>
      </c>
      <c r="F694" t="s">
        <v>4812</v>
      </c>
      <c r="G694" t="s">
        <v>1168</v>
      </c>
      <c r="H694" t="s">
        <v>2643</v>
      </c>
      <c r="I694">
        <v>2179412080828.5869</v>
      </c>
      <c r="J694">
        <v>491468780.65337002</v>
      </c>
      <c r="K694">
        <v>225.5052107752</v>
      </c>
      <c r="L694"/>
      <c r="M694"/>
      <c r="N694"/>
      <c r="O694"/>
      <c r="P694"/>
      <c r="Q694"/>
      <c r="R694"/>
      <c r="S694"/>
      <c r="T694">
        <v>274.3982815</v>
      </c>
      <c r="U694">
        <v>87.3</v>
      </c>
      <c r="V694" t="s">
        <v>2644</v>
      </c>
      <c r="W694" s="114" t="str">
        <f t="shared" si="30"/>
        <v>SOV</v>
      </c>
      <c r="X694" s="114" t="str">
        <f t="shared" si="31"/>
        <v>SOV</v>
      </c>
    </row>
    <row r="695" spans="1:24" hidden="1" x14ac:dyDescent="0.25">
      <c r="A695" s="114" t="str">
        <f t="shared" si="32"/>
        <v>4003</v>
      </c>
      <c r="B695" t="s">
        <v>2719</v>
      </c>
      <c r="C695" t="s">
        <v>2728</v>
      </c>
      <c r="D695" t="s">
        <v>3127</v>
      </c>
      <c r="E695" t="s">
        <v>175</v>
      </c>
      <c r="F695" t="s">
        <v>4812</v>
      </c>
      <c r="G695" t="s">
        <v>1168</v>
      </c>
      <c r="H695" t="s">
        <v>2643</v>
      </c>
      <c r="I695">
        <v>2179412080828.5869</v>
      </c>
      <c r="J695">
        <v>491468780.65337002</v>
      </c>
      <c r="K695">
        <v>225.5052107752</v>
      </c>
      <c r="L695"/>
      <c r="M695"/>
      <c r="N695"/>
      <c r="O695"/>
      <c r="P695"/>
      <c r="Q695"/>
      <c r="R695"/>
      <c r="S695"/>
      <c r="T695">
        <v>274.3982815</v>
      </c>
      <c r="U695">
        <v>87.3</v>
      </c>
      <c r="V695" t="s">
        <v>2644</v>
      </c>
      <c r="W695" s="114" t="str">
        <f t="shared" si="30"/>
        <v>SOV</v>
      </c>
      <c r="X695" s="114" t="str">
        <f t="shared" si="31"/>
        <v>SOV</v>
      </c>
    </row>
    <row r="696" spans="1:24" hidden="1" x14ac:dyDescent="0.25">
      <c r="A696" s="114" t="str">
        <f t="shared" si="32"/>
        <v>4003</v>
      </c>
      <c r="B696" t="s">
        <v>2719</v>
      </c>
      <c r="C696" t="s">
        <v>5091</v>
      </c>
      <c r="D696" t="s">
        <v>4843</v>
      </c>
      <c r="E696" t="s">
        <v>175</v>
      </c>
      <c r="F696" t="s">
        <v>4812</v>
      </c>
      <c r="G696" t="s">
        <v>1168</v>
      </c>
      <c r="H696" t="s">
        <v>2643</v>
      </c>
      <c r="I696">
        <v>2179412080828.5869</v>
      </c>
      <c r="J696">
        <v>491468780.65337002</v>
      </c>
      <c r="K696">
        <v>225.5052107752</v>
      </c>
      <c r="L696"/>
      <c r="M696"/>
      <c r="N696"/>
      <c r="O696"/>
      <c r="P696"/>
      <c r="Q696"/>
      <c r="R696"/>
      <c r="S696"/>
      <c r="T696">
        <v>274.3982815</v>
      </c>
      <c r="U696">
        <v>87.3</v>
      </c>
      <c r="V696" t="s">
        <v>2644</v>
      </c>
      <c r="W696" s="114" t="str">
        <f t="shared" si="30"/>
        <v>SOV</v>
      </c>
      <c r="X696" s="114" t="str">
        <f t="shared" si="31"/>
        <v>SOV</v>
      </c>
    </row>
    <row r="697" spans="1:24" hidden="1" x14ac:dyDescent="0.25">
      <c r="A697" s="114" t="str">
        <f t="shared" si="32"/>
        <v>4003</v>
      </c>
      <c r="B697" t="s">
        <v>2719</v>
      </c>
      <c r="C697" t="s">
        <v>5351</v>
      </c>
      <c r="D697" t="s">
        <v>5352</v>
      </c>
      <c r="E697" t="s">
        <v>175</v>
      </c>
      <c r="F697" t="s">
        <v>4812</v>
      </c>
      <c r="G697" t="s">
        <v>1168</v>
      </c>
      <c r="H697" t="s">
        <v>2643</v>
      </c>
      <c r="I697">
        <v>2179412080828.5869</v>
      </c>
      <c r="J697">
        <v>491468780.65337002</v>
      </c>
      <c r="K697">
        <v>225.5052107752</v>
      </c>
      <c r="L697"/>
      <c r="M697"/>
      <c r="N697"/>
      <c r="O697"/>
      <c r="P697"/>
      <c r="Q697"/>
      <c r="R697"/>
      <c r="S697"/>
      <c r="T697">
        <v>274.3982815</v>
      </c>
      <c r="U697">
        <v>87.3</v>
      </c>
      <c r="V697" t="s">
        <v>2644</v>
      </c>
      <c r="W697" s="114" t="str">
        <f t="shared" si="30"/>
        <v>SOV</v>
      </c>
      <c r="X697" s="114" t="str">
        <f t="shared" si="31"/>
        <v>SOV</v>
      </c>
    </row>
    <row r="698" spans="1:24" hidden="1" x14ac:dyDescent="0.25">
      <c r="A698" s="114" t="str">
        <f t="shared" si="32"/>
        <v>4003</v>
      </c>
      <c r="B698" t="s">
        <v>2719</v>
      </c>
      <c r="C698" t="s">
        <v>6300</v>
      </c>
      <c r="D698" t="s">
        <v>6301</v>
      </c>
      <c r="E698" t="s">
        <v>175</v>
      </c>
      <c r="F698" t="s">
        <v>4812</v>
      </c>
      <c r="G698" t="s">
        <v>1168</v>
      </c>
      <c r="H698" t="s">
        <v>2643</v>
      </c>
      <c r="I698">
        <v>2179412080828.5869</v>
      </c>
      <c r="J698">
        <v>491468780.65337002</v>
      </c>
      <c r="K698">
        <v>225.5052107752</v>
      </c>
      <c r="L698"/>
      <c r="M698"/>
      <c r="N698"/>
      <c r="O698"/>
      <c r="P698"/>
      <c r="Q698"/>
      <c r="R698"/>
      <c r="S698"/>
      <c r="T698">
        <v>274.3982815</v>
      </c>
      <c r="U698">
        <v>87.3</v>
      </c>
      <c r="V698" t="s">
        <v>2644</v>
      </c>
      <c r="W698" s="114" t="str">
        <f t="shared" si="30"/>
        <v>SOV</v>
      </c>
      <c r="X698" s="114" t="str">
        <f t="shared" si="31"/>
        <v>SOV</v>
      </c>
    </row>
    <row r="699" spans="1:24" hidden="1" x14ac:dyDescent="0.25">
      <c r="A699" s="114" t="str">
        <f t="shared" si="32"/>
        <v>5905</v>
      </c>
      <c r="B699" t="s">
        <v>1375</v>
      </c>
      <c r="C699" t="s">
        <v>2729</v>
      </c>
      <c r="D699" t="s">
        <v>2945</v>
      </c>
      <c r="E699" t="s">
        <v>175</v>
      </c>
      <c r="F699" t="s">
        <v>4812</v>
      </c>
      <c r="G699" t="s">
        <v>1145</v>
      </c>
      <c r="H699" t="s">
        <v>2643</v>
      </c>
      <c r="I699">
        <v>4026210821146.8081</v>
      </c>
      <c r="J699">
        <v>972266972.90758002</v>
      </c>
      <c r="K699">
        <v>241.4843673364</v>
      </c>
      <c r="L699"/>
      <c r="M699"/>
      <c r="N699"/>
      <c r="O699"/>
      <c r="P699"/>
      <c r="Q699"/>
      <c r="R699"/>
      <c r="S699"/>
      <c r="T699">
        <v>165.94730089999999</v>
      </c>
      <c r="U699">
        <v>236.1</v>
      </c>
      <c r="V699" t="s">
        <v>2644</v>
      </c>
      <c r="W699" s="114" t="str">
        <f t="shared" si="30"/>
        <v>SOV</v>
      </c>
      <c r="X699" s="114" t="str">
        <f t="shared" si="31"/>
        <v>SOV</v>
      </c>
    </row>
    <row r="700" spans="1:24" hidden="1" x14ac:dyDescent="0.25">
      <c r="A700" s="114" t="str">
        <f t="shared" si="32"/>
        <v>7025</v>
      </c>
      <c r="B700" t="s">
        <v>5092</v>
      </c>
      <c r="C700" t="s">
        <v>2277</v>
      </c>
      <c r="D700" t="s">
        <v>2278</v>
      </c>
      <c r="E700" t="s">
        <v>586</v>
      </c>
      <c r="F700" t="s">
        <v>1056</v>
      </c>
      <c r="G700" t="s">
        <v>1136</v>
      </c>
      <c r="H700" t="s">
        <v>6144</v>
      </c>
      <c r="I700" t="s">
        <v>90</v>
      </c>
      <c r="J700" t="s">
        <v>90</v>
      </c>
      <c r="K700">
        <v>37.825877730000002</v>
      </c>
      <c r="L700">
        <v>6.5597256699999997</v>
      </c>
      <c r="M700">
        <v>5.6516246199999998</v>
      </c>
      <c r="N700">
        <v>5.50219433</v>
      </c>
      <c r="O700">
        <v>5.1558113399999996</v>
      </c>
      <c r="P700">
        <v>24.744407990380541</v>
      </c>
      <c r="Q700">
        <v>163.53171613000001</v>
      </c>
      <c r="R700">
        <v>8.5545588538236057</v>
      </c>
      <c r="S700" t="s">
        <v>30</v>
      </c>
      <c r="T700">
        <v>37.825877730000002</v>
      </c>
      <c r="U700" t="s">
        <v>2819</v>
      </c>
      <c r="V700" t="s">
        <v>1059</v>
      </c>
      <c r="W700" s="114" t="str">
        <f t="shared" si="30"/>
        <v>ETF</v>
      </c>
      <c r="X700" s="114" t="str">
        <f t="shared" si="31"/>
        <v>Otros ETFs</v>
      </c>
    </row>
    <row r="701" spans="1:24" hidden="1" x14ac:dyDescent="0.25">
      <c r="A701" s="114" t="str">
        <f t="shared" si="32"/>
        <v>5905</v>
      </c>
      <c r="B701" t="s">
        <v>1375</v>
      </c>
      <c r="C701" t="s">
        <v>2730</v>
      </c>
      <c r="D701" t="s">
        <v>2943</v>
      </c>
      <c r="E701" t="s">
        <v>175</v>
      </c>
      <c r="F701" t="s">
        <v>4812</v>
      </c>
      <c r="G701" t="s">
        <v>1145</v>
      </c>
      <c r="H701" t="s">
        <v>2643</v>
      </c>
      <c r="I701">
        <v>4026210821146.8081</v>
      </c>
      <c r="J701">
        <v>972266972.90758002</v>
      </c>
      <c r="K701">
        <v>241.4843673364</v>
      </c>
      <c r="L701"/>
      <c r="M701"/>
      <c r="N701"/>
      <c r="O701"/>
      <c r="P701"/>
      <c r="Q701"/>
      <c r="R701"/>
      <c r="S701"/>
      <c r="T701">
        <v>165.94730089999999</v>
      </c>
      <c r="U701">
        <v>236.1</v>
      </c>
      <c r="V701" t="s">
        <v>2644</v>
      </c>
      <c r="W701" s="114" t="str">
        <f t="shared" si="30"/>
        <v>SOV</v>
      </c>
      <c r="X701" s="114" t="str">
        <f t="shared" si="31"/>
        <v>SOV</v>
      </c>
    </row>
    <row r="702" spans="1:24" hidden="1" x14ac:dyDescent="0.25">
      <c r="A702" s="114" t="str">
        <f t="shared" si="32"/>
        <v>5905</v>
      </c>
      <c r="B702" t="s">
        <v>1375</v>
      </c>
      <c r="C702" t="s">
        <v>2731</v>
      </c>
      <c r="D702" t="s">
        <v>2946</v>
      </c>
      <c r="E702" t="s">
        <v>175</v>
      </c>
      <c r="F702" t="s">
        <v>4812</v>
      </c>
      <c r="G702" t="s">
        <v>1145</v>
      </c>
      <c r="H702" t="s">
        <v>2643</v>
      </c>
      <c r="I702">
        <v>4026210821146.8081</v>
      </c>
      <c r="J702">
        <v>972266972.90758002</v>
      </c>
      <c r="K702">
        <v>241.4843673364</v>
      </c>
      <c r="L702"/>
      <c r="M702"/>
      <c r="N702"/>
      <c r="O702"/>
      <c r="P702"/>
      <c r="Q702"/>
      <c r="R702"/>
      <c r="S702"/>
      <c r="T702">
        <v>165.94730089999999</v>
      </c>
      <c r="U702">
        <v>236.1</v>
      </c>
      <c r="V702" t="s">
        <v>2644</v>
      </c>
      <c r="W702" s="114" t="str">
        <f t="shared" si="30"/>
        <v>SOV</v>
      </c>
      <c r="X702" s="114" t="str">
        <f t="shared" si="31"/>
        <v>SOV</v>
      </c>
    </row>
    <row r="703" spans="1:24" hidden="1" x14ac:dyDescent="0.25">
      <c r="A703" s="114" t="str">
        <f t="shared" si="32"/>
        <v>7049</v>
      </c>
      <c r="B703" t="s">
        <v>6302</v>
      </c>
      <c r="C703" t="s">
        <v>592</v>
      </c>
      <c r="D703" t="s">
        <v>591</v>
      </c>
      <c r="E703" t="s">
        <v>586</v>
      </c>
      <c r="F703" t="s">
        <v>1056</v>
      </c>
      <c r="G703" t="s">
        <v>1136</v>
      </c>
      <c r="H703" t="s">
        <v>1437</v>
      </c>
      <c r="I703" t="s">
        <v>90</v>
      </c>
      <c r="J703" t="s">
        <v>90</v>
      </c>
      <c r="K703">
        <v>305.48687911000002</v>
      </c>
      <c r="L703">
        <v>3.7464728599999999</v>
      </c>
      <c r="M703">
        <v>4.8021212100000001</v>
      </c>
      <c r="N703">
        <v>5.21643715</v>
      </c>
      <c r="O703">
        <v>4.9336471700000004</v>
      </c>
      <c r="P703">
        <v>5.6634767626800766</v>
      </c>
      <c r="Q703">
        <v>503.82038284999999</v>
      </c>
      <c r="R703">
        <v>0.67631664800382296</v>
      </c>
      <c r="S703" t="s">
        <v>1138</v>
      </c>
      <c r="T703">
        <v>305.48687911000002</v>
      </c>
      <c r="U703" t="s">
        <v>2819</v>
      </c>
      <c r="V703" t="s">
        <v>1059</v>
      </c>
      <c r="W703" s="114" t="str">
        <f t="shared" si="30"/>
        <v>ETF</v>
      </c>
      <c r="X703" s="114" t="str">
        <f t="shared" si="31"/>
        <v>Otros ETFs</v>
      </c>
    </row>
    <row r="704" spans="1:24" hidden="1" x14ac:dyDescent="0.25">
      <c r="A704" s="114" t="str">
        <f t="shared" si="32"/>
        <v>7395</v>
      </c>
      <c r="B704" t="s">
        <v>2280</v>
      </c>
      <c r="C704" t="s">
        <v>2281</v>
      </c>
      <c r="D704" t="s">
        <v>2282</v>
      </c>
      <c r="E704" t="s">
        <v>586</v>
      </c>
      <c r="F704" t="s">
        <v>1056</v>
      </c>
      <c r="G704" t="s">
        <v>1163</v>
      </c>
      <c r="H704" t="s">
        <v>1164</v>
      </c>
      <c r="I704" t="s">
        <v>90</v>
      </c>
      <c r="J704" t="s">
        <v>90</v>
      </c>
      <c r="K704">
        <v>52.90915871</v>
      </c>
      <c r="L704">
        <v>7.8175189600000001</v>
      </c>
      <c r="M704">
        <v>6.4257949700000001</v>
      </c>
      <c r="N704">
        <v>5.3037230199999996</v>
      </c>
      <c r="O704">
        <v>6.7130261500000001</v>
      </c>
      <c r="P704">
        <v>24.08729781755456</v>
      </c>
      <c r="Q704">
        <v>85.489454719999998</v>
      </c>
      <c r="R704">
        <v>63.129721756956073</v>
      </c>
      <c r="S704" t="s">
        <v>1073</v>
      </c>
      <c r="T704">
        <v>52.90915871</v>
      </c>
      <c r="U704" t="s">
        <v>2819</v>
      </c>
      <c r="V704" t="s">
        <v>1059</v>
      </c>
      <c r="W704" s="114" t="str">
        <f t="shared" si="30"/>
        <v>ETF</v>
      </c>
      <c r="X704" s="114" t="str">
        <f t="shared" si="31"/>
        <v>Otros ETFs</v>
      </c>
    </row>
    <row r="705" spans="1:24" hidden="1" x14ac:dyDescent="0.25">
      <c r="A705" s="114" t="str">
        <f t="shared" si="32"/>
        <v>5905</v>
      </c>
      <c r="B705" t="s">
        <v>1375</v>
      </c>
      <c r="C705" t="s">
        <v>876</v>
      </c>
      <c r="D705" t="s">
        <v>875</v>
      </c>
      <c r="E705" t="s">
        <v>175</v>
      </c>
      <c r="F705" t="s">
        <v>4812</v>
      </c>
      <c r="G705" t="s">
        <v>1145</v>
      </c>
      <c r="H705" t="s">
        <v>2643</v>
      </c>
      <c r="I705">
        <v>4026210821146.8081</v>
      </c>
      <c r="J705">
        <v>972266972.90758002</v>
      </c>
      <c r="K705">
        <v>241.4843673364</v>
      </c>
      <c r="L705"/>
      <c r="M705"/>
      <c r="N705"/>
      <c r="O705"/>
      <c r="P705"/>
      <c r="Q705"/>
      <c r="R705"/>
      <c r="S705"/>
      <c r="T705">
        <v>165.94730089999999</v>
      </c>
      <c r="U705">
        <v>236.1</v>
      </c>
      <c r="V705" t="s">
        <v>2644</v>
      </c>
      <c r="W705" s="114" t="str">
        <f t="shared" si="30"/>
        <v>SOV</v>
      </c>
      <c r="X705" s="114" t="str">
        <f t="shared" si="31"/>
        <v>SOV</v>
      </c>
    </row>
    <row r="706" spans="1:24" hidden="1" x14ac:dyDescent="0.25">
      <c r="A706" s="114" t="str">
        <f t="shared" si="32"/>
        <v>7395</v>
      </c>
      <c r="B706" t="s">
        <v>2283</v>
      </c>
      <c r="C706" t="s">
        <v>2284</v>
      </c>
      <c r="D706" t="s">
        <v>2285</v>
      </c>
      <c r="E706" t="s">
        <v>586</v>
      </c>
      <c r="F706" t="s">
        <v>1056</v>
      </c>
      <c r="G706" t="s">
        <v>1375</v>
      </c>
      <c r="H706" t="s">
        <v>1376</v>
      </c>
      <c r="I706" t="s">
        <v>90</v>
      </c>
      <c r="J706" t="s">
        <v>90</v>
      </c>
      <c r="K706">
        <v>59.574580560000001</v>
      </c>
      <c r="L706">
        <v>7.3948999999999998</v>
      </c>
      <c r="M706">
        <v>5.8607291100000003</v>
      </c>
      <c r="N706">
        <v>5.4554386399999997</v>
      </c>
      <c r="O706">
        <v>6.1887022299999996</v>
      </c>
      <c r="P706">
        <v>5.9669269591181857</v>
      </c>
      <c r="Q706">
        <v>72.957536829999995</v>
      </c>
      <c r="R706">
        <v>32.35046183660674</v>
      </c>
      <c r="S706" t="s">
        <v>1073</v>
      </c>
      <c r="T706">
        <v>59.574580560000001</v>
      </c>
      <c r="U706" t="s">
        <v>2819</v>
      </c>
      <c r="V706" t="s">
        <v>1059</v>
      </c>
      <c r="W706" s="114" t="str">
        <f t="shared" ref="W706:W769" si="33">IF(V706="ETF_ETY","ETF",IF(V706="ETF_SOV","ETF",IF(V706="RF_SOV","SOV",IF(V706="-","Cuestionario Integra","Portafolio"))))</f>
        <v>ETF</v>
      </c>
      <c r="X706" s="114" t="str">
        <f t="shared" ref="X706:X769" si="34">IF(V706="ETF_ETY","Otros ETFs",IF(V706="ETF_SOV","Soberanos",W706))</f>
        <v>Otros ETFs</v>
      </c>
    </row>
    <row r="707" spans="1:24" hidden="1" x14ac:dyDescent="0.25">
      <c r="A707" s="114" t="str">
        <f t="shared" ref="A707:A770" si="35">RIGHT(LEFT(D707,6),4)</f>
        <v>5905</v>
      </c>
      <c r="B707" t="s">
        <v>1375</v>
      </c>
      <c r="C707" t="s">
        <v>2732</v>
      </c>
      <c r="D707" t="s">
        <v>2944</v>
      </c>
      <c r="E707" t="s">
        <v>175</v>
      </c>
      <c r="F707" t="s">
        <v>4812</v>
      </c>
      <c r="G707" t="s">
        <v>1145</v>
      </c>
      <c r="H707" t="s">
        <v>2643</v>
      </c>
      <c r="I707">
        <v>4026210821146.8081</v>
      </c>
      <c r="J707">
        <v>972266972.90758002</v>
      </c>
      <c r="K707">
        <v>241.4843673364</v>
      </c>
      <c r="L707"/>
      <c r="M707"/>
      <c r="N707"/>
      <c r="O707"/>
      <c r="P707"/>
      <c r="Q707"/>
      <c r="R707"/>
      <c r="S707"/>
      <c r="T707">
        <v>165.94730089999999</v>
      </c>
      <c r="U707">
        <v>236.1</v>
      </c>
      <c r="V707" t="s">
        <v>2644</v>
      </c>
      <c r="W707" s="114" t="str">
        <f t="shared" si="33"/>
        <v>SOV</v>
      </c>
      <c r="X707" s="114" t="str">
        <f t="shared" si="34"/>
        <v>SOV</v>
      </c>
    </row>
    <row r="708" spans="1:24" hidden="1" x14ac:dyDescent="0.25">
      <c r="A708" s="114" t="str">
        <f t="shared" si="35"/>
        <v>7388</v>
      </c>
      <c r="B708" t="s">
        <v>2286</v>
      </c>
      <c r="C708" t="s">
        <v>2287</v>
      </c>
      <c r="D708" t="s">
        <v>2288</v>
      </c>
      <c r="E708" t="s">
        <v>586</v>
      </c>
      <c r="F708" t="s">
        <v>1056</v>
      </c>
      <c r="G708" t="s">
        <v>1071</v>
      </c>
      <c r="H708" t="s">
        <v>1445</v>
      </c>
      <c r="I708" t="s">
        <v>90</v>
      </c>
      <c r="J708" t="s">
        <v>90</v>
      </c>
      <c r="K708">
        <v>3.8395992699999999</v>
      </c>
      <c r="L708">
        <v>6.5767364600000002</v>
      </c>
      <c r="M708">
        <v>6.25467102</v>
      </c>
      <c r="N708">
        <v>5.3703628400000003</v>
      </c>
      <c r="O708">
        <v>5.2995385300000004</v>
      </c>
      <c r="P708">
        <v>29.761500000000002</v>
      </c>
      <c r="Q708">
        <v>16.245698040000001</v>
      </c>
      <c r="R708">
        <v>12.687900000000001</v>
      </c>
      <c r="S708" t="s">
        <v>30</v>
      </c>
      <c r="T708">
        <v>3.8395992699999999</v>
      </c>
      <c r="U708" t="s">
        <v>2819</v>
      </c>
      <c r="V708" t="s">
        <v>1059</v>
      </c>
      <c r="W708" s="114" t="str">
        <f t="shared" si="33"/>
        <v>ETF</v>
      </c>
      <c r="X708" s="114" t="str">
        <f t="shared" si="34"/>
        <v>Otros ETFs</v>
      </c>
    </row>
    <row r="709" spans="1:24" hidden="1" x14ac:dyDescent="0.25">
      <c r="A709" s="114" t="str">
        <f t="shared" si="35"/>
        <v>4013</v>
      </c>
      <c r="B709" t="s">
        <v>1112</v>
      </c>
      <c r="C709" t="s">
        <v>2733</v>
      </c>
      <c r="D709" t="s">
        <v>2942</v>
      </c>
      <c r="E709" t="s">
        <v>175</v>
      </c>
      <c r="F709" t="s">
        <v>4812</v>
      </c>
      <c r="G709" t="s">
        <v>1139</v>
      </c>
      <c r="H709" t="s">
        <v>2643</v>
      </c>
      <c r="I709">
        <v>2241253230970.3389</v>
      </c>
      <c r="J709">
        <v>577972624.06243002</v>
      </c>
      <c r="K709">
        <v>257.87921510870001</v>
      </c>
      <c r="L709"/>
      <c r="M709"/>
      <c r="N709"/>
      <c r="O709"/>
      <c r="P709"/>
      <c r="Q709"/>
      <c r="R709"/>
      <c r="S709"/>
      <c r="T709">
        <v>284.16319670000001</v>
      </c>
      <c r="U709">
        <v>111.3</v>
      </c>
      <c r="V709" t="s">
        <v>2644</v>
      </c>
      <c r="W709" s="114" t="str">
        <f t="shared" si="33"/>
        <v>SOV</v>
      </c>
      <c r="X709" s="114" t="str">
        <f t="shared" si="34"/>
        <v>SOV</v>
      </c>
    </row>
    <row r="710" spans="1:24" hidden="1" x14ac:dyDescent="0.25">
      <c r="A710" s="114" t="str">
        <f t="shared" si="35"/>
        <v>7095</v>
      </c>
      <c r="B710" t="s">
        <v>5093</v>
      </c>
      <c r="C710" t="s">
        <v>2289</v>
      </c>
      <c r="D710" t="s">
        <v>5822</v>
      </c>
      <c r="E710" t="s">
        <v>586</v>
      </c>
      <c r="F710" t="s">
        <v>1056</v>
      </c>
      <c r="G710" t="s">
        <v>1136</v>
      </c>
      <c r="H710" t="s">
        <v>1437</v>
      </c>
      <c r="I710" t="s">
        <v>90</v>
      </c>
      <c r="J710" t="s">
        <v>90</v>
      </c>
      <c r="K710">
        <v>660.78036123000004</v>
      </c>
      <c r="L710">
        <v>3.53565094</v>
      </c>
      <c r="M710">
        <v>4.8500638900000004</v>
      </c>
      <c r="N710">
        <v>5.0703835599999998</v>
      </c>
      <c r="O710">
        <v>4.8068676799999999</v>
      </c>
      <c r="P710">
        <v>3.8274180041126109</v>
      </c>
      <c r="Q710">
        <v>853.61464788000001</v>
      </c>
      <c r="R710">
        <v>0.61680953626913904</v>
      </c>
      <c r="S710" t="s">
        <v>1138</v>
      </c>
      <c r="T710">
        <v>660.78036123000004</v>
      </c>
      <c r="U710" t="s">
        <v>2819</v>
      </c>
      <c r="V710" t="s">
        <v>1059</v>
      </c>
      <c r="W710" s="114" t="str">
        <f t="shared" si="33"/>
        <v>ETF</v>
      </c>
      <c r="X710" s="114" t="str">
        <f t="shared" si="34"/>
        <v>Otros ETFs</v>
      </c>
    </row>
    <row r="711" spans="1:24" hidden="1" x14ac:dyDescent="0.25">
      <c r="A711" s="114" t="str">
        <f t="shared" si="35"/>
        <v>4013</v>
      </c>
      <c r="B711" t="s">
        <v>1112</v>
      </c>
      <c r="C711" t="s">
        <v>2734</v>
      </c>
      <c r="D711" t="s">
        <v>2941</v>
      </c>
      <c r="E711" t="s">
        <v>175</v>
      </c>
      <c r="F711" t="s">
        <v>4812</v>
      </c>
      <c r="G711" t="s">
        <v>1139</v>
      </c>
      <c r="H711" t="s">
        <v>2643</v>
      </c>
      <c r="I711">
        <v>2241253230970.3389</v>
      </c>
      <c r="J711">
        <v>577972624.06243002</v>
      </c>
      <c r="K711">
        <v>257.87921510870001</v>
      </c>
      <c r="L711"/>
      <c r="M711"/>
      <c r="N711"/>
      <c r="O711"/>
      <c r="P711"/>
      <c r="Q711"/>
      <c r="R711"/>
      <c r="S711"/>
      <c r="T711">
        <v>284.16319670000001</v>
      </c>
      <c r="U711">
        <v>111.3</v>
      </c>
      <c r="V711" t="s">
        <v>2644</v>
      </c>
      <c r="W711" s="114" t="str">
        <f t="shared" si="33"/>
        <v>SOV</v>
      </c>
      <c r="X711" s="114" t="str">
        <f t="shared" si="34"/>
        <v>SOV</v>
      </c>
    </row>
    <row r="712" spans="1:24" hidden="1" x14ac:dyDescent="0.25">
      <c r="A712" s="114" t="str">
        <f t="shared" si="35"/>
        <v>4004</v>
      </c>
      <c r="B712" t="s">
        <v>2735</v>
      </c>
      <c r="C712" t="s">
        <v>2736</v>
      </c>
      <c r="D712" t="s">
        <v>3493</v>
      </c>
      <c r="E712" t="s">
        <v>175</v>
      </c>
      <c r="F712" t="s">
        <v>4812</v>
      </c>
      <c r="G712" t="s">
        <v>1296</v>
      </c>
      <c r="H712" t="s">
        <v>2643</v>
      </c>
      <c r="I712">
        <v>418542042920.18939</v>
      </c>
      <c r="J712">
        <v>95079303.138962001</v>
      </c>
      <c r="K712">
        <v>227.1678669975</v>
      </c>
      <c r="L712"/>
      <c r="M712"/>
      <c r="N712"/>
      <c r="O712"/>
      <c r="P712"/>
      <c r="Q712"/>
      <c r="R712"/>
      <c r="S712"/>
      <c r="T712">
        <v>191.40678779999999</v>
      </c>
      <c r="U712">
        <v>61.2</v>
      </c>
      <c r="V712" t="s">
        <v>2644</v>
      </c>
      <c r="W712" s="114" t="str">
        <f t="shared" si="33"/>
        <v>SOV</v>
      </c>
      <c r="X712" s="114" t="str">
        <f t="shared" si="34"/>
        <v>SOV</v>
      </c>
    </row>
    <row r="713" spans="1:24" hidden="1" x14ac:dyDescent="0.25">
      <c r="A713" s="114" t="str">
        <f t="shared" si="35"/>
        <v>NBER</v>
      </c>
      <c r="B713" t="s">
        <v>5093</v>
      </c>
      <c r="C713" t="s">
        <v>2289</v>
      </c>
      <c r="D713" t="s">
        <v>2290</v>
      </c>
      <c r="E713" t="s">
        <v>586</v>
      </c>
      <c r="F713" t="s">
        <v>1056</v>
      </c>
      <c r="G713" t="s">
        <v>1136</v>
      </c>
      <c r="H713" t="s">
        <v>1437</v>
      </c>
      <c r="I713" t="s">
        <v>90</v>
      </c>
      <c r="J713" t="s">
        <v>90</v>
      </c>
      <c r="K713">
        <v>660.78036123000004</v>
      </c>
      <c r="L713">
        <v>3.53565094</v>
      </c>
      <c r="M713">
        <v>4.8500638900000004</v>
      </c>
      <c r="N713">
        <v>5.0703835599999998</v>
      </c>
      <c r="O713">
        <v>4.8068676799999999</v>
      </c>
      <c r="P713">
        <v>3.8274180041126109</v>
      </c>
      <c r="Q713">
        <v>853.61464788000001</v>
      </c>
      <c r="R713">
        <v>0.61680953626913904</v>
      </c>
      <c r="S713" t="s">
        <v>1138</v>
      </c>
      <c r="T713">
        <v>660.78036123000004</v>
      </c>
      <c r="U713" t="s">
        <v>2819</v>
      </c>
      <c r="V713" t="s">
        <v>1059</v>
      </c>
      <c r="W713" s="114" t="str">
        <f t="shared" si="33"/>
        <v>ETF</v>
      </c>
      <c r="X713" s="114" t="str">
        <f t="shared" si="34"/>
        <v>Otros ETFs</v>
      </c>
    </row>
    <row r="714" spans="1:24" hidden="1" x14ac:dyDescent="0.25">
      <c r="A714" s="114" t="str">
        <f t="shared" si="35"/>
        <v>4004</v>
      </c>
      <c r="B714" t="s">
        <v>2735</v>
      </c>
      <c r="C714" t="s">
        <v>2737</v>
      </c>
      <c r="D714" t="s">
        <v>3500</v>
      </c>
      <c r="E714" t="s">
        <v>175</v>
      </c>
      <c r="F714" t="s">
        <v>4812</v>
      </c>
      <c r="G714" t="s">
        <v>1296</v>
      </c>
      <c r="H714" t="s">
        <v>2643</v>
      </c>
      <c r="I714">
        <v>418542042920.18939</v>
      </c>
      <c r="J714">
        <v>95079303.138962001</v>
      </c>
      <c r="K714">
        <v>227.1678669975</v>
      </c>
      <c r="L714"/>
      <c r="M714"/>
      <c r="N714"/>
      <c r="O714"/>
      <c r="P714"/>
      <c r="Q714"/>
      <c r="R714"/>
      <c r="S714"/>
      <c r="T714">
        <v>191.40678779999999</v>
      </c>
      <c r="U714">
        <v>61.2</v>
      </c>
      <c r="V714" t="s">
        <v>2644</v>
      </c>
      <c r="W714" s="114" t="str">
        <f t="shared" si="33"/>
        <v>SOV</v>
      </c>
      <c r="X714" s="114" t="str">
        <f t="shared" si="34"/>
        <v>SOV</v>
      </c>
    </row>
    <row r="715" spans="1:24" hidden="1" x14ac:dyDescent="0.25">
      <c r="A715" s="114" t="str">
        <f t="shared" si="35"/>
        <v>7311</v>
      </c>
      <c r="B715" t="s">
        <v>2291</v>
      </c>
      <c r="C715" t="s">
        <v>2292</v>
      </c>
      <c r="D715" t="s">
        <v>2293</v>
      </c>
      <c r="E715" t="s">
        <v>586</v>
      </c>
      <c r="F715" t="s">
        <v>1056</v>
      </c>
      <c r="G715" t="s">
        <v>1605</v>
      </c>
      <c r="H715" t="s">
        <v>1606</v>
      </c>
      <c r="I715" t="s">
        <v>90</v>
      </c>
      <c r="J715" t="s">
        <v>90</v>
      </c>
      <c r="K715">
        <v>75.085351169999996</v>
      </c>
      <c r="L715">
        <v>6.47520308</v>
      </c>
      <c r="M715">
        <v>5.6666942899999997</v>
      </c>
      <c r="N715">
        <v>5.5579062600000002</v>
      </c>
      <c r="O715">
        <v>5.0481302799999996</v>
      </c>
      <c r="P715">
        <v>21.663213441037001</v>
      </c>
      <c r="Q715">
        <v>108.64482975</v>
      </c>
      <c r="R715">
        <v>8.7433295961904918</v>
      </c>
      <c r="S715" t="s">
        <v>30</v>
      </c>
      <c r="T715">
        <v>75.085351169999996</v>
      </c>
      <c r="U715" t="s">
        <v>2819</v>
      </c>
      <c r="V715" t="s">
        <v>1059</v>
      </c>
      <c r="W715" s="114" t="str">
        <f t="shared" si="33"/>
        <v>ETF</v>
      </c>
      <c r="X715" s="114" t="str">
        <f t="shared" si="34"/>
        <v>Otros ETFs</v>
      </c>
    </row>
    <row r="716" spans="1:24" hidden="1" x14ac:dyDescent="0.25">
      <c r="A716" s="114" t="str">
        <f t="shared" si="35"/>
        <v>4004</v>
      </c>
      <c r="B716" t="s">
        <v>2735</v>
      </c>
      <c r="C716" t="s">
        <v>845</v>
      </c>
      <c r="D716" t="s">
        <v>3498</v>
      </c>
      <c r="E716" t="s">
        <v>175</v>
      </c>
      <c r="F716" t="s">
        <v>4812</v>
      </c>
      <c r="G716" t="s">
        <v>1296</v>
      </c>
      <c r="H716" t="s">
        <v>2643</v>
      </c>
      <c r="I716">
        <v>418542042920.18939</v>
      </c>
      <c r="J716">
        <v>95079303.138962001</v>
      </c>
      <c r="K716">
        <v>227.1678669975</v>
      </c>
      <c r="L716"/>
      <c r="M716"/>
      <c r="N716"/>
      <c r="O716"/>
      <c r="P716"/>
      <c r="Q716"/>
      <c r="R716"/>
      <c r="S716"/>
      <c r="T716">
        <v>191.40678779999999</v>
      </c>
      <c r="U716">
        <v>61.2</v>
      </c>
      <c r="V716" t="s">
        <v>2644</v>
      </c>
      <c r="W716" s="114" t="str">
        <f t="shared" si="33"/>
        <v>SOV</v>
      </c>
      <c r="X716" s="114" t="str">
        <f t="shared" si="34"/>
        <v>SOV</v>
      </c>
    </row>
    <row r="717" spans="1:24" hidden="1" x14ac:dyDescent="0.25">
      <c r="A717" s="114" t="str">
        <f t="shared" si="35"/>
        <v>NORT</v>
      </c>
      <c r="B717" t="s">
        <v>2294</v>
      </c>
      <c r="C717" t="s">
        <v>2295</v>
      </c>
      <c r="D717" t="s">
        <v>2296</v>
      </c>
      <c r="E717" t="s">
        <v>586</v>
      </c>
      <c r="F717" t="s">
        <v>1056</v>
      </c>
      <c r="G717" t="s">
        <v>1136</v>
      </c>
      <c r="H717" t="s">
        <v>2148</v>
      </c>
      <c r="I717" t="s">
        <v>90</v>
      </c>
      <c r="J717" t="s">
        <v>90</v>
      </c>
      <c r="K717">
        <v>258.02038206999998</v>
      </c>
      <c r="L717">
        <v>5.8281659100000001</v>
      </c>
      <c r="M717">
        <v>5.0733649999999999</v>
      </c>
      <c r="N717">
        <v>5.2738409099999997</v>
      </c>
      <c r="O717">
        <v>4.7296763899999998</v>
      </c>
      <c r="P717">
        <v>11.29011008957648</v>
      </c>
      <c r="Q717">
        <v>503.24653252000002</v>
      </c>
      <c r="R717">
        <v>10.919371413013041</v>
      </c>
      <c r="S717" t="s">
        <v>30</v>
      </c>
      <c r="T717">
        <v>258.02038206999998</v>
      </c>
      <c r="U717" t="s">
        <v>2819</v>
      </c>
      <c r="V717" t="s">
        <v>1059</v>
      </c>
      <c r="W717" s="114" t="str">
        <f t="shared" si="33"/>
        <v>ETF</v>
      </c>
      <c r="X717" s="114" t="str">
        <f t="shared" si="34"/>
        <v>Otros ETFs</v>
      </c>
    </row>
    <row r="718" spans="1:24" hidden="1" x14ac:dyDescent="0.25">
      <c r="A718" s="114" t="str">
        <f t="shared" si="35"/>
        <v>4004</v>
      </c>
      <c r="B718" t="s">
        <v>2735</v>
      </c>
      <c r="C718" t="s">
        <v>846</v>
      </c>
      <c r="D718" t="s">
        <v>3491</v>
      </c>
      <c r="E718" t="s">
        <v>175</v>
      </c>
      <c r="F718" t="s">
        <v>4812</v>
      </c>
      <c r="G718" t="s">
        <v>1296</v>
      </c>
      <c r="H718" t="s">
        <v>2643</v>
      </c>
      <c r="I718">
        <v>418542042920.18939</v>
      </c>
      <c r="J718">
        <v>95079303.138962001</v>
      </c>
      <c r="K718">
        <v>227.1678669975</v>
      </c>
      <c r="L718"/>
      <c r="M718"/>
      <c r="N718"/>
      <c r="O718"/>
      <c r="P718"/>
      <c r="Q718"/>
      <c r="R718"/>
      <c r="S718"/>
      <c r="T718">
        <v>191.40678779999999</v>
      </c>
      <c r="U718">
        <v>61.2</v>
      </c>
      <c r="V718" t="s">
        <v>2644</v>
      </c>
      <c r="W718" s="114" t="str">
        <f t="shared" si="33"/>
        <v>SOV</v>
      </c>
      <c r="X718" s="114" t="str">
        <f t="shared" si="34"/>
        <v>SOV</v>
      </c>
    </row>
    <row r="719" spans="1:24" hidden="1" x14ac:dyDescent="0.25">
      <c r="A719" s="114" t="str">
        <f t="shared" si="35"/>
        <v>7088</v>
      </c>
      <c r="B719" t="s">
        <v>2297</v>
      </c>
      <c r="C719" t="s">
        <v>2298</v>
      </c>
      <c r="D719" t="s">
        <v>2299</v>
      </c>
      <c r="E719" t="s">
        <v>586</v>
      </c>
      <c r="F719" t="s">
        <v>1056</v>
      </c>
      <c r="G719" t="s">
        <v>1071</v>
      </c>
      <c r="H719" t="s">
        <v>2071</v>
      </c>
      <c r="I719" t="s">
        <v>90</v>
      </c>
      <c r="J719" t="s">
        <v>90</v>
      </c>
      <c r="K719">
        <v>94.130474460000002</v>
      </c>
      <c r="L719">
        <v>5.9262923599999997</v>
      </c>
      <c r="M719">
        <v>5.9767713999999996</v>
      </c>
      <c r="N719">
        <v>5.1266835100000003</v>
      </c>
      <c r="O719">
        <v>5.6842290499999999</v>
      </c>
      <c r="P719">
        <v>16.024532301502369</v>
      </c>
      <c r="Q719">
        <v>238.86691823000001</v>
      </c>
      <c r="R719">
        <v>21.177607994377102</v>
      </c>
      <c r="S719" t="s">
        <v>30</v>
      </c>
      <c r="T719">
        <v>94.130474460000002</v>
      </c>
      <c r="U719" t="s">
        <v>2819</v>
      </c>
      <c r="V719" t="s">
        <v>1059</v>
      </c>
      <c r="W719" s="114" t="str">
        <f t="shared" si="33"/>
        <v>ETF</v>
      </c>
      <c r="X719" s="114" t="str">
        <f t="shared" si="34"/>
        <v>Otros ETFs</v>
      </c>
    </row>
    <row r="720" spans="1:24" hidden="1" x14ac:dyDescent="0.25">
      <c r="A720" s="114" t="str">
        <f t="shared" si="35"/>
        <v>4004</v>
      </c>
      <c r="B720" t="s">
        <v>2735</v>
      </c>
      <c r="C720" t="s">
        <v>2739</v>
      </c>
      <c r="D720" t="s">
        <v>3490</v>
      </c>
      <c r="E720" t="s">
        <v>175</v>
      </c>
      <c r="F720" t="s">
        <v>4812</v>
      </c>
      <c r="G720" t="s">
        <v>1296</v>
      </c>
      <c r="H720" t="s">
        <v>2643</v>
      </c>
      <c r="I720">
        <v>418542042920.18939</v>
      </c>
      <c r="J720">
        <v>95079303.138962001</v>
      </c>
      <c r="K720">
        <v>227.1678669975</v>
      </c>
      <c r="L720"/>
      <c r="M720"/>
      <c r="N720"/>
      <c r="O720"/>
      <c r="P720"/>
      <c r="Q720"/>
      <c r="R720"/>
      <c r="S720"/>
      <c r="T720">
        <v>191.40678779999999</v>
      </c>
      <c r="U720">
        <v>61.2</v>
      </c>
      <c r="V720" t="s">
        <v>2644</v>
      </c>
      <c r="W720" s="114" t="str">
        <f t="shared" si="33"/>
        <v>SOV</v>
      </c>
      <c r="X720" s="114" t="str">
        <f t="shared" si="34"/>
        <v>SOV</v>
      </c>
    </row>
    <row r="721" spans="1:24" hidden="1" x14ac:dyDescent="0.25">
      <c r="A721" s="114" t="str">
        <f t="shared" si="35"/>
        <v>GBMA</v>
      </c>
      <c r="B721" t="s">
        <v>2300</v>
      </c>
      <c r="C721" t="s">
        <v>2301</v>
      </c>
      <c r="D721" t="s">
        <v>2302</v>
      </c>
      <c r="E721" t="s">
        <v>586</v>
      </c>
      <c r="F721" t="s">
        <v>1056</v>
      </c>
      <c r="G721" t="s">
        <v>1131</v>
      </c>
      <c r="H721" t="s">
        <v>6303</v>
      </c>
      <c r="I721" t="s">
        <v>90</v>
      </c>
      <c r="J721" t="s">
        <v>90</v>
      </c>
      <c r="K721">
        <v>27.526238630000002</v>
      </c>
      <c r="L721">
        <v>5.62315685</v>
      </c>
      <c r="M721">
        <v>7.5025110599999998</v>
      </c>
      <c r="N721">
        <v>5.7130037900000001</v>
      </c>
      <c r="O721">
        <v>3.7782156900000001</v>
      </c>
      <c r="P721">
        <v>0</v>
      </c>
      <c r="Q721">
        <v>56.165007209999999</v>
      </c>
      <c r="R721">
        <v>0</v>
      </c>
      <c r="S721" t="s">
        <v>1063</v>
      </c>
      <c r="T721">
        <v>27.526238630000002</v>
      </c>
      <c r="U721" t="s">
        <v>2819</v>
      </c>
      <c r="V721" t="s">
        <v>1059</v>
      </c>
      <c r="W721" s="114" t="str">
        <f t="shared" si="33"/>
        <v>ETF</v>
      </c>
      <c r="X721" s="114" t="str">
        <f t="shared" si="34"/>
        <v>Otros ETFs</v>
      </c>
    </row>
    <row r="722" spans="1:24" hidden="1" x14ac:dyDescent="0.25">
      <c r="A722" s="114" t="str">
        <f t="shared" si="35"/>
        <v>4004</v>
      </c>
      <c r="B722" t="s">
        <v>2735</v>
      </c>
      <c r="C722" t="s">
        <v>2740</v>
      </c>
      <c r="D722" t="s">
        <v>3492</v>
      </c>
      <c r="E722" t="s">
        <v>175</v>
      </c>
      <c r="F722" t="s">
        <v>4812</v>
      </c>
      <c r="G722" t="s">
        <v>1296</v>
      </c>
      <c r="H722" t="s">
        <v>2643</v>
      </c>
      <c r="I722">
        <v>418542042920.18939</v>
      </c>
      <c r="J722">
        <v>95079303.138962001</v>
      </c>
      <c r="K722">
        <v>227.1678669975</v>
      </c>
      <c r="L722"/>
      <c r="M722"/>
      <c r="N722"/>
      <c r="O722"/>
      <c r="P722"/>
      <c r="Q722"/>
      <c r="R722"/>
      <c r="S722"/>
      <c r="T722">
        <v>191.40678779999999</v>
      </c>
      <c r="U722">
        <v>61.2</v>
      </c>
      <c r="V722" t="s">
        <v>2644</v>
      </c>
      <c r="W722" s="114" t="str">
        <f t="shared" si="33"/>
        <v>SOV</v>
      </c>
      <c r="X722" s="114" t="str">
        <f t="shared" si="34"/>
        <v>SOV</v>
      </c>
    </row>
    <row r="723" spans="1:24" hidden="1" x14ac:dyDescent="0.25">
      <c r="A723" s="114" t="str">
        <f t="shared" si="35"/>
        <v>NORT</v>
      </c>
      <c r="B723" t="s">
        <v>2304</v>
      </c>
      <c r="C723" t="s">
        <v>2305</v>
      </c>
      <c r="D723" t="s">
        <v>2306</v>
      </c>
      <c r="E723" t="s">
        <v>586</v>
      </c>
      <c r="F723" t="s">
        <v>1056</v>
      </c>
      <c r="G723" t="s">
        <v>1509</v>
      </c>
      <c r="H723" t="s">
        <v>2188</v>
      </c>
      <c r="I723" t="s">
        <v>90</v>
      </c>
      <c r="J723" t="s">
        <v>90</v>
      </c>
      <c r="K723">
        <v>1029.64647874</v>
      </c>
      <c r="L723">
        <v>5.9331650500000004</v>
      </c>
      <c r="M723">
        <v>5.17522751</v>
      </c>
      <c r="N723">
        <v>5.9136950099999996</v>
      </c>
      <c r="O723">
        <v>3.8829692200000001</v>
      </c>
      <c r="P723">
        <v>0</v>
      </c>
      <c r="Q723">
        <v>1230.1983439600001</v>
      </c>
      <c r="R723">
        <v>6.3585721359872389</v>
      </c>
      <c r="S723" t="s">
        <v>30</v>
      </c>
      <c r="T723">
        <v>1029.64647874</v>
      </c>
      <c r="U723" t="s">
        <v>2819</v>
      </c>
      <c r="V723" t="s">
        <v>1059</v>
      </c>
      <c r="W723" s="114" t="str">
        <f t="shared" si="33"/>
        <v>ETF</v>
      </c>
      <c r="X723" s="114" t="str">
        <f t="shared" si="34"/>
        <v>Otros ETFs</v>
      </c>
    </row>
    <row r="724" spans="1:24" hidden="1" x14ac:dyDescent="0.25">
      <c r="A724" s="114" t="str">
        <f t="shared" si="35"/>
        <v>4004</v>
      </c>
      <c r="B724" t="s">
        <v>2735</v>
      </c>
      <c r="C724" t="s">
        <v>2741</v>
      </c>
      <c r="D724" t="s">
        <v>3489</v>
      </c>
      <c r="E724" t="s">
        <v>175</v>
      </c>
      <c r="F724" t="s">
        <v>4812</v>
      </c>
      <c r="G724" t="s">
        <v>1296</v>
      </c>
      <c r="H724" t="s">
        <v>2643</v>
      </c>
      <c r="I724">
        <v>418542042920.18939</v>
      </c>
      <c r="J724">
        <v>95079303.138962001</v>
      </c>
      <c r="K724">
        <v>227.1678669975</v>
      </c>
      <c r="L724"/>
      <c r="M724"/>
      <c r="N724"/>
      <c r="O724"/>
      <c r="P724"/>
      <c r="Q724"/>
      <c r="R724"/>
      <c r="S724"/>
      <c r="T724">
        <v>191.40678779999999</v>
      </c>
      <c r="U724">
        <v>61.2</v>
      </c>
      <c r="V724" t="s">
        <v>2644</v>
      </c>
      <c r="W724" s="114" t="str">
        <f t="shared" si="33"/>
        <v>SOV</v>
      </c>
      <c r="X724" s="114" t="str">
        <f t="shared" si="34"/>
        <v>SOV</v>
      </c>
    </row>
    <row r="725" spans="1:24" hidden="1" x14ac:dyDescent="0.25">
      <c r="A725" s="114" t="str">
        <f t="shared" si="35"/>
        <v>7414</v>
      </c>
      <c r="B725" t="s">
        <v>2307</v>
      </c>
      <c r="C725" t="s">
        <v>2308</v>
      </c>
      <c r="D725" t="s">
        <v>2309</v>
      </c>
      <c r="E725" t="s">
        <v>586</v>
      </c>
      <c r="F725" t="s">
        <v>1056</v>
      </c>
      <c r="G725" t="s">
        <v>1136</v>
      </c>
      <c r="H725" t="s">
        <v>1494</v>
      </c>
      <c r="I725" t="s">
        <v>90</v>
      </c>
      <c r="J725" t="s">
        <v>90</v>
      </c>
      <c r="K725">
        <v>6.8337880000000004E-2</v>
      </c>
      <c r="L725">
        <v>4.3865823400000004</v>
      </c>
      <c r="M725">
        <v>5.0860525499999998</v>
      </c>
      <c r="N725">
        <v>5.9229198199999997</v>
      </c>
      <c r="O725">
        <v>5.4889811100000001</v>
      </c>
      <c r="P725">
        <v>0</v>
      </c>
      <c r="Q725">
        <v>1.4353369</v>
      </c>
      <c r="R725">
        <v>0</v>
      </c>
      <c r="S725" t="s">
        <v>1063</v>
      </c>
      <c r="T725">
        <v>6.8337880000000004E-2</v>
      </c>
      <c r="U725" t="s">
        <v>2819</v>
      </c>
      <c r="V725" t="s">
        <v>1059</v>
      </c>
      <c r="W725" s="114" t="str">
        <f t="shared" si="33"/>
        <v>ETF</v>
      </c>
      <c r="X725" s="114" t="str">
        <f t="shared" si="34"/>
        <v>Otros ETFs</v>
      </c>
    </row>
    <row r="726" spans="1:24" hidden="1" x14ac:dyDescent="0.25">
      <c r="A726" s="114" t="str">
        <f t="shared" si="35"/>
        <v>4004</v>
      </c>
      <c r="B726" t="s">
        <v>2735</v>
      </c>
      <c r="C726" t="s">
        <v>5247</v>
      </c>
      <c r="D726" t="s">
        <v>5248</v>
      </c>
      <c r="E726" t="s">
        <v>175</v>
      </c>
      <c r="F726" t="s">
        <v>4812</v>
      </c>
      <c r="G726" t="s">
        <v>1296</v>
      </c>
      <c r="H726" t="s">
        <v>2643</v>
      </c>
      <c r="I726">
        <v>418542042920.18939</v>
      </c>
      <c r="J726">
        <v>95079303.138962001</v>
      </c>
      <c r="K726">
        <v>227.1678669975</v>
      </c>
      <c r="L726"/>
      <c r="M726"/>
      <c r="N726"/>
      <c r="O726"/>
      <c r="P726"/>
      <c r="Q726"/>
      <c r="R726"/>
      <c r="S726"/>
      <c r="T726">
        <v>191.40678779999999</v>
      </c>
      <c r="U726">
        <v>61.2</v>
      </c>
      <c r="V726" t="s">
        <v>2644</v>
      </c>
      <c r="W726" s="114" t="str">
        <f t="shared" si="33"/>
        <v>SOV</v>
      </c>
      <c r="X726" s="114" t="str">
        <f t="shared" si="34"/>
        <v>SOV</v>
      </c>
    </row>
    <row r="727" spans="1:24" hidden="1" x14ac:dyDescent="0.25">
      <c r="A727" s="114" t="str">
        <f t="shared" si="35"/>
        <v>7388</v>
      </c>
      <c r="B727" t="s">
        <v>2310</v>
      </c>
      <c r="C727" t="s">
        <v>2311</v>
      </c>
      <c r="D727" t="s">
        <v>2312</v>
      </c>
      <c r="E727" t="s">
        <v>586</v>
      </c>
      <c r="F727" t="s">
        <v>1056</v>
      </c>
      <c r="G727" t="s">
        <v>1766</v>
      </c>
      <c r="H727" t="s">
        <v>1266</v>
      </c>
      <c r="I727" t="s">
        <v>90</v>
      </c>
      <c r="J727" t="s">
        <v>90</v>
      </c>
      <c r="K727">
        <v>34.15337564</v>
      </c>
      <c r="L727">
        <v>6.6797783800000001</v>
      </c>
      <c r="M727">
        <v>5.8812073900000001</v>
      </c>
      <c r="N727">
        <v>5.7482157200000001</v>
      </c>
      <c r="O727">
        <v>5.1854674300000001</v>
      </c>
      <c r="P727">
        <v>27.6678</v>
      </c>
      <c r="Q727">
        <v>96.531781129999999</v>
      </c>
      <c r="R727">
        <v>5.4196</v>
      </c>
      <c r="S727" t="s">
        <v>30</v>
      </c>
      <c r="T727">
        <v>34.15337564</v>
      </c>
      <c r="U727" t="s">
        <v>2819</v>
      </c>
      <c r="V727" t="s">
        <v>1059</v>
      </c>
      <c r="W727" s="114" t="str">
        <f t="shared" si="33"/>
        <v>ETF</v>
      </c>
      <c r="X727" s="114" t="str">
        <f t="shared" si="34"/>
        <v>Otros ETFs</v>
      </c>
    </row>
    <row r="728" spans="1:24" hidden="1" x14ac:dyDescent="0.25">
      <c r="A728" s="114" t="str">
        <f t="shared" si="35"/>
        <v>4004</v>
      </c>
      <c r="B728" t="s">
        <v>2735</v>
      </c>
      <c r="C728" t="s">
        <v>2742</v>
      </c>
      <c r="D728" t="s">
        <v>3487</v>
      </c>
      <c r="E728" t="s">
        <v>175</v>
      </c>
      <c r="F728" t="s">
        <v>4812</v>
      </c>
      <c r="G728" t="s">
        <v>1296</v>
      </c>
      <c r="H728" t="s">
        <v>2643</v>
      </c>
      <c r="I728">
        <v>418542042920.18939</v>
      </c>
      <c r="J728">
        <v>95079303.138962001</v>
      </c>
      <c r="K728">
        <v>227.1678669975</v>
      </c>
      <c r="L728"/>
      <c r="M728"/>
      <c r="N728"/>
      <c r="O728"/>
      <c r="P728"/>
      <c r="Q728"/>
      <c r="R728"/>
      <c r="S728"/>
      <c r="T728">
        <v>191.40678779999999</v>
      </c>
      <c r="U728">
        <v>61.2</v>
      </c>
      <c r="V728" t="s">
        <v>2644</v>
      </c>
      <c r="W728" s="114" t="str">
        <f t="shared" si="33"/>
        <v>SOV</v>
      </c>
      <c r="X728" s="114" t="str">
        <f t="shared" si="34"/>
        <v>SOV</v>
      </c>
    </row>
    <row r="729" spans="1:24" hidden="1" x14ac:dyDescent="0.25">
      <c r="A729" s="114" t="str">
        <f t="shared" si="35"/>
        <v>4004</v>
      </c>
      <c r="B729" t="s">
        <v>2735</v>
      </c>
      <c r="C729" t="s">
        <v>882</v>
      </c>
      <c r="D729" t="s">
        <v>881</v>
      </c>
      <c r="E729" t="s">
        <v>175</v>
      </c>
      <c r="F729" t="s">
        <v>4812</v>
      </c>
      <c r="G729" t="s">
        <v>1296</v>
      </c>
      <c r="H729" t="s">
        <v>2643</v>
      </c>
      <c r="I729">
        <v>418542042920.18939</v>
      </c>
      <c r="J729">
        <v>95079303.138962001</v>
      </c>
      <c r="K729">
        <v>227.1678669975</v>
      </c>
      <c r="L729"/>
      <c r="M729"/>
      <c r="N729"/>
      <c r="O729"/>
      <c r="P729"/>
      <c r="Q729"/>
      <c r="R729"/>
      <c r="S729"/>
      <c r="T729">
        <v>191.40678779999999</v>
      </c>
      <c r="U729">
        <v>61.2</v>
      </c>
      <c r="V729" t="s">
        <v>2644</v>
      </c>
      <c r="W729" s="114" t="str">
        <f t="shared" si="33"/>
        <v>SOV</v>
      </c>
      <c r="X729" s="114" t="str">
        <f t="shared" si="34"/>
        <v>SOV</v>
      </c>
    </row>
    <row r="730" spans="1:24" hidden="1" x14ac:dyDescent="0.25">
      <c r="A730" s="114" t="str">
        <f t="shared" si="35"/>
        <v>GAML</v>
      </c>
      <c r="B730" t="s">
        <v>2314</v>
      </c>
      <c r="C730" t="s">
        <v>2315</v>
      </c>
      <c r="D730" t="s">
        <v>2316</v>
      </c>
      <c r="E730" t="s">
        <v>586</v>
      </c>
      <c r="F730" t="s">
        <v>1056</v>
      </c>
      <c r="G730" t="s">
        <v>1071</v>
      </c>
      <c r="H730" t="s">
        <v>2317</v>
      </c>
      <c r="I730" t="s">
        <v>90</v>
      </c>
      <c r="J730" t="s">
        <v>90</v>
      </c>
      <c r="K730">
        <v>0.39514375000000002</v>
      </c>
      <c r="L730">
        <v>8.3873501000000008</v>
      </c>
      <c r="M730">
        <v>8.4548915200000003</v>
      </c>
      <c r="N730">
        <v>5.2866895400000002</v>
      </c>
      <c r="O730">
        <v>6.5412675299999998</v>
      </c>
      <c r="P730">
        <v>20.689696394913749</v>
      </c>
      <c r="Q730">
        <v>1.5876179800000001</v>
      </c>
      <c r="R730">
        <v>65.379396774669161</v>
      </c>
      <c r="S730" t="s">
        <v>1073</v>
      </c>
      <c r="T730">
        <v>0.39514375000000002</v>
      </c>
      <c r="U730" t="s">
        <v>2819</v>
      </c>
      <c r="V730" t="s">
        <v>1059</v>
      </c>
      <c r="W730" s="114" t="str">
        <f t="shared" si="33"/>
        <v>ETF</v>
      </c>
      <c r="X730" s="114" t="str">
        <f t="shared" si="34"/>
        <v>Otros ETFs</v>
      </c>
    </row>
    <row r="731" spans="1:24" hidden="1" x14ac:dyDescent="0.25">
      <c r="A731" s="114" t="str">
        <f t="shared" si="35"/>
        <v>4004</v>
      </c>
      <c r="B731" t="s">
        <v>2735</v>
      </c>
      <c r="C731" t="s">
        <v>888</v>
      </c>
      <c r="D731" t="s">
        <v>887</v>
      </c>
      <c r="E731" t="s">
        <v>175</v>
      </c>
      <c r="F731" t="s">
        <v>4812</v>
      </c>
      <c r="G731" t="s">
        <v>1296</v>
      </c>
      <c r="H731" t="s">
        <v>2643</v>
      </c>
      <c r="I731">
        <v>418542042920.18939</v>
      </c>
      <c r="J731">
        <v>95079303.138962001</v>
      </c>
      <c r="K731">
        <v>227.1678669975</v>
      </c>
      <c r="L731"/>
      <c r="M731"/>
      <c r="N731"/>
      <c r="O731"/>
      <c r="P731"/>
      <c r="Q731"/>
      <c r="R731"/>
      <c r="S731"/>
      <c r="T731">
        <v>191.40678779999999</v>
      </c>
      <c r="U731">
        <v>61.2</v>
      </c>
      <c r="V731" t="s">
        <v>2644</v>
      </c>
      <c r="W731" s="114" t="str">
        <f t="shared" si="33"/>
        <v>SOV</v>
      </c>
      <c r="X731" s="114" t="str">
        <f t="shared" si="34"/>
        <v>SOV</v>
      </c>
    </row>
    <row r="732" spans="1:24" hidden="1" x14ac:dyDescent="0.25">
      <c r="A732" s="114" t="str">
        <f t="shared" si="35"/>
        <v>7025</v>
      </c>
      <c r="B732" t="s">
        <v>5094</v>
      </c>
      <c r="C732" t="s">
        <v>2318</v>
      </c>
      <c r="D732" t="s">
        <v>2319</v>
      </c>
      <c r="E732" t="s">
        <v>586</v>
      </c>
      <c r="F732" t="s">
        <v>1056</v>
      </c>
      <c r="G732" t="s">
        <v>1375</v>
      </c>
      <c r="H732" t="s">
        <v>1376</v>
      </c>
      <c r="I732" t="s">
        <v>90</v>
      </c>
      <c r="J732" t="s">
        <v>90</v>
      </c>
      <c r="K732">
        <v>25.40421907</v>
      </c>
      <c r="L732">
        <v>7.5979184699999998</v>
      </c>
      <c r="M732">
        <v>5.8313251599999996</v>
      </c>
      <c r="N732">
        <v>5.4596522399999996</v>
      </c>
      <c r="O732">
        <v>6.3467181200000002</v>
      </c>
      <c r="P732">
        <v>5.1405897188205634</v>
      </c>
      <c r="Q732">
        <v>38.582105890000001</v>
      </c>
      <c r="R732">
        <v>35.84682830634339</v>
      </c>
      <c r="S732" t="s">
        <v>1073</v>
      </c>
      <c r="T732">
        <v>25.40421907</v>
      </c>
      <c r="U732" t="s">
        <v>2819</v>
      </c>
      <c r="V732" t="s">
        <v>1059</v>
      </c>
      <c r="W732" s="114" t="str">
        <f t="shared" si="33"/>
        <v>ETF</v>
      </c>
      <c r="X732" s="114" t="str">
        <f t="shared" si="34"/>
        <v>Otros ETFs</v>
      </c>
    </row>
    <row r="733" spans="1:24" hidden="1" x14ac:dyDescent="0.25">
      <c r="A733" s="114" t="str">
        <f t="shared" si="35"/>
        <v>4004</v>
      </c>
      <c r="B733" t="s">
        <v>2735</v>
      </c>
      <c r="C733" t="s">
        <v>5435</v>
      </c>
      <c r="D733" t="s">
        <v>5436</v>
      </c>
      <c r="E733" t="s">
        <v>175</v>
      </c>
      <c r="F733" t="s">
        <v>4812</v>
      </c>
      <c r="G733" t="s">
        <v>1296</v>
      </c>
      <c r="H733" t="s">
        <v>2643</v>
      </c>
      <c r="I733">
        <v>418542042920.18939</v>
      </c>
      <c r="J733">
        <v>95079303.138962001</v>
      </c>
      <c r="K733">
        <v>227.1678669975</v>
      </c>
      <c r="L733"/>
      <c r="M733"/>
      <c r="N733"/>
      <c r="O733"/>
      <c r="P733"/>
      <c r="Q733"/>
      <c r="R733"/>
      <c r="S733"/>
      <c r="T733">
        <v>191.40678779999999</v>
      </c>
      <c r="U733">
        <v>61.2</v>
      </c>
      <c r="V733" t="s">
        <v>2644</v>
      </c>
      <c r="W733" s="114" t="str">
        <f t="shared" si="33"/>
        <v>SOV</v>
      </c>
      <c r="X733" s="114" t="str">
        <f t="shared" si="34"/>
        <v>SOV</v>
      </c>
    </row>
    <row r="734" spans="1:24" hidden="1" x14ac:dyDescent="0.25">
      <c r="A734" s="114" t="str">
        <f t="shared" si="35"/>
        <v>7088</v>
      </c>
      <c r="B734" t="s">
        <v>2320</v>
      </c>
      <c r="C734" t="s">
        <v>2321</v>
      </c>
      <c r="D734" t="s">
        <v>2322</v>
      </c>
      <c r="E734" t="s">
        <v>586</v>
      </c>
      <c r="F734" t="s">
        <v>1056</v>
      </c>
      <c r="G734" t="s">
        <v>1766</v>
      </c>
      <c r="H734" t="s">
        <v>1266</v>
      </c>
      <c r="I734" t="s">
        <v>90</v>
      </c>
      <c r="J734" t="s">
        <v>90</v>
      </c>
      <c r="K734">
        <v>29.701752880000001</v>
      </c>
      <c r="L734">
        <v>6.7945153200000004</v>
      </c>
      <c r="M734">
        <v>6.0271728199999997</v>
      </c>
      <c r="N734">
        <v>5.4677661899999999</v>
      </c>
      <c r="O734">
        <v>5.3492920100000001</v>
      </c>
      <c r="P734">
        <v>20.482199999999999</v>
      </c>
      <c r="Q734">
        <v>90.890871309999994</v>
      </c>
      <c r="R734">
        <v>16.4358</v>
      </c>
      <c r="S734" t="s">
        <v>30</v>
      </c>
      <c r="T734">
        <v>29.701752880000001</v>
      </c>
      <c r="U734" t="s">
        <v>2819</v>
      </c>
      <c r="V734" t="s">
        <v>1059</v>
      </c>
      <c r="W734" s="114" t="str">
        <f t="shared" si="33"/>
        <v>ETF</v>
      </c>
      <c r="X734" s="114" t="str">
        <f t="shared" si="34"/>
        <v>Otros ETFs</v>
      </c>
    </row>
    <row r="735" spans="1:24" hidden="1" x14ac:dyDescent="0.25">
      <c r="A735" s="114" t="str">
        <f t="shared" si="35"/>
        <v>4004</v>
      </c>
      <c r="B735" t="s">
        <v>2735</v>
      </c>
      <c r="C735" t="s">
        <v>6304</v>
      </c>
      <c r="D735" t="s">
        <v>6305</v>
      </c>
      <c r="E735" t="s">
        <v>175</v>
      </c>
      <c r="F735" t="s">
        <v>4812</v>
      </c>
      <c r="G735" t="s">
        <v>1296</v>
      </c>
      <c r="H735" t="s">
        <v>2643</v>
      </c>
      <c r="I735">
        <v>418542042920.18939</v>
      </c>
      <c r="J735">
        <v>95079303.138962001</v>
      </c>
      <c r="K735">
        <v>227.1678669975</v>
      </c>
      <c r="L735"/>
      <c r="M735"/>
      <c r="N735"/>
      <c r="O735"/>
      <c r="P735"/>
      <c r="Q735"/>
      <c r="R735"/>
      <c r="S735"/>
      <c r="T735">
        <v>191.40678779999999</v>
      </c>
      <c r="U735">
        <v>61.2</v>
      </c>
      <c r="V735" t="s">
        <v>2644</v>
      </c>
      <c r="W735" s="114" t="str">
        <f t="shared" si="33"/>
        <v>SOV</v>
      </c>
      <c r="X735" s="114" t="str">
        <f t="shared" si="34"/>
        <v>SOV</v>
      </c>
    </row>
    <row r="736" spans="1:24" hidden="1" x14ac:dyDescent="0.25">
      <c r="A736" s="114" t="str">
        <f t="shared" si="35"/>
        <v>7453</v>
      </c>
      <c r="B736" t="s">
        <v>2323</v>
      </c>
      <c r="C736" t="s">
        <v>2324</v>
      </c>
      <c r="D736" t="s">
        <v>2325</v>
      </c>
      <c r="E736" t="s">
        <v>586</v>
      </c>
      <c r="F736" t="s">
        <v>1056</v>
      </c>
      <c r="G736" t="s">
        <v>1375</v>
      </c>
      <c r="H736" t="s">
        <v>1376</v>
      </c>
      <c r="I736" t="s">
        <v>90</v>
      </c>
      <c r="J736" t="s">
        <v>90</v>
      </c>
      <c r="K736">
        <v>14.249600620000001</v>
      </c>
      <c r="L736">
        <v>6.76245048</v>
      </c>
      <c r="M736">
        <v>5.4898391000000002</v>
      </c>
      <c r="N736">
        <v>5.38705195</v>
      </c>
      <c r="O736">
        <v>5.9851013899999996</v>
      </c>
      <c r="P736">
        <v>0</v>
      </c>
      <c r="Q736">
        <v>38.32422716</v>
      </c>
      <c r="R736">
        <v>28.0062</v>
      </c>
      <c r="S736" t="s">
        <v>30</v>
      </c>
      <c r="T736">
        <v>14.249600620000001</v>
      </c>
      <c r="U736" t="s">
        <v>2819</v>
      </c>
      <c r="V736" t="s">
        <v>1059</v>
      </c>
      <c r="W736" s="114" t="str">
        <f t="shared" si="33"/>
        <v>ETF</v>
      </c>
      <c r="X736" s="114" t="str">
        <f t="shared" si="34"/>
        <v>Otros ETFs</v>
      </c>
    </row>
    <row r="737" spans="1:24" hidden="1" x14ac:dyDescent="0.25">
      <c r="A737" s="114" t="str">
        <f t="shared" si="35"/>
        <v>7481</v>
      </c>
      <c r="B737" t="s">
        <v>2326</v>
      </c>
      <c r="C737" t="s">
        <v>2327</v>
      </c>
      <c r="D737" t="s">
        <v>6306</v>
      </c>
      <c r="E737" t="s">
        <v>586</v>
      </c>
      <c r="F737" t="s">
        <v>1056</v>
      </c>
      <c r="G737" t="s">
        <v>1136</v>
      </c>
      <c r="H737" t="s">
        <v>1437</v>
      </c>
      <c r="I737" t="s">
        <v>90</v>
      </c>
      <c r="J737" t="s">
        <v>90</v>
      </c>
      <c r="K737">
        <v>318.86266596000002</v>
      </c>
      <c r="L737">
        <v>3.6462070600000001</v>
      </c>
      <c r="M737">
        <v>4.9658580900000002</v>
      </c>
      <c r="N737">
        <v>5.3591555700000004</v>
      </c>
      <c r="O737">
        <v>4.9636447400000003</v>
      </c>
      <c r="P737">
        <v>4.5351440695847884</v>
      </c>
      <c r="Q737">
        <v>414.07022843999999</v>
      </c>
      <c r="R737">
        <v>0</v>
      </c>
      <c r="S737" t="s">
        <v>1138</v>
      </c>
      <c r="T737">
        <v>318.86266596000002</v>
      </c>
      <c r="U737" t="s">
        <v>2819</v>
      </c>
      <c r="V737" t="s">
        <v>1059</v>
      </c>
      <c r="W737" s="114" t="str">
        <f t="shared" si="33"/>
        <v>ETF</v>
      </c>
      <c r="X737" s="114" t="str">
        <f t="shared" si="34"/>
        <v>Otros ETFs</v>
      </c>
    </row>
    <row r="738" spans="1:24" hidden="1" x14ac:dyDescent="0.25">
      <c r="A738" s="114" t="str">
        <f t="shared" si="35"/>
        <v>4004</v>
      </c>
      <c r="B738" t="s">
        <v>2735</v>
      </c>
      <c r="C738" t="s">
        <v>6307</v>
      </c>
      <c r="D738" t="s">
        <v>6308</v>
      </c>
      <c r="E738" t="s">
        <v>175</v>
      </c>
      <c r="F738" t="s">
        <v>4812</v>
      </c>
      <c r="G738" t="s">
        <v>1296</v>
      </c>
      <c r="H738" t="s">
        <v>2643</v>
      </c>
      <c r="I738">
        <v>418542042920.18939</v>
      </c>
      <c r="J738">
        <v>95079303.138962001</v>
      </c>
      <c r="K738">
        <v>227.1678669975</v>
      </c>
      <c r="L738"/>
      <c r="M738"/>
      <c r="N738"/>
      <c r="O738"/>
      <c r="P738"/>
      <c r="Q738"/>
      <c r="R738"/>
      <c r="S738"/>
      <c r="T738">
        <v>191.40678779999999</v>
      </c>
      <c r="U738">
        <v>61.2</v>
      </c>
      <c r="V738" t="s">
        <v>2644</v>
      </c>
      <c r="W738" s="114" t="str">
        <f t="shared" si="33"/>
        <v>SOV</v>
      </c>
      <c r="X738" s="114" t="str">
        <f t="shared" si="34"/>
        <v>SOV</v>
      </c>
    </row>
    <row r="739" spans="1:24" hidden="1" x14ac:dyDescent="0.25">
      <c r="A739" s="114" t="str">
        <f t="shared" si="35"/>
        <v>NORT</v>
      </c>
      <c r="B739" t="s">
        <v>2326</v>
      </c>
      <c r="C739" t="s">
        <v>2327</v>
      </c>
      <c r="D739" t="s">
        <v>2328</v>
      </c>
      <c r="E739" t="s">
        <v>586</v>
      </c>
      <c r="F739" t="s">
        <v>1056</v>
      </c>
      <c r="G739" t="s">
        <v>1136</v>
      </c>
      <c r="H739" t="s">
        <v>1437</v>
      </c>
      <c r="I739" t="s">
        <v>90</v>
      </c>
      <c r="J739" t="s">
        <v>90</v>
      </c>
      <c r="K739">
        <v>318.86266596000002</v>
      </c>
      <c r="L739">
        <v>3.6462070600000001</v>
      </c>
      <c r="M739">
        <v>4.9658580900000002</v>
      </c>
      <c r="N739">
        <v>5.3591555700000004</v>
      </c>
      <c r="O739">
        <v>4.9636447400000003</v>
      </c>
      <c r="P739">
        <v>4.5351440695847884</v>
      </c>
      <c r="Q739">
        <v>414.07022843999999</v>
      </c>
      <c r="R739">
        <v>0</v>
      </c>
      <c r="S739" t="s">
        <v>1138</v>
      </c>
      <c r="T739">
        <v>318.86266596000002</v>
      </c>
      <c r="U739" t="s">
        <v>2819</v>
      </c>
      <c r="V739" t="s">
        <v>1059</v>
      </c>
      <c r="W739" s="114" t="str">
        <f t="shared" si="33"/>
        <v>ETF</v>
      </c>
      <c r="X739" s="114" t="str">
        <f t="shared" si="34"/>
        <v>Otros ETFs</v>
      </c>
    </row>
    <row r="740" spans="1:24" hidden="1" x14ac:dyDescent="0.25">
      <c r="A740" s="114" t="str">
        <f t="shared" si="35"/>
        <v>4004</v>
      </c>
      <c r="B740" t="s">
        <v>2735</v>
      </c>
      <c r="C740" t="s">
        <v>6309</v>
      </c>
      <c r="D740" t="s">
        <v>6310</v>
      </c>
      <c r="E740" t="s">
        <v>175</v>
      </c>
      <c r="F740" t="s">
        <v>4812</v>
      </c>
      <c r="G740" t="s">
        <v>1296</v>
      </c>
      <c r="H740" t="s">
        <v>2643</v>
      </c>
      <c r="I740">
        <v>418542042920.18939</v>
      </c>
      <c r="J740">
        <v>95079303.138962001</v>
      </c>
      <c r="K740">
        <v>227.1678669975</v>
      </c>
      <c r="L740"/>
      <c r="M740"/>
      <c r="N740"/>
      <c r="O740"/>
      <c r="P740"/>
      <c r="Q740"/>
      <c r="R740"/>
      <c r="S740"/>
      <c r="T740">
        <v>191.40678779999999</v>
      </c>
      <c r="U740">
        <v>61.2</v>
      </c>
      <c r="V740" t="s">
        <v>2644</v>
      </c>
      <c r="W740" s="114" t="str">
        <f t="shared" si="33"/>
        <v>SOV</v>
      </c>
      <c r="X740" s="114" t="str">
        <f t="shared" si="34"/>
        <v>SOV</v>
      </c>
    </row>
    <row r="741" spans="1:24" hidden="1" x14ac:dyDescent="0.25">
      <c r="A741" s="114" t="str">
        <f t="shared" si="35"/>
        <v>7088</v>
      </c>
      <c r="B741" t="s">
        <v>2329</v>
      </c>
      <c r="C741" t="s">
        <v>2330</v>
      </c>
      <c r="D741" t="s">
        <v>2331</v>
      </c>
      <c r="E741" t="s">
        <v>586</v>
      </c>
      <c r="F741" t="s">
        <v>1056</v>
      </c>
      <c r="G741" t="s">
        <v>1136</v>
      </c>
      <c r="H741" t="s">
        <v>1437</v>
      </c>
      <c r="I741" t="s">
        <v>90</v>
      </c>
      <c r="J741" t="s">
        <v>90</v>
      </c>
      <c r="K741">
        <v>279.88610122</v>
      </c>
      <c r="L741">
        <v>3.6847218599999998</v>
      </c>
      <c r="M741">
        <v>4.91327845</v>
      </c>
      <c r="N741">
        <v>5.16289716</v>
      </c>
      <c r="O741">
        <v>4.9048657599999999</v>
      </c>
      <c r="P741">
        <v>7.0190882570006998</v>
      </c>
      <c r="Q741">
        <v>404.68655189999998</v>
      </c>
      <c r="R741">
        <v>2.1521834284933439</v>
      </c>
      <c r="S741" t="s">
        <v>1138</v>
      </c>
      <c r="T741">
        <v>279.88610122</v>
      </c>
      <c r="U741" t="s">
        <v>2819</v>
      </c>
      <c r="V741" t="s">
        <v>1059</v>
      </c>
      <c r="W741" s="114" t="str">
        <f t="shared" si="33"/>
        <v>ETF</v>
      </c>
      <c r="X741" s="114" t="str">
        <f t="shared" si="34"/>
        <v>Otros ETFs</v>
      </c>
    </row>
    <row r="742" spans="1:24" hidden="1" x14ac:dyDescent="0.25">
      <c r="A742" s="114" t="str">
        <f t="shared" si="35"/>
        <v>4004</v>
      </c>
      <c r="B742" t="s">
        <v>2735</v>
      </c>
      <c r="C742" t="s">
        <v>2743</v>
      </c>
      <c r="D742" t="s">
        <v>3146</v>
      </c>
      <c r="E742" t="s">
        <v>175</v>
      </c>
      <c r="F742" t="s">
        <v>4812</v>
      </c>
      <c r="G742" t="s">
        <v>1296</v>
      </c>
      <c r="H742" t="s">
        <v>2643</v>
      </c>
      <c r="I742">
        <v>418542042920.18939</v>
      </c>
      <c r="J742">
        <v>95079303.138962001</v>
      </c>
      <c r="K742">
        <v>227.1678669975</v>
      </c>
      <c r="L742"/>
      <c r="M742"/>
      <c r="N742"/>
      <c r="O742"/>
      <c r="P742"/>
      <c r="Q742"/>
      <c r="R742"/>
      <c r="S742"/>
      <c r="T742">
        <v>191.40678779999999</v>
      </c>
      <c r="U742">
        <v>61.2</v>
      </c>
      <c r="V742" t="s">
        <v>2644</v>
      </c>
      <c r="W742" s="114" t="str">
        <f t="shared" si="33"/>
        <v>SOV</v>
      </c>
      <c r="X742" s="114" t="str">
        <f t="shared" si="34"/>
        <v>SOV</v>
      </c>
    </row>
    <row r="743" spans="1:24" hidden="1" x14ac:dyDescent="0.25">
      <c r="A743" s="114" t="str">
        <f t="shared" si="35"/>
        <v>4004</v>
      </c>
      <c r="B743" t="s">
        <v>2735</v>
      </c>
      <c r="C743" t="s">
        <v>2744</v>
      </c>
      <c r="D743" t="s">
        <v>3148</v>
      </c>
      <c r="E743" t="s">
        <v>175</v>
      </c>
      <c r="F743" t="s">
        <v>4812</v>
      </c>
      <c r="G743" t="s">
        <v>1296</v>
      </c>
      <c r="H743" t="s">
        <v>2643</v>
      </c>
      <c r="I743">
        <v>418542042920.18939</v>
      </c>
      <c r="J743">
        <v>95079303.138962001</v>
      </c>
      <c r="K743">
        <v>227.1678669975</v>
      </c>
      <c r="L743"/>
      <c r="M743"/>
      <c r="N743"/>
      <c r="O743"/>
      <c r="P743"/>
      <c r="Q743"/>
      <c r="R743"/>
      <c r="S743"/>
      <c r="T743">
        <v>191.40678779999999</v>
      </c>
      <c r="U743">
        <v>61.2</v>
      </c>
      <c r="V743" t="s">
        <v>2644</v>
      </c>
      <c r="W743" s="114" t="str">
        <f t="shared" si="33"/>
        <v>SOV</v>
      </c>
      <c r="X743" s="114" t="str">
        <f t="shared" si="34"/>
        <v>SOV</v>
      </c>
    </row>
    <row r="744" spans="1:24" hidden="1" x14ac:dyDescent="0.25">
      <c r="A744" s="114" t="str">
        <f t="shared" si="35"/>
        <v>7511</v>
      </c>
      <c r="B744" t="s">
        <v>5249</v>
      </c>
      <c r="C744" t="s">
        <v>5250</v>
      </c>
      <c r="D744" t="s">
        <v>5251</v>
      </c>
      <c r="E744" t="s">
        <v>586</v>
      </c>
      <c r="F744" t="s">
        <v>1056</v>
      </c>
      <c r="G744" t="s">
        <v>1136</v>
      </c>
      <c r="H744" t="s">
        <v>1437</v>
      </c>
      <c r="I744" t="s">
        <v>90</v>
      </c>
      <c r="J744" t="s">
        <v>90</v>
      </c>
      <c r="K744">
        <v>381.48971839000001</v>
      </c>
      <c r="L744">
        <v>3.5105051600000001</v>
      </c>
      <c r="M744">
        <v>4.88352991</v>
      </c>
      <c r="N744">
        <v>5.0840321399999997</v>
      </c>
      <c r="O744">
        <v>4.8986966499999998</v>
      </c>
      <c r="P744">
        <v>5.4036308722628936</v>
      </c>
      <c r="Q744">
        <v>514.42742092000003</v>
      </c>
      <c r="R744">
        <v>0</v>
      </c>
      <c r="S744" t="s">
        <v>1138</v>
      </c>
      <c r="T744">
        <v>381.48971839000001</v>
      </c>
      <c r="U744" t="s">
        <v>2819</v>
      </c>
      <c r="V744" t="s">
        <v>1059</v>
      </c>
      <c r="W744" s="114" t="str">
        <f t="shared" si="33"/>
        <v>ETF</v>
      </c>
      <c r="X744" s="114" t="str">
        <f t="shared" si="34"/>
        <v>Otros ETFs</v>
      </c>
    </row>
    <row r="745" spans="1:24" hidden="1" x14ac:dyDescent="0.25">
      <c r="A745" s="114" t="str">
        <f t="shared" si="35"/>
        <v>4004</v>
      </c>
      <c r="B745" t="s">
        <v>2735</v>
      </c>
      <c r="C745" t="s">
        <v>186</v>
      </c>
      <c r="D745" t="s">
        <v>185</v>
      </c>
      <c r="E745" t="s">
        <v>175</v>
      </c>
      <c r="F745" t="s">
        <v>4812</v>
      </c>
      <c r="G745" t="s">
        <v>1296</v>
      </c>
      <c r="H745" t="s">
        <v>2643</v>
      </c>
      <c r="I745">
        <v>418542042920.18939</v>
      </c>
      <c r="J745">
        <v>95079303.138962001</v>
      </c>
      <c r="K745">
        <v>227.1678669975</v>
      </c>
      <c r="L745"/>
      <c r="M745"/>
      <c r="N745"/>
      <c r="O745"/>
      <c r="P745"/>
      <c r="Q745"/>
      <c r="R745"/>
      <c r="S745"/>
      <c r="T745">
        <v>191.40678779999999</v>
      </c>
      <c r="U745">
        <v>61.2</v>
      </c>
      <c r="V745" t="s">
        <v>2644</v>
      </c>
      <c r="W745" s="114" t="str">
        <f t="shared" si="33"/>
        <v>SOV</v>
      </c>
      <c r="X745" s="114" t="str">
        <f t="shared" si="34"/>
        <v>SOV</v>
      </c>
    </row>
    <row r="746" spans="1:24" hidden="1" x14ac:dyDescent="0.25">
      <c r="A746" s="114" t="str">
        <f t="shared" si="35"/>
        <v>7728</v>
      </c>
      <c r="B746" t="s">
        <v>5437</v>
      </c>
      <c r="C746" t="s">
        <v>5438</v>
      </c>
      <c r="D746" t="s">
        <v>5439</v>
      </c>
      <c r="E746" t="s">
        <v>586</v>
      </c>
      <c r="F746" t="s">
        <v>1056</v>
      </c>
      <c r="G746" t="s">
        <v>1375</v>
      </c>
      <c r="H746" t="s">
        <v>1376</v>
      </c>
      <c r="I746" t="s">
        <v>90</v>
      </c>
      <c r="J746" t="s">
        <v>90</v>
      </c>
      <c r="K746">
        <v>57.243154320000002</v>
      </c>
      <c r="L746">
        <v>7.2347911500000004</v>
      </c>
      <c r="M746">
        <v>5.6311131799999998</v>
      </c>
      <c r="N746">
        <v>5.3625588999999998</v>
      </c>
      <c r="O746">
        <v>6.1248383400000002</v>
      </c>
      <c r="P746">
        <v>2.6200999999999999</v>
      </c>
      <c r="Q746">
        <v>97.851785930000005</v>
      </c>
      <c r="R746">
        <v>39.322800000000001</v>
      </c>
      <c r="S746" t="s">
        <v>1073</v>
      </c>
      <c r="T746">
        <v>57.243154320000002</v>
      </c>
      <c r="U746" t="s">
        <v>2819</v>
      </c>
      <c r="V746" t="s">
        <v>1059</v>
      </c>
      <c r="W746" s="114" t="str">
        <f t="shared" si="33"/>
        <v>ETF</v>
      </c>
      <c r="X746" s="114" t="str">
        <f t="shared" si="34"/>
        <v>Otros ETFs</v>
      </c>
    </row>
    <row r="747" spans="1:24" hidden="1" x14ac:dyDescent="0.25">
      <c r="A747" s="114" t="str">
        <f t="shared" si="35"/>
        <v>4004</v>
      </c>
      <c r="B747" t="s">
        <v>2735</v>
      </c>
      <c r="C747" t="s">
        <v>2745</v>
      </c>
      <c r="D747" t="s">
        <v>3140</v>
      </c>
      <c r="E747" t="s">
        <v>175</v>
      </c>
      <c r="F747" t="s">
        <v>4812</v>
      </c>
      <c r="G747" t="s">
        <v>1296</v>
      </c>
      <c r="H747" t="s">
        <v>2643</v>
      </c>
      <c r="I747">
        <v>418542042920.18939</v>
      </c>
      <c r="J747">
        <v>95079303.138962001</v>
      </c>
      <c r="K747">
        <v>227.1678669975</v>
      </c>
      <c r="L747"/>
      <c r="M747"/>
      <c r="N747"/>
      <c r="O747"/>
      <c r="P747"/>
      <c r="Q747"/>
      <c r="R747"/>
      <c r="S747"/>
      <c r="T747">
        <v>191.40678779999999</v>
      </c>
      <c r="U747">
        <v>61.2</v>
      </c>
      <c r="V747" t="s">
        <v>2644</v>
      </c>
      <c r="W747" s="114" t="str">
        <f t="shared" si="33"/>
        <v>SOV</v>
      </c>
      <c r="X747" s="114" t="str">
        <f t="shared" si="34"/>
        <v>SOV</v>
      </c>
    </row>
    <row r="748" spans="1:24" hidden="1" x14ac:dyDescent="0.25">
      <c r="A748" s="114" t="str">
        <f t="shared" si="35"/>
        <v>4004</v>
      </c>
      <c r="B748" t="s">
        <v>2735</v>
      </c>
      <c r="C748" t="s">
        <v>2746</v>
      </c>
      <c r="D748" t="s">
        <v>3154</v>
      </c>
      <c r="E748" t="s">
        <v>175</v>
      </c>
      <c r="F748" t="s">
        <v>4812</v>
      </c>
      <c r="G748" t="s">
        <v>1296</v>
      </c>
      <c r="H748" t="s">
        <v>2643</v>
      </c>
      <c r="I748">
        <v>418542042920.18939</v>
      </c>
      <c r="J748">
        <v>95079303.138962001</v>
      </c>
      <c r="K748">
        <v>227.1678669975</v>
      </c>
      <c r="L748"/>
      <c r="M748"/>
      <c r="N748"/>
      <c r="O748"/>
      <c r="P748"/>
      <c r="Q748"/>
      <c r="R748"/>
      <c r="S748"/>
      <c r="T748">
        <v>191.40678779999999</v>
      </c>
      <c r="U748">
        <v>61.2</v>
      </c>
      <c r="V748" t="s">
        <v>2644</v>
      </c>
      <c r="W748" s="114" t="str">
        <f t="shared" si="33"/>
        <v>SOV</v>
      </c>
      <c r="X748" s="114" t="str">
        <f t="shared" si="34"/>
        <v>SOV</v>
      </c>
    </row>
    <row r="749" spans="1:24" hidden="1" x14ac:dyDescent="0.25">
      <c r="A749" s="114" t="str">
        <f t="shared" si="35"/>
        <v>7744</v>
      </c>
      <c r="B749" t="s">
        <v>5437</v>
      </c>
      <c r="C749" t="s">
        <v>5438</v>
      </c>
      <c r="D749" t="s">
        <v>6311</v>
      </c>
      <c r="E749" t="s">
        <v>586</v>
      </c>
      <c r="F749" t="s">
        <v>1056</v>
      </c>
      <c r="G749" t="s">
        <v>1375</v>
      </c>
      <c r="H749" t="s">
        <v>1376</v>
      </c>
      <c r="I749" t="s">
        <v>90</v>
      </c>
      <c r="J749" t="s">
        <v>90</v>
      </c>
      <c r="K749">
        <v>57.243154320000002</v>
      </c>
      <c r="L749">
        <v>7.2347911500000004</v>
      </c>
      <c r="M749">
        <v>5.6311131799999998</v>
      </c>
      <c r="N749">
        <v>5.3625588999999998</v>
      </c>
      <c r="O749">
        <v>6.1248383400000002</v>
      </c>
      <c r="P749">
        <v>2.6200999999999999</v>
      </c>
      <c r="Q749">
        <v>97.851785930000005</v>
      </c>
      <c r="R749">
        <v>39.322800000000001</v>
      </c>
      <c r="S749" t="s">
        <v>1073</v>
      </c>
      <c r="T749">
        <v>57.243154320000002</v>
      </c>
      <c r="U749" t="s">
        <v>2819</v>
      </c>
      <c r="V749" t="s">
        <v>1059</v>
      </c>
      <c r="W749" s="114" t="str">
        <f t="shared" si="33"/>
        <v>ETF</v>
      </c>
      <c r="X749" s="114" t="str">
        <f t="shared" si="34"/>
        <v>Otros ETFs</v>
      </c>
    </row>
    <row r="750" spans="1:24" hidden="1" x14ac:dyDescent="0.25">
      <c r="A750" s="114" t="str">
        <f t="shared" si="35"/>
        <v>4004</v>
      </c>
      <c r="B750" t="s">
        <v>2735</v>
      </c>
      <c r="C750" t="s">
        <v>890</v>
      </c>
      <c r="D750" t="s">
        <v>889</v>
      </c>
      <c r="E750" t="s">
        <v>175</v>
      </c>
      <c r="F750" t="s">
        <v>4812</v>
      </c>
      <c r="G750" t="s">
        <v>1296</v>
      </c>
      <c r="H750" t="s">
        <v>2643</v>
      </c>
      <c r="I750">
        <v>418542042920.18939</v>
      </c>
      <c r="J750">
        <v>95079303.138962001</v>
      </c>
      <c r="K750">
        <v>227.1678669975</v>
      </c>
      <c r="L750"/>
      <c r="M750"/>
      <c r="N750"/>
      <c r="O750"/>
      <c r="P750"/>
      <c r="Q750"/>
      <c r="R750"/>
      <c r="S750"/>
      <c r="T750">
        <v>191.40678779999999</v>
      </c>
      <c r="U750">
        <v>61.2</v>
      </c>
      <c r="V750" t="s">
        <v>2644</v>
      </c>
      <c r="W750" s="114" t="str">
        <f t="shared" si="33"/>
        <v>SOV</v>
      </c>
      <c r="X750" s="114" t="str">
        <f t="shared" si="34"/>
        <v>SOV</v>
      </c>
    </row>
    <row r="751" spans="1:24" hidden="1" x14ac:dyDescent="0.25">
      <c r="A751" s="114" t="str">
        <f t="shared" si="35"/>
        <v>7388</v>
      </c>
      <c r="B751" t="s">
        <v>2332</v>
      </c>
      <c r="C751" t="s">
        <v>2333</v>
      </c>
      <c r="D751" t="s">
        <v>2334</v>
      </c>
      <c r="E751" t="s">
        <v>586</v>
      </c>
      <c r="F751" t="s">
        <v>1056</v>
      </c>
      <c r="G751" t="s">
        <v>1071</v>
      </c>
      <c r="H751" t="s">
        <v>1753</v>
      </c>
      <c r="I751" t="s">
        <v>90</v>
      </c>
      <c r="J751" t="s">
        <v>90</v>
      </c>
      <c r="K751">
        <v>111.30548919</v>
      </c>
      <c r="L751">
        <v>6.2076212899999996</v>
      </c>
      <c r="M751">
        <v>5.2808873600000004</v>
      </c>
      <c r="N751">
        <v>4.74576259</v>
      </c>
      <c r="O751">
        <v>5.9604740100000004</v>
      </c>
      <c r="P751">
        <v>10.03061193017087</v>
      </c>
      <c r="Q751">
        <v>176.44223474</v>
      </c>
      <c r="R751">
        <v>22.512298747763861</v>
      </c>
      <c r="S751" t="s">
        <v>30</v>
      </c>
      <c r="T751">
        <v>111.30548919</v>
      </c>
      <c r="U751" t="s">
        <v>2819</v>
      </c>
      <c r="V751" t="s">
        <v>1059</v>
      </c>
      <c r="W751" s="114" t="str">
        <f t="shared" si="33"/>
        <v>ETF</v>
      </c>
      <c r="X751" s="114" t="str">
        <f t="shared" si="34"/>
        <v>Otros ETFs</v>
      </c>
    </row>
    <row r="752" spans="1:24" hidden="1" x14ac:dyDescent="0.25">
      <c r="A752" s="114" t="str">
        <f t="shared" si="35"/>
        <v>7022</v>
      </c>
      <c r="B752" t="s">
        <v>2335</v>
      </c>
      <c r="C752" t="s">
        <v>2336</v>
      </c>
      <c r="D752" t="s">
        <v>2337</v>
      </c>
      <c r="E752" t="s">
        <v>586</v>
      </c>
      <c r="F752" t="s">
        <v>1056</v>
      </c>
      <c r="G752" t="s">
        <v>2247</v>
      </c>
      <c r="H752" t="s">
        <v>1437</v>
      </c>
      <c r="I752" t="s">
        <v>90</v>
      </c>
      <c r="J752" t="s">
        <v>90</v>
      </c>
      <c r="K752">
        <v>258.06423043000001</v>
      </c>
      <c r="L752">
        <v>2.8428093400000001</v>
      </c>
      <c r="M752">
        <v>4.7143068699999997</v>
      </c>
      <c r="N752">
        <v>4.6638024900000001</v>
      </c>
      <c r="O752">
        <v>4.5391652000000002</v>
      </c>
      <c r="P752">
        <v>1.1170098475431181</v>
      </c>
      <c r="Q752">
        <v>424.1733097</v>
      </c>
      <c r="R752">
        <v>0</v>
      </c>
      <c r="S752" t="s">
        <v>21</v>
      </c>
      <c r="T752">
        <v>258.06423043000001</v>
      </c>
      <c r="U752" t="s">
        <v>2819</v>
      </c>
      <c r="V752" t="s">
        <v>1059</v>
      </c>
      <c r="W752" s="114" t="str">
        <f t="shared" si="33"/>
        <v>ETF</v>
      </c>
      <c r="X752" s="114" t="str">
        <f t="shared" si="34"/>
        <v>Otros ETFs</v>
      </c>
    </row>
    <row r="753" spans="1:24" hidden="1" x14ac:dyDescent="0.25">
      <c r="A753" s="114" t="str">
        <f t="shared" si="35"/>
        <v>4004</v>
      </c>
      <c r="B753" t="s">
        <v>2735</v>
      </c>
      <c r="C753" t="s">
        <v>2747</v>
      </c>
      <c r="D753" t="s">
        <v>3160</v>
      </c>
      <c r="E753" t="s">
        <v>175</v>
      </c>
      <c r="F753" t="s">
        <v>4812</v>
      </c>
      <c r="G753" t="s">
        <v>1296</v>
      </c>
      <c r="H753" t="s">
        <v>2643</v>
      </c>
      <c r="I753">
        <v>418542042920.18939</v>
      </c>
      <c r="J753">
        <v>95079303.138962001</v>
      </c>
      <c r="K753">
        <v>227.1678669975</v>
      </c>
      <c r="L753"/>
      <c r="M753"/>
      <c r="N753"/>
      <c r="O753"/>
      <c r="P753"/>
      <c r="Q753"/>
      <c r="R753"/>
      <c r="S753"/>
      <c r="T753">
        <v>191.40678779999999</v>
      </c>
      <c r="U753">
        <v>61.2</v>
      </c>
      <c r="V753" t="s">
        <v>2644</v>
      </c>
      <c r="W753" s="114" t="str">
        <f t="shared" si="33"/>
        <v>SOV</v>
      </c>
      <c r="X753" s="114" t="str">
        <f t="shared" si="34"/>
        <v>SOV</v>
      </c>
    </row>
    <row r="754" spans="1:24" hidden="1" x14ac:dyDescent="0.25">
      <c r="A754" s="114" t="str">
        <f t="shared" si="35"/>
        <v>7043</v>
      </c>
      <c r="B754" t="s">
        <v>2338</v>
      </c>
      <c r="C754" t="s">
        <v>2339</v>
      </c>
      <c r="D754" t="s">
        <v>2340</v>
      </c>
      <c r="E754" t="s">
        <v>586</v>
      </c>
      <c r="F754" t="s">
        <v>1056</v>
      </c>
      <c r="G754" t="s">
        <v>1057</v>
      </c>
      <c r="H754" t="s">
        <v>1288</v>
      </c>
      <c r="I754" t="s">
        <v>90</v>
      </c>
      <c r="J754" t="s">
        <v>90</v>
      </c>
      <c r="K754">
        <v>112.84346384</v>
      </c>
      <c r="L754">
        <v>5.2953641600000001</v>
      </c>
      <c r="M754">
        <v>4.5366651400000002</v>
      </c>
      <c r="N754">
        <v>4.9203439199999996</v>
      </c>
      <c r="O754">
        <v>5.4772938499999997</v>
      </c>
      <c r="P754">
        <v>0.34971137317309398</v>
      </c>
      <c r="Q754">
        <v>211.96126545000001</v>
      </c>
      <c r="R754">
        <v>6.8725275302701609</v>
      </c>
      <c r="S754" t="s">
        <v>1063</v>
      </c>
      <c r="T754">
        <v>112.84346384</v>
      </c>
      <c r="U754" t="s">
        <v>2819</v>
      </c>
      <c r="V754" t="s">
        <v>1059</v>
      </c>
      <c r="W754" s="114" t="str">
        <f t="shared" si="33"/>
        <v>ETF</v>
      </c>
      <c r="X754" s="114" t="str">
        <f t="shared" si="34"/>
        <v>Otros ETFs</v>
      </c>
    </row>
    <row r="755" spans="1:24" hidden="1" x14ac:dyDescent="0.25">
      <c r="A755" s="114" t="str">
        <f t="shared" si="35"/>
        <v>4004</v>
      </c>
      <c r="B755" t="s">
        <v>2735</v>
      </c>
      <c r="C755" t="s">
        <v>2748</v>
      </c>
      <c r="D755" t="s">
        <v>3156</v>
      </c>
      <c r="E755" t="s">
        <v>175</v>
      </c>
      <c r="F755" t="s">
        <v>4812</v>
      </c>
      <c r="G755" t="s">
        <v>1296</v>
      </c>
      <c r="H755" t="s">
        <v>2643</v>
      </c>
      <c r="I755">
        <v>418542042920.18939</v>
      </c>
      <c r="J755">
        <v>95079303.138962001</v>
      </c>
      <c r="K755">
        <v>227.1678669975</v>
      </c>
      <c r="L755"/>
      <c r="M755"/>
      <c r="N755"/>
      <c r="O755"/>
      <c r="P755"/>
      <c r="Q755"/>
      <c r="R755"/>
      <c r="S755"/>
      <c r="T755">
        <v>191.40678779999999</v>
      </c>
      <c r="U755">
        <v>61.2</v>
      </c>
      <c r="V755" t="s">
        <v>2644</v>
      </c>
      <c r="W755" s="114" t="str">
        <f t="shared" si="33"/>
        <v>SOV</v>
      </c>
      <c r="X755" s="114" t="str">
        <f t="shared" si="34"/>
        <v>SOV</v>
      </c>
    </row>
    <row r="756" spans="1:24" hidden="1" x14ac:dyDescent="0.25">
      <c r="A756" s="114" t="str">
        <f t="shared" si="35"/>
        <v>7043</v>
      </c>
      <c r="B756" t="s">
        <v>2338</v>
      </c>
      <c r="C756" t="s">
        <v>2339</v>
      </c>
      <c r="D756" t="s">
        <v>5680</v>
      </c>
      <c r="E756" t="s">
        <v>586</v>
      </c>
      <c r="F756" t="s">
        <v>1056</v>
      </c>
      <c r="G756" t="s">
        <v>1057</v>
      </c>
      <c r="H756" t="s">
        <v>1288</v>
      </c>
      <c r="I756" t="s">
        <v>90</v>
      </c>
      <c r="J756" t="s">
        <v>90</v>
      </c>
      <c r="K756">
        <v>112.84346384</v>
      </c>
      <c r="L756">
        <v>5.2953641600000001</v>
      </c>
      <c r="M756">
        <v>4.5366651400000002</v>
      </c>
      <c r="N756">
        <v>4.9203439199999996</v>
      </c>
      <c r="O756">
        <v>5.4772938499999997</v>
      </c>
      <c r="P756">
        <v>0.34971137317309398</v>
      </c>
      <c r="Q756">
        <v>211.96126545000001</v>
      </c>
      <c r="R756">
        <v>6.8725275302701609</v>
      </c>
      <c r="S756" t="s">
        <v>1063</v>
      </c>
      <c r="T756">
        <v>112.84346384</v>
      </c>
      <c r="U756" t="s">
        <v>2819</v>
      </c>
      <c r="V756" t="s">
        <v>1059</v>
      </c>
      <c r="W756" s="114" t="str">
        <f t="shared" si="33"/>
        <v>ETF</v>
      </c>
      <c r="X756" s="114" t="str">
        <f t="shared" si="34"/>
        <v>Otros ETFs</v>
      </c>
    </row>
    <row r="757" spans="1:24" hidden="1" x14ac:dyDescent="0.25">
      <c r="A757" s="114" t="str">
        <f t="shared" si="35"/>
        <v>4004</v>
      </c>
      <c r="B757" t="s">
        <v>2735</v>
      </c>
      <c r="C757" t="s">
        <v>2749</v>
      </c>
      <c r="D757" t="s">
        <v>3143</v>
      </c>
      <c r="E757" t="s">
        <v>175</v>
      </c>
      <c r="F757" t="s">
        <v>4812</v>
      </c>
      <c r="G757" t="s">
        <v>1296</v>
      </c>
      <c r="H757" t="s">
        <v>2643</v>
      </c>
      <c r="I757">
        <v>418542042920.18939</v>
      </c>
      <c r="J757">
        <v>95079303.138962001</v>
      </c>
      <c r="K757">
        <v>227.1678669975</v>
      </c>
      <c r="L757"/>
      <c r="M757"/>
      <c r="N757"/>
      <c r="O757"/>
      <c r="P757"/>
      <c r="Q757"/>
      <c r="R757"/>
      <c r="S757"/>
      <c r="T757">
        <v>191.40678779999999</v>
      </c>
      <c r="U757">
        <v>61.2</v>
      </c>
      <c r="V757" t="s">
        <v>2644</v>
      </c>
      <c r="W757" s="114" t="str">
        <f t="shared" si="33"/>
        <v>SOV</v>
      </c>
      <c r="X757" s="114" t="str">
        <f t="shared" si="34"/>
        <v>SOV</v>
      </c>
    </row>
    <row r="758" spans="1:24" hidden="1" x14ac:dyDescent="0.25">
      <c r="A758" s="114" t="str">
        <f t="shared" si="35"/>
        <v>4004</v>
      </c>
      <c r="B758" t="s">
        <v>2735</v>
      </c>
      <c r="C758" t="s">
        <v>2750</v>
      </c>
      <c r="D758" t="s">
        <v>3157</v>
      </c>
      <c r="E758" t="s">
        <v>175</v>
      </c>
      <c r="F758" t="s">
        <v>4812</v>
      </c>
      <c r="G758" t="s">
        <v>1296</v>
      </c>
      <c r="H758" t="s">
        <v>2643</v>
      </c>
      <c r="I758">
        <v>418542042920.18939</v>
      </c>
      <c r="J758">
        <v>95079303.138962001</v>
      </c>
      <c r="K758">
        <v>227.1678669975</v>
      </c>
      <c r="L758"/>
      <c r="M758"/>
      <c r="N758"/>
      <c r="O758"/>
      <c r="P758"/>
      <c r="Q758"/>
      <c r="R758"/>
      <c r="S758"/>
      <c r="T758">
        <v>191.40678779999999</v>
      </c>
      <c r="U758">
        <v>61.2</v>
      </c>
      <c r="V758" t="s">
        <v>2644</v>
      </c>
      <c r="W758" s="114" t="str">
        <f t="shared" si="33"/>
        <v>SOV</v>
      </c>
      <c r="X758" s="114" t="str">
        <f t="shared" si="34"/>
        <v>SOV</v>
      </c>
    </row>
    <row r="759" spans="1:24" hidden="1" x14ac:dyDescent="0.25">
      <c r="A759" s="114" t="str">
        <f t="shared" si="35"/>
        <v>7025</v>
      </c>
      <c r="B759" t="s">
        <v>5273</v>
      </c>
      <c r="C759" t="s">
        <v>2341</v>
      </c>
      <c r="D759" t="s">
        <v>2342</v>
      </c>
      <c r="E759" t="s">
        <v>586</v>
      </c>
      <c r="F759" t="s">
        <v>1056</v>
      </c>
      <c r="G759" t="s">
        <v>2247</v>
      </c>
      <c r="H759" t="s">
        <v>1494</v>
      </c>
      <c r="I759" t="s">
        <v>90</v>
      </c>
      <c r="J759" t="s">
        <v>90</v>
      </c>
      <c r="K759">
        <v>9.4707064800000005</v>
      </c>
      <c r="L759">
        <v>3.1009519499999998</v>
      </c>
      <c r="M759">
        <v>4.7847595299999996</v>
      </c>
      <c r="N759">
        <v>4.6037796699999998</v>
      </c>
      <c r="O759">
        <v>4.5405856599999996</v>
      </c>
      <c r="P759">
        <v>3.454015397223178</v>
      </c>
      <c r="Q759">
        <v>88.172997089999996</v>
      </c>
      <c r="R759">
        <v>2.7324173131385052</v>
      </c>
      <c r="S759" t="s">
        <v>1138</v>
      </c>
      <c r="T759">
        <v>9.4707064800000005</v>
      </c>
      <c r="U759" t="s">
        <v>2819</v>
      </c>
      <c r="V759" t="s">
        <v>1059</v>
      </c>
      <c r="W759" s="114" t="str">
        <f t="shared" si="33"/>
        <v>ETF</v>
      </c>
      <c r="X759" s="114" t="str">
        <f t="shared" si="34"/>
        <v>Otros ETFs</v>
      </c>
    </row>
    <row r="760" spans="1:24" hidden="1" x14ac:dyDescent="0.25">
      <c r="A760" s="114" t="str">
        <f t="shared" si="35"/>
        <v>4004</v>
      </c>
      <c r="B760" t="s">
        <v>2735</v>
      </c>
      <c r="C760" t="s">
        <v>2751</v>
      </c>
      <c r="D760" t="s">
        <v>3144</v>
      </c>
      <c r="E760" t="s">
        <v>175</v>
      </c>
      <c r="F760" t="s">
        <v>4812</v>
      </c>
      <c r="G760" t="s">
        <v>1296</v>
      </c>
      <c r="H760" t="s">
        <v>2643</v>
      </c>
      <c r="I760">
        <v>418542042920.18939</v>
      </c>
      <c r="J760">
        <v>95079303.138962001</v>
      </c>
      <c r="K760">
        <v>227.1678669975</v>
      </c>
      <c r="L760"/>
      <c r="M760"/>
      <c r="N760"/>
      <c r="O760"/>
      <c r="P760"/>
      <c r="Q760"/>
      <c r="R760"/>
      <c r="S760"/>
      <c r="T760">
        <v>191.40678779999999</v>
      </c>
      <c r="U760">
        <v>61.2</v>
      </c>
      <c r="V760" t="s">
        <v>2644</v>
      </c>
      <c r="W760" s="114" t="str">
        <f t="shared" si="33"/>
        <v>SOV</v>
      </c>
      <c r="X760" s="114" t="str">
        <f t="shared" si="34"/>
        <v>SOV</v>
      </c>
    </row>
    <row r="761" spans="1:24" hidden="1" x14ac:dyDescent="0.25">
      <c r="A761" s="114" t="str">
        <f t="shared" si="35"/>
        <v>7456</v>
      </c>
      <c r="B761" t="s">
        <v>6312</v>
      </c>
      <c r="C761" t="s">
        <v>2344</v>
      </c>
      <c r="D761" t="s">
        <v>2345</v>
      </c>
      <c r="E761" t="s">
        <v>586</v>
      </c>
      <c r="F761" t="s">
        <v>1056</v>
      </c>
      <c r="G761" t="s">
        <v>1163</v>
      </c>
      <c r="H761" t="s">
        <v>1164</v>
      </c>
      <c r="I761" t="s">
        <v>90</v>
      </c>
      <c r="J761" t="s">
        <v>90</v>
      </c>
      <c r="K761">
        <v>49.744520399999999</v>
      </c>
      <c r="L761">
        <v>8.3462460099999998</v>
      </c>
      <c r="M761">
        <v>6.5924434300000003</v>
      </c>
      <c r="N761">
        <v>5.4060814099999996</v>
      </c>
      <c r="O761">
        <v>7.0547735999999999</v>
      </c>
      <c r="P761">
        <v>20.931469980742872</v>
      </c>
      <c r="Q761">
        <v>117.27883371999999</v>
      </c>
      <c r="R761">
        <v>70.346718152114335</v>
      </c>
      <c r="S761" t="s">
        <v>1073</v>
      </c>
      <c r="T761">
        <v>49.744520399999999</v>
      </c>
      <c r="U761" t="s">
        <v>2819</v>
      </c>
      <c r="V761" t="s">
        <v>1059</v>
      </c>
      <c r="W761" s="114" t="str">
        <f t="shared" si="33"/>
        <v>ETF</v>
      </c>
      <c r="X761" s="114" t="str">
        <f t="shared" si="34"/>
        <v>Otros ETFs</v>
      </c>
    </row>
    <row r="762" spans="1:24" hidden="1" x14ac:dyDescent="0.25">
      <c r="A762" s="114" t="str">
        <f t="shared" si="35"/>
        <v>4004</v>
      </c>
      <c r="B762" t="s">
        <v>2735</v>
      </c>
      <c r="C762" t="s">
        <v>2752</v>
      </c>
      <c r="D762" t="s">
        <v>3142</v>
      </c>
      <c r="E762" t="s">
        <v>175</v>
      </c>
      <c r="F762" t="s">
        <v>4812</v>
      </c>
      <c r="G762" t="s">
        <v>1296</v>
      </c>
      <c r="H762" t="s">
        <v>2643</v>
      </c>
      <c r="I762">
        <v>418542042920.18939</v>
      </c>
      <c r="J762">
        <v>95079303.138962001</v>
      </c>
      <c r="K762">
        <v>227.1678669975</v>
      </c>
      <c r="L762"/>
      <c r="M762"/>
      <c r="N762"/>
      <c r="O762"/>
      <c r="P762"/>
      <c r="Q762"/>
      <c r="R762"/>
      <c r="S762"/>
      <c r="T762">
        <v>191.40678779999999</v>
      </c>
      <c r="U762">
        <v>61.2</v>
      </c>
      <c r="V762" t="s">
        <v>2644</v>
      </c>
      <c r="W762" s="114" t="str">
        <f t="shared" si="33"/>
        <v>SOV</v>
      </c>
      <c r="X762" s="114" t="str">
        <f t="shared" si="34"/>
        <v>SOV</v>
      </c>
    </row>
    <row r="763" spans="1:24" hidden="1" x14ac:dyDescent="0.25">
      <c r="A763" s="114" t="str">
        <f t="shared" si="35"/>
        <v>4004</v>
      </c>
      <c r="B763" t="s">
        <v>2735</v>
      </c>
      <c r="C763" t="s">
        <v>2753</v>
      </c>
      <c r="D763" t="s">
        <v>3159</v>
      </c>
      <c r="E763" t="s">
        <v>175</v>
      </c>
      <c r="F763" t="s">
        <v>4812</v>
      </c>
      <c r="G763" t="s">
        <v>1296</v>
      </c>
      <c r="H763" t="s">
        <v>2643</v>
      </c>
      <c r="I763">
        <v>418542042920.18939</v>
      </c>
      <c r="J763">
        <v>95079303.138962001</v>
      </c>
      <c r="K763">
        <v>227.1678669975</v>
      </c>
      <c r="L763"/>
      <c r="M763"/>
      <c r="N763"/>
      <c r="O763"/>
      <c r="P763"/>
      <c r="Q763"/>
      <c r="R763"/>
      <c r="S763"/>
      <c r="T763">
        <v>191.40678779999999</v>
      </c>
      <c r="U763">
        <v>61.2</v>
      </c>
      <c r="V763" t="s">
        <v>2644</v>
      </c>
      <c r="W763" s="114" t="str">
        <f t="shared" si="33"/>
        <v>SOV</v>
      </c>
      <c r="X763" s="114" t="str">
        <f t="shared" si="34"/>
        <v>SOV</v>
      </c>
    </row>
    <row r="764" spans="1:24" hidden="1" x14ac:dyDescent="0.25">
      <c r="A764" s="114" t="str">
        <f t="shared" si="35"/>
        <v>JUPI</v>
      </c>
      <c r="B764" t="s">
        <v>6312</v>
      </c>
      <c r="C764" t="s">
        <v>2344</v>
      </c>
      <c r="D764" t="s">
        <v>2346</v>
      </c>
      <c r="E764" t="s">
        <v>586</v>
      </c>
      <c r="F764" t="s">
        <v>1056</v>
      </c>
      <c r="G764" t="s">
        <v>1163</v>
      </c>
      <c r="H764" t="s">
        <v>1164</v>
      </c>
      <c r="I764" t="s">
        <v>90</v>
      </c>
      <c r="J764" t="s">
        <v>90</v>
      </c>
      <c r="K764">
        <v>49.744520399999999</v>
      </c>
      <c r="L764">
        <v>8.3462460099999998</v>
      </c>
      <c r="M764">
        <v>6.5924434300000003</v>
      </c>
      <c r="N764">
        <v>5.4060814099999996</v>
      </c>
      <c r="O764">
        <v>7.0547735999999999</v>
      </c>
      <c r="P764">
        <v>20.931469980742872</v>
      </c>
      <c r="Q764">
        <v>117.27883371999999</v>
      </c>
      <c r="R764">
        <v>70.346718152114335</v>
      </c>
      <c r="S764" t="s">
        <v>1073</v>
      </c>
      <c r="T764">
        <v>49.744520399999999</v>
      </c>
      <c r="U764" t="s">
        <v>2819</v>
      </c>
      <c r="V764" t="s">
        <v>1059</v>
      </c>
      <c r="W764" s="114" t="str">
        <f t="shared" si="33"/>
        <v>ETF</v>
      </c>
      <c r="X764" s="114" t="str">
        <f t="shared" si="34"/>
        <v>Otros ETFs</v>
      </c>
    </row>
    <row r="765" spans="1:24" hidden="1" x14ac:dyDescent="0.25">
      <c r="A765" s="114" t="str">
        <f t="shared" si="35"/>
        <v>4004</v>
      </c>
      <c r="B765" t="s">
        <v>2735</v>
      </c>
      <c r="C765" t="s">
        <v>2754</v>
      </c>
      <c r="D765" t="s">
        <v>3158</v>
      </c>
      <c r="E765" t="s">
        <v>175</v>
      </c>
      <c r="F765" t="s">
        <v>4812</v>
      </c>
      <c r="G765" t="s">
        <v>1296</v>
      </c>
      <c r="H765" t="s">
        <v>2643</v>
      </c>
      <c r="I765">
        <v>418542042920.18939</v>
      </c>
      <c r="J765">
        <v>95079303.138962001</v>
      </c>
      <c r="K765">
        <v>227.1678669975</v>
      </c>
      <c r="L765"/>
      <c r="M765"/>
      <c r="N765"/>
      <c r="O765"/>
      <c r="P765"/>
      <c r="Q765"/>
      <c r="R765"/>
      <c r="S765"/>
      <c r="T765">
        <v>191.40678779999999</v>
      </c>
      <c r="U765">
        <v>61.2</v>
      </c>
      <c r="V765" t="s">
        <v>2644</v>
      </c>
      <c r="W765" s="114" t="str">
        <f t="shared" si="33"/>
        <v>SOV</v>
      </c>
      <c r="X765" s="114" t="str">
        <f t="shared" si="34"/>
        <v>SOV</v>
      </c>
    </row>
    <row r="766" spans="1:24" hidden="1" x14ac:dyDescent="0.25">
      <c r="A766" s="114" t="str">
        <f t="shared" si="35"/>
        <v>COMG</v>
      </c>
      <c r="B766" t="s">
        <v>2347</v>
      </c>
      <c r="C766" t="s">
        <v>2348</v>
      </c>
      <c r="D766" t="s">
        <v>2349</v>
      </c>
      <c r="E766" t="s">
        <v>586</v>
      </c>
      <c r="F766" t="s">
        <v>1056</v>
      </c>
      <c r="G766" t="s">
        <v>1163</v>
      </c>
      <c r="H766" t="s">
        <v>1164</v>
      </c>
      <c r="I766" t="s">
        <v>90</v>
      </c>
      <c r="J766" t="s">
        <v>90</v>
      </c>
      <c r="K766">
        <v>9.3904086499999995</v>
      </c>
      <c r="L766">
        <v>8.1453370599999992</v>
      </c>
      <c r="M766">
        <v>6.5369749800000001</v>
      </c>
      <c r="N766">
        <v>5.5008929200000001</v>
      </c>
      <c r="O766">
        <v>7.1144473100000001</v>
      </c>
      <c r="P766">
        <v>2.1109670090784278</v>
      </c>
      <c r="Q766">
        <v>26.536395819999999</v>
      </c>
      <c r="R766">
        <v>64.704623608712652</v>
      </c>
      <c r="S766" t="s">
        <v>1073</v>
      </c>
      <c r="T766">
        <v>9.3904086499999995</v>
      </c>
      <c r="U766" t="s">
        <v>2819</v>
      </c>
      <c r="V766" t="s">
        <v>1059</v>
      </c>
      <c r="W766" s="114" t="str">
        <f t="shared" si="33"/>
        <v>ETF</v>
      </c>
      <c r="X766" s="114" t="str">
        <f t="shared" si="34"/>
        <v>Otros ETFs</v>
      </c>
    </row>
    <row r="767" spans="1:24" hidden="1" x14ac:dyDescent="0.25">
      <c r="A767" s="114" t="str">
        <f t="shared" si="35"/>
        <v>7395</v>
      </c>
      <c r="B767" t="s">
        <v>2350</v>
      </c>
      <c r="C767" t="s">
        <v>2351</v>
      </c>
      <c r="D767" t="s">
        <v>2352</v>
      </c>
      <c r="E767" t="s">
        <v>586</v>
      </c>
      <c r="F767" t="s">
        <v>1056</v>
      </c>
      <c r="G767" t="s">
        <v>1714</v>
      </c>
      <c r="H767" t="s">
        <v>1164</v>
      </c>
      <c r="I767" t="s">
        <v>90</v>
      </c>
      <c r="J767" t="s">
        <v>90</v>
      </c>
      <c r="K767">
        <v>60.879362659999998</v>
      </c>
      <c r="L767">
        <v>7.8025105899999998</v>
      </c>
      <c r="M767">
        <v>6.8423984000000004</v>
      </c>
      <c r="N767">
        <v>5.4901789499999998</v>
      </c>
      <c r="O767">
        <v>6.5392477299999996</v>
      </c>
      <c r="P767">
        <v>21.692004771957048</v>
      </c>
      <c r="Q767">
        <v>87.821676589999996</v>
      </c>
      <c r="R767">
        <v>50.980741173329442</v>
      </c>
      <c r="S767" t="s">
        <v>1073</v>
      </c>
      <c r="T767">
        <v>60.879362659999998</v>
      </c>
      <c r="U767" t="s">
        <v>2819</v>
      </c>
      <c r="V767" t="s">
        <v>1059</v>
      </c>
      <c r="W767" s="114" t="str">
        <f t="shared" si="33"/>
        <v>ETF</v>
      </c>
      <c r="X767" s="114" t="str">
        <f t="shared" si="34"/>
        <v>Otros ETFs</v>
      </c>
    </row>
    <row r="768" spans="1:24" hidden="1" x14ac:dyDescent="0.25">
      <c r="A768" s="114" t="str">
        <f t="shared" si="35"/>
        <v>4004</v>
      </c>
      <c r="B768" t="s">
        <v>2735</v>
      </c>
      <c r="C768" t="s">
        <v>2755</v>
      </c>
      <c r="D768" t="s">
        <v>4823</v>
      </c>
      <c r="E768" t="s">
        <v>175</v>
      </c>
      <c r="F768" t="s">
        <v>4812</v>
      </c>
      <c r="G768" t="s">
        <v>1296</v>
      </c>
      <c r="H768" t="s">
        <v>2643</v>
      </c>
      <c r="I768">
        <v>418542042920.18939</v>
      </c>
      <c r="J768">
        <v>95079303.138962001</v>
      </c>
      <c r="K768">
        <v>227.1678669975</v>
      </c>
      <c r="L768"/>
      <c r="M768"/>
      <c r="N768"/>
      <c r="O768"/>
      <c r="P768"/>
      <c r="Q768"/>
      <c r="R768"/>
      <c r="S768"/>
      <c r="T768">
        <v>191.40678779999999</v>
      </c>
      <c r="U768">
        <v>61.2</v>
      </c>
      <c r="V768" t="s">
        <v>2644</v>
      </c>
      <c r="W768" s="114" t="str">
        <f t="shared" si="33"/>
        <v>SOV</v>
      </c>
      <c r="X768" s="114" t="str">
        <f t="shared" si="34"/>
        <v>SOV</v>
      </c>
    </row>
    <row r="769" spans="1:24" hidden="1" x14ac:dyDescent="0.25">
      <c r="A769" s="114" t="str">
        <f t="shared" si="35"/>
        <v>4004</v>
      </c>
      <c r="B769" t="s">
        <v>2735</v>
      </c>
      <c r="C769" t="s">
        <v>6060</v>
      </c>
      <c r="D769" t="s">
        <v>6061</v>
      </c>
      <c r="E769" t="s">
        <v>175</v>
      </c>
      <c r="F769" t="s">
        <v>4812</v>
      </c>
      <c r="G769" t="s">
        <v>1296</v>
      </c>
      <c r="H769" t="s">
        <v>2643</v>
      </c>
      <c r="I769">
        <v>418542042920.18939</v>
      </c>
      <c r="J769">
        <v>95079303.138962001</v>
      </c>
      <c r="K769">
        <v>227.1678669975</v>
      </c>
      <c r="L769"/>
      <c r="M769"/>
      <c r="N769"/>
      <c r="O769"/>
      <c r="P769"/>
      <c r="Q769"/>
      <c r="R769"/>
      <c r="S769"/>
      <c r="T769">
        <v>191.40678779999999</v>
      </c>
      <c r="U769">
        <v>61.2</v>
      </c>
      <c r="V769" t="s">
        <v>2644</v>
      </c>
      <c r="W769" s="114" t="str">
        <f t="shared" si="33"/>
        <v>SOV</v>
      </c>
      <c r="X769" s="114" t="str">
        <f t="shared" si="34"/>
        <v>SOV</v>
      </c>
    </row>
    <row r="770" spans="1:24" hidden="1" x14ac:dyDescent="0.25">
      <c r="A770" s="114" t="str">
        <f t="shared" si="35"/>
        <v>7485</v>
      </c>
      <c r="B770" t="s">
        <v>2353</v>
      </c>
      <c r="C770" t="s">
        <v>2354</v>
      </c>
      <c r="D770" t="s">
        <v>2355</v>
      </c>
      <c r="E770" t="s">
        <v>586</v>
      </c>
      <c r="F770" t="s">
        <v>1056</v>
      </c>
      <c r="G770" t="s">
        <v>1071</v>
      </c>
      <c r="H770" t="s">
        <v>1893</v>
      </c>
      <c r="I770" t="s">
        <v>90</v>
      </c>
      <c r="J770" t="s">
        <v>90</v>
      </c>
      <c r="K770">
        <v>174.53827745999999</v>
      </c>
      <c r="L770">
        <v>5.1583258000000001</v>
      </c>
      <c r="M770">
        <v>4.2887757300000002</v>
      </c>
      <c r="N770">
        <v>4.6744272200000001</v>
      </c>
      <c r="O770">
        <v>5.6261696900000002</v>
      </c>
      <c r="P770">
        <v>8.9977539865239198</v>
      </c>
      <c r="Q770">
        <v>288.34013966999999</v>
      </c>
      <c r="R770">
        <v>16.07839647037882</v>
      </c>
      <c r="S770" t="s">
        <v>1063</v>
      </c>
      <c r="T770">
        <v>174.53827745999999</v>
      </c>
      <c r="U770" t="s">
        <v>2819</v>
      </c>
      <c r="V770" t="s">
        <v>1059</v>
      </c>
      <c r="W770" s="114" t="str">
        <f t="shared" ref="W770:W833" si="36">IF(V770="ETF_ETY","ETF",IF(V770="ETF_SOV","ETF",IF(V770="RF_SOV","SOV",IF(V770="-","Cuestionario Integra","Portafolio"))))</f>
        <v>ETF</v>
      </c>
      <c r="X770" s="114" t="str">
        <f t="shared" ref="X770:X833" si="37">IF(V770="ETF_ETY","Otros ETFs",IF(V770="ETF_SOV","Soberanos",W770))</f>
        <v>Otros ETFs</v>
      </c>
    </row>
    <row r="771" spans="1:24" hidden="1" x14ac:dyDescent="0.25">
      <c r="A771" s="114" t="str">
        <f t="shared" ref="A771:A834" si="38">RIGHT(LEFT(D771,6),4)</f>
        <v>4004</v>
      </c>
      <c r="B771" t="s">
        <v>2735</v>
      </c>
      <c r="C771" t="s">
        <v>2756</v>
      </c>
      <c r="D771" t="s">
        <v>3141</v>
      </c>
      <c r="E771" t="s">
        <v>175</v>
      </c>
      <c r="F771" t="s">
        <v>4812</v>
      </c>
      <c r="G771" t="s">
        <v>1296</v>
      </c>
      <c r="H771" t="s">
        <v>2643</v>
      </c>
      <c r="I771">
        <v>418542042920.18939</v>
      </c>
      <c r="J771">
        <v>95079303.138962001</v>
      </c>
      <c r="K771">
        <v>227.1678669975</v>
      </c>
      <c r="L771"/>
      <c r="M771"/>
      <c r="N771"/>
      <c r="O771"/>
      <c r="P771"/>
      <c r="Q771"/>
      <c r="R771"/>
      <c r="S771"/>
      <c r="T771">
        <v>191.40678779999999</v>
      </c>
      <c r="U771">
        <v>61.2</v>
      </c>
      <c r="V771" t="s">
        <v>2644</v>
      </c>
      <c r="W771" s="114" t="str">
        <f t="shared" si="36"/>
        <v>SOV</v>
      </c>
      <c r="X771" s="114" t="str">
        <f t="shared" si="37"/>
        <v>SOV</v>
      </c>
    </row>
    <row r="772" spans="1:24" hidden="1" x14ac:dyDescent="0.25">
      <c r="A772" s="114" t="str">
        <f t="shared" si="38"/>
        <v>COMG</v>
      </c>
      <c r="B772" t="s">
        <v>2356</v>
      </c>
      <c r="C772" t="s">
        <v>2357</v>
      </c>
      <c r="D772" t="s">
        <v>2358</v>
      </c>
      <c r="E772" t="s">
        <v>586</v>
      </c>
      <c r="F772" t="s">
        <v>1056</v>
      </c>
      <c r="G772" t="s">
        <v>1163</v>
      </c>
      <c r="H772" t="s">
        <v>1791</v>
      </c>
      <c r="I772" t="s">
        <v>90</v>
      </c>
      <c r="J772" t="s">
        <v>90</v>
      </c>
      <c r="K772">
        <v>10.914715859999999</v>
      </c>
      <c r="L772">
        <v>7.5140441500000001</v>
      </c>
      <c r="M772">
        <v>5.78861078</v>
      </c>
      <c r="N772">
        <v>4.9177284800000001</v>
      </c>
      <c r="O772">
        <v>7.0353038200000002</v>
      </c>
      <c r="P772">
        <v>0</v>
      </c>
      <c r="Q772">
        <v>28.544009899999999</v>
      </c>
      <c r="R772">
        <v>64.159892479677438</v>
      </c>
      <c r="S772" t="s">
        <v>1073</v>
      </c>
      <c r="T772">
        <v>10.914715859999999</v>
      </c>
      <c r="U772" t="s">
        <v>2819</v>
      </c>
      <c r="V772" t="s">
        <v>1059</v>
      </c>
      <c r="W772" s="114" t="str">
        <f t="shared" si="36"/>
        <v>ETF</v>
      </c>
      <c r="X772" s="114" t="str">
        <f t="shared" si="37"/>
        <v>Otros ETFs</v>
      </c>
    </row>
    <row r="773" spans="1:24" hidden="1" x14ac:dyDescent="0.25">
      <c r="A773" s="114" t="str">
        <f t="shared" si="38"/>
        <v>4004</v>
      </c>
      <c r="B773" t="s">
        <v>2735</v>
      </c>
      <c r="C773" t="s">
        <v>2757</v>
      </c>
      <c r="D773" t="s">
        <v>3145</v>
      </c>
      <c r="E773" t="s">
        <v>175</v>
      </c>
      <c r="F773" t="s">
        <v>4812</v>
      </c>
      <c r="G773" t="s">
        <v>1296</v>
      </c>
      <c r="H773" t="s">
        <v>2643</v>
      </c>
      <c r="I773">
        <v>418542042920.18939</v>
      </c>
      <c r="J773">
        <v>95079303.138962001</v>
      </c>
      <c r="K773">
        <v>227.1678669975</v>
      </c>
      <c r="L773"/>
      <c r="M773"/>
      <c r="N773"/>
      <c r="O773"/>
      <c r="P773"/>
      <c r="Q773"/>
      <c r="R773"/>
      <c r="S773"/>
      <c r="T773">
        <v>191.40678779999999</v>
      </c>
      <c r="U773">
        <v>61.2</v>
      </c>
      <c r="V773" t="s">
        <v>2644</v>
      </c>
      <c r="W773" s="114" t="str">
        <f t="shared" si="36"/>
        <v>SOV</v>
      </c>
      <c r="X773" s="114" t="str">
        <f t="shared" si="37"/>
        <v>SOV</v>
      </c>
    </row>
    <row r="774" spans="1:24" hidden="1" x14ac:dyDescent="0.25">
      <c r="A774" s="114" t="str">
        <f t="shared" si="38"/>
        <v>7426</v>
      </c>
      <c r="B774" t="s">
        <v>6313</v>
      </c>
      <c r="C774" t="s">
        <v>5858</v>
      </c>
      <c r="D774" t="s">
        <v>5857</v>
      </c>
      <c r="E774" t="s">
        <v>586</v>
      </c>
      <c r="F774" t="s">
        <v>1056</v>
      </c>
      <c r="G774" t="s">
        <v>2247</v>
      </c>
      <c r="H774" t="s">
        <v>1494</v>
      </c>
      <c r="I774" t="s">
        <v>90</v>
      </c>
      <c r="J774" t="s">
        <v>90</v>
      </c>
      <c r="K774">
        <v>0.64173709999999995</v>
      </c>
      <c r="L774">
        <v>3.8759610100000002</v>
      </c>
      <c r="M774">
        <v>5.19809696</v>
      </c>
      <c r="N774">
        <v>4.8771652300000001</v>
      </c>
      <c r="O774">
        <v>4.8440350099999998</v>
      </c>
      <c r="P774">
        <v>10.212589787410209</v>
      </c>
      <c r="Q774">
        <v>3.8924245800000001</v>
      </c>
      <c r="R774">
        <v>0.66469933530066505</v>
      </c>
      <c r="S774" t="s">
        <v>1138</v>
      </c>
      <c r="T774">
        <v>0.64173709999999995</v>
      </c>
      <c r="U774" t="s">
        <v>2819</v>
      </c>
      <c r="V774" t="s">
        <v>1059</v>
      </c>
      <c r="W774" s="114" t="str">
        <f t="shared" si="36"/>
        <v>ETF</v>
      </c>
      <c r="X774" s="114" t="str">
        <f t="shared" si="37"/>
        <v>Otros ETFs</v>
      </c>
    </row>
    <row r="775" spans="1:24" hidden="1" x14ac:dyDescent="0.25">
      <c r="A775" s="114" t="str">
        <f t="shared" si="38"/>
        <v>4004</v>
      </c>
      <c r="B775" t="s">
        <v>2735</v>
      </c>
      <c r="C775" t="s">
        <v>886</v>
      </c>
      <c r="D775" t="s">
        <v>885</v>
      </c>
      <c r="E775" t="s">
        <v>175</v>
      </c>
      <c r="F775" t="s">
        <v>4812</v>
      </c>
      <c r="G775" t="s">
        <v>1296</v>
      </c>
      <c r="H775" t="s">
        <v>2643</v>
      </c>
      <c r="I775">
        <v>418542042920.18939</v>
      </c>
      <c r="J775">
        <v>95079303.138962001</v>
      </c>
      <c r="K775">
        <v>227.1678669975</v>
      </c>
      <c r="L775"/>
      <c r="M775"/>
      <c r="N775"/>
      <c r="O775"/>
      <c r="P775"/>
      <c r="Q775"/>
      <c r="R775"/>
      <c r="S775"/>
      <c r="T775">
        <v>191.40678779999999</v>
      </c>
      <c r="U775">
        <v>61.2</v>
      </c>
      <c r="V775" t="s">
        <v>2644</v>
      </c>
      <c r="W775" s="114" t="str">
        <f t="shared" si="36"/>
        <v>SOV</v>
      </c>
      <c r="X775" s="114" t="str">
        <f t="shared" si="37"/>
        <v>SOV</v>
      </c>
    </row>
    <row r="776" spans="1:24" hidden="1" x14ac:dyDescent="0.25">
      <c r="A776" s="114" t="str">
        <f t="shared" si="38"/>
        <v>GLOE</v>
      </c>
      <c r="B776" t="s">
        <v>6313</v>
      </c>
      <c r="C776" t="s">
        <v>5858</v>
      </c>
      <c r="D776" t="s">
        <v>2359</v>
      </c>
      <c r="E776" t="s">
        <v>586</v>
      </c>
      <c r="F776" t="s">
        <v>1056</v>
      </c>
      <c r="G776" t="s">
        <v>2247</v>
      </c>
      <c r="H776" t="s">
        <v>1494</v>
      </c>
      <c r="I776" t="s">
        <v>90</v>
      </c>
      <c r="J776" t="s">
        <v>90</v>
      </c>
      <c r="K776">
        <v>0.64173709999999995</v>
      </c>
      <c r="L776">
        <v>3.8759610100000002</v>
      </c>
      <c r="M776">
        <v>5.19809696</v>
      </c>
      <c r="N776">
        <v>4.8771652300000001</v>
      </c>
      <c r="O776">
        <v>4.8440350099999998</v>
      </c>
      <c r="P776">
        <v>10.212589787410209</v>
      </c>
      <c r="Q776">
        <v>3.8924245800000001</v>
      </c>
      <c r="R776">
        <v>0.66469933530066505</v>
      </c>
      <c r="S776" t="s">
        <v>1138</v>
      </c>
      <c r="T776">
        <v>0.64173709999999995</v>
      </c>
      <c r="U776" t="s">
        <v>2819</v>
      </c>
      <c r="V776" t="s">
        <v>1059</v>
      </c>
      <c r="W776" s="114" t="str">
        <f t="shared" si="36"/>
        <v>ETF</v>
      </c>
      <c r="X776" s="114" t="str">
        <f t="shared" si="37"/>
        <v>Otros ETFs</v>
      </c>
    </row>
    <row r="777" spans="1:24" hidden="1" x14ac:dyDescent="0.25">
      <c r="A777" s="114" t="str">
        <f t="shared" si="38"/>
        <v>4004</v>
      </c>
      <c r="B777" t="s">
        <v>2735</v>
      </c>
      <c r="C777" t="s">
        <v>884</v>
      </c>
      <c r="D777" t="s">
        <v>883</v>
      </c>
      <c r="E777" t="s">
        <v>175</v>
      </c>
      <c r="F777" t="s">
        <v>4812</v>
      </c>
      <c r="G777" t="s">
        <v>1296</v>
      </c>
      <c r="H777" t="s">
        <v>2643</v>
      </c>
      <c r="I777">
        <v>418542042920.18939</v>
      </c>
      <c r="J777">
        <v>95079303.138962001</v>
      </c>
      <c r="K777">
        <v>227.1678669975</v>
      </c>
      <c r="L777"/>
      <c r="M777"/>
      <c r="N777"/>
      <c r="O777"/>
      <c r="P777"/>
      <c r="Q777"/>
      <c r="R777"/>
      <c r="S777"/>
      <c r="T777">
        <v>191.40678779999999</v>
      </c>
      <c r="U777">
        <v>61.2</v>
      </c>
      <c r="V777" t="s">
        <v>2644</v>
      </c>
      <c r="W777" s="114" t="str">
        <f t="shared" si="36"/>
        <v>SOV</v>
      </c>
      <c r="X777" s="114" t="str">
        <f t="shared" si="37"/>
        <v>SOV</v>
      </c>
    </row>
    <row r="778" spans="1:24" hidden="1" x14ac:dyDescent="0.25">
      <c r="A778" s="114" t="str">
        <f t="shared" si="38"/>
        <v>NORT</v>
      </c>
      <c r="B778" t="s">
        <v>2362</v>
      </c>
      <c r="C778" t="s">
        <v>2363</v>
      </c>
      <c r="D778" t="s">
        <v>2364</v>
      </c>
      <c r="E778" t="s">
        <v>586</v>
      </c>
      <c r="F778" t="s">
        <v>1056</v>
      </c>
      <c r="G778" t="s">
        <v>1136</v>
      </c>
      <c r="H778" t="s">
        <v>1437</v>
      </c>
      <c r="I778" t="s">
        <v>90</v>
      </c>
      <c r="J778" t="s">
        <v>90</v>
      </c>
      <c r="K778">
        <v>411.13041942000001</v>
      </c>
      <c r="L778">
        <v>6.1714231899999996</v>
      </c>
      <c r="M778">
        <v>5.2434639799999996</v>
      </c>
      <c r="N778">
        <v>5.5399276100000003</v>
      </c>
      <c r="O778">
        <v>4.9289107100000003</v>
      </c>
      <c r="P778">
        <v>3.863284546861812</v>
      </c>
      <c r="Q778">
        <v>509.0602998</v>
      </c>
      <c r="R778">
        <v>4.6586813652745391</v>
      </c>
      <c r="S778" t="s">
        <v>30</v>
      </c>
      <c r="T778">
        <v>411.13041942000001</v>
      </c>
      <c r="U778" t="s">
        <v>2819</v>
      </c>
      <c r="V778" t="s">
        <v>1059</v>
      </c>
      <c r="W778" s="114" t="str">
        <f t="shared" si="36"/>
        <v>ETF</v>
      </c>
      <c r="X778" s="114" t="str">
        <f t="shared" si="37"/>
        <v>Otros ETFs</v>
      </c>
    </row>
    <row r="779" spans="1:24" hidden="1" x14ac:dyDescent="0.25">
      <c r="A779" s="114" t="str">
        <f t="shared" si="38"/>
        <v>4004</v>
      </c>
      <c r="B779" t="s">
        <v>2735</v>
      </c>
      <c r="C779" t="s">
        <v>6314</v>
      </c>
      <c r="D779" t="s">
        <v>6315</v>
      </c>
      <c r="E779" t="s">
        <v>175</v>
      </c>
      <c r="F779" t="s">
        <v>4812</v>
      </c>
      <c r="G779" t="s">
        <v>1296</v>
      </c>
      <c r="H779" t="s">
        <v>2643</v>
      </c>
      <c r="I779">
        <v>418542042920.18939</v>
      </c>
      <c r="J779">
        <v>95079303.138962001</v>
      </c>
      <c r="K779">
        <v>227.1678669975</v>
      </c>
      <c r="L779"/>
      <c r="M779"/>
      <c r="N779"/>
      <c r="O779"/>
      <c r="P779"/>
      <c r="Q779"/>
      <c r="R779"/>
      <c r="S779"/>
      <c r="T779">
        <v>191.40678779999999</v>
      </c>
      <c r="U779">
        <v>61.2</v>
      </c>
      <c r="V779" t="s">
        <v>2644</v>
      </c>
      <c r="W779" s="114" t="str">
        <f t="shared" si="36"/>
        <v>SOV</v>
      </c>
      <c r="X779" s="114" t="str">
        <f t="shared" si="37"/>
        <v>SOV</v>
      </c>
    </row>
    <row r="780" spans="1:24" hidden="1" x14ac:dyDescent="0.25">
      <c r="A780" s="114" t="str">
        <f t="shared" si="38"/>
        <v>4004</v>
      </c>
      <c r="B780" t="s">
        <v>2735</v>
      </c>
      <c r="C780" t="s">
        <v>6062</v>
      </c>
      <c r="D780" t="s">
        <v>6063</v>
      </c>
      <c r="E780" t="s">
        <v>175</v>
      </c>
      <c r="F780" t="s">
        <v>4812</v>
      </c>
      <c r="G780" t="s">
        <v>1296</v>
      </c>
      <c r="H780" t="s">
        <v>2643</v>
      </c>
      <c r="I780">
        <v>418542042920.18939</v>
      </c>
      <c r="J780">
        <v>95079303.138962001</v>
      </c>
      <c r="K780">
        <v>227.1678669975</v>
      </c>
      <c r="L780"/>
      <c r="M780"/>
      <c r="N780"/>
      <c r="O780"/>
      <c r="P780"/>
      <c r="Q780"/>
      <c r="R780"/>
      <c r="S780"/>
      <c r="T780">
        <v>191.40678779999999</v>
      </c>
      <c r="U780">
        <v>61.2</v>
      </c>
      <c r="V780" t="s">
        <v>2644</v>
      </c>
      <c r="W780" s="114" t="str">
        <f t="shared" si="36"/>
        <v>SOV</v>
      </c>
      <c r="X780" s="114" t="str">
        <f t="shared" si="37"/>
        <v>SOV</v>
      </c>
    </row>
    <row r="781" spans="1:24" hidden="1" x14ac:dyDescent="0.25">
      <c r="A781" s="114" t="str">
        <f t="shared" si="38"/>
        <v>7073</v>
      </c>
      <c r="B781" t="s">
        <v>2365</v>
      </c>
      <c r="C781" t="s">
        <v>2366</v>
      </c>
      <c r="D781" t="s">
        <v>2367</v>
      </c>
      <c r="E781" t="s">
        <v>586</v>
      </c>
      <c r="F781" t="s">
        <v>1056</v>
      </c>
      <c r="G781" t="s">
        <v>1136</v>
      </c>
      <c r="H781" t="s">
        <v>6144</v>
      </c>
      <c r="I781" t="s">
        <v>90</v>
      </c>
      <c r="J781" t="s">
        <v>90</v>
      </c>
      <c r="K781">
        <v>126.25121798000001</v>
      </c>
      <c r="L781">
        <v>6.2379133700000002</v>
      </c>
      <c r="M781">
        <v>5.4568624799999998</v>
      </c>
      <c r="N781">
        <v>5.3867215599999998</v>
      </c>
      <c r="O781">
        <v>5.1488656300000004</v>
      </c>
      <c r="P781">
        <v>18.66117846858377</v>
      </c>
      <c r="Q781">
        <v>295.37615276999998</v>
      </c>
      <c r="R781">
        <v>11.07017157941047</v>
      </c>
      <c r="S781" t="s">
        <v>30</v>
      </c>
      <c r="T781">
        <v>126.25121798000001</v>
      </c>
      <c r="U781" t="s">
        <v>2819</v>
      </c>
      <c r="V781" t="s">
        <v>1059</v>
      </c>
      <c r="W781" s="114" t="str">
        <f t="shared" si="36"/>
        <v>ETF</v>
      </c>
      <c r="X781" s="114" t="str">
        <f t="shared" si="37"/>
        <v>Otros ETFs</v>
      </c>
    </row>
    <row r="782" spans="1:24" hidden="1" x14ac:dyDescent="0.25">
      <c r="A782" s="114" t="str">
        <f t="shared" si="38"/>
        <v>7022</v>
      </c>
      <c r="B782" t="s">
        <v>2370</v>
      </c>
      <c r="C782" t="s">
        <v>2371</v>
      </c>
      <c r="D782" t="s">
        <v>2372</v>
      </c>
      <c r="E782" t="s">
        <v>586</v>
      </c>
      <c r="F782" t="s">
        <v>1056</v>
      </c>
      <c r="G782" t="s">
        <v>1163</v>
      </c>
      <c r="H782" t="s">
        <v>6227</v>
      </c>
      <c r="I782" t="s">
        <v>90</v>
      </c>
      <c r="J782" t="s">
        <v>90</v>
      </c>
      <c r="K782">
        <v>253.60143009999999</v>
      </c>
      <c r="L782">
        <v>6.9783126400000004</v>
      </c>
      <c r="M782">
        <v>6.3610894399999998</v>
      </c>
      <c r="N782">
        <v>4.8605020899999998</v>
      </c>
      <c r="O782">
        <v>6.0029238999999999</v>
      </c>
      <c r="P782">
        <v>1.2825012825012829</v>
      </c>
      <c r="Q782">
        <v>147.43598642000001</v>
      </c>
      <c r="R782">
        <v>30.466930466930471</v>
      </c>
      <c r="S782" t="s">
        <v>30</v>
      </c>
      <c r="T782">
        <v>253.60143009999999</v>
      </c>
      <c r="U782" t="s">
        <v>2819</v>
      </c>
      <c r="V782" t="s">
        <v>1059</v>
      </c>
      <c r="W782" s="114" t="str">
        <f t="shared" si="36"/>
        <v>ETF</v>
      </c>
      <c r="X782" s="114" t="str">
        <f t="shared" si="37"/>
        <v>Otros ETFs</v>
      </c>
    </row>
    <row r="783" spans="1:24" hidden="1" x14ac:dyDescent="0.25">
      <c r="A783" s="114" t="str">
        <f t="shared" si="38"/>
        <v>4004</v>
      </c>
      <c r="B783" t="s">
        <v>2735</v>
      </c>
      <c r="C783" t="s">
        <v>6316</v>
      </c>
      <c r="D783" t="s">
        <v>6317</v>
      </c>
      <c r="E783" t="s">
        <v>175</v>
      </c>
      <c r="F783" t="s">
        <v>4812</v>
      </c>
      <c r="G783" t="s">
        <v>1296</v>
      </c>
      <c r="H783" t="s">
        <v>2643</v>
      </c>
      <c r="I783">
        <v>418542042920.18939</v>
      </c>
      <c r="J783">
        <v>95079303.138962001</v>
      </c>
      <c r="K783">
        <v>227.1678669975</v>
      </c>
      <c r="L783"/>
      <c r="M783"/>
      <c r="N783"/>
      <c r="O783"/>
      <c r="P783"/>
      <c r="Q783"/>
      <c r="R783"/>
      <c r="S783"/>
      <c r="T783">
        <v>191.40678779999999</v>
      </c>
      <c r="U783">
        <v>61.2</v>
      </c>
      <c r="V783" t="s">
        <v>2644</v>
      </c>
      <c r="W783" s="114" t="str">
        <f t="shared" si="36"/>
        <v>SOV</v>
      </c>
      <c r="X783" s="114" t="str">
        <f t="shared" si="37"/>
        <v>SOV</v>
      </c>
    </row>
    <row r="784" spans="1:24" hidden="1" x14ac:dyDescent="0.25">
      <c r="A784" s="114" t="str">
        <f t="shared" si="38"/>
        <v>7387</v>
      </c>
      <c r="B784" t="s">
        <v>5823</v>
      </c>
      <c r="C784" t="s">
        <v>2373</v>
      </c>
      <c r="D784" t="s">
        <v>2374</v>
      </c>
      <c r="E784" t="s">
        <v>586</v>
      </c>
      <c r="F784" t="s">
        <v>1056</v>
      </c>
      <c r="G784" t="s">
        <v>1136</v>
      </c>
      <c r="H784" t="s">
        <v>6144</v>
      </c>
      <c r="I784" t="s">
        <v>90</v>
      </c>
      <c r="J784" t="s">
        <v>90</v>
      </c>
      <c r="K784">
        <v>19.76536716</v>
      </c>
      <c r="L784">
        <v>7.0369668799999996</v>
      </c>
      <c r="M784">
        <v>5.6255860499999999</v>
      </c>
      <c r="N784">
        <v>5.5119757299999996</v>
      </c>
      <c r="O784">
        <v>5.6560249999999996</v>
      </c>
      <c r="P784">
        <v>21.35390559988566</v>
      </c>
      <c r="Q784">
        <v>66.831947880000001</v>
      </c>
      <c r="R784">
        <v>14.55178964930556</v>
      </c>
      <c r="S784" t="s">
        <v>30</v>
      </c>
      <c r="T784">
        <v>19.76536716</v>
      </c>
      <c r="U784" t="s">
        <v>2819</v>
      </c>
      <c r="V784" t="s">
        <v>1059</v>
      </c>
      <c r="W784" s="114" t="str">
        <f t="shared" si="36"/>
        <v>ETF</v>
      </c>
      <c r="X784" s="114" t="str">
        <f t="shared" si="37"/>
        <v>Otros ETFs</v>
      </c>
    </row>
    <row r="785" spans="1:24" hidden="1" x14ac:dyDescent="0.25">
      <c r="A785" s="114" t="str">
        <f t="shared" si="38"/>
        <v>4004</v>
      </c>
      <c r="B785" t="s">
        <v>2735</v>
      </c>
      <c r="C785" t="s">
        <v>5941</v>
      </c>
      <c r="D785" t="s">
        <v>5940</v>
      </c>
      <c r="E785" t="s">
        <v>175</v>
      </c>
      <c r="F785" t="s">
        <v>4812</v>
      </c>
      <c r="G785" t="s">
        <v>1296</v>
      </c>
      <c r="H785" t="s">
        <v>2643</v>
      </c>
      <c r="I785">
        <v>418542042920.18939</v>
      </c>
      <c r="J785">
        <v>95079303.138962001</v>
      </c>
      <c r="K785">
        <v>227.1678669975</v>
      </c>
      <c r="L785"/>
      <c r="M785"/>
      <c r="N785"/>
      <c r="O785"/>
      <c r="P785"/>
      <c r="Q785"/>
      <c r="R785"/>
      <c r="S785"/>
      <c r="T785">
        <v>191.40678779999999</v>
      </c>
      <c r="U785">
        <v>61.2</v>
      </c>
      <c r="V785" t="s">
        <v>2644</v>
      </c>
      <c r="W785" s="114" t="str">
        <f t="shared" si="36"/>
        <v>SOV</v>
      </c>
      <c r="X785" s="114" t="str">
        <f t="shared" si="37"/>
        <v>SOV</v>
      </c>
    </row>
    <row r="786" spans="1:24" hidden="1" x14ac:dyDescent="0.25">
      <c r="A786" s="114" t="str">
        <f t="shared" si="38"/>
        <v>4004</v>
      </c>
      <c r="B786" t="s">
        <v>2735</v>
      </c>
      <c r="C786" t="s">
        <v>2758</v>
      </c>
      <c r="D786" t="s">
        <v>3495</v>
      </c>
      <c r="E786" t="s">
        <v>175</v>
      </c>
      <c r="F786" t="s">
        <v>4812</v>
      </c>
      <c r="G786" t="s">
        <v>1296</v>
      </c>
      <c r="H786" t="s">
        <v>2643</v>
      </c>
      <c r="I786">
        <v>418542042920.18939</v>
      </c>
      <c r="J786">
        <v>95079303.138962001</v>
      </c>
      <c r="K786">
        <v>227.1678669975</v>
      </c>
      <c r="L786"/>
      <c r="M786"/>
      <c r="N786"/>
      <c r="O786"/>
      <c r="P786"/>
      <c r="Q786"/>
      <c r="R786"/>
      <c r="S786"/>
      <c r="T786">
        <v>191.40678779999999</v>
      </c>
      <c r="U786">
        <v>61.2</v>
      </c>
      <c r="V786" t="s">
        <v>2644</v>
      </c>
      <c r="W786" s="114" t="str">
        <f t="shared" si="36"/>
        <v>SOV</v>
      </c>
      <c r="X786" s="114" t="str">
        <f t="shared" si="37"/>
        <v>SOV</v>
      </c>
    </row>
    <row r="787" spans="1:24" hidden="1" x14ac:dyDescent="0.25">
      <c r="A787" s="114" t="str">
        <f t="shared" si="38"/>
        <v>CAND</v>
      </c>
      <c r="B787" t="s">
        <v>2375</v>
      </c>
      <c r="C787" t="s">
        <v>2376</v>
      </c>
      <c r="D787" t="s">
        <v>2377</v>
      </c>
      <c r="E787" t="s">
        <v>532</v>
      </c>
      <c r="F787" t="s">
        <v>1852</v>
      </c>
      <c r="G787" t="s">
        <v>1163</v>
      </c>
      <c r="H787" t="s">
        <v>1782</v>
      </c>
      <c r="I787" t="s">
        <v>90</v>
      </c>
      <c r="J787" t="s">
        <v>90</v>
      </c>
      <c r="K787">
        <v>83.541383510000003</v>
      </c>
      <c r="L787">
        <v>6.4400299700000003</v>
      </c>
      <c r="M787">
        <v>7.3233198699999997</v>
      </c>
      <c r="N787">
        <v>5.1970002800000001</v>
      </c>
      <c r="O787">
        <v>5.5004750299999996</v>
      </c>
      <c r="P787">
        <v>16.268492009234901</v>
      </c>
      <c r="Q787">
        <v>139.70575579999999</v>
      </c>
      <c r="R787">
        <v>23.079191116012179</v>
      </c>
      <c r="S787" t="s">
        <v>30</v>
      </c>
      <c r="T787">
        <v>83.541383510000003</v>
      </c>
      <c r="U787" t="s">
        <v>2819</v>
      </c>
      <c r="V787" t="s">
        <v>1059</v>
      </c>
      <c r="W787" s="114" t="str">
        <f t="shared" si="36"/>
        <v>ETF</v>
      </c>
      <c r="X787" s="114" t="str">
        <f t="shared" si="37"/>
        <v>Otros ETFs</v>
      </c>
    </row>
    <row r="788" spans="1:24" hidden="1" x14ac:dyDescent="0.25">
      <c r="A788" s="114" t="str">
        <f t="shared" si="38"/>
        <v>4004</v>
      </c>
      <c r="B788" t="s">
        <v>2735</v>
      </c>
      <c r="C788" t="s">
        <v>6318</v>
      </c>
      <c r="D788" t="s">
        <v>6319</v>
      </c>
      <c r="E788" t="s">
        <v>175</v>
      </c>
      <c r="F788" t="s">
        <v>4812</v>
      </c>
      <c r="G788" t="s">
        <v>1296</v>
      </c>
      <c r="H788" t="s">
        <v>2643</v>
      </c>
      <c r="I788">
        <v>418542042920.18939</v>
      </c>
      <c r="J788">
        <v>95079303.138962001</v>
      </c>
      <c r="K788">
        <v>227.1678669975</v>
      </c>
      <c r="L788"/>
      <c r="M788"/>
      <c r="N788"/>
      <c r="O788"/>
      <c r="P788"/>
      <c r="Q788"/>
      <c r="R788"/>
      <c r="S788"/>
      <c r="T788">
        <v>191.40678779999999</v>
      </c>
      <c r="U788">
        <v>61.2</v>
      </c>
      <c r="V788" t="s">
        <v>2644</v>
      </c>
      <c r="W788" s="114" t="str">
        <f t="shared" si="36"/>
        <v>SOV</v>
      </c>
      <c r="X788" s="114" t="str">
        <f t="shared" si="37"/>
        <v>SOV</v>
      </c>
    </row>
    <row r="789" spans="1:24" hidden="1" x14ac:dyDescent="0.25">
      <c r="A789" s="114" t="str">
        <f t="shared" si="38"/>
        <v>7456</v>
      </c>
      <c r="B789" t="s">
        <v>5353</v>
      </c>
      <c r="C789" t="s">
        <v>5354</v>
      </c>
      <c r="D789" t="s">
        <v>5355</v>
      </c>
      <c r="E789" t="s">
        <v>586</v>
      </c>
      <c r="F789" t="s">
        <v>1056</v>
      </c>
      <c r="G789" t="s">
        <v>1501</v>
      </c>
      <c r="H789" t="s">
        <v>1502</v>
      </c>
      <c r="I789" t="s">
        <v>90</v>
      </c>
      <c r="J789" t="s">
        <v>90</v>
      </c>
      <c r="K789">
        <v>131.27125156</v>
      </c>
      <c r="L789">
        <v>4.73096432</v>
      </c>
      <c r="M789">
        <v>4.80053675</v>
      </c>
      <c r="N789">
        <v>4.5853903100000002</v>
      </c>
      <c r="O789">
        <v>4.43351994</v>
      </c>
      <c r="P789">
        <v>2.414085397249512</v>
      </c>
      <c r="Q789">
        <v>167.32930647000001</v>
      </c>
      <c r="R789">
        <v>8.2198618356736475</v>
      </c>
      <c r="S789" t="s">
        <v>1063</v>
      </c>
      <c r="T789">
        <v>131.27125156</v>
      </c>
      <c r="U789" t="s">
        <v>2819</v>
      </c>
      <c r="V789" t="s">
        <v>1059</v>
      </c>
      <c r="W789" s="114" t="str">
        <f t="shared" si="36"/>
        <v>ETF</v>
      </c>
      <c r="X789" s="114" t="str">
        <f t="shared" si="37"/>
        <v>Otros ETFs</v>
      </c>
    </row>
    <row r="790" spans="1:24" hidden="1" x14ac:dyDescent="0.25">
      <c r="A790" s="114" t="str">
        <f t="shared" si="38"/>
        <v>7702</v>
      </c>
      <c r="B790" t="s">
        <v>5353</v>
      </c>
      <c r="C790" t="s">
        <v>5354</v>
      </c>
      <c r="D790" t="s">
        <v>5442</v>
      </c>
      <c r="E790" t="s">
        <v>586</v>
      </c>
      <c r="F790" t="s">
        <v>1056</v>
      </c>
      <c r="G790" t="s">
        <v>1501</v>
      </c>
      <c r="H790" t="s">
        <v>1502</v>
      </c>
      <c r="I790" t="s">
        <v>90</v>
      </c>
      <c r="J790" t="s">
        <v>90</v>
      </c>
      <c r="K790">
        <v>131.27125156</v>
      </c>
      <c r="L790">
        <v>4.73096432</v>
      </c>
      <c r="M790">
        <v>4.80053675</v>
      </c>
      <c r="N790">
        <v>4.5853903100000002</v>
      </c>
      <c r="O790">
        <v>4.43351994</v>
      </c>
      <c r="P790">
        <v>2.414085397249512</v>
      </c>
      <c r="Q790">
        <v>167.32930647000001</v>
      </c>
      <c r="R790">
        <v>8.2198618356736475</v>
      </c>
      <c r="S790" t="s">
        <v>1063</v>
      </c>
      <c r="T790">
        <v>131.27125156</v>
      </c>
      <c r="U790" t="s">
        <v>2819</v>
      </c>
      <c r="V790" t="s">
        <v>1059</v>
      </c>
      <c r="W790" s="114" t="str">
        <f t="shared" si="36"/>
        <v>ETF</v>
      </c>
      <c r="X790" s="114" t="str">
        <f t="shared" si="37"/>
        <v>Otros ETFs</v>
      </c>
    </row>
    <row r="791" spans="1:24" hidden="1" x14ac:dyDescent="0.25">
      <c r="A791" s="114" t="str">
        <f t="shared" si="38"/>
        <v>4006</v>
      </c>
      <c r="B791" t="s">
        <v>5441</v>
      </c>
      <c r="C791" t="s">
        <v>2760</v>
      </c>
      <c r="D791" t="s">
        <v>3468</v>
      </c>
      <c r="E791" t="s">
        <v>175</v>
      </c>
      <c r="F791" t="s">
        <v>4812</v>
      </c>
      <c r="G791" t="s">
        <v>1384</v>
      </c>
      <c r="H791" t="s">
        <v>2643</v>
      </c>
      <c r="I791">
        <v>330267137371.59229</v>
      </c>
      <c r="J791">
        <v>77822575.007273003</v>
      </c>
      <c r="K791">
        <v>235.63523645320001</v>
      </c>
      <c r="L791"/>
      <c r="M791"/>
      <c r="N791"/>
      <c r="O791"/>
      <c r="P791"/>
      <c r="Q791"/>
      <c r="R791"/>
      <c r="S791"/>
      <c r="T791">
        <v>172.5413326</v>
      </c>
      <c r="U791">
        <v>41.7</v>
      </c>
      <c r="V791" t="s">
        <v>2644</v>
      </c>
      <c r="W791" s="114" t="str">
        <f t="shared" si="36"/>
        <v>SOV</v>
      </c>
      <c r="X791" s="114" t="str">
        <f t="shared" si="37"/>
        <v>SOV</v>
      </c>
    </row>
    <row r="792" spans="1:24" hidden="1" x14ac:dyDescent="0.25">
      <c r="A792" s="114" t="str">
        <f t="shared" si="38"/>
        <v>MSIM</v>
      </c>
      <c r="B792" t="s">
        <v>2379</v>
      </c>
      <c r="C792" t="s">
        <v>2380</v>
      </c>
      <c r="D792" t="s">
        <v>2381</v>
      </c>
      <c r="E792" t="s">
        <v>586</v>
      </c>
      <c r="F792" t="s">
        <v>1056</v>
      </c>
      <c r="G792" t="s">
        <v>1057</v>
      </c>
      <c r="H792" t="s">
        <v>1288</v>
      </c>
      <c r="I792" t="s">
        <v>90</v>
      </c>
      <c r="J792" t="s">
        <v>90</v>
      </c>
      <c r="K792">
        <v>57.924723479999997</v>
      </c>
      <c r="L792">
        <v>5.4925950400000003</v>
      </c>
      <c r="M792">
        <v>4.4751181500000001</v>
      </c>
      <c r="N792">
        <v>4.8465186500000002</v>
      </c>
      <c r="O792">
        <v>5.8672125800000003</v>
      </c>
      <c r="P792">
        <v>0.98525611764741095</v>
      </c>
      <c r="Q792">
        <v>169.04739318</v>
      </c>
      <c r="R792">
        <v>10.967866307217321</v>
      </c>
      <c r="S792" t="s">
        <v>1063</v>
      </c>
      <c r="T792">
        <v>57.924723479999997</v>
      </c>
      <c r="U792" t="s">
        <v>2819</v>
      </c>
      <c r="V792" t="s">
        <v>1059</v>
      </c>
      <c r="W792" s="114" t="str">
        <f t="shared" si="36"/>
        <v>ETF</v>
      </c>
      <c r="X792" s="114" t="str">
        <f t="shared" si="37"/>
        <v>Otros ETFs</v>
      </c>
    </row>
    <row r="793" spans="1:24" hidden="1" x14ac:dyDescent="0.25">
      <c r="A793" s="114" t="str">
        <f t="shared" si="38"/>
        <v>4006</v>
      </c>
      <c r="B793" t="s">
        <v>5441</v>
      </c>
      <c r="C793" t="s">
        <v>844</v>
      </c>
      <c r="D793" t="s">
        <v>3476</v>
      </c>
      <c r="E793" t="s">
        <v>175</v>
      </c>
      <c r="F793" t="s">
        <v>4812</v>
      </c>
      <c r="G793" t="s">
        <v>1384</v>
      </c>
      <c r="H793" t="s">
        <v>2643</v>
      </c>
      <c r="I793">
        <v>330267137371.59229</v>
      </c>
      <c r="J793">
        <v>77822575.007273003</v>
      </c>
      <c r="K793">
        <v>235.63523645320001</v>
      </c>
      <c r="L793"/>
      <c r="M793"/>
      <c r="N793"/>
      <c r="O793"/>
      <c r="P793"/>
      <c r="Q793"/>
      <c r="R793"/>
      <c r="S793"/>
      <c r="T793">
        <v>172.5413326</v>
      </c>
      <c r="U793">
        <v>41.7</v>
      </c>
      <c r="V793" t="s">
        <v>2644</v>
      </c>
      <c r="W793" s="114" t="str">
        <f t="shared" si="36"/>
        <v>SOV</v>
      </c>
      <c r="X793" s="114" t="str">
        <f t="shared" si="37"/>
        <v>SOV</v>
      </c>
    </row>
    <row r="794" spans="1:24" hidden="1" x14ac:dyDescent="0.25">
      <c r="A794" s="114" t="str">
        <f t="shared" si="38"/>
        <v>7410</v>
      </c>
      <c r="B794" t="s">
        <v>5443</v>
      </c>
      <c r="C794" t="s">
        <v>2382</v>
      </c>
      <c r="D794" t="s">
        <v>2383</v>
      </c>
      <c r="E794" t="s">
        <v>586</v>
      </c>
      <c r="F794" t="s">
        <v>1056</v>
      </c>
      <c r="G794" t="s">
        <v>1163</v>
      </c>
      <c r="H794" t="s">
        <v>1791</v>
      </c>
      <c r="I794" t="s">
        <v>90</v>
      </c>
      <c r="J794" t="s">
        <v>90</v>
      </c>
      <c r="K794">
        <v>7.38250428</v>
      </c>
      <c r="L794">
        <v>7.3564587799999996</v>
      </c>
      <c r="M794">
        <v>5.3765586699999997</v>
      </c>
      <c r="N794">
        <v>5.0748702799999998</v>
      </c>
      <c r="O794">
        <v>6.9235545600000004</v>
      </c>
      <c r="P794">
        <v>1.5055818601113851</v>
      </c>
      <c r="Q794">
        <v>14.00207758</v>
      </c>
      <c r="R794">
        <v>58.017568361330412</v>
      </c>
      <c r="S794" t="s">
        <v>1073</v>
      </c>
      <c r="T794">
        <v>7.38250428</v>
      </c>
      <c r="U794" t="s">
        <v>2819</v>
      </c>
      <c r="V794" t="s">
        <v>1059</v>
      </c>
      <c r="W794" s="114" t="str">
        <f t="shared" si="36"/>
        <v>ETF</v>
      </c>
      <c r="X794" s="114" t="str">
        <f t="shared" si="37"/>
        <v>Otros ETFs</v>
      </c>
    </row>
    <row r="795" spans="1:24" hidden="1" x14ac:dyDescent="0.25">
      <c r="A795" s="114" t="str">
        <f t="shared" si="38"/>
        <v>4006</v>
      </c>
      <c r="B795" t="s">
        <v>5441</v>
      </c>
      <c r="C795" t="s">
        <v>6320</v>
      </c>
      <c r="D795" t="s">
        <v>6321</v>
      </c>
      <c r="E795" t="s">
        <v>175</v>
      </c>
      <c r="F795" t="s">
        <v>4812</v>
      </c>
      <c r="G795" t="s">
        <v>1384</v>
      </c>
      <c r="H795" t="s">
        <v>2643</v>
      </c>
      <c r="I795">
        <v>330267137371.59229</v>
      </c>
      <c r="J795">
        <v>77822575.007273003</v>
      </c>
      <c r="K795">
        <v>235.63523645320001</v>
      </c>
      <c r="L795"/>
      <c r="M795"/>
      <c r="N795"/>
      <c r="O795"/>
      <c r="P795"/>
      <c r="Q795"/>
      <c r="R795"/>
      <c r="S795"/>
      <c r="T795">
        <v>172.5413326</v>
      </c>
      <c r="U795">
        <v>41.7</v>
      </c>
      <c r="V795" t="s">
        <v>2644</v>
      </c>
      <c r="W795" s="114" t="str">
        <f t="shared" si="36"/>
        <v>SOV</v>
      </c>
      <c r="X795" s="114" t="str">
        <f t="shared" si="37"/>
        <v>SOV</v>
      </c>
    </row>
    <row r="796" spans="1:24" hidden="1" x14ac:dyDescent="0.25">
      <c r="A796" s="114" t="str">
        <f t="shared" si="38"/>
        <v>7025</v>
      </c>
      <c r="B796" t="s">
        <v>5097</v>
      </c>
      <c r="C796" t="s">
        <v>2385</v>
      </c>
      <c r="D796" t="s">
        <v>2386</v>
      </c>
      <c r="E796" t="s">
        <v>586</v>
      </c>
      <c r="F796" t="s">
        <v>1056</v>
      </c>
      <c r="G796" t="s">
        <v>1290</v>
      </c>
      <c r="H796" t="s">
        <v>1291</v>
      </c>
      <c r="I796" t="s">
        <v>90</v>
      </c>
      <c r="J796" t="s">
        <v>90</v>
      </c>
      <c r="K796">
        <v>32.20903852</v>
      </c>
      <c r="L796">
        <v>6.0191182000000003</v>
      </c>
      <c r="M796">
        <v>5.6773361600000003</v>
      </c>
      <c r="N796">
        <v>5.3195671600000001</v>
      </c>
      <c r="O796">
        <v>5.2196773700000003</v>
      </c>
      <c r="P796">
        <v>5.3217106434212864</v>
      </c>
      <c r="Q796">
        <v>93.322581229999997</v>
      </c>
      <c r="R796">
        <v>10.46472092944186</v>
      </c>
      <c r="S796" t="s">
        <v>30</v>
      </c>
      <c r="T796">
        <v>32.20903852</v>
      </c>
      <c r="U796" t="s">
        <v>2819</v>
      </c>
      <c r="V796" t="s">
        <v>1059</v>
      </c>
      <c r="W796" s="114" t="str">
        <f t="shared" si="36"/>
        <v>ETF</v>
      </c>
      <c r="X796" s="114" t="str">
        <f t="shared" si="37"/>
        <v>Otros ETFs</v>
      </c>
    </row>
    <row r="797" spans="1:24" hidden="1" x14ac:dyDescent="0.25">
      <c r="A797" s="114" t="str">
        <f t="shared" si="38"/>
        <v>4006</v>
      </c>
      <c r="B797" t="s">
        <v>5441</v>
      </c>
      <c r="C797" t="s">
        <v>178</v>
      </c>
      <c r="D797" t="s">
        <v>177</v>
      </c>
      <c r="E797" t="s">
        <v>175</v>
      </c>
      <c r="F797" t="s">
        <v>4812</v>
      </c>
      <c r="G797" t="s">
        <v>1384</v>
      </c>
      <c r="H797" t="s">
        <v>2643</v>
      </c>
      <c r="I797">
        <v>330267137371.59229</v>
      </c>
      <c r="J797">
        <v>77822575.007273003</v>
      </c>
      <c r="K797">
        <v>235.63523645320001</v>
      </c>
      <c r="L797"/>
      <c r="M797"/>
      <c r="N797"/>
      <c r="O797"/>
      <c r="P797"/>
      <c r="Q797"/>
      <c r="R797"/>
      <c r="S797"/>
      <c r="T797">
        <v>172.5413326</v>
      </c>
      <c r="U797">
        <v>41.7</v>
      </c>
      <c r="V797" t="s">
        <v>2644</v>
      </c>
      <c r="W797" s="114" t="str">
        <f t="shared" si="36"/>
        <v>SOV</v>
      </c>
      <c r="X797" s="114" t="str">
        <f t="shared" si="37"/>
        <v>SOV</v>
      </c>
    </row>
    <row r="798" spans="1:24" hidden="1" x14ac:dyDescent="0.25">
      <c r="A798" s="114" t="str">
        <f t="shared" si="38"/>
        <v>7018</v>
      </c>
      <c r="B798" t="s">
        <v>2387</v>
      </c>
      <c r="C798" t="s">
        <v>2388</v>
      </c>
      <c r="D798" t="s">
        <v>2389</v>
      </c>
      <c r="E798" t="s">
        <v>586</v>
      </c>
      <c r="F798" t="s">
        <v>1056</v>
      </c>
      <c r="G798" t="s">
        <v>1136</v>
      </c>
      <c r="H798" t="s">
        <v>6144</v>
      </c>
      <c r="I798" t="s">
        <v>90</v>
      </c>
      <c r="J798" t="s">
        <v>90</v>
      </c>
      <c r="K798">
        <v>31.734996540000001</v>
      </c>
      <c r="L798">
        <v>7.4078869100000002</v>
      </c>
      <c r="M798">
        <v>6.0212019799999998</v>
      </c>
      <c r="N798">
        <v>5.9903116299999999</v>
      </c>
      <c r="O798">
        <v>5.5743765099999996</v>
      </c>
      <c r="P798">
        <v>17.727873915421959</v>
      </c>
      <c r="Q798">
        <v>85.290780310000002</v>
      </c>
      <c r="R798">
        <v>12.88188375044639</v>
      </c>
      <c r="S798" t="s">
        <v>1073</v>
      </c>
      <c r="T798">
        <v>31.734996540000001</v>
      </c>
      <c r="U798" t="s">
        <v>2819</v>
      </c>
      <c r="V798" t="s">
        <v>1059</v>
      </c>
      <c r="W798" s="114" t="str">
        <f t="shared" si="36"/>
        <v>ETF</v>
      </c>
      <c r="X798" s="114" t="str">
        <f t="shared" si="37"/>
        <v>Otros ETFs</v>
      </c>
    </row>
    <row r="799" spans="1:24" hidden="1" x14ac:dyDescent="0.25">
      <c r="A799" s="114" t="str">
        <f t="shared" si="38"/>
        <v>4006</v>
      </c>
      <c r="B799" t="s">
        <v>5441</v>
      </c>
      <c r="C799" t="s">
        <v>5562</v>
      </c>
      <c r="D799" t="s">
        <v>5561</v>
      </c>
      <c r="E799" t="s">
        <v>175</v>
      </c>
      <c r="F799" t="s">
        <v>4812</v>
      </c>
      <c r="G799" t="s">
        <v>1384</v>
      </c>
      <c r="H799" t="s">
        <v>2643</v>
      </c>
      <c r="I799">
        <v>330267137371.59229</v>
      </c>
      <c r="J799">
        <v>77822575.007273003</v>
      </c>
      <c r="K799">
        <v>235.63523645320001</v>
      </c>
      <c r="L799"/>
      <c r="M799"/>
      <c r="N799"/>
      <c r="O799"/>
      <c r="P799"/>
      <c r="Q799"/>
      <c r="R799"/>
      <c r="S799"/>
      <c r="T799">
        <v>172.5413326</v>
      </c>
      <c r="U799">
        <v>41.7</v>
      </c>
      <c r="V799" t="s">
        <v>2644</v>
      </c>
      <c r="W799" s="114" t="str">
        <f t="shared" si="36"/>
        <v>SOV</v>
      </c>
      <c r="X799" s="114" t="str">
        <f t="shared" si="37"/>
        <v>SOV</v>
      </c>
    </row>
    <row r="800" spans="1:24" hidden="1" x14ac:dyDescent="0.25">
      <c r="A800" s="114" t="str">
        <f t="shared" si="38"/>
        <v>4006</v>
      </c>
      <c r="B800" t="s">
        <v>5441</v>
      </c>
      <c r="C800" t="s">
        <v>2761</v>
      </c>
      <c r="D800" t="s">
        <v>4824</v>
      </c>
      <c r="E800" t="s">
        <v>175</v>
      </c>
      <c r="F800" t="s">
        <v>4812</v>
      </c>
      <c r="G800" t="s">
        <v>1384</v>
      </c>
      <c r="H800" t="s">
        <v>2643</v>
      </c>
      <c r="I800">
        <v>330267137371.59229</v>
      </c>
      <c r="J800">
        <v>77822575.007273003</v>
      </c>
      <c r="K800">
        <v>235.63523645320001</v>
      </c>
      <c r="L800"/>
      <c r="M800"/>
      <c r="N800"/>
      <c r="O800"/>
      <c r="P800"/>
      <c r="Q800"/>
      <c r="R800"/>
      <c r="S800"/>
      <c r="T800">
        <v>172.5413326</v>
      </c>
      <c r="U800">
        <v>41.7</v>
      </c>
      <c r="V800" t="s">
        <v>2644</v>
      </c>
      <c r="W800" s="114" t="str">
        <f t="shared" si="36"/>
        <v>SOV</v>
      </c>
      <c r="X800" s="114" t="str">
        <f t="shared" si="37"/>
        <v>SOV</v>
      </c>
    </row>
    <row r="801" spans="1:24" hidden="1" x14ac:dyDescent="0.25">
      <c r="A801" s="114" t="str">
        <f t="shared" si="38"/>
        <v>7073</v>
      </c>
      <c r="B801" t="s">
        <v>2390</v>
      </c>
      <c r="C801" t="s">
        <v>2391</v>
      </c>
      <c r="D801" t="s">
        <v>2392</v>
      </c>
      <c r="E801" t="s">
        <v>586</v>
      </c>
      <c r="F801" t="s">
        <v>1056</v>
      </c>
      <c r="G801" t="s">
        <v>1163</v>
      </c>
      <c r="H801" t="s">
        <v>1164</v>
      </c>
      <c r="I801" t="s">
        <v>90</v>
      </c>
      <c r="J801" t="s">
        <v>90</v>
      </c>
      <c r="K801">
        <v>114.51935662</v>
      </c>
      <c r="L801">
        <v>7.3472947299999998</v>
      </c>
      <c r="M801">
        <v>6.4973526799999997</v>
      </c>
      <c r="N801">
        <v>4.72509595</v>
      </c>
      <c r="O801">
        <v>6.4818717799999996</v>
      </c>
      <c r="P801">
        <v>34.171937977347064</v>
      </c>
      <c r="Q801">
        <v>119.02405591</v>
      </c>
      <c r="R801">
        <v>65.141039244089825</v>
      </c>
      <c r="S801" t="s">
        <v>1073</v>
      </c>
      <c r="T801">
        <v>114.51935662</v>
      </c>
      <c r="U801" t="s">
        <v>2819</v>
      </c>
      <c r="V801" t="s">
        <v>1059</v>
      </c>
      <c r="W801" s="114" t="str">
        <f t="shared" si="36"/>
        <v>ETF</v>
      </c>
      <c r="X801" s="114" t="str">
        <f t="shared" si="37"/>
        <v>Otros ETFs</v>
      </c>
    </row>
    <row r="802" spans="1:24" hidden="1" x14ac:dyDescent="0.25">
      <c r="A802" s="114" t="str">
        <f t="shared" si="38"/>
        <v>7080</v>
      </c>
      <c r="B802" t="s">
        <v>2393</v>
      </c>
      <c r="C802" t="s">
        <v>708</v>
      </c>
      <c r="D802" t="s">
        <v>707</v>
      </c>
      <c r="E802" t="s">
        <v>586</v>
      </c>
      <c r="F802" t="s">
        <v>1056</v>
      </c>
      <c r="G802" t="s">
        <v>1290</v>
      </c>
      <c r="H802" t="s">
        <v>2268</v>
      </c>
      <c r="I802" t="s">
        <v>90</v>
      </c>
      <c r="J802" t="s">
        <v>90</v>
      </c>
      <c r="K802">
        <v>20.810884089999998</v>
      </c>
      <c r="L802">
        <v>5.2121464700000004</v>
      </c>
      <c r="M802">
        <v>4.3767579599999999</v>
      </c>
      <c r="N802">
        <v>5.6983674300000002</v>
      </c>
      <c r="O802">
        <v>4.9599318300000004</v>
      </c>
      <c r="P802">
        <v>3.34129933025589</v>
      </c>
      <c r="Q802">
        <v>67.033346179999995</v>
      </c>
      <c r="R802">
        <v>1.5909757984897399</v>
      </c>
      <c r="S802" t="s">
        <v>1063</v>
      </c>
      <c r="T802">
        <v>20.810884089999998</v>
      </c>
      <c r="U802" t="s">
        <v>2819</v>
      </c>
      <c r="V802" t="s">
        <v>1059</v>
      </c>
      <c r="W802" s="114" t="str">
        <f t="shared" si="36"/>
        <v>ETF</v>
      </c>
      <c r="X802" s="114" t="str">
        <f t="shared" si="37"/>
        <v>Otros ETFs</v>
      </c>
    </row>
    <row r="803" spans="1:24" hidden="1" x14ac:dyDescent="0.25">
      <c r="A803" s="114" t="str">
        <f t="shared" si="38"/>
        <v>4006</v>
      </c>
      <c r="B803" t="s">
        <v>5441</v>
      </c>
      <c r="C803" t="s">
        <v>870</v>
      </c>
      <c r="D803" t="s">
        <v>869</v>
      </c>
      <c r="E803" t="s">
        <v>175</v>
      </c>
      <c r="F803" t="s">
        <v>4812</v>
      </c>
      <c r="G803" t="s">
        <v>1384</v>
      </c>
      <c r="H803" t="s">
        <v>2643</v>
      </c>
      <c r="I803">
        <v>330267137371.59229</v>
      </c>
      <c r="J803">
        <v>77822575.007273003</v>
      </c>
      <c r="K803">
        <v>235.63523645320001</v>
      </c>
      <c r="L803"/>
      <c r="M803"/>
      <c r="N803"/>
      <c r="O803"/>
      <c r="P803"/>
      <c r="Q803"/>
      <c r="R803"/>
      <c r="S803"/>
      <c r="T803">
        <v>172.5413326</v>
      </c>
      <c r="U803">
        <v>41.7</v>
      </c>
      <c r="V803" t="s">
        <v>2644</v>
      </c>
      <c r="W803" s="114" t="str">
        <f t="shared" si="36"/>
        <v>SOV</v>
      </c>
      <c r="X803" s="114" t="str">
        <f t="shared" si="37"/>
        <v>SOV</v>
      </c>
    </row>
    <row r="804" spans="1:24" hidden="1" x14ac:dyDescent="0.25">
      <c r="A804" s="114" t="str">
        <f t="shared" si="38"/>
        <v>WELI</v>
      </c>
      <c r="B804" t="s">
        <v>5646</v>
      </c>
      <c r="C804" t="s">
        <v>2395</v>
      </c>
      <c r="D804" t="s">
        <v>2396</v>
      </c>
      <c r="E804" t="s">
        <v>586</v>
      </c>
      <c r="F804" t="s">
        <v>1056</v>
      </c>
      <c r="G804" t="s">
        <v>1136</v>
      </c>
      <c r="H804" t="s">
        <v>1494</v>
      </c>
      <c r="I804" t="s">
        <v>90</v>
      </c>
      <c r="J804" t="s">
        <v>90</v>
      </c>
      <c r="K804">
        <v>256.59882069000003</v>
      </c>
      <c r="L804">
        <v>4.4634605900000004</v>
      </c>
      <c r="M804">
        <v>5.11456716</v>
      </c>
      <c r="N804">
        <v>5.9904673300000004</v>
      </c>
      <c r="O804">
        <v>5.51461691</v>
      </c>
      <c r="P804">
        <v>0.24349518582056001</v>
      </c>
      <c r="Q804">
        <v>228.26327735000001</v>
      </c>
      <c r="R804">
        <v>0.132643679075932</v>
      </c>
      <c r="S804" t="s">
        <v>1063</v>
      </c>
      <c r="T804">
        <v>256.59882069000003</v>
      </c>
      <c r="U804" t="s">
        <v>2819</v>
      </c>
      <c r="V804" t="s">
        <v>1059</v>
      </c>
      <c r="W804" s="114" t="str">
        <f t="shared" si="36"/>
        <v>ETF</v>
      </c>
      <c r="X804" s="114" t="str">
        <f t="shared" si="37"/>
        <v>Otros ETFs</v>
      </c>
    </row>
    <row r="805" spans="1:24" hidden="1" x14ac:dyDescent="0.25">
      <c r="A805" s="114" t="str">
        <f t="shared" si="38"/>
        <v>4006</v>
      </c>
      <c r="B805" t="s">
        <v>5441</v>
      </c>
      <c r="C805" t="s">
        <v>5095</v>
      </c>
      <c r="D805" t="s">
        <v>5096</v>
      </c>
      <c r="E805" t="s">
        <v>175</v>
      </c>
      <c r="F805" t="s">
        <v>4812</v>
      </c>
      <c r="G805" t="s">
        <v>1384</v>
      </c>
      <c r="H805" t="s">
        <v>2643</v>
      </c>
      <c r="I805">
        <v>330267137371.59229</v>
      </c>
      <c r="J805">
        <v>77822575.007273003</v>
      </c>
      <c r="K805">
        <v>235.63523645320001</v>
      </c>
      <c r="L805"/>
      <c r="M805"/>
      <c r="N805"/>
      <c r="O805"/>
      <c r="P805"/>
      <c r="Q805"/>
      <c r="R805"/>
      <c r="S805"/>
      <c r="T805">
        <v>172.5413326</v>
      </c>
      <c r="U805">
        <v>41.7</v>
      </c>
      <c r="V805" t="s">
        <v>2644</v>
      </c>
      <c r="W805" s="114" t="str">
        <f t="shared" si="36"/>
        <v>SOV</v>
      </c>
      <c r="X805" s="114" t="str">
        <f t="shared" si="37"/>
        <v>SOV</v>
      </c>
    </row>
    <row r="806" spans="1:24" hidden="1" x14ac:dyDescent="0.25">
      <c r="A806" s="114" t="str">
        <f t="shared" si="38"/>
        <v>7209</v>
      </c>
      <c r="B806" t="s">
        <v>2397</v>
      </c>
      <c r="C806" t="s">
        <v>2398</v>
      </c>
      <c r="D806" t="s">
        <v>2399</v>
      </c>
      <c r="E806" t="s">
        <v>586</v>
      </c>
      <c r="F806" t="s">
        <v>1056</v>
      </c>
      <c r="G806" t="s">
        <v>1375</v>
      </c>
      <c r="H806" t="s">
        <v>1376</v>
      </c>
      <c r="I806" t="s">
        <v>90</v>
      </c>
      <c r="J806" t="s">
        <v>90</v>
      </c>
      <c r="K806">
        <v>19.02794184</v>
      </c>
      <c r="L806">
        <v>7.7001649900000002</v>
      </c>
      <c r="M806">
        <v>5.7093544700000001</v>
      </c>
      <c r="N806">
        <v>5.5132921100000001</v>
      </c>
      <c r="O806">
        <v>6.4781105800000001</v>
      </c>
      <c r="P806">
        <v>6.1053772515203448</v>
      </c>
      <c r="Q806">
        <v>38.234308560000002</v>
      </c>
      <c r="R806">
        <v>38.224001151882511</v>
      </c>
      <c r="S806" t="s">
        <v>1073</v>
      </c>
      <c r="T806">
        <v>19.02794184</v>
      </c>
      <c r="U806" t="s">
        <v>2819</v>
      </c>
      <c r="V806" t="s">
        <v>1059</v>
      </c>
      <c r="W806" s="114" t="str">
        <f t="shared" si="36"/>
        <v>ETF</v>
      </c>
      <c r="X806" s="114" t="str">
        <f t="shared" si="37"/>
        <v>Otros ETFs</v>
      </c>
    </row>
    <row r="807" spans="1:24" hidden="1" x14ac:dyDescent="0.25">
      <c r="A807" s="114" t="str">
        <f t="shared" si="38"/>
        <v>4006</v>
      </c>
      <c r="B807" t="s">
        <v>5441</v>
      </c>
      <c r="C807" t="s">
        <v>5644</v>
      </c>
      <c r="D807" t="s">
        <v>5645</v>
      </c>
      <c r="E807" t="s">
        <v>175</v>
      </c>
      <c r="F807" t="s">
        <v>4812</v>
      </c>
      <c r="G807" t="s">
        <v>1384</v>
      </c>
      <c r="H807" t="s">
        <v>2643</v>
      </c>
      <c r="I807">
        <v>330267137371.59229</v>
      </c>
      <c r="J807">
        <v>77822575.007273003</v>
      </c>
      <c r="K807">
        <v>235.63523645320001</v>
      </c>
      <c r="L807"/>
      <c r="M807"/>
      <c r="N807"/>
      <c r="O807"/>
      <c r="P807"/>
      <c r="Q807"/>
      <c r="R807"/>
      <c r="S807"/>
      <c r="T807">
        <v>172.5413326</v>
      </c>
      <c r="U807">
        <v>41.7</v>
      </c>
      <c r="V807" t="s">
        <v>2644</v>
      </c>
      <c r="W807" s="114" t="str">
        <f t="shared" si="36"/>
        <v>SOV</v>
      </c>
      <c r="X807" s="114" t="str">
        <f t="shared" si="37"/>
        <v>SOV</v>
      </c>
    </row>
    <row r="808" spans="1:24" hidden="1" x14ac:dyDescent="0.25">
      <c r="A808" s="114" t="str">
        <f t="shared" si="38"/>
        <v>7027</v>
      </c>
      <c r="B808" t="s">
        <v>5824</v>
      </c>
      <c r="C808" t="s">
        <v>5825</v>
      </c>
      <c r="D808" t="s">
        <v>5826</v>
      </c>
      <c r="E808" t="s">
        <v>586</v>
      </c>
      <c r="F808" t="s">
        <v>1056</v>
      </c>
      <c r="G808" t="s">
        <v>1375</v>
      </c>
      <c r="H808" t="s">
        <v>1376</v>
      </c>
      <c r="I808" t="s">
        <v>90</v>
      </c>
      <c r="J808" t="s">
        <v>90</v>
      </c>
      <c r="K808">
        <v>14.96209854</v>
      </c>
      <c r="L808">
        <v>8.0903234800000003</v>
      </c>
      <c r="M808">
        <v>6.0236853000000004</v>
      </c>
      <c r="N808">
        <v>5.5831677600000003</v>
      </c>
      <c r="O808">
        <v>6.6945800599999998</v>
      </c>
      <c r="P808">
        <v>6.2910811267566196</v>
      </c>
      <c r="Q808">
        <v>31.896893519999999</v>
      </c>
      <c r="R808">
        <v>44.504966485100553</v>
      </c>
      <c r="S808" t="s">
        <v>1073</v>
      </c>
      <c r="T808">
        <v>14.96209854</v>
      </c>
      <c r="U808" t="s">
        <v>2819</v>
      </c>
      <c r="V808" t="s">
        <v>1059</v>
      </c>
      <c r="W808" s="114" t="str">
        <f t="shared" si="36"/>
        <v>ETF</v>
      </c>
      <c r="X808" s="114" t="str">
        <f t="shared" si="37"/>
        <v>Otros ETFs</v>
      </c>
    </row>
    <row r="809" spans="1:24" hidden="1" x14ac:dyDescent="0.25">
      <c r="A809" s="114" t="str">
        <f t="shared" si="38"/>
        <v>4006</v>
      </c>
      <c r="B809" t="s">
        <v>5441</v>
      </c>
      <c r="C809" t="s">
        <v>5560</v>
      </c>
      <c r="D809" t="s">
        <v>5559</v>
      </c>
      <c r="E809" t="s">
        <v>175</v>
      </c>
      <c r="F809" t="s">
        <v>4812</v>
      </c>
      <c r="G809" t="s">
        <v>1384</v>
      </c>
      <c r="H809" t="s">
        <v>2643</v>
      </c>
      <c r="I809">
        <v>330267137371.59229</v>
      </c>
      <c r="J809">
        <v>77822575.007273003</v>
      </c>
      <c r="K809">
        <v>235.63523645320001</v>
      </c>
      <c r="L809"/>
      <c r="M809"/>
      <c r="N809"/>
      <c r="O809"/>
      <c r="P809"/>
      <c r="Q809"/>
      <c r="R809"/>
      <c r="S809"/>
      <c r="T809">
        <v>172.5413326</v>
      </c>
      <c r="U809">
        <v>41.7</v>
      </c>
      <c r="V809" t="s">
        <v>2644</v>
      </c>
      <c r="W809" s="114" t="str">
        <f t="shared" si="36"/>
        <v>SOV</v>
      </c>
      <c r="X809" s="114" t="str">
        <f t="shared" si="37"/>
        <v>SOV</v>
      </c>
    </row>
    <row r="810" spans="1:24" hidden="1" x14ac:dyDescent="0.25">
      <c r="A810" s="114" t="str">
        <f t="shared" si="38"/>
        <v>4006</v>
      </c>
      <c r="B810" t="s">
        <v>5441</v>
      </c>
      <c r="C810" t="s">
        <v>2762</v>
      </c>
      <c r="D810" t="s">
        <v>3136</v>
      </c>
      <c r="E810" t="s">
        <v>175</v>
      </c>
      <c r="F810" t="s">
        <v>4812</v>
      </c>
      <c r="G810" t="s">
        <v>1384</v>
      </c>
      <c r="H810" t="s">
        <v>2643</v>
      </c>
      <c r="I810">
        <v>330267137371.59229</v>
      </c>
      <c r="J810">
        <v>77822575.007273003</v>
      </c>
      <c r="K810">
        <v>235.63523645320001</v>
      </c>
      <c r="L810"/>
      <c r="M810"/>
      <c r="N810"/>
      <c r="O810"/>
      <c r="P810"/>
      <c r="Q810"/>
      <c r="R810"/>
      <c r="S810"/>
      <c r="T810">
        <v>172.5413326</v>
      </c>
      <c r="U810">
        <v>41.7</v>
      </c>
      <c r="V810" t="s">
        <v>2644</v>
      </c>
      <c r="W810" s="114" t="str">
        <f t="shared" si="36"/>
        <v>SOV</v>
      </c>
      <c r="X810" s="114" t="str">
        <f t="shared" si="37"/>
        <v>SOV</v>
      </c>
    </row>
    <row r="811" spans="1:24" hidden="1" x14ac:dyDescent="0.25">
      <c r="A811" s="114" t="str">
        <f t="shared" si="38"/>
        <v>4006</v>
      </c>
      <c r="B811" t="s">
        <v>5441</v>
      </c>
      <c r="C811" t="s">
        <v>2763</v>
      </c>
      <c r="D811" t="s">
        <v>3139</v>
      </c>
      <c r="E811" t="s">
        <v>175</v>
      </c>
      <c r="F811" t="s">
        <v>4812</v>
      </c>
      <c r="G811" t="s">
        <v>1384</v>
      </c>
      <c r="H811" t="s">
        <v>2643</v>
      </c>
      <c r="I811">
        <v>330267137371.59229</v>
      </c>
      <c r="J811">
        <v>77822575.007273003</v>
      </c>
      <c r="K811">
        <v>235.63523645320001</v>
      </c>
      <c r="L811"/>
      <c r="M811"/>
      <c r="N811"/>
      <c r="O811"/>
      <c r="P811"/>
      <c r="Q811"/>
      <c r="R811"/>
      <c r="S811"/>
      <c r="T811">
        <v>172.5413326</v>
      </c>
      <c r="U811">
        <v>41.7</v>
      </c>
      <c r="V811" t="s">
        <v>2644</v>
      </c>
      <c r="W811" s="114" t="str">
        <f t="shared" si="36"/>
        <v>SOV</v>
      </c>
      <c r="X811" s="114" t="str">
        <f t="shared" si="37"/>
        <v>SOV</v>
      </c>
    </row>
    <row r="812" spans="1:24" hidden="1" x14ac:dyDescent="0.25">
      <c r="A812" s="114" t="str">
        <f t="shared" si="38"/>
        <v>7435</v>
      </c>
      <c r="B812" t="s">
        <v>2401</v>
      </c>
      <c r="C812" t="s">
        <v>2402</v>
      </c>
      <c r="D812" t="s">
        <v>2403</v>
      </c>
      <c r="E812" t="s">
        <v>586</v>
      </c>
      <c r="F812" t="s">
        <v>1056</v>
      </c>
      <c r="G812" t="s">
        <v>1290</v>
      </c>
      <c r="H812" t="s">
        <v>1291</v>
      </c>
      <c r="I812" t="s">
        <v>90</v>
      </c>
      <c r="J812" t="s">
        <v>90</v>
      </c>
      <c r="K812">
        <v>184.36892531999999</v>
      </c>
      <c r="L812">
        <v>6.2516312799999998</v>
      </c>
      <c r="M812">
        <v>5.67327958</v>
      </c>
      <c r="N812">
        <v>5.4141346500000003</v>
      </c>
      <c r="O812">
        <v>5.0152688400000001</v>
      </c>
      <c r="P812">
        <v>22.686943731146069</v>
      </c>
      <c r="Q812">
        <v>301.98908628999999</v>
      </c>
      <c r="R812">
        <v>6.7770935653561368</v>
      </c>
      <c r="S812" t="s">
        <v>30</v>
      </c>
      <c r="T812">
        <v>184.36892531999999</v>
      </c>
      <c r="U812" t="s">
        <v>2819</v>
      </c>
      <c r="V812" t="s">
        <v>1059</v>
      </c>
      <c r="W812" s="114" t="str">
        <f t="shared" si="36"/>
        <v>ETF</v>
      </c>
      <c r="X812" s="114" t="str">
        <f t="shared" si="37"/>
        <v>Otros ETFs</v>
      </c>
    </row>
    <row r="813" spans="1:24" hidden="1" x14ac:dyDescent="0.25">
      <c r="A813" s="114" t="str">
        <f t="shared" si="38"/>
        <v>4006</v>
      </c>
      <c r="B813" t="s">
        <v>5441</v>
      </c>
      <c r="C813" t="s">
        <v>2764</v>
      </c>
      <c r="D813" t="s">
        <v>3138</v>
      </c>
      <c r="E813" t="s">
        <v>175</v>
      </c>
      <c r="F813" t="s">
        <v>4812</v>
      </c>
      <c r="G813" t="s">
        <v>1384</v>
      </c>
      <c r="H813" t="s">
        <v>2643</v>
      </c>
      <c r="I813">
        <v>330267137371.59229</v>
      </c>
      <c r="J813">
        <v>77822575.007273003</v>
      </c>
      <c r="K813">
        <v>235.63523645320001</v>
      </c>
      <c r="L813"/>
      <c r="M813"/>
      <c r="N813"/>
      <c r="O813"/>
      <c r="P813"/>
      <c r="Q813"/>
      <c r="R813"/>
      <c r="S813"/>
      <c r="T813">
        <v>172.5413326</v>
      </c>
      <c r="U813">
        <v>41.7</v>
      </c>
      <c r="V813" t="s">
        <v>2644</v>
      </c>
      <c r="W813" s="114" t="str">
        <f t="shared" si="36"/>
        <v>SOV</v>
      </c>
      <c r="X813" s="114" t="str">
        <f t="shared" si="37"/>
        <v>SOV</v>
      </c>
    </row>
    <row r="814" spans="1:24" hidden="1" x14ac:dyDescent="0.25">
      <c r="A814" s="114" t="str">
        <f t="shared" si="38"/>
        <v>4006</v>
      </c>
      <c r="B814" t="s">
        <v>5441</v>
      </c>
      <c r="C814" t="s">
        <v>5356</v>
      </c>
      <c r="D814" t="s">
        <v>5357</v>
      </c>
      <c r="E814" t="s">
        <v>175</v>
      </c>
      <c r="F814" t="s">
        <v>4812</v>
      </c>
      <c r="G814" t="s">
        <v>1384</v>
      </c>
      <c r="H814" t="s">
        <v>2643</v>
      </c>
      <c r="I814">
        <v>330267137371.59229</v>
      </c>
      <c r="J814">
        <v>77822575.007273003</v>
      </c>
      <c r="K814">
        <v>235.63523645320001</v>
      </c>
      <c r="L814"/>
      <c r="M814"/>
      <c r="N814"/>
      <c r="O814"/>
      <c r="P814"/>
      <c r="Q814"/>
      <c r="R814"/>
      <c r="S814"/>
      <c r="T814">
        <v>172.5413326</v>
      </c>
      <c r="U814">
        <v>41.7</v>
      </c>
      <c r="V814" t="s">
        <v>2644</v>
      </c>
      <c r="W814" s="114" t="str">
        <f t="shared" si="36"/>
        <v>SOV</v>
      </c>
      <c r="X814" s="114" t="str">
        <f t="shared" si="37"/>
        <v>SOV</v>
      </c>
    </row>
    <row r="815" spans="1:24" hidden="1" x14ac:dyDescent="0.25">
      <c r="A815" s="114" t="str">
        <f t="shared" si="38"/>
        <v>7556</v>
      </c>
      <c r="B815" t="s">
        <v>6322</v>
      </c>
      <c r="C815" t="s">
        <v>6323</v>
      </c>
      <c r="D815" t="s">
        <v>6324</v>
      </c>
      <c r="E815" t="s">
        <v>586</v>
      </c>
      <c r="F815" t="s">
        <v>1056</v>
      </c>
      <c r="G815" t="s">
        <v>6325</v>
      </c>
      <c r="H815" t="s">
        <v>6326</v>
      </c>
      <c r="I815" t="s">
        <v>90</v>
      </c>
      <c r="J815" t="s">
        <v>90</v>
      </c>
      <c r="K815">
        <v>346.93248103000002</v>
      </c>
      <c r="L815">
        <v>3.9932170500000002</v>
      </c>
      <c r="M815">
        <v>2.7735808500000001</v>
      </c>
      <c r="N815">
        <v>4.7108652800000002</v>
      </c>
      <c r="O815">
        <v>4.0284408999999997</v>
      </c>
      <c r="P815">
        <v>0</v>
      </c>
      <c r="Q815">
        <v>2132.7200360699999</v>
      </c>
      <c r="R815">
        <v>0</v>
      </c>
      <c r="S815" t="s">
        <v>1138</v>
      </c>
      <c r="T815">
        <v>346.93248103000002</v>
      </c>
      <c r="U815" t="s">
        <v>2819</v>
      </c>
      <c r="V815" t="s">
        <v>1059</v>
      </c>
      <c r="W815" s="114" t="str">
        <f t="shared" si="36"/>
        <v>ETF</v>
      </c>
      <c r="X815" s="114" t="str">
        <f t="shared" si="37"/>
        <v>Otros ETFs</v>
      </c>
    </row>
    <row r="816" spans="1:24" hidden="1" x14ac:dyDescent="0.25">
      <c r="A816" s="114" t="str">
        <f t="shared" si="38"/>
        <v>7416</v>
      </c>
      <c r="B816" t="s">
        <v>5252</v>
      </c>
      <c r="C816" t="s">
        <v>2404</v>
      </c>
      <c r="D816" t="s">
        <v>2405</v>
      </c>
      <c r="E816" t="s">
        <v>586</v>
      </c>
      <c r="F816" t="s">
        <v>1056</v>
      </c>
      <c r="G816" t="s">
        <v>1057</v>
      </c>
      <c r="H816" t="s">
        <v>1058</v>
      </c>
      <c r="I816" t="s">
        <v>90</v>
      </c>
      <c r="J816" t="s">
        <v>90</v>
      </c>
      <c r="K816">
        <v>17.380253830000001</v>
      </c>
      <c r="L816">
        <v>6.3580872800000003</v>
      </c>
      <c r="M816">
        <v>6.5091173400000004</v>
      </c>
      <c r="N816">
        <v>4.93571954</v>
      </c>
      <c r="O816">
        <v>5.6256556399999997</v>
      </c>
      <c r="P816">
        <v>31.204168795831201</v>
      </c>
      <c r="Q816">
        <v>48.783722609999998</v>
      </c>
      <c r="R816">
        <v>11.794988205011791</v>
      </c>
      <c r="S816" t="s">
        <v>30</v>
      </c>
      <c r="T816">
        <v>17.380253830000001</v>
      </c>
      <c r="U816" t="s">
        <v>2819</v>
      </c>
      <c r="V816" t="s">
        <v>1059</v>
      </c>
      <c r="W816" s="114" t="str">
        <f t="shared" si="36"/>
        <v>ETF</v>
      </c>
      <c r="X816" s="114" t="str">
        <f t="shared" si="37"/>
        <v>Otros ETFs</v>
      </c>
    </row>
    <row r="817" spans="1:24" hidden="1" x14ac:dyDescent="0.25">
      <c r="A817" s="114" t="str">
        <f t="shared" si="38"/>
        <v>4006</v>
      </c>
      <c r="B817" t="s">
        <v>5441</v>
      </c>
      <c r="C817" t="s">
        <v>2765</v>
      </c>
      <c r="D817" t="s">
        <v>3478</v>
      </c>
      <c r="E817" t="s">
        <v>175</v>
      </c>
      <c r="F817" t="s">
        <v>4812</v>
      </c>
      <c r="G817" t="s">
        <v>1384</v>
      </c>
      <c r="H817" t="s">
        <v>2643</v>
      </c>
      <c r="I817">
        <v>330267137371.59229</v>
      </c>
      <c r="J817">
        <v>77822575.007273003</v>
      </c>
      <c r="K817">
        <v>235.63523645320001</v>
      </c>
      <c r="L817"/>
      <c r="M817"/>
      <c r="N817"/>
      <c r="O817"/>
      <c r="P817"/>
      <c r="Q817"/>
      <c r="R817"/>
      <c r="S817"/>
      <c r="T817">
        <v>172.5413326</v>
      </c>
      <c r="U817">
        <v>41.7</v>
      </c>
      <c r="V817" t="s">
        <v>2644</v>
      </c>
      <c r="W817" s="114" t="str">
        <f t="shared" si="36"/>
        <v>SOV</v>
      </c>
      <c r="X817" s="114" t="str">
        <f t="shared" si="37"/>
        <v>SOV</v>
      </c>
    </row>
    <row r="818" spans="1:24" hidden="1" x14ac:dyDescent="0.25">
      <c r="A818" s="114" t="str">
        <f t="shared" si="38"/>
        <v>7409</v>
      </c>
      <c r="B818" t="s">
        <v>2406</v>
      </c>
      <c r="C818" t="s">
        <v>646</v>
      </c>
      <c r="D818" t="s">
        <v>645</v>
      </c>
      <c r="E818" t="s">
        <v>586</v>
      </c>
      <c r="F818" t="s">
        <v>1056</v>
      </c>
      <c r="G818" t="s">
        <v>1375</v>
      </c>
      <c r="H818" t="s">
        <v>1376</v>
      </c>
      <c r="I818" t="s">
        <v>90</v>
      </c>
      <c r="J818" t="s">
        <v>90</v>
      </c>
      <c r="K818">
        <v>131.51194706999999</v>
      </c>
      <c r="L818">
        <v>7.4156270099999997</v>
      </c>
      <c r="M818">
        <v>5.80421912</v>
      </c>
      <c r="N818">
        <v>5.4445404499999999</v>
      </c>
      <c r="O818">
        <v>6.0774699400000003</v>
      </c>
      <c r="P818">
        <v>1.64277864387763</v>
      </c>
      <c r="Q818">
        <v>135.25869391000001</v>
      </c>
      <c r="R818">
        <v>36.795721655618479</v>
      </c>
      <c r="S818" t="s">
        <v>1073</v>
      </c>
      <c r="T818">
        <v>131.51194706999999</v>
      </c>
      <c r="U818" t="s">
        <v>2819</v>
      </c>
      <c r="V818" t="s">
        <v>1059</v>
      </c>
      <c r="W818" s="114" t="str">
        <f t="shared" si="36"/>
        <v>ETF</v>
      </c>
      <c r="X818" s="114" t="str">
        <f t="shared" si="37"/>
        <v>Otros ETFs</v>
      </c>
    </row>
    <row r="819" spans="1:24" hidden="1" x14ac:dyDescent="0.25">
      <c r="A819" s="114" t="str">
        <f t="shared" si="38"/>
        <v>4006</v>
      </c>
      <c r="B819" t="s">
        <v>5441</v>
      </c>
      <c r="C819" t="s">
        <v>2766</v>
      </c>
      <c r="D819" t="s">
        <v>3483</v>
      </c>
      <c r="E819" t="s">
        <v>175</v>
      </c>
      <c r="F819" t="s">
        <v>4812</v>
      </c>
      <c r="G819" t="s">
        <v>1384</v>
      </c>
      <c r="H819" t="s">
        <v>2643</v>
      </c>
      <c r="I819">
        <v>330267137371.59229</v>
      </c>
      <c r="J819">
        <v>77822575.007273003</v>
      </c>
      <c r="K819">
        <v>235.63523645320001</v>
      </c>
      <c r="L819"/>
      <c r="M819"/>
      <c r="N819"/>
      <c r="O819"/>
      <c r="P819"/>
      <c r="Q819"/>
      <c r="R819"/>
      <c r="S819"/>
      <c r="T819">
        <v>172.5413326</v>
      </c>
      <c r="U819">
        <v>41.7</v>
      </c>
      <c r="V819" t="s">
        <v>2644</v>
      </c>
      <c r="W819" s="114" t="str">
        <f t="shared" si="36"/>
        <v>SOV</v>
      </c>
      <c r="X819" s="114" t="str">
        <f t="shared" si="37"/>
        <v>SOV</v>
      </c>
    </row>
    <row r="820" spans="1:24" hidden="1" x14ac:dyDescent="0.25">
      <c r="A820" s="114" t="str">
        <f t="shared" si="38"/>
        <v>4006</v>
      </c>
      <c r="B820" t="s">
        <v>5441</v>
      </c>
      <c r="C820" t="s">
        <v>2767</v>
      </c>
      <c r="D820" t="s">
        <v>3482</v>
      </c>
      <c r="E820" t="s">
        <v>175</v>
      </c>
      <c r="F820" t="s">
        <v>4812</v>
      </c>
      <c r="G820" t="s">
        <v>1384</v>
      </c>
      <c r="H820" t="s">
        <v>2643</v>
      </c>
      <c r="I820">
        <v>330267137371.59229</v>
      </c>
      <c r="J820">
        <v>77822575.007273003</v>
      </c>
      <c r="K820">
        <v>235.63523645320001</v>
      </c>
      <c r="L820"/>
      <c r="M820"/>
      <c r="N820"/>
      <c r="O820"/>
      <c r="P820"/>
      <c r="Q820"/>
      <c r="R820"/>
      <c r="S820"/>
      <c r="T820">
        <v>172.5413326</v>
      </c>
      <c r="U820">
        <v>41.7</v>
      </c>
      <c r="V820" t="s">
        <v>2644</v>
      </c>
      <c r="W820" s="114" t="str">
        <f t="shared" si="36"/>
        <v>SOV</v>
      </c>
      <c r="X820" s="114" t="str">
        <f t="shared" si="37"/>
        <v>SOV</v>
      </c>
    </row>
    <row r="821" spans="1:24" hidden="1" x14ac:dyDescent="0.25">
      <c r="A821" s="114" t="str">
        <f t="shared" si="38"/>
        <v>7386</v>
      </c>
      <c r="B821" t="s">
        <v>6327</v>
      </c>
      <c r="C821" t="s">
        <v>2408</v>
      </c>
      <c r="D821" t="s">
        <v>2409</v>
      </c>
      <c r="E821" t="s">
        <v>586</v>
      </c>
      <c r="F821" t="s">
        <v>1056</v>
      </c>
      <c r="G821" t="s">
        <v>1501</v>
      </c>
      <c r="H821" t="s">
        <v>1502</v>
      </c>
      <c r="I821" t="s">
        <v>90</v>
      </c>
      <c r="J821" t="s">
        <v>90</v>
      </c>
      <c r="K821">
        <v>116.57976942000001</v>
      </c>
      <c r="L821">
        <v>5.6462478000000003</v>
      </c>
      <c r="M821">
        <v>4.7924615700000004</v>
      </c>
      <c r="N821">
        <v>4.4118184899999999</v>
      </c>
      <c r="O821">
        <v>5.2335061600000001</v>
      </c>
      <c r="P821">
        <v>11.86436520652213</v>
      </c>
      <c r="Q821">
        <v>578.70196620000002</v>
      </c>
      <c r="R821">
        <v>28.531833126152211</v>
      </c>
      <c r="S821" t="s">
        <v>1063</v>
      </c>
      <c r="T821">
        <v>116.57976942000001</v>
      </c>
      <c r="U821" t="s">
        <v>2819</v>
      </c>
      <c r="V821" t="s">
        <v>1059</v>
      </c>
      <c r="W821" s="114" t="str">
        <f t="shared" si="36"/>
        <v>ETF</v>
      </c>
      <c r="X821" s="114" t="str">
        <f t="shared" si="37"/>
        <v>Otros ETFs</v>
      </c>
    </row>
    <row r="822" spans="1:24" hidden="1" x14ac:dyDescent="0.25">
      <c r="A822" s="114" t="str">
        <f t="shared" si="38"/>
        <v>4006</v>
      </c>
      <c r="B822" t="s">
        <v>5441</v>
      </c>
      <c r="C822" t="s">
        <v>2768</v>
      </c>
      <c r="D822" t="s">
        <v>3467</v>
      </c>
      <c r="E822" t="s">
        <v>175</v>
      </c>
      <c r="F822" t="s">
        <v>4812</v>
      </c>
      <c r="G822" t="s">
        <v>1384</v>
      </c>
      <c r="H822" t="s">
        <v>2643</v>
      </c>
      <c r="I822">
        <v>330267137371.59229</v>
      </c>
      <c r="J822">
        <v>77822575.007273003</v>
      </c>
      <c r="K822">
        <v>235.63523645320001</v>
      </c>
      <c r="L822"/>
      <c r="M822"/>
      <c r="N822"/>
      <c r="O822"/>
      <c r="P822"/>
      <c r="Q822"/>
      <c r="R822"/>
      <c r="S822"/>
      <c r="T822">
        <v>172.5413326</v>
      </c>
      <c r="U822">
        <v>41.7</v>
      </c>
      <c r="V822" t="s">
        <v>2644</v>
      </c>
      <c r="W822" s="114" t="str">
        <f t="shared" si="36"/>
        <v>SOV</v>
      </c>
      <c r="X822" s="114" t="str">
        <f t="shared" si="37"/>
        <v>SOV</v>
      </c>
    </row>
    <row r="823" spans="1:24" hidden="1" x14ac:dyDescent="0.25">
      <c r="A823" s="114" t="str">
        <f t="shared" si="38"/>
        <v>UTII</v>
      </c>
      <c r="B823" t="s">
        <v>5647</v>
      </c>
      <c r="C823" t="s">
        <v>2410</v>
      </c>
      <c r="D823" t="s">
        <v>2411</v>
      </c>
      <c r="E823" t="s">
        <v>586</v>
      </c>
      <c r="F823" t="s">
        <v>1056</v>
      </c>
      <c r="G823" t="s">
        <v>1501</v>
      </c>
      <c r="H823" t="s">
        <v>1502</v>
      </c>
      <c r="I823" t="s">
        <v>90</v>
      </c>
      <c r="J823" t="s">
        <v>90</v>
      </c>
      <c r="K823">
        <v>22.146644989999999</v>
      </c>
      <c r="L823">
        <v>6.0472021099999997</v>
      </c>
      <c r="M823">
        <v>5.2758174999999996</v>
      </c>
      <c r="N823">
        <v>4.5830025799999996</v>
      </c>
      <c r="O823">
        <v>5.4499990900000004</v>
      </c>
      <c r="P823">
        <v>6.1635876728246544</v>
      </c>
      <c r="Q823">
        <v>143.05236721</v>
      </c>
      <c r="R823">
        <v>23.840352319295359</v>
      </c>
      <c r="S823" t="s">
        <v>30</v>
      </c>
      <c r="T823">
        <v>22.146644989999999</v>
      </c>
      <c r="U823" t="s">
        <v>2819</v>
      </c>
      <c r="V823" t="s">
        <v>1059</v>
      </c>
      <c r="W823" s="114" t="str">
        <f t="shared" si="36"/>
        <v>ETF</v>
      </c>
      <c r="X823" s="114" t="str">
        <f t="shared" si="37"/>
        <v>Otros ETFs</v>
      </c>
    </row>
    <row r="824" spans="1:24" hidden="1" x14ac:dyDescent="0.25">
      <c r="A824" s="114" t="str">
        <f t="shared" si="38"/>
        <v>2089</v>
      </c>
      <c r="B824" t="s">
        <v>5444</v>
      </c>
      <c r="C824" t="s">
        <v>5445</v>
      </c>
      <c r="D824" t="s">
        <v>3329</v>
      </c>
      <c r="E824" t="s">
        <v>249</v>
      </c>
      <c r="F824" t="s">
        <v>4806</v>
      </c>
      <c r="G824" t="s">
        <v>1198</v>
      </c>
      <c r="H824" t="s">
        <v>5446</v>
      </c>
      <c r="I824">
        <v>1100.99</v>
      </c>
      <c r="J824">
        <v>1125225.7</v>
      </c>
      <c r="K824">
        <v>1022.01</v>
      </c>
      <c r="L824"/>
      <c r="M824"/>
      <c r="N824"/>
      <c r="O824"/>
      <c r="P824"/>
      <c r="Q824"/>
      <c r="R824"/>
      <c r="S824"/>
      <c r="T824">
        <v>1022.01</v>
      </c>
      <c r="U824" t="s">
        <v>2819</v>
      </c>
      <c r="V824" t="s">
        <v>1062</v>
      </c>
      <c r="W824" s="114" t="str">
        <f t="shared" si="36"/>
        <v>Portafolio</v>
      </c>
      <c r="X824" s="114" t="str">
        <f t="shared" si="37"/>
        <v>Portafolio</v>
      </c>
    </row>
    <row r="825" spans="1:24" hidden="1" x14ac:dyDescent="0.25">
      <c r="A825" s="114" t="str">
        <f t="shared" si="38"/>
        <v>TOKI</v>
      </c>
      <c r="B825" t="s">
        <v>5274</v>
      </c>
      <c r="C825" t="s">
        <v>2412</v>
      </c>
      <c r="D825" t="s">
        <v>2413</v>
      </c>
      <c r="E825" t="s">
        <v>586</v>
      </c>
      <c r="F825" t="s">
        <v>1056</v>
      </c>
      <c r="G825" t="s">
        <v>1375</v>
      </c>
      <c r="H825" t="s">
        <v>1376</v>
      </c>
      <c r="I825" t="s">
        <v>90</v>
      </c>
      <c r="J825" t="s">
        <v>90</v>
      </c>
      <c r="K825">
        <v>16.971283629999999</v>
      </c>
      <c r="L825">
        <v>7.4712161799999999</v>
      </c>
      <c r="M825">
        <v>5.8722543099999998</v>
      </c>
      <c r="N825">
        <v>5.4577216000000002</v>
      </c>
      <c r="O825">
        <v>6.2639769999999997</v>
      </c>
      <c r="P825">
        <v>0</v>
      </c>
      <c r="Q825">
        <v>35.147924000000003</v>
      </c>
      <c r="R825">
        <v>39.623100000000001</v>
      </c>
      <c r="S825" t="s">
        <v>1073</v>
      </c>
      <c r="T825">
        <v>16.971283629999999</v>
      </c>
      <c r="U825" t="s">
        <v>2819</v>
      </c>
      <c r="V825" t="s">
        <v>1059</v>
      </c>
      <c r="W825" s="114" t="str">
        <f t="shared" si="36"/>
        <v>ETF</v>
      </c>
      <c r="X825" s="114" t="str">
        <f t="shared" si="37"/>
        <v>Otros ETFs</v>
      </c>
    </row>
    <row r="826" spans="1:24" hidden="1" x14ac:dyDescent="0.25">
      <c r="A826" s="114" t="str">
        <f t="shared" si="38"/>
        <v>7408</v>
      </c>
      <c r="B826" t="s">
        <v>2414</v>
      </c>
      <c r="C826" t="s">
        <v>643</v>
      </c>
      <c r="D826" t="s">
        <v>2415</v>
      </c>
      <c r="E826" t="s">
        <v>586</v>
      </c>
      <c r="F826" t="s">
        <v>1056</v>
      </c>
      <c r="G826" t="s">
        <v>1714</v>
      </c>
      <c r="H826" t="s">
        <v>1164</v>
      </c>
      <c r="I826" t="s">
        <v>90</v>
      </c>
      <c r="J826" t="s">
        <v>90</v>
      </c>
      <c r="K826">
        <v>66.254312119999994</v>
      </c>
      <c r="L826">
        <v>7.3740035199999996</v>
      </c>
      <c r="M826">
        <v>6.6769732199999998</v>
      </c>
      <c r="N826">
        <v>5.1554049400000004</v>
      </c>
      <c r="O826">
        <v>6.4527840899999998</v>
      </c>
      <c r="P826">
        <v>23.025858967175701</v>
      </c>
      <c r="Q826">
        <v>96.663448349999996</v>
      </c>
      <c r="R826">
        <v>56.892071328157172</v>
      </c>
      <c r="S826" t="s">
        <v>1073</v>
      </c>
      <c r="T826">
        <v>66.254312119999994</v>
      </c>
      <c r="U826" t="s">
        <v>2819</v>
      </c>
      <c r="V826" t="s">
        <v>1059</v>
      </c>
      <c r="W826" s="114" t="str">
        <f t="shared" si="36"/>
        <v>ETF</v>
      </c>
      <c r="X826" s="114" t="str">
        <f t="shared" si="37"/>
        <v>Otros ETFs</v>
      </c>
    </row>
    <row r="827" spans="1:24" hidden="1" x14ac:dyDescent="0.25">
      <c r="A827" s="114" t="str">
        <f t="shared" si="38"/>
        <v>7408</v>
      </c>
      <c r="B827" t="s">
        <v>2414</v>
      </c>
      <c r="C827" t="s">
        <v>643</v>
      </c>
      <c r="D827" t="s">
        <v>642</v>
      </c>
      <c r="E827" t="s">
        <v>586</v>
      </c>
      <c r="F827" t="s">
        <v>1056</v>
      </c>
      <c r="G827" t="s">
        <v>1714</v>
      </c>
      <c r="H827" t="s">
        <v>1164</v>
      </c>
      <c r="I827" t="s">
        <v>90</v>
      </c>
      <c r="J827" t="s">
        <v>90</v>
      </c>
      <c r="K827">
        <v>66.254312119999994</v>
      </c>
      <c r="L827">
        <v>7.3740035199999996</v>
      </c>
      <c r="M827">
        <v>6.6769732199999998</v>
      </c>
      <c r="N827">
        <v>5.1554049400000004</v>
      </c>
      <c r="O827">
        <v>6.4527840899999998</v>
      </c>
      <c r="P827">
        <v>23.025858967175701</v>
      </c>
      <c r="Q827">
        <v>96.663448349999996</v>
      </c>
      <c r="R827">
        <v>56.892071328157172</v>
      </c>
      <c r="S827" t="s">
        <v>1073</v>
      </c>
      <c r="T827">
        <v>66.254312119999994</v>
      </c>
      <c r="U827" t="s">
        <v>2819</v>
      </c>
      <c r="V827" t="s">
        <v>1059</v>
      </c>
      <c r="W827" s="114" t="str">
        <f t="shared" si="36"/>
        <v>ETF</v>
      </c>
      <c r="X827" s="114" t="str">
        <f t="shared" si="37"/>
        <v>Otros ETFs</v>
      </c>
    </row>
    <row r="828" spans="1:24" hidden="1" x14ac:dyDescent="0.25">
      <c r="A828" s="114" t="str">
        <f t="shared" si="38"/>
        <v>7510</v>
      </c>
      <c r="B828" t="s">
        <v>6064</v>
      </c>
      <c r="C828" t="s">
        <v>2417</v>
      </c>
      <c r="D828" t="s">
        <v>2418</v>
      </c>
      <c r="E828" t="s">
        <v>586</v>
      </c>
      <c r="F828" t="s">
        <v>1056</v>
      </c>
      <c r="G828" t="s">
        <v>1714</v>
      </c>
      <c r="H828" t="s">
        <v>1791</v>
      </c>
      <c r="I828" t="s">
        <v>90</v>
      </c>
      <c r="J828" t="s">
        <v>90</v>
      </c>
      <c r="K828">
        <v>123.58225025</v>
      </c>
      <c r="L828">
        <v>6.8821385199999998</v>
      </c>
      <c r="M828">
        <v>5.9356948000000003</v>
      </c>
      <c r="N828">
        <v>4.9631899700000002</v>
      </c>
      <c r="O828">
        <v>6.4798239100000004</v>
      </c>
      <c r="P828">
        <v>2.9470616881980529</v>
      </c>
      <c r="Q828">
        <v>102.64516630999999</v>
      </c>
      <c r="R828">
        <v>47.051788326751748</v>
      </c>
      <c r="S828" t="s">
        <v>30</v>
      </c>
      <c r="T828">
        <v>123.58225025</v>
      </c>
      <c r="U828" t="s">
        <v>2819</v>
      </c>
      <c r="V828" t="s">
        <v>1059</v>
      </c>
      <c r="W828" s="114" t="str">
        <f t="shared" si="36"/>
        <v>ETF</v>
      </c>
      <c r="X828" s="114" t="str">
        <f t="shared" si="37"/>
        <v>Otros ETFs</v>
      </c>
    </row>
    <row r="829" spans="1:24" hidden="1" x14ac:dyDescent="0.25">
      <c r="A829" s="114" t="str">
        <f t="shared" si="38"/>
        <v>7486</v>
      </c>
      <c r="B829" t="s">
        <v>5827</v>
      </c>
      <c r="C829" t="s">
        <v>5828</v>
      </c>
      <c r="D829" t="s">
        <v>5829</v>
      </c>
      <c r="E829" t="s">
        <v>586</v>
      </c>
      <c r="F829" t="s">
        <v>1056</v>
      </c>
      <c r="G829" t="s">
        <v>1071</v>
      </c>
      <c r="H829" t="s">
        <v>6153</v>
      </c>
      <c r="I829" t="s">
        <v>90</v>
      </c>
      <c r="J829" t="s">
        <v>90</v>
      </c>
      <c r="K829">
        <v>8.0960233800000001</v>
      </c>
      <c r="L829">
        <v>7.1538840600000002</v>
      </c>
      <c r="M829">
        <v>6.9798953800000003</v>
      </c>
      <c r="N829">
        <v>5.6188427000000001</v>
      </c>
      <c r="O829">
        <v>5.94602889</v>
      </c>
      <c r="P829">
        <v>8.4976114756037919</v>
      </c>
      <c r="Q829">
        <v>26.369739330000002</v>
      </c>
      <c r="R829">
        <v>28.988333746327729</v>
      </c>
      <c r="S829" t="s">
        <v>1073</v>
      </c>
      <c r="T829">
        <v>8.0960233800000001</v>
      </c>
      <c r="U829" t="s">
        <v>2819</v>
      </c>
      <c r="V829" t="s">
        <v>1059</v>
      </c>
      <c r="W829" s="114" t="str">
        <f t="shared" si="36"/>
        <v>ETF</v>
      </c>
      <c r="X829" s="114" t="str">
        <f t="shared" si="37"/>
        <v>Otros ETFs</v>
      </c>
    </row>
    <row r="830" spans="1:24" hidden="1" x14ac:dyDescent="0.25">
      <c r="A830" s="114" t="str">
        <f t="shared" si="38"/>
        <v>7049</v>
      </c>
      <c r="B830" t="s">
        <v>6328</v>
      </c>
      <c r="C830" t="s">
        <v>2420</v>
      </c>
      <c r="D830" t="s">
        <v>2421</v>
      </c>
      <c r="E830" t="s">
        <v>586</v>
      </c>
      <c r="F830" t="s">
        <v>1056</v>
      </c>
      <c r="G830" t="s">
        <v>1136</v>
      </c>
      <c r="H830" t="s">
        <v>1437</v>
      </c>
      <c r="I830" t="s">
        <v>90</v>
      </c>
      <c r="J830" t="s">
        <v>90</v>
      </c>
      <c r="K830">
        <v>309.90146354000001</v>
      </c>
      <c r="L830">
        <v>4.1369126899999999</v>
      </c>
      <c r="M830">
        <v>4.7893862900000004</v>
      </c>
      <c r="N830">
        <v>5.3115640199999996</v>
      </c>
      <c r="O830">
        <v>5.0413474300000001</v>
      </c>
      <c r="P830">
        <v>5.0262086301827438</v>
      </c>
      <c r="Q830">
        <v>531.18038992000004</v>
      </c>
      <c r="R830">
        <v>2.623531607348331</v>
      </c>
      <c r="S830" t="s">
        <v>1138</v>
      </c>
      <c r="T830">
        <v>309.90146354000001</v>
      </c>
      <c r="U830" t="s">
        <v>2819</v>
      </c>
      <c r="V830" t="s">
        <v>1059</v>
      </c>
      <c r="W830" s="114" t="str">
        <f t="shared" si="36"/>
        <v>ETF</v>
      </c>
      <c r="X830" s="114" t="str">
        <f t="shared" si="37"/>
        <v>Otros ETFs</v>
      </c>
    </row>
    <row r="831" spans="1:24" hidden="1" x14ac:dyDescent="0.25">
      <c r="A831" s="114" t="str">
        <f t="shared" si="38"/>
        <v>7080</v>
      </c>
      <c r="B831" t="s">
        <v>5830</v>
      </c>
      <c r="C831" t="s">
        <v>5831</v>
      </c>
      <c r="D831" t="s">
        <v>5832</v>
      </c>
      <c r="E831" t="s">
        <v>586</v>
      </c>
      <c r="F831" t="s">
        <v>1056</v>
      </c>
      <c r="G831" t="s">
        <v>1071</v>
      </c>
      <c r="H831" t="s">
        <v>6153</v>
      </c>
      <c r="I831" t="s">
        <v>90</v>
      </c>
      <c r="J831" t="s">
        <v>90</v>
      </c>
      <c r="K831">
        <v>4.6044877199999998</v>
      </c>
      <c r="L831">
        <v>7.9334002799999999</v>
      </c>
      <c r="M831">
        <v>5.71492851</v>
      </c>
      <c r="N831">
        <v>6.65723456</v>
      </c>
      <c r="O831">
        <v>6.4124034600000002</v>
      </c>
      <c r="P831">
        <v>5.3242946757053247</v>
      </c>
      <c r="Q831">
        <v>35.056806960000003</v>
      </c>
      <c r="R831">
        <v>26.57427342572657</v>
      </c>
      <c r="S831" t="s">
        <v>1073</v>
      </c>
      <c r="T831">
        <v>4.6044877199999998</v>
      </c>
      <c r="U831" t="s">
        <v>2819</v>
      </c>
      <c r="V831" t="s">
        <v>1059</v>
      </c>
      <c r="W831" s="114" t="str">
        <f t="shared" si="36"/>
        <v>ETF</v>
      </c>
      <c r="X831" s="114" t="str">
        <f t="shared" si="37"/>
        <v>Otros ETFs</v>
      </c>
    </row>
    <row r="832" spans="1:24" hidden="1" x14ac:dyDescent="0.25">
      <c r="A832" s="114" t="str">
        <f t="shared" si="38"/>
        <v>7456</v>
      </c>
      <c r="B832" t="s">
        <v>5253</v>
      </c>
      <c r="C832" t="s">
        <v>2422</v>
      </c>
      <c r="D832" t="s">
        <v>2423</v>
      </c>
      <c r="E832" t="s">
        <v>586</v>
      </c>
      <c r="F832" t="s">
        <v>1056</v>
      </c>
      <c r="G832" t="s">
        <v>1265</v>
      </c>
      <c r="H832" t="s">
        <v>1266</v>
      </c>
      <c r="I832" t="s">
        <v>90</v>
      </c>
      <c r="J832" t="s">
        <v>90</v>
      </c>
      <c r="K832">
        <v>32.181537740000003</v>
      </c>
      <c r="L832">
        <v>7.1903242299999999</v>
      </c>
      <c r="M832">
        <v>5.5167123699999996</v>
      </c>
      <c r="N832">
        <v>5.3372734599999996</v>
      </c>
      <c r="O832">
        <v>6.5254396999999997</v>
      </c>
      <c r="P832">
        <v>19.0977</v>
      </c>
      <c r="Q832">
        <v>113.4570533</v>
      </c>
      <c r="R832">
        <v>44.2483</v>
      </c>
      <c r="S832" t="s">
        <v>1073</v>
      </c>
      <c r="T832">
        <v>32.181537740000003</v>
      </c>
      <c r="U832" t="s">
        <v>2819</v>
      </c>
      <c r="V832" t="s">
        <v>1059</v>
      </c>
      <c r="W832" s="114" t="str">
        <f t="shared" si="36"/>
        <v>ETF</v>
      </c>
      <c r="X832" s="114" t="str">
        <f t="shared" si="37"/>
        <v>Otros ETFs</v>
      </c>
    </row>
    <row r="833" spans="1:24" hidden="1" x14ac:dyDescent="0.25">
      <c r="A833" s="114" t="str">
        <f t="shared" si="38"/>
        <v>7469</v>
      </c>
      <c r="B833" t="s">
        <v>6065</v>
      </c>
      <c r="C833" t="s">
        <v>6066</v>
      </c>
      <c r="D833" t="s">
        <v>2425</v>
      </c>
      <c r="E833" t="s">
        <v>586</v>
      </c>
      <c r="F833" t="s">
        <v>1056</v>
      </c>
      <c r="G833" t="s">
        <v>1071</v>
      </c>
      <c r="H833" t="s">
        <v>1671</v>
      </c>
      <c r="I833" t="s">
        <v>90</v>
      </c>
      <c r="J833" t="s">
        <v>90</v>
      </c>
      <c r="K833">
        <v>0.24293680000000001</v>
      </c>
      <c r="L833">
        <v>7.9692410599999999</v>
      </c>
      <c r="M833">
        <v>7.1497319700000004</v>
      </c>
      <c r="N833">
        <v>5.2731375800000002</v>
      </c>
      <c r="O833">
        <v>6.89186005</v>
      </c>
      <c r="P833">
        <v>8.0079599602001998</v>
      </c>
      <c r="Q833">
        <v>1.3018525000000001</v>
      </c>
      <c r="R833">
        <v>30.229848850755751</v>
      </c>
      <c r="S833" t="s">
        <v>1073</v>
      </c>
      <c r="T833">
        <v>0.24293680000000001</v>
      </c>
      <c r="U833" t="s">
        <v>2819</v>
      </c>
      <c r="V833" t="s">
        <v>1059</v>
      </c>
      <c r="W833" s="114" t="str">
        <f t="shared" si="36"/>
        <v>ETF</v>
      </c>
      <c r="X833" s="114" t="str">
        <f t="shared" si="37"/>
        <v>Otros ETFs</v>
      </c>
    </row>
    <row r="834" spans="1:24" hidden="1" x14ac:dyDescent="0.25">
      <c r="A834" s="114" t="str">
        <f t="shared" si="38"/>
        <v>7469</v>
      </c>
      <c r="B834" t="s">
        <v>6067</v>
      </c>
      <c r="C834" t="s">
        <v>6068</v>
      </c>
      <c r="D834" t="s">
        <v>2426</v>
      </c>
      <c r="E834" t="s">
        <v>586</v>
      </c>
      <c r="F834" t="s">
        <v>1056</v>
      </c>
      <c r="G834" t="s">
        <v>1071</v>
      </c>
      <c r="H834" t="s">
        <v>1671</v>
      </c>
      <c r="I834" t="s">
        <v>90</v>
      </c>
      <c r="J834" t="s">
        <v>90</v>
      </c>
      <c r="K834">
        <v>0.24293680000000001</v>
      </c>
      <c r="L834">
        <v>7.9692410599999999</v>
      </c>
      <c r="M834">
        <v>7.1497319700000004</v>
      </c>
      <c r="N834">
        <v>5.2731375800000002</v>
      </c>
      <c r="O834">
        <v>6.89186005</v>
      </c>
      <c r="P834">
        <v>8.0079599602001998</v>
      </c>
      <c r="Q834">
        <v>1.3018525000000001</v>
      </c>
      <c r="R834">
        <v>30.229848850755751</v>
      </c>
      <c r="S834" t="s">
        <v>1073</v>
      </c>
      <c r="T834">
        <v>0.24293680000000001</v>
      </c>
      <c r="U834" t="s">
        <v>2819</v>
      </c>
      <c r="V834" t="s">
        <v>1059</v>
      </c>
      <c r="W834" s="114" t="str">
        <f t="shared" ref="W834:W897" si="39">IF(V834="ETF_ETY","ETF",IF(V834="ETF_SOV","ETF",IF(V834="RF_SOV","SOV",IF(V834="-","Cuestionario Integra","Portafolio"))))</f>
        <v>ETF</v>
      </c>
      <c r="X834" s="114" t="str">
        <f t="shared" ref="X834:X897" si="40">IF(V834="ETF_ETY","Otros ETFs",IF(V834="ETF_SOV","Soberanos",W834))</f>
        <v>Otros ETFs</v>
      </c>
    </row>
    <row r="835" spans="1:24" hidden="1" x14ac:dyDescent="0.25">
      <c r="A835" s="114" t="str">
        <f t="shared" ref="A835:A898" si="41">RIGHT(LEFT(D835,6),4)</f>
        <v>7073</v>
      </c>
      <c r="B835" t="s">
        <v>2427</v>
      </c>
      <c r="C835" t="s">
        <v>2428</v>
      </c>
      <c r="D835" t="s">
        <v>2429</v>
      </c>
      <c r="E835" t="s">
        <v>586</v>
      </c>
      <c r="F835" t="s">
        <v>1056</v>
      </c>
      <c r="G835" t="s">
        <v>1057</v>
      </c>
      <c r="H835" t="s">
        <v>1159</v>
      </c>
      <c r="I835" t="s">
        <v>90</v>
      </c>
      <c r="J835" t="s">
        <v>90</v>
      </c>
      <c r="K835">
        <v>7.2350667099999999</v>
      </c>
      <c r="L835">
        <v>6.4017575999999998</v>
      </c>
      <c r="M835">
        <v>7.4677159299999998</v>
      </c>
      <c r="N835">
        <v>4.6607598100000001</v>
      </c>
      <c r="O835">
        <v>5.5848402799999999</v>
      </c>
      <c r="P835">
        <v>42.214321966803887</v>
      </c>
      <c r="Q835">
        <v>23.073154169999999</v>
      </c>
      <c r="R835">
        <v>27.31392228479546</v>
      </c>
      <c r="S835" t="s">
        <v>30</v>
      </c>
      <c r="T835">
        <v>7.2350667099999999</v>
      </c>
      <c r="U835" t="s">
        <v>2819</v>
      </c>
      <c r="V835" t="s">
        <v>1059</v>
      </c>
      <c r="W835" s="114" t="str">
        <f t="shared" si="39"/>
        <v>ETF</v>
      </c>
      <c r="X835" s="114" t="str">
        <f t="shared" si="40"/>
        <v>Otros ETFs</v>
      </c>
    </row>
    <row r="836" spans="1:24" hidden="1" x14ac:dyDescent="0.25">
      <c r="A836" s="114" t="str">
        <f t="shared" si="41"/>
        <v>7049</v>
      </c>
      <c r="B836" t="s">
        <v>2432</v>
      </c>
      <c r="C836" t="s">
        <v>589</v>
      </c>
      <c r="D836" t="s">
        <v>588</v>
      </c>
      <c r="E836" t="s">
        <v>586</v>
      </c>
      <c r="F836" t="s">
        <v>1056</v>
      </c>
      <c r="G836" t="s">
        <v>1136</v>
      </c>
      <c r="H836" t="s">
        <v>2148</v>
      </c>
      <c r="I836" t="s">
        <v>90</v>
      </c>
      <c r="J836" t="s">
        <v>90</v>
      </c>
      <c r="K836">
        <v>361.84748588000002</v>
      </c>
      <c r="L836">
        <v>4.8444541299999999</v>
      </c>
      <c r="M836">
        <v>4.84168311</v>
      </c>
      <c r="N836">
        <v>5.2981062200000002</v>
      </c>
      <c r="O836">
        <v>4.6926556799999997</v>
      </c>
      <c r="P836">
        <v>8.156738579188449</v>
      </c>
      <c r="Q836">
        <v>469.52950945999999</v>
      </c>
      <c r="R836">
        <v>5.7851879617737456</v>
      </c>
      <c r="S836" t="s">
        <v>1063</v>
      </c>
      <c r="T836">
        <v>361.84748588000002</v>
      </c>
      <c r="U836" t="s">
        <v>2819</v>
      </c>
      <c r="V836" t="s">
        <v>1059</v>
      </c>
      <c r="W836" s="114" t="str">
        <f t="shared" si="39"/>
        <v>ETF</v>
      </c>
      <c r="X836" s="114" t="str">
        <f t="shared" si="40"/>
        <v>Otros ETFs</v>
      </c>
    </row>
    <row r="837" spans="1:24" hidden="1" x14ac:dyDescent="0.25">
      <c r="A837" s="114" t="str">
        <f t="shared" si="41"/>
        <v>7073</v>
      </c>
      <c r="B837" t="s">
        <v>2433</v>
      </c>
      <c r="C837" t="s">
        <v>2434</v>
      </c>
      <c r="D837" t="s">
        <v>2435</v>
      </c>
      <c r="E837" t="s">
        <v>586</v>
      </c>
      <c r="F837" t="s">
        <v>1056</v>
      </c>
      <c r="G837" t="s">
        <v>1071</v>
      </c>
      <c r="H837" t="s">
        <v>1893</v>
      </c>
      <c r="I837" t="s">
        <v>90</v>
      </c>
      <c r="J837" t="s">
        <v>90</v>
      </c>
      <c r="K837">
        <v>110.09983781</v>
      </c>
      <c r="L837">
        <v>6.5887650600000001</v>
      </c>
      <c r="M837">
        <v>5.9338820500000002</v>
      </c>
      <c r="N837">
        <v>4.7486987599999999</v>
      </c>
      <c r="O837">
        <v>6.0203024200000002</v>
      </c>
      <c r="P837">
        <v>11.541348001931549</v>
      </c>
      <c r="Q837">
        <v>217.93770083999999</v>
      </c>
      <c r="R837">
        <v>24.551072305860959</v>
      </c>
      <c r="S837" t="s">
        <v>30</v>
      </c>
      <c r="T837">
        <v>110.09983781</v>
      </c>
      <c r="U837" t="s">
        <v>2819</v>
      </c>
      <c r="V837" t="s">
        <v>1059</v>
      </c>
      <c r="W837" s="114" t="str">
        <f t="shared" si="39"/>
        <v>ETF</v>
      </c>
      <c r="X837" s="114" t="str">
        <f t="shared" si="40"/>
        <v>Otros ETFs</v>
      </c>
    </row>
    <row r="838" spans="1:24" hidden="1" x14ac:dyDescent="0.25">
      <c r="A838" s="114" t="str">
        <f t="shared" si="41"/>
        <v>7049</v>
      </c>
      <c r="B838" t="s">
        <v>6329</v>
      </c>
      <c r="C838" t="s">
        <v>6330</v>
      </c>
      <c r="D838" t="s">
        <v>6331</v>
      </c>
      <c r="E838" t="s">
        <v>586</v>
      </c>
      <c r="F838" t="s">
        <v>1056</v>
      </c>
      <c r="G838" t="s">
        <v>1071</v>
      </c>
      <c r="H838" t="s">
        <v>6332</v>
      </c>
      <c r="I838" t="s">
        <v>90</v>
      </c>
      <c r="J838" t="s">
        <v>90</v>
      </c>
      <c r="K838">
        <v>24.076028430000001</v>
      </c>
      <c r="L838">
        <v>7.4067206499999996</v>
      </c>
      <c r="M838">
        <v>6.3716553300000003</v>
      </c>
      <c r="N838">
        <v>5.7240302500000002</v>
      </c>
      <c r="O838">
        <v>6.6548104199999996</v>
      </c>
      <c r="P838">
        <v>9.2205979827664688</v>
      </c>
      <c r="Q838">
        <v>87.378909629999995</v>
      </c>
      <c r="R838">
        <v>35.244288098641597</v>
      </c>
      <c r="S838" t="s">
        <v>1073</v>
      </c>
      <c r="T838">
        <v>24.076028430000001</v>
      </c>
      <c r="U838" t="s">
        <v>2819</v>
      </c>
      <c r="V838" t="s">
        <v>1059</v>
      </c>
      <c r="W838" s="114" t="str">
        <f t="shared" si="39"/>
        <v>ETF</v>
      </c>
      <c r="X838" s="114" t="str">
        <f t="shared" si="40"/>
        <v>Otros ETFs</v>
      </c>
    </row>
    <row r="839" spans="1:24" hidden="1" x14ac:dyDescent="0.25">
      <c r="A839" s="114" t="str">
        <f t="shared" si="41"/>
        <v>7049</v>
      </c>
      <c r="B839" t="s">
        <v>6329</v>
      </c>
      <c r="C839" t="s">
        <v>6330</v>
      </c>
      <c r="D839" t="s">
        <v>6333</v>
      </c>
      <c r="E839" t="s">
        <v>586</v>
      </c>
      <c r="F839" t="s">
        <v>1056</v>
      </c>
      <c r="G839" t="s">
        <v>1071</v>
      </c>
      <c r="H839" t="s">
        <v>6332</v>
      </c>
      <c r="I839" t="s">
        <v>90</v>
      </c>
      <c r="J839" t="s">
        <v>90</v>
      </c>
      <c r="K839">
        <v>24.076028430000001</v>
      </c>
      <c r="L839">
        <v>7.4067206499999996</v>
      </c>
      <c r="M839">
        <v>6.3716553300000003</v>
      </c>
      <c r="N839">
        <v>5.7240302500000002</v>
      </c>
      <c r="O839">
        <v>6.6548104199999996</v>
      </c>
      <c r="P839">
        <v>9.2205979827664688</v>
      </c>
      <c r="Q839">
        <v>87.378909629999995</v>
      </c>
      <c r="R839">
        <v>35.244288098641597</v>
      </c>
      <c r="S839" t="s">
        <v>1073</v>
      </c>
      <c r="T839">
        <v>24.076028430000001</v>
      </c>
      <c r="U839" t="s">
        <v>2819</v>
      </c>
      <c r="V839" t="s">
        <v>1059</v>
      </c>
      <c r="W839" s="114" t="str">
        <f t="shared" si="39"/>
        <v>ETF</v>
      </c>
      <c r="X839" s="114" t="str">
        <f t="shared" si="40"/>
        <v>Otros ETFs</v>
      </c>
    </row>
    <row r="840" spans="1:24" hidden="1" x14ac:dyDescent="0.25">
      <c r="A840" s="114" t="str">
        <f t="shared" si="41"/>
        <v>7408</v>
      </c>
      <c r="B840" t="s">
        <v>5447</v>
      </c>
      <c r="C840" t="s">
        <v>5448</v>
      </c>
      <c r="D840" t="s">
        <v>5449</v>
      </c>
      <c r="E840" t="s">
        <v>586</v>
      </c>
      <c r="F840" t="s">
        <v>1056</v>
      </c>
      <c r="G840" t="s">
        <v>1714</v>
      </c>
      <c r="H840" t="s">
        <v>1164</v>
      </c>
      <c r="I840" t="s">
        <v>90</v>
      </c>
      <c r="J840" t="s">
        <v>90</v>
      </c>
      <c r="K840">
        <v>66.254312119999994</v>
      </c>
      <c r="L840">
        <v>7.3740035199999996</v>
      </c>
      <c r="M840">
        <v>6.6769732199999998</v>
      </c>
      <c r="N840">
        <v>5.1554049400000004</v>
      </c>
      <c r="O840">
        <v>6.4527840899999998</v>
      </c>
      <c r="P840">
        <v>23.025858967175701</v>
      </c>
      <c r="Q840">
        <v>96.663448349999996</v>
      </c>
      <c r="R840">
        <v>56.892071328157172</v>
      </c>
      <c r="S840" t="s">
        <v>1073</v>
      </c>
      <c r="T840">
        <v>66.254312119999994</v>
      </c>
      <c r="U840" t="s">
        <v>2819</v>
      </c>
      <c r="V840" t="s">
        <v>1059</v>
      </c>
      <c r="W840" s="114" t="str">
        <f t="shared" si="39"/>
        <v>ETF</v>
      </c>
      <c r="X840" s="114" t="str">
        <f t="shared" si="40"/>
        <v>Otros ETFs</v>
      </c>
    </row>
    <row r="841" spans="1:24" hidden="1" x14ac:dyDescent="0.25">
      <c r="A841" s="114" t="str">
        <f t="shared" si="41"/>
        <v>7449</v>
      </c>
      <c r="B841" t="s">
        <v>5833</v>
      </c>
      <c r="C841" t="s">
        <v>5834</v>
      </c>
      <c r="D841" t="s">
        <v>5835</v>
      </c>
      <c r="E841" t="s">
        <v>586</v>
      </c>
      <c r="F841" t="s">
        <v>1056</v>
      </c>
      <c r="G841" t="s">
        <v>1071</v>
      </c>
      <c r="H841" t="s">
        <v>2071</v>
      </c>
      <c r="I841" t="s">
        <v>90</v>
      </c>
      <c r="J841" t="s">
        <v>90</v>
      </c>
      <c r="K841">
        <v>2.7975900199999999</v>
      </c>
      <c r="L841">
        <v>8.16946276</v>
      </c>
      <c r="M841">
        <v>7.3944394500000001</v>
      </c>
      <c r="N841">
        <v>5.0375134499999996</v>
      </c>
      <c r="O841">
        <v>6.9053030099999999</v>
      </c>
      <c r="P841">
        <v>10.970589569441779</v>
      </c>
      <c r="Q841">
        <v>5.6106336299999997</v>
      </c>
      <c r="R841">
        <v>70.102622280084475</v>
      </c>
      <c r="S841" t="s">
        <v>1073</v>
      </c>
      <c r="T841">
        <v>2.7975900199999999</v>
      </c>
      <c r="U841" t="s">
        <v>2819</v>
      </c>
      <c r="V841" t="s">
        <v>1059</v>
      </c>
      <c r="W841" s="114" t="str">
        <f t="shared" si="39"/>
        <v>ETF</v>
      </c>
      <c r="X841" s="114" t="str">
        <f t="shared" si="40"/>
        <v>Otros ETFs</v>
      </c>
    </row>
    <row r="842" spans="1:24" hidden="1" x14ac:dyDescent="0.25">
      <c r="A842" s="114" t="str">
        <f t="shared" si="41"/>
        <v>7387</v>
      </c>
      <c r="B842" t="s">
        <v>2436</v>
      </c>
      <c r="C842" t="s">
        <v>629</v>
      </c>
      <c r="D842" t="s">
        <v>628</v>
      </c>
      <c r="E842" t="s">
        <v>586</v>
      </c>
      <c r="F842" t="s">
        <v>1056</v>
      </c>
      <c r="G842" t="s">
        <v>1163</v>
      </c>
      <c r="H842" t="s">
        <v>1164</v>
      </c>
      <c r="I842" t="s">
        <v>90</v>
      </c>
      <c r="J842" t="s">
        <v>90</v>
      </c>
      <c r="K842">
        <v>18.484933380000001</v>
      </c>
      <c r="L842">
        <v>8.2147021099999993</v>
      </c>
      <c r="M842">
        <v>6.1669131699999999</v>
      </c>
      <c r="N842">
        <v>5.6416880300000001</v>
      </c>
      <c r="O842">
        <v>7.4170704399999998</v>
      </c>
      <c r="P842">
        <v>3.0949042836054681</v>
      </c>
      <c r="Q842">
        <v>67.749324639999998</v>
      </c>
      <c r="R842">
        <v>69.268087651482276</v>
      </c>
      <c r="S842" t="s">
        <v>1073</v>
      </c>
      <c r="T842">
        <v>18.484933380000001</v>
      </c>
      <c r="U842" t="s">
        <v>2819</v>
      </c>
      <c r="V842" t="s">
        <v>1059</v>
      </c>
      <c r="W842" s="114" t="str">
        <f t="shared" si="39"/>
        <v>ETF</v>
      </c>
      <c r="X842" s="114" t="str">
        <f t="shared" si="40"/>
        <v>Otros ETFs</v>
      </c>
    </row>
    <row r="843" spans="1:24" hidden="1" x14ac:dyDescent="0.25">
      <c r="A843" s="114" t="str">
        <f t="shared" si="41"/>
        <v>7449</v>
      </c>
      <c r="B843" t="s">
        <v>2437</v>
      </c>
      <c r="C843" t="s">
        <v>669</v>
      </c>
      <c r="D843" t="s">
        <v>668</v>
      </c>
      <c r="E843" t="s">
        <v>586</v>
      </c>
      <c r="F843" t="s">
        <v>1056</v>
      </c>
      <c r="G843" t="s">
        <v>1071</v>
      </c>
      <c r="H843" t="s">
        <v>1856</v>
      </c>
      <c r="I843" t="s">
        <v>90</v>
      </c>
      <c r="J843" t="s">
        <v>90</v>
      </c>
      <c r="K843">
        <v>70.169577059999995</v>
      </c>
      <c r="L843">
        <v>6.9573595499999996</v>
      </c>
      <c r="M843">
        <v>5.9754301700000001</v>
      </c>
      <c r="N843">
        <v>5.1799882500000001</v>
      </c>
      <c r="O843">
        <v>6.0012291700000002</v>
      </c>
      <c r="P843">
        <v>10.18520182147399</v>
      </c>
      <c r="Q843">
        <v>277.97965069999998</v>
      </c>
      <c r="R843">
        <v>20.398652061336001</v>
      </c>
      <c r="S843" t="s">
        <v>30</v>
      </c>
      <c r="T843">
        <v>70.169577059999995</v>
      </c>
      <c r="U843" t="s">
        <v>2819</v>
      </c>
      <c r="V843" t="s">
        <v>1059</v>
      </c>
      <c r="W843" s="114" t="str">
        <f t="shared" si="39"/>
        <v>ETF</v>
      </c>
      <c r="X843" s="114" t="str">
        <f t="shared" si="40"/>
        <v>Otros ETFs</v>
      </c>
    </row>
    <row r="844" spans="1:24" hidden="1" x14ac:dyDescent="0.25">
      <c r="A844" s="114" t="str">
        <f t="shared" si="41"/>
        <v>7523</v>
      </c>
      <c r="B844" t="s">
        <v>2438</v>
      </c>
      <c r="C844" t="s">
        <v>2439</v>
      </c>
      <c r="D844" t="s">
        <v>2440</v>
      </c>
      <c r="E844" t="s">
        <v>586</v>
      </c>
      <c r="F844" t="s">
        <v>1056</v>
      </c>
      <c r="G844" t="s">
        <v>1766</v>
      </c>
      <c r="H844" t="s">
        <v>1266</v>
      </c>
      <c r="I844" t="s">
        <v>90</v>
      </c>
      <c r="J844" t="s">
        <v>90</v>
      </c>
      <c r="K844">
        <v>5.0921162600000001</v>
      </c>
      <c r="L844">
        <v>7.1026836299999996</v>
      </c>
      <c r="M844">
        <v>6.8988546399999997</v>
      </c>
      <c r="N844">
        <v>5.4983329699999999</v>
      </c>
      <c r="O844">
        <v>5.3139389499999998</v>
      </c>
      <c r="P844">
        <v>13.5250328332663</v>
      </c>
      <c r="Q844">
        <v>33.553189770000003</v>
      </c>
      <c r="R844">
        <v>17.200283418533481</v>
      </c>
      <c r="S844" t="s">
        <v>30</v>
      </c>
      <c r="T844">
        <v>5.0921162600000001</v>
      </c>
      <c r="U844" t="s">
        <v>2819</v>
      </c>
      <c r="V844" t="s">
        <v>1059</v>
      </c>
      <c r="W844" s="114" t="str">
        <f t="shared" si="39"/>
        <v>ETF</v>
      </c>
      <c r="X844" s="114" t="str">
        <f t="shared" si="40"/>
        <v>Otros ETFs</v>
      </c>
    </row>
    <row r="845" spans="1:24" hidden="1" x14ac:dyDescent="0.25">
      <c r="A845" s="114" t="str">
        <f t="shared" si="41"/>
        <v>7523</v>
      </c>
      <c r="B845" t="s">
        <v>2441</v>
      </c>
      <c r="C845" t="s">
        <v>2442</v>
      </c>
      <c r="D845" t="s">
        <v>2443</v>
      </c>
      <c r="E845" t="s">
        <v>586</v>
      </c>
      <c r="F845" t="s">
        <v>1056</v>
      </c>
      <c r="G845" t="s">
        <v>1163</v>
      </c>
      <c r="H845" t="s">
        <v>1164</v>
      </c>
      <c r="I845" t="s">
        <v>90</v>
      </c>
      <c r="J845" t="s">
        <v>90</v>
      </c>
      <c r="K845">
        <v>8.1561645800000004</v>
      </c>
      <c r="L845">
        <v>7.9227668800000002</v>
      </c>
      <c r="M845">
        <v>7.1513278199999997</v>
      </c>
      <c r="N845">
        <v>5.2083924699999997</v>
      </c>
      <c r="O845">
        <v>6.6966931299999999</v>
      </c>
      <c r="P845">
        <v>6.2284455230553073</v>
      </c>
      <c r="Q845">
        <v>26.616243399999998</v>
      </c>
      <c r="R845">
        <v>40.987035381274751</v>
      </c>
      <c r="S845" t="s">
        <v>1073</v>
      </c>
      <c r="T845">
        <v>8.1561645800000004</v>
      </c>
      <c r="U845" t="s">
        <v>2819</v>
      </c>
      <c r="V845" t="s">
        <v>1059</v>
      </c>
      <c r="W845" s="114" t="str">
        <f t="shared" si="39"/>
        <v>ETF</v>
      </c>
      <c r="X845" s="114" t="str">
        <f t="shared" si="40"/>
        <v>Otros ETFs</v>
      </c>
    </row>
    <row r="846" spans="1:24" hidden="1" x14ac:dyDescent="0.25">
      <c r="A846" s="114" t="str">
        <f t="shared" si="41"/>
        <v>CRSU</v>
      </c>
      <c r="B846" t="s">
        <v>6069</v>
      </c>
      <c r="C846" t="s">
        <v>2445</v>
      </c>
      <c r="D846" t="s">
        <v>2446</v>
      </c>
      <c r="E846" t="s">
        <v>586</v>
      </c>
      <c r="F846" t="s">
        <v>1056</v>
      </c>
      <c r="G846" t="s">
        <v>1714</v>
      </c>
      <c r="H846" t="s">
        <v>1791</v>
      </c>
      <c r="I846" t="s">
        <v>90</v>
      </c>
      <c r="J846" t="s">
        <v>90</v>
      </c>
      <c r="K846">
        <v>123.58225025</v>
      </c>
      <c r="L846">
        <v>6.8821385199999998</v>
      </c>
      <c r="M846">
        <v>5.9356948000000003</v>
      </c>
      <c r="N846">
        <v>4.9631899700000002</v>
      </c>
      <c r="O846">
        <v>6.4798239100000004</v>
      </c>
      <c r="P846">
        <v>2.9470616881980529</v>
      </c>
      <c r="Q846">
        <v>102.64516630999999</v>
      </c>
      <c r="R846">
        <v>47.051788326751748</v>
      </c>
      <c r="S846" t="s">
        <v>30</v>
      </c>
      <c r="T846">
        <v>123.58225025</v>
      </c>
      <c r="U846" t="s">
        <v>2819</v>
      </c>
      <c r="V846" t="s">
        <v>1059</v>
      </c>
      <c r="W846" s="114" t="str">
        <f t="shared" si="39"/>
        <v>ETF</v>
      </c>
      <c r="X846" s="114" t="str">
        <f t="shared" si="40"/>
        <v>Otros ETFs</v>
      </c>
    </row>
    <row r="847" spans="1:24" hidden="1" x14ac:dyDescent="0.25">
      <c r="A847" s="114" t="str">
        <f t="shared" si="41"/>
        <v>CAND</v>
      </c>
      <c r="B847" t="s">
        <v>2449</v>
      </c>
      <c r="C847" t="s">
        <v>2450</v>
      </c>
      <c r="D847" t="s">
        <v>2451</v>
      </c>
      <c r="E847" t="s">
        <v>532</v>
      </c>
      <c r="F847" t="s">
        <v>1852</v>
      </c>
      <c r="G847" t="s">
        <v>1163</v>
      </c>
      <c r="H847" t="s">
        <v>1782</v>
      </c>
      <c r="I847" t="s">
        <v>90</v>
      </c>
      <c r="J847" t="s">
        <v>90</v>
      </c>
      <c r="K847">
        <v>83.541383510000003</v>
      </c>
      <c r="L847">
        <v>6.4400299700000003</v>
      </c>
      <c r="M847">
        <v>7.3233198699999997</v>
      </c>
      <c r="N847">
        <v>5.1970002800000001</v>
      </c>
      <c r="O847">
        <v>5.5004750299999996</v>
      </c>
      <c r="P847">
        <v>16.268492009234901</v>
      </c>
      <c r="Q847">
        <v>139.70575579999999</v>
      </c>
      <c r="R847">
        <v>23.079191116012179</v>
      </c>
      <c r="S847" t="s">
        <v>30</v>
      </c>
      <c r="T847">
        <v>83.541383510000003</v>
      </c>
      <c r="U847" t="s">
        <v>2819</v>
      </c>
      <c r="V847" t="s">
        <v>1059</v>
      </c>
      <c r="W847" s="114" t="str">
        <f t="shared" si="39"/>
        <v>ETF</v>
      </c>
      <c r="X847" s="114" t="str">
        <f t="shared" si="40"/>
        <v>Otros ETFs</v>
      </c>
    </row>
    <row r="848" spans="1:24" hidden="1" x14ac:dyDescent="0.25">
      <c r="A848" s="114" t="str">
        <f t="shared" si="41"/>
        <v>5022</v>
      </c>
      <c r="B848" t="s">
        <v>2769</v>
      </c>
      <c r="C848" t="s">
        <v>2770</v>
      </c>
      <c r="D848" t="s">
        <v>4231</v>
      </c>
      <c r="E848" t="s">
        <v>4798</v>
      </c>
      <c r="F848" t="s">
        <v>4799</v>
      </c>
      <c r="G848" t="s">
        <v>1168</v>
      </c>
      <c r="H848" t="s">
        <v>1911</v>
      </c>
      <c r="I848">
        <v>30599.62</v>
      </c>
      <c r="J848">
        <v>850000</v>
      </c>
      <c r="K848">
        <v>27.78</v>
      </c>
      <c r="L848">
        <v>7.4</v>
      </c>
      <c r="M848">
        <v>7.3</v>
      </c>
      <c r="N848">
        <v>6</v>
      </c>
      <c r="O848">
        <v>4.0999999999999996</v>
      </c>
      <c r="P848">
        <v>4</v>
      </c>
      <c r="Q848"/>
      <c r="R848">
        <v>24</v>
      </c>
      <c r="S848" t="s">
        <v>1073</v>
      </c>
      <c r="T848">
        <v>27.78</v>
      </c>
      <c r="U848" t="s">
        <v>2819</v>
      </c>
      <c r="V848" t="s">
        <v>1062</v>
      </c>
      <c r="W848" s="114" t="str">
        <f t="shared" si="39"/>
        <v>Portafolio</v>
      </c>
      <c r="X848" s="114" t="str">
        <f t="shared" si="40"/>
        <v>Portafolio</v>
      </c>
    </row>
    <row r="849" spans="1:24" hidden="1" x14ac:dyDescent="0.25">
      <c r="A849" s="114" t="str">
        <f t="shared" si="41"/>
        <v>7397</v>
      </c>
      <c r="B849" t="s">
        <v>5098</v>
      </c>
      <c r="C849" t="s">
        <v>2452</v>
      </c>
      <c r="D849" t="s">
        <v>2453</v>
      </c>
      <c r="E849" t="s">
        <v>586</v>
      </c>
      <c r="F849" t="s">
        <v>1056</v>
      </c>
      <c r="G849" t="s">
        <v>1163</v>
      </c>
      <c r="H849" t="s">
        <v>1782</v>
      </c>
      <c r="I849" t="s">
        <v>90</v>
      </c>
      <c r="J849" t="s">
        <v>90</v>
      </c>
      <c r="K849">
        <v>99.168502970000006</v>
      </c>
      <c r="L849">
        <v>6.30446974</v>
      </c>
      <c r="M849">
        <v>6.65408036</v>
      </c>
      <c r="N849">
        <v>4.9893443800000004</v>
      </c>
      <c r="O849">
        <v>5.5824950900000001</v>
      </c>
      <c r="P849">
        <v>11.85974018703175</v>
      </c>
      <c r="Q849">
        <v>154.28139293000001</v>
      </c>
      <c r="R849">
        <v>18.228197125141708</v>
      </c>
      <c r="S849" t="s">
        <v>30</v>
      </c>
      <c r="T849">
        <v>99.168502970000006</v>
      </c>
      <c r="U849" t="s">
        <v>2819</v>
      </c>
      <c r="V849" t="s">
        <v>1059</v>
      </c>
      <c r="W849" s="114" t="str">
        <f t="shared" si="39"/>
        <v>ETF</v>
      </c>
      <c r="X849" s="114" t="str">
        <f t="shared" si="40"/>
        <v>Otros ETFs</v>
      </c>
    </row>
    <row r="850" spans="1:24" hidden="1" x14ac:dyDescent="0.25">
      <c r="A850" s="114" t="str">
        <f t="shared" si="41"/>
        <v>CAND</v>
      </c>
      <c r="B850" t="s">
        <v>2456</v>
      </c>
      <c r="C850" t="s">
        <v>2457</v>
      </c>
      <c r="D850" t="s">
        <v>2458</v>
      </c>
      <c r="E850" t="s">
        <v>532</v>
      </c>
      <c r="F850" t="s">
        <v>1852</v>
      </c>
      <c r="G850" t="s">
        <v>1136</v>
      </c>
      <c r="H850" t="s">
        <v>6144</v>
      </c>
      <c r="I850" t="s">
        <v>90</v>
      </c>
      <c r="J850" t="s">
        <v>90</v>
      </c>
      <c r="K850">
        <v>56.492174400000003</v>
      </c>
      <c r="L850">
        <v>6.4886163699999999</v>
      </c>
      <c r="M850">
        <v>5.5555636000000002</v>
      </c>
      <c r="N850">
        <v>5.5592741099999996</v>
      </c>
      <c r="O850">
        <v>5.2843939100000004</v>
      </c>
      <c r="P850">
        <v>18.559842732600021</v>
      </c>
      <c r="Q850">
        <v>114.31091186</v>
      </c>
      <c r="R850">
        <v>12.29618693662132</v>
      </c>
      <c r="S850" t="s">
        <v>30</v>
      </c>
      <c r="T850">
        <v>56.492174400000003</v>
      </c>
      <c r="U850" t="s">
        <v>2819</v>
      </c>
      <c r="V850" t="s">
        <v>1059</v>
      </c>
      <c r="W850" s="114" t="str">
        <f t="shared" si="39"/>
        <v>ETF</v>
      </c>
      <c r="X850" s="114" t="str">
        <f t="shared" si="40"/>
        <v>Otros ETFs</v>
      </c>
    </row>
    <row r="851" spans="1:24" hidden="1" x14ac:dyDescent="0.25">
      <c r="A851" s="114" t="str">
        <f t="shared" si="41"/>
        <v>7664</v>
      </c>
      <c r="B851" t="s">
        <v>5099</v>
      </c>
      <c r="C851" t="s">
        <v>5100</v>
      </c>
      <c r="D851" t="s">
        <v>2999</v>
      </c>
      <c r="E851" t="s">
        <v>586</v>
      </c>
      <c r="F851" t="s">
        <v>1056</v>
      </c>
      <c r="G851" t="s">
        <v>1136</v>
      </c>
      <c r="H851" t="s">
        <v>1494</v>
      </c>
      <c r="I851" t="s">
        <v>90</v>
      </c>
      <c r="J851" t="s">
        <v>90</v>
      </c>
      <c r="K851">
        <v>750.30128981999997</v>
      </c>
      <c r="L851">
        <v>4.2940331</v>
      </c>
      <c r="M851">
        <v>5.04605719</v>
      </c>
      <c r="N851">
        <v>5.7180065300000003</v>
      </c>
      <c r="O851">
        <v>5.4897511699999999</v>
      </c>
      <c r="P851">
        <v>0</v>
      </c>
      <c r="Q851"/>
      <c r="R851">
        <v>0</v>
      </c>
      <c r="S851" t="s">
        <v>1063</v>
      </c>
      <c r="T851">
        <v>750.30128981999997</v>
      </c>
      <c r="U851" t="s">
        <v>2819</v>
      </c>
      <c r="V851" t="s">
        <v>1278</v>
      </c>
      <c r="W851" s="114" t="str">
        <f t="shared" si="39"/>
        <v>ETF</v>
      </c>
      <c r="X851" s="114" t="str">
        <f t="shared" si="40"/>
        <v>Soberanos</v>
      </c>
    </row>
    <row r="852" spans="1:24" hidden="1" x14ac:dyDescent="0.25">
      <c r="A852" s="114" t="str">
        <f t="shared" si="41"/>
        <v>BELL</v>
      </c>
      <c r="B852" t="s">
        <v>2459</v>
      </c>
      <c r="C852" t="s">
        <v>2460</v>
      </c>
      <c r="D852" t="s">
        <v>2461</v>
      </c>
      <c r="E852" t="s">
        <v>586</v>
      </c>
      <c r="F852" t="s">
        <v>1056</v>
      </c>
      <c r="G852" t="s">
        <v>1071</v>
      </c>
      <c r="H852" t="s">
        <v>1155</v>
      </c>
      <c r="I852" t="s">
        <v>90</v>
      </c>
      <c r="J852" t="s">
        <v>90</v>
      </c>
      <c r="K852">
        <v>4.7253316400000003</v>
      </c>
      <c r="L852">
        <v>6.9934758300000004</v>
      </c>
      <c r="M852">
        <v>6.7345321299999998</v>
      </c>
      <c r="N852">
        <v>5.0120816499999998</v>
      </c>
      <c r="O852">
        <v>6.3962456100000002</v>
      </c>
      <c r="P852">
        <v>22.847200000000001</v>
      </c>
      <c r="Q852">
        <v>19.666127039999999</v>
      </c>
      <c r="R852">
        <v>36.558700000000002</v>
      </c>
      <c r="S852" t="s">
        <v>30</v>
      </c>
      <c r="T852">
        <v>4.7253316400000003</v>
      </c>
      <c r="U852" t="s">
        <v>2819</v>
      </c>
      <c r="V852" t="s">
        <v>1059</v>
      </c>
      <c r="W852" s="114" t="str">
        <f t="shared" si="39"/>
        <v>ETF</v>
      </c>
      <c r="X852" s="114" t="str">
        <f t="shared" si="40"/>
        <v>Otros ETFs</v>
      </c>
    </row>
    <row r="853" spans="1:24" hidden="1" x14ac:dyDescent="0.25">
      <c r="A853" s="114" t="str">
        <f t="shared" si="41"/>
        <v>7506</v>
      </c>
      <c r="B853" t="s">
        <v>2463</v>
      </c>
      <c r="C853" t="s">
        <v>2464</v>
      </c>
      <c r="D853" t="s">
        <v>2465</v>
      </c>
      <c r="E853" t="s">
        <v>586</v>
      </c>
      <c r="F853" t="s">
        <v>1056</v>
      </c>
      <c r="G853" t="s">
        <v>1136</v>
      </c>
      <c r="H853" t="s">
        <v>6144</v>
      </c>
      <c r="I853" t="s">
        <v>90</v>
      </c>
      <c r="J853" t="s">
        <v>90</v>
      </c>
      <c r="K853">
        <v>16.101095489999999</v>
      </c>
      <c r="L853">
        <v>6.7591781600000003</v>
      </c>
      <c r="M853">
        <v>5.7675620600000004</v>
      </c>
      <c r="N853">
        <v>5.4201175399999997</v>
      </c>
      <c r="O853">
        <v>5.5717247800000003</v>
      </c>
      <c r="P853">
        <v>12.20849157658974</v>
      </c>
      <c r="Q853">
        <v>53.048508769999998</v>
      </c>
      <c r="R853">
        <v>12.842438406855591</v>
      </c>
      <c r="S853" t="s">
        <v>30</v>
      </c>
      <c r="T853">
        <v>16.101095489999999</v>
      </c>
      <c r="U853" t="s">
        <v>2819</v>
      </c>
      <c r="V853" t="s">
        <v>1059</v>
      </c>
      <c r="W853" s="114" t="str">
        <f t="shared" si="39"/>
        <v>ETF</v>
      </c>
      <c r="X853" s="114" t="str">
        <f t="shared" si="40"/>
        <v>Otros ETFs</v>
      </c>
    </row>
    <row r="854" spans="1:24" hidden="1" x14ac:dyDescent="0.25">
      <c r="A854" s="114" t="str">
        <f t="shared" si="41"/>
        <v>7077</v>
      </c>
      <c r="B854" t="s">
        <v>2467</v>
      </c>
      <c r="C854" t="s">
        <v>2468</v>
      </c>
      <c r="D854" t="s">
        <v>2469</v>
      </c>
      <c r="E854" t="s">
        <v>586</v>
      </c>
      <c r="F854" t="s">
        <v>1056</v>
      </c>
      <c r="G854" t="s">
        <v>1071</v>
      </c>
      <c r="H854" t="s">
        <v>2470</v>
      </c>
      <c r="I854" t="s">
        <v>90</v>
      </c>
      <c r="J854" t="s">
        <v>90</v>
      </c>
      <c r="K854">
        <v>169.30789494999999</v>
      </c>
      <c r="L854">
        <v>7.5982683199999999</v>
      </c>
      <c r="M854">
        <v>7.0823801099999999</v>
      </c>
      <c r="N854">
        <v>5.9434074900000002</v>
      </c>
      <c r="O854">
        <v>6.4619186800000001</v>
      </c>
      <c r="P854">
        <v>7.5847040419034482</v>
      </c>
      <c r="Q854">
        <v>935.12601959000006</v>
      </c>
      <c r="R854">
        <v>51.221767401876257</v>
      </c>
      <c r="S854" t="s">
        <v>1073</v>
      </c>
      <c r="T854">
        <v>169.30789494999999</v>
      </c>
      <c r="U854" t="s">
        <v>2819</v>
      </c>
      <c r="V854" t="s">
        <v>1059</v>
      </c>
      <c r="W854" s="114" t="str">
        <f t="shared" si="39"/>
        <v>ETF</v>
      </c>
      <c r="X854" s="114" t="str">
        <f t="shared" si="40"/>
        <v>Otros ETFs</v>
      </c>
    </row>
    <row r="855" spans="1:24" hidden="1" x14ac:dyDescent="0.25">
      <c r="A855" s="114" t="str">
        <f t="shared" si="41"/>
        <v>7447</v>
      </c>
      <c r="B855" t="s">
        <v>2472</v>
      </c>
      <c r="C855" t="s">
        <v>666</v>
      </c>
      <c r="D855" t="s">
        <v>665</v>
      </c>
      <c r="E855" t="s">
        <v>586</v>
      </c>
      <c r="F855" t="s">
        <v>1056</v>
      </c>
      <c r="G855" t="s">
        <v>1136</v>
      </c>
      <c r="H855" t="s">
        <v>1494</v>
      </c>
      <c r="I855" t="s">
        <v>90</v>
      </c>
      <c r="J855" t="s">
        <v>90</v>
      </c>
      <c r="K855">
        <v>6.141282E-2</v>
      </c>
      <c r="L855">
        <v>4.58990689</v>
      </c>
      <c r="M855">
        <v>5.2504918800000002</v>
      </c>
      <c r="N855">
        <v>5.8833481499999998</v>
      </c>
      <c r="O855">
        <v>5.6625013199999996</v>
      </c>
      <c r="P855">
        <v>0</v>
      </c>
      <c r="Q855">
        <v>1.0661399600000001</v>
      </c>
      <c r="R855">
        <v>0</v>
      </c>
      <c r="S855" t="s">
        <v>1063</v>
      </c>
      <c r="T855">
        <v>6.141282E-2</v>
      </c>
      <c r="U855" t="s">
        <v>2819</v>
      </c>
      <c r="V855" t="s">
        <v>1059</v>
      </c>
      <c r="W855" s="114" t="str">
        <f t="shared" si="39"/>
        <v>ETF</v>
      </c>
      <c r="X855" s="114" t="str">
        <f t="shared" si="40"/>
        <v>Otros ETFs</v>
      </c>
    </row>
    <row r="856" spans="1:24" hidden="1" x14ac:dyDescent="0.25">
      <c r="A856" s="114" t="str">
        <f t="shared" si="41"/>
        <v>7412</v>
      </c>
      <c r="B856" t="s">
        <v>5358</v>
      </c>
      <c r="C856" t="s">
        <v>5359</v>
      </c>
      <c r="D856" t="s">
        <v>5360</v>
      </c>
      <c r="E856" t="s">
        <v>586</v>
      </c>
      <c r="F856" t="s">
        <v>1056</v>
      </c>
      <c r="G856" t="s">
        <v>1057</v>
      </c>
      <c r="H856" t="s">
        <v>2071</v>
      </c>
      <c r="I856" t="s">
        <v>90</v>
      </c>
      <c r="J856" t="s">
        <v>90</v>
      </c>
      <c r="K856">
        <v>0.12</v>
      </c>
      <c r="L856">
        <v>4.0095738799999996</v>
      </c>
      <c r="M856">
        <v>4.9688413000000002</v>
      </c>
      <c r="N856">
        <v>4.3010056800000003</v>
      </c>
      <c r="O856">
        <v>5.3848772699999996</v>
      </c>
      <c r="P856">
        <v>0</v>
      </c>
      <c r="Q856">
        <v>1.56</v>
      </c>
      <c r="R856">
        <v>0</v>
      </c>
      <c r="S856" t="s">
        <v>1138</v>
      </c>
      <c r="T856">
        <v>0.12</v>
      </c>
      <c r="U856" t="s">
        <v>2819</v>
      </c>
      <c r="V856" t="s">
        <v>1059</v>
      </c>
      <c r="W856" s="114" t="str">
        <f t="shared" si="39"/>
        <v>ETF</v>
      </c>
      <c r="X856" s="114" t="str">
        <f t="shared" si="40"/>
        <v>Otros ETFs</v>
      </c>
    </row>
    <row r="857" spans="1:24" hidden="1" x14ac:dyDescent="0.25">
      <c r="A857" s="114" t="str">
        <f t="shared" si="41"/>
        <v>7388</v>
      </c>
      <c r="B857" t="s">
        <v>2474</v>
      </c>
      <c r="C857" t="s">
        <v>2475</v>
      </c>
      <c r="D857" t="s">
        <v>2476</v>
      </c>
      <c r="E857" t="s">
        <v>586</v>
      </c>
      <c r="F857" t="s">
        <v>1056</v>
      </c>
      <c r="G857" t="s">
        <v>1290</v>
      </c>
      <c r="H857" t="s">
        <v>1291</v>
      </c>
      <c r="I857" t="s">
        <v>90</v>
      </c>
      <c r="J857" t="s">
        <v>90</v>
      </c>
      <c r="K857">
        <v>105.43952778000001</v>
      </c>
      <c r="L857">
        <v>6.10469667</v>
      </c>
      <c r="M857">
        <v>5.1728552399999996</v>
      </c>
      <c r="N857">
        <v>5.3617246400000003</v>
      </c>
      <c r="O857">
        <v>5.2841155100000003</v>
      </c>
      <c r="P857">
        <v>5.4776164328492989</v>
      </c>
      <c r="Q857">
        <v>160.25810629</v>
      </c>
      <c r="R857">
        <v>6.0213180639541921</v>
      </c>
      <c r="S857" t="s">
        <v>30</v>
      </c>
      <c r="T857">
        <v>105.43952778000001</v>
      </c>
      <c r="U857" t="s">
        <v>2819</v>
      </c>
      <c r="V857" t="s">
        <v>1059</v>
      </c>
      <c r="W857" s="114" t="str">
        <f t="shared" si="39"/>
        <v>ETF</v>
      </c>
      <c r="X857" s="114" t="str">
        <f t="shared" si="40"/>
        <v>Otros ETFs</v>
      </c>
    </row>
    <row r="858" spans="1:24" hidden="1" x14ac:dyDescent="0.25">
      <c r="A858" s="114" t="str">
        <f t="shared" si="41"/>
        <v>7041</v>
      </c>
      <c r="B858" t="s">
        <v>5361</v>
      </c>
      <c r="C858" t="s">
        <v>5362</v>
      </c>
      <c r="D858" t="s">
        <v>5363</v>
      </c>
      <c r="E858" t="s">
        <v>586</v>
      </c>
      <c r="F858" t="s">
        <v>1056</v>
      </c>
      <c r="G858" t="s">
        <v>1241</v>
      </c>
      <c r="H858" t="s">
        <v>6158</v>
      </c>
      <c r="I858" t="s">
        <v>90</v>
      </c>
      <c r="J858" t="s">
        <v>90</v>
      </c>
      <c r="K858">
        <v>155.18575777000001</v>
      </c>
      <c r="L858">
        <v>5.7148901700000003</v>
      </c>
      <c r="M858">
        <v>5.7664301199999999</v>
      </c>
      <c r="N858">
        <v>5.0410022699999999</v>
      </c>
      <c r="O858">
        <v>4.74882911</v>
      </c>
      <c r="P858">
        <v>20.129379870620131</v>
      </c>
      <c r="Q858">
        <v>244.72118669</v>
      </c>
      <c r="R858">
        <v>0</v>
      </c>
      <c r="S858" t="s">
        <v>30</v>
      </c>
      <c r="T858">
        <v>155.18575777000001</v>
      </c>
      <c r="U858" t="s">
        <v>2819</v>
      </c>
      <c r="V858" t="s">
        <v>1059</v>
      </c>
      <c r="W858" s="114" t="str">
        <f t="shared" si="39"/>
        <v>ETF</v>
      </c>
      <c r="X858" s="114" t="str">
        <f t="shared" si="40"/>
        <v>Otros ETFs</v>
      </c>
    </row>
    <row r="859" spans="1:24" hidden="1" x14ac:dyDescent="0.25">
      <c r="A859" s="114" t="str">
        <f t="shared" si="41"/>
        <v>7041</v>
      </c>
      <c r="B859" t="s">
        <v>2477</v>
      </c>
      <c r="C859" t="s">
        <v>2478</v>
      </c>
      <c r="D859" t="s">
        <v>2479</v>
      </c>
      <c r="E859" t="s">
        <v>586</v>
      </c>
      <c r="F859" t="s">
        <v>1056</v>
      </c>
      <c r="G859" t="s">
        <v>1174</v>
      </c>
      <c r="H859" t="s">
        <v>1175</v>
      </c>
      <c r="I859" t="s">
        <v>90</v>
      </c>
      <c r="J859" t="s">
        <v>90</v>
      </c>
      <c r="K859">
        <v>98.442093760000006</v>
      </c>
      <c r="L859">
        <v>5.5726761500000004</v>
      </c>
      <c r="M859">
        <v>6.0883865500000001</v>
      </c>
      <c r="N859">
        <v>4.7842217099999997</v>
      </c>
      <c r="O859">
        <v>4.8652923299999999</v>
      </c>
      <c r="P859">
        <v>21.670221670221672</v>
      </c>
      <c r="Q859">
        <v>170.6849789</v>
      </c>
      <c r="R859">
        <v>0</v>
      </c>
      <c r="S859" t="s">
        <v>1063</v>
      </c>
      <c r="T859">
        <v>98.442093760000006</v>
      </c>
      <c r="U859" t="s">
        <v>2819</v>
      </c>
      <c r="V859" t="s">
        <v>1059</v>
      </c>
      <c r="W859" s="114" t="str">
        <f t="shared" si="39"/>
        <v>ETF</v>
      </c>
      <c r="X859" s="114" t="str">
        <f t="shared" si="40"/>
        <v>Otros ETFs</v>
      </c>
    </row>
    <row r="860" spans="1:24" hidden="1" x14ac:dyDescent="0.25">
      <c r="A860" s="114" t="str">
        <f t="shared" si="41"/>
        <v>7417</v>
      </c>
      <c r="B860" t="s">
        <v>6070</v>
      </c>
      <c r="C860" t="s">
        <v>6071</v>
      </c>
      <c r="D860" t="s">
        <v>6334</v>
      </c>
      <c r="E860" t="s">
        <v>586</v>
      </c>
      <c r="F860" t="s">
        <v>1056</v>
      </c>
      <c r="G860" t="s">
        <v>1071</v>
      </c>
      <c r="H860" t="s">
        <v>1753</v>
      </c>
      <c r="I860" t="s">
        <v>90</v>
      </c>
      <c r="J860" t="s">
        <v>90</v>
      </c>
      <c r="K860">
        <v>142.88461225</v>
      </c>
      <c r="L860">
        <v>6.6168364799999999</v>
      </c>
      <c r="M860">
        <v>6.4466801800000004</v>
      </c>
      <c r="N860">
        <v>5.6231669100000001</v>
      </c>
      <c r="O860">
        <v>5.5502463000000004</v>
      </c>
      <c r="P860">
        <v>10.680292859186871</v>
      </c>
      <c r="Q860">
        <v>177.48590551999999</v>
      </c>
      <c r="R860">
        <v>10.8966911847156</v>
      </c>
      <c r="S860" t="s">
        <v>30</v>
      </c>
      <c r="T860">
        <v>142.88461225</v>
      </c>
      <c r="U860" t="s">
        <v>2819</v>
      </c>
      <c r="V860" t="s">
        <v>1059</v>
      </c>
      <c r="W860" s="114" t="str">
        <f t="shared" si="39"/>
        <v>ETF</v>
      </c>
      <c r="X860" s="114" t="str">
        <f t="shared" si="40"/>
        <v>Otros ETFs</v>
      </c>
    </row>
    <row r="861" spans="1:24" hidden="1" x14ac:dyDescent="0.25">
      <c r="A861" s="114" t="str">
        <f t="shared" si="41"/>
        <v>CAND</v>
      </c>
      <c r="B861" t="s">
        <v>6070</v>
      </c>
      <c r="C861" t="s">
        <v>6071</v>
      </c>
      <c r="D861" t="s">
        <v>6072</v>
      </c>
      <c r="E861" t="s">
        <v>586</v>
      </c>
      <c r="F861" t="s">
        <v>1056</v>
      </c>
      <c r="G861" t="s">
        <v>1071</v>
      </c>
      <c r="H861" t="s">
        <v>1753</v>
      </c>
      <c r="I861" t="s">
        <v>90</v>
      </c>
      <c r="J861" t="s">
        <v>90</v>
      </c>
      <c r="K861">
        <v>142.88461225</v>
      </c>
      <c r="L861">
        <v>6.6168364799999999</v>
      </c>
      <c r="M861">
        <v>6.4466801800000004</v>
      </c>
      <c r="N861">
        <v>5.6231669100000001</v>
      </c>
      <c r="O861">
        <v>5.5502463000000004</v>
      </c>
      <c r="P861">
        <v>10.680292859186871</v>
      </c>
      <c r="Q861">
        <v>177.48590551999999</v>
      </c>
      <c r="R861">
        <v>10.8966911847156</v>
      </c>
      <c r="S861" t="s">
        <v>30</v>
      </c>
      <c r="T861">
        <v>142.88461225</v>
      </c>
      <c r="U861" t="s">
        <v>2819</v>
      </c>
      <c r="V861" t="s">
        <v>1059</v>
      </c>
      <c r="W861" s="114" t="str">
        <f t="shared" si="39"/>
        <v>ETF</v>
      </c>
      <c r="X861" s="114" t="str">
        <f t="shared" si="40"/>
        <v>Otros ETFs</v>
      </c>
    </row>
    <row r="862" spans="1:24" hidden="1" x14ac:dyDescent="0.25">
      <c r="A862" s="114" t="str">
        <f t="shared" si="41"/>
        <v>7040</v>
      </c>
      <c r="B862" t="s">
        <v>5836</v>
      </c>
      <c r="C862" t="s">
        <v>2480</v>
      </c>
      <c r="D862" t="s">
        <v>2481</v>
      </c>
      <c r="E862" t="s">
        <v>586</v>
      </c>
      <c r="F862" t="s">
        <v>1056</v>
      </c>
      <c r="G862" t="s">
        <v>1071</v>
      </c>
      <c r="H862" t="s">
        <v>1155</v>
      </c>
      <c r="I862" t="s">
        <v>90</v>
      </c>
      <c r="J862" t="s">
        <v>90</v>
      </c>
      <c r="K862">
        <v>3.35723211</v>
      </c>
      <c r="L862">
        <v>6.9437092600000003</v>
      </c>
      <c r="M862">
        <v>6.9579625700000003</v>
      </c>
      <c r="N862">
        <v>5.0195359100000001</v>
      </c>
      <c r="O862">
        <v>6.1503676</v>
      </c>
      <c r="P862">
        <v>35.982170278171132</v>
      </c>
      <c r="Q862">
        <v>12.29172526</v>
      </c>
      <c r="R862">
        <v>32.140471885368058</v>
      </c>
      <c r="S862" t="s">
        <v>30</v>
      </c>
      <c r="T862">
        <v>3.35723211</v>
      </c>
      <c r="U862" t="s">
        <v>2819</v>
      </c>
      <c r="V862" t="s">
        <v>1059</v>
      </c>
      <c r="W862" s="114" t="str">
        <f t="shared" si="39"/>
        <v>ETF</v>
      </c>
      <c r="X862" s="114" t="str">
        <f t="shared" si="40"/>
        <v>Otros ETFs</v>
      </c>
    </row>
    <row r="863" spans="1:24" hidden="1" x14ac:dyDescent="0.25">
      <c r="A863" s="114" t="str">
        <f t="shared" si="41"/>
        <v>7077</v>
      </c>
      <c r="B863" t="s">
        <v>2482</v>
      </c>
      <c r="C863" t="s">
        <v>2483</v>
      </c>
      <c r="D863" t="s">
        <v>2484</v>
      </c>
      <c r="E863" t="s">
        <v>586</v>
      </c>
      <c r="F863" t="s">
        <v>1056</v>
      </c>
      <c r="G863" t="s">
        <v>1071</v>
      </c>
      <c r="H863" t="s">
        <v>2470</v>
      </c>
      <c r="I863" t="s">
        <v>90</v>
      </c>
      <c r="J863" t="s">
        <v>90</v>
      </c>
      <c r="K863">
        <v>169.30789494999999</v>
      </c>
      <c r="L863">
        <v>7.5982683199999999</v>
      </c>
      <c r="M863">
        <v>7.0823801099999999</v>
      </c>
      <c r="N863">
        <v>5.9434074900000002</v>
      </c>
      <c r="O863">
        <v>6.4619186800000001</v>
      </c>
      <c r="P863">
        <v>7.5847040419034482</v>
      </c>
      <c r="Q863">
        <v>935.12601959000006</v>
      </c>
      <c r="R863">
        <v>51.221767401876257</v>
      </c>
      <c r="S863" t="s">
        <v>1073</v>
      </c>
      <c r="T863">
        <v>169.30789494999999</v>
      </c>
      <c r="U863" t="s">
        <v>2819</v>
      </c>
      <c r="V863" t="s">
        <v>1059</v>
      </c>
      <c r="W863" s="114" t="str">
        <f t="shared" si="39"/>
        <v>ETF</v>
      </c>
      <c r="X863" s="114" t="str">
        <f t="shared" si="40"/>
        <v>Otros ETFs</v>
      </c>
    </row>
    <row r="864" spans="1:24" hidden="1" x14ac:dyDescent="0.25">
      <c r="A864" s="114" t="str">
        <f t="shared" si="41"/>
        <v>2129</v>
      </c>
      <c r="B864" t="s">
        <v>5450</v>
      </c>
      <c r="C864" t="s">
        <v>5451</v>
      </c>
      <c r="D864" t="s">
        <v>3402</v>
      </c>
      <c r="E864" t="s">
        <v>249</v>
      </c>
      <c r="F864" t="s">
        <v>4806</v>
      </c>
      <c r="G864" t="s">
        <v>1198</v>
      </c>
      <c r="H864" t="s">
        <v>5446</v>
      </c>
      <c r="I864">
        <v>6754.66</v>
      </c>
      <c r="J864">
        <v>175581.25</v>
      </c>
      <c r="K864">
        <v>25.99</v>
      </c>
      <c r="L864">
        <v>1.7</v>
      </c>
      <c r="M864">
        <v>4.2</v>
      </c>
      <c r="N864">
        <v>5.2</v>
      </c>
      <c r="O864">
        <v>4.0999999999999996</v>
      </c>
      <c r="P864">
        <v>4</v>
      </c>
      <c r="Q864"/>
      <c r="R864">
        <v>42</v>
      </c>
      <c r="S864" t="s">
        <v>21</v>
      </c>
      <c r="T864">
        <v>25.99</v>
      </c>
      <c r="U864" t="s">
        <v>2819</v>
      </c>
      <c r="V864" t="s">
        <v>1062</v>
      </c>
      <c r="W864" s="114" t="str">
        <f t="shared" si="39"/>
        <v>Portafolio</v>
      </c>
      <c r="X864" s="114" t="str">
        <f t="shared" si="40"/>
        <v>Portafolio</v>
      </c>
    </row>
    <row r="865" spans="1:24" hidden="1" x14ac:dyDescent="0.25">
      <c r="A865" s="114" t="str">
        <f t="shared" si="41"/>
        <v>2129</v>
      </c>
      <c r="B865" t="s">
        <v>5450</v>
      </c>
      <c r="C865" t="s">
        <v>5452</v>
      </c>
      <c r="D865" t="s">
        <v>3327</v>
      </c>
      <c r="E865" t="s">
        <v>249</v>
      </c>
      <c r="F865" t="s">
        <v>4806</v>
      </c>
      <c r="G865" t="s">
        <v>1198</v>
      </c>
      <c r="H865" t="s">
        <v>5446</v>
      </c>
      <c r="I865">
        <v>6754.66</v>
      </c>
      <c r="J865">
        <v>175581.25</v>
      </c>
      <c r="K865">
        <v>25.99</v>
      </c>
      <c r="L865">
        <v>1.7</v>
      </c>
      <c r="M865">
        <v>4.2</v>
      </c>
      <c r="N865">
        <v>5.2</v>
      </c>
      <c r="O865">
        <v>4.0999999999999996</v>
      </c>
      <c r="P865">
        <v>4</v>
      </c>
      <c r="Q865"/>
      <c r="R865">
        <v>42</v>
      </c>
      <c r="S865" t="s">
        <v>21</v>
      </c>
      <c r="T865">
        <v>25.99</v>
      </c>
      <c r="U865" t="s">
        <v>2819</v>
      </c>
      <c r="V865" t="s">
        <v>1062</v>
      </c>
      <c r="W865" s="114" t="str">
        <f t="shared" si="39"/>
        <v>Portafolio</v>
      </c>
      <c r="X865" s="114" t="str">
        <f t="shared" si="40"/>
        <v>Portafolio</v>
      </c>
    </row>
    <row r="866" spans="1:24" hidden="1" x14ac:dyDescent="0.25">
      <c r="A866" s="114" t="str">
        <f t="shared" si="41"/>
        <v>CAND</v>
      </c>
      <c r="B866" t="s">
        <v>2485</v>
      </c>
      <c r="C866" t="s">
        <v>2486</v>
      </c>
      <c r="D866" t="s">
        <v>2487</v>
      </c>
      <c r="E866" t="s">
        <v>532</v>
      </c>
      <c r="F866" t="s">
        <v>1852</v>
      </c>
      <c r="G866" t="s">
        <v>1136</v>
      </c>
      <c r="H866" t="s">
        <v>1437</v>
      </c>
      <c r="I866" t="s">
        <v>90</v>
      </c>
      <c r="J866" t="s">
        <v>90</v>
      </c>
      <c r="K866">
        <v>117.45670933</v>
      </c>
      <c r="L866">
        <v>4.0156290700000001</v>
      </c>
      <c r="M866">
        <v>5.0858081799999999</v>
      </c>
      <c r="N866">
        <v>5.5131561199999997</v>
      </c>
      <c r="O866">
        <v>5.1687321099999997</v>
      </c>
      <c r="P866">
        <v>1.734606419875214</v>
      </c>
      <c r="Q866">
        <v>226.35482733000001</v>
      </c>
      <c r="R866">
        <v>0.52111735745624299</v>
      </c>
      <c r="S866" t="s">
        <v>1138</v>
      </c>
      <c r="T866">
        <v>117.45670933</v>
      </c>
      <c r="U866" t="s">
        <v>2819</v>
      </c>
      <c r="V866" t="s">
        <v>1059</v>
      </c>
      <c r="W866" s="114" t="str">
        <f t="shared" si="39"/>
        <v>ETF</v>
      </c>
      <c r="X866" s="114" t="str">
        <f t="shared" si="40"/>
        <v>Otros ETFs</v>
      </c>
    </row>
    <row r="867" spans="1:24" hidden="1" x14ac:dyDescent="0.25">
      <c r="A867" s="114" t="str">
        <f t="shared" si="41"/>
        <v>7043</v>
      </c>
      <c r="B867" t="s">
        <v>2488</v>
      </c>
      <c r="C867" t="s">
        <v>2489</v>
      </c>
      <c r="D867" t="s">
        <v>2490</v>
      </c>
      <c r="E867" t="s">
        <v>586</v>
      </c>
      <c r="F867" t="s">
        <v>1056</v>
      </c>
      <c r="G867" t="s">
        <v>1071</v>
      </c>
      <c r="H867" t="s">
        <v>6153</v>
      </c>
      <c r="I867" t="s">
        <v>90</v>
      </c>
      <c r="J867" t="s">
        <v>90</v>
      </c>
      <c r="K867">
        <v>1.3708788300000001</v>
      </c>
      <c r="L867">
        <v>6.0233505799999998</v>
      </c>
      <c r="M867">
        <v>6.9035031800000004</v>
      </c>
      <c r="N867">
        <v>4.9377480900000004</v>
      </c>
      <c r="O867">
        <v>5.12615102</v>
      </c>
      <c r="P867">
        <v>12.54985733423146</v>
      </c>
      <c r="Q867">
        <v>13.86770688</v>
      </c>
      <c r="R867">
        <v>3.745323312671395</v>
      </c>
      <c r="S867" t="s">
        <v>30</v>
      </c>
      <c r="T867">
        <v>1.3708788300000001</v>
      </c>
      <c r="U867" t="s">
        <v>2819</v>
      </c>
      <c r="V867" t="s">
        <v>1059</v>
      </c>
      <c r="W867" s="114" t="str">
        <f t="shared" si="39"/>
        <v>ETF</v>
      </c>
      <c r="X867" s="114" t="str">
        <f t="shared" si="40"/>
        <v>Otros ETFs</v>
      </c>
    </row>
    <row r="868" spans="1:24" hidden="1" x14ac:dyDescent="0.25">
      <c r="A868" s="114" t="str">
        <f t="shared" si="41"/>
        <v>7408</v>
      </c>
      <c r="B868" t="s">
        <v>6073</v>
      </c>
      <c r="C868" t="s">
        <v>6074</v>
      </c>
      <c r="D868" t="s">
        <v>6075</v>
      </c>
      <c r="E868" t="s">
        <v>586</v>
      </c>
      <c r="F868" t="s">
        <v>1056</v>
      </c>
      <c r="G868" t="s">
        <v>1501</v>
      </c>
      <c r="H868" t="s">
        <v>1502</v>
      </c>
      <c r="I868" t="s">
        <v>90</v>
      </c>
      <c r="J868" t="s">
        <v>90</v>
      </c>
      <c r="K868">
        <v>29.65941153</v>
      </c>
      <c r="L868">
        <v>5.6447425200000003</v>
      </c>
      <c r="M868">
        <v>5.6572804100000003</v>
      </c>
      <c r="N868">
        <v>4.6818208800000001</v>
      </c>
      <c r="O868">
        <v>4.9107192800000004</v>
      </c>
      <c r="P868">
        <v>5.6581989573379934</v>
      </c>
      <c r="Q868">
        <v>125.74313558999999</v>
      </c>
      <c r="R868">
        <v>22.569523177693171</v>
      </c>
      <c r="S868" t="s">
        <v>1063</v>
      </c>
      <c r="T868">
        <v>29.65941153</v>
      </c>
      <c r="U868" t="s">
        <v>2819</v>
      </c>
      <c r="V868" t="s">
        <v>1059</v>
      </c>
      <c r="W868" s="114" t="str">
        <f t="shared" si="39"/>
        <v>ETF</v>
      </c>
      <c r="X868" s="114" t="str">
        <f t="shared" si="40"/>
        <v>Otros ETFs</v>
      </c>
    </row>
    <row r="869" spans="1:24" hidden="1" x14ac:dyDescent="0.25">
      <c r="A869" s="114" t="str">
        <f t="shared" si="41"/>
        <v>7515</v>
      </c>
      <c r="B869" t="s">
        <v>2491</v>
      </c>
      <c r="C869" t="s">
        <v>948</v>
      </c>
      <c r="D869" t="s">
        <v>2492</v>
      </c>
      <c r="E869" t="s">
        <v>586</v>
      </c>
      <c r="F869" t="s">
        <v>1056</v>
      </c>
      <c r="G869" t="s">
        <v>1290</v>
      </c>
      <c r="H869" t="s">
        <v>1291</v>
      </c>
      <c r="I869" t="s">
        <v>90</v>
      </c>
      <c r="J869" t="s">
        <v>90</v>
      </c>
      <c r="K869">
        <v>77.041533999999999</v>
      </c>
      <c r="L869">
        <v>5.4532564299999997</v>
      </c>
      <c r="M869">
        <v>5.1812163299999998</v>
      </c>
      <c r="N869">
        <v>4.9163380300000004</v>
      </c>
      <c r="O869">
        <v>5.1377371800000002</v>
      </c>
      <c r="P869">
        <v>1.914284685722514</v>
      </c>
      <c r="Q869">
        <v>126.13128565</v>
      </c>
      <c r="R869">
        <v>3.2312741498068021</v>
      </c>
      <c r="S869" t="s">
        <v>1063</v>
      </c>
      <c r="T869">
        <v>77.041533999999999</v>
      </c>
      <c r="U869" t="s">
        <v>2819</v>
      </c>
      <c r="V869" t="s">
        <v>1059</v>
      </c>
      <c r="W869" s="114" t="str">
        <f t="shared" si="39"/>
        <v>ETF</v>
      </c>
      <c r="X869" s="114" t="str">
        <f t="shared" si="40"/>
        <v>Otros ETFs</v>
      </c>
    </row>
    <row r="870" spans="1:24" hidden="1" x14ac:dyDescent="0.25">
      <c r="A870" s="114" t="str">
        <f t="shared" si="41"/>
        <v>7515</v>
      </c>
      <c r="B870" t="s">
        <v>2491</v>
      </c>
      <c r="C870" t="s">
        <v>948</v>
      </c>
      <c r="D870" t="s">
        <v>947</v>
      </c>
      <c r="E870" t="s">
        <v>586</v>
      </c>
      <c r="F870" t="s">
        <v>1056</v>
      </c>
      <c r="G870" t="s">
        <v>1290</v>
      </c>
      <c r="H870" t="s">
        <v>1291</v>
      </c>
      <c r="I870" t="s">
        <v>90</v>
      </c>
      <c r="J870" t="s">
        <v>90</v>
      </c>
      <c r="K870">
        <v>77.041533999999999</v>
      </c>
      <c r="L870">
        <v>5.4532564299999997</v>
      </c>
      <c r="M870">
        <v>5.1812163299999998</v>
      </c>
      <c r="N870">
        <v>4.9163380300000004</v>
      </c>
      <c r="O870">
        <v>5.1377371800000002</v>
      </c>
      <c r="P870">
        <v>1.914284685722514</v>
      </c>
      <c r="Q870">
        <v>126.13128565</v>
      </c>
      <c r="R870">
        <v>3.2312741498068021</v>
      </c>
      <c r="S870" t="s">
        <v>1063</v>
      </c>
      <c r="T870">
        <v>77.041533999999999</v>
      </c>
      <c r="U870" t="s">
        <v>2819</v>
      </c>
      <c r="V870" t="s">
        <v>1059</v>
      </c>
      <c r="W870" s="114" t="str">
        <f t="shared" si="39"/>
        <v>ETF</v>
      </c>
      <c r="X870" s="114" t="str">
        <f t="shared" si="40"/>
        <v>Otros ETFs</v>
      </c>
    </row>
    <row r="871" spans="1:24" hidden="1" x14ac:dyDescent="0.25">
      <c r="A871" s="114" t="str">
        <f t="shared" si="41"/>
        <v>7510</v>
      </c>
      <c r="B871" t="s">
        <v>6335</v>
      </c>
      <c r="C871" t="s">
        <v>2496</v>
      </c>
      <c r="D871" t="s">
        <v>2497</v>
      </c>
      <c r="E871" t="s">
        <v>586</v>
      </c>
      <c r="F871" t="s">
        <v>1056</v>
      </c>
      <c r="G871" t="s">
        <v>1071</v>
      </c>
      <c r="H871" t="s">
        <v>1155</v>
      </c>
      <c r="I871" t="s">
        <v>90</v>
      </c>
      <c r="J871" t="s">
        <v>90</v>
      </c>
      <c r="K871">
        <v>2.3700006199999999</v>
      </c>
      <c r="L871">
        <v>5.6852673100000004</v>
      </c>
      <c r="M871">
        <v>6.3659783599999997</v>
      </c>
      <c r="N871">
        <v>4.4446224000000001</v>
      </c>
      <c r="O871">
        <v>6.2048167799999998</v>
      </c>
      <c r="P871">
        <v>7.2249012540264497</v>
      </c>
      <c r="Q871">
        <v>22.8173265</v>
      </c>
      <c r="R871">
        <v>16.385592920035979</v>
      </c>
      <c r="S871" t="s">
        <v>1063</v>
      </c>
      <c r="T871">
        <v>2.3700006199999999</v>
      </c>
      <c r="U871" t="s">
        <v>2819</v>
      </c>
      <c r="V871" t="s">
        <v>1059</v>
      </c>
      <c r="W871" s="114" t="str">
        <f t="shared" si="39"/>
        <v>ETF</v>
      </c>
      <c r="X871" s="114" t="str">
        <f t="shared" si="40"/>
        <v>Otros ETFs</v>
      </c>
    </row>
    <row r="872" spans="1:24" hidden="1" x14ac:dyDescent="0.25">
      <c r="A872" s="114" t="str">
        <f t="shared" si="41"/>
        <v>7486</v>
      </c>
      <c r="B872" t="s">
        <v>6336</v>
      </c>
      <c r="C872" t="s">
        <v>2499</v>
      </c>
      <c r="D872" t="s">
        <v>5837</v>
      </c>
      <c r="E872" t="s">
        <v>586</v>
      </c>
      <c r="F872" t="s">
        <v>1056</v>
      </c>
      <c r="G872" t="s">
        <v>1136</v>
      </c>
      <c r="H872" t="s">
        <v>2148</v>
      </c>
      <c r="I872" t="s">
        <v>90</v>
      </c>
      <c r="J872" t="s">
        <v>90</v>
      </c>
      <c r="K872">
        <v>381.69555084000001</v>
      </c>
      <c r="L872">
        <v>5.5610395800000001</v>
      </c>
      <c r="M872">
        <v>5.3754390900000004</v>
      </c>
      <c r="N872">
        <v>5.3522635000000003</v>
      </c>
      <c r="O872">
        <v>5.13327402</v>
      </c>
      <c r="P872">
        <v>7.6489486447248769</v>
      </c>
      <c r="Q872">
        <v>559.44969120999997</v>
      </c>
      <c r="R872">
        <v>11.38213733029148</v>
      </c>
      <c r="S872" t="s">
        <v>1063</v>
      </c>
      <c r="T872">
        <v>381.69555084000001</v>
      </c>
      <c r="U872" t="s">
        <v>2819</v>
      </c>
      <c r="V872" t="s">
        <v>1059</v>
      </c>
      <c r="W872" s="114" t="str">
        <f t="shared" si="39"/>
        <v>ETF</v>
      </c>
      <c r="X872" s="114" t="str">
        <f t="shared" si="40"/>
        <v>Otros ETFs</v>
      </c>
    </row>
    <row r="873" spans="1:24" hidden="1" x14ac:dyDescent="0.25">
      <c r="A873" s="114" t="str">
        <f t="shared" si="41"/>
        <v>EDMO</v>
      </c>
      <c r="B873" t="s">
        <v>6336</v>
      </c>
      <c r="C873" t="s">
        <v>2499</v>
      </c>
      <c r="D873" t="s">
        <v>2500</v>
      </c>
      <c r="E873" t="s">
        <v>586</v>
      </c>
      <c r="F873" t="s">
        <v>1056</v>
      </c>
      <c r="G873" t="s">
        <v>1136</v>
      </c>
      <c r="H873" t="s">
        <v>2148</v>
      </c>
      <c r="I873" t="s">
        <v>90</v>
      </c>
      <c r="J873" t="s">
        <v>90</v>
      </c>
      <c r="K873">
        <v>381.69555084000001</v>
      </c>
      <c r="L873">
        <v>5.5610395800000001</v>
      </c>
      <c r="M873">
        <v>5.3754390900000004</v>
      </c>
      <c r="N873">
        <v>5.3522635000000003</v>
      </c>
      <c r="O873">
        <v>5.13327402</v>
      </c>
      <c r="P873">
        <v>7.6489486447248769</v>
      </c>
      <c r="Q873">
        <v>559.44969120999997</v>
      </c>
      <c r="R873">
        <v>11.38213733029148</v>
      </c>
      <c r="S873" t="s">
        <v>1063</v>
      </c>
      <c r="T873">
        <v>381.69555084000001</v>
      </c>
      <c r="U873" t="s">
        <v>2819</v>
      </c>
      <c r="V873" t="s">
        <v>1059</v>
      </c>
      <c r="W873" s="114" t="str">
        <f t="shared" si="39"/>
        <v>ETF</v>
      </c>
      <c r="X873" s="114" t="str">
        <f t="shared" si="40"/>
        <v>Otros ETFs</v>
      </c>
    </row>
    <row r="874" spans="1:24" hidden="1" x14ac:dyDescent="0.25">
      <c r="A874" s="114" t="str">
        <f t="shared" si="41"/>
        <v>7449</v>
      </c>
      <c r="B874" t="s">
        <v>2501</v>
      </c>
      <c r="C874" t="s">
        <v>672</v>
      </c>
      <c r="D874" t="s">
        <v>671</v>
      </c>
      <c r="E874" t="s">
        <v>586</v>
      </c>
      <c r="F874" t="s">
        <v>1056</v>
      </c>
      <c r="G874" t="s">
        <v>1071</v>
      </c>
      <c r="H874" t="s">
        <v>2071</v>
      </c>
      <c r="I874" t="s">
        <v>90</v>
      </c>
      <c r="J874" t="s">
        <v>90</v>
      </c>
      <c r="K874">
        <v>2.7975900199999999</v>
      </c>
      <c r="L874">
        <v>8.16946276</v>
      </c>
      <c r="M874">
        <v>7.3944394500000001</v>
      </c>
      <c r="N874">
        <v>5.0375134499999996</v>
      </c>
      <c r="O874">
        <v>6.9053030099999999</v>
      </c>
      <c r="P874">
        <v>10.970589569441779</v>
      </c>
      <c r="Q874">
        <v>5.6106336299999997</v>
      </c>
      <c r="R874">
        <v>70.102622280084475</v>
      </c>
      <c r="S874" t="s">
        <v>1073</v>
      </c>
      <c r="T874">
        <v>2.7975900199999999</v>
      </c>
      <c r="U874" t="s">
        <v>2819</v>
      </c>
      <c r="V874" t="s">
        <v>1059</v>
      </c>
      <c r="W874" s="114" t="str">
        <f t="shared" si="39"/>
        <v>ETF</v>
      </c>
      <c r="X874" s="114" t="str">
        <f t="shared" si="40"/>
        <v>Otros ETFs</v>
      </c>
    </row>
    <row r="875" spans="1:24" hidden="1" x14ac:dyDescent="0.25">
      <c r="A875" s="114" t="str">
        <f t="shared" si="41"/>
        <v>5119</v>
      </c>
      <c r="B875" t="s">
        <v>2771</v>
      </c>
      <c r="C875" t="s">
        <v>208</v>
      </c>
      <c r="D875" t="s">
        <v>207</v>
      </c>
      <c r="E875" t="s">
        <v>202</v>
      </c>
      <c r="F875" t="s">
        <v>4800</v>
      </c>
      <c r="G875" t="s">
        <v>2772</v>
      </c>
      <c r="H875" t="s">
        <v>1119</v>
      </c>
      <c r="I875">
        <v>51204.59</v>
      </c>
      <c r="J875">
        <v>53634.400000000001</v>
      </c>
      <c r="K875">
        <v>1.05</v>
      </c>
      <c r="L875">
        <v>8.1999999999999993</v>
      </c>
      <c r="M875">
        <v>6.8</v>
      </c>
      <c r="N875">
        <v>6</v>
      </c>
      <c r="O875">
        <v>5.0999999999999996</v>
      </c>
      <c r="P875">
        <v>1</v>
      </c>
      <c r="Q875"/>
      <c r="R875">
        <v>33</v>
      </c>
      <c r="S875" t="s">
        <v>1073</v>
      </c>
      <c r="T875">
        <v>1.05</v>
      </c>
      <c r="U875" t="s">
        <v>2819</v>
      </c>
      <c r="V875" t="s">
        <v>1062</v>
      </c>
      <c r="W875" s="114" t="str">
        <f t="shared" si="39"/>
        <v>Portafolio</v>
      </c>
      <c r="X875" s="114" t="str">
        <f t="shared" si="40"/>
        <v>Portafolio</v>
      </c>
    </row>
    <row r="876" spans="1:24" hidden="1" x14ac:dyDescent="0.25">
      <c r="A876" s="114" t="str">
        <f t="shared" si="41"/>
        <v>7049</v>
      </c>
      <c r="B876" t="s">
        <v>6337</v>
      </c>
      <c r="C876" t="s">
        <v>2503</v>
      </c>
      <c r="D876" t="s">
        <v>2504</v>
      </c>
      <c r="E876" t="s">
        <v>586</v>
      </c>
      <c r="F876" t="s">
        <v>1056</v>
      </c>
      <c r="G876" t="s">
        <v>1136</v>
      </c>
      <c r="H876" t="s">
        <v>6144</v>
      </c>
      <c r="I876" t="s">
        <v>90</v>
      </c>
      <c r="J876" t="s">
        <v>90</v>
      </c>
      <c r="K876">
        <v>49.337845250000001</v>
      </c>
      <c r="L876">
        <v>6.4207181699999998</v>
      </c>
      <c r="M876">
        <v>5.7710243700000001</v>
      </c>
      <c r="N876">
        <v>5.3326028399999998</v>
      </c>
      <c r="O876">
        <v>5.1336524299999997</v>
      </c>
      <c r="P876">
        <v>20.733490898338822</v>
      </c>
      <c r="Q876">
        <v>152.90746347999999</v>
      </c>
      <c r="R876">
        <v>11.90945370188463</v>
      </c>
      <c r="S876" t="s">
        <v>30</v>
      </c>
      <c r="T876">
        <v>49.337845250000001</v>
      </c>
      <c r="U876" t="s">
        <v>2819</v>
      </c>
      <c r="V876" t="s">
        <v>1059</v>
      </c>
      <c r="W876" s="114" t="str">
        <f t="shared" si="39"/>
        <v>ETF</v>
      </c>
      <c r="X876" s="114" t="str">
        <f t="shared" si="40"/>
        <v>Otros ETFs</v>
      </c>
    </row>
    <row r="877" spans="1:24" hidden="1" x14ac:dyDescent="0.25">
      <c r="A877" s="114" t="str">
        <f t="shared" si="41"/>
        <v>5119</v>
      </c>
      <c r="B877" t="s">
        <v>2771</v>
      </c>
      <c r="C877" t="s">
        <v>904</v>
      </c>
      <c r="D877" t="s">
        <v>903</v>
      </c>
      <c r="E877" t="s">
        <v>202</v>
      </c>
      <c r="F877" t="s">
        <v>4800</v>
      </c>
      <c r="G877" t="s">
        <v>2772</v>
      </c>
      <c r="H877" t="s">
        <v>1119</v>
      </c>
      <c r="I877">
        <v>51204.59</v>
      </c>
      <c r="J877">
        <v>53634.400000000001</v>
      </c>
      <c r="K877">
        <v>1.05</v>
      </c>
      <c r="L877">
        <v>8.1999999999999993</v>
      </c>
      <c r="M877">
        <v>6.8</v>
      </c>
      <c r="N877">
        <v>6</v>
      </c>
      <c r="O877">
        <v>5.0999999999999996</v>
      </c>
      <c r="P877">
        <v>1</v>
      </c>
      <c r="Q877"/>
      <c r="R877">
        <v>33</v>
      </c>
      <c r="S877" t="s">
        <v>1073</v>
      </c>
      <c r="T877">
        <v>1.05</v>
      </c>
      <c r="U877" t="s">
        <v>2819</v>
      </c>
      <c r="V877" t="s">
        <v>1062</v>
      </c>
      <c r="W877" s="114" t="str">
        <f t="shared" si="39"/>
        <v>Portafolio</v>
      </c>
      <c r="X877" s="114" t="str">
        <f t="shared" si="40"/>
        <v>Portafolio</v>
      </c>
    </row>
    <row r="878" spans="1:24" hidden="1" x14ac:dyDescent="0.25">
      <c r="A878" s="114" t="str">
        <f t="shared" si="41"/>
        <v>7437</v>
      </c>
      <c r="B878" t="s">
        <v>5764</v>
      </c>
      <c r="C878" t="s">
        <v>2505</v>
      </c>
      <c r="D878" t="s">
        <v>2506</v>
      </c>
      <c r="E878" t="s">
        <v>586</v>
      </c>
      <c r="F878" t="s">
        <v>1056</v>
      </c>
      <c r="G878" t="s">
        <v>1375</v>
      </c>
      <c r="H878" t="s">
        <v>1376</v>
      </c>
      <c r="I878" t="s">
        <v>90</v>
      </c>
      <c r="J878" t="s">
        <v>90</v>
      </c>
      <c r="K878">
        <v>38.592765450000002</v>
      </c>
      <c r="L878">
        <v>7.4840397599999999</v>
      </c>
      <c r="M878">
        <v>6.0890142799999998</v>
      </c>
      <c r="N878">
        <v>5.49946438</v>
      </c>
      <c r="O878">
        <v>6.2075986299999997</v>
      </c>
      <c r="P878">
        <v>8.0722924044452924</v>
      </c>
      <c r="Q878">
        <v>52.751438829999998</v>
      </c>
      <c r="R878">
        <v>38.391711653066743</v>
      </c>
      <c r="S878" t="s">
        <v>1073</v>
      </c>
      <c r="T878">
        <v>38.592765450000002</v>
      </c>
      <c r="U878" t="s">
        <v>2819</v>
      </c>
      <c r="V878" t="s">
        <v>1059</v>
      </c>
      <c r="W878" s="114" t="str">
        <f t="shared" si="39"/>
        <v>ETF</v>
      </c>
      <c r="X878" s="114" t="str">
        <f t="shared" si="40"/>
        <v>Otros ETFs</v>
      </c>
    </row>
    <row r="879" spans="1:24" hidden="1" x14ac:dyDescent="0.25">
      <c r="A879" s="114" t="str">
        <f t="shared" si="41"/>
        <v>5119</v>
      </c>
      <c r="B879" t="s">
        <v>2771</v>
      </c>
      <c r="C879" t="s">
        <v>5674</v>
      </c>
      <c r="D879" t="s">
        <v>5673</v>
      </c>
      <c r="E879" t="s">
        <v>202</v>
      </c>
      <c r="F879" t="s">
        <v>4800</v>
      </c>
      <c r="G879" t="s">
        <v>2772</v>
      </c>
      <c r="H879" t="s">
        <v>1119</v>
      </c>
      <c r="I879">
        <v>51204.59</v>
      </c>
      <c r="J879">
        <v>53634.400000000001</v>
      </c>
      <c r="K879">
        <v>1.05</v>
      </c>
      <c r="L879">
        <v>8.1999999999999993</v>
      </c>
      <c r="M879">
        <v>6.8</v>
      </c>
      <c r="N879">
        <v>6</v>
      </c>
      <c r="O879">
        <v>5.0999999999999996</v>
      </c>
      <c r="P879">
        <v>1</v>
      </c>
      <c r="Q879"/>
      <c r="R879">
        <v>33</v>
      </c>
      <c r="S879" t="s">
        <v>1073</v>
      </c>
      <c r="T879">
        <v>1.05</v>
      </c>
      <c r="U879" t="s">
        <v>2819</v>
      </c>
      <c r="V879" t="s">
        <v>1062</v>
      </c>
      <c r="W879" s="114" t="str">
        <f t="shared" si="39"/>
        <v>Portafolio</v>
      </c>
      <c r="X879" s="114" t="str">
        <f t="shared" si="40"/>
        <v>Portafolio</v>
      </c>
    </row>
    <row r="880" spans="1:24" hidden="1" x14ac:dyDescent="0.25">
      <c r="A880" s="114" t="str">
        <f t="shared" si="41"/>
        <v>7437</v>
      </c>
      <c r="B880" t="s">
        <v>2507</v>
      </c>
      <c r="C880" t="s">
        <v>2508</v>
      </c>
      <c r="D880" t="s">
        <v>2509</v>
      </c>
      <c r="E880" t="s">
        <v>586</v>
      </c>
      <c r="F880" t="s">
        <v>1056</v>
      </c>
      <c r="G880" t="s">
        <v>1375</v>
      </c>
      <c r="H880" t="s">
        <v>1678</v>
      </c>
      <c r="I880" t="s">
        <v>90</v>
      </c>
      <c r="J880" t="s">
        <v>90</v>
      </c>
      <c r="K880">
        <v>45.598394519999999</v>
      </c>
      <c r="L880">
        <v>6.6843938600000001</v>
      </c>
      <c r="M880">
        <v>5.32580527</v>
      </c>
      <c r="N880">
        <v>5.1583398100000002</v>
      </c>
      <c r="O880">
        <v>6.0131236899999996</v>
      </c>
      <c r="P880">
        <v>1.17749529001884</v>
      </c>
      <c r="Q880">
        <v>61.135357569999996</v>
      </c>
      <c r="R880">
        <v>25.246399014403941</v>
      </c>
      <c r="S880" t="s">
        <v>30</v>
      </c>
      <c r="T880">
        <v>45.598394519999999</v>
      </c>
      <c r="U880" t="s">
        <v>2819</v>
      </c>
      <c r="V880" t="s">
        <v>1059</v>
      </c>
      <c r="W880" s="114" t="str">
        <f t="shared" si="39"/>
        <v>ETF</v>
      </c>
      <c r="X880" s="114" t="str">
        <f t="shared" si="40"/>
        <v>Otros ETFs</v>
      </c>
    </row>
    <row r="881" spans="1:24" hidden="1" x14ac:dyDescent="0.25">
      <c r="A881" s="114" t="str">
        <f t="shared" si="41"/>
        <v>5119</v>
      </c>
      <c r="B881" t="s">
        <v>2771</v>
      </c>
      <c r="C881" t="s">
        <v>6076</v>
      </c>
      <c r="D881" t="s">
        <v>6077</v>
      </c>
      <c r="E881" t="s">
        <v>202</v>
      </c>
      <c r="F881" t="s">
        <v>4800</v>
      </c>
      <c r="G881" t="s">
        <v>2772</v>
      </c>
      <c r="H881" t="s">
        <v>1119</v>
      </c>
      <c r="I881">
        <v>51204.59</v>
      </c>
      <c r="J881">
        <v>53634.400000000001</v>
      </c>
      <c r="K881">
        <v>1.05</v>
      </c>
      <c r="L881">
        <v>8.1999999999999993</v>
      </c>
      <c r="M881">
        <v>6.8</v>
      </c>
      <c r="N881">
        <v>6</v>
      </c>
      <c r="O881">
        <v>5.0999999999999996</v>
      </c>
      <c r="P881">
        <v>1</v>
      </c>
      <c r="Q881"/>
      <c r="R881">
        <v>33</v>
      </c>
      <c r="S881" t="s">
        <v>1073</v>
      </c>
      <c r="T881">
        <v>1.05</v>
      </c>
      <c r="U881" t="s">
        <v>2819</v>
      </c>
      <c r="V881" t="s">
        <v>1062</v>
      </c>
      <c r="W881" s="114" t="str">
        <f t="shared" si="39"/>
        <v>Portafolio</v>
      </c>
      <c r="X881" s="114" t="str">
        <f t="shared" si="40"/>
        <v>Portafolio</v>
      </c>
    </row>
    <row r="882" spans="1:24" hidden="1" x14ac:dyDescent="0.25">
      <c r="A882" s="114" t="str">
        <f t="shared" si="41"/>
        <v>7437</v>
      </c>
      <c r="B882" t="s">
        <v>2510</v>
      </c>
      <c r="C882" t="s">
        <v>2511</v>
      </c>
      <c r="D882" t="s">
        <v>2512</v>
      </c>
      <c r="E882" t="s">
        <v>586</v>
      </c>
      <c r="F882" t="s">
        <v>1056</v>
      </c>
      <c r="G882" t="s">
        <v>1375</v>
      </c>
      <c r="H882" t="s">
        <v>1678</v>
      </c>
      <c r="I882" t="s">
        <v>90</v>
      </c>
      <c r="J882" t="s">
        <v>90</v>
      </c>
      <c r="K882">
        <v>45.598394519999999</v>
      </c>
      <c r="L882">
        <v>6.6843938600000001</v>
      </c>
      <c r="M882">
        <v>5.32580527</v>
      </c>
      <c r="N882">
        <v>5.1583398100000002</v>
      </c>
      <c r="O882">
        <v>6.0131236899999996</v>
      </c>
      <c r="P882">
        <v>1.17749529001884</v>
      </c>
      <c r="Q882">
        <v>61.135357569999996</v>
      </c>
      <c r="R882">
        <v>25.246399014403941</v>
      </c>
      <c r="S882" t="s">
        <v>30</v>
      </c>
      <c r="T882">
        <v>45.598394519999999</v>
      </c>
      <c r="U882" t="s">
        <v>2819</v>
      </c>
      <c r="V882" t="s">
        <v>1059</v>
      </c>
      <c r="W882" s="114" t="str">
        <f t="shared" si="39"/>
        <v>ETF</v>
      </c>
      <c r="X882" s="114" t="str">
        <f t="shared" si="40"/>
        <v>Otros ETFs</v>
      </c>
    </row>
    <row r="883" spans="1:24" hidden="1" x14ac:dyDescent="0.25">
      <c r="A883" s="114" t="str">
        <f t="shared" si="41"/>
        <v>5119</v>
      </c>
      <c r="B883" t="s">
        <v>2771</v>
      </c>
      <c r="C883" t="s">
        <v>206</v>
      </c>
      <c r="D883" t="s">
        <v>205</v>
      </c>
      <c r="E883" t="s">
        <v>202</v>
      </c>
      <c r="F883" t="s">
        <v>4800</v>
      </c>
      <c r="G883" t="s">
        <v>2772</v>
      </c>
      <c r="H883" t="s">
        <v>1119</v>
      </c>
      <c r="I883">
        <v>51204.59</v>
      </c>
      <c r="J883">
        <v>53634.400000000001</v>
      </c>
      <c r="K883">
        <v>1.05</v>
      </c>
      <c r="L883">
        <v>8.1999999999999993</v>
      </c>
      <c r="M883">
        <v>6.8</v>
      </c>
      <c r="N883">
        <v>6</v>
      </c>
      <c r="O883">
        <v>5.0999999999999996</v>
      </c>
      <c r="P883">
        <v>1</v>
      </c>
      <c r="Q883"/>
      <c r="R883">
        <v>33</v>
      </c>
      <c r="S883" t="s">
        <v>1073</v>
      </c>
      <c r="T883">
        <v>1.05</v>
      </c>
      <c r="U883" t="s">
        <v>2819</v>
      </c>
      <c r="V883" t="s">
        <v>1062</v>
      </c>
      <c r="W883" s="114" t="str">
        <f t="shared" si="39"/>
        <v>Portafolio</v>
      </c>
      <c r="X883" s="114" t="str">
        <f t="shared" si="40"/>
        <v>Portafolio</v>
      </c>
    </row>
    <row r="884" spans="1:24" hidden="1" x14ac:dyDescent="0.25">
      <c r="A884" s="114" t="str">
        <f t="shared" si="41"/>
        <v>5119</v>
      </c>
      <c r="B884" t="s">
        <v>2771</v>
      </c>
      <c r="C884" t="s">
        <v>210</v>
      </c>
      <c r="D884" t="s">
        <v>209</v>
      </c>
      <c r="E884" t="s">
        <v>202</v>
      </c>
      <c r="F884" t="s">
        <v>4800</v>
      </c>
      <c r="G884" t="s">
        <v>2772</v>
      </c>
      <c r="H884" t="s">
        <v>1119</v>
      </c>
      <c r="I884">
        <v>51204.59</v>
      </c>
      <c r="J884">
        <v>53634.400000000001</v>
      </c>
      <c r="K884">
        <v>1.05</v>
      </c>
      <c r="L884">
        <v>8.1999999999999993</v>
      </c>
      <c r="M884">
        <v>6.8</v>
      </c>
      <c r="N884">
        <v>6</v>
      </c>
      <c r="O884">
        <v>5.0999999999999996</v>
      </c>
      <c r="P884">
        <v>1</v>
      </c>
      <c r="Q884"/>
      <c r="R884">
        <v>33</v>
      </c>
      <c r="S884" t="s">
        <v>1073</v>
      </c>
      <c r="T884">
        <v>1.05</v>
      </c>
      <c r="U884" t="s">
        <v>2819</v>
      </c>
      <c r="V884" t="s">
        <v>1062</v>
      </c>
      <c r="W884" s="114" t="str">
        <f t="shared" si="39"/>
        <v>Portafolio</v>
      </c>
      <c r="X884" s="114" t="str">
        <f t="shared" si="40"/>
        <v>Portafolio</v>
      </c>
    </row>
    <row r="885" spans="1:24" hidden="1" x14ac:dyDescent="0.25">
      <c r="A885" s="114" t="str">
        <f t="shared" si="41"/>
        <v>7041</v>
      </c>
      <c r="B885" t="s">
        <v>2514</v>
      </c>
      <c r="C885" t="s">
        <v>2515</v>
      </c>
      <c r="D885" t="s">
        <v>2516</v>
      </c>
      <c r="E885" t="s">
        <v>586</v>
      </c>
      <c r="F885" t="s">
        <v>1056</v>
      </c>
      <c r="G885" t="s">
        <v>1241</v>
      </c>
      <c r="H885" t="s">
        <v>6158</v>
      </c>
      <c r="I885" t="s">
        <v>90</v>
      </c>
      <c r="J885" t="s">
        <v>90</v>
      </c>
      <c r="K885">
        <v>155.18575777000001</v>
      </c>
      <c r="L885">
        <v>5.7148901700000003</v>
      </c>
      <c r="M885">
        <v>5.7664301199999999</v>
      </c>
      <c r="N885">
        <v>5.0410022699999999</v>
      </c>
      <c r="O885">
        <v>4.74882911</v>
      </c>
      <c r="P885">
        <v>20.129379870620131</v>
      </c>
      <c r="Q885">
        <v>244.72118669</v>
      </c>
      <c r="R885">
        <v>0</v>
      </c>
      <c r="S885" t="s">
        <v>30</v>
      </c>
      <c r="T885">
        <v>155.18575777000001</v>
      </c>
      <c r="U885" t="s">
        <v>2819</v>
      </c>
      <c r="V885" t="s">
        <v>1059</v>
      </c>
      <c r="W885" s="114" t="str">
        <f t="shared" si="39"/>
        <v>ETF</v>
      </c>
      <c r="X885" s="114" t="str">
        <f t="shared" si="40"/>
        <v>Otros ETFs</v>
      </c>
    </row>
    <row r="886" spans="1:24" hidden="1" x14ac:dyDescent="0.25">
      <c r="A886" s="114" t="str">
        <f t="shared" si="41"/>
        <v>7413</v>
      </c>
      <c r="B886" t="s">
        <v>2517</v>
      </c>
      <c r="C886" t="s">
        <v>2518</v>
      </c>
      <c r="D886" t="s">
        <v>2519</v>
      </c>
      <c r="E886" t="s">
        <v>586</v>
      </c>
      <c r="F886" t="s">
        <v>1056</v>
      </c>
      <c r="G886" t="s">
        <v>1689</v>
      </c>
      <c r="H886" t="s">
        <v>1791</v>
      </c>
      <c r="I886" t="s">
        <v>90</v>
      </c>
      <c r="J886" t="s">
        <v>90</v>
      </c>
      <c r="K886">
        <v>88.33620114</v>
      </c>
      <c r="L886">
        <v>7.4692016900000002</v>
      </c>
      <c r="M886">
        <v>6.3699139899999997</v>
      </c>
      <c r="N886">
        <v>4.8897817000000003</v>
      </c>
      <c r="O886">
        <v>6.69532142</v>
      </c>
      <c r="P886">
        <v>0.79817465760416795</v>
      </c>
      <c r="Q886">
        <v>133.43759989</v>
      </c>
      <c r="R886">
        <v>53.371807346084367</v>
      </c>
      <c r="S886" t="s">
        <v>1073</v>
      </c>
      <c r="T886">
        <v>88.33620114</v>
      </c>
      <c r="U886" t="s">
        <v>2819</v>
      </c>
      <c r="V886" t="s">
        <v>1059</v>
      </c>
      <c r="W886" s="114" t="str">
        <f t="shared" si="39"/>
        <v>ETF</v>
      </c>
      <c r="X886" s="114" t="str">
        <f t="shared" si="40"/>
        <v>Otros ETFs</v>
      </c>
    </row>
    <row r="887" spans="1:24" hidden="1" x14ac:dyDescent="0.25">
      <c r="A887" s="114" t="str">
        <f t="shared" si="41"/>
        <v>7073</v>
      </c>
      <c r="B887" t="s">
        <v>2520</v>
      </c>
      <c r="C887" t="s">
        <v>2521</v>
      </c>
      <c r="D887" t="s">
        <v>2522</v>
      </c>
      <c r="E887" t="s">
        <v>586</v>
      </c>
      <c r="F887" t="s">
        <v>1056</v>
      </c>
      <c r="G887" t="s">
        <v>1136</v>
      </c>
      <c r="H887" t="s">
        <v>2148</v>
      </c>
      <c r="I887" t="s">
        <v>90</v>
      </c>
      <c r="J887" t="s">
        <v>90</v>
      </c>
      <c r="K887">
        <v>204.12517695</v>
      </c>
      <c r="L887">
        <v>5.7323908100000001</v>
      </c>
      <c r="M887">
        <v>5.2002381800000004</v>
      </c>
      <c r="N887">
        <v>5.3788432400000001</v>
      </c>
      <c r="O887">
        <v>4.6995375900000003</v>
      </c>
      <c r="P887">
        <v>15.26228060790346</v>
      </c>
      <c r="Q887">
        <v>421.85550812000002</v>
      </c>
      <c r="R887">
        <v>11.091368502729249</v>
      </c>
      <c r="S887" t="s">
        <v>30</v>
      </c>
      <c r="T887">
        <v>204.12517695</v>
      </c>
      <c r="U887" t="s">
        <v>2819</v>
      </c>
      <c r="V887" t="s">
        <v>1059</v>
      </c>
      <c r="W887" s="114" t="str">
        <f t="shared" si="39"/>
        <v>ETF</v>
      </c>
      <c r="X887" s="114" t="str">
        <f t="shared" si="40"/>
        <v>Otros ETFs</v>
      </c>
    </row>
    <row r="888" spans="1:24" hidden="1" x14ac:dyDescent="0.25">
      <c r="A888" s="114" t="str">
        <f t="shared" si="41"/>
        <v>7051</v>
      </c>
      <c r="B888" t="s">
        <v>6078</v>
      </c>
      <c r="C888" t="s">
        <v>594</v>
      </c>
      <c r="D888" t="s">
        <v>593</v>
      </c>
      <c r="E888" t="s">
        <v>586</v>
      </c>
      <c r="F888" t="s">
        <v>1056</v>
      </c>
      <c r="G888" t="s">
        <v>1136</v>
      </c>
      <c r="H888" t="s">
        <v>1494</v>
      </c>
      <c r="I888" t="s">
        <v>90</v>
      </c>
      <c r="J888" t="s">
        <v>90</v>
      </c>
      <c r="K888">
        <v>2.4346340199999998</v>
      </c>
      <c r="L888">
        <v>4.85200516</v>
      </c>
      <c r="M888">
        <v>5.0357477700000004</v>
      </c>
      <c r="N888">
        <v>6.1350829400000002</v>
      </c>
      <c r="O888">
        <v>5.7131025400000004</v>
      </c>
      <c r="P888">
        <v>0</v>
      </c>
      <c r="Q888">
        <v>1.7806294199999999</v>
      </c>
      <c r="R888">
        <v>0</v>
      </c>
      <c r="S888" t="s">
        <v>1063</v>
      </c>
      <c r="T888">
        <v>2.4346340199999998</v>
      </c>
      <c r="U888" t="s">
        <v>2819</v>
      </c>
      <c r="V888" t="s">
        <v>1059</v>
      </c>
      <c r="W888" s="114" t="str">
        <f t="shared" si="39"/>
        <v>ETF</v>
      </c>
      <c r="X888" s="114" t="str">
        <f t="shared" si="40"/>
        <v>Otros ETFs</v>
      </c>
    </row>
    <row r="889" spans="1:24" hidden="1" x14ac:dyDescent="0.25">
      <c r="A889" s="114" t="str">
        <f t="shared" si="41"/>
        <v>7073</v>
      </c>
      <c r="B889" t="s">
        <v>2524</v>
      </c>
      <c r="C889" t="s">
        <v>2525</v>
      </c>
      <c r="D889" t="s">
        <v>2526</v>
      </c>
      <c r="E889" t="s">
        <v>586</v>
      </c>
      <c r="F889" t="s">
        <v>1056</v>
      </c>
      <c r="G889" t="s">
        <v>1290</v>
      </c>
      <c r="H889" t="s">
        <v>2268</v>
      </c>
      <c r="I889" t="s">
        <v>90</v>
      </c>
      <c r="J889" t="s">
        <v>90</v>
      </c>
      <c r="K889">
        <v>0.21443358000000001</v>
      </c>
      <c r="L889">
        <v>2.7353336399999999</v>
      </c>
      <c r="M889">
        <v>2.8586932599999999</v>
      </c>
      <c r="N889">
        <v>6.79818269</v>
      </c>
      <c r="O889">
        <v>4.4548117100000004</v>
      </c>
      <c r="P889">
        <v>4.8519043329099997E-3</v>
      </c>
      <c r="Q889">
        <v>5.2825184199999997</v>
      </c>
      <c r="R889">
        <v>1.0989462694946E-2</v>
      </c>
      <c r="S889" t="s">
        <v>21</v>
      </c>
      <c r="T889">
        <v>0.21443358000000001</v>
      </c>
      <c r="U889" t="s">
        <v>2819</v>
      </c>
      <c r="V889" t="s">
        <v>1059</v>
      </c>
      <c r="W889" s="114" t="str">
        <f t="shared" si="39"/>
        <v>ETF</v>
      </c>
      <c r="X889" s="114" t="str">
        <f t="shared" si="40"/>
        <v>Otros ETFs</v>
      </c>
    </row>
    <row r="890" spans="1:24" hidden="1" x14ac:dyDescent="0.25">
      <c r="A890" s="114" t="str">
        <f t="shared" si="41"/>
        <v>7663</v>
      </c>
      <c r="B890" t="s">
        <v>2527</v>
      </c>
      <c r="C890" t="s">
        <v>2528</v>
      </c>
      <c r="D890" t="s">
        <v>2529</v>
      </c>
      <c r="E890" t="s">
        <v>586</v>
      </c>
      <c r="F890" t="s">
        <v>1056</v>
      </c>
      <c r="G890" t="s">
        <v>1071</v>
      </c>
      <c r="H890" t="s">
        <v>2071</v>
      </c>
      <c r="I890" t="s">
        <v>90</v>
      </c>
      <c r="J890" t="s">
        <v>90</v>
      </c>
      <c r="K890">
        <v>0.32696451999999998</v>
      </c>
      <c r="L890">
        <v>8.4044349300000007</v>
      </c>
      <c r="M890">
        <v>8.8777334299999993</v>
      </c>
      <c r="N890">
        <v>4.9802314499999998</v>
      </c>
      <c r="O890">
        <v>6.4105428800000004</v>
      </c>
      <c r="P890">
        <v>28.560099999999998</v>
      </c>
      <c r="Q890">
        <v>1.4831092100000001</v>
      </c>
      <c r="R890">
        <v>81.19</v>
      </c>
      <c r="S890" t="s">
        <v>1073</v>
      </c>
      <c r="T890">
        <v>0.32696451999999998</v>
      </c>
      <c r="U890" t="s">
        <v>2819</v>
      </c>
      <c r="V890" t="s">
        <v>1059</v>
      </c>
      <c r="W890" s="114" t="str">
        <f t="shared" si="39"/>
        <v>ETF</v>
      </c>
      <c r="X890" s="114" t="str">
        <f t="shared" si="40"/>
        <v>Otros ETFs</v>
      </c>
    </row>
    <row r="891" spans="1:24" hidden="1" x14ac:dyDescent="0.25">
      <c r="A891" s="114" t="str">
        <f t="shared" si="41"/>
        <v>7417</v>
      </c>
      <c r="B891" t="s">
        <v>6338</v>
      </c>
      <c r="C891" t="s">
        <v>6339</v>
      </c>
      <c r="D891" t="s">
        <v>6340</v>
      </c>
      <c r="E891" t="s">
        <v>586</v>
      </c>
      <c r="F891" t="s">
        <v>1056</v>
      </c>
      <c r="G891" t="s">
        <v>1071</v>
      </c>
      <c r="H891" t="s">
        <v>1753</v>
      </c>
      <c r="I891" t="s">
        <v>90</v>
      </c>
      <c r="J891" t="s">
        <v>90</v>
      </c>
      <c r="K891">
        <v>142.88461225</v>
      </c>
      <c r="L891">
        <v>6.6168364799999999</v>
      </c>
      <c r="M891">
        <v>6.4466801800000004</v>
      </c>
      <c r="N891">
        <v>5.6231669100000001</v>
      </c>
      <c r="O891">
        <v>5.5502463000000004</v>
      </c>
      <c r="P891">
        <v>10.680292859186871</v>
      </c>
      <c r="Q891">
        <v>177.48590551999999</v>
      </c>
      <c r="R891">
        <v>10.8966911847156</v>
      </c>
      <c r="S891" t="s">
        <v>30</v>
      </c>
      <c r="T891">
        <v>142.88461225</v>
      </c>
      <c r="U891" t="s">
        <v>2819</v>
      </c>
      <c r="V891" t="s">
        <v>1059</v>
      </c>
      <c r="W891" s="114" t="str">
        <f t="shared" si="39"/>
        <v>ETF</v>
      </c>
      <c r="X891" s="114" t="str">
        <f t="shared" si="40"/>
        <v>Otros ETFs</v>
      </c>
    </row>
    <row r="892" spans="1:24" hidden="1" x14ac:dyDescent="0.25">
      <c r="A892" s="114" t="str">
        <f t="shared" si="41"/>
        <v>7417</v>
      </c>
      <c r="B892" t="s">
        <v>6338</v>
      </c>
      <c r="C892" t="s">
        <v>6339</v>
      </c>
      <c r="D892" t="s">
        <v>6341</v>
      </c>
      <c r="E892" t="s">
        <v>586</v>
      </c>
      <c r="F892" t="s">
        <v>1056</v>
      </c>
      <c r="G892" t="s">
        <v>1071</v>
      </c>
      <c r="H892" t="s">
        <v>1753</v>
      </c>
      <c r="I892" t="s">
        <v>90</v>
      </c>
      <c r="J892" t="s">
        <v>90</v>
      </c>
      <c r="K892">
        <v>142.88461225</v>
      </c>
      <c r="L892">
        <v>6.6168364799999999</v>
      </c>
      <c r="M892">
        <v>6.4466801800000004</v>
      </c>
      <c r="N892">
        <v>5.6231669100000001</v>
      </c>
      <c r="O892">
        <v>5.5502463000000004</v>
      </c>
      <c r="P892">
        <v>10.680292859186871</v>
      </c>
      <c r="Q892">
        <v>177.48590551999999</v>
      </c>
      <c r="R892">
        <v>10.8966911847156</v>
      </c>
      <c r="S892" t="s">
        <v>30</v>
      </c>
      <c r="T892">
        <v>142.88461225</v>
      </c>
      <c r="U892" t="s">
        <v>2819</v>
      </c>
      <c r="V892" t="s">
        <v>1059</v>
      </c>
      <c r="W892" s="114" t="str">
        <f t="shared" si="39"/>
        <v>ETF</v>
      </c>
      <c r="X892" s="114" t="str">
        <f t="shared" si="40"/>
        <v>Otros ETFs</v>
      </c>
    </row>
    <row r="893" spans="1:24" hidden="1" x14ac:dyDescent="0.25">
      <c r="A893" s="114" t="str">
        <f t="shared" si="41"/>
        <v>7437</v>
      </c>
      <c r="B893" t="s">
        <v>2530</v>
      </c>
      <c r="C893" t="s">
        <v>2531</v>
      </c>
      <c r="D893" t="s">
        <v>2532</v>
      </c>
      <c r="E893" t="s">
        <v>586</v>
      </c>
      <c r="F893" t="s">
        <v>1056</v>
      </c>
      <c r="G893" t="s">
        <v>1136</v>
      </c>
      <c r="H893" t="s">
        <v>1494</v>
      </c>
      <c r="I893" t="s">
        <v>90</v>
      </c>
      <c r="J893" t="s">
        <v>90</v>
      </c>
      <c r="K893">
        <v>86.843476940000002</v>
      </c>
      <c r="L893">
        <v>4.67625753</v>
      </c>
      <c r="M893">
        <v>5.1473057300000002</v>
      </c>
      <c r="N893">
        <v>5.6769846299999998</v>
      </c>
      <c r="O893">
        <v>5.3556442500000001</v>
      </c>
      <c r="P893">
        <v>3.198401851687517</v>
      </c>
      <c r="Q893">
        <v>241.13906849</v>
      </c>
      <c r="R893">
        <v>2.9273659396329128</v>
      </c>
      <c r="S893" t="s">
        <v>1063</v>
      </c>
      <c r="T893">
        <v>86.843476940000002</v>
      </c>
      <c r="U893" t="s">
        <v>2819</v>
      </c>
      <c r="V893" t="s">
        <v>1059</v>
      </c>
      <c r="W893" s="114" t="str">
        <f t="shared" si="39"/>
        <v>ETF</v>
      </c>
      <c r="X893" s="114" t="str">
        <f t="shared" si="40"/>
        <v>Otros ETFs</v>
      </c>
    </row>
    <row r="894" spans="1:24" hidden="1" x14ac:dyDescent="0.25">
      <c r="A894" s="114" t="str">
        <f t="shared" si="41"/>
        <v>7073</v>
      </c>
      <c r="B894" t="s">
        <v>6079</v>
      </c>
      <c r="C894" t="s">
        <v>5840</v>
      </c>
      <c r="D894" t="s">
        <v>5841</v>
      </c>
      <c r="E894" t="s">
        <v>586</v>
      </c>
      <c r="F894" t="s">
        <v>1056</v>
      </c>
      <c r="G894" t="s">
        <v>1163</v>
      </c>
      <c r="H894" t="s">
        <v>1164</v>
      </c>
      <c r="I894" t="s">
        <v>90</v>
      </c>
      <c r="J894" t="s">
        <v>90</v>
      </c>
      <c r="K894">
        <v>41.843325880000002</v>
      </c>
      <c r="L894">
        <v>8.0681738799999998</v>
      </c>
      <c r="M894">
        <v>6.6410693399999996</v>
      </c>
      <c r="N894">
        <v>5.5592767299999997</v>
      </c>
      <c r="O894">
        <v>6.7893006199999997</v>
      </c>
      <c r="P894">
        <v>21.613747590603619</v>
      </c>
      <c r="Q894">
        <v>74.04663635</v>
      </c>
      <c r="R894">
        <v>65.785441102606626</v>
      </c>
      <c r="S894" t="s">
        <v>1073</v>
      </c>
      <c r="T894">
        <v>41.843325880000002</v>
      </c>
      <c r="U894" t="s">
        <v>2819</v>
      </c>
      <c r="V894" t="s">
        <v>1059</v>
      </c>
      <c r="W894" s="114" t="str">
        <f t="shared" si="39"/>
        <v>ETF</v>
      </c>
      <c r="X894" s="114" t="str">
        <f t="shared" si="40"/>
        <v>Otros ETFs</v>
      </c>
    </row>
    <row r="895" spans="1:24" hidden="1" x14ac:dyDescent="0.25">
      <c r="A895" s="114" t="str">
        <f t="shared" si="41"/>
        <v>7437</v>
      </c>
      <c r="B895" t="s">
        <v>2533</v>
      </c>
      <c r="C895" t="s">
        <v>2534</v>
      </c>
      <c r="D895" t="s">
        <v>2535</v>
      </c>
      <c r="E895" t="s">
        <v>586</v>
      </c>
      <c r="F895" t="s">
        <v>1056</v>
      </c>
      <c r="G895" t="s">
        <v>1071</v>
      </c>
      <c r="H895" t="s">
        <v>1893</v>
      </c>
      <c r="I895" t="s">
        <v>90</v>
      </c>
      <c r="J895" t="s">
        <v>90</v>
      </c>
      <c r="K895">
        <v>68.627323039999993</v>
      </c>
      <c r="L895">
        <v>6.0812803200000003</v>
      </c>
      <c r="M895">
        <v>5.9376737000000004</v>
      </c>
      <c r="N895">
        <v>5.4654277899999997</v>
      </c>
      <c r="O895">
        <v>6.06720126</v>
      </c>
      <c r="P895">
        <v>2.5891001819879822</v>
      </c>
      <c r="Q895">
        <v>60.091593699999997</v>
      </c>
      <c r="R895">
        <v>6.9121586325727309</v>
      </c>
      <c r="S895" t="s">
        <v>30</v>
      </c>
      <c r="T895">
        <v>68.627323039999993</v>
      </c>
      <c r="U895" t="s">
        <v>2819</v>
      </c>
      <c r="V895" t="s">
        <v>1059</v>
      </c>
      <c r="W895" s="114" t="str">
        <f t="shared" si="39"/>
        <v>ETF</v>
      </c>
      <c r="X895" s="114" t="str">
        <f t="shared" si="40"/>
        <v>Otros ETFs</v>
      </c>
    </row>
    <row r="896" spans="1:24" hidden="1" x14ac:dyDescent="0.25">
      <c r="A896" s="114" t="str">
        <f t="shared" si="41"/>
        <v>7041</v>
      </c>
      <c r="B896" t="s">
        <v>2536</v>
      </c>
      <c r="C896" t="s">
        <v>2537</v>
      </c>
      <c r="D896" t="s">
        <v>2538</v>
      </c>
      <c r="E896" t="s">
        <v>586</v>
      </c>
      <c r="F896" t="s">
        <v>1056</v>
      </c>
      <c r="G896" t="s">
        <v>1714</v>
      </c>
      <c r="H896" t="s">
        <v>1164</v>
      </c>
      <c r="I896" t="s">
        <v>90</v>
      </c>
      <c r="J896" t="s">
        <v>90</v>
      </c>
      <c r="K896">
        <v>197.84218407</v>
      </c>
      <c r="L896">
        <v>7.8100629399999999</v>
      </c>
      <c r="M896">
        <v>6.6035566699999997</v>
      </c>
      <c r="N896">
        <v>5.23228165</v>
      </c>
      <c r="O896">
        <v>6.4489946299999996</v>
      </c>
      <c r="P896">
        <v>33.561199999999999</v>
      </c>
      <c r="Q896">
        <v>189.94378116999999</v>
      </c>
      <c r="R896">
        <v>59.615099999999998</v>
      </c>
      <c r="S896" t="s">
        <v>1073</v>
      </c>
      <c r="T896">
        <v>197.84218407</v>
      </c>
      <c r="U896" t="s">
        <v>2819</v>
      </c>
      <c r="V896" t="s">
        <v>1059</v>
      </c>
      <c r="W896" s="114" t="str">
        <f t="shared" si="39"/>
        <v>ETF</v>
      </c>
      <c r="X896" s="114" t="str">
        <f t="shared" si="40"/>
        <v>Otros ETFs</v>
      </c>
    </row>
    <row r="897" spans="1:24" hidden="1" x14ac:dyDescent="0.25">
      <c r="A897" s="114" t="str">
        <f t="shared" si="41"/>
        <v>5287</v>
      </c>
      <c r="B897" t="s">
        <v>2773</v>
      </c>
      <c r="C897" t="s">
        <v>853</v>
      </c>
      <c r="D897" t="s">
        <v>3050</v>
      </c>
      <c r="E897" t="s">
        <v>202</v>
      </c>
      <c r="F897" t="s">
        <v>4800</v>
      </c>
      <c r="G897" t="s">
        <v>2772</v>
      </c>
      <c r="H897" t="s">
        <v>1119</v>
      </c>
      <c r="I897">
        <v>23590.87</v>
      </c>
      <c r="J897">
        <v>248025.38</v>
      </c>
      <c r="K897">
        <v>10.51</v>
      </c>
      <c r="L897">
        <v>4.5</v>
      </c>
      <c r="M897">
        <v>3.6</v>
      </c>
      <c r="N897">
        <v>4.5</v>
      </c>
      <c r="O897">
        <v>4</v>
      </c>
      <c r="P897">
        <v>0</v>
      </c>
      <c r="Q897"/>
      <c r="R897">
        <v>9</v>
      </c>
      <c r="S897" t="s">
        <v>1063</v>
      </c>
      <c r="T897">
        <v>10.51</v>
      </c>
      <c r="U897" t="s">
        <v>2819</v>
      </c>
      <c r="V897" t="s">
        <v>1062</v>
      </c>
      <c r="W897" s="114" t="str">
        <f t="shared" si="39"/>
        <v>Portafolio</v>
      </c>
      <c r="X897" s="114" t="str">
        <f t="shared" si="40"/>
        <v>Portafolio</v>
      </c>
    </row>
    <row r="898" spans="1:24" hidden="1" x14ac:dyDescent="0.25">
      <c r="A898" s="114" t="str">
        <f t="shared" si="41"/>
        <v>7397</v>
      </c>
      <c r="B898" t="s">
        <v>2536</v>
      </c>
      <c r="C898" t="s">
        <v>2537</v>
      </c>
      <c r="D898" t="s">
        <v>2539</v>
      </c>
      <c r="E898" t="s">
        <v>586</v>
      </c>
      <c r="F898" t="s">
        <v>1056</v>
      </c>
      <c r="G898" t="s">
        <v>1714</v>
      </c>
      <c r="H898" t="s">
        <v>1164</v>
      </c>
      <c r="I898" t="s">
        <v>90</v>
      </c>
      <c r="J898" t="s">
        <v>90</v>
      </c>
      <c r="K898">
        <v>197.84218407</v>
      </c>
      <c r="L898">
        <v>7.8100629399999999</v>
      </c>
      <c r="M898">
        <v>6.6035566699999997</v>
      </c>
      <c r="N898">
        <v>5.23228165</v>
      </c>
      <c r="O898">
        <v>6.4489946299999996</v>
      </c>
      <c r="P898">
        <v>33.561199999999999</v>
      </c>
      <c r="Q898">
        <v>189.94378116999999</v>
      </c>
      <c r="R898">
        <v>59.615099999999998</v>
      </c>
      <c r="S898" t="s">
        <v>1073</v>
      </c>
      <c r="T898">
        <v>197.84218407</v>
      </c>
      <c r="U898" t="s">
        <v>2819</v>
      </c>
      <c r="V898" t="s">
        <v>1059</v>
      </c>
      <c r="W898" s="114" t="str">
        <f t="shared" ref="W898:W961" si="42">IF(V898="ETF_ETY","ETF",IF(V898="ETF_SOV","ETF",IF(V898="RF_SOV","SOV",IF(V898="-","Cuestionario Integra","Portafolio"))))</f>
        <v>ETF</v>
      </c>
      <c r="X898" s="114" t="str">
        <f t="shared" ref="X898:X961" si="43">IF(V898="ETF_ETY","Otros ETFs",IF(V898="ETF_SOV","Soberanos",W898))</f>
        <v>Otros ETFs</v>
      </c>
    </row>
    <row r="899" spans="1:24" hidden="1" x14ac:dyDescent="0.25">
      <c r="A899" s="114" t="str">
        <f t="shared" ref="A899:A962" si="44">RIGHT(LEFT(D899,6),4)</f>
        <v>7408</v>
      </c>
      <c r="B899" t="s">
        <v>2541</v>
      </c>
      <c r="C899" t="s">
        <v>2542</v>
      </c>
      <c r="D899" t="s">
        <v>2543</v>
      </c>
      <c r="E899" t="s">
        <v>586</v>
      </c>
      <c r="F899" t="s">
        <v>1056</v>
      </c>
      <c r="G899" t="s">
        <v>1071</v>
      </c>
      <c r="H899" t="s">
        <v>1202</v>
      </c>
      <c r="I899" t="s">
        <v>90</v>
      </c>
      <c r="J899" t="s">
        <v>90</v>
      </c>
      <c r="K899">
        <v>4.3596946699999997</v>
      </c>
      <c r="L899">
        <v>5.2412893800000004</v>
      </c>
      <c r="M899">
        <v>6.8430374799999996</v>
      </c>
      <c r="N899">
        <v>4.1883698300000001</v>
      </c>
      <c r="O899">
        <v>4.9959495199999999</v>
      </c>
      <c r="P899">
        <v>27.53728838709613</v>
      </c>
      <c r="Q899">
        <v>16.288737390000001</v>
      </c>
      <c r="R899">
        <v>3.5352886520012792</v>
      </c>
      <c r="S899" t="s">
        <v>1063</v>
      </c>
      <c r="T899">
        <v>4.3596946699999997</v>
      </c>
      <c r="U899" t="s">
        <v>2819</v>
      </c>
      <c r="V899" t="s">
        <v>1059</v>
      </c>
      <c r="W899" s="114" t="str">
        <f t="shared" si="42"/>
        <v>ETF</v>
      </c>
      <c r="X899" s="114" t="str">
        <f t="shared" si="43"/>
        <v>Otros ETFs</v>
      </c>
    </row>
    <row r="900" spans="1:24" hidden="1" x14ac:dyDescent="0.25">
      <c r="A900" s="114" t="str">
        <f t="shared" si="44"/>
        <v>7128</v>
      </c>
      <c r="B900" t="s">
        <v>2544</v>
      </c>
      <c r="C900" t="s">
        <v>2545</v>
      </c>
      <c r="D900" t="s">
        <v>2546</v>
      </c>
      <c r="E900" t="s">
        <v>586</v>
      </c>
      <c r="F900" t="s">
        <v>1056</v>
      </c>
      <c r="G900" t="s">
        <v>1174</v>
      </c>
      <c r="H900" t="s">
        <v>1175</v>
      </c>
      <c r="I900" t="s">
        <v>90</v>
      </c>
      <c r="J900" t="s">
        <v>90</v>
      </c>
      <c r="K900">
        <v>91.191507099999995</v>
      </c>
      <c r="L900">
        <v>5.6278121700000003</v>
      </c>
      <c r="M900">
        <v>5.8648466700000004</v>
      </c>
      <c r="N900">
        <v>4.7774750800000003</v>
      </c>
      <c r="O900">
        <v>4.8502037299999996</v>
      </c>
      <c r="P900">
        <v>28.467500000000001</v>
      </c>
      <c r="Q900">
        <v>172.99448462000001</v>
      </c>
      <c r="R900">
        <v>0</v>
      </c>
      <c r="S900" t="s">
        <v>1063</v>
      </c>
      <c r="T900">
        <v>91.191507099999995</v>
      </c>
      <c r="U900" t="s">
        <v>2819</v>
      </c>
      <c r="V900" t="s">
        <v>1059</v>
      </c>
      <c r="W900" s="114" t="str">
        <f t="shared" si="42"/>
        <v>ETF</v>
      </c>
      <c r="X900" s="114" t="str">
        <f t="shared" si="43"/>
        <v>Otros ETFs</v>
      </c>
    </row>
    <row r="901" spans="1:24" hidden="1" x14ac:dyDescent="0.25">
      <c r="A901" s="114" t="str">
        <f t="shared" si="44"/>
        <v>7410</v>
      </c>
      <c r="B901" t="s">
        <v>5454</v>
      </c>
      <c r="C901" t="s">
        <v>2547</v>
      </c>
      <c r="D901" t="s">
        <v>2548</v>
      </c>
      <c r="E901" t="s">
        <v>586</v>
      </c>
      <c r="F901" t="s">
        <v>1056</v>
      </c>
      <c r="G901" t="s">
        <v>1163</v>
      </c>
      <c r="H901" t="s">
        <v>1791</v>
      </c>
      <c r="I901" t="s">
        <v>90</v>
      </c>
      <c r="J901" t="s">
        <v>90</v>
      </c>
      <c r="K901">
        <v>7.38250428</v>
      </c>
      <c r="L901">
        <v>7.3564587799999996</v>
      </c>
      <c r="M901">
        <v>5.3765586699999997</v>
      </c>
      <c r="N901">
        <v>5.0748702799999998</v>
      </c>
      <c r="O901">
        <v>6.9235545600000004</v>
      </c>
      <c r="P901">
        <v>1.5055818601113851</v>
      </c>
      <c r="Q901">
        <v>14.00207758</v>
      </c>
      <c r="R901">
        <v>58.017568361330412</v>
      </c>
      <c r="S901" t="s">
        <v>1073</v>
      </c>
      <c r="T901">
        <v>7.38250428</v>
      </c>
      <c r="U901" t="s">
        <v>2819</v>
      </c>
      <c r="V901" t="s">
        <v>1059</v>
      </c>
      <c r="W901" s="114" t="str">
        <f t="shared" si="42"/>
        <v>ETF</v>
      </c>
      <c r="X901" s="114" t="str">
        <f t="shared" si="43"/>
        <v>Otros ETFs</v>
      </c>
    </row>
    <row r="902" spans="1:24" hidden="1" x14ac:dyDescent="0.25">
      <c r="A902" s="114" t="str">
        <f t="shared" si="44"/>
        <v>7085</v>
      </c>
      <c r="B902" t="s">
        <v>2549</v>
      </c>
      <c r="C902" t="s">
        <v>2550</v>
      </c>
      <c r="D902" t="s">
        <v>2551</v>
      </c>
      <c r="E902" t="s">
        <v>586</v>
      </c>
      <c r="F902" t="s">
        <v>1056</v>
      </c>
      <c r="G902" t="s">
        <v>1689</v>
      </c>
      <c r="H902" t="s">
        <v>1791</v>
      </c>
      <c r="I902" t="s">
        <v>90</v>
      </c>
      <c r="J902" t="s">
        <v>90</v>
      </c>
      <c r="K902">
        <v>86.841018120000001</v>
      </c>
      <c r="L902">
        <v>7.1385736800000004</v>
      </c>
      <c r="M902">
        <v>5.7778014500000001</v>
      </c>
      <c r="N902">
        <v>4.9880977399999997</v>
      </c>
      <c r="O902">
        <v>6.8870763300000002</v>
      </c>
      <c r="P902">
        <v>3.946134208731205</v>
      </c>
      <c r="Q902">
        <v>120.69639245</v>
      </c>
      <c r="R902">
        <v>66.471577865982439</v>
      </c>
      <c r="S902" t="s">
        <v>30</v>
      </c>
      <c r="T902">
        <v>86.841018120000001</v>
      </c>
      <c r="U902" t="s">
        <v>2819</v>
      </c>
      <c r="V902" t="s">
        <v>1059</v>
      </c>
      <c r="W902" s="114" t="str">
        <f t="shared" si="42"/>
        <v>ETF</v>
      </c>
      <c r="X902" s="114" t="str">
        <f t="shared" si="43"/>
        <v>Otros ETFs</v>
      </c>
    </row>
    <row r="903" spans="1:24" hidden="1" x14ac:dyDescent="0.25">
      <c r="A903" s="114" t="str">
        <f t="shared" si="44"/>
        <v>7047</v>
      </c>
      <c r="B903" t="s">
        <v>5101</v>
      </c>
      <c r="C903" t="s">
        <v>2552</v>
      </c>
      <c r="D903" t="s">
        <v>2553</v>
      </c>
      <c r="E903" t="s">
        <v>586</v>
      </c>
      <c r="F903" t="s">
        <v>1056</v>
      </c>
      <c r="G903" t="s">
        <v>1071</v>
      </c>
      <c r="H903" t="s">
        <v>6153</v>
      </c>
      <c r="I903" t="s">
        <v>90</v>
      </c>
      <c r="J903" t="s">
        <v>90</v>
      </c>
      <c r="K903">
        <v>8.0846050300000005</v>
      </c>
      <c r="L903">
        <v>6.7162643600000003</v>
      </c>
      <c r="M903">
        <v>5.8908887200000004</v>
      </c>
      <c r="N903">
        <v>5.4231412700000003</v>
      </c>
      <c r="O903">
        <v>5.9109002400000001</v>
      </c>
      <c r="P903">
        <v>21.913869886646509</v>
      </c>
      <c r="Q903">
        <v>35.1687759</v>
      </c>
      <c r="R903">
        <v>25.73730577063121</v>
      </c>
      <c r="S903" t="s">
        <v>30</v>
      </c>
      <c r="T903">
        <v>8.0846050300000005</v>
      </c>
      <c r="U903" t="s">
        <v>2819</v>
      </c>
      <c r="V903" t="s">
        <v>1059</v>
      </c>
      <c r="W903" s="114" t="str">
        <f t="shared" si="42"/>
        <v>ETF</v>
      </c>
      <c r="X903" s="114" t="str">
        <f t="shared" si="43"/>
        <v>Otros ETFs</v>
      </c>
    </row>
    <row r="904" spans="1:24" hidden="1" x14ac:dyDescent="0.25">
      <c r="A904" s="114" t="str">
        <f t="shared" si="44"/>
        <v>7008</v>
      </c>
      <c r="B904" t="s">
        <v>2555</v>
      </c>
      <c r="C904" t="s">
        <v>721</v>
      </c>
      <c r="D904" t="s">
        <v>720</v>
      </c>
      <c r="E904" t="s">
        <v>586</v>
      </c>
      <c r="F904" t="s">
        <v>1056</v>
      </c>
      <c r="G904" t="s">
        <v>1290</v>
      </c>
      <c r="H904" t="s">
        <v>1291</v>
      </c>
      <c r="I904" t="s">
        <v>90</v>
      </c>
      <c r="J904" t="s">
        <v>90</v>
      </c>
      <c r="K904">
        <v>100.84136264</v>
      </c>
      <c r="L904">
        <v>6.4631243100000004</v>
      </c>
      <c r="M904">
        <v>6.2849303499999998</v>
      </c>
      <c r="N904">
        <v>5.1845827599999996</v>
      </c>
      <c r="O904">
        <v>5.0484457200000001</v>
      </c>
      <c r="P904">
        <v>20.82594572208777</v>
      </c>
      <c r="Q904">
        <v>199.45817011</v>
      </c>
      <c r="R904">
        <v>5.5486477311530047</v>
      </c>
      <c r="S904" t="s">
        <v>30</v>
      </c>
      <c r="T904">
        <v>100.84136264</v>
      </c>
      <c r="U904" t="s">
        <v>2819</v>
      </c>
      <c r="V904" t="s">
        <v>1059</v>
      </c>
      <c r="W904" s="114" t="str">
        <f t="shared" si="42"/>
        <v>ETF</v>
      </c>
      <c r="X904" s="114" t="str">
        <f t="shared" si="43"/>
        <v>Otros ETFs</v>
      </c>
    </row>
    <row r="905" spans="1:24" hidden="1" x14ac:dyDescent="0.25">
      <c r="A905" s="114" t="str">
        <f t="shared" si="44"/>
        <v>7412</v>
      </c>
      <c r="B905" t="s">
        <v>2556</v>
      </c>
      <c r="C905" t="s">
        <v>861</v>
      </c>
      <c r="D905" t="s">
        <v>860</v>
      </c>
      <c r="E905" t="s">
        <v>586</v>
      </c>
      <c r="F905" t="s">
        <v>1056</v>
      </c>
      <c r="G905" t="s">
        <v>1766</v>
      </c>
      <c r="H905" t="s">
        <v>2188</v>
      </c>
      <c r="I905" t="s">
        <v>90</v>
      </c>
      <c r="J905" t="s">
        <v>90</v>
      </c>
      <c r="K905">
        <v>415.65856077000001</v>
      </c>
      <c r="L905">
        <v>4.8254152299999999</v>
      </c>
      <c r="M905">
        <v>5.1140571799999996</v>
      </c>
      <c r="N905">
        <v>5.0667098099999999</v>
      </c>
      <c r="O905">
        <v>4.7719755599999996</v>
      </c>
      <c r="P905">
        <v>3.6437991300200929</v>
      </c>
      <c r="Q905">
        <v>657.59540949999996</v>
      </c>
      <c r="R905">
        <v>10.078029414317429</v>
      </c>
      <c r="S905" t="s">
        <v>1063</v>
      </c>
      <c r="T905">
        <v>415.65856077000001</v>
      </c>
      <c r="U905" t="s">
        <v>2819</v>
      </c>
      <c r="V905" t="s">
        <v>1059</v>
      </c>
      <c r="W905" s="114" t="str">
        <f t="shared" si="42"/>
        <v>ETF</v>
      </c>
      <c r="X905" s="114" t="str">
        <f t="shared" si="43"/>
        <v>Otros ETFs</v>
      </c>
    </row>
    <row r="906" spans="1:24" hidden="1" x14ac:dyDescent="0.25">
      <c r="A906" s="114" t="str">
        <f t="shared" si="44"/>
        <v>7398</v>
      </c>
      <c r="B906" t="s">
        <v>5102</v>
      </c>
      <c r="C906" t="s">
        <v>2557</v>
      </c>
      <c r="D906" t="s">
        <v>2558</v>
      </c>
      <c r="E906" t="s">
        <v>586</v>
      </c>
      <c r="F906" t="s">
        <v>1056</v>
      </c>
      <c r="G906" t="s">
        <v>1057</v>
      </c>
      <c r="H906" t="s">
        <v>1288</v>
      </c>
      <c r="I906" t="s">
        <v>90</v>
      </c>
      <c r="J906" t="s">
        <v>90</v>
      </c>
      <c r="K906">
        <v>184.56247013000001</v>
      </c>
      <c r="L906">
        <v>5.9388549700000004</v>
      </c>
      <c r="M906">
        <v>4.8350637599999997</v>
      </c>
      <c r="N906">
        <v>5.1640371900000002</v>
      </c>
      <c r="O906">
        <v>5.5692722999999997</v>
      </c>
      <c r="P906">
        <v>6.2186181839810857</v>
      </c>
      <c r="Q906">
        <v>374.10982054999999</v>
      </c>
      <c r="R906">
        <v>8.9303044872589208</v>
      </c>
      <c r="S906" t="s">
        <v>30</v>
      </c>
      <c r="T906">
        <v>184.56247013000001</v>
      </c>
      <c r="U906" t="s">
        <v>2819</v>
      </c>
      <c r="V906" t="s">
        <v>1059</v>
      </c>
      <c r="W906" s="114" t="str">
        <f t="shared" si="42"/>
        <v>ETF</v>
      </c>
      <c r="X906" s="114" t="str">
        <f t="shared" si="43"/>
        <v>Otros ETFs</v>
      </c>
    </row>
    <row r="907" spans="1:24" hidden="1" x14ac:dyDescent="0.25">
      <c r="A907" s="114" t="str">
        <f t="shared" si="44"/>
        <v>7398</v>
      </c>
      <c r="B907" t="s">
        <v>2559</v>
      </c>
      <c r="C907" t="s">
        <v>2560</v>
      </c>
      <c r="D907" t="s">
        <v>2561</v>
      </c>
      <c r="E907" t="s">
        <v>586</v>
      </c>
      <c r="F907" t="s">
        <v>1056</v>
      </c>
      <c r="G907" t="s">
        <v>1071</v>
      </c>
      <c r="H907" t="s">
        <v>6342</v>
      </c>
      <c r="I907" t="s">
        <v>90</v>
      </c>
      <c r="J907" t="s">
        <v>90</v>
      </c>
      <c r="K907">
        <v>49.773496280000003</v>
      </c>
      <c r="L907">
        <v>7.6976879699999996</v>
      </c>
      <c r="M907">
        <v>7.1303641500000001</v>
      </c>
      <c r="N907">
        <v>5.28715869</v>
      </c>
      <c r="O907">
        <v>6.4460272600000001</v>
      </c>
      <c r="P907">
        <v>21.623694809147299</v>
      </c>
      <c r="Q907">
        <v>183.96317811</v>
      </c>
      <c r="R907">
        <v>51.557992756481113</v>
      </c>
      <c r="S907" t="s">
        <v>1073</v>
      </c>
      <c r="T907">
        <v>49.773496280000003</v>
      </c>
      <c r="U907" t="s">
        <v>2819</v>
      </c>
      <c r="V907" t="s">
        <v>1059</v>
      </c>
      <c r="W907" s="114" t="str">
        <f t="shared" si="42"/>
        <v>ETF</v>
      </c>
      <c r="X907" s="114" t="str">
        <f t="shared" si="43"/>
        <v>Otros ETFs</v>
      </c>
    </row>
    <row r="908" spans="1:24" hidden="1" x14ac:dyDescent="0.25">
      <c r="A908" s="114" t="str">
        <f t="shared" si="44"/>
        <v>7408</v>
      </c>
      <c r="B908" t="s">
        <v>5103</v>
      </c>
      <c r="C908" t="s">
        <v>2562</v>
      </c>
      <c r="D908" t="s">
        <v>2563</v>
      </c>
      <c r="E908" t="s">
        <v>586</v>
      </c>
      <c r="F908" t="s">
        <v>1056</v>
      </c>
      <c r="G908" t="s">
        <v>1136</v>
      </c>
      <c r="H908" t="s">
        <v>1494</v>
      </c>
      <c r="I908" t="s">
        <v>90</v>
      </c>
      <c r="J908" t="s">
        <v>90</v>
      </c>
      <c r="K908">
        <v>0.31004966</v>
      </c>
      <c r="L908">
        <v>4.59515618</v>
      </c>
      <c r="M908">
        <v>5.1119934799999998</v>
      </c>
      <c r="N908">
        <v>5.8533402399999996</v>
      </c>
      <c r="O908">
        <v>5.6305942099999999</v>
      </c>
      <c r="P908">
        <v>0.83794668017055995</v>
      </c>
      <c r="Q908">
        <v>2.6535713900000002</v>
      </c>
      <c r="R908">
        <v>1.948513186932342</v>
      </c>
      <c r="S908" t="s">
        <v>1063</v>
      </c>
      <c r="T908">
        <v>0.31004966</v>
      </c>
      <c r="U908" t="s">
        <v>2819</v>
      </c>
      <c r="V908" t="s">
        <v>1059</v>
      </c>
      <c r="W908" s="114" t="str">
        <f t="shared" si="42"/>
        <v>ETF</v>
      </c>
      <c r="X908" s="114" t="str">
        <f t="shared" si="43"/>
        <v>Otros ETFs</v>
      </c>
    </row>
    <row r="909" spans="1:24" hidden="1" x14ac:dyDescent="0.25">
      <c r="A909" s="114" t="str">
        <f t="shared" si="44"/>
        <v>7550</v>
      </c>
      <c r="B909" t="s">
        <v>2564</v>
      </c>
      <c r="C909" t="s">
        <v>2565</v>
      </c>
      <c r="D909" t="s">
        <v>2566</v>
      </c>
      <c r="E909" t="s">
        <v>586</v>
      </c>
      <c r="F909" t="s">
        <v>1056</v>
      </c>
      <c r="G909" t="s">
        <v>1136</v>
      </c>
      <c r="H909" t="s">
        <v>1494</v>
      </c>
      <c r="I909" t="s">
        <v>90</v>
      </c>
      <c r="J909" t="s">
        <v>90</v>
      </c>
      <c r="K909">
        <v>0.95312527000000002</v>
      </c>
      <c r="L909">
        <v>4.4260936600000003</v>
      </c>
      <c r="M909">
        <v>4.8686334100000002</v>
      </c>
      <c r="N909">
        <v>5.7218982900000004</v>
      </c>
      <c r="O909">
        <v>5.3630504700000001</v>
      </c>
      <c r="P909">
        <v>0</v>
      </c>
      <c r="Q909">
        <v>1.1948501</v>
      </c>
      <c r="R909">
        <v>0</v>
      </c>
      <c r="S909" t="s">
        <v>1063</v>
      </c>
      <c r="T909">
        <v>0.95312527000000002</v>
      </c>
      <c r="U909" t="s">
        <v>2819</v>
      </c>
      <c r="V909" t="s">
        <v>1059</v>
      </c>
      <c r="W909" s="114" t="str">
        <f t="shared" si="42"/>
        <v>ETF</v>
      </c>
      <c r="X909" s="114" t="str">
        <f t="shared" si="43"/>
        <v>Otros ETFs</v>
      </c>
    </row>
    <row r="910" spans="1:24" hidden="1" x14ac:dyDescent="0.25">
      <c r="A910" s="114" t="str">
        <f t="shared" si="44"/>
        <v>5910</v>
      </c>
      <c r="B910" t="s">
        <v>2774</v>
      </c>
      <c r="C910" t="s">
        <v>2776</v>
      </c>
      <c r="D910" t="s">
        <v>3002</v>
      </c>
      <c r="E910" t="s">
        <v>191</v>
      </c>
      <c r="F910" t="s">
        <v>4804</v>
      </c>
      <c r="G910" t="s">
        <v>2775</v>
      </c>
      <c r="H910" t="s">
        <v>1203</v>
      </c>
      <c r="I910">
        <v>136199.20000000001</v>
      </c>
      <c r="J910">
        <v>47000000</v>
      </c>
      <c r="K910">
        <v>345.08</v>
      </c>
      <c r="L910">
        <v>5.7</v>
      </c>
      <c r="M910">
        <v>5.7</v>
      </c>
      <c r="N910">
        <v>7.3</v>
      </c>
      <c r="O910">
        <v>3.3</v>
      </c>
      <c r="P910">
        <v>2</v>
      </c>
      <c r="Q910"/>
      <c r="R910">
        <v>27</v>
      </c>
      <c r="S910" t="s">
        <v>1063</v>
      </c>
      <c r="T910">
        <v>345.08</v>
      </c>
      <c r="U910" t="s">
        <v>2819</v>
      </c>
      <c r="V910" t="s">
        <v>1062</v>
      </c>
      <c r="W910" s="114" t="str">
        <f t="shared" si="42"/>
        <v>Portafolio</v>
      </c>
      <c r="X910" s="114" t="str">
        <f t="shared" si="43"/>
        <v>Portafolio</v>
      </c>
    </row>
    <row r="911" spans="1:24" hidden="1" x14ac:dyDescent="0.25">
      <c r="A911" s="114" t="str">
        <f t="shared" si="44"/>
        <v>7047</v>
      </c>
      <c r="B911" t="s">
        <v>5104</v>
      </c>
      <c r="C911" t="s">
        <v>689</v>
      </c>
      <c r="D911" t="s">
        <v>688</v>
      </c>
      <c r="E911" t="s">
        <v>586</v>
      </c>
      <c r="F911" t="s">
        <v>1056</v>
      </c>
      <c r="G911" t="s">
        <v>1290</v>
      </c>
      <c r="H911" t="s">
        <v>1291</v>
      </c>
      <c r="I911" t="s">
        <v>90</v>
      </c>
      <c r="J911" t="s">
        <v>90</v>
      </c>
      <c r="K911">
        <v>35.826044969999998</v>
      </c>
      <c r="L911">
        <v>5.5056852599999999</v>
      </c>
      <c r="M911">
        <v>5.2300360499999998</v>
      </c>
      <c r="N911">
        <v>4.8833776899999997</v>
      </c>
      <c r="O911">
        <v>5.1854779400000002</v>
      </c>
      <c r="P911">
        <v>9.2045368181472718</v>
      </c>
      <c r="Q911">
        <v>89.308054010000006</v>
      </c>
      <c r="R911">
        <v>9.7373389493557969</v>
      </c>
      <c r="S911" t="s">
        <v>1063</v>
      </c>
      <c r="T911">
        <v>35.826044969999998</v>
      </c>
      <c r="U911" t="s">
        <v>2819</v>
      </c>
      <c r="V911" t="s">
        <v>1059</v>
      </c>
      <c r="W911" s="114" t="str">
        <f t="shared" si="42"/>
        <v>ETF</v>
      </c>
      <c r="X911" s="114" t="str">
        <f t="shared" si="43"/>
        <v>Otros ETFs</v>
      </c>
    </row>
    <row r="912" spans="1:24" hidden="1" x14ac:dyDescent="0.25">
      <c r="A912" s="114" t="str">
        <f t="shared" si="44"/>
        <v>7088</v>
      </c>
      <c r="B912" t="s">
        <v>2568</v>
      </c>
      <c r="C912" t="s">
        <v>2569</v>
      </c>
      <c r="D912" t="s">
        <v>2570</v>
      </c>
      <c r="E912" t="s">
        <v>586</v>
      </c>
      <c r="F912" t="s">
        <v>1056</v>
      </c>
      <c r="G912" t="s">
        <v>1290</v>
      </c>
      <c r="H912" t="s">
        <v>1291</v>
      </c>
      <c r="I912" t="s">
        <v>90</v>
      </c>
      <c r="J912" t="s">
        <v>90</v>
      </c>
      <c r="K912">
        <v>32.022561840000002</v>
      </c>
      <c r="L912">
        <v>5.8337320100000003</v>
      </c>
      <c r="M912">
        <v>5.5687835699999999</v>
      </c>
      <c r="N912">
        <v>5.2236826499999998</v>
      </c>
      <c r="O912">
        <v>5.1509831100000003</v>
      </c>
      <c r="P912">
        <v>4.8621048621048617</v>
      </c>
      <c r="Q912">
        <v>106.97187502</v>
      </c>
      <c r="R912">
        <v>8.4109084109084105</v>
      </c>
      <c r="S912" t="s">
        <v>30</v>
      </c>
      <c r="T912">
        <v>32.022561840000002</v>
      </c>
      <c r="U912" t="s">
        <v>2819</v>
      </c>
      <c r="V912" t="s">
        <v>1059</v>
      </c>
      <c r="W912" s="114" t="str">
        <f t="shared" si="42"/>
        <v>ETF</v>
      </c>
      <c r="X912" s="114" t="str">
        <f t="shared" si="43"/>
        <v>Otros ETFs</v>
      </c>
    </row>
    <row r="913" spans="1:24" hidden="1" x14ac:dyDescent="0.25">
      <c r="A913" s="114" t="str">
        <f t="shared" si="44"/>
        <v>2101</v>
      </c>
      <c r="B913" t="s">
        <v>2779</v>
      </c>
      <c r="C913" t="s">
        <v>425</v>
      </c>
      <c r="D913" t="s">
        <v>424</v>
      </c>
      <c r="E913" t="s">
        <v>422</v>
      </c>
      <c r="F913" t="s">
        <v>4801</v>
      </c>
      <c r="G913" t="s">
        <v>1198</v>
      </c>
      <c r="H913" t="s">
        <v>1098</v>
      </c>
      <c r="I913">
        <v>5919.31</v>
      </c>
      <c r="J913">
        <v>125811.6</v>
      </c>
      <c r="K913">
        <v>21.25</v>
      </c>
      <c r="L913">
        <v>6.9</v>
      </c>
      <c r="M913">
        <v>6.1</v>
      </c>
      <c r="N913">
        <v>5.3</v>
      </c>
      <c r="O913">
        <v>5.2</v>
      </c>
      <c r="P913">
        <v>0</v>
      </c>
      <c r="Q913"/>
      <c r="R913">
        <v>31</v>
      </c>
      <c r="S913" t="s">
        <v>30</v>
      </c>
      <c r="T913">
        <v>21.25</v>
      </c>
      <c r="U913" t="s">
        <v>2819</v>
      </c>
      <c r="V913" t="s">
        <v>1062</v>
      </c>
      <c r="W913" s="114" t="str">
        <f t="shared" si="42"/>
        <v>Portafolio</v>
      </c>
      <c r="X913" s="114" t="str">
        <f t="shared" si="43"/>
        <v>Portafolio</v>
      </c>
    </row>
    <row r="914" spans="1:24" hidden="1" x14ac:dyDescent="0.25">
      <c r="A914" s="114" t="str">
        <f t="shared" si="44"/>
        <v>7008</v>
      </c>
      <c r="B914" t="s">
        <v>2571</v>
      </c>
      <c r="C914" t="s">
        <v>2572</v>
      </c>
      <c r="D914" t="s">
        <v>2573</v>
      </c>
      <c r="E914" t="s">
        <v>586</v>
      </c>
      <c r="F914" t="s">
        <v>1056</v>
      </c>
      <c r="G914" t="s">
        <v>1605</v>
      </c>
      <c r="H914" t="s">
        <v>1606</v>
      </c>
      <c r="I914" t="s">
        <v>90</v>
      </c>
      <c r="J914" t="s">
        <v>90</v>
      </c>
      <c r="K914">
        <v>110.10841176</v>
      </c>
      <c r="L914">
        <v>6.67292854</v>
      </c>
      <c r="M914">
        <v>6.5880992999999997</v>
      </c>
      <c r="N914">
        <v>5.3010959299999998</v>
      </c>
      <c r="O914">
        <v>5.1377935800000003</v>
      </c>
      <c r="P914">
        <v>18.81351485350995</v>
      </c>
      <c r="Q914">
        <v>223.34768832</v>
      </c>
      <c r="R914">
        <v>6.922726234334208</v>
      </c>
      <c r="S914" t="s">
        <v>30</v>
      </c>
      <c r="T914">
        <v>110.10841176</v>
      </c>
      <c r="U914" t="s">
        <v>2819</v>
      </c>
      <c r="V914" t="s">
        <v>1059</v>
      </c>
      <c r="W914" s="114" t="str">
        <f t="shared" si="42"/>
        <v>ETF</v>
      </c>
      <c r="X914" s="114" t="str">
        <f t="shared" si="43"/>
        <v>Otros ETFs</v>
      </c>
    </row>
    <row r="915" spans="1:24" hidden="1" x14ac:dyDescent="0.25">
      <c r="A915" s="114" t="str">
        <f t="shared" si="44"/>
        <v>7041</v>
      </c>
      <c r="B915" t="s">
        <v>2574</v>
      </c>
      <c r="C915" t="s">
        <v>2575</v>
      </c>
      <c r="D915" t="s">
        <v>2576</v>
      </c>
      <c r="E915" t="s">
        <v>586</v>
      </c>
      <c r="F915" t="s">
        <v>1056</v>
      </c>
      <c r="G915" t="s">
        <v>1071</v>
      </c>
      <c r="H915" t="s">
        <v>1993</v>
      </c>
      <c r="I915" t="s">
        <v>90</v>
      </c>
      <c r="J915" t="s">
        <v>90</v>
      </c>
      <c r="K915">
        <v>158.73289281999999</v>
      </c>
      <c r="L915">
        <v>6.5477044900000001</v>
      </c>
      <c r="M915">
        <v>4.4575514299999996</v>
      </c>
      <c r="N915">
        <v>4.9810753700000001</v>
      </c>
      <c r="O915">
        <v>6.2554768999999997</v>
      </c>
      <c r="P915">
        <v>28.012584037752109</v>
      </c>
      <c r="Q915">
        <v>295.69799317000002</v>
      </c>
      <c r="R915">
        <v>34.59450378351135</v>
      </c>
      <c r="S915" t="s">
        <v>30</v>
      </c>
      <c r="T915">
        <v>158.73289281999999</v>
      </c>
      <c r="U915" t="s">
        <v>2819</v>
      </c>
      <c r="V915" t="s">
        <v>1059</v>
      </c>
      <c r="W915" s="114" t="str">
        <f t="shared" si="42"/>
        <v>ETF</v>
      </c>
      <c r="X915" s="114" t="str">
        <f t="shared" si="43"/>
        <v>Otros ETFs</v>
      </c>
    </row>
    <row r="916" spans="1:24" hidden="1" x14ac:dyDescent="0.25">
      <c r="A916" s="114" t="str">
        <f t="shared" si="44"/>
        <v>2105</v>
      </c>
      <c r="B916" t="s">
        <v>2780</v>
      </c>
      <c r="C916" t="s">
        <v>356</v>
      </c>
      <c r="D916" t="s">
        <v>355</v>
      </c>
      <c r="E916" t="s">
        <v>350</v>
      </c>
      <c r="F916" t="s">
        <v>4802</v>
      </c>
      <c r="G916" t="s">
        <v>1198</v>
      </c>
      <c r="H916" t="s">
        <v>5455</v>
      </c>
      <c r="I916">
        <v>3344.53</v>
      </c>
      <c r="J916">
        <v>1034.3926049876</v>
      </c>
      <c r="K916">
        <v>0.31</v>
      </c>
      <c r="L916"/>
      <c r="M916"/>
      <c r="N916"/>
      <c r="O916"/>
      <c r="P916"/>
      <c r="Q916"/>
      <c r="R916">
        <v>9</v>
      </c>
      <c r="S916"/>
      <c r="T916">
        <v>0.31</v>
      </c>
      <c r="U916" t="s">
        <v>2819</v>
      </c>
      <c r="V916" t="s">
        <v>1062</v>
      </c>
      <c r="W916" s="114" t="str">
        <f t="shared" si="42"/>
        <v>Portafolio</v>
      </c>
      <c r="X916" s="114" t="str">
        <f t="shared" si="43"/>
        <v>Portafolio</v>
      </c>
    </row>
    <row r="917" spans="1:24" hidden="1" x14ac:dyDescent="0.25">
      <c r="A917" s="114" t="str">
        <f t="shared" si="44"/>
        <v>7017</v>
      </c>
      <c r="B917" t="s">
        <v>2577</v>
      </c>
      <c r="C917" t="s">
        <v>956</v>
      </c>
      <c r="D917" t="s">
        <v>955</v>
      </c>
      <c r="E917" t="s">
        <v>586</v>
      </c>
      <c r="F917" t="s">
        <v>1056</v>
      </c>
      <c r="G917" t="s">
        <v>1136</v>
      </c>
      <c r="H917" t="s">
        <v>1437</v>
      </c>
      <c r="I917" t="s">
        <v>90</v>
      </c>
      <c r="J917" t="s">
        <v>90</v>
      </c>
      <c r="K917">
        <v>434.14055299</v>
      </c>
      <c r="L917">
        <v>3.8723399399999998</v>
      </c>
      <c r="M917">
        <v>5.0580820600000003</v>
      </c>
      <c r="N917">
        <v>5.5463257800000001</v>
      </c>
      <c r="O917">
        <v>5.0567025799999996</v>
      </c>
      <c r="P917">
        <v>6.6167305908600937</v>
      </c>
      <c r="Q917">
        <v>476.25343187999999</v>
      </c>
      <c r="R917">
        <v>0</v>
      </c>
      <c r="S917" t="s">
        <v>1138</v>
      </c>
      <c r="T917">
        <v>434.14055299</v>
      </c>
      <c r="U917" t="s">
        <v>2819</v>
      </c>
      <c r="V917" t="s">
        <v>1059</v>
      </c>
      <c r="W917" s="114" t="str">
        <f t="shared" si="42"/>
        <v>ETF</v>
      </c>
      <c r="X917" s="114" t="str">
        <f t="shared" si="43"/>
        <v>Otros ETFs</v>
      </c>
    </row>
    <row r="918" spans="1:24" hidden="1" x14ac:dyDescent="0.25">
      <c r="A918" s="114" t="str">
        <f t="shared" si="44"/>
        <v>2105</v>
      </c>
      <c r="B918" t="s">
        <v>2780</v>
      </c>
      <c r="C918" t="s">
        <v>361</v>
      </c>
      <c r="D918" t="s">
        <v>360</v>
      </c>
      <c r="E918" t="s">
        <v>350</v>
      </c>
      <c r="F918" t="s">
        <v>4802</v>
      </c>
      <c r="G918" t="s">
        <v>1198</v>
      </c>
      <c r="H918" t="s">
        <v>5455</v>
      </c>
      <c r="I918">
        <v>3344.53</v>
      </c>
      <c r="J918">
        <v>1034.3926049876</v>
      </c>
      <c r="K918">
        <v>0.31</v>
      </c>
      <c r="L918"/>
      <c r="M918"/>
      <c r="N918"/>
      <c r="O918"/>
      <c r="P918"/>
      <c r="Q918"/>
      <c r="R918">
        <v>9</v>
      </c>
      <c r="S918"/>
      <c r="T918">
        <v>0.31</v>
      </c>
      <c r="U918" t="s">
        <v>2819</v>
      </c>
      <c r="V918" t="s">
        <v>1062</v>
      </c>
      <c r="W918" s="114" t="str">
        <f t="shared" si="42"/>
        <v>Portafolio</v>
      </c>
      <c r="X918" s="114" t="str">
        <f t="shared" si="43"/>
        <v>Portafolio</v>
      </c>
    </row>
    <row r="919" spans="1:24" hidden="1" x14ac:dyDescent="0.25">
      <c r="A919" s="114" t="str">
        <f t="shared" si="44"/>
        <v>7017</v>
      </c>
      <c r="B919" t="s">
        <v>2578</v>
      </c>
      <c r="C919" t="s">
        <v>954</v>
      </c>
      <c r="D919" t="s">
        <v>953</v>
      </c>
      <c r="E919" t="s">
        <v>586</v>
      </c>
      <c r="F919" t="s">
        <v>1056</v>
      </c>
      <c r="G919" t="s">
        <v>1136</v>
      </c>
      <c r="H919" t="s">
        <v>1437</v>
      </c>
      <c r="I919" t="s">
        <v>90</v>
      </c>
      <c r="J919" t="s">
        <v>90</v>
      </c>
      <c r="K919">
        <v>434.14055299</v>
      </c>
      <c r="L919">
        <v>3.8723399399999998</v>
      </c>
      <c r="M919">
        <v>5.0580820600000003</v>
      </c>
      <c r="N919">
        <v>5.5463257800000001</v>
      </c>
      <c r="O919">
        <v>5.0567025799999996</v>
      </c>
      <c r="P919">
        <v>6.6167305908600937</v>
      </c>
      <c r="Q919">
        <v>476.25343187999999</v>
      </c>
      <c r="R919">
        <v>0</v>
      </c>
      <c r="S919" t="s">
        <v>1138</v>
      </c>
      <c r="T919">
        <v>434.14055299</v>
      </c>
      <c r="U919" t="s">
        <v>2819</v>
      </c>
      <c r="V919" t="s">
        <v>1059</v>
      </c>
      <c r="W919" s="114" t="str">
        <f t="shared" si="42"/>
        <v>ETF</v>
      </c>
      <c r="X919" s="114" t="str">
        <f t="shared" si="43"/>
        <v>Otros ETFs</v>
      </c>
    </row>
    <row r="920" spans="1:24" hidden="1" x14ac:dyDescent="0.25">
      <c r="A920" s="114" t="str">
        <f t="shared" si="44"/>
        <v>2105</v>
      </c>
      <c r="B920" t="s">
        <v>2780</v>
      </c>
      <c r="C920" t="s">
        <v>359</v>
      </c>
      <c r="D920" t="s">
        <v>358</v>
      </c>
      <c r="E920" t="s">
        <v>350</v>
      </c>
      <c r="F920" t="s">
        <v>4802</v>
      </c>
      <c r="G920" t="s">
        <v>1198</v>
      </c>
      <c r="H920" t="s">
        <v>5455</v>
      </c>
      <c r="I920">
        <v>3344.53</v>
      </c>
      <c r="J920">
        <v>1034.3926049876</v>
      </c>
      <c r="K920">
        <v>0.31</v>
      </c>
      <c r="L920"/>
      <c r="M920"/>
      <c r="N920"/>
      <c r="O920"/>
      <c r="P920"/>
      <c r="Q920"/>
      <c r="R920">
        <v>9</v>
      </c>
      <c r="S920"/>
      <c r="T920">
        <v>0.31</v>
      </c>
      <c r="U920" t="s">
        <v>2819</v>
      </c>
      <c r="V920" t="s">
        <v>1062</v>
      </c>
      <c r="W920" s="114" t="str">
        <f t="shared" si="42"/>
        <v>Portafolio</v>
      </c>
      <c r="X920" s="114" t="str">
        <f t="shared" si="43"/>
        <v>Portafolio</v>
      </c>
    </row>
    <row r="921" spans="1:24" hidden="1" x14ac:dyDescent="0.25">
      <c r="A921" s="114" t="str">
        <f t="shared" si="44"/>
        <v>7417</v>
      </c>
      <c r="B921" t="s">
        <v>2584</v>
      </c>
      <c r="C921" t="s">
        <v>2585</v>
      </c>
      <c r="D921" t="s">
        <v>6343</v>
      </c>
      <c r="E921" t="s">
        <v>586</v>
      </c>
      <c r="F921" t="s">
        <v>1056</v>
      </c>
      <c r="G921" t="s">
        <v>1071</v>
      </c>
      <c r="H921" t="s">
        <v>2587</v>
      </c>
      <c r="I921" t="s">
        <v>90</v>
      </c>
      <c r="J921" t="s">
        <v>90</v>
      </c>
      <c r="K921">
        <v>1.93035855</v>
      </c>
      <c r="L921">
        <v>5.6712837299999999</v>
      </c>
      <c r="M921">
        <v>4.7702269199999998</v>
      </c>
      <c r="N921">
        <v>3.8853872800000002</v>
      </c>
      <c r="O921">
        <v>6.1605202999999999</v>
      </c>
      <c r="P921">
        <v>7.9344000000000001</v>
      </c>
      <c r="Q921">
        <v>30.338993550000001</v>
      </c>
      <c r="R921">
        <v>16.058299999999999</v>
      </c>
      <c r="S921" t="s">
        <v>1063</v>
      </c>
      <c r="T921">
        <v>1.93035855</v>
      </c>
      <c r="U921" t="s">
        <v>2819</v>
      </c>
      <c r="V921" t="s">
        <v>1059</v>
      </c>
      <c r="W921" s="114" t="str">
        <f t="shared" si="42"/>
        <v>ETF</v>
      </c>
      <c r="X921" s="114" t="str">
        <f t="shared" si="43"/>
        <v>Otros ETFs</v>
      </c>
    </row>
    <row r="922" spans="1:24" hidden="1" x14ac:dyDescent="0.25">
      <c r="A922" s="114" t="str">
        <f t="shared" si="44"/>
        <v>CAND</v>
      </c>
      <c r="B922" t="s">
        <v>2584</v>
      </c>
      <c r="C922" t="s">
        <v>2585</v>
      </c>
      <c r="D922" t="s">
        <v>2586</v>
      </c>
      <c r="E922" t="s">
        <v>586</v>
      </c>
      <c r="F922" t="s">
        <v>1056</v>
      </c>
      <c r="G922" t="s">
        <v>1071</v>
      </c>
      <c r="H922" t="s">
        <v>2587</v>
      </c>
      <c r="I922" t="s">
        <v>90</v>
      </c>
      <c r="J922" t="s">
        <v>90</v>
      </c>
      <c r="K922">
        <v>1.93035855</v>
      </c>
      <c r="L922">
        <v>5.6712837299999999</v>
      </c>
      <c r="M922">
        <v>4.7702269199999998</v>
      </c>
      <c r="N922">
        <v>3.8853872800000002</v>
      </c>
      <c r="O922">
        <v>6.1605202999999999</v>
      </c>
      <c r="P922">
        <v>7.9344000000000001</v>
      </c>
      <c r="Q922">
        <v>30.338993550000001</v>
      </c>
      <c r="R922">
        <v>16.058299999999999</v>
      </c>
      <c r="S922" t="s">
        <v>1063</v>
      </c>
      <c r="T922">
        <v>1.93035855</v>
      </c>
      <c r="U922" t="s">
        <v>2819</v>
      </c>
      <c r="V922" t="s">
        <v>1059</v>
      </c>
      <c r="W922" s="114" t="str">
        <f t="shared" si="42"/>
        <v>ETF</v>
      </c>
      <c r="X922" s="114" t="str">
        <f t="shared" si="43"/>
        <v>Otros ETFs</v>
      </c>
    </row>
    <row r="923" spans="1:24" hidden="1" x14ac:dyDescent="0.25">
      <c r="A923" s="114" t="str">
        <f t="shared" si="44"/>
        <v>2105</v>
      </c>
      <c r="B923" t="s">
        <v>2780</v>
      </c>
      <c r="C923" t="s">
        <v>5456</v>
      </c>
      <c r="D923" t="s">
        <v>5457</v>
      </c>
      <c r="E923" t="s">
        <v>350</v>
      </c>
      <c r="F923" t="s">
        <v>4802</v>
      </c>
      <c r="G923" t="s">
        <v>1198</v>
      </c>
      <c r="H923" t="s">
        <v>5455</v>
      </c>
      <c r="I923">
        <v>3344.53</v>
      </c>
      <c r="J923">
        <v>1034.3926049876</v>
      </c>
      <c r="K923">
        <v>0.31</v>
      </c>
      <c r="L923"/>
      <c r="M923"/>
      <c r="N923"/>
      <c r="O923"/>
      <c r="P923"/>
      <c r="Q923"/>
      <c r="R923">
        <v>9</v>
      </c>
      <c r="S923"/>
      <c r="T923">
        <v>0.31</v>
      </c>
      <c r="U923" t="s">
        <v>2819</v>
      </c>
      <c r="V923" t="s">
        <v>1062</v>
      </c>
      <c r="W923" s="114" t="str">
        <f t="shared" si="42"/>
        <v>Portafolio</v>
      </c>
      <c r="X923" s="114" t="str">
        <f t="shared" si="43"/>
        <v>Portafolio</v>
      </c>
    </row>
    <row r="924" spans="1:24" hidden="1" x14ac:dyDescent="0.25">
      <c r="A924" s="114" t="str">
        <f t="shared" si="44"/>
        <v>2105</v>
      </c>
      <c r="B924" t="s">
        <v>2780</v>
      </c>
      <c r="C924" t="s">
        <v>6344</v>
      </c>
      <c r="D924" t="s">
        <v>6345</v>
      </c>
      <c r="E924" t="s">
        <v>350</v>
      </c>
      <c r="F924" t="s">
        <v>4802</v>
      </c>
      <c r="G924" t="s">
        <v>1198</v>
      </c>
      <c r="H924" t="s">
        <v>5455</v>
      </c>
      <c r="I924">
        <v>3344.53</v>
      </c>
      <c r="J924">
        <v>1034.3926049876</v>
      </c>
      <c r="K924">
        <v>0.31</v>
      </c>
      <c r="L924"/>
      <c r="M924"/>
      <c r="N924"/>
      <c r="O924"/>
      <c r="P924"/>
      <c r="Q924"/>
      <c r="R924">
        <v>9</v>
      </c>
      <c r="S924"/>
      <c r="T924">
        <v>0.31</v>
      </c>
      <c r="U924" t="s">
        <v>2819</v>
      </c>
      <c r="V924" t="s">
        <v>1062</v>
      </c>
      <c r="W924" s="114" t="str">
        <f t="shared" si="42"/>
        <v>Portafolio</v>
      </c>
      <c r="X924" s="114" t="str">
        <f t="shared" si="43"/>
        <v>Portafolio</v>
      </c>
    </row>
    <row r="925" spans="1:24" hidden="1" x14ac:dyDescent="0.25">
      <c r="A925" s="114" t="str">
        <f t="shared" si="44"/>
        <v>7506</v>
      </c>
      <c r="B925" t="s">
        <v>2588</v>
      </c>
      <c r="C925" t="s">
        <v>2589</v>
      </c>
      <c r="D925" t="s">
        <v>2590</v>
      </c>
      <c r="E925" t="s">
        <v>586</v>
      </c>
      <c r="F925" t="s">
        <v>1056</v>
      </c>
      <c r="G925" t="s">
        <v>1163</v>
      </c>
      <c r="H925" t="s">
        <v>1164</v>
      </c>
      <c r="I925" t="s">
        <v>90</v>
      </c>
      <c r="J925" t="s">
        <v>90</v>
      </c>
      <c r="K925">
        <v>6.4624402200000004</v>
      </c>
      <c r="L925">
        <v>8.1861895400000009</v>
      </c>
      <c r="M925">
        <v>5.94588348</v>
      </c>
      <c r="N925">
        <v>5.53309286</v>
      </c>
      <c r="O925">
        <v>7.0287361600000002</v>
      </c>
      <c r="P925">
        <v>16.505700000000001</v>
      </c>
      <c r="Q925">
        <v>20.07174728</v>
      </c>
      <c r="R925">
        <v>60.667900000000003</v>
      </c>
      <c r="S925" t="s">
        <v>1073</v>
      </c>
      <c r="T925">
        <v>6.4624402200000004</v>
      </c>
      <c r="U925" t="s">
        <v>2819</v>
      </c>
      <c r="V925" t="s">
        <v>1059</v>
      </c>
      <c r="W925" s="114" t="str">
        <f t="shared" si="42"/>
        <v>ETF</v>
      </c>
      <c r="X925" s="114" t="str">
        <f t="shared" si="43"/>
        <v>Otros ETFs</v>
      </c>
    </row>
    <row r="926" spans="1:24" hidden="1" x14ac:dyDescent="0.25">
      <c r="A926" s="114" t="str">
        <f t="shared" si="44"/>
        <v>7073</v>
      </c>
      <c r="B926" t="s">
        <v>6346</v>
      </c>
      <c r="C926" t="s">
        <v>6347</v>
      </c>
      <c r="D926" t="s">
        <v>6348</v>
      </c>
      <c r="E926" t="s">
        <v>586</v>
      </c>
      <c r="F926" t="s">
        <v>1056</v>
      </c>
      <c r="G926" t="s">
        <v>1071</v>
      </c>
      <c r="H926" t="s">
        <v>1445</v>
      </c>
      <c r="I926" t="s">
        <v>90</v>
      </c>
      <c r="J926" t="s">
        <v>90</v>
      </c>
      <c r="K926">
        <v>3.87139246</v>
      </c>
      <c r="L926">
        <v>6.1620654899999998</v>
      </c>
      <c r="M926">
        <v>6.0249496699999998</v>
      </c>
      <c r="N926">
        <v>4.9730121599999997</v>
      </c>
      <c r="O926">
        <v>5.7700837900000002</v>
      </c>
      <c r="P926">
        <v>23.0601636214734</v>
      </c>
      <c r="Q926">
        <v>29.24126862</v>
      </c>
      <c r="R926">
        <v>42.685364885767427</v>
      </c>
      <c r="S926" t="s">
        <v>30</v>
      </c>
      <c r="T926">
        <v>3.87139246</v>
      </c>
      <c r="U926" t="s">
        <v>2819</v>
      </c>
      <c r="V926" t="s">
        <v>1059</v>
      </c>
      <c r="W926" s="114" t="str">
        <f t="shared" si="42"/>
        <v>ETF</v>
      </c>
      <c r="X926" s="114" t="str">
        <f t="shared" si="43"/>
        <v>Otros ETFs</v>
      </c>
    </row>
    <row r="927" spans="1:24" hidden="1" x14ac:dyDescent="0.25">
      <c r="A927" s="114" t="str">
        <f t="shared" si="44"/>
        <v>2105</v>
      </c>
      <c r="B927" t="s">
        <v>2780</v>
      </c>
      <c r="C927" t="s">
        <v>6349</v>
      </c>
      <c r="D927" t="s">
        <v>6350</v>
      </c>
      <c r="E927" t="s">
        <v>350</v>
      </c>
      <c r="F927" t="s">
        <v>4802</v>
      </c>
      <c r="G927" t="s">
        <v>1198</v>
      </c>
      <c r="H927" t="s">
        <v>5455</v>
      </c>
      <c r="I927">
        <v>3344.53</v>
      </c>
      <c r="J927">
        <v>1034.3926049876</v>
      </c>
      <c r="K927">
        <v>0.31</v>
      </c>
      <c r="L927"/>
      <c r="M927"/>
      <c r="N927"/>
      <c r="O927"/>
      <c r="P927"/>
      <c r="Q927"/>
      <c r="R927">
        <v>9</v>
      </c>
      <c r="S927"/>
      <c r="T927">
        <v>0.31</v>
      </c>
      <c r="U927" t="s">
        <v>2819</v>
      </c>
      <c r="V927" t="s">
        <v>1062</v>
      </c>
      <c r="W927" s="114" t="str">
        <f t="shared" si="42"/>
        <v>Portafolio</v>
      </c>
      <c r="X927" s="114" t="str">
        <f t="shared" si="43"/>
        <v>Portafolio</v>
      </c>
    </row>
    <row r="928" spans="1:24" hidden="1" x14ac:dyDescent="0.25">
      <c r="A928" s="114" t="str">
        <f t="shared" si="44"/>
        <v>7429</v>
      </c>
      <c r="B928" t="s">
        <v>6080</v>
      </c>
      <c r="C928" t="s">
        <v>2593</v>
      </c>
      <c r="D928" t="s">
        <v>2594</v>
      </c>
      <c r="E928" t="s">
        <v>586</v>
      </c>
      <c r="F928" t="s">
        <v>1056</v>
      </c>
      <c r="G928" t="s">
        <v>1071</v>
      </c>
      <c r="H928" t="s">
        <v>6153</v>
      </c>
      <c r="I928" t="s">
        <v>90</v>
      </c>
      <c r="J928" t="s">
        <v>90</v>
      </c>
      <c r="K928">
        <v>2.6790455099999999</v>
      </c>
      <c r="L928">
        <v>6.7030204900000001</v>
      </c>
      <c r="M928">
        <v>6.1497952099999997</v>
      </c>
      <c r="N928">
        <v>5.5737692799999996</v>
      </c>
      <c r="O928">
        <v>5.7540383300000002</v>
      </c>
      <c r="P928">
        <v>16.913743262267861</v>
      </c>
      <c r="Q928">
        <v>23.920449210000001</v>
      </c>
      <c r="R928">
        <v>18.273361686353841</v>
      </c>
      <c r="S928" t="s">
        <v>30</v>
      </c>
      <c r="T928">
        <v>2.6790455099999999</v>
      </c>
      <c r="U928" t="s">
        <v>2819</v>
      </c>
      <c r="V928" t="s">
        <v>1059</v>
      </c>
      <c r="W928" s="114" t="str">
        <f t="shared" si="42"/>
        <v>ETF</v>
      </c>
      <c r="X928" s="114" t="str">
        <f t="shared" si="43"/>
        <v>Otros ETFs</v>
      </c>
    </row>
    <row r="929" spans="1:27" hidden="1" x14ac:dyDescent="0.25">
      <c r="A929" s="114" t="str">
        <f t="shared" si="44"/>
        <v>7519</v>
      </c>
      <c r="B929" t="s">
        <v>2595</v>
      </c>
      <c r="C929" t="s">
        <v>2596</v>
      </c>
      <c r="D929" t="s">
        <v>2597</v>
      </c>
      <c r="E929" t="s">
        <v>586</v>
      </c>
      <c r="F929" t="s">
        <v>1056</v>
      </c>
      <c r="G929" t="s">
        <v>1163</v>
      </c>
      <c r="H929" t="s">
        <v>1164</v>
      </c>
      <c r="I929" t="s">
        <v>90</v>
      </c>
      <c r="J929" t="s">
        <v>90</v>
      </c>
      <c r="K929">
        <v>35.551672289999999</v>
      </c>
      <c r="L929">
        <v>7.7378145800000002</v>
      </c>
      <c r="M929">
        <v>6.0171269000000001</v>
      </c>
      <c r="N929">
        <v>5.1175071000000001</v>
      </c>
      <c r="O929">
        <v>7.0234712999999998</v>
      </c>
      <c r="P929">
        <v>4.9198522679382171</v>
      </c>
      <c r="Q929">
        <v>68.964044180000002</v>
      </c>
      <c r="R929">
        <v>63.771571242262453</v>
      </c>
      <c r="S929" t="s">
        <v>1073</v>
      </c>
      <c r="T929">
        <v>35.551672289999999</v>
      </c>
      <c r="U929" t="s">
        <v>2819</v>
      </c>
      <c r="V929" t="s">
        <v>1059</v>
      </c>
      <c r="W929" s="114" t="str">
        <f t="shared" si="42"/>
        <v>ETF</v>
      </c>
      <c r="X929" s="114" t="str">
        <f t="shared" si="43"/>
        <v>Otros ETFs</v>
      </c>
    </row>
    <row r="930" spans="1:27" hidden="1" x14ac:dyDescent="0.25">
      <c r="A930" s="114" t="str">
        <f t="shared" si="44"/>
        <v>7519</v>
      </c>
      <c r="B930" t="s">
        <v>2595</v>
      </c>
      <c r="C930" t="s">
        <v>2596</v>
      </c>
      <c r="D930" t="s">
        <v>5105</v>
      </c>
      <c r="E930" t="s">
        <v>586</v>
      </c>
      <c r="F930" t="s">
        <v>1056</v>
      </c>
      <c r="G930" t="s">
        <v>1163</v>
      </c>
      <c r="H930" t="s">
        <v>1164</v>
      </c>
      <c r="I930" t="s">
        <v>90</v>
      </c>
      <c r="J930" t="s">
        <v>90</v>
      </c>
      <c r="K930">
        <v>35.551672289999999</v>
      </c>
      <c r="L930">
        <v>7.7378145800000002</v>
      </c>
      <c r="M930">
        <v>6.0171269000000001</v>
      </c>
      <c r="N930">
        <v>5.1175071000000001</v>
      </c>
      <c r="O930">
        <v>7.0234712999999998</v>
      </c>
      <c r="P930">
        <v>4.9198522679382171</v>
      </c>
      <c r="Q930">
        <v>68.964044180000002</v>
      </c>
      <c r="R930">
        <v>63.771571242262453</v>
      </c>
      <c r="S930" t="s">
        <v>1073</v>
      </c>
      <c r="T930">
        <v>35.551672289999999</v>
      </c>
      <c r="U930" t="s">
        <v>2819</v>
      </c>
      <c r="V930" t="s">
        <v>1059</v>
      </c>
      <c r="W930" s="114" t="str">
        <f t="shared" si="42"/>
        <v>ETF</v>
      </c>
      <c r="X930" s="114" t="str">
        <f t="shared" si="43"/>
        <v>Otros ETFs</v>
      </c>
    </row>
    <row r="931" spans="1:27" s="16" customFormat="1" hidden="1" x14ac:dyDescent="0.25">
      <c r="A931" s="114" t="str">
        <f t="shared" si="44"/>
        <v>7550</v>
      </c>
      <c r="B931" t="s">
        <v>2595</v>
      </c>
      <c r="C931" t="s">
        <v>2596</v>
      </c>
      <c r="D931" t="s">
        <v>5000</v>
      </c>
      <c r="E931" t="s">
        <v>586</v>
      </c>
      <c r="F931" t="s">
        <v>1056</v>
      </c>
      <c r="G931" t="s">
        <v>1163</v>
      </c>
      <c r="H931" t="s">
        <v>1164</v>
      </c>
      <c r="I931" t="s">
        <v>90</v>
      </c>
      <c r="J931" t="s">
        <v>90</v>
      </c>
      <c r="K931">
        <v>35.551672289999999</v>
      </c>
      <c r="L931">
        <v>7.7378145800000002</v>
      </c>
      <c r="M931">
        <v>6.0171269000000001</v>
      </c>
      <c r="N931">
        <v>5.1175071000000001</v>
      </c>
      <c r="O931">
        <v>7.0234712999999998</v>
      </c>
      <c r="P931">
        <v>4.9198522679382171</v>
      </c>
      <c r="Q931">
        <v>68.964044180000002</v>
      </c>
      <c r="R931">
        <v>63.771571242262453</v>
      </c>
      <c r="S931" t="s">
        <v>1073</v>
      </c>
      <c r="T931">
        <v>35.551672289999999</v>
      </c>
      <c r="U931" t="s">
        <v>2819</v>
      </c>
      <c r="V931" t="s">
        <v>1059</v>
      </c>
      <c r="W931" s="114" t="str">
        <f t="shared" si="42"/>
        <v>ETF</v>
      </c>
      <c r="X931" s="114" t="str">
        <f t="shared" si="43"/>
        <v>Otros ETFs</v>
      </c>
      <c r="AA931" s="139"/>
    </row>
    <row r="932" spans="1:27" s="16" customFormat="1" hidden="1" x14ac:dyDescent="0.25">
      <c r="A932" s="114" t="str">
        <f t="shared" si="44"/>
        <v>7417</v>
      </c>
      <c r="B932" t="s">
        <v>2598</v>
      </c>
      <c r="C932" t="s">
        <v>2599</v>
      </c>
      <c r="D932" t="s">
        <v>6351</v>
      </c>
      <c r="E932" t="s">
        <v>586</v>
      </c>
      <c r="F932" t="s">
        <v>1056</v>
      </c>
      <c r="G932" t="s">
        <v>1136</v>
      </c>
      <c r="H932" t="s">
        <v>6144</v>
      </c>
      <c r="I932" t="s">
        <v>90</v>
      </c>
      <c r="J932" t="s">
        <v>90</v>
      </c>
      <c r="K932">
        <v>16.101095489999999</v>
      </c>
      <c r="L932">
        <v>6.7591781600000003</v>
      </c>
      <c r="M932">
        <v>5.7675620600000004</v>
      </c>
      <c r="N932">
        <v>5.4201175399999997</v>
      </c>
      <c r="O932">
        <v>5.5717247800000003</v>
      </c>
      <c r="P932">
        <v>12.20849157658974</v>
      </c>
      <c r="Q932">
        <v>53.048508769999998</v>
      </c>
      <c r="R932">
        <v>12.842438406855591</v>
      </c>
      <c r="S932" t="s">
        <v>30</v>
      </c>
      <c r="T932">
        <v>16.101095489999999</v>
      </c>
      <c r="U932" t="s">
        <v>2819</v>
      </c>
      <c r="V932" t="s">
        <v>1059</v>
      </c>
      <c r="W932" s="114" t="str">
        <f t="shared" si="42"/>
        <v>ETF</v>
      </c>
      <c r="X932" s="114" t="str">
        <f t="shared" si="43"/>
        <v>Otros ETFs</v>
      </c>
      <c r="AA932" s="139"/>
    </row>
    <row r="933" spans="1:27" hidden="1" x14ac:dyDescent="0.25">
      <c r="A933" s="114" t="str">
        <f t="shared" si="44"/>
        <v>CAND</v>
      </c>
      <c r="B933" t="s">
        <v>2598</v>
      </c>
      <c r="C933" t="s">
        <v>2599</v>
      </c>
      <c r="D933" t="s">
        <v>2600</v>
      </c>
      <c r="E933" t="s">
        <v>586</v>
      </c>
      <c r="F933" t="s">
        <v>1056</v>
      </c>
      <c r="G933" t="s">
        <v>1136</v>
      </c>
      <c r="H933" t="s">
        <v>6144</v>
      </c>
      <c r="I933" t="s">
        <v>90</v>
      </c>
      <c r="J933" t="s">
        <v>90</v>
      </c>
      <c r="K933">
        <v>16.101095489999999</v>
      </c>
      <c r="L933">
        <v>6.7591781600000003</v>
      </c>
      <c r="M933">
        <v>5.7675620600000004</v>
      </c>
      <c r="N933">
        <v>5.4201175399999997</v>
      </c>
      <c r="O933">
        <v>5.5717247800000003</v>
      </c>
      <c r="P933">
        <v>12.20849157658974</v>
      </c>
      <c r="Q933">
        <v>53.048508769999998</v>
      </c>
      <c r="R933">
        <v>12.842438406855591</v>
      </c>
      <c r="S933" t="s">
        <v>30</v>
      </c>
      <c r="T933">
        <v>16.101095489999999</v>
      </c>
      <c r="U933" t="s">
        <v>2819</v>
      </c>
      <c r="V933" t="s">
        <v>1059</v>
      </c>
      <c r="W933" s="114" t="str">
        <f t="shared" si="42"/>
        <v>ETF</v>
      </c>
      <c r="X933" s="114" t="str">
        <f t="shared" si="43"/>
        <v>Otros ETFs</v>
      </c>
    </row>
    <row r="934" spans="1:27" hidden="1" x14ac:dyDescent="0.25">
      <c r="A934" s="114" t="str">
        <f t="shared" si="44"/>
        <v>7073</v>
      </c>
      <c r="B934" t="s">
        <v>2603</v>
      </c>
      <c r="C934" t="s">
        <v>2604</v>
      </c>
      <c r="D934" t="s">
        <v>2605</v>
      </c>
      <c r="E934" t="s">
        <v>586</v>
      </c>
      <c r="F934" t="s">
        <v>1056</v>
      </c>
      <c r="G934" t="s">
        <v>1290</v>
      </c>
      <c r="H934" t="s">
        <v>2268</v>
      </c>
      <c r="I934" t="s">
        <v>90</v>
      </c>
      <c r="J934" t="s">
        <v>90</v>
      </c>
      <c r="K934">
        <v>0.21443358000000001</v>
      </c>
      <c r="L934">
        <v>2.7353336399999999</v>
      </c>
      <c r="M934">
        <v>2.8586932599999999</v>
      </c>
      <c r="N934">
        <v>6.79818269</v>
      </c>
      <c r="O934">
        <v>4.4548117100000004</v>
      </c>
      <c r="P934">
        <v>4.8519043329099997E-3</v>
      </c>
      <c r="Q934">
        <v>5.2825184199999997</v>
      </c>
      <c r="R934">
        <v>1.0989462694946E-2</v>
      </c>
      <c r="S934" t="s">
        <v>21</v>
      </c>
      <c r="T934">
        <v>0.21443358000000001</v>
      </c>
      <c r="U934" t="s">
        <v>2819</v>
      </c>
      <c r="V934" t="s">
        <v>1059</v>
      </c>
      <c r="W934" s="114" t="str">
        <f t="shared" si="42"/>
        <v>ETF</v>
      </c>
      <c r="X934" s="114" t="str">
        <f t="shared" si="43"/>
        <v>Otros ETFs</v>
      </c>
    </row>
    <row r="935" spans="1:27" hidden="1" x14ac:dyDescent="0.25">
      <c r="A935" s="114" t="str">
        <f t="shared" si="44"/>
        <v>7732</v>
      </c>
      <c r="B935" t="s">
        <v>5458</v>
      </c>
      <c r="C935" t="s">
        <v>5459</v>
      </c>
      <c r="D935" t="s">
        <v>5460</v>
      </c>
      <c r="E935" t="s">
        <v>586</v>
      </c>
      <c r="F935" t="s">
        <v>1056</v>
      </c>
      <c r="G935" t="s">
        <v>1689</v>
      </c>
      <c r="H935" t="s">
        <v>1791</v>
      </c>
      <c r="I935" t="s">
        <v>90</v>
      </c>
      <c r="J935" t="s">
        <v>90</v>
      </c>
      <c r="K935">
        <v>3.6843052799999998</v>
      </c>
      <c r="L935">
        <v>6.5486538100000002</v>
      </c>
      <c r="M935">
        <v>5.4146365100000002</v>
      </c>
      <c r="N935">
        <v>4.8484333099999999</v>
      </c>
      <c r="O935">
        <v>6.5165215600000002</v>
      </c>
      <c r="P935">
        <v>0</v>
      </c>
      <c r="Q935">
        <v>13.968522589999999</v>
      </c>
      <c r="R935">
        <v>42.056328941164793</v>
      </c>
      <c r="S935" t="s">
        <v>30</v>
      </c>
      <c r="T935">
        <v>3.6843052799999998</v>
      </c>
      <c r="U935" t="s">
        <v>2819</v>
      </c>
      <c r="V935" t="s">
        <v>1059</v>
      </c>
      <c r="W935" s="114" t="str">
        <f t="shared" si="42"/>
        <v>ETF</v>
      </c>
      <c r="X935" s="114" t="str">
        <f t="shared" si="43"/>
        <v>Otros ETFs</v>
      </c>
    </row>
    <row r="936" spans="1:27" hidden="1" x14ac:dyDescent="0.25">
      <c r="A936" s="114" t="str">
        <f t="shared" si="44"/>
        <v>7051</v>
      </c>
      <c r="B936" t="s">
        <v>2607</v>
      </c>
      <c r="C936" t="s">
        <v>597</v>
      </c>
      <c r="D936" t="s">
        <v>596</v>
      </c>
      <c r="E936" t="s">
        <v>586</v>
      </c>
      <c r="F936" t="s">
        <v>1056</v>
      </c>
      <c r="G936" t="s">
        <v>1136</v>
      </c>
      <c r="H936" t="s">
        <v>1437</v>
      </c>
      <c r="I936" t="s">
        <v>90</v>
      </c>
      <c r="J936" t="s">
        <v>90</v>
      </c>
      <c r="K936">
        <v>412.78666957000002</v>
      </c>
      <c r="L936">
        <v>3.6033963400000002</v>
      </c>
      <c r="M936">
        <v>5.0374570099999998</v>
      </c>
      <c r="N936">
        <v>5.2222400100000002</v>
      </c>
      <c r="O936">
        <v>4.9333421299999998</v>
      </c>
      <c r="P936">
        <v>5.0810657352695676</v>
      </c>
      <c r="Q936">
        <v>343.74910614999999</v>
      </c>
      <c r="R936">
        <v>0</v>
      </c>
      <c r="S936" t="s">
        <v>1138</v>
      </c>
      <c r="T936">
        <v>412.78666957000002</v>
      </c>
      <c r="U936" t="s">
        <v>2819</v>
      </c>
      <c r="V936" t="s">
        <v>1059</v>
      </c>
      <c r="W936" s="114" t="str">
        <f t="shared" si="42"/>
        <v>ETF</v>
      </c>
      <c r="X936" s="114" t="str">
        <f t="shared" si="43"/>
        <v>Otros ETFs</v>
      </c>
    </row>
    <row r="937" spans="1:27" hidden="1" x14ac:dyDescent="0.25">
      <c r="A937" s="114" t="str">
        <f t="shared" si="44"/>
        <v>7510</v>
      </c>
      <c r="B937" t="s">
        <v>6352</v>
      </c>
      <c r="C937" t="s">
        <v>2608</v>
      </c>
      <c r="D937" t="s">
        <v>2609</v>
      </c>
      <c r="E937" t="s">
        <v>586</v>
      </c>
      <c r="F937" t="s">
        <v>1056</v>
      </c>
      <c r="G937" t="s">
        <v>1071</v>
      </c>
      <c r="H937" t="s">
        <v>1155</v>
      </c>
      <c r="I937" t="s">
        <v>90</v>
      </c>
      <c r="J937" t="s">
        <v>90</v>
      </c>
      <c r="K937">
        <v>2.3700006199999999</v>
      </c>
      <c r="L937">
        <v>5.6852673100000004</v>
      </c>
      <c r="M937">
        <v>6.3659783599999997</v>
      </c>
      <c r="N937">
        <v>4.4446224000000001</v>
      </c>
      <c r="O937">
        <v>6.2048167799999998</v>
      </c>
      <c r="P937">
        <v>7.2249012540264497</v>
      </c>
      <c r="Q937">
        <v>22.8173265</v>
      </c>
      <c r="R937">
        <v>16.385592920035979</v>
      </c>
      <c r="S937" t="s">
        <v>1063</v>
      </c>
      <c r="T937">
        <v>2.3700006199999999</v>
      </c>
      <c r="U937" t="s">
        <v>2819</v>
      </c>
      <c r="V937" t="s">
        <v>1059</v>
      </c>
      <c r="W937" s="114" t="str">
        <f t="shared" si="42"/>
        <v>ETF</v>
      </c>
      <c r="X937" s="114" t="str">
        <f t="shared" si="43"/>
        <v>Otros ETFs</v>
      </c>
    </row>
    <row r="938" spans="1:27" hidden="1" x14ac:dyDescent="0.25">
      <c r="A938" s="114" t="str">
        <f t="shared" si="44"/>
        <v>7740</v>
      </c>
      <c r="B938" t="s">
        <v>6353</v>
      </c>
      <c r="C938" t="s">
        <v>6354</v>
      </c>
      <c r="D938" t="s">
        <v>6355</v>
      </c>
      <c r="E938" t="s">
        <v>586</v>
      </c>
      <c r="F938" t="s">
        <v>1056</v>
      </c>
      <c r="G938" t="s">
        <v>1071</v>
      </c>
      <c r="H938" t="s">
        <v>1893</v>
      </c>
      <c r="I938" t="s">
        <v>90</v>
      </c>
      <c r="J938" t="s">
        <v>90</v>
      </c>
      <c r="K938">
        <v>67.063425210000005</v>
      </c>
      <c r="L938">
        <v>6.13767817</v>
      </c>
      <c r="M938">
        <v>5.0439527000000002</v>
      </c>
      <c r="N938">
        <v>4.9466517300000001</v>
      </c>
      <c r="O938">
        <v>6.1720003800000001</v>
      </c>
      <c r="P938">
        <v>0.95012872388757397</v>
      </c>
      <c r="Q938">
        <v>147.85562965</v>
      </c>
      <c r="R938">
        <v>9.7806374742333198</v>
      </c>
      <c r="S938" t="s">
        <v>30</v>
      </c>
      <c r="T938">
        <v>67.063425210000005</v>
      </c>
      <c r="U938" t="s">
        <v>2819</v>
      </c>
      <c r="V938" t="s">
        <v>1059</v>
      </c>
      <c r="W938" s="114" t="str">
        <f t="shared" si="42"/>
        <v>ETF</v>
      </c>
      <c r="X938" s="114" t="str">
        <f t="shared" si="43"/>
        <v>Otros ETFs</v>
      </c>
    </row>
    <row r="939" spans="1:27" hidden="1" x14ac:dyDescent="0.25">
      <c r="A939" s="114" t="str">
        <f t="shared" si="44"/>
        <v>7532</v>
      </c>
      <c r="B939" t="s">
        <v>6356</v>
      </c>
      <c r="C939" t="s">
        <v>6357</v>
      </c>
      <c r="D939" t="s">
        <v>6358</v>
      </c>
      <c r="E939" t="s">
        <v>586</v>
      </c>
      <c r="F939" t="s">
        <v>1056</v>
      </c>
      <c r="G939" t="s">
        <v>1057</v>
      </c>
      <c r="H939" t="s">
        <v>1058</v>
      </c>
      <c r="I939" t="s">
        <v>90</v>
      </c>
      <c r="J939" t="s">
        <v>90</v>
      </c>
      <c r="K939">
        <v>8.7603791399999995</v>
      </c>
      <c r="L939">
        <v>6.2757651799999996</v>
      </c>
      <c r="M939">
        <v>6.08002252</v>
      </c>
      <c r="N939">
        <v>5.2253195899999998</v>
      </c>
      <c r="O939">
        <v>5.5175688000000003</v>
      </c>
      <c r="P939">
        <v>28.18854362291275</v>
      </c>
      <c r="Q939">
        <v>51.504153129999999</v>
      </c>
      <c r="R939">
        <v>16.99666600666799</v>
      </c>
      <c r="S939" t="s">
        <v>30</v>
      </c>
      <c r="T939">
        <v>8.7603791399999995</v>
      </c>
      <c r="U939" t="s">
        <v>2819</v>
      </c>
      <c r="V939" t="s">
        <v>1059</v>
      </c>
      <c r="W939" s="114" t="str">
        <f t="shared" si="42"/>
        <v>ETF</v>
      </c>
      <c r="X939" s="114" t="str">
        <f t="shared" si="43"/>
        <v>Otros ETFs</v>
      </c>
    </row>
    <row r="940" spans="1:27" hidden="1" x14ac:dyDescent="0.25">
      <c r="A940" s="114" t="str">
        <f t="shared" si="44"/>
        <v>7049</v>
      </c>
      <c r="B940" t="s">
        <v>6359</v>
      </c>
      <c r="C940" t="s">
        <v>6360</v>
      </c>
      <c r="D940" t="s">
        <v>6361</v>
      </c>
      <c r="E940" t="s">
        <v>586</v>
      </c>
      <c r="F940" t="s">
        <v>1056</v>
      </c>
      <c r="G940" t="s">
        <v>1071</v>
      </c>
      <c r="H940" t="s">
        <v>6362</v>
      </c>
      <c r="I940" t="s">
        <v>90</v>
      </c>
      <c r="J940" t="s">
        <v>90</v>
      </c>
      <c r="K940">
        <v>43.013270409999997</v>
      </c>
      <c r="L940">
        <v>7.1190252000000003</v>
      </c>
      <c r="M940">
        <v>6.6000553499999999</v>
      </c>
      <c r="N940">
        <v>5.40593755</v>
      </c>
      <c r="O940">
        <v>5.8485531399999999</v>
      </c>
      <c r="P940">
        <v>9.1538376618274651</v>
      </c>
      <c r="Q940">
        <v>97.593915249999995</v>
      </c>
      <c r="R940">
        <v>27.008391109024739</v>
      </c>
      <c r="S940" t="s">
        <v>30</v>
      </c>
      <c r="T940">
        <v>43.013270409999997</v>
      </c>
      <c r="U940" t="s">
        <v>2819</v>
      </c>
      <c r="V940" t="s">
        <v>1059</v>
      </c>
      <c r="W940" s="114" t="str">
        <f t="shared" si="42"/>
        <v>ETF</v>
      </c>
      <c r="X940" s="114" t="str">
        <f t="shared" si="43"/>
        <v>Otros ETFs</v>
      </c>
    </row>
    <row r="941" spans="1:27" hidden="1" x14ac:dyDescent="0.25">
      <c r="A941" s="114" t="str">
        <f t="shared" si="44"/>
        <v>7481</v>
      </c>
      <c r="B941" t="s">
        <v>2614</v>
      </c>
      <c r="C941" t="s">
        <v>2615</v>
      </c>
      <c r="D941" t="s">
        <v>6363</v>
      </c>
      <c r="E941" t="s">
        <v>586</v>
      </c>
      <c r="F941" t="s">
        <v>1056</v>
      </c>
      <c r="G941" t="s">
        <v>1509</v>
      </c>
      <c r="H941" t="s">
        <v>2188</v>
      </c>
      <c r="I941" t="s">
        <v>90</v>
      </c>
      <c r="J941" t="s">
        <v>90</v>
      </c>
      <c r="K941">
        <v>1029.64647874</v>
      </c>
      <c r="L941">
        <v>5.9331650500000004</v>
      </c>
      <c r="M941">
        <v>5.17522751</v>
      </c>
      <c r="N941">
        <v>5.9136950099999996</v>
      </c>
      <c r="O941">
        <v>3.8829692200000001</v>
      </c>
      <c r="P941">
        <v>0</v>
      </c>
      <c r="Q941">
        <v>1230.1983439600001</v>
      </c>
      <c r="R941">
        <v>6.3585721359872389</v>
      </c>
      <c r="S941" t="s">
        <v>30</v>
      </c>
      <c r="T941">
        <v>1029.64647874</v>
      </c>
      <c r="U941" t="s">
        <v>2819</v>
      </c>
      <c r="V941" t="s">
        <v>1059</v>
      </c>
      <c r="W941" s="114" t="str">
        <f t="shared" si="42"/>
        <v>ETF</v>
      </c>
      <c r="X941" s="114" t="str">
        <f t="shared" si="43"/>
        <v>Otros ETFs</v>
      </c>
    </row>
    <row r="942" spans="1:27" hidden="1" x14ac:dyDescent="0.25">
      <c r="A942" s="114" t="str">
        <f t="shared" si="44"/>
        <v>NORT</v>
      </c>
      <c r="B942" t="s">
        <v>2614</v>
      </c>
      <c r="C942" t="s">
        <v>2615</v>
      </c>
      <c r="D942" t="s">
        <v>2616</v>
      </c>
      <c r="E942" t="s">
        <v>586</v>
      </c>
      <c r="F942" t="s">
        <v>1056</v>
      </c>
      <c r="G942" t="s">
        <v>1509</v>
      </c>
      <c r="H942" t="s">
        <v>2188</v>
      </c>
      <c r="I942" t="s">
        <v>90</v>
      </c>
      <c r="J942" t="s">
        <v>90</v>
      </c>
      <c r="K942">
        <v>1029.64647874</v>
      </c>
      <c r="L942">
        <v>5.9331650500000004</v>
      </c>
      <c r="M942">
        <v>5.17522751</v>
      </c>
      <c r="N942">
        <v>5.9136950099999996</v>
      </c>
      <c r="O942">
        <v>3.8829692200000001</v>
      </c>
      <c r="P942">
        <v>0</v>
      </c>
      <c r="Q942">
        <v>1230.1983439600001</v>
      </c>
      <c r="R942">
        <v>6.3585721359872389</v>
      </c>
      <c r="S942" t="s">
        <v>30</v>
      </c>
      <c r="T942">
        <v>1029.64647874</v>
      </c>
      <c r="U942" t="s">
        <v>2819</v>
      </c>
      <c r="V942" t="s">
        <v>1059</v>
      </c>
      <c r="W942" s="114" t="str">
        <f t="shared" si="42"/>
        <v>ETF</v>
      </c>
      <c r="X942" s="114" t="str">
        <f t="shared" si="43"/>
        <v>Otros ETFs</v>
      </c>
    </row>
    <row r="943" spans="1:27" hidden="1" x14ac:dyDescent="0.25">
      <c r="A943" s="114" t="str">
        <f t="shared" si="44"/>
        <v>None</v>
      </c>
      <c r="B943" t="s">
        <v>2617</v>
      </c>
      <c r="C943" t="s">
        <v>2618</v>
      </c>
      <c r="D943" t="s">
        <v>2619</v>
      </c>
      <c r="E943" t="s">
        <v>1060</v>
      </c>
      <c r="F943"/>
      <c r="G943" t="s">
        <v>1431</v>
      </c>
      <c r="H943" t="s">
        <v>1432</v>
      </c>
      <c r="I943" t="s">
        <v>90</v>
      </c>
      <c r="J943" t="s">
        <v>90</v>
      </c>
      <c r="K943">
        <v>149.18540376999999</v>
      </c>
      <c r="L943">
        <v>6.1059368000000003</v>
      </c>
      <c r="M943">
        <v>5.52163731</v>
      </c>
      <c r="N943">
        <v>5.4650728199999996</v>
      </c>
      <c r="O943">
        <v>4.8311000200000001</v>
      </c>
      <c r="P943">
        <v>0</v>
      </c>
      <c r="Q943">
        <v>255.21625943000001</v>
      </c>
      <c r="R943">
        <v>2.7201</v>
      </c>
      <c r="S943" t="s">
        <v>30</v>
      </c>
      <c r="T943">
        <v>149.18540376999999</v>
      </c>
      <c r="U943" t="s">
        <v>2819</v>
      </c>
      <c r="V943" t="s">
        <v>1059</v>
      </c>
      <c r="W943" s="114" t="str">
        <f t="shared" si="42"/>
        <v>ETF</v>
      </c>
      <c r="X943" s="114" t="str">
        <f t="shared" si="43"/>
        <v>Otros ETFs</v>
      </c>
    </row>
    <row r="944" spans="1:27" hidden="1" x14ac:dyDescent="0.25">
      <c r="A944" s="114" t="str">
        <f t="shared" si="44"/>
        <v>7429</v>
      </c>
      <c r="B944" t="s">
        <v>6364</v>
      </c>
      <c r="C944" t="s">
        <v>5463</v>
      </c>
      <c r="D944" t="s">
        <v>5464</v>
      </c>
      <c r="E944" t="s">
        <v>586</v>
      </c>
      <c r="F944" t="s">
        <v>1056</v>
      </c>
      <c r="G944" t="s">
        <v>1375</v>
      </c>
      <c r="H944" t="s">
        <v>1376</v>
      </c>
      <c r="I944" t="s">
        <v>90</v>
      </c>
      <c r="J944" t="s">
        <v>90</v>
      </c>
      <c r="K944">
        <v>27.26653739</v>
      </c>
      <c r="L944">
        <v>7.2143759200000002</v>
      </c>
      <c r="M944">
        <v>5.9319489699999997</v>
      </c>
      <c r="N944">
        <v>5.0573478999999999</v>
      </c>
      <c r="O944">
        <v>6.2617777200000004</v>
      </c>
      <c r="P944">
        <v>8.561245533680248</v>
      </c>
      <c r="Q944">
        <v>33.588015949999999</v>
      </c>
      <c r="R944">
        <v>37.854507885502343</v>
      </c>
      <c r="S944" t="s">
        <v>1073</v>
      </c>
      <c r="T944">
        <v>27.26653739</v>
      </c>
      <c r="U944" t="s">
        <v>2819</v>
      </c>
      <c r="V944" t="s">
        <v>1059</v>
      </c>
      <c r="W944" s="114" t="str">
        <f t="shared" si="42"/>
        <v>ETF</v>
      </c>
      <c r="X944" s="114" t="str">
        <f t="shared" si="43"/>
        <v>Otros ETFs</v>
      </c>
    </row>
    <row r="945" spans="1:24" hidden="1" x14ac:dyDescent="0.25">
      <c r="A945" s="114" t="str">
        <f t="shared" si="44"/>
        <v>7684</v>
      </c>
      <c r="B945" t="s">
        <v>5364</v>
      </c>
      <c r="C945" t="s">
        <v>2620</v>
      </c>
      <c r="D945" t="s">
        <v>2621</v>
      </c>
      <c r="E945" t="s">
        <v>586</v>
      </c>
      <c r="F945" t="s">
        <v>1056</v>
      </c>
      <c r="G945" t="s">
        <v>1689</v>
      </c>
      <c r="H945" t="s">
        <v>1690</v>
      </c>
      <c r="I945" t="s">
        <v>90</v>
      </c>
      <c r="J945" t="s">
        <v>90</v>
      </c>
      <c r="K945">
        <v>209.88483607000001</v>
      </c>
      <c r="L945">
        <v>7.7738924699999998</v>
      </c>
      <c r="M945">
        <v>6.4416020600000001</v>
      </c>
      <c r="N945">
        <v>5.1112143799999998</v>
      </c>
      <c r="O945">
        <v>6.5604786400000004</v>
      </c>
      <c r="P945">
        <v>17.664247007258979</v>
      </c>
      <c r="Q945">
        <v>220.34326884999999</v>
      </c>
      <c r="R945">
        <v>70.801287596137215</v>
      </c>
      <c r="S945" t="s">
        <v>1073</v>
      </c>
      <c r="T945">
        <v>209.88483607000001</v>
      </c>
      <c r="U945" t="s">
        <v>2819</v>
      </c>
      <c r="V945" t="s">
        <v>1059</v>
      </c>
      <c r="W945" s="114" t="str">
        <f t="shared" si="42"/>
        <v>ETF</v>
      </c>
      <c r="X945" s="114" t="str">
        <f t="shared" si="43"/>
        <v>Otros ETFs</v>
      </c>
    </row>
    <row r="946" spans="1:24" hidden="1" x14ac:dyDescent="0.25">
      <c r="A946" s="114" t="str">
        <f t="shared" si="44"/>
        <v>7733</v>
      </c>
      <c r="B946" t="s">
        <v>5364</v>
      </c>
      <c r="C946" t="s">
        <v>2620</v>
      </c>
      <c r="D946" t="s">
        <v>6081</v>
      </c>
      <c r="E946" t="s">
        <v>586</v>
      </c>
      <c r="F946" t="s">
        <v>1056</v>
      </c>
      <c r="G946" t="s">
        <v>1689</v>
      </c>
      <c r="H946" t="s">
        <v>1690</v>
      </c>
      <c r="I946" t="s">
        <v>90</v>
      </c>
      <c r="J946" t="s">
        <v>90</v>
      </c>
      <c r="K946">
        <v>209.88483607000001</v>
      </c>
      <c r="L946">
        <v>7.7738924699999998</v>
      </c>
      <c r="M946">
        <v>6.4416020600000001</v>
      </c>
      <c r="N946">
        <v>5.1112143799999998</v>
      </c>
      <c r="O946">
        <v>6.5604786400000004</v>
      </c>
      <c r="P946">
        <v>17.664247007258979</v>
      </c>
      <c r="Q946">
        <v>220.34326884999999</v>
      </c>
      <c r="R946">
        <v>70.801287596137215</v>
      </c>
      <c r="S946" t="s">
        <v>1073</v>
      </c>
      <c r="T946">
        <v>209.88483607000001</v>
      </c>
      <c r="U946" t="s">
        <v>2819</v>
      </c>
      <c r="V946" t="s">
        <v>1059</v>
      </c>
      <c r="W946" s="114" t="str">
        <f t="shared" si="42"/>
        <v>ETF</v>
      </c>
      <c r="X946" s="114" t="str">
        <f t="shared" si="43"/>
        <v>Otros ETFs</v>
      </c>
    </row>
    <row r="947" spans="1:24" hidden="1" x14ac:dyDescent="0.25">
      <c r="A947" s="114" t="str">
        <f t="shared" si="44"/>
        <v>7702</v>
      </c>
      <c r="B947" t="s">
        <v>6365</v>
      </c>
      <c r="C947" t="s">
        <v>6366</v>
      </c>
      <c r="D947" t="s">
        <v>6367</v>
      </c>
      <c r="E947" t="s">
        <v>586</v>
      </c>
      <c r="F947" t="s">
        <v>1056</v>
      </c>
      <c r="G947" t="s">
        <v>1071</v>
      </c>
      <c r="H947" t="s">
        <v>1753</v>
      </c>
      <c r="I947" t="s">
        <v>90</v>
      </c>
      <c r="J947" t="s">
        <v>90</v>
      </c>
      <c r="K947">
        <v>232.69497082000001</v>
      </c>
      <c r="L947">
        <v>5.54036434</v>
      </c>
      <c r="M947">
        <v>4.5812374499999997</v>
      </c>
      <c r="N947">
        <v>4.95698785</v>
      </c>
      <c r="O947">
        <v>5.3252317800000002</v>
      </c>
      <c r="P947">
        <v>7.0091724330774712</v>
      </c>
      <c r="Q947">
        <v>260.39968512000002</v>
      </c>
      <c r="R947">
        <v>14.126177076400181</v>
      </c>
      <c r="S947" t="s">
        <v>1063</v>
      </c>
      <c r="T947">
        <v>232.69497082000001</v>
      </c>
      <c r="U947" t="s">
        <v>2819</v>
      </c>
      <c r="V947" t="s">
        <v>1059</v>
      </c>
      <c r="W947" s="114" t="str">
        <f t="shared" si="42"/>
        <v>ETF</v>
      </c>
      <c r="X947" s="114" t="str">
        <f t="shared" si="43"/>
        <v>Otros ETFs</v>
      </c>
    </row>
    <row r="948" spans="1:24" hidden="1" x14ac:dyDescent="0.25">
      <c r="A948" s="114" t="str">
        <f t="shared" si="44"/>
        <v>2117</v>
      </c>
      <c r="B948" t="s">
        <v>2820</v>
      </c>
      <c r="C948" t="s">
        <v>6368</v>
      </c>
      <c r="D948" t="s">
        <v>6369</v>
      </c>
      <c r="E948" t="s">
        <v>379</v>
      </c>
      <c r="F948" t="s">
        <v>4809</v>
      </c>
      <c r="G948" t="s">
        <v>1198</v>
      </c>
      <c r="H948" t="s">
        <v>1098</v>
      </c>
      <c r="I948">
        <v>5919.31</v>
      </c>
      <c r="J948">
        <v>125811.6</v>
      </c>
      <c r="K948">
        <v>21.25</v>
      </c>
      <c r="L948">
        <v>6.9</v>
      </c>
      <c r="M948">
        <v>6.1</v>
      </c>
      <c r="N948">
        <v>5.3</v>
      </c>
      <c r="O948">
        <v>5.2</v>
      </c>
      <c r="P948">
        <v>0</v>
      </c>
      <c r="Q948"/>
      <c r="R948">
        <v>31</v>
      </c>
      <c r="S948" t="s">
        <v>30</v>
      </c>
      <c r="T948">
        <v>21.25</v>
      </c>
      <c r="U948" t="s">
        <v>2819</v>
      </c>
      <c r="V948" t="s">
        <v>1062</v>
      </c>
      <c r="W948" s="114" t="str">
        <f t="shared" si="42"/>
        <v>Portafolio</v>
      </c>
      <c r="X948" s="114" t="str">
        <f t="shared" si="43"/>
        <v>Portafolio</v>
      </c>
    </row>
    <row r="949" spans="1:24" hidden="1" x14ac:dyDescent="0.25">
      <c r="A949" s="114" t="str">
        <f t="shared" si="44"/>
        <v>7751</v>
      </c>
      <c r="B949" t="s">
        <v>6370</v>
      </c>
      <c r="C949" t="s">
        <v>6371</v>
      </c>
      <c r="D949" t="s">
        <v>6372</v>
      </c>
      <c r="E949" t="s">
        <v>586</v>
      </c>
      <c r="F949" t="s">
        <v>1056</v>
      </c>
      <c r="G949" t="s">
        <v>1071</v>
      </c>
      <c r="H949" t="s">
        <v>6373</v>
      </c>
      <c r="I949" t="s">
        <v>90</v>
      </c>
      <c r="J949" t="s">
        <v>90</v>
      </c>
      <c r="K949">
        <v>25.369141249999998</v>
      </c>
      <c r="L949">
        <v>6.1281863599999999</v>
      </c>
      <c r="M949">
        <v>5.9631270299999999</v>
      </c>
      <c r="N949">
        <v>7.0028139899999999</v>
      </c>
      <c r="O949">
        <v>6.4377276200000004</v>
      </c>
      <c r="P949">
        <v>0.88943922247482199</v>
      </c>
      <c r="Q949">
        <v>42.34197502</v>
      </c>
      <c r="R949">
        <v>3.5196245044212739</v>
      </c>
      <c r="S949" t="s">
        <v>30</v>
      </c>
      <c r="T949">
        <v>25.369141249999998</v>
      </c>
      <c r="U949" t="s">
        <v>2819</v>
      </c>
      <c r="V949" t="s">
        <v>1059</v>
      </c>
      <c r="W949" s="114" t="str">
        <f t="shared" si="42"/>
        <v>ETF</v>
      </c>
      <c r="X949" s="114" t="str">
        <f t="shared" si="43"/>
        <v>Otros ETFs</v>
      </c>
    </row>
    <row r="950" spans="1:24" hidden="1" x14ac:dyDescent="0.25">
      <c r="A950" s="114" t="str">
        <f t="shared" si="44"/>
        <v>7680</v>
      </c>
      <c r="B950" t="s">
        <v>6374</v>
      </c>
      <c r="C950" t="s">
        <v>6375</v>
      </c>
      <c r="D950" t="s">
        <v>6376</v>
      </c>
      <c r="E950" t="s">
        <v>586</v>
      </c>
      <c r="F950" t="s">
        <v>1056</v>
      </c>
      <c r="G950" t="s">
        <v>2247</v>
      </c>
      <c r="H950" t="s">
        <v>1494</v>
      </c>
      <c r="I950" t="s">
        <v>90</v>
      </c>
      <c r="J950" t="s">
        <v>90</v>
      </c>
      <c r="K950">
        <v>1.5156161800000001</v>
      </c>
      <c r="L950">
        <v>3.0926017300000002</v>
      </c>
      <c r="M950">
        <v>4.7901904599999998</v>
      </c>
      <c r="N950">
        <v>4.7423174899999996</v>
      </c>
      <c r="O950">
        <v>4.7903462299999999</v>
      </c>
      <c r="P950">
        <v>0</v>
      </c>
      <c r="Q950">
        <v>2.3687984100000001</v>
      </c>
      <c r="R950">
        <v>0</v>
      </c>
      <c r="S950" t="s">
        <v>1138</v>
      </c>
      <c r="T950">
        <v>1.5156161800000001</v>
      </c>
      <c r="U950" t="s">
        <v>2819</v>
      </c>
      <c r="V950" t="s">
        <v>1059</v>
      </c>
      <c r="W950" s="114" t="str">
        <f t="shared" si="42"/>
        <v>ETF</v>
      </c>
      <c r="X950" s="114" t="str">
        <f t="shared" si="43"/>
        <v>Otros ETFs</v>
      </c>
    </row>
    <row r="951" spans="1:24" hidden="1" x14ac:dyDescent="0.25">
      <c r="A951" s="114" t="str">
        <f t="shared" si="44"/>
        <v>7556</v>
      </c>
      <c r="B951" t="s">
        <v>5845</v>
      </c>
      <c r="C951" t="s">
        <v>5846</v>
      </c>
      <c r="D951" t="s">
        <v>5847</v>
      </c>
      <c r="E951" t="s">
        <v>586</v>
      </c>
      <c r="F951" t="s">
        <v>1056</v>
      </c>
      <c r="G951" t="s">
        <v>1501</v>
      </c>
      <c r="H951" t="s">
        <v>1502</v>
      </c>
      <c r="I951" t="s">
        <v>90</v>
      </c>
      <c r="J951" t="s">
        <v>90</v>
      </c>
      <c r="K951">
        <v>162.05067081000001</v>
      </c>
      <c r="L951">
        <v>5.5744532299999996</v>
      </c>
      <c r="M951">
        <v>5.1306120000000002</v>
      </c>
      <c r="N951">
        <v>4.6052461899999999</v>
      </c>
      <c r="O951">
        <v>4.9400057300000002</v>
      </c>
      <c r="P951">
        <v>9.4126885850999233</v>
      </c>
      <c r="Q951">
        <v>623.14705220999997</v>
      </c>
      <c r="R951">
        <v>21.82088099679353</v>
      </c>
      <c r="S951" t="s">
        <v>1063</v>
      </c>
      <c r="T951">
        <v>162.05067081000001</v>
      </c>
      <c r="U951" t="s">
        <v>2819</v>
      </c>
      <c r="V951" t="s">
        <v>1059</v>
      </c>
      <c r="W951" s="114" t="str">
        <f t="shared" si="42"/>
        <v>ETF</v>
      </c>
      <c r="X951" s="114" t="str">
        <f t="shared" si="43"/>
        <v>Otros ETFs</v>
      </c>
    </row>
    <row r="952" spans="1:24" hidden="1" x14ac:dyDescent="0.25">
      <c r="A952" s="114" t="str">
        <f t="shared" si="44"/>
        <v>7417</v>
      </c>
      <c r="B952" t="s">
        <v>6377</v>
      </c>
      <c r="C952" t="s">
        <v>6378</v>
      </c>
      <c r="D952" t="s">
        <v>6379</v>
      </c>
      <c r="E952" t="s">
        <v>586</v>
      </c>
      <c r="F952" t="s">
        <v>1056</v>
      </c>
      <c r="G952" t="s">
        <v>1071</v>
      </c>
      <c r="H952" t="s">
        <v>1753</v>
      </c>
      <c r="I952" t="s">
        <v>90</v>
      </c>
      <c r="J952" t="s">
        <v>90</v>
      </c>
      <c r="K952">
        <v>142.88461225</v>
      </c>
      <c r="L952">
        <v>6.6168364799999999</v>
      </c>
      <c r="M952">
        <v>6.4466801800000004</v>
      </c>
      <c r="N952">
        <v>5.6231669100000001</v>
      </c>
      <c r="O952">
        <v>5.5502463000000004</v>
      </c>
      <c r="P952">
        <v>10.680292859186871</v>
      </c>
      <c r="Q952">
        <v>177.48590551999999</v>
      </c>
      <c r="R952">
        <v>10.8966911847156</v>
      </c>
      <c r="S952" t="s">
        <v>30</v>
      </c>
      <c r="T952">
        <v>142.88461225</v>
      </c>
      <c r="U952" t="s">
        <v>2819</v>
      </c>
      <c r="V952" t="s">
        <v>1059</v>
      </c>
      <c r="W952" s="114" t="str">
        <f t="shared" si="42"/>
        <v>ETF</v>
      </c>
      <c r="X952" s="114" t="str">
        <f t="shared" si="43"/>
        <v>Otros ETFs</v>
      </c>
    </row>
    <row r="953" spans="1:24" hidden="1" x14ac:dyDescent="0.25">
      <c r="A953" s="114" t="str">
        <f t="shared" si="44"/>
        <v>7532</v>
      </c>
      <c r="B953" t="s">
        <v>6380</v>
      </c>
      <c r="C953" t="s">
        <v>6381</v>
      </c>
      <c r="D953" t="s">
        <v>6382</v>
      </c>
      <c r="E953" t="s">
        <v>586</v>
      </c>
      <c r="F953" t="s">
        <v>1056</v>
      </c>
      <c r="G953" t="s">
        <v>1057</v>
      </c>
      <c r="H953" t="s">
        <v>1058</v>
      </c>
      <c r="I953" t="s">
        <v>90</v>
      </c>
      <c r="J953" t="s">
        <v>90</v>
      </c>
      <c r="K953">
        <v>19.514703340000001</v>
      </c>
      <c r="L953">
        <v>6.9077832600000004</v>
      </c>
      <c r="M953">
        <v>5.7731340700000002</v>
      </c>
      <c r="N953">
        <v>5.4442226600000003</v>
      </c>
      <c r="O953">
        <v>6.1444215199999999</v>
      </c>
      <c r="P953">
        <v>17.095251285753861</v>
      </c>
      <c r="Q953">
        <v>105.68469244000001</v>
      </c>
      <c r="R953">
        <v>23.93187179561539</v>
      </c>
      <c r="S953" t="s">
        <v>30</v>
      </c>
      <c r="T953">
        <v>19.514703340000001</v>
      </c>
      <c r="U953" t="s">
        <v>2819</v>
      </c>
      <c r="V953" t="s">
        <v>1059</v>
      </c>
      <c r="W953" s="114" t="str">
        <f t="shared" si="42"/>
        <v>ETF</v>
      </c>
      <c r="X953" s="114" t="str">
        <f t="shared" si="43"/>
        <v>Otros ETFs</v>
      </c>
    </row>
    <row r="954" spans="1:24" hidden="1" x14ac:dyDescent="0.25">
      <c r="A954" s="114" t="str">
        <f t="shared" si="44"/>
        <v>2118</v>
      </c>
      <c r="B954" t="s">
        <v>2781</v>
      </c>
      <c r="C954" t="s">
        <v>392</v>
      </c>
      <c r="D954" t="s">
        <v>391</v>
      </c>
      <c r="E954" t="s">
        <v>379</v>
      </c>
      <c r="F954" t="s">
        <v>4809</v>
      </c>
      <c r="G954" t="s">
        <v>1198</v>
      </c>
      <c r="H954" t="s">
        <v>1098</v>
      </c>
      <c r="I954">
        <v>5919.31</v>
      </c>
      <c r="J954">
        <v>125811.6</v>
      </c>
      <c r="K954">
        <v>21.25</v>
      </c>
      <c r="L954">
        <v>6.9</v>
      </c>
      <c r="M954">
        <v>6.1</v>
      </c>
      <c r="N954">
        <v>5.3</v>
      </c>
      <c r="O954">
        <v>5.2</v>
      </c>
      <c r="P954">
        <v>0</v>
      </c>
      <c r="Q954"/>
      <c r="R954">
        <v>31</v>
      </c>
      <c r="S954" t="s">
        <v>30</v>
      </c>
      <c r="T954">
        <v>21.25</v>
      </c>
      <c r="U954" t="s">
        <v>2819</v>
      </c>
      <c r="V954" t="s">
        <v>1062</v>
      </c>
      <c r="W954" s="114" t="str">
        <f t="shared" si="42"/>
        <v>Portafolio</v>
      </c>
      <c r="X954" s="114" t="str">
        <f t="shared" si="43"/>
        <v>Portafolio</v>
      </c>
    </row>
    <row r="955" spans="1:24" hidden="1" x14ac:dyDescent="0.25">
      <c r="A955" s="114" t="str">
        <f t="shared" si="44"/>
        <v>7414</v>
      </c>
      <c r="B955" t="s">
        <v>5651</v>
      </c>
      <c r="C955" t="s">
        <v>5652</v>
      </c>
      <c r="D955" t="s">
        <v>5653</v>
      </c>
      <c r="E955" t="s">
        <v>586</v>
      </c>
      <c r="F955" t="s">
        <v>1056</v>
      </c>
      <c r="G955" t="s">
        <v>1501</v>
      </c>
      <c r="H955" t="s">
        <v>1502</v>
      </c>
      <c r="I955" t="s">
        <v>90</v>
      </c>
      <c r="J955" t="s">
        <v>90</v>
      </c>
      <c r="K955">
        <v>62.083144079999997</v>
      </c>
      <c r="L955">
        <v>5.5157177700000002</v>
      </c>
      <c r="M955">
        <v>5.4373590299999996</v>
      </c>
      <c r="N955">
        <v>4.4768025299999996</v>
      </c>
      <c r="O955">
        <v>4.9466875999999997</v>
      </c>
      <c r="P955">
        <v>6.4455935544064458</v>
      </c>
      <c r="Q955">
        <v>342.96625040999999</v>
      </c>
      <c r="R955">
        <v>29.46967053032947</v>
      </c>
      <c r="S955" t="s">
        <v>1063</v>
      </c>
      <c r="T955">
        <v>62.083144079999997</v>
      </c>
      <c r="U955" t="s">
        <v>2819</v>
      </c>
      <c r="V955" t="s">
        <v>1059</v>
      </c>
      <c r="W955" s="114" t="str">
        <f t="shared" si="42"/>
        <v>ETF</v>
      </c>
      <c r="X955" s="114" t="str">
        <f t="shared" si="43"/>
        <v>Otros ETFs</v>
      </c>
    </row>
    <row r="956" spans="1:24" hidden="1" x14ac:dyDescent="0.25">
      <c r="A956" s="114" t="str">
        <f t="shared" si="44"/>
        <v>7398</v>
      </c>
      <c r="B956" t="s">
        <v>5254</v>
      </c>
      <c r="C956" t="s">
        <v>2054</v>
      </c>
      <c r="D956" t="s">
        <v>2055</v>
      </c>
      <c r="E956" t="s">
        <v>586</v>
      </c>
      <c r="F956" t="s">
        <v>1056</v>
      </c>
      <c r="G956" t="s">
        <v>1107</v>
      </c>
      <c r="H956" t="s">
        <v>1108</v>
      </c>
      <c r="I956" t="s">
        <v>90</v>
      </c>
      <c r="J956" t="s">
        <v>90</v>
      </c>
      <c r="K956">
        <v>75.793429619999998</v>
      </c>
      <c r="L956">
        <v>8.0561890700000003</v>
      </c>
      <c r="M956">
        <v>7.7644431000000003</v>
      </c>
      <c r="N956">
        <v>5.5305629100000004</v>
      </c>
      <c r="O956">
        <v>6.1432355100000002</v>
      </c>
      <c r="P956">
        <v>43.351443351443351</v>
      </c>
      <c r="Q956">
        <v>98.277689019999997</v>
      </c>
      <c r="R956">
        <v>52.08935208935209</v>
      </c>
      <c r="S956" t="s">
        <v>1073</v>
      </c>
      <c r="T956">
        <v>75.793429619999998</v>
      </c>
      <c r="U956" t="s">
        <v>2819</v>
      </c>
      <c r="V956" t="s">
        <v>1059</v>
      </c>
      <c r="W956" s="114" t="str">
        <f t="shared" si="42"/>
        <v>ETF</v>
      </c>
      <c r="X956" s="114" t="str">
        <f t="shared" si="43"/>
        <v>Otros ETFs</v>
      </c>
    </row>
    <row r="957" spans="1:24" hidden="1" x14ac:dyDescent="0.25">
      <c r="A957" s="114" t="str">
        <f t="shared" si="44"/>
        <v>2119</v>
      </c>
      <c r="B957" t="s">
        <v>2782</v>
      </c>
      <c r="C957" t="s">
        <v>259</v>
      </c>
      <c r="D957" t="s">
        <v>3353</v>
      </c>
      <c r="E957" t="s">
        <v>249</v>
      </c>
      <c r="F957" t="s">
        <v>4806</v>
      </c>
      <c r="G957" t="s">
        <v>1198</v>
      </c>
      <c r="H957" t="s">
        <v>1324</v>
      </c>
      <c r="I957">
        <v>4340.3999999999996</v>
      </c>
      <c r="J957">
        <v>7520000</v>
      </c>
      <c r="K957">
        <v>1732.56</v>
      </c>
      <c r="L957">
        <v>4</v>
      </c>
      <c r="M957">
        <v>3.6</v>
      </c>
      <c r="N957">
        <v>3.5</v>
      </c>
      <c r="O957">
        <v>6.7</v>
      </c>
      <c r="P957">
        <v>0</v>
      </c>
      <c r="Q957"/>
      <c r="R957">
        <v>79</v>
      </c>
      <c r="S957" t="s">
        <v>1138</v>
      </c>
      <c r="T957">
        <v>1732.56</v>
      </c>
      <c r="U957" t="s">
        <v>2819</v>
      </c>
      <c r="V957" t="s">
        <v>1062</v>
      </c>
      <c r="W957" s="114" t="str">
        <f t="shared" si="42"/>
        <v>Portafolio</v>
      </c>
      <c r="X957" s="114" t="str">
        <f t="shared" si="43"/>
        <v>Portafolio</v>
      </c>
    </row>
    <row r="958" spans="1:24" hidden="1" x14ac:dyDescent="0.25">
      <c r="A958" s="114" t="str">
        <f t="shared" si="44"/>
        <v>5278</v>
      </c>
      <c r="B958" t="s">
        <v>5465</v>
      </c>
      <c r="C958" t="s">
        <v>213</v>
      </c>
      <c r="D958" t="s">
        <v>212</v>
      </c>
      <c r="E958" t="s">
        <v>202</v>
      </c>
      <c r="F958" t="s">
        <v>4800</v>
      </c>
      <c r="G958" t="s">
        <v>1061</v>
      </c>
      <c r="H958" t="s">
        <v>1119</v>
      </c>
      <c r="I958">
        <v>199831.21</v>
      </c>
      <c r="J958">
        <v>240535</v>
      </c>
      <c r="K958">
        <v>1.2</v>
      </c>
      <c r="L958">
        <v>8.4</v>
      </c>
      <c r="M958">
        <v>7.3</v>
      </c>
      <c r="N958">
        <v>6.1</v>
      </c>
      <c r="O958">
        <v>5.0999999999999996</v>
      </c>
      <c r="P958">
        <v>6</v>
      </c>
      <c r="Q958"/>
      <c r="R958">
        <v>77</v>
      </c>
      <c r="S958" t="s">
        <v>1073</v>
      </c>
      <c r="T958">
        <v>1.2</v>
      </c>
      <c r="U958" t="s">
        <v>2819</v>
      </c>
      <c r="V958" t="s">
        <v>1062</v>
      </c>
      <c r="W958" s="114" t="str">
        <f t="shared" si="42"/>
        <v>Portafolio</v>
      </c>
      <c r="X958" s="114" t="str">
        <f t="shared" si="43"/>
        <v>Portafolio</v>
      </c>
    </row>
    <row r="959" spans="1:24" hidden="1" x14ac:dyDescent="0.25">
      <c r="A959" s="114" t="str">
        <f t="shared" si="44"/>
        <v>5278</v>
      </c>
      <c r="B959" t="s">
        <v>5465</v>
      </c>
      <c r="C959" t="s">
        <v>906</v>
      </c>
      <c r="D959" t="s">
        <v>905</v>
      </c>
      <c r="E959" t="s">
        <v>202</v>
      </c>
      <c r="F959" t="s">
        <v>4800</v>
      </c>
      <c r="G959" t="s">
        <v>1061</v>
      </c>
      <c r="H959" t="s">
        <v>1119</v>
      </c>
      <c r="I959">
        <v>199831.21</v>
      </c>
      <c r="J959">
        <v>240535</v>
      </c>
      <c r="K959">
        <v>1.2</v>
      </c>
      <c r="L959">
        <v>8.4</v>
      </c>
      <c r="M959">
        <v>7.3</v>
      </c>
      <c r="N959">
        <v>6.1</v>
      </c>
      <c r="O959">
        <v>5.0999999999999996</v>
      </c>
      <c r="P959">
        <v>6</v>
      </c>
      <c r="Q959"/>
      <c r="R959">
        <v>77</v>
      </c>
      <c r="S959" t="s">
        <v>1073</v>
      </c>
      <c r="T959">
        <v>1.2</v>
      </c>
      <c r="U959" t="s">
        <v>2819</v>
      </c>
      <c r="V959" t="s">
        <v>1062</v>
      </c>
      <c r="W959" s="114" t="str">
        <f t="shared" si="42"/>
        <v>Portafolio</v>
      </c>
      <c r="X959" s="114" t="str">
        <f t="shared" si="43"/>
        <v>Portafolio</v>
      </c>
    </row>
    <row r="960" spans="1:24" hidden="1" x14ac:dyDescent="0.25">
      <c r="A960" s="114" t="str">
        <f t="shared" si="44"/>
        <v>5833</v>
      </c>
      <c r="B960" t="s">
        <v>2783</v>
      </c>
      <c r="C960" t="s">
        <v>521</v>
      </c>
      <c r="D960" t="s">
        <v>520</v>
      </c>
      <c r="E960" t="s">
        <v>518</v>
      </c>
      <c r="F960" t="s">
        <v>4814</v>
      </c>
      <c r="G960" t="s">
        <v>1949</v>
      </c>
      <c r="H960" t="s">
        <v>1147</v>
      </c>
      <c r="I960">
        <v>3240.28</v>
      </c>
      <c r="J960">
        <v>694270.83</v>
      </c>
      <c r="K960">
        <v>214.26</v>
      </c>
      <c r="L960">
        <v>6.3</v>
      </c>
      <c r="M960">
        <v>2.4</v>
      </c>
      <c r="N960">
        <v>4.5999999999999996</v>
      </c>
      <c r="O960">
        <v>7</v>
      </c>
      <c r="P960">
        <v>1</v>
      </c>
      <c r="Q960"/>
      <c r="R960">
        <v>83</v>
      </c>
      <c r="S960" t="s">
        <v>30</v>
      </c>
      <c r="T960">
        <v>214.26</v>
      </c>
      <c r="U960" t="s">
        <v>2819</v>
      </c>
      <c r="V960" t="s">
        <v>1062</v>
      </c>
      <c r="W960" s="114" t="str">
        <f t="shared" si="42"/>
        <v>Portafolio</v>
      </c>
      <c r="X960" s="114" t="str">
        <f t="shared" si="43"/>
        <v>Portafolio</v>
      </c>
    </row>
    <row r="961" spans="1:24" hidden="1" x14ac:dyDescent="0.25">
      <c r="A961" s="114" t="str">
        <f t="shared" si="44"/>
        <v>5833</v>
      </c>
      <c r="B961" t="s">
        <v>2783</v>
      </c>
      <c r="C961" t="s">
        <v>200</v>
      </c>
      <c r="D961" t="s">
        <v>3405</v>
      </c>
      <c r="E961" t="s">
        <v>191</v>
      </c>
      <c r="F961" t="s">
        <v>4804</v>
      </c>
      <c r="G961" t="s">
        <v>1949</v>
      </c>
      <c r="H961" t="s">
        <v>1147</v>
      </c>
      <c r="I961">
        <v>3240.28</v>
      </c>
      <c r="J961">
        <v>694270.83</v>
      </c>
      <c r="K961">
        <v>214.26</v>
      </c>
      <c r="L961">
        <v>6.3</v>
      </c>
      <c r="M961">
        <v>2.4</v>
      </c>
      <c r="N961">
        <v>4.5999999999999996</v>
      </c>
      <c r="O961">
        <v>7</v>
      </c>
      <c r="P961">
        <v>1</v>
      </c>
      <c r="Q961"/>
      <c r="R961">
        <v>83</v>
      </c>
      <c r="S961" t="s">
        <v>30</v>
      </c>
      <c r="T961">
        <v>214.26</v>
      </c>
      <c r="U961" t="s">
        <v>2819</v>
      </c>
      <c r="V961" t="s">
        <v>1062</v>
      </c>
      <c r="W961" s="114" t="str">
        <f t="shared" si="42"/>
        <v>Portafolio</v>
      </c>
      <c r="X961" s="114" t="str">
        <f t="shared" si="43"/>
        <v>Portafolio</v>
      </c>
    </row>
    <row r="962" spans="1:24" hidden="1" x14ac:dyDescent="0.25">
      <c r="A962" s="114" t="str">
        <f t="shared" si="44"/>
        <v>5838</v>
      </c>
      <c r="B962" t="s">
        <v>2783</v>
      </c>
      <c r="C962" t="s">
        <v>5275</v>
      </c>
      <c r="D962" t="s">
        <v>5276</v>
      </c>
      <c r="E962" t="s">
        <v>191</v>
      </c>
      <c r="F962" t="s">
        <v>4804</v>
      </c>
      <c r="G962" t="s">
        <v>1949</v>
      </c>
      <c r="H962" t="s">
        <v>1147</v>
      </c>
      <c r="I962">
        <v>3240.28</v>
      </c>
      <c r="J962">
        <v>694270.83</v>
      </c>
      <c r="K962">
        <v>214.26</v>
      </c>
      <c r="L962">
        <v>6.3</v>
      </c>
      <c r="M962">
        <v>2.4</v>
      </c>
      <c r="N962">
        <v>4.5999999999999996</v>
      </c>
      <c r="O962">
        <v>7</v>
      </c>
      <c r="P962">
        <v>1</v>
      </c>
      <c r="Q962"/>
      <c r="R962">
        <v>83</v>
      </c>
      <c r="S962" t="s">
        <v>30</v>
      </c>
      <c r="T962">
        <v>214.26</v>
      </c>
      <c r="U962" t="s">
        <v>2819</v>
      </c>
      <c r="V962" t="s">
        <v>1062</v>
      </c>
      <c r="W962" s="114" t="str">
        <f t="shared" ref="W962:W978" si="45">IF(V962="ETF_ETY","ETF",IF(V962="ETF_SOV","ETF",IF(V962="RF_SOV","SOV",IF(V962="-","Cuestionario Integra","Portafolio"))))</f>
        <v>Portafolio</v>
      </c>
      <c r="X962" s="114" t="str">
        <f t="shared" ref="X962:X978" si="46">IF(V962="ETF_ETY","Otros ETFs",IF(V962="ETF_SOV","Soberanos",W962))</f>
        <v>Portafolio</v>
      </c>
    </row>
    <row r="963" spans="1:24" hidden="1" x14ac:dyDescent="0.25">
      <c r="A963" s="114" t="str">
        <f t="shared" ref="A963:A1025" si="47">RIGHT(LEFT(D963,6),4)</f>
        <v>5833</v>
      </c>
      <c r="B963" t="s">
        <v>2783</v>
      </c>
      <c r="C963" t="s">
        <v>5945</v>
      </c>
      <c r="D963" t="s">
        <v>5944</v>
      </c>
      <c r="E963" t="s">
        <v>191</v>
      </c>
      <c r="F963" t="s">
        <v>4804</v>
      </c>
      <c r="G963" t="s">
        <v>1949</v>
      </c>
      <c r="H963" t="s">
        <v>1147</v>
      </c>
      <c r="I963">
        <v>3240.28</v>
      </c>
      <c r="J963">
        <v>694270.83</v>
      </c>
      <c r="K963">
        <v>214.26</v>
      </c>
      <c r="L963">
        <v>6.3</v>
      </c>
      <c r="M963">
        <v>2.4</v>
      </c>
      <c r="N963">
        <v>4.5999999999999996</v>
      </c>
      <c r="O963">
        <v>7</v>
      </c>
      <c r="P963">
        <v>1</v>
      </c>
      <c r="Q963"/>
      <c r="R963">
        <v>83</v>
      </c>
      <c r="S963" t="s">
        <v>30</v>
      </c>
      <c r="T963">
        <v>214.26</v>
      </c>
      <c r="U963" t="s">
        <v>2819</v>
      </c>
      <c r="V963" t="s">
        <v>1062</v>
      </c>
      <c r="W963" s="114" t="str">
        <f t="shared" si="45"/>
        <v>Portafolio</v>
      </c>
      <c r="X963" s="114" t="str">
        <f t="shared" si="46"/>
        <v>Portafolio</v>
      </c>
    </row>
    <row r="964" spans="1:24" hidden="1" x14ac:dyDescent="0.25">
      <c r="A964" s="114" t="str">
        <f t="shared" si="47"/>
        <v>SUZA</v>
      </c>
      <c r="B964" t="s">
        <v>2785</v>
      </c>
      <c r="C964" t="s">
        <v>4784</v>
      </c>
      <c r="D964" t="s">
        <v>4825</v>
      </c>
      <c r="E964" t="s">
        <v>191</v>
      </c>
      <c r="F964" t="s">
        <v>4804</v>
      </c>
      <c r="G964" t="s">
        <v>2787</v>
      </c>
      <c r="H964" t="s">
        <v>1836</v>
      </c>
      <c r="I964">
        <v>29961.9</v>
      </c>
      <c r="J964">
        <v>2857213.43</v>
      </c>
      <c r="K964">
        <v>95.36</v>
      </c>
      <c r="L964">
        <v>3.9</v>
      </c>
      <c r="M964">
        <v>4.4000000000000004</v>
      </c>
      <c r="N964">
        <v>4.3</v>
      </c>
      <c r="O964">
        <v>5.5</v>
      </c>
      <c r="P964">
        <v>2</v>
      </c>
      <c r="Q964"/>
      <c r="R964">
        <v>38</v>
      </c>
      <c r="S964" t="s">
        <v>1138</v>
      </c>
      <c r="T964">
        <v>95.36</v>
      </c>
      <c r="U964" t="s">
        <v>2819</v>
      </c>
      <c r="V964" t="s">
        <v>1062</v>
      </c>
      <c r="W964" s="114" t="str">
        <f t="shared" si="45"/>
        <v>Portafolio</v>
      </c>
      <c r="X964" s="114" t="str">
        <f t="shared" si="46"/>
        <v>Portafolio</v>
      </c>
    </row>
    <row r="965" spans="1:24" hidden="1" x14ac:dyDescent="0.25">
      <c r="A965" s="114" t="str">
        <f t="shared" si="47"/>
        <v>SUZA</v>
      </c>
      <c r="B965" t="s">
        <v>2785</v>
      </c>
      <c r="C965" t="s">
        <v>2786</v>
      </c>
      <c r="D965" t="s">
        <v>3114</v>
      </c>
      <c r="E965" t="s">
        <v>191</v>
      </c>
      <c r="F965" t="s">
        <v>4804</v>
      </c>
      <c r="G965" t="s">
        <v>2787</v>
      </c>
      <c r="H965" t="s">
        <v>1836</v>
      </c>
      <c r="I965">
        <v>29961.9</v>
      </c>
      <c r="J965">
        <v>2857213.43</v>
      </c>
      <c r="K965">
        <v>95.36</v>
      </c>
      <c r="L965">
        <v>3.9</v>
      </c>
      <c r="M965">
        <v>4.4000000000000004</v>
      </c>
      <c r="N965">
        <v>4.3</v>
      </c>
      <c r="O965">
        <v>5.5</v>
      </c>
      <c r="P965">
        <v>2</v>
      </c>
      <c r="Q965"/>
      <c r="R965">
        <v>38</v>
      </c>
      <c r="S965" t="s">
        <v>1138</v>
      </c>
      <c r="T965">
        <v>95.36</v>
      </c>
      <c r="U965" t="s">
        <v>2819</v>
      </c>
      <c r="V965" t="s">
        <v>1062</v>
      </c>
      <c r="W965" s="114" t="str">
        <f t="shared" si="45"/>
        <v>Portafolio</v>
      </c>
      <c r="X965" s="114" t="str">
        <f t="shared" si="46"/>
        <v>Portafolio</v>
      </c>
    </row>
    <row r="966" spans="1:24" hidden="1" x14ac:dyDescent="0.25">
      <c r="A966" s="114" t="str">
        <f t="shared" si="47"/>
        <v>5861</v>
      </c>
      <c r="B966" t="s">
        <v>2785</v>
      </c>
      <c r="C966" t="s">
        <v>2788</v>
      </c>
      <c r="D966" t="s">
        <v>3115</v>
      </c>
      <c r="E966" t="s">
        <v>191</v>
      </c>
      <c r="F966" t="s">
        <v>4804</v>
      </c>
      <c r="G966" t="s">
        <v>2787</v>
      </c>
      <c r="H966" t="s">
        <v>1836</v>
      </c>
      <c r="I966">
        <v>29961.9</v>
      </c>
      <c r="J966">
        <v>2857213.43</v>
      </c>
      <c r="K966">
        <v>95.36</v>
      </c>
      <c r="L966">
        <v>3.9</v>
      </c>
      <c r="M966">
        <v>4.4000000000000004</v>
      </c>
      <c r="N966">
        <v>4.3</v>
      </c>
      <c r="O966">
        <v>5.5</v>
      </c>
      <c r="P966">
        <v>2</v>
      </c>
      <c r="Q966"/>
      <c r="R966">
        <v>38</v>
      </c>
      <c r="S966" t="s">
        <v>1138</v>
      </c>
      <c r="T966">
        <v>95.36</v>
      </c>
      <c r="U966" t="s">
        <v>2819</v>
      </c>
      <c r="V966" t="s">
        <v>1062</v>
      </c>
      <c r="W966" s="114" t="str">
        <f t="shared" si="45"/>
        <v>Portafolio</v>
      </c>
      <c r="X966" s="114" t="str">
        <f t="shared" si="46"/>
        <v>Portafolio</v>
      </c>
    </row>
    <row r="967" spans="1:24" hidden="1" x14ac:dyDescent="0.25">
      <c r="A967" s="114" t="str">
        <f t="shared" si="47"/>
        <v>5861</v>
      </c>
      <c r="B967" t="s">
        <v>2785</v>
      </c>
      <c r="C967" t="s">
        <v>2789</v>
      </c>
      <c r="D967" t="s">
        <v>5466</v>
      </c>
      <c r="E967" t="s">
        <v>191</v>
      </c>
      <c r="F967" t="s">
        <v>4804</v>
      </c>
      <c r="G967" t="s">
        <v>2787</v>
      </c>
      <c r="H967" t="s">
        <v>1836</v>
      </c>
      <c r="I967">
        <v>29961.9</v>
      </c>
      <c r="J967">
        <v>2857213.43</v>
      </c>
      <c r="K967">
        <v>95.36</v>
      </c>
      <c r="L967">
        <v>3.9</v>
      </c>
      <c r="M967">
        <v>4.4000000000000004</v>
      </c>
      <c r="N967">
        <v>4.3</v>
      </c>
      <c r="O967">
        <v>5.5</v>
      </c>
      <c r="P967">
        <v>2</v>
      </c>
      <c r="Q967"/>
      <c r="R967">
        <v>38</v>
      </c>
      <c r="S967" t="s">
        <v>1138</v>
      </c>
      <c r="T967">
        <v>95.36</v>
      </c>
      <c r="U967" t="s">
        <v>2819</v>
      </c>
      <c r="V967" t="s">
        <v>1062</v>
      </c>
      <c r="W967" s="114" t="str">
        <f t="shared" si="45"/>
        <v>Portafolio</v>
      </c>
      <c r="X967" s="114" t="str">
        <f t="shared" si="46"/>
        <v>Portafolio</v>
      </c>
    </row>
    <row r="968" spans="1:24" hidden="1" x14ac:dyDescent="0.25">
      <c r="A968" s="114" t="str">
        <f t="shared" si="47"/>
        <v>SUZA</v>
      </c>
      <c r="B968" t="s">
        <v>2785</v>
      </c>
      <c r="C968" t="s">
        <v>2789</v>
      </c>
      <c r="D968" t="s">
        <v>3113</v>
      </c>
      <c r="E968" t="s">
        <v>191</v>
      </c>
      <c r="F968" t="s">
        <v>4804</v>
      </c>
      <c r="G968" t="s">
        <v>2787</v>
      </c>
      <c r="H968" t="s">
        <v>1836</v>
      </c>
      <c r="I968">
        <v>29961.9</v>
      </c>
      <c r="J968">
        <v>2857213.43</v>
      </c>
      <c r="K968">
        <v>95.36</v>
      </c>
      <c r="L968">
        <v>3.9</v>
      </c>
      <c r="M968">
        <v>4.4000000000000004</v>
      </c>
      <c r="N968">
        <v>4.3</v>
      </c>
      <c r="O968">
        <v>5.5</v>
      </c>
      <c r="P968">
        <v>2</v>
      </c>
      <c r="Q968"/>
      <c r="R968">
        <v>38</v>
      </c>
      <c r="S968" t="s">
        <v>1138</v>
      </c>
      <c r="T968">
        <v>95.36</v>
      </c>
      <c r="U968" t="s">
        <v>2819</v>
      </c>
      <c r="V968" t="s">
        <v>1062</v>
      </c>
      <c r="W968" s="114" t="str">
        <f t="shared" si="45"/>
        <v>Portafolio</v>
      </c>
      <c r="X968" s="114" t="str">
        <f t="shared" si="46"/>
        <v>Portafolio</v>
      </c>
    </row>
    <row r="969" spans="1:24" hidden="1" x14ac:dyDescent="0.25">
      <c r="A969" s="114" t="str">
        <f t="shared" si="47"/>
        <v>5861</v>
      </c>
      <c r="B969" t="s">
        <v>2785</v>
      </c>
      <c r="C969" t="s">
        <v>2790</v>
      </c>
      <c r="D969" t="s">
        <v>3116</v>
      </c>
      <c r="E969" t="s">
        <v>191</v>
      </c>
      <c r="F969" t="s">
        <v>4804</v>
      </c>
      <c r="G969" t="s">
        <v>2787</v>
      </c>
      <c r="H969" t="s">
        <v>1836</v>
      </c>
      <c r="I969">
        <v>29961.9</v>
      </c>
      <c r="J969">
        <v>2857213.43</v>
      </c>
      <c r="K969">
        <v>95.36</v>
      </c>
      <c r="L969">
        <v>3.9</v>
      </c>
      <c r="M969">
        <v>4.4000000000000004</v>
      </c>
      <c r="N969">
        <v>4.3</v>
      </c>
      <c r="O969">
        <v>5.5</v>
      </c>
      <c r="P969">
        <v>2</v>
      </c>
      <c r="Q969"/>
      <c r="R969">
        <v>38</v>
      </c>
      <c r="S969" t="s">
        <v>1138</v>
      </c>
      <c r="T969">
        <v>95.36</v>
      </c>
      <c r="U969" t="s">
        <v>2819</v>
      </c>
      <c r="V969" t="s">
        <v>1062</v>
      </c>
      <c r="W969" s="114" t="str">
        <f t="shared" si="45"/>
        <v>Portafolio</v>
      </c>
      <c r="X969" s="114" t="str">
        <f t="shared" si="46"/>
        <v>Portafolio</v>
      </c>
    </row>
    <row r="970" spans="1:24" hidden="1" x14ac:dyDescent="0.25">
      <c r="A970" s="114" t="str">
        <f t="shared" si="47"/>
        <v>2116</v>
      </c>
      <c r="B970" t="s">
        <v>2791</v>
      </c>
      <c r="C970" t="s">
        <v>256</v>
      </c>
      <c r="D970" t="s">
        <v>255</v>
      </c>
      <c r="E970" t="s">
        <v>249</v>
      </c>
      <c r="F970" t="s">
        <v>4806</v>
      </c>
      <c r="G970" t="s">
        <v>1198</v>
      </c>
      <c r="H970" t="s">
        <v>1324</v>
      </c>
      <c r="I970">
        <v>94847.71</v>
      </c>
      <c r="J970">
        <v>2600000</v>
      </c>
      <c r="K970">
        <v>27.41</v>
      </c>
      <c r="L970">
        <v>7.5</v>
      </c>
      <c r="M970">
        <v>9.6</v>
      </c>
      <c r="N970">
        <v>6.7</v>
      </c>
      <c r="O970">
        <v>5.6</v>
      </c>
      <c r="P970">
        <v>0</v>
      </c>
      <c r="Q970"/>
      <c r="R970">
        <v>43</v>
      </c>
      <c r="S970" t="s">
        <v>1073</v>
      </c>
      <c r="T970">
        <v>27.41</v>
      </c>
      <c r="U970" t="s">
        <v>2819</v>
      </c>
      <c r="V970" t="s">
        <v>1062</v>
      </c>
      <c r="W970" s="114" t="str">
        <f t="shared" si="45"/>
        <v>Portafolio</v>
      </c>
      <c r="X970" s="114" t="str">
        <f t="shared" si="46"/>
        <v>Portafolio</v>
      </c>
    </row>
    <row r="971" spans="1:24" hidden="1" x14ac:dyDescent="0.25">
      <c r="A971" s="114" t="str">
        <f t="shared" si="47"/>
        <v>2116</v>
      </c>
      <c r="B971" t="s">
        <v>2791</v>
      </c>
      <c r="C971" t="s">
        <v>2792</v>
      </c>
      <c r="D971" t="s">
        <v>4082</v>
      </c>
      <c r="E971" t="s">
        <v>249</v>
      </c>
      <c r="F971" t="s">
        <v>4806</v>
      </c>
      <c r="G971" t="s">
        <v>1198</v>
      </c>
      <c r="H971" t="s">
        <v>1324</v>
      </c>
      <c r="I971">
        <v>94847.71</v>
      </c>
      <c r="J971">
        <v>2600000</v>
      </c>
      <c r="K971">
        <v>27.41</v>
      </c>
      <c r="L971">
        <v>7.5</v>
      </c>
      <c r="M971">
        <v>9.6</v>
      </c>
      <c r="N971">
        <v>6.7</v>
      </c>
      <c r="O971">
        <v>5.6</v>
      </c>
      <c r="P971">
        <v>0</v>
      </c>
      <c r="Q971"/>
      <c r="R971">
        <v>43</v>
      </c>
      <c r="S971" t="s">
        <v>1073</v>
      </c>
      <c r="T971">
        <v>27.41</v>
      </c>
      <c r="U971" t="s">
        <v>2819</v>
      </c>
      <c r="V971" t="s">
        <v>1062</v>
      </c>
      <c r="W971" s="114" t="str">
        <f t="shared" si="45"/>
        <v>Portafolio</v>
      </c>
      <c r="X971" s="114" t="str">
        <f t="shared" si="46"/>
        <v>Portafolio</v>
      </c>
    </row>
    <row r="972" spans="1:24" hidden="1" x14ac:dyDescent="0.25">
      <c r="A972" s="114" t="str">
        <f t="shared" si="47"/>
        <v>2121</v>
      </c>
      <c r="B972" t="s">
        <v>6082</v>
      </c>
      <c r="C972" t="s">
        <v>6083</v>
      </c>
      <c r="D972" t="s">
        <v>4083</v>
      </c>
      <c r="E972" t="s">
        <v>249</v>
      </c>
      <c r="F972" t="s">
        <v>4806</v>
      </c>
      <c r="G972" t="s">
        <v>1198</v>
      </c>
      <c r="H972" t="s">
        <v>6034</v>
      </c>
      <c r="I972">
        <v>782.25</v>
      </c>
      <c r="J972">
        <v>100333.3817674249</v>
      </c>
      <c r="K972">
        <v>128.26</v>
      </c>
      <c r="L972">
        <v>5.4</v>
      </c>
      <c r="M972">
        <v>3.1</v>
      </c>
      <c r="N972">
        <v>4.2</v>
      </c>
      <c r="O972">
        <v>5.5</v>
      </c>
      <c r="P972">
        <v>0</v>
      </c>
      <c r="Q972"/>
      <c r="R972">
        <v>44</v>
      </c>
      <c r="S972" t="s">
        <v>1063</v>
      </c>
      <c r="T972">
        <v>128.26</v>
      </c>
      <c r="U972" t="s">
        <v>2819</v>
      </c>
      <c r="V972" t="s">
        <v>1062</v>
      </c>
      <c r="W972" s="114" t="str">
        <f t="shared" si="45"/>
        <v>Portafolio</v>
      </c>
      <c r="X972" s="114" t="str">
        <f t="shared" si="46"/>
        <v>Portafolio</v>
      </c>
    </row>
    <row r="973" spans="1:24" hidden="1" x14ac:dyDescent="0.25">
      <c r="A973" s="114" t="str">
        <f t="shared" si="47"/>
        <v>5832</v>
      </c>
      <c r="B973" t="s">
        <v>4542</v>
      </c>
      <c r="C973" t="s">
        <v>5848</v>
      </c>
      <c r="D973" t="s">
        <v>3696</v>
      </c>
      <c r="E973" t="s">
        <v>249</v>
      </c>
      <c r="F973" t="s">
        <v>4806</v>
      </c>
      <c r="G973" t="s">
        <v>1198</v>
      </c>
      <c r="H973" t="s">
        <v>1119</v>
      </c>
      <c r="I973">
        <v>24631.25</v>
      </c>
      <c r="J973">
        <v>17900.96</v>
      </c>
      <c r="K973">
        <v>0.73</v>
      </c>
      <c r="L973">
        <v>7.7</v>
      </c>
      <c r="M973">
        <v>7.7</v>
      </c>
      <c r="N973">
        <v>4.7</v>
      </c>
      <c r="O973">
        <v>6.2</v>
      </c>
      <c r="P973">
        <v>0</v>
      </c>
      <c r="Q973"/>
      <c r="R973">
        <v>56</v>
      </c>
      <c r="S973" t="s">
        <v>1073</v>
      </c>
      <c r="T973">
        <v>0.73</v>
      </c>
      <c r="U973" t="s">
        <v>2819</v>
      </c>
      <c r="V973" t="s">
        <v>1062</v>
      </c>
      <c r="W973" s="114" t="str">
        <f t="shared" si="45"/>
        <v>Portafolio</v>
      </c>
      <c r="X973" s="114" t="str">
        <f t="shared" si="46"/>
        <v>Portafolio</v>
      </c>
    </row>
    <row r="974" spans="1:24" hidden="1" x14ac:dyDescent="0.25">
      <c r="A974" s="114" t="str">
        <f t="shared" si="47"/>
        <v>5025</v>
      </c>
      <c r="B974" t="s">
        <v>2793</v>
      </c>
      <c r="C974" t="s">
        <v>2794</v>
      </c>
      <c r="D974" t="s">
        <v>3007</v>
      </c>
      <c r="E974" t="s">
        <v>191</v>
      </c>
      <c r="F974" t="s">
        <v>4804</v>
      </c>
      <c r="G974" t="s">
        <v>2775</v>
      </c>
      <c r="H974" t="s">
        <v>5255</v>
      </c>
      <c r="I974">
        <v>13339.21</v>
      </c>
      <c r="J974">
        <v>9731876</v>
      </c>
      <c r="K974">
        <v>729.57</v>
      </c>
      <c r="L974">
        <v>4.5</v>
      </c>
      <c r="M974">
        <v>5</v>
      </c>
      <c r="N974">
        <v>3.8</v>
      </c>
      <c r="O974">
        <v>2.9</v>
      </c>
      <c r="P974">
        <v>1</v>
      </c>
      <c r="Q974"/>
      <c r="R974">
        <v>2</v>
      </c>
      <c r="S974" t="s">
        <v>1063</v>
      </c>
      <c r="T974">
        <v>729.57</v>
      </c>
      <c r="U974" t="s">
        <v>2819</v>
      </c>
      <c r="V974" t="s">
        <v>1062</v>
      </c>
      <c r="W974" s="114" t="str">
        <f t="shared" si="45"/>
        <v>Portafolio</v>
      </c>
      <c r="X974" s="114" t="str">
        <f t="shared" si="46"/>
        <v>Portafolio</v>
      </c>
    </row>
    <row r="975" spans="1:24" hidden="1" x14ac:dyDescent="0.25">
      <c r="A975" s="114" t="str">
        <f t="shared" si="47"/>
        <v>5834</v>
      </c>
      <c r="B975" t="s">
        <v>2795</v>
      </c>
      <c r="C975" t="s">
        <v>6383</v>
      </c>
      <c r="D975" t="s">
        <v>6384</v>
      </c>
      <c r="E975" t="s">
        <v>350</v>
      </c>
      <c r="F975" t="s">
        <v>4802</v>
      </c>
      <c r="G975" t="s">
        <v>1198</v>
      </c>
      <c r="H975" t="s">
        <v>1119</v>
      </c>
      <c r="I975">
        <v>538583.37</v>
      </c>
      <c r="J975">
        <v>229779</v>
      </c>
      <c r="K975">
        <v>0.43</v>
      </c>
      <c r="L975">
        <v>7.3</v>
      </c>
      <c r="M975">
        <v>7.8</v>
      </c>
      <c r="N975">
        <v>4.4000000000000004</v>
      </c>
      <c r="O975">
        <v>6</v>
      </c>
      <c r="P975">
        <v>12</v>
      </c>
      <c r="Q975"/>
      <c r="R975">
        <v>75</v>
      </c>
      <c r="S975" t="s">
        <v>1073</v>
      </c>
      <c r="T975">
        <v>0.43</v>
      </c>
      <c r="U975" t="s">
        <v>2819</v>
      </c>
      <c r="V975" t="s">
        <v>1062</v>
      </c>
      <c r="W975" s="114" t="str">
        <f t="shared" si="45"/>
        <v>Portafolio</v>
      </c>
      <c r="X975" s="114" t="str">
        <f t="shared" si="46"/>
        <v>Portafolio</v>
      </c>
    </row>
    <row r="976" spans="1:24" hidden="1" x14ac:dyDescent="0.25">
      <c r="A976" s="114" t="str">
        <f t="shared" si="47"/>
        <v>5834</v>
      </c>
      <c r="B976" t="s">
        <v>2795</v>
      </c>
      <c r="C976" t="s">
        <v>5955</v>
      </c>
      <c r="D976" t="s">
        <v>5954</v>
      </c>
      <c r="E976" t="s">
        <v>348</v>
      </c>
      <c r="F976" t="s">
        <v>6385</v>
      </c>
      <c r="G976" t="s">
        <v>1198</v>
      </c>
      <c r="H976" t="s">
        <v>1119</v>
      </c>
      <c r="I976">
        <v>538583.37</v>
      </c>
      <c r="J976">
        <v>229779</v>
      </c>
      <c r="K976">
        <v>0.43</v>
      </c>
      <c r="L976">
        <v>7.3</v>
      </c>
      <c r="M976">
        <v>7.8</v>
      </c>
      <c r="N976">
        <v>4.4000000000000004</v>
      </c>
      <c r="O976">
        <v>6</v>
      </c>
      <c r="P976">
        <v>12</v>
      </c>
      <c r="Q976"/>
      <c r="R976">
        <v>75</v>
      </c>
      <c r="S976" t="s">
        <v>1073</v>
      </c>
      <c r="T976">
        <v>0.43</v>
      </c>
      <c r="U976" t="s">
        <v>2819</v>
      </c>
      <c r="V976" t="s">
        <v>1062</v>
      </c>
      <c r="W976" s="114" t="str">
        <f t="shared" si="45"/>
        <v>Portafolio</v>
      </c>
      <c r="X976" s="114" t="str">
        <f t="shared" si="46"/>
        <v>Portafolio</v>
      </c>
    </row>
    <row r="977" spans="1:24" hidden="1" x14ac:dyDescent="0.25">
      <c r="A977" s="114" t="str">
        <f t="shared" si="47"/>
        <v>5445</v>
      </c>
      <c r="B977" t="s">
        <v>6386</v>
      </c>
      <c r="C977" t="s">
        <v>6387</v>
      </c>
      <c r="D977" t="s">
        <v>6388</v>
      </c>
      <c r="E977" t="s">
        <v>512</v>
      </c>
      <c r="F977" t="s">
        <v>4797</v>
      </c>
      <c r="G977" t="s">
        <v>1139</v>
      </c>
      <c r="H977" t="s">
        <v>1147</v>
      </c>
      <c r="I977">
        <v>4554.87</v>
      </c>
      <c r="J977">
        <v>388000</v>
      </c>
      <c r="K977">
        <v>85.18</v>
      </c>
      <c r="L977">
        <v>7.1</v>
      </c>
      <c r="M977">
        <v>3.8</v>
      </c>
      <c r="N977">
        <v>6.2</v>
      </c>
      <c r="O977">
        <v>6.6</v>
      </c>
      <c r="P977">
        <v>1</v>
      </c>
      <c r="Q977"/>
      <c r="R977">
        <v>75</v>
      </c>
      <c r="S977" t="s">
        <v>30</v>
      </c>
      <c r="T977">
        <v>85.18</v>
      </c>
      <c r="U977" t="s">
        <v>2819</v>
      </c>
      <c r="V977" t="s">
        <v>1062</v>
      </c>
      <c r="W977" s="114" t="str">
        <f t="shared" si="45"/>
        <v>Portafolio</v>
      </c>
      <c r="X977" s="114" t="str">
        <f t="shared" si="46"/>
        <v>Portafolio</v>
      </c>
    </row>
    <row r="978" spans="1:24" hidden="1" x14ac:dyDescent="0.25">
      <c r="A978" s="114" t="str">
        <f>RIGHT(LEFT(D978,6),4)</f>
        <v>5445</v>
      </c>
      <c r="B978" t="s">
        <v>6386</v>
      </c>
      <c r="C978" t="s">
        <v>6387</v>
      </c>
      <c r="D978" t="s">
        <v>6389</v>
      </c>
      <c r="E978" t="s">
        <v>518</v>
      </c>
      <c r="F978" t="s">
        <v>4814</v>
      </c>
      <c r="G978" t="s">
        <v>1139</v>
      </c>
      <c r="H978" t="s">
        <v>1147</v>
      </c>
      <c r="I978">
        <v>4554.87</v>
      </c>
      <c r="J978">
        <v>388000</v>
      </c>
      <c r="K978">
        <v>85.18</v>
      </c>
      <c r="L978">
        <v>7.1</v>
      </c>
      <c r="M978">
        <v>3.8</v>
      </c>
      <c r="N978">
        <v>6.2</v>
      </c>
      <c r="O978">
        <v>6.6</v>
      </c>
      <c r="P978">
        <v>1</v>
      </c>
      <c r="Q978"/>
      <c r="R978">
        <v>75</v>
      </c>
      <c r="S978" t="s">
        <v>30</v>
      </c>
      <c r="T978">
        <v>85.18</v>
      </c>
      <c r="U978" t="s">
        <v>2819</v>
      </c>
      <c r="V978" t="s">
        <v>1062</v>
      </c>
      <c r="W978" s="114" t="str">
        <f t="shared" si="45"/>
        <v>Portafolio</v>
      </c>
      <c r="X978" s="114" t="str">
        <f t="shared" si="46"/>
        <v>Portafolio</v>
      </c>
    </row>
    <row r="979" spans="1:24" s="16" customFormat="1" hidden="1" x14ac:dyDescent="0.25">
      <c r="A979" s="115" t="str">
        <f>RIGHT(LEFT(D979,6),4)</f>
        <v>2304</v>
      </c>
      <c r="B979" s="16" t="s">
        <v>2810</v>
      </c>
      <c r="C979" s="16" t="s">
        <v>319</v>
      </c>
      <c r="D979" s="16" t="s">
        <v>318</v>
      </c>
      <c r="E979" s="16" t="s">
        <v>249</v>
      </c>
      <c r="F979" s="16" t="s">
        <v>4806</v>
      </c>
      <c r="G979" s="16" t="s">
        <v>1198</v>
      </c>
      <c r="H979" s="16" t="s">
        <v>1284</v>
      </c>
      <c r="I979" s="16">
        <v>1707.72</v>
      </c>
      <c r="J979" s="16">
        <v>4106</v>
      </c>
      <c r="K979" s="16">
        <v>2.4</v>
      </c>
      <c r="L979" s="16">
        <v>3.6</v>
      </c>
      <c r="M979" s="16">
        <v>7.3</v>
      </c>
      <c r="N979" s="16">
        <v>7.1</v>
      </c>
      <c r="O979" s="16">
        <v>1</v>
      </c>
      <c r="P979" s="16">
        <v>1</v>
      </c>
      <c r="R979" s="16">
        <v>0</v>
      </c>
      <c r="S979" s="16" t="s">
        <v>1138</v>
      </c>
      <c r="T979" s="16">
        <v>2.4</v>
      </c>
      <c r="U979" s="16" t="s">
        <v>2819</v>
      </c>
      <c r="V979" s="16" t="s">
        <v>1062</v>
      </c>
      <c r="W979" s="115" t="s">
        <v>4795</v>
      </c>
      <c r="X979" s="115" t="s">
        <v>4795</v>
      </c>
    </row>
    <row r="980" spans="1:24" s="16" customFormat="1" hidden="1" x14ac:dyDescent="0.25">
      <c r="A980" s="115" t="str">
        <f>RIGHT(LEFT(D980,6),4)</f>
        <v>L526</v>
      </c>
      <c r="B980" s="115" t="s">
        <v>4499</v>
      </c>
      <c r="C980" s="115" t="s">
        <v>367</v>
      </c>
      <c r="D980" s="115" t="s">
        <v>368</v>
      </c>
      <c r="E980" s="115" t="s">
        <v>422</v>
      </c>
      <c r="F980" s="115" t="s">
        <v>4801</v>
      </c>
      <c r="G980" s="115" t="s">
        <v>1198</v>
      </c>
      <c r="H980" s="115" t="s">
        <v>1119</v>
      </c>
      <c r="I980" s="115">
        <v>6949.13</v>
      </c>
      <c r="J980" s="115">
        <v>4925.1899999999996</v>
      </c>
      <c r="K980" s="115">
        <v>0.71</v>
      </c>
      <c r="L980" s="115">
        <v>6.8</v>
      </c>
      <c r="M980" s="115">
        <v>5.4</v>
      </c>
      <c r="N980" s="115">
        <v>5.0999999999999996</v>
      </c>
      <c r="O980" s="115">
        <v>6.2</v>
      </c>
      <c r="P980" s="115">
        <v>0</v>
      </c>
      <c r="Q980" s="115"/>
      <c r="R980" s="115">
        <v>52</v>
      </c>
      <c r="S980" s="115" t="s">
        <v>30</v>
      </c>
      <c r="T980" s="140">
        <v>0.71</v>
      </c>
      <c r="U980" s="115" t="s">
        <v>2819</v>
      </c>
      <c r="V980" s="115" t="s">
        <v>1062</v>
      </c>
      <c r="W980" s="115" t="s">
        <v>4795</v>
      </c>
      <c r="X980" s="115" t="s">
        <v>4795</v>
      </c>
    </row>
    <row r="981" spans="1:24" s="16" customFormat="1" hidden="1" x14ac:dyDescent="0.25">
      <c r="A981" s="115" t="str">
        <f>RIGHT(LEFT(D981,6),4)</f>
        <v>L526</v>
      </c>
      <c r="B981" s="115" t="s">
        <v>4499</v>
      </c>
      <c r="C981" s="115" t="s">
        <v>363</v>
      </c>
      <c r="D981" s="115" t="s">
        <v>364</v>
      </c>
      <c r="E981" s="115" t="s">
        <v>422</v>
      </c>
      <c r="F981" s="115" t="s">
        <v>4801</v>
      </c>
      <c r="G981" s="115" t="s">
        <v>1198</v>
      </c>
      <c r="H981" s="115" t="s">
        <v>1119</v>
      </c>
      <c r="I981" s="115">
        <v>6949.13</v>
      </c>
      <c r="J981" s="115">
        <v>4925.1899999999996</v>
      </c>
      <c r="K981" s="115">
        <v>0.71</v>
      </c>
      <c r="L981" s="115">
        <v>6.8</v>
      </c>
      <c r="M981" s="115">
        <v>5.4</v>
      </c>
      <c r="N981" s="115">
        <v>5.0999999999999996</v>
      </c>
      <c r="O981" s="115">
        <v>6.2</v>
      </c>
      <c r="P981" s="115">
        <v>0</v>
      </c>
      <c r="Q981" s="115"/>
      <c r="R981" s="115">
        <v>52</v>
      </c>
      <c r="S981" s="115" t="s">
        <v>30</v>
      </c>
      <c r="T981" s="140">
        <v>0.71</v>
      </c>
      <c r="U981" s="115" t="s">
        <v>2819</v>
      </c>
      <c r="V981" s="115" t="s">
        <v>1062</v>
      </c>
      <c r="W981" s="115" t="s">
        <v>4795</v>
      </c>
      <c r="X981" s="115" t="s">
        <v>4795</v>
      </c>
    </row>
    <row r="982" spans="1:24" s="16" customFormat="1" hidden="1" x14ac:dyDescent="0.25">
      <c r="A982" s="115" t="str">
        <f t="shared" ref="A982:A985" si="48">RIGHT(LEFT(D982,6),4)</f>
        <v>0003</v>
      </c>
      <c r="B982" s="115" t="s">
        <v>4460</v>
      </c>
      <c r="C982" s="115" t="s">
        <v>377</v>
      </c>
      <c r="D982" s="115" t="s">
        <v>376</v>
      </c>
      <c r="E982" s="115" t="s">
        <v>350</v>
      </c>
      <c r="F982" s="115" t="s">
        <v>4802</v>
      </c>
      <c r="G982" s="115" t="s">
        <v>1198</v>
      </c>
      <c r="H982" s="115" t="s">
        <v>1119</v>
      </c>
      <c r="I982" s="115">
        <v>6610.65</v>
      </c>
      <c r="J982" s="115">
        <v>3096.99</v>
      </c>
      <c r="K982" s="115">
        <v>0.47</v>
      </c>
      <c r="L982" s="115">
        <v>6.4</v>
      </c>
      <c r="M982" s="115">
        <v>6.7</v>
      </c>
      <c r="N982" s="115">
        <v>5.0999999999999996</v>
      </c>
      <c r="O982" s="115">
        <v>4.0999999999999996</v>
      </c>
      <c r="P982" s="115">
        <v>0</v>
      </c>
      <c r="Q982" s="115"/>
      <c r="R982" s="115">
        <v>10</v>
      </c>
      <c r="S982" s="115" t="s">
        <v>30</v>
      </c>
      <c r="T982" s="140">
        <v>0.47</v>
      </c>
      <c r="U982" s="115" t="s">
        <v>2819</v>
      </c>
      <c r="V982" s="115" t="s">
        <v>1062</v>
      </c>
      <c r="W982" s="115" t="s">
        <v>4795</v>
      </c>
      <c r="X982" s="115" t="s">
        <v>4795</v>
      </c>
    </row>
    <row r="983" spans="1:24" s="16" customFormat="1" hidden="1" x14ac:dyDescent="0.25">
      <c r="A983" s="115" t="str">
        <f t="shared" si="48"/>
        <v>2117</v>
      </c>
      <c r="B983" s="115" t="s">
        <v>4500</v>
      </c>
      <c r="C983" s="115" t="s">
        <v>6429</v>
      </c>
      <c r="D983" s="115" t="s">
        <v>6428</v>
      </c>
      <c r="E983" s="115" t="s">
        <v>422</v>
      </c>
      <c r="F983" s="115" t="s">
        <v>4801</v>
      </c>
      <c r="G983" s="115" t="s">
        <v>1198</v>
      </c>
      <c r="H983" s="115" t="s">
        <v>1098</v>
      </c>
      <c r="I983" s="115">
        <v>5919.31</v>
      </c>
      <c r="J983" s="115">
        <v>125811.6</v>
      </c>
      <c r="K983" s="115">
        <v>21.25</v>
      </c>
      <c r="L983" s="115">
        <v>6.9</v>
      </c>
      <c r="M983" s="115">
        <v>6.1</v>
      </c>
      <c r="N983" s="115">
        <v>5.3</v>
      </c>
      <c r="O983" s="115">
        <v>5.2</v>
      </c>
      <c r="P983" s="115">
        <v>0</v>
      </c>
      <c r="Q983" s="115"/>
      <c r="R983" s="115">
        <v>31</v>
      </c>
      <c r="S983" s="115" t="s">
        <v>30</v>
      </c>
      <c r="T983" s="140">
        <v>21.25</v>
      </c>
      <c r="U983" s="115" t="s">
        <v>2819</v>
      </c>
      <c r="V983" s="115" t="s">
        <v>1062</v>
      </c>
      <c r="W983" s="115" t="s">
        <v>4795</v>
      </c>
      <c r="X983" s="115" t="s">
        <v>4795</v>
      </c>
    </row>
    <row r="984" spans="1:24" s="16" customFormat="1" hidden="1" x14ac:dyDescent="0.25">
      <c r="A984" s="115" t="str">
        <f t="shared" si="48"/>
        <v>2117</v>
      </c>
      <c r="B984" s="115" t="s">
        <v>4554</v>
      </c>
      <c r="C984" s="115" t="s">
        <v>382</v>
      </c>
      <c r="D984" s="115" t="s">
        <v>381</v>
      </c>
      <c r="E984" s="115"/>
      <c r="F984" s="115" t="s">
        <v>4801</v>
      </c>
      <c r="G984" s="115" t="s">
        <v>1198</v>
      </c>
      <c r="H984" s="115" t="s">
        <v>1098</v>
      </c>
      <c r="I984" s="115">
        <v>5919.31</v>
      </c>
      <c r="J984" s="115">
        <v>125811.6</v>
      </c>
      <c r="K984" s="115">
        <v>21.25</v>
      </c>
      <c r="L984" s="115">
        <v>6.9</v>
      </c>
      <c r="M984" s="115">
        <v>6.1</v>
      </c>
      <c r="N984" s="115">
        <v>5.3</v>
      </c>
      <c r="O984" s="115">
        <v>5.2</v>
      </c>
      <c r="P984" s="115">
        <v>0</v>
      </c>
      <c r="Q984" s="115"/>
      <c r="R984" s="115">
        <v>31</v>
      </c>
      <c r="S984" s="115" t="s">
        <v>30</v>
      </c>
      <c r="T984" s="140">
        <v>21.25</v>
      </c>
      <c r="U984" s="115" t="s">
        <v>2819</v>
      </c>
      <c r="V984" s="115" t="s">
        <v>1062</v>
      </c>
      <c r="W984" s="115" t="s">
        <v>4795</v>
      </c>
      <c r="X984" s="115" t="s">
        <v>4795</v>
      </c>
    </row>
    <row r="985" spans="1:24" s="16" customFormat="1" hidden="1" x14ac:dyDescent="0.25">
      <c r="A985" s="115" t="str">
        <f t="shared" si="48"/>
        <v>2118</v>
      </c>
      <c r="B985" s="115" t="s">
        <v>4555</v>
      </c>
      <c r="C985" s="115" t="s">
        <v>388</v>
      </c>
      <c r="D985" s="115" t="s">
        <v>387</v>
      </c>
      <c r="E985" s="115"/>
      <c r="F985" s="115" t="s">
        <v>4801</v>
      </c>
      <c r="G985" s="115" t="s">
        <v>1198</v>
      </c>
      <c r="H985" s="115" t="s">
        <v>1098</v>
      </c>
      <c r="I985" s="115">
        <v>5919.31</v>
      </c>
      <c r="J985" s="115">
        <v>125811.6</v>
      </c>
      <c r="K985" s="115">
        <v>21.25</v>
      </c>
      <c r="L985" s="115">
        <v>6.9</v>
      </c>
      <c r="M985" s="115">
        <v>6.1</v>
      </c>
      <c r="N985" s="115">
        <v>5.3</v>
      </c>
      <c r="O985" s="115">
        <v>5.2</v>
      </c>
      <c r="P985" s="115">
        <v>0</v>
      </c>
      <c r="Q985" s="115"/>
      <c r="R985" s="115">
        <v>31</v>
      </c>
      <c r="S985" s="115" t="s">
        <v>30</v>
      </c>
      <c r="T985" s="140">
        <v>21.25</v>
      </c>
      <c r="U985" s="115" t="s">
        <v>2819</v>
      </c>
      <c r="V985" s="115" t="s">
        <v>1062</v>
      </c>
      <c r="W985" s="115" t="s">
        <v>4795</v>
      </c>
      <c r="X985" s="115" t="s">
        <v>4795</v>
      </c>
    </row>
    <row r="986" spans="1:24" hidden="1" x14ac:dyDescent="0.25">
      <c r="A986" s="114" t="str">
        <f t="shared" si="47"/>
        <v>7482</v>
      </c>
      <c r="B986" s="224" t="s">
        <v>4517</v>
      </c>
      <c r="C986" s="224" t="s">
        <v>677</v>
      </c>
      <c r="D986" s="224" t="s">
        <v>676</v>
      </c>
      <c r="E986" s="224"/>
      <c r="F986" s="224"/>
      <c r="G986" s="224"/>
      <c r="H986" s="224"/>
      <c r="I986" s="224"/>
      <c r="J986" s="224"/>
      <c r="K986" s="224"/>
      <c r="L986" s="224"/>
      <c r="M986" s="224"/>
      <c r="N986" s="224"/>
      <c r="O986" s="224"/>
      <c r="P986" s="224"/>
      <c r="Q986" s="224"/>
      <c r="R986" s="224"/>
      <c r="S986" s="224"/>
      <c r="T986" s="225">
        <v>145.75331588</v>
      </c>
      <c r="U986" s="224"/>
      <c r="V986" s="224"/>
      <c r="W986" s="224" t="s">
        <v>4832</v>
      </c>
      <c r="X986" s="224" t="s">
        <v>4355</v>
      </c>
    </row>
    <row r="987" spans="1:24" hidden="1" x14ac:dyDescent="0.25">
      <c r="A987" s="114" t="str">
        <f t="shared" si="47"/>
        <v>7482</v>
      </c>
      <c r="B987" s="224" t="s">
        <v>4429</v>
      </c>
      <c r="C987" s="224" t="s">
        <v>674</v>
      </c>
      <c r="D987" s="224" t="s">
        <v>673</v>
      </c>
      <c r="E987" s="224"/>
      <c r="F987" s="224"/>
      <c r="G987" s="224"/>
      <c r="H987" s="224"/>
      <c r="I987" s="224"/>
      <c r="J987" s="224"/>
      <c r="K987" s="224"/>
      <c r="L987" s="224"/>
      <c r="M987" s="224"/>
      <c r="N987" s="224"/>
      <c r="O987" s="224"/>
      <c r="P987" s="224"/>
      <c r="Q987" s="224"/>
      <c r="R987" s="224"/>
      <c r="S987" s="224"/>
      <c r="T987" s="225">
        <v>145.75331588</v>
      </c>
      <c r="U987" s="224"/>
      <c r="V987" s="224"/>
      <c r="W987" s="224" t="s">
        <v>4832</v>
      </c>
      <c r="X987" s="224" t="s">
        <v>4355</v>
      </c>
    </row>
    <row r="988" spans="1:24" hidden="1" x14ac:dyDescent="0.25">
      <c r="A988" s="114" t="str">
        <f t="shared" si="47"/>
        <v>7719</v>
      </c>
      <c r="B988" s="224" t="s">
        <v>4428</v>
      </c>
      <c r="C988" s="224" t="s">
        <v>4788</v>
      </c>
      <c r="D988" s="224" t="s">
        <v>949</v>
      </c>
      <c r="E988" s="224"/>
      <c r="F988" s="224"/>
      <c r="G988" s="224"/>
      <c r="H988" s="224"/>
      <c r="I988" s="224"/>
      <c r="J988" s="224"/>
      <c r="K988" s="224"/>
      <c r="L988" s="224"/>
      <c r="M988" s="224"/>
      <c r="N988" s="224"/>
      <c r="O988" s="224"/>
      <c r="P988" s="224"/>
      <c r="Q988" s="224"/>
      <c r="R988" s="224"/>
      <c r="S988" s="224"/>
      <c r="T988" s="225">
        <v>145.75331588</v>
      </c>
      <c r="U988" s="224"/>
      <c r="V988" s="224"/>
      <c r="W988" s="224" t="s">
        <v>4832</v>
      </c>
      <c r="X988" s="224" t="s">
        <v>4355</v>
      </c>
    </row>
    <row r="989" spans="1:24" hidden="1" x14ac:dyDescent="0.25">
      <c r="A989" s="114" t="str">
        <f t="shared" si="47"/>
        <v>7731</v>
      </c>
      <c r="B989" s="224" t="s">
        <v>4417</v>
      </c>
      <c r="C989" s="224" t="s">
        <v>5565</v>
      </c>
      <c r="D989" s="224" t="s">
        <v>5564</v>
      </c>
      <c r="E989" s="224"/>
      <c r="F989" s="224"/>
      <c r="G989" s="224"/>
      <c r="H989" s="224"/>
      <c r="I989" s="224"/>
      <c r="J989" s="224"/>
      <c r="K989" s="224"/>
      <c r="L989" s="224"/>
      <c r="M989" s="224"/>
      <c r="N989" s="224"/>
      <c r="O989" s="224"/>
      <c r="P989" s="224"/>
      <c r="Q989" s="224"/>
      <c r="R989" s="224"/>
      <c r="S989" s="224"/>
      <c r="T989" s="225">
        <v>130.42998961999999</v>
      </c>
      <c r="U989" s="224"/>
      <c r="V989" s="224"/>
      <c r="W989" s="224" t="s">
        <v>4832</v>
      </c>
      <c r="X989" s="224" t="s">
        <v>4355</v>
      </c>
    </row>
    <row r="990" spans="1:24" hidden="1" x14ac:dyDescent="0.25">
      <c r="A990" s="114" t="str">
        <f t="shared" si="47"/>
        <v>7424</v>
      </c>
      <c r="B990" s="224" t="s">
        <v>4570</v>
      </c>
      <c r="C990" s="224" t="s">
        <v>660</v>
      </c>
      <c r="D990" s="224" t="s">
        <v>659</v>
      </c>
      <c r="E990" s="224"/>
      <c r="F990" s="224"/>
      <c r="G990" s="224"/>
      <c r="H990" s="224"/>
      <c r="I990" s="224"/>
      <c r="J990" s="224"/>
      <c r="K990" s="224"/>
      <c r="L990" s="224"/>
      <c r="M990" s="224"/>
      <c r="N990" s="224"/>
      <c r="O990" s="224"/>
      <c r="P990" s="224"/>
      <c r="Q990" s="224"/>
      <c r="R990" s="224"/>
      <c r="S990" s="224"/>
      <c r="T990" s="225">
        <v>61.731639360000003</v>
      </c>
      <c r="U990" s="224"/>
      <c r="V990" s="224"/>
      <c r="W990" s="224" t="s">
        <v>4832</v>
      </c>
      <c r="X990" s="224" t="s">
        <v>4355</v>
      </c>
    </row>
    <row r="991" spans="1:24" hidden="1" x14ac:dyDescent="0.25">
      <c r="A991" s="114" t="str">
        <f t="shared" si="47"/>
        <v>7060</v>
      </c>
      <c r="B991" s="224" t="s">
        <v>4412</v>
      </c>
      <c r="C991" s="224" t="s">
        <v>5963</v>
      </c>
      <c r="D991" s="224" t="s">
        <v>5962</v>
      </c>
      <c r="E991" s="224"/>
      <c r="F991" s="224"/>
      <c r="G991" s="224"/>
      <c r="H991" s="224"/>
      <c r="I991" s="224"/>
      <c r="J991" s="224"/>
      <c r="K991" s="224"/>
      <c r="L991" s="224"/>
      <c r="M991" s="224"/>
      <c r="N991" s="224"/>
      <c r="O991" s="224"/>
      <c r="P991" s="224"/>
      <c r="Q991" s="224"/>
      <c r="R991" s="224"/>
      <c r="S991" s="224"/>
      <c r="T991" s="225">
        <v>105.47879072000001</v>
      </c>
      <c r="U991" s="224"/>
      <c r="V991" s="224"/>
      <c r="W991" s="224" t="s">
        <v>4832</v>
      </c>
      <c r="X991" s="224" t="s">
        <v>4355</v>
      </c>
    </row>
    <row r="992" spans="1:24" hidden="1" x14ac:dyDescent="0.25">
      <c r="A992" s="114" t="str">
        <f t="shared" si="47"/>
        <v>7426</v>
      </c>
      <c r="B992" s="224" t="s">
        <v>4521</v>
      </c>
      <c r="C992" s="224" t="s">
        <v>5858</v>
      </c>
      <c r="D992" s="224" t="s">
        <v>5857</v>
      </c>
      <c r="E992" s="224"/>
      <c r="F992" s="224"/>
      <c r="G992" s="224"/>
      <c r="H992" s="224"/>
      <c r="I992" s="224"/>
      <c r="J992" s="224"/>
      <c r="K992" s="224"/>
      <c r="L992" s="224"/>
      <c r="M992" s="224"/>
      <c r="N992" s="224"/>
      <c r="O992" s="224"/>
      <c r="P992" s="224"/>
      <c r="Q992" s="224"/>
      <c r="R992" s="224"/>
      <c r="S992" s="224"/>
      <c r="T992" s="225">
        <v>10.65572682</v>
      </c>
      <c r="U992" s="224"/>
      <c r="V992" s="224"/>
      <c r="W992" s="224" t="s">
        <v>4832</v>
      </c>
      <c r="X992" s="224" t="s">
        <v>4355</v>
      </c>
    </row>
    <row r="993" spans="1:24" hidden="1" x14ac:dyDescent="0.25">
      <c r="A993" s="114" t="str">
        <f t="shared" si="47"/>
        <v>7060</v>
      </c>
      <c r="B993" s="224" t="s">
        <v>4412</v>
      </c>
      <c r="C993" s="224" t="s">
        <v>6436</v>
      </c>
      <c r="D993" s="224" t="s">
        <v>6435</v>
      </c>
      <c r="E993" s="224"/>
      <c r="F993" s="224"/>
      <c r="G993" s="224"/>
      <c r="H993" s="224"/>
      <c r="I993" s="224"/>
      <c r="J993" s="224"/>
      <c r="K993" s="224"/>
      <c r="L993" s="224"/>
      <c r="M993" s="224"/>
      <c r="N993" s="224"/>
      <c r="O993" s="224"/>
      <c r="P993" s="224"/>
      <c r="Q993" s="224"/>
      <c r="R993" s="224"/>
      <c r="S993" s="224"/>
      <c r="T993" s="225">
        <v>105.47879072000001</v>
      </c>
      <c r="U993" s="224"/>
      <c r="V993" s="224"/>
      <c r="W993" s="224" t="s">
        <v>4832</v>
      </c>
      <c r="X993" s="224" t="s">
        <v>4355</v>
      </c>
    </row>
    <row r="994" spans="1:24" hidden="1" x14ac:dyDescent="0.25">
      <c r="A994" s="114" t="str">
        <f t="shared" si="47"/>
        <v>7731</v>
      </c>
      <c r="B994" s="224" t="s">
        <v>4417</v>
      </c>
      <c r="C994" s="224" t="s">
        <v>5843</v>
      </c>
      <c r="D994" s="224" t="s">
        <v>5844</v>
      </c>
      <c r="E994" s="224"/>
      <c r="F994" s="224"/>
      <c r="G994" s="224"/>
      <c r="H994" s="224"/>
      <c r="I994" s="224"/>
      <c r="J994" s="224"/>
      <c r="K994" s="224"/>
      <c r="L994" s="224"/>
      <c r="M994" s="224"/>
      <c r="N994" s="224"/>
      <c r="O994" s="224"/>
      <c r="P994" s="224"/>
      <c r="Q994" s="224"/>
      <c r="R994" s="224"/>
      <c r="S994" s="224"/>
      <c r="T994" s="225">
        <v>130.42998961999999</v>
      </c>
      <c r="U994" s="224"/>
      <c r="V994" s="224"/>
      <c r="W994" s="224" t="s">
        <v>4832</v>
      </c>
      <c r="X994" s="224" t="s">
        <v>4355</v>
      </c>
    </row>
    <row r="995" spans="1:24" hidden="1" x14ac:dyDescent="0.25">
      <c r="A995" s="114" t="str">
        <f t="shared" si="47"/>
        <v>7430</v>
      </c>
      <c r="B995" s="224" t="s">
        <v>4601</v>
      </c>
      <c r="C995" s="224" t="s">
        <v>663</v>
      </c>
      <c r="D995" s="224" t="s">
        <v>662</v>
      </c>
      <c r="E995" s="224"/>
      <c r="F995" s="224"/>
      <c r="G995" s="224"/>
      <c r="H995" s="224"/>
      <c r="I995" s="224"/>
      <c r="J995" s="224"/>
      <c r="K995" s="224"/>
      <c r="L995" s="224"/>
      <c r="M995" s="224"/>
      <c r="N995" s="224"/>
      <c r="O995" s="224"/>
      <c r="P995" s="224"/>
      <c r="Q995" s="224"/>
      <c r="R995" s="224"/>
      <c r="S995" s="224"/>
      <c r="T995" s="225">
        <v>105.37258032</v>
      </c>
      <c r="U995" s="224"/>
      <c r="V995" s="224"/>
      <c r="W995" s="224" t="s">
        <v>4832</v>
      </c>
      <c r="X995" s="224" t="s">
        <v>4355</v>
      </c>
    </row>
    <row r="996" spans="1:24" hidden="1" x14ac:dyDescent="0.25">
      <c r="A996" s="114" t="str">
        <f t="shared" si="47"/>
        <v>7141</v>
      </c>
      <c r="B996" s="222" t="s">
        <v>4398</v>
      </c>
      <c r="C996" s="222" t="s">
        <v>534</v>
      </c>
      <c r="D996" s="222" t="s">
        <v>534</v>
      </c>
      <c r="E996" s="222"/>
      <c r="F996" s="222"/>
      <c r="G996" s="222"/>
      <c r="H996" s="222"/>
      <c r="I996" s="222"/>
      <c r="J996" s="222"/>
      <c r="K996" s="222"/>
      <c r="L996" s="222"/>
      <c r="M996" s="222"/>
      <c r="N996" s="222"/>
      <c r="O996" s="222"/>
      <c r="P996" s="222"/>
      <c r="Q996" s="222"/>
      <c r="R996" s="222"/>
      <c r="S996" s="222"/>
      <c r="T996" s="223">
        <v>31.33247536</v>
      </c>
      <c r="U996" s="222"/>
      <c r="V996" s="222"/>
      <c r="W996" s="222" t="s">
        <v>4832</v>
      </c>
      <c r="X996" s="222" t="s">
        <v>5550</v>
      </c>
    </row>
    <row r="997" spans="1:24" hidden="1" x14ac:dyDescent="0.25">
      <c r="A997" s="114" t="str">
        <f t="shared" si="47"/>
        <v>1114</v>
      </c>
      <c r="B997" s="222" t="s">
        <v>4399</v>
      </c>
      <c r="C997" s="222" t="s">
        <v>552</v>
      </c>
      <c r="D997" s="222" t="s">
        <v>551</v>
      </c>
      <c r="E997" s="222"/>
      <c r="F997" s="222"/>
      <c r="G997" s="222"/>
      <c r="H997" s="222"/>
      <c r="I997" s="222"/>
      <c r="J997" s="222"/>
      <c r="K997" s="222"/>
      <c r="L997" s="222"/>
      <c r="M997" s="222"/>
      <c r="N997" s="222"/>
      <c r="O997" s="222"/>
      <c r="P997" s="222"/>
      <c r="Q997" s="222"/>
      <c r="R997" s="222"/>
      <c r="S997" s="222"/>
      <c r="T997" s="223">
        <v>31.33247536</v>
      </c>
      <c r="U997" s="222"/>
      <c r="V997" s="222"/>
      <c r="W997" s="222" t="s">
        <v>4832</v>
      </c>
      <c r="X997" s="222" t="s">
        <v>5550</v>
      </c>
    </row>
    <row r="998" spans="1:24" hidden="1" x14ac:dyDescent="0.25">
      <c r="A998" s="114" t="str">
        <f t="shared" si="47"/>
        <v>1114</v>
      </c>
      <c r="B998" s="222" t="s">
        <v>4400</v>
      </c>
      <c r="C998" s="222" t="s">
        <v>550</v>
      </c>
      <c r="D998" s="222" t="s">
        <v>549</v>
      </c>
      <c r="E998" s="222"/>
      <c r="F998" s="222"/>
      <c r="G998" s="222"/>
      <c r="H998" s="222"/>
      <c r="I998" s="222"/>
      <c r="J998" s="222"/>
      <c r="K998" s="222"/>
      <c r="L998" s="222"/>
      <c r="M998" s="222"/>
      <c r="N998" s="222"/>
      <c r="O998" s="222"/>
      <c r="P998" s="222"/>
      <c r="Q998" s="222"/>
      <c r="R998" s="222"/>
      <c r="S998" s="222"/>
      <c r="T998" s="223">
        <v>31.33247536</v>
      </c>
      <c r="U998" s="222"/>
      <c r="V998" s="222"/>
      <c r="W998" s="222" t="s">
        <v>4832</v>
      </c>
      <c r="X998" s="222" t="s">
        <v>5550</v>
      </c>
    </row>
    <row r="999" spans="1:24" hidden="1" x14ac:dyDescent="0.25">
      <c r="A999" s="114" t="str">
        <f t="shared" si="47"/>
        <v>1118</v>
      </c>
      <c r="B999" s="222" t="s">
        <v>4409</v>
      </c>
      <c r="C999" s="222" t="s">
        <v>554</v>
      </c>
      <c r="D999" s="222" t="s">
        <v>553</v>
      </c>
      <c r="E999" s="222"/>
      <c r="F999" s="222"/>
      <c r="G999" s="222"/>
      <c r="H999" s="222"/>
      <c r="I999" s="222"/>
      <c r="J999" s="222"/>
      <c r="K999" s="222"/>
      <c r="L999" s="222"/>
      <c r="M999" s="222"/>
      <c r="N999" s="222"/>
      <c r="O999" s="222"/>
      <c r="P999" s="222"/>
      <c r="Q999" s="222"/>
      <c r="R999" s="222"/>
      <c r="S999" s="222"/>
      <c r="T999" s="223">
        <v>31.33247536</v>
      </c>
      <c r="U999" s="222"/>
      <c r="V999" s="222"/>
      <c r="W999" s="222" t="s">
        <v>4832</v>
      </c>
      <c r="X999" s="222" t="s">
        <v>5550</v>
      </c>
    </row>
    <row r="1000" spans="1:24" hidden="1" x14ac:dyDescent="0.25">
      <c r="A1000" s="114" t="str">
        <f t="shared" si="47"/>
        <v>1130</v>
      </c>
      <c r="B1000" s="222" t="s">
        <v>4395</v>
      </c>
      <c r="C1000" s="222" t="s">
        <v>557</v>
      </c>
      <c r="D1000" s="222" t="s">
        <v>556</v>
      </c>
      <c r="E1000" s="222"/>
      <c r="F1000" s="222"/>
      <c r="G1000" s="222"/>
      <c r="H1000" s="222"/>
      <c r="I1000" s="222"/>
      <c r="J1000" s="222"/>
      <c r="K1000" s="222"/>
      <c r="L1000" s="222"/>
      <c r="M1000" s="222"/>
      <c r="N1000" s="222"/>
      <c r="O1000" s="222"/>
      <c r="P1000" s="222"/>
      <c r="Q1000" s="222"/>
      <c r="R1000" s="222"/>
      <c r="S1000" s="222"/>
      <c r="T1000" s="223">
        <v>31.33247536</v>
      </c>
      <c r="U1000" s="222"/>
      <c r="V1000" s="222"/>
      <c r="W1000" s="222" t="s">
        <v>4832</v>
      </c>
      <c r="X1000" s="222" t="s">
        <v>5550</v>
      </c>
    </row>
    <row r="1001" spans="1:24" hidden="1" x14ac:dyDescent="0.25">
      <c r="A1001" s="114" t="str">
        <f t="shared" si="47"/>
        <v>1104</v>
      </c>
      <c r="B1001" s="222" t="s">
        <v>4393</v>
      </c>
      <c r="C1001" s="222" t="s">
        <v>560</v>
      </c>
      <c r="D1001" s="222" t="s">
        <v>559</v>
      </c>
      <c r="E1001" s="222"/>
      <c r="F1001" s="222"/>
      <c r="G1001" s="222"/>
      <c r="H1001" s="222"/>
      <c r="I1001" s="222"/>
      <c r="J1001" s="222"/>
      <c r="K1001" s="222"/>
      <c r="L1001" s="222"/>
      <c r="M1001" s="222"/>
      <c r="N1001" s="222"/>
      <c r="O1001" s="222"/>
      <c r="P1001" s="222"/>
      <c r="Q1001" s="222"/>
      <c r="R1001" s="222"/>
      <c r="S1001" s="222"/>
      <c r="T1001" s="223">
        <v>31.33247536</v>
      </c>
      <c r="U1001" s="222"/>
      <c r="V1001" s="222"/>
      <c r="W1001" s="222" t="s">
        <v>4832</v>
      </c>
      <c r="X1001" s="222" t="s">
        <v>5550</v>
      </c>
    </row>
    <row r="1002" spans="1:24" hidden="1" x14ac:dyDescent="0.25">
      <c r="A1002" s="114" t="str">
        <f t="shared" si="47"/>
        <v>1104</v>
      </c>
      <c r="B1002" s="222" t="s">
        <v>4406</v>
      </c>
      <c r="C1002" s="222" t="s">
        <v>563</v>
      </c>
      <c r="D1002" s="222" t="s">
        <v>562</v>
      </c>
      <c r="E1002" s="222"/>
      <c r="F1002" s="222"/>
      <c r="G1002" s="222"/>
      <c r="H1002" s="222"/>
      <c r="I1002" s="222"/>
      <c r="J1002" s="222"/>
      <c r="K1002" s="222"/>
      <c r="L1002" s="222"/>
      <c r="M1002" s="222"/>
      <c r="N1002" s="222"/>
      <c r="O1002" s="222"/>
      <c r="P1002" s="222"/>
      <c r="Q1002" s="222"/>
      <c r="R1002" s="222"/>
      <c r="S1002" s="222"/>
      <c r="T1002" s="223">
        <v>31.33247536</v>
      </c>
      <c r="U1002" s="222"/>
      <c r="V1002" s="222"/>
      <c r="W1002" s="222" t="s">
        <v>4832</v>
      </c>
      <c r="X1002" s="222" t="s">
        <v>5550</v>
      </c>
    </row>
    <row r="1003" spans="1:24" hidden="1" x14ac:dyDescent="0.25">
      <c r="A1003" s="114" t="str">
        <f t="shared" si="47"/>
        <v>1104</v>
      </c>
      <c r="B1003" s="222" t="s">
        <v>4392</v>
      </c>
      <c r="C1003" s="222" t="s">
        <v>565</v>
      </c>
      <c r="D1003" s="222" t="s">
        <v>564</v>
      </c>
      <c r="E1003" s="222"/>
      <c r="F1003" s="222"/>
      <c r="G1003" s="222"/>
      <c r="H1003" s="222"/>
      <c r="I1003" s="222"/>
      <c r="J1003" s="222"/>
      <c r="K1003" s="222"/>
      <c r="L1003" s="222"/>
      <c r="M1003" s="222"/>
      <c r="N1003" s="222"/>
      <c r="O1003" s="222"/>
      <c r="P1003" s="222"/>
      <c r="Q1003" s="222"/>
      <c r="R1003" s="222"/>
      <c r="S1003" s="222"/>
      <c r="T1003" s="223">
        <v>31.33247536</v>
      </c>
      <c r="U1003" s="222"/>
      <c r="V1003" s="222"/>
      <c r="W1003" s="222" t="s">
        <v>4832</v>
      </c>
      <c r="X1003" s="222" t="s">
        <v>5550</v>
      </c>
    </row>
    <row r="1004" spans="1:24" hidden="1" x14ac:dyDescent="0.25">
      <c r="A1004" s="114" t="str">
        <f t="shared" si="47"/>
        <v>1102</v>
      </c>
      <c r="B1004" s="222" t="s">
        <v>4405</v>
      </c>
      <c r="C1004" s="222" t="s">
        <v>567</v>
      </c>
      <c r="D1004" s="222" t="s">
        <v>566</v>
      </c>
      <c r="E1004" s="222"/>
      <c r="F1004" s="222"/>
      <c r="G1004" s="222"/>
      <c r="H1004" s="222"/>
      <c r="I1004" s="222"/>
      <c r="J1004" s="222"/>
      <c r="K1004" s="222"/>
      <c r="L1004" s="222"/>
      <c r="M1004" s="222"/>
      <c r="N1004" s="222"/>
      <c r="O1004" s="222"/>
      <c r="P1004" s="222"/>
      <c r="Q1004" s="222"/>
      <c r="R1004" s="222"/>
      <c r="S1004" s="222"/>
      <c r="T1004" s="223">
        <v>31.33247536</v>
      </c>
      <c r="U1004" s="222"/>
      <c r="V1004" s="222"/>
      <c r="W1004" s="222" t="s">
        <v>4832</v>
      </c>
      <c r="X1004" s="222" t="s">
        <v>5550</v>
      </c>
    </row>
    <row r="1005" spans="1:24" hidden="1" x14ac:dyDescent="0.25">
      <c r="A1005" s="114" t="str">
        <f t="shared" si="47"/>
        <v>1101</v>
      </c>
      <c r="B1005" s="222" t="s">
        <v>4404</v>
      </c>
      <c r="C1005" s="222" t="s">
        <v>569</v>
      </c>
      <c r="D1005" s="222" t="s">
        <v>568</v>
      </c>
      <c r="E1005" s="222"/>
      <c r="F1005" s="222"/>
      <c r="G1005" s="222"/>
      <c r="H1005" s="222"/>
      <c r="I1005" s="222"/>
      <c r="J1005" s="222"/>
      <c r="K1005" s="222"/>
      <c r="L1005" s="222"/>
      <c r="M1005" s="222"/>
      <c r="N1005" s="222"/>
      <c r="O1005" s="222"/>
      <c r="P1005" s="222"/>
      <c r="Q1005" s="222"/>
      <c r="R1005" s="222"/>
      <c r="S1005" s="222"/>
      <c r="T1005" s="223">
        <v>31.33247536</v>
      </c>
      <c r="U1005" s="222"/>
      <c r="V1005" s="222"/>
      <c r="W1005" s="222" t="s">
        <v>4832</v>
      </c>
      <c r="X1005" s="222" t="s">
        <v>5550</v>
      </c>
    </row>
    <row r="1006" spans="1:24" hidden="1" x14ac:dyDescent="0.25">
      <c r="A1006" s="114" t="str">
        <f t="shared" si="47"/>
        <v>1107</v>
      </c>
      <c r="B1006" s="222" t="s">
        <v>4402</v>
      </c>
      <c r="C1006" s="222" t="s">
        <v>572</v>
      </c>
      <c r="D1006" s="222" t="s">
        <v>571</v>
      </c>
      <c r="E1006" s="222"/>
      <c r="F1006" s="222"/>
      <c r="G1006" s="222"/>
      <c r="H1006" s="222"/>
      <c r="I1006" s="222"/>
      <c r="J1006" s="222"/>
      <c r="K1006" s="222"/>
      <c r="L1006" s="222"/>
      <c r="M1006" s="222"/>
      <c r="N1006" s="222"/>
      <c r="O1006" s="222"/>
      <c r="P1006" s="222"/>
      <c r="Q1006" s="222"/>
      <c r="R1006" s="222"/>
      <c r="S1006" s="222"/>
      <c r="T1006" s="223">
        <v>31.33247536</v>
      </c>
      <c r="U1006" s="222"/>
      <c r="V1006" s="222"/>
      <c r="W1006" s="222" t="s">
        <v>4832</v>
      </c>
      <c r="X1006" s="222" t="s">
        <v>5550</v>
      </c>
    </row>
    <row r="1007" spans="1:24" hidden="1" x14ac:dyDescent="0.25">
      <c r="A1007" s="114" t="str">
        <f t="shared" si="47"/>
        <v>1107</v>
      </c>
      <c r="B1007" s="222" t="s">
        <v>4403</v>
      </c>
      <c r="C1007" s="222" t="s">
        <v>575</v>
      </c>
      <c r="D1007" s="222" t="s">
        <v>574</v>
      </c>
      <c r="E1007" s="222"/>
      <c r="F1007" s="222"/>
      <c r="G1007" s="222"/>
      <c r="H1007" s="222"/>
      <c r="I1007" s="222"/>
      <c r="J1007" s="222"/>
      <c r="K1007" s="222"/>
      <c r="L1007" s="222"/>
      <c r="M1007" s="222"/>
      <c r="N1007" s="222"/>
      <c r="O1007" s="222"/>
      <c r="P1007" s="222"/>
      <c r="Q1007" s="222"/>
      <c r="R1007" s="222"/>
      <c r="S1007" s="222"/>
      <c r="T1007" s="223">
        <v>31.33247536</v>
      </c>
      <c r="U1007" s="222"/>
      <c r="V1007" s="222"/>
      <c r="W1007" s="222" t="s">
        <v>4832</v>
      </c>
      <c r="X1007" s="222" t="s">
        <v>5550</v>
      </c>
    </row>
    <row r="1008" spans="1:24" hidden="1" x14ac:dyDescent="0.25">
      <c r="A1008" s="114" t="str">
        <f t="shared" si="47"/>
        <v>1115</v>
      </c>
      <c r="B1008" s="222" t="s">
        <v>4401</v>
      </c>
      <c r="C1008" s="222" t="s">
        <v>577</v>
      </c>
      <c r="D1008" s="222" t="s">
        <v>576</v>
      </c>
      <c r="E1008" s="222"/>
      <c r="F1008" s="222"/>
      <c r="G1008" s="222"/>
      <c r="H1008" s="222"/>
      <c r="I1008" s="222"/>
      <c r="J1008" s="222"/>
      <c r="K1008" s="222"/>
      <c r="L1008" s="222"/>
      <c r="M1008" s="222"/>
      <c r="N1008" s="222"/>
      <c r="O1008" s="222"/>
      <c r="P1008" s="222"/>
      <c r="Q1008" s="222"/>
      <c r="R1008" s="222"/>
      <c r="S1008" s="222"/>
      <c r="T1008" s="223">
        <v>31.33247536</v>
      </c>
      <c r="U1008" s="222"/>
      <c r="V1008" s="222"/>
      <c r="W1008" s="222" t="s">
        <v>4832</v>
      </c>
      <c r="X1008" s="222" t="s">
        <v>5550</v>
      </c>
    </row>
    <row r="1009" spans="1:24" hidden="1" x14ac:dyDescent="0.25">
      <c r="A1009" s="114" t="str">
        <f t="shared" si="47"/>
        <v>1110</v>
      </c>
      <c r="B1009" s="222" t="s">
        <v>4408</v>
      </c>
      <c r="C1009" s="222" t="s">
        <v>583</v>
      </c>
      <c r="D1009" s="222" t="s">
        <v>582</v>
      </c>
      <c r="E1009" s="222"/>
      <c r="F1009" s="222"/>
      <c r="G1009" s="222"/>
      <c r="H1009" s="222"/>
      <c r="I1009" s="222"/>
      <c r="J1009" s="222"/>
      <c r="K1009" s="222"/>
      <c r="L1009" s="222"/>
      <c r="M1009" s="222"/>
      <c r="N1009" s="222"/>
      <c r="O1009" s="222"/>
      <c r="P1009" s="222"/>
      <c r="Q1009" s="222"/>
      <c r="R1009" s="222"/>
      <c r="S1009" s="222"/>
      <c r="T1009" s="223">
        <v>31.33247536</v>
      </c>
      <c r="U1009" s="222"/>
      <c r="V1009" s="222"/>
      <c r="W1009" s="222" t="s">
        <v>4832</v>
      </c>
      <c r="X1009" s="222" t="s">
        <v>5550</v>
      </c>
    </row>
    <row r="1010" spans="1:24" hidden="1" x14ac:dyDescent="0.25">
      <c r="A1010" s="114" t="str">
        <f t="shared" si="47"/>
        <v>1110</v>
      </c>
      <c r="B1010" s="222" t="s">
        <v>4407</v>
      </c>
      <c r="C1010" s="222" t="s">
        <v>581</v>
      </c>
      <c r="D1010" s="222" t="s">
        <v>580</v>
      </c>
      <c r="E1010" s="222"/>
      <c r="F1010" s="222"/>
      <c r="G1010" s="222"/>
      <c r="H1010" s="222"/>
      <c r="I1010" s="222"/>
      <c r="J1010" s="222"/>
      <c r="K1010" s="222"/>
      <c r="L1010" s="222"/>
      <c r="M1010" s="222"/>
      <c r="N1010" s="222"/>
      <c r="O1010" s="222"/>
      <c r="P1010" s="222"/>
      <c r="Q1010" s="222"/>
      <c r="R1010" s="222"/>
      <c r="S1010" s="222"/>
      <c r="T1010" s="223">
        <v>31.33247536</v>
      </c>
      <c r="U1010" s="222"/>
      <c r="V1010" s="222"/>
      <c r="W1010" s="222" t="s">
        <v>4832</v>
      </c>
      <c r="X1010" s="222" t="s">
        <v>5550</v>
      </c>
    </row>
    <row r="1011" spans="1:24" hidden="1" x14ac:dyDescent="0.25">
      <c r="A1011" s="114" t="str">
        <f t="shared" si="47"/>
        <v>1105</v>
      </c>
      <c r="B1011" s="222" t="s">
        <v>4394</v>
      </c>
      <c r="C1011" s="222" t="s">
        <v>585</v>
      </c>
      <c r="D1011" s="222" t="s">
        <v>584</v>
      </c>
      <c r="E1011" s="222"/>
      <c r="F1011" s="222"/>
      <c r="G1011" s="222"/>
      <c r="H1011" s="222"/>
      <c r="I1011" s="222"/>
      <c r="J1011" s="222"/>
      <c r="K1011" s="222"/>
      <c r="L1011" s="222"/>
      <c r="M1011" s="222"/>
      <c r="N1011" s="222"/>
      <c r="O1011" s="222"/>
      <c r="P1011" s="222"/>
      <c r="Q1011" s="222"/>
      <c r="R1011" s="222"/>
      <c r="S1011" s="222"/>
      <c r="T1011" s="223">
        <v>31.33247536</v>
      </c>
      <c r="U1011" s="222"/>
      <c r="V1011" s="222"/>
      <c r="W1011" s="222" t="s">
        <v>4832</v>
      </c>
      <c r="X1011" s="222" t="s">
        <v>5550</v>
      </c>
    </row>
    <row r="1012" spans="1:24" hidden="1" x14ac:dyDescent="0.25">
      <c r="A1012" s="114" t="str">
        <f t="shared" si="47"/>
        <v>5847</v>
      </c>
      <c r="B1012" s="222" t="s">
        <v>4389</v>
      </c>
      <c r="C1012" s="222" t="s">
        <v>729</v>
      </c>
      <c r="D1012" s="222" t="s">
        <v>729</v>
      </c>
      <c r="E1012" s="222"/>
      <c r="F1012" s="222"/>
      <c r="G1012" s="222"/>
      <c r="H1012" s="222"/>
      <c r="I1012" s="222"/>
      <c r="J1012" s="222"/>
      <c r="K1012" s="222"/>
      <c r="L1012" s="222"/>
      <c r="M1012" s="222"/>
      <c r="N1012" s="222"/>
      <c r="O1012" s="222"/>
      <c r="P1012" s="222"/>
      <c r="Q1012" s="222"/>
      <c r="R1012" s="222"/>
      <c r="S1012" s="222"/>
      <c r="T1012" s="223">
        <v>39.508152340000002</v>
      </c>
      <c r="U1012" s="222"/>
      <c r="V1012" s="222"/>
      <c r="W1012" s="222" t="s">
        <v>4832</v>
      </c>
      <c r="X1012" s="222" t="s">
        <v>5550</v>
      </c>
    </row>
    <row r="1013" spans="1:24" hidden="1" x14ac:dyDescent="0.25">
      <c r="A1013" s="114" t="str">
        <f t="shared" si="47"/>
        <v>7086</v>
      </c>
      <c r="B1013" s="222" t="s">
        <v>4368</v>
      </c>
      <c r="C1013" s="222" t="s">
        <v>732</v>
      </c>
      <c r="D1013" s="222" t="s">
        <v>731</v>
      </c>
      <c r="E1013" s="222"/>
      <c r="F1013" s="222"/>
      <c r="G1013" s="222"/>
      <c r="H1013" s="222"/>
      <c r="I1013" s="222"/>
      <c r="J1013" s="222"/>
      <c r="K1013" s="222"/>
      <c r="L1013" s="222"/>
      <c r="M1013" s="222"/>
      <c r="N1013" s="222"/>
      <c r="O1013" s="222"/>
      <c r="P1013" s="222"/>
      <c r="Q1013" s="222"/>
      <c r="R1013" s="222"/>
      <c r="S1013" s="222"/>
      <c r="T1013" s="223">
        <v>39.508152340000002</v>
      </c>
      <c r="U1013" s="222"/>
      <c r="V1013" s="222"/>
      <c r="W1013" s="222" t="s">
        <v>4832</v>
      </c>
      <c r="X1013" s="222" t="s">
        <v>5550</v>
      </c>
    </row>
    <row r="1014" spans="1:24" hidden="1" x14ac:dyDescent="0.25">
      <c r="A1014" s="114" t="str">
        <f t="shared" si="47"/>
        <v>7090</v>
      </c>
      <c r="B1014" s="222" t="s">
        <v>4369</v>
      </c>
      <c r="C1014" s="222" t="s">
        <v>736</v>
      </c>
      <c r="D1014" s="222" t="s">
        <v>735</v>
      </c>
      <c r="E1014" s="222"/>
      <c r="F1014" s="222"/>
      <c r="G1014" s="222"/>
      <c r="H1014" s="222"/>
      <c r="I1014" s="222"/>
      <c r="J1014" s="222"/>
      <c r="K1014" s="222"/>
      <c r="L1014" s="222"/>
      <c r="M1014" s="222"/>
      <c r="N1014" s="222"/>
      <c r="O1014" s="222"/>
      <c r="P1014" s="222"/>
      <c r="Q1014" s="222"/>
      <c r="R1014" s="222"/>
      <c r="S1014" s="222"/>
      <c r="T1014" s="223">
        <v>22.706096800000001</v>
      </c>
      <c r="U1014" s="222"/>
      <c r="V1014" s="222"/>
      <c r="W1014" s="222" t="s">
        <v>4832</v>
      </c>
      <c r="X1014" s="222" t="s">
        <v>5550</v>
      </c>
    </row>
    <row r="1015" spans="1:24" hidden="1" x14ac:dyDescent="0.25">
      <c r="A1015" s="114" t="str">
        <f t="shared" si="47"/>
        <v>7107</v>
      </c>
      <c r="B1015" s="222" t="s">
        <v>4362</v>
      </c>
      <c r="C1015" s="222" t="s">
        <v>740</v>
      </c>
      <c r="D1015" s="222" t="s">
        <v>739</v>
      </c>
      <c r="E1015" s="222"/>
      <c r="F1015" s="222"/>
      <c r="G1015" s="222"/>
      <c r="H1015" s="222"/>
      <c r="I1015" s="222"/>
      <c r="J1015" s="222"/>
      <c r="K1015" s="222"/>
      <c r="L1015" s="222"/>
      <c r="M1015" s="222"/>
      <c r="N1015" s="222"/>
      <c r="O1015" s="222"/>
      <c r="P1015" s="222"/>
      <c r="Q1015" s="222"/>
      <c r="R1015" s="222"/>
      <c r="S1015" s="222"/>
      <c r="T1015" s="223">
        <v>122.2271635</v>
      </c>
      <c r="U1015" s="222"/>
      <c r="V1015" s="222"/>
      <c r="W1015" s="222" t="s">
        <v>4832</v>
      </c>
      <c r="X1015" s="222" t="s">
        <v>5550</v>
      </c>
    </row>
    <row r="1016" spans="1:24" hidden="1" x14ac:dyDescent="0.25">
      <c r="A1016" s="114" t="str">
        <f t="shared" si="47"/>
        <v>7124</v>
      </c>
      <c r="B1016" s="222" t="s">
        <v>4367</v>
      </c>
      <c r="C1016" s="222" t="s">
        <v>742</v>
      </c>
      <c r="D1016" s="222" t="s">
        <v>741</v>
      </c>
      <c r="E1016" s="222"/>
      <c r="F1016" s="222"/>
      <c r="G1016" s="222"/>
      <c r="H1016" s="222"/>
      <c r="I1016" s="222"/>
      <c r="J1016" s="222"/>
      <c r="K1016" s="222"/>
      <c r="L1016" s="222"/>
      <c r="M1016" s="222"/>
      <c r="N1016" s="222"/>
      <c r="O1016" s="222"/>
      <c r="P1016" s="222"/>
      <c r="Q1016" s="222"/>
      <c r="R1016" s="222"/>
      <c r="S1016" s="222"/>
      <c r="T1016" s="223">
        <v>39.508152340000002</v>
      </c>
      <c r="U1016" s="222"/>
      <c r="V1016" s="222"/>
      <c r="W1016" s="222" t="s">
        <v>4832</v>
      </c>
      <c r="X1016" s="222" t="s">
        <v>5550</v>
      </c>
    </row>
    <row r="1017" spans="1:24" hidden="1" x14ac:dyDescent="0.25">
      <c r="A1017" s="114" t="str">
        <f t="shared" si="47"/>
        <v>7126</v>
      </c>
      <c r="B1017" s="222" t="s">
        <v>4397</v>
      </c>
      <c r="C1017" s="222" t="s">
        <v>745</v>
      </c>
      <c r="D1017" s="222" t="s">
        <v>744</v>
      </c>
      <c r="E1017" s="222"/>
      <c r="F1017" s="222"/>
      <c r="G1017" s="222"/>
      <c r="H1017" s="222"/>
      <c r="I1017" s="222"/>
      <c r="J1017" s="222"/>
      <c r="K1017" s="222"/>
      <c r="L1017" s="222"/>
      <c r="M1017" s="222"/>
      <c r="N1017" s="222"/>
      <c r="O1017" s="222"/>
      <c r="P1017" s="222"/>
      <c r="Q1017" s="222"/>
      <c r="R1017" s="222"/>
      <c r="S1017" s="222"/>
      <c r="T1017" s="223">
        <v>39.508152340000002</v>
      </c>
      <c r="U1017" s="222"/>
      <c r="V1017" s="222"/>
      <c r="W1017" s="222" t="s">
        <v>4832</v>
      </c>
      <c r="X1017" s="222" t="s">
        <v>5550</v>
      </c>
    </row>
    <row r="1018" spans="1:24" hidden="1" x14ac:dyDescent="0.25">
      <c r="A1018" s="114" t="str">
        <f t="shared" si="47"/>
        <v>7133</v>
      </c>
      <c r="B1018" s="222" t="s">
        <v>4382</v>
      </c>
      <c r="C1018" s="222" t="s">
        <v>749</v>
      </c>
      <c r="D1018" s="222" t="s">
        <v>748</v>
      </c>
      <c r="E1018" s="222"/>
      <c r="F1018" s="222"/>
      <c r="G1018" s="222"/>
      <c r="H1018" s="222"/>
      <c r="I1018" s="222"/>
      <c r="J1018" s="222"/>
      <c r="K1018" s="222"/>
      <c r="L1018" s="222"/>
      <c r="M1018" s="222"/>
      <c r="N1018" s="222"/>
      <c r="O1018" s="222"/>
      <c r="P1018" s="222"/>
      <c r="Q1018" s="222"/>
      <c r="R1018" s="222"/>
      <c r="S1018" s="222"/>
      <c r="T1018" s="223">
        <v>39.508152340000002</v>
      </c>
      <c r="U1018" s="222"/>
      <c r="V1018" s="222"/>
      <c r="W1018" s="222" t="s">
        <v>4832</v>
      </c>
      <c r="X1018" s="222" t="s">
        <v>5550</v>
      </c>
    </row>
    <row r="1019" spans="1:24" hidden="1" x14ac:dyDescent="0.25">
      <c r="A1019" s="114" t="str">
        <f t="shared" si="47"/>
        <v>7136</v>
      </c>
      <c r="B1019" s="222" t="s">
        <v>4384</v>
      </c>
      <c r="C1019" s="222" t="s">
        <v>752</v>
      </c>
      <c r="D1019" s="222" t="s">
        <v>752</v>
      </c>
      <c r="E1019" s="222"/>
      <c r="F1019" s="222"/>
      <c r="G1019" s="222"/>
      <c r="H1019" s="222"/>
      <c r="I1019" s="222"/>
      <c r="J1019" s="222"/>
      <c r="K1019" s="222"/>
      <c r="L1019" s="222"/>
      <c r="M1019" s="222"/>
      <c r="N1019" s="222"/>
      <c r="O1019" s="222"/>
      <c r="P1019" s="222"/>
      <c r="Q1019" s="222"/>
      <c r="R1019" s="222"/>
      <c r="S1019" s="222"/>
      <c r="T1019" s="223">
        <v>39.508152340000002</v>
      </c>
      <c r="U1019" s="222"/>
      <c r="V1019" s="222"/>
      <c r="W1019" s="222" t="s">
        <v>4832</v>
      </c>
      <c r="X1019" s="222" t="s">
        <v>5550</v>
      </c>
    </row>
    <row r="1020" spans="1:24" hidden="1" x14ac:dyDescent="0.25">
      <c r="A1020" s="114" t="str">
        <f t="shared" si="47"/>
        <v>7148</v>
      </c>
      <c r="B1020" s="222" t="s">
        <v>4370</v>
      </c>
      <c r="C1020" s="222" t="s">
        <v>755</v>
      </c>
      <c r="D1020" s="222" t="s">
        <v>754</v>
      </c>
      <c r="E1020" s="222"/>
      <c r="F1020" s="222"/>
      <c r="G1020" s="222"/>
      <c r="H1020" s="222"/>
      <c r="I1020" s="222"/>
      <c r="J1020" s="222"/>
      <c r="K1020" s="222"/>
      <c r="L1020" s="222"/>
      <c r="M1020" s="222"/>
      <c r="N1020" s="222"/>
      <c r="O1020" s="222"/>
      <c r="P1020" s="222"/>
      <c r="Q1020" s="222"/>
      <c r="R1020" s="222"/>
      <c r="S1020" s="222"/>
      <c r="T1020" s="223">
        <v>39.508152340000002</v>
      </c>
      <c r="U1020" s="222"/>
      <c r="V1020" s="222"/>
      <c r="W1020" s="222" t="s">
        <v>4832</v>
      </c>
      <c r="X1020" s="222" t="s">
        <v>5550</v>
      </c>
    </row>
    <row r="1021" spans="1:24" hidden="1" x14ac:dyDescent="0.25">
      <c r="A1021" s="114" t="str">
        <f t="shared" si="47"/>
        <v>7284</v>
      </c>
      <c r="B1021" s="222" t="s">
        <v>4385</v>
      </c>
      <c r="C1021" s="222" t="s">
        <v>758</v>
      </c>
      <c r="D1021" s="222" t="s">
        <v>758</v>
      </c>
      <c r="E1021" s="222"/>
      <c r="F1021" s="222"/>
      <c r="G1021" s="222"/>
      <c r="H1021" s="222"/>
      <c r="I1021" s="222"/>
      <c r="J1021" s="222"/>
      <c r="K1021" s="222"/>
      <c r="L1021" s="222"/>
      <c r="M1021" s="222"/>
      <c r="N1021" s="222"/>
      <c r="O1021" s="222"/>
      <c r="P1021" s="222"/>
      <c r="Q1021" s="222"/>
      <c r="R1021" s="222"/>
      <c r="S1021" s="222"/>
      <c r="T1021" s="223">
        <v>39.508152340000002</v>
      </c>
      <c r="U1021" s="222"/>
      <c r="V1021" s="222"/>
      <c r="W1021" s="222" t="s">
        <v>4832</v>
      </c>
      <c r="X1021" s="222" t="s">
        <v>5550</v>
      </c>
    </row>
    <row r="1022" spans="1:24" hidden="1" x14ac:dyDescent="0.25">
      <c r="A1022" s="114" t="str">
        <f t="shared" si="47"/>
        <v>7338</v>
      </c>
      <c r="B1022" s="222" t="s">
        <v>4363</v>
      </c>
      <c r="C1022" s="222" t="s">
        <v>762</v>
      </c>
      <c r="D1022" s="222" t="s">
        <v>761</v>
      </c>
      <c r="E1022" s="222"/>
      <c r="F1022" s="222"/>
      <c r="G1022" s="222"/>
      <c r="H1022" s="222"/>
      <c r="I1022" s="222"/>
      <c r="J1022" s="222"/>
      <c r="K1022" s="222"/>
      <c r="L1022" s="222"/>
      <c r="M1022" s="222"/>
      <c r="N1022" s="222"/>
      <c r="O1022" s="222"/>
      <c r="P1022" s="222"/>
      <c r="Q1022" s="222"/>
      <c r="R1022" s="222"/>
      <c r="S1022" s="222"/>
      <c r="T1022" s="223">
        <v>122.2271635</v>
      </c>
      <c r="U1022" s="222"/>
      <c r="V1022" s="222"/>
      <c r="W1022" s="222" t="s">
        <v>4832</v>
      </c>
      <c r="X1022" s="222" t="s">
        <v>5550</v>
      </c>
    </row>
    <row r="1023" spans="1:24" hidden="1" x14ac:dyDescent="0.25">
      <c r="A1023" s="114" t="str">
        <f t="shared" si="47"/>
        <v>7354</v>
      </c>
      <c r="B1023" s="222" t="s">
        <v>4386</v>
      </c>
      <c r="C1023" s="222" t="s">
        <v>766</v>
      </c>
      <c r="D1023" s="222" t="s">
        <v>765</v>
      </c>
      <c r="E1023" s="222"/>
      <c r="F1023" s="222"/>
      <c r="G1023" s="222"/>
      <c r="H1023" s="222"/>
      <c r="I1023" s="222"/>
      <c r="J1023" s="222"/>
      <c r="K1023" s="222"/>
      <c r="L1023" s="222"/>
      <c r="M1023" s="222"/>
      <c r="N1023" s="222"/>
      <c r="O1023" s="222"/>
      <c r="P1023" s="222"/>
      <c r="Q1023" s="222"/>
      <c r="R1023" s="222"/>
      <c r="S1023" s="222"/>
      <c r="T1023" s="223">
        <v>39.508152340000002</v>
      </c>
      <c r="U1023" s="222"/>
      <c r="V1023" s="222"/>
      <c r="W1023" s="222" t="s">
        <v>4832</v>
      </c>
      <c r="X1023" s="222" t="s">
        <v>5550</v>
      </c>
    </row>
    <row r="1024" spans="1:24" hidden="1" x14ac:dyDescent="0.25">
      <c r="A1024" s="114" t="str">
        <f t="shared" si="47"/>
        <v>7359</v>
      </c>
      <c r="B1024" s="222" t="s">
        <v>4364</v>
      </c>
      <c r="C1024" s="222" t="s">
        <v>769</v>
      </c>
      <c r="D1024" s="222" t="s">
        <v>768</v>
      </c>
      <c r="E1024" s="222"/>
      <c r="F1024" s="222"/>
      <c r="G1024" s="222"/>
      <c r="H1024" s="222"/>
      <c r="I1024" s="222"/>
      <c r="J1024" s="222"/>
      <c r="K1024" s="222"/>
      <c r="L1024" s="222"/>
      <c r="M1024" s="222"/>
      <c r="N1024" s="222"/>
      <c r="O1024" s="222"/>
      <c r="P1024" s="222"/>
      <c r="Q1024" s="222"/>
      <c r="R1024" s="222"/>
      <c r="S1024" s="222"/>
      <c r="T1024" s="223">
        <v>122.2271635</v>
      </c>
      <c r="U1024" s="222"/>
      <c r="V1024" s="222"/>
      <c r="W1024" s="222" t="s">
        <v>4832</v>
      </c>
      <c r="X1024" s="222" t="s">
        <v>5550</v>
      </c>
    </row>
    <row r="1025" spans="1:24" hidden="1" x14ac:dyDescent="0.25">
      <c r="A1025" s="114" t="str">
        <f t="shared" si="47"/>
        <v>7385</v>
      </c>
      <c r="B1025" s="222" t="s">
        <v>4365</v>
      </c>
      <c r="C1025" s="222" t="s">
        <v>772</v>
      </c>
      <c r="D1025" s="222" t="s">
        <v>772</v>
      </c>
      <c r="E1025" s="222"/>
      <c r="F1025" s="222"/>
      <c r="G1025" s="222"/>
      <c r="H1025" s="222"/>
      <c r="I1025" s="222"/>
      <c r="J1025" s="222"/>
      <c r="K1025" s="222"/>
      <c r="L1025" s="222"/>
      <c r="M1025" s="222"/>
      <c r="N1025" s="222"/>
      <c r="O1025" s="222"/>
      <c r="P1025" s="222"/>
      <c r="Q1025" s="222"/>
      <c r="R1025" s="222"/>
      <c r="S1025" s="222"/>
      <c r="T1025" s="223">
        <v>122.2271635</v>
      </c>
      <c r="U1025" s="222"/>
      <c r="V1025" s="222"/>
      <c r="W1025" s="222" t="s">
        <v>4832</v>
      </c>
      <c r="X1025" s="222" t="s">
        <v>5550</v>
      </c>
    </row>
    <row r="1026" spans="1:24" hidden="1" x14ac:dyDescent="0.25">
      <c r="A1026" s="114" t="str">
        <f t="shared" ref="A1026:A1071" si="49">RIGHT(LEFT(D1026,6),4)</f>
        <v>7389</v>
      </c>
      <c r="B1026" s="222" t="s">
        <v>4366</v>
      </c>
      <c r="C1026" s="222" t="s">
        <v>775</v>
      </c>
      <c r="D1026" s="222" t="s">
        <v>774</v>
      </c>
      <c r="E1026" s="222"/>
      <c r="F1026" s="222"/>
      <c r="G1026" s="222"/>
      <c r="H1026" s="222"/>
      <c r="I1026" s="222"/>
      <c r="J1026" s="222"/>
      <c r="K1026" s="222"/>
      <c r="L1026" s="222"/>
      <c r="M1026" s="222"/>
      <c r="N1026" s="222"/>
      <c r="O1026" s="222"/>
      <c r="P1026" s="222"/>
      <c r="Q1026" s="222"/>
      <c r="R1026" s="222"/>
      <c r="S1026" s="222"/>
      <c r="T1026" s="223">
        <v>122.2271635</v>
      </c>
      <c r="U1026" s="222"/>
      <c r="V1026" s="222"/>
      <c r="W1026" s="222" t="s">
        <v>4832</v>
      </c>
      <c r="X1026" s="222" t="s">
        <v>5550</v>
      </c>
    </row>
    <row r="1027" spans="1:24" hidden="1" x14ac:dyDescent="0.25">
      <c r="A1027" s="114" t="str">
        <f t="shared" si="49"/>
        <v>7396</v>
      </c>
      <c r="B1027" s="222" t="s">
        <v>4387</v>
      </c>
      <c r="C1027" s="222" t="s">
        <v>779</v>
      </c>
      <c r="D1027" s="222" t="s">
        <v>778</v>
      </c>
      <c r="E1027" s="222"/>
      <c r="F1027" s="222"/>
      <c r="G1027" s="222"/>
      <c r="H1027" s="222"/>
      <c r="I1027" s="222"/>
      <c r="J1027" s="222"/>
      <c r="K1027" s="222"/>
      <c r="L1027" s="222"/>
      <c r="M1027" s="222"/>
      <c r="N1027" s="222"/>
      <c r="O1027" s="222"/>
      <c r="P1027" s="222"/>
      <c r="Q1027" s="222"/>
      <c r="R1027" s="222"/>
      <c r="S1027" s="222"/>
      <c r="T1027" s="223">
        <v>39.508152340000002</v>
      </c>
      <c r="U1027" s="222"/>
      <c r="V1027" s="222"/>
      <c r="W1027" s="222" t="s">
        <v>4832</v>
      </c>
      <c r="X1027" s="222" t="s">
        <v>5550</v>
      </c>
    </row>
    <row r="1028" spans="1:24" hidden="1" x14ac:dyDescent="0.25">
      <c r="A1028" s="114" t="str">
        <f t="shared" si="49"/>
        <v>7406</v>
      </c>
      <c r="B1028" s="222" t="s">
        <v>4374</v>
      </c>
      <c r="C1028" s="222" t="s">
        <v>781</v>
      </c>
      <c r="D1028" s="222" t="s">
        <v>781</v>
      </c>
      <c r="E1028" s="222"/>
      <c r="F1028" s="222"/>
      <c r="G1028" s="222"/>
      <c r="H1028" s="222"/>
      <c r="I1028" s="222"/>
      <c r="J1028" s="222"/>
      <c r="K1028" s="222"/>
      <c r="L1028" s="222"/>
      <c r="M1028" s="222"/>
      <c r="N1028" s="222"/>
      <c r="O1028" s="222"/>
      <c r="P1028" s="222"/>
      <c r="Q1028" s="222"/>
      <c r="R1028" s="222"/>
      <c r="S1028" s="222"/>
      <c r="T1028" s="223">
        <v>39.508152340000002</v>
      </c>
      <c r="U1028" s="222"/>
      <c r="V1028" s="222"/>
      <c r="W1028" s="222" t="s">
        <v>4832</v>
      </c>
      <c r="X1028" s="222" t="s">
        <v>5550</v>
      </c>
    </row>
    <row r="1029" spans="1:24" hidden="1" x14ac:dyDescent="0.25">
      <c r="A1029" s="114" t="str">
        <f t="shared" si="49"/>
        <v>7411</v>
      </c>
      <c r="B1029" s="222" t="s">
        <v>4372</v>
      </c>
      <c r="C1029" s="222" t="s">
        <v>783</v>
      </c>
      <c r="D1029" s="222" t="s">
        <v>783</v>
      </c>
      <c r="E1029" s="222"/>
      <c r="F1029" s="222"/>
      <c r="G1029" s="222"/>
      <c r="H1029" s="222"/>
      <c r="I1029" s="222"/>
      <c r="J1029" s="222"/>
      <c r="K1029" s="222"/>
      <c r="L1029" s="222"/>
      <c r="M1029" s="222"/>
      <c r="N1029" s="222"/>
      <c r="O1029" s="222"/>
      <c r="P1029" s="222"/>
      <c r="Q1029" s="222"/>
      <c r="R1029" s="222"/>
      <c r="S1029" s="222"/>
      <c r="T1029" s="223">
        <v>22.706096800000001</v>
      </c>
      <c r="U1029" s="222"/>
      <c r="V1029" s="222"/>
      <c r="W1029" s="222" t="s">
        <v>4832</v>
      </c>
      <c r="X1029" s="222" t="s">
        <v>5550</v>
      </c>
    </row>
    <row r="1030" spans="1:24" hidden="1" x14ac:dyDescent="0.25">
      <c r="A1030" s="114" t="str">
        <f t="shared" si="49"/>
        <v>7419</v>
      </c>
      <c r="B1030" s="222" t="s">
        <v>4376</v>
      </c>
      <c r="C1030" s="222" t="s">
        <v>785</v>
      </c>
      <c r="D1030" s="222" t="s">
        <v>785</v>
      </c>
      <c r="E1030" s="222"/>
      <c r="F1030" s="222"/>
      <c r="G1030" s="222"/>
      <c r="H1030" s="222"/>
      <c r="I1030" s="222"/>
      <c r="J1030" s="222"/>
      <c r="K1030" s="222"/>
      <c r="L1030" s="222"/>
      <c r="M1030" s="222"/>
      <c r="N1030" s="222"/>
      <c r="O1030" s="222"/>
      <c r="P1030" s="222"/>
      <c r="Q1030" s="222"/>
      <c r="R1030" s="222"/>
      <c r="S1030" s="222"/>
      <c r="T1030" s="223">
        <v>22.706096800000001</v>
      </c>
      <c r="U1030" s="222"/>
      <c r="V1030" s="222"/>
      <c r="W1030" s="222" t="s">
        <v>4832</v>
      </c>
      <c r="X1030" s="222" t="s">
        <v>5550</v>
      </c>
    </row>
    <row r="1031" spans="1:24" hidden="1" x14ac:dyDescent="0.25">
      <c r="A1031" s="114" t="str">
        <f t="shared" si="49"/>
        <v>7420</v>
      </c>
      <c r="B1031" s="222" t="s">
        <v>4375</v>
      </c>
      <c r="C1031" s="222" t="s">
        <v>787</v>
      </c>
      <c r="D1031" s="222" t="s">
        <v>787</v>
      </c>
      <c r="E1031" s="222"/>
      <c r="F1031" s="222"/>
      <c r="G1031" s="222"/>
      <c r="H1031" s="222"/>
      <c r="I1031" s="222"/>
      <c r="J1031" s="222"/>
      <c r="K1031" s="222"/>
      <c r="L1031" s="222"/>
      <c r="M1031" s="222"/>
      <c r="N1031" s="222"/>
      <c r="O1031" s="222"/>
      <c r="P1031" s="222"/>
      <c r="Q1031" s="222"/>
      <c r="R1031" s="222"/>
      <c r="S1031" s="222"/>
      <c r="T1031" s="223">
        <v>39.508152340000002</v>
      </c>
      <c r="U1031" s="222"/>
      <c r="V1031" s="222"/>
      <c r="W1031" s="222" t="s">
        <v>4832</v>
      </c>
      <c r="X1031" s="222" t="s">
        <v>5550</v>
      </c>
    </row>
    <row r="1032" spans="1:24" hidden="1" x14ac:dyDescent="0.25">
      <c r="A1032" s="114" t="str">
        <f t="shared" si="49"/>
        <v>7427</v>
      </c>
      <c r="B1032" s="222" t="s">
        <v>4390</v>
      </c>
      <c r="C1032" s="222" t="s">
        <v>789</v>
      </c>
      <c r="D1032" s="222" t="s">
        <v>789</v>
      </c>
      <c r="E1032" s="222"/>
      <c r="F1032" s="222"/>
      <c r="G1032" s="222"/>
      <c r="H1032" s="222"/>
      <c r="I1032" s="222"/>
      <c r="J1032" s="222"/>
      <c r="K1032" s="222"/>
      <c r="L1032" s="222"/>
      <c r="M1032" s="222"/>
      <c r="N1032" s="222"/>
      <c r="O1032" s="222"/>
      <c r="P1032" s="222"/>
      <c r="Q1032" s="222"/>
      <c r="R1032" s="222"/>
      <c r="S1032" s="222"/>
      <c r="T1032" s="223">
        <v>6.0955239199999998</v>
      </c>
      <c r="U1032" s="222"/>
      <c r="V1032" s="222"/>
      <c r="W1032" s="222" t="s">
        <v>4832</v>
      </c>
      <c r="X1032" s="222" t="s">
        <v>5550</v>
      </c>
    </row>
    <row r="1033" spans="1:24" hidden="1" x14ac:dyDescent="0.25">
      <c r="A1033" s="114" t="str">
        <f t="shared" si="49"/>
        <v>7434</v>
      </c>
      <c r="B1033" s="222" t="s">
        <v>4379</v>
      </c>
      <c r="C1033" s="222" t="s">
        <v>791</v>
      </c>
      <c r="D1033" s="222" t="s">
        <v>791</v>
      </c>
      <c r="E1033" s="222"/>
      <c r="F1033" s="222"/>
      <c r="G1033" s="222"/>
      <c r="H1033" s="222"/>
      <c r="I1033" s="222"/>
      <c r="J1033" s="222"/>
      <c r="K1033" s="222"/>
      <c r="L1033" s="222"/>
      <c r="M1033" s="222"/>
      <c r="N1033" s="222"/>
      <c r="O1033" s="222"/>
      <c r="P1033" s="222"/>
      <c r="Q1033" s="222"/>
      <c r="R1033" s="222"/>
      <c r="S1033" s="222"/>
      <c r="T1033" s="223">
        <v>22.706096800000001</v>
      </c>
      <c r="U1033" s="222"/>
      <c r="V1033" s="222"/>
      <c r="W1033" s="222" t="s">
        <v>4832</v>
      </c>
      <c r="X1033" s="222" t="s">
        <v>5550</v>
      </c>
    </row>
    <row r="1034" spans="1:24" hidden="1" x14ac:dyDescent="0.25">
      <c r="A1034" s="114" t="str">
        <f t="shared" si="49"/>
        <v>7440</v>
      </c>
      <c r="B1034" s="222" t="s">
        <v>4373</v>
      </c>
      <c r="C1034" s="222" t="s">
        <v>793</v>
      </c>
      <c r="D1034" s="222" t="s">
        <v>793</v>
      </c>
      <c r="E1034" s="222"/>
      <c r="F1034" s="222"/>
      <c r="G1034" s="222"/>
      <c r="H1034" s="222"/>
      <c r="I1034" s="222"/>
      <c r="J1034" s="222"/>
      <c r="K1034" s="222"/>
      <c r="L1034" s="222"/>
      <c r="M1034" s="222"/>
      <c r="N1034" s="222"/>
      <c r="O1034" s="222"/>
      <c r="P1034" s="222"/>
      <c r="Q1034" s="222"/>
      <c r="R1034" s="222"/>
      <c r="S1034" s="222"/>
      <c r="T1034" s="223">
        <v>39.508152340000002</v>
      </c>
      <c r="U1034" s="222"/>
      <c r="V1034" s="222"/>
      <c r="W1034" s="222" t="s">
        <v>4832</v>
      </c>
      <c r="X1034" s="222" t="s">
        <v>5550</v>
      </c>
    </row>
    <row r="1035" spans="1:24" hidden="1" x14ac:dyDescent="0.25">
      <c r="A1035" s="114" t="str">
        <f t="shared" si="49"/>
        <v>7441</v>
      </c>
      <c r="B1035" s="222" t="s">
        <v>4373</v>
      </c>
      <c r="C1035" s="222" t="s">
        <v>795</v>
      </c>
      <c r="D1035" s="222" t="s">
        <v>795</v>
      </c>
      <c r="E1035" s="222"/>
      <c r="F1035" s="222"/>
      <c r="G1035" s="222"/>
      <c r="H1035" s="222"/>
      <c r="I1035" s="222"/>
      <c r="J1035" s="222"/>
      <c r="K1035" s="222"/>
      <c r="L1035" s="222"/>
      <c r="M1035" s="222"/>
      <c r="N1035" s="222"/>
      <c r="O1035" s="222"/>
      <c r="P1035" s="222"/>
      <c r="Q1035" s="222"/>
      <c r="R1035" s="222"/>
      <c r="S1035" s="222"/>
      <c r="T1035" s="223">
        <v>39.508152340000002</v>
      </c>
      <c r="U1035" s="222"/>
      <c r="V1035" s="222"/>
      <c r="W1035" s="222" t="s">
        <v>4832</v>
      </c>
      <c r="X1035" s="222" t="s">
        <v>5550</v>
      </c>
    </row>
    <row r="1036" spans="1:24" hidden="1" x14ac:dyDescent="0.25">
      <c r="A1036" s="114" t="str">
        <f t="shared" si="49"/>
        <v>7443</v>
      </c>
      <c r="B1036" s="222" t="s">
        <v>4378</v>
      </c>
      <c r="C1036" s="222" t="s">
        <v>797</v>
      </c>
      <c r="D1036" s="222" t="s">
        <v>797</v>
      </c>
      <c r="E1036" s="222"/>
      <c r="F1036" s="222"/>
      <c r="G1036" s="222"/>
      <c r="H1036" s="222"/>
      <c r="I1036" s="222"/>
      <c r="J1036" s="222"/>
      <c r="K1036" s="222"/>
      <c r="L1036" s="222"/>
      <c r="M1036" s="222"/>
      <c r="N1036" s="222"/>
      <c r="O1036" s="222"/>
      <c r="P1036" s="222"/>
      <c r="Q1036" s="222"/>
      <c r="R1036" s="222"/>
      <c r="S1036" s="222"/>
      <c r="T1036" s="223">
        <v>39.508152340000002</v>
      </c>
      <c r="U1036" s="222"/>
      <c r="V1036" s="222"/>
      <c r="W1036" s="222" t="s">
        <v>4832</v>
      </c>
      <c r="X1036" s="222" t="s">
        <v>5550</v>
      </c>
    </row>
    <row r="1037" spans="1:24" hidden="1" x14ac:dyDescent="0.25">
      <c r="A1037" s="114" t="str">
        <f t="shared" si="49"/>
        <v>7448</v>
      </c>
      <c r="B1037" s="222" t="s">
        <v>4381</v>
      </c>
      <c r="C1037" s="222" t="s">
        <v>800</v>
      </c>
      <c r="D1037" s="222" t="s">
        <v>799</v>
      </c>
      <c r="E1037" s="222"/>
      <c r="F1037" s="222"/>
      <c r="G1037" s="222"/>
      <c r="H1037" s="222"/>
      <c r="I1037" s="222"/>
      <c r="J1037" s="222"/>
      <c r="K1037" s="222"/>
      <c r="L1037" s="222"/>
      <c r="M1037" s="222"/>
      <c r="N1037" s="222"/>
      <c r="O1037" s="222"/>
      <c r="P1037" s="222"/>
      <c r="Q1037" s="222"/>
      <c r="R1037" s="222"/>
      <c r="S1037" s="222"/>
      <c r="T1037" s="223">
        <v>39.508152340000002</v>
      </c>
      <c r="U1037" s="222"/>
      <c r="V1037" s="222"/>
      <c r="W1037" s="222" t="s">
        <v>4832</v>
      </c>
      <c r="X1037" s="222" t="s">
        <v>5550</v>
      </c>
    </row>
    <row r="1038" spans="1:24" hidden="1" x14ac:dyDescent="0.25">
      <c r="A1038" s="114" t="str">
        <f t="shared" si="49"/>
        <v>7455</v>
      </c>
      <c r="B1038" s="222" t="s">
        <v>4380</v>
      </c>
      <c r="C1038" s="222" t="s">
        <v>802</v>
      </c>
      <c r="D1038" s="222" t="s">
        <v>802</v>
      </c>
      <c r="E1038" s="222"/>
      <c r="F1038" s="222"/>
      <c r="G1038" s="222"/>
      <c r="H1038" s="222"/>
      <c r="I1038" s="222"/>
      <c r="J1038" s="222"/>
      <c r="K1038" s="222"/>
      <c r="L1038" s="222"/>
      <c r="M1038" s="222"/>
      <c r="N1038" s="222"/>
      <c r="O1038" s="222"/>
      <c r="P1038" s="222"/>
      <c r="Q1038" s="222"/>
      <c r="R1038" s="222"/>
      <c r="S1038" s="222"/>
      <c r="T1038" s="223">
        <v>39.508152340000002</v>
      </c>
      <c r="U1038" s="222"/>
      <c r="V1038" s="222"/>
      <c r="W1038" s="222" t="s">
        <v>4832</v>
      </c>
      <c r="X1038" s="222" t="s">
        <v>5550</v>
      </c>
    </row>
    <row r="1039" spans="1:24" hidden="1" x14ac:dyDescent="0.25">
      <c r="A1039" s="114" t="str">
        <f t="shared" si="49"/>
        <v>7463</v>
      </c>
      <c r="B1039" s="222" t="s">
        <v>4383</v>
      </c>
      <c r="C1039" s="222" t="s">
        <v>805</v>
      </c>
      <c r="D1039" s="222" t="s">
        <v>805</v>
      </c>
      <c r="E1039" s="222"/>
      <c r="F1039" s="222"/>
      <c r="G1039" s="222"/>
      <c r="H1039" s="222"/>
      <c r="I1039" s="222"/>
      <c r="J1039" s="222"/>
      <c r="K1039" s="222"/>
      <c r="L1039" s="222"/>
      <c r="M1039" s="222"/>
      <c r="N1039" s="222"/>
      <c r="O1039" s="222"/>
      <c r="P1039" s="222"/>
      <c r="Q1039" s="222"/>
      <c r="R1039" s="222"/>
      <c r="S1039" s="222"/>
      <c r="T1039" s="223">
        <v>39.508152340000002</v>
      </c>
      <c r="U1039" s="222"/>
      <c r="V1039" s="222"/>
      <c r="W1039" s="222" t="s">
        <v>4832</v>
      </c>
      <c r="X1039" s="222" t="s">
        <v>5550</v>
      </c>
    </row>
    <row r="1040" spans="1:24" hidden="1" x14ac:dyDescent="0.25">
      <c r="A1040" s="114" t="str">
        <f t="shared" si="49"/>
        <v>7465</v>
      </c>
      <c r="B1040" s="222" t="s">
        <v>4377</v>
      </c>
      <c r="C1040" s="222" t="s">
        <v>807</v>
      </c>
      <c r="D1040" s="222" t="s">
        <v>807</v>
      </c>
      <c r="E1040" s="222"/>
      <c r="F1040" s="222"/>
      <c r="G1040" s="222"/>
      <c r="H1040" s="222"/>
      <c r="I1040" s="222"/>
      <c r="J1040" s="222"/>
      <c r="K1040" s="222"/>
      <c r="L1040" s="222"/>
      <c r="M1040" s="222"/>
      <c r="N1040" s="222"/>
      <c r="O1040" s="222"/>
      <c r="P1040" s="222"/>
      <c r="Q1040" s="222"/>
      <c r="R1040" s="222"/>
      <c r="S1040" s="222"/>
      <c r="T1040" s="223">
        <v>39.508152340000002</v>
      </c>
      <c r="U1040" s="222"/>
      <c r="V1040" s="222"/>
      <c r="W1040" s="222" t="s">
        <v>4832</v>
      </c>
      <c r="X1040" s="222" t="s">
        <v>5550</v>
      </c>
    </row>
    <row r="1041" spans="1:24" hidden="1" x14ac:dyDescent="0.25">
      <c r="A1041" s="114" t="str">
        <f t="shared" si="49"/>
        <v>7478</v>
      </c>
      <c r="B1041" s="222" t="s">
        <v>4371</v>
      </c>
      <c r="C1041" s="222" t="s">
        <v>809</v>
      </c>
      <c r="D1041" s="222" t="s">
        <v>809</v>
      </c>
      <c r="E1041" s="222"/>
      <c r="F1041" s="222"/>
      <c r="G1041" s="222"/>
      <c r="H1041" s="222"/>
      <c r="I1041" s="222"/>
      <c r="J1041" s="222"/>
      <c r="K1041" s="222"/>
      <c r="L1041" s="222"/>
      <c r="M1041" s="222"/>
      <c r="N1041" s="222"/>
      <c r="O1041" s="222"/>
      <c r="P1041" s="222"/>
      <c r="Q1041" s="222"/>
      <c r="R1041" s="222"/>
      <c r="S1041" s="222"/>
      <c r="T1041" s="223">
        <v>39.508152340000002</v>
      </c>
      <c r="U1041" s="222"/>
      <c r="V1041" s="222"/>
      <c r="W1041" s="222" t="s">
        <v>4832</v>
      </c>
      <c r="X1041" s="222" t="s">
        <v>5550</v>
      </c>
    </row>
    <row r="1042" spans="1:24" hidden="1" x14ac:dyDescent="0.25">
      <c r="A1042" s="114" t="str">
        <f t="shared" si="49"/>
        <v>7479</v>
      </c>
      <c r="B1042" s="222" t="s">
        <v>4361</v>
      </c>
      <c r="C1042" s="222" t="s">
        <v>811</v>
      </c>
      <c r="D1042" s="222" t="s">
        <v>811</v>
      </c>
      <c r="E1042" s="222"/>
      <c r="F1042" s="222"/>
      <c r="G1042" s="222"/>
      <c r="H1042" s="222"/>
      <c r="I1042" s="222"/>
      <c r="J1042" s="222"/>
      <c r="K1042" s="222"/>
      <c r="L1042" s="222"/>
      <c r="M1042" s="222"/>
      <c r="N1042" s="222"/>
      <c r="O1042" s="222"/>
      <c r="P1042" s="222"/>
      <c r="Q1042" s="222"/>
      <c r="R1042" s="222"/>
      <c r="S1042" s="222"/>
      <c r="T1042" s="223">
        <v>149.02999262</v>
      </c>
      <c r="U1042" s="222"/>
      <c r="V1042" s="222"/>
      <c r="W1042" s="222" t="s">
        <v>4832</v>
      </c>
      <c r="X1042" s="222" t="s">
        <v>5550</v>
      </c>
    </row>
    <row r="1043" spans="1:24" hidden="1" x14ac:dyDescent="0.25">
      <c r="A1043" s="114" t="str">
        <f t="shared" si="49"/>
        <v>7484</v>
      </c>
      <c r="B1043" s="222" t="s">
        <v>4391</v>
      </c>
      <c r="C1043" s="222" t="s">
        <v>813</v>
      </c>
      <c r="D1043" s="222" t="s">
        <v>813</v>
      </c>
      <c r="E1043" s="222"/>
      <c r="F1043" s="222"/>
      <c r="G1043" s="222"/>
      <c r="H1043" s="222"/>
      <c r="I1043" s="222"/>
      <c r="J1043" s="222"/>
      <c r="K1043" s="222"/>
      <c r="L1043" s="222"/>
      <c r="M1043" s="222"/>
      <c r="N1043" s="222"/>
      <c r="O1043" s="222"/>
      <c r="P1043" s="222"/>
      <c r="Q1043" s="222"/>
      <c r="R1043" s="222"/>
      <c r="S1043" s="222"/>
      <c r="T1043" s="223">
        <v>6.5545844899999999</v>
      </c>
      <c r="U1043" s="222"/>
      <c r="V1043" s="222"/>
      <c r="W1043" s="222" t="s">
        <v>4832</v>
      </c>
      <c r="X1043" s="222" t="s">
        <v>5550</v>
      </c>
    </row>
    <row r="1044" spans="1:24" hidden="1" x14ac:dyDescent="0.25">
      <c r="A1044" s="114" t="str">
        <f t="shared" si="49"/>
        <v>7487</v>
      </c>
      <c r="B1044" s="222" t="s">
        <v>4388</v>
      </c>
      <c r="C1044" s="222" t="s">
        <v>815</v>
      </c>
      <c r="D1044" s="222" t="s">
        <v>815</v>
      </c>
      <c r="E1044" s="222"/>
      <c r="F1044" s="222"/>
      <c r="G1044" s="222"/>
      <c r="H1044" s="222"/>
      <c r="I1044" s="222"/>
      <c r="J1044" s="222"/>
      <c r="K1044" s="222"/>
      <c r="L1044" s="222"/>
      <c r="M1044" s="222"/>
      <c r="N1044" s="222"/>
      <c r="O1044" s="222"/>
      <c r="P1044" s="222"/>
      <c r="Q1044" s="222"/>
      <c r="R1044" s="222"/>
      <c r="S1044" s="222"/>
      <c r="T1044" s="223">
        <v>39.508152340000002</v>
      </c>
      <c r="U1044" s="222"/>
      <c r="V1044" s="222"/>
      <c r="W1044" s="222" t="s">
        <v>4832</v>
      </c>
      <c r="X1044" s="222" t="s">
        <v>5550</v>
      </c>
    </row>
    <row r="1045" spans="1:24" hidden="1" x14ac:dyDescent="0.25">
      <c r="A1045" s="114" t="str">
        <f t="shared" si="49"/>
        <v>1108</v>
      </c>
      <c r="B1045" s="222" t="s">
        <v>4396</v>
      </c>
      <c r="C1045" s="222" t="s">
        <v>818</v>
      </c>
      <c r="D1045" s="222" t="s">
        <v>817</v>
      </c>
      <c r="E1045" s="222"/>
      <c r="F1045" s="222"/>
      <c r="G1045" s="222"/>
      <c r="H1045" s="222"/>
      <c r="I1045" s="222"/>
      <c r="J1045" s="222"/>
      <c r="K1045" s="222"/>
      <c r="L1045" s="222"/>
      <c r="M1045" s="222"/>
      <c r="N1045" s="222"/>
      <c r="O1045" s="222"/>
      <c r="P1045" s="222"/>
      <c r="Q1045" s="222"/>
      <c r="R1045" s="222"/>
      <c r="S1045" s="222"/>
      <c r="T1045" s="223">
        <v>39.508152340000002</v>
      </c>
      <c r="U1045" s="222"/>
      <c r="V1045" s="222"/>
      <c r="W1045" s="222" t="s">
        <v>4832</v>
      </c>
      <c r="X1045" s="222" t="s">
        <v>5550</v>
      </c>
    </row>
    <row r="1046" spans="1:24" hidden="1" x14ac:dyDescent="0.25">
      <c r="A1046" s="114" t="str">
        <f t="shared" si="49"/>
        <v>5280</v>
      </c>
      <c r="B1046" s="226" t="s">
        <v>2812</v>
      </c>
      <c r="C1046" s="226" t="s">
        <v>5551</v>
      </c>
      <c r="D1046" s="226" t="s">
        <v>197</v>
      </c>
      <c r="E1046" s="226"/>
      <c r="F1046" s="226"/>
      <c r="G1046" s="226"/>
      <c r="H1046" s="226"/>
      <c r="I1046" s="226"/>
      <c r="J1046" s="226"/>
      <c r="K1046" s="226"/>
      <c r="L1046" s="226"/>
      <c r="M1046" s="226"/>
      <c r="N1046" s="226"/>
      <c r="O1046" s="226"/>
      <c r="P1046" s="226"/>
      <c r="Q1046" s="226"/>
      <c r="R1046" s="226"/>
      <c r="S1046" s="226"/>
      <c r="T1046" s="227">
        <v>228.38915384000001</v>
      </c>
      <c r="U1046" s="226"/>
      <c r="V1046" s="226"/>
      <c r="W1046" s="226" t="s">
        <v>4832</v>
      </c>
      <c r="X1046" s="226" t="s">
        <v>4357</v>
      </c>
    </row>
    <row r="1047" spans="1:24" hidden="1" x14ac:dyDescent="0.25">
      <c r="A1047" s="114" t="str">
        <f t="shared" si="49"/>
        <v>2096</v>
      </c>
      <c r="B1047" s="226" t="s">
        <v>4526</v>
      </c>
      <c r="C1047" s="226" t="s">
        <v>221</v>
      </c>
      <c r="D1047" s="226" t="s">
        <v>220</v>
      </c>
      <c r="E1047" s="226"/>
      <c r="F1047" s="226"/>
      <c r="G1047" s="226"/>
      <c r="H1047" s="226"/>
      <c r="I1047" s="226"/>
      <c r="J1047" s="226"/>
      <c r="K1047" s="226"/>
      <c r="L1047" s="226"/>
      <c r="M1047" s="226"/>
      <c r="N1047" s="226"/>
      <c r="O1047" s="226"/>
      <c r="P1047" s="226"/>
      <c r="Q1047" s="226"/>
      <c r="R1047" s="226"/>
      <c r="S1047" s="226"/>
      <c r="T1047" s="227">
        <v>33.06438043</v>
      </c>
      <c r="U1047" s="226"/>
      <c r="V1047" s="226"/>
      <c r="W1047" s="226" t="s">
        <v>4832</v>
      </c>
      <c r="X1047" s="226" t="s">
        <v>4357</v>
      </c>
    </row>
    <row r="1048" spans="1:24" hidden="1" x14ac:dyDescent="0.25">
      <c r="A1048" s="114" t="str">
        <f t="shared" si="49"/>
        <v>0151</v>
      </c>
      <c r="B1048" s="226" t="s">
        <v>2797</v>
      </c>
      <c r="C1048" s="226" t="s">
        <v>5552</v>
      </c>
      <c r="D1048" s="226" t="s">
        <v>226</v>
      </c>
      <c r="E1048" s="226"/>
      <c r="F1048" s="226"/>
      <c r="G1048" s="226"/>
      <c r="H1048" s="226"/>
      <c r="I1048" s="226"/>
      <c r="J1048" s="226"/>
      <c r="K1048" s="226"/>
      <c r="L1048" s="226"/>
      <c r="M1048" s="226"/>
      <c r="N1048" s="226"/>
      <c r="O1048" s="226"/>
      <c r="P1048" s="226"/>
      <c r="Q1048" s="226"/>
      <c r="R1048" s="226"/>
      <c r="S1048" s="226"/>
      <c r="T1048" s="227">
        <v>4.0032245</v>
      </c>
      <c r="U1048" s="226"/>
      <c r="V1048" s="226"/>
      <c r="W1048" s="226" t="s">
        <v>4832</v>
      </c>
      <c r="X1048" s="226" t="s">
        <v>4357</v>
      </c>
    </row>
    <row r="1049" spans="1:24" hidden="1" x14ac:dyDescent="0.25">
      <c r="A1049" s="114" t="str">
        <f t="shared" si="49"/>
        <v>0038</v>
      </c>
      <c r="B1049" s="226" t="s">
        <v>2804</v>
      </c>
      <c r="C1049" s="226" t="s">
        <v>230</v>
      </c>
      <c r="D1049" s="226" t="s">
        <v>229</v>
      </c>
      <c r="E1049" s="226"/>
      <c r="F1049" s="226"/>
      <c r="G1049" s="226"/>
      <c r="H1049" s="226"/>
      <c r="I1049" s="226"/>
      <c r="J1049" s="226"/>
      <c r="K1049" s="226"/>
      <c r="L1049" s="226"/>
      <c r="M1049" s="226"/>
      <c r="N1049" s="226"/>
      <c r="O1049" s="226"/>
      <c r="P1049" s="226"/>
      <c r="Q1049" s="226"/>
      <c r="R1049" s="226"/>
      <c r="S1049" s="226"/>
      <c r="T1049" s="227">
        <v>4.0032245</v>
      </c>
      <c r="U1049" s="226"/>
      <c r="V1049" s="226"/>
      <c r="W1049" s="226" t="s">
        <v>4832</v>
      </c>
      <c r="X1049" s="226" t="s">
        <v>4357</v>
      </c>
    </row>
    <row r="1050" spans="1:24" hidden="1" x14ac:dyDescent="0.25">
      <c r="A1050" s="114" t="str">
        <f t="shared" si="49"/>
        <v>2110</v>
      </c>
      <c r="B1050" s="226" t="s">
        <v>4494</v>
      </c>
      <c r="C1050" s="226" t="s">
        <v>254</v>
      </c>
      <c r="D1050" s="226" t="s">
        <v>253</v>
      </c>
      <c r="E1050" s="226"/>
      <c r="F1050" s="226"/>
      <c r="G1050" s="226"/>
      <c r="H1050" s="226"/>
      <c r="I1050" s="226"/>
      <c r="J1050" s="226"/>
      <c r="K1050" s="226"/>
      <c r="L1050" s="226"/>
      <c r="M1050" s="226"/>
      <c r="N1050" s="226"/>
      <c r="O1050" s="226"/>
      <c r="P1050" s="226"/>
      <c r="Q1050" s="226"/>
      <c r="R1050" s="226"/>
      <c r="S1050" s="226"/>
      <c r="T1050" s="227">
        <v>33.06438043</v>
      </c>
      <c r="U1050" s="226"/>
      <c r="V1050" s="226"/>
      <c r="W1050" s="226" t="s">
        <v>4832</v>
      </c>
      <c r="X1050" s="226" t="s">
        <v>4357</v>
      </c>
    </row>
    <row r="1051" spans="1:24" hidden="1" x14ac:dyDescent="0.25">
      <c r="A1051" s="114" t="str">
        <f t="shared" si="49"/>
        <v>2122</v>
      </c>
      <c r="B1051" s="226" t="s">
        <v>4546</v>
      </c>
      <c r="C1051" s="226" t="s">
        <v>262</v>
      </c>
      <c r="D1051" s="226" t="s">
        <v>261</v>
      </c>
      <c r="E1051" s="226"/>
      <c r="F1051" s="226"/>
      <c r="G1051" s="226"/>
      <c r="H1051" s="226"/>
      <c r="I1051" s="226"/>
      <c r="J1051" s="226"/>
      <c r="K1051" s="226"/>
      <c r="L1051" s="226"/>
      <c r="M1051" s="226"/>
      <c r="N1051" s="226"/>
      <c r="O1051" s="226"/>
      <c r="P1051" s="226"/>
      <c r="Q1051" s="226"/>
      <c r="R1051" s="226"/>
      <c r="S1051" s="226"/>
      <c r="T1051" s="227">
        <v>33.06438043</v>
      </c>
      <c r="U1051" s="226"/>
      <c r="V1051" s="226"/>
      <c r="W1051" s="226" t="s">
        <v>4832</v>
      </c>
      <c r="X1051" s="226" t="s">
        <v>4357</v>
      </c>
    </row>
    <row r="1052" spans="1:24" hidden="1" x14ac:dyDescent="0.25">
      <c r="A1052" s="114" t="str">
        <f t="shared" si="49"/>
        <v>2123</v>
      </c>
      <c r="B1052" s="226" t="s">
        <v>2806</v>
      </c>
      <c r="C1052" s="226" t="s">
        <v>843</v>
      </c>
      <c r="D1052" s="226" t="s">
        <v>263</v>
      </c>
      <c r="E1052" s="226"/>
      <c r="F1052" s="226"/>
      <c r="G1052" s="226"/>
      <c r="H1052" s="226"/>
      <c r="I1052" s="226"/>
      <c r="J1052" s="226"/>
      <c r="K1052" s="226"/>
      <c r="L1052" s="226"/>
      <c r="M1052" s="226"/>
      <c r="N1052" s="226"/>
      <c r="O1052" s="226"/>
      <c r="P1052" s="226"/>
      <c r="Q1052" s="226"/>
      <c r="R1052" s="226"/>
      <c r="S1052" s="226"/>
      <c r="T1052" s="227">
        <v>12.22765594</v>
      </c>
      <c r="U1052" s="226"/>
      <c r="V1052" s="226"/>
      <c r="W1052" s="226" t="s">
        <v>4832</v>
      </c>
      <c r="X1052" s="226" t="s">
        <v>4357</v>
      </c>
    </row>
    <row r="1053" spans="1:24" hidden="1" x14ac:dyDescent="0.25">
      <c r="A1053" s="114" t="str">
        <f t="shared" si="49"/>
        <v>2125</v>
      </c>
      <c r="B1053" s="226" t="s">
        <v>4468</v>
      </c>
      <c r="C1053" s="226" t="s">
        <v>270</v>
      </c>
      <c r="D1053" s="226" t="s">
        <v>269</v>
      </c>
      <c r="E1053" s="226"/>
      <c r="F1053" s="226"/>
      <c r="G1053" s="226"/>
      <c r="H1053" s="226"/>
      <c r="I1053" s="226"/>
      <c r="J1053" s="226"/>
      <c r="K1053" s="226"/>
      <c r="L1053" s="226"/>
      <c r="M1053" s="226"/>
      <c r="N1053" s="226"/>
      <c r="O1053" s="226"/>
      <c r="P1053" s="226"/>
      <c r="Q1053" s="226"/>
      <c r="R1053" s="226"/>
      <c r="S1053" s="226"/>
      <c r="T1053" s="227">
        <v>12.22765594</v>
      </c>
      <c r="U1053" s="226"/>
      <c r="V1053" s="226"/>
      <c r="W1053" s="226" t="s">
        <v>4832</v>
      </c>
      <c r="X1053" s="226" t="s">
        <v>4357</v>
      </c>
    </row>
    <row r="1054" spans="1:24" hidden="1" x14ac:dyDescent="0.25">
      <c r="A1054" s="114" t="str">
        <f t="shared" si="49"/>
        <v>2125</v>
      </c>
      <c r="B1054" s="226" t="s">
        <v>4468</v>
      </c>
      <c r="C1054" s="226" t="s">
        <v>265</v>
      </c>
      <c r="D1054" s="226" t="s">
        <v>264</v>
      </c>
      <c r="E1054" s="226"/>
      <c r="F1054" s="226"/>
      <c r="G1054" s="226"/>
      <c r="H1054" s="226"/>
      <c r="I1054" s="226"/>
      <c r="J1054" s="226"/>
      <c r="K1054" s="226"/>
      <c r="L1054" s="226"/>
      <c r="M1054" s="226"/>
      <c r="N1054" s="226"/>
      <c r="O1054" s="226"/>
      <c r="P1054" s="226"/>
      <c r="Q1054" s="226"/>
      <c r="R1054" s="226"/>
      <c r="S1054" s="226"/>
      <c r="T1054" s="227">
        <v>12.22765594</v>
      </c>
      <c r="U1054" s="226"/>
      <c r="V1054" s="226"/>
      <c r="W1054" s="226" t="s">
        <v>4832</v>
      </c>
      <c r="X1054" s="226" t="s">
        <v>4357</v>
      </c>
    </row>
    <row r="1055" spans="1:24" hidden="1" x14ac:dyDescent="0.25">
      <c r="A1055" s="114" t="str">
        <f t="shared" si="49"/>
        <v>2071</v>
      </c>
      <c r="B1055" s="226" t="s">
        <v>4465</v>
      </c>
      <c r="C1055" s="226" t="s">
        <v>275</v>
      </c>
      <c r="D1055" s="226" t="s">
        <v>274</v>
      </c>
      <c r="E1055" s="226"/>
      <c r="F1055" s="226"/>
      <c r="G1055" s="226"/>
      <c r="H1055" s="226"/>
      <c r="I1055" s="226"/>
      <c r="J1055" s="226"/>
      <c r="K1055" s="226"/>
      <c r="L1055" s="226"/>
      <c r="M1055" s="226"/>
      <c r="N1055" s="226"/>
      <c r="O1055" s="226"/>
      <c r="P1055" s="226"/>
      <c r="Q1055" s="226"/>
      <c r="R1055" s="226"/>
      <c r="S1055" s="226"/>
      <c r="T1055" s="227">
        <v>33.06438043</v>
      </c>
      <c r="U1055" s="226"/>
      <c r="V1055" s="226"/>
      <c r="W1055" s="226" t="s">
        <v>4832</v>
      </c>
      <c r="X1055" s="226" t="s">
        <v>4357</v>
      </c>
    </row>
    <row r="1056" spans="1:24" hidden="1" x14ac:dyDescent="0.25">
      <c r="A1056" s="114" t="str">
        <f t="shared" si="49"/>
        <v>2071</v>
      </c>
      <c r="B1056" s="226" t="s">
        <v>4465</v>
      </c>
      <c r="C1056" s="226" t="s">
        <v>273</v>
      </c>
      <c r="D1056" s="226" t="s">
        <v>272</v>
      </c>
      <c r="E1056" s="226"/>
      <c r="F1056" s="226"/>
      <c r="G1056" s="226"/>
      <c r="H1056" s="226"/>
      <c r="I1056" s="226"/>
      <c r="J1056" s="226"/>
      <c r="K1056" s="226"/>
      <c r="L1056" s="226"/>
      <c r="M1056" s="226"/>
      <c r="N1056" s="226"/>
      <c r="O1056" s="226"/>
      <c r="P1056" s="226"/>
      <c r="Q1056" s="226"/>
      <c r="R1056" s="226"/>
      <c r="S1056" s="226"/>
      <c r="T1056" s="227">
        <v>33.06438043</v>
      </c>
      <c r="U1056" s="226"/>
      <c r="V1056" s="226"/>
      <c r="W1056" s="226" t="s">
        <v>4832</v>
      </c>
      <c r="X1056" s="226" t="s">
        <v>4357</v>
      </c>
    </row>
    <row r="1057" spans="1:24" hidden="1" x14ac:dyDescent="0.25">
      <c r="A1057" s="114" t="str">
        <f t="shared" si="49"/>
        <v>5825</v>
      </c>
      <c r="B1057" s="226" t="s">
        <v>4548</v>
      </c>
      <c r="C1057" s="226" t="s">
        <v>277</v>
      </c>
      <c r="D1057" s="226" t="s">
        <v>276</v>
      </c>
      <c r="E1057" s="226"/>
      <c r="F1057" s="226"/>
      <c r="G1057" s="226"/>
      <c r="H1057" s="226"/>
      <c r="I1057" s="226"/>
      <c r="J1057" s="226"/>
      <c r="K1057" s="226"/>
      <c r="L1057" s="226"/>
      <c r="M1057" s="226"/>
      <c r="N1057" s="226"/>
      <c r="O1057" s="226"/>
      <c r="P1057" s="226"/>
      <c r="Q1057" s="226"/>
      <c r="R1057" s="226"/>
      <c r="S1057" s="226"/>
      <c r="T1057" s="227">
        <v>228.38915384000001</v>
      </c>
      <c r="U1057" s="226"/>
      <c r="V1057" s="226"/>
      <c r="W1057" s="226" t="s">
        <v>4832</v>
      </c>
      <c r="X1057" s="226" t="s">
        <v>4357</v>
      </c>
    </row>
    <row r="1058" spans="1:24" hidden="1" x14ac:dyDescent="0.25">
      <c r="A1058" s="114" t="str">
        <f t="shared" si="49"/>
        <v>5825</v>
      </c>
      <c r="B1058" s="226" t="s">
        <v>4548</v>
      </c>
      <c r="C1058" s="226" t="s">
        <v>5472</v>
      </c>
      <c r="D1058" s="226" t="s">
        <v>3730</v>
      </c>
      <c r="E1058" s="226"/>
      <c r="F1058" s="226"/>
      <c r="G1058" s="226"/>
      <c r="H1058" s="226"/>
      <c r="I1058" s="226"/>
      <c r="J1058" s="226"/>
      <c r="K1058" s="226"/>
      <c r="L1058" s="226"/>
      <c r="M1058" s="226"/>
      <c r="N1058" s="226"/>
      <c r="O1058" s="226"/>
      <c r="P1058" s="226"/>
      <c r="Q1058" s="226"/>
      <c r="R1058" s="226"/>
      <c r="S1058" s="226"/>
      <c r="T1058" s="227">
        <v>228.38915384000001</v>
      </c>
      <c r="U1058" s="226"/>
      <c r="V1058" s="226"/>
      <c r="W1058" s="226" t="s">
        <v>4832</v>
      </c>
      <c r="X1058" s="226" t="s">
        <v>4357</v>
      </c>
    </row>
    <row r="1059" spans="1:24" hidden="1" x14ac:dyDescent="0.25">
      <c r="A1059" s="114" t="str">
        <f t="shared" si="49"/>
        <v>5825</v>
      </c>
      <c r="B1059" s="226" t="s">
        <v>4548</v>
      </c>
      <c r="C1059" s="226" t="s">
        <v>5474</v>
      </c>
      <c r="D1059" s="226" t="s">
        <v>3731</v>
      </c>
      <c r="E1059" s="226"/>
      <c r="F1059" s="226"/>
      <c r="G1059" s="226"/>
      <c r="H1059" s="226"/>
      <c r="I1059" s="226"/>
      <c r="J1059" s="226"/>
      <c r="K1059" s="226"/>
      <c r="L1059" s="226"/>
      <c r="M1059" s="226"/>
      <c r="N1059" s="226"/>
      <c r="O1059" s="226"/>
      <c r="P1059" s="226"/>
      <c r="Q1059" s="226"/>
      <c r="R1059" s="226"/>
      <c r="S1059" s="226"/>
      <c r="T1059" s="227">
        <v>228.38915384000001</v>
      </c>
      <c r="U1059" s="226"/>
      <c r="V1059" s="226"/>
      <c r="W1059" s="226" t="s">
        <v>4832</v>
      </c>
      <c r="X1059" s="226" t="s">
        <v>4357</v>
      </c>
    </row>
    <row r="1060" spans="1:24" hidden="1" x14ac:dyDescent="0.25">
      <c r="A1060" s="114" t="str">
        <f t="shared" si="49"/>
        <v>5828</v>
      </c>
      <c r="B1060" s="226" t="s">
        <v>4549</v>
      </c>
      <c r="C1060" s="226" t="s">
        <v>281</v>
      </c>
      <c r="D1060" s="226" t="s">
        <v>280</v>
      </c>
      <c r="E1060" s="226"/>
      <c r="F1060" s="226"/>
      <c r="G1060" s="226"/>
      <c r="H1060" s="226"/>
      <c r="I1060" s="226"/>
      <c r="J1060" s="226"/>
      <c r="K1060" s="226"/>
      <c r="L1060" s="226"/>
      <c r="M1060" s="226"/>
      <c r="N1060" s="226"/>
      <c r="O1060" s="226"/>
      <c r="P1060" s="226"/>
      <c r="Q1060" s="226"/>
      <c r="R1060" s="226"/>
      <c r="S1060" s="226"/>
      <c r="T1060" s="227">
        <v>33.06438043</v>
      </c>
      <c r="U1060" s="226"/>
      <c r="V1060" s="226"/>
      <c r="W1060" s="226" t="s">
        <v>4832</v>
      </c>
      <c r="X1060" s="226" t="s">
        <v>4357</v>
      </c>
    </row>
    <row r="1061" spans="1:24" hidden="1" x14ac:dyDescent="0.25">
      <c r="A1061" s="114" t="str">
        <f t="shared" si="49"/>
        <v>5835</v>
      </c>
      <c r="B1061" s="226" t="s">
        <v>4469</v>
      </c>
      <c r="C1061" s="226" t="s">
        <v>285</v>
      </c>
      <c r="D1061" s="226" t="s">
        <v>284</v>
      </c>
      <c r="E1061" s="226"/>
      <c r="F1061" s="226"/>
      <c r="G1061" s="226"/>
      <c r="H1061" s="226"/>
      <c r="I1061" s="226"/>
      <c r="J1061" s="226"/>
      <c r="K1061" s="226"/>
      <c r="L1061" s="226"/>
      <c r="M1061" s="226"/>
      <c r="N1061" s="226"/>
      <c r="O1061" s="226"/>
      <c r="P1061" s="226"/>
      <c r="Q1061" s="226"/>
      <c r="R1061" s="226"/>
      <c r="S1061" s="226"/>
      <c r="T1061" s="227">
        <v>33.06438043</v>
      </c>
      <c r="U1061" s="226"/>
      <c r="V1061" s="226"/>
      <c r="W1061" s="226" t="s">
        <v>4832</v>
      </c>
      <c r="X1061" s="226" t="s">
        <v>4357</v>
      </c>
    </row>
    <row r="1062" spans="1:24" hidden="1" x14ac:dyDescent="0.25">
      <c r="A1062" s="114" t="str">
        <f t="shared" si="49"/>
        <v>5839</v>
      </c>
      <c r="B1062" s="226" t="s">
        <v>4513</v>
      </c>
      <c r="C1062" s="226" t="s">
        <v>289</v>
      </c>
      <c r="D1062" s="226" t="s">
        <v>288</v>
      </c>
      <c r="E1062" s="226"/>
      <c r="F1062" s="226"/>
      <c r="G1062" s="226"/>
      <c r="H1062" s="226"/>
      <c r="I1062" s="226"/>
      <c r="J1062" s="226"/>
      <c r="K1062" s="226"/>
      <c r="L1062" s="226"/>
      <c r="M1062" s="226"/>
      <c r="N1062" s="226"/>
      <c r="O1062" s="226"/>
      <c r="P1062" s="226"/>
      <c r="Q1062" s="226"/>
      <c r="R1062" s="226"/>
      <c r="S1062" s="226"/>
      <c r="T1062" s="227">
        <v>3.10555344</v>
      </c>
      <c r="U1062" s="226"/>
      <c r="V1062" s="226"/>
      <c r="W1062" s="226" t="s">
        <v>4832</v>
      </c>
      <c r="X1062" s="226" t="s">
        <v>4357</v>
      </c>
    </row>
    <row r="1063" spans="1:24" hidden="1" x14ac:dyDescent="0.25">
      <c r="A1063" s="114" t="str">
        <f t="shared" si="49"/>
        <v>5842</v>
      </c>
      <c r="B1063" s="226" t="s">
        <v>2801</v>
      </c>
      <c r="C1063" s="226" t="s">
        <v>291</v>
      </c>
      <c r="D1063" s="226" t="s">
        <v>290</v>
      </c>
      <c r="E1063" s="226"/>
      <c r="F1063" s="226"/>
      <c r="G1063" s="226"/>
      <c r="H1063" s="226"/>
      <c r="I1063" s="226"/>
      <c r="J1063" s="226"/>
      <c r="K1063" s="226"/>
      <c r="L1063" s="226"/>
      <c r="M1063" s="226"/>
      <c r="N1063" s="226"/>
      <c r="O1063" s="226"/>
      <c r="P1063" s="226"/>
      <c r="Q1063" s="226"/>
      <c r="R1063" s="226"/>
      <c r="S1063" s="226"/>
      <c r="T1063" s="227">
        <v>12.22765594</v>
      </c>
      <c r="U1063" s="226"/>
      <c r="V1063" s="226"/>
      <c r="W1063" s="226" t="s">
        <v>4832</v>
      </c>
      <c r="X1063" s="226" t="s">
        <v>4357</v>
      </c>
    </row>
    <row r="1064" spans="1:24" hidden="1" x14ac:dyDescent="0.25">
      <c r="A1064" s="114" t="str">
        <f t="shared" si="49"/>
        <v>5859</v>
      </c>
      <c r="B1064" s="226" t="s">
        <v>4550</v>
      </c>
      <c r="C1064" s="226" t="s">
        <v>296</v>
      </c>
      <c r="D1064" s="226" t="s">
        <v>295</v>
      </c>
      <c r="E1064" s="226"/>
      <c r="F1064" s="226"/>
      <c r="G1064" s="226"/>
      <c r="H1064" s="226"/>
      <c r="I1064" s="226"/>
      <c r="J1064" s="226"/>
      <c r="K1064" s="226"/>
      <c r="L1064" s="226"/>
      <c r="M1064" s="226"/>
      <c r="N1064" s="226"/>
      <c r="O1064" s="226"/>
      <c r="P1064" s="226"/>
      <c r="Q1064" s="226"/>
      <c r="R1064" s="226"/>
      <c r="S1064" s="226"/>
      <c r="T1064" s="227">
        <v>6.3152549000000002</v>
      </c>
      <c r="U1064" s="226"/>
      <c r="V1064" s="226"/>
      <c r="W1064" s="226" t="s">
        <v>4832</v>
      </c>
      <c r="X1064" s="226" t="s">
        <v>4357</v>
      </c>
    </row>
    <row r="1065" spans="1:24" hidden="1" x14ac:dyDescent="0.25">
      <c r="A1065" s="114" t="str">
        <f t="shared" si="49"/>
        <v>5865</v>
      </c>
      <c r="B1065" s="226" t="s">
        <v>4538</v>
      </c>
      <c r="C1065" s="226" t="s">
        <v>298</v>
      </c>
      <c r="D1065" s="226" t="s">
        <v>297</v>
      </c>
      <c r="E1065" s="226"/>
      <c r="F1065" s="226"/>
      <c r="G1065" s="226"/>
      <c r="H1065" s="226"/>
      <c r="I1065" s="226"/>
      <c r="J1065" s="226"/>
      <c r="K1065" s="226"/>
      <c r="L1065" s="226"/>
      <c r="M1065" s="226"/>
      <c r="N1065" s="226"/>
      <c r="O1065" s="226"/>
      <c r="P1065" s="226"/>
      <c r="Q1065" s="226"/>
      <c r="R1065" s="226"/>
      <c r="S1065" s="226"/>
      <c r="T1065" s="227">
        <v>12.22765594</v>
      </c>
      <c r="U1065" s="226"/>
      <c r="V1065" s="226"/>
      <c r="W1065" s="226" t="s">
        <v>4832</v>
      </c>
      <c r="X1065" s="226" t="s">
        <v>4357</v>
      </c>
    </row>
    <row r="1066" spans="1:24" hidden="1" x14ac:dyDescent="0.25">
      <c r="A1066" s="114" t="str">
        <f t="shared" si="49"/>
        <v>5917</v>
      </c>
      <c r="B1066" s="226" t="s">
        <v>4559</v>
      </c>
      <c r="C1066" s="226" t="s">
        <v>915</v>
      </c>
      <c r="D1066" s="226" t="s">
        <v>914</v>
      </c>
      <c r="E1066" s="226"/>
      <c r="F1066" s="226"/>
      <c r="G1066" s="226"/>
      <c r="H1066" s="226"/>
      <c r="I1066" s="226"/>
      <c r="J1066" s="226"/>
      <c r="K1066" s="226"/>
      <c r="L1066" s="226"/>
      <c r="M1066" s="226"/>
      <c r="N1066" s="226"/>
      <c r="O1066" s="226"/>
      <c r="P1066" s="226"/>
      <c r="Q1066" s="226"/>
      <c r="R1066" s="226"/>
      <c r="S1066" s="226"/>
      <c r="T1066" s="227">
        <v>4.2379654499999999</v>
      </c>
      <c r="U1066" s="226"/>
      <c r="V1066" s="226"/>
      <c r="W1066" s="226" t="s">
        <v>4832</v>
      </c>
      <c r="X1066" s="226" t="s">
        <v>4357</v>
      </c>
    </row>
    <row r="1067" spans="1:24" hidden="1" x14ac:dyDescent="0.25">
      <c r="A1067" s="114" t="str">
        <f t="shared" si="49"/>
        <v>2011</v>
      </c>
      <c r="B1067" s="226" t="s">
        <v>4486</v>
      </c>
      <c r="C1067" s="226" t="s">
        <v>306</v>
      </c>
      <c r="D1067" s="226" t="s">
        <v>305</v>
      </c>
      <c r="E1067" s="226"/>
      <c r="F1067" s="226"/>
      <c r="G1067" s="226"/>
      <c r="H1067" s="226"/>
      <c r="I1067" s="226"/>
      <c r="J1067" s="226"/>
      <c r="K1067" s="226"/>
      <c r="L1067" s="226"/>
      <c r="M1067" s="226"/>
      <c r="N1067" s="226"/>
      <c r="O1067" s="226"/>
      <c r="P1067" s="226"/>
      <c r="Q1067" s="226"/>
      <c r="R1067" s="226"/>
      <c r="S1067" s="226"/>
      <c r="T1067" s="227">
        <v>12.22765594</v>
      </c>
      <c r="U1067" s="226"/>
      <c r="V1067" s="226"/>
      <c r="W1067" s="226" t="s">
        <v>4832</v>
      </c>
      <c r="X1067" s="226" t="s">
        <v>4357</v>
      </c>
    </row>
    <row r="1068" spans="1:24" hidden="1" x14ac:dyDescent="0.25">
      <c r="A1068" s="114" t="str">
        <f t="shared" si="49"/>
        <v>2011</v>
      </c>
      <c r="B1068" s="226" t="s">
        <v>4486</v>
      </c>
      <c r="C1068" s="226" t="s">
        <v>304</v>
      </c>
      <c r="D1068" s="226" t="s">
        <v>303</v>
      </c>
      <c r="E1068" s="226"/>
      <c r="F1068" s="226"/>
      <c r="G1068" s="226"/>
      <c r="H1068" s="226"/>
      <c r="I1068" s="226"/>
      <c r="J1068" s="226"/>
      <c r="K1068" s="226"/>
      <c r="L1068" s="226"/>
      <c r="M1068" s="226"/>
      <c r="N1068" s="226"/>
      <c r="O1068" s="226"/>
      <c r="P1068" s="226"/>
      <c r="Q1068" s="226"/>
      <c r="R1068" s="226"/>
      <c r="S1068" s="226"/>
      <c r="T1068" s="227">
        <v>12.22765594</v>
      </c>
      <c r="U1068" s="226"/>
      <c r="V1068" s="226"/>
      <c r="W1068" s="226" t="s">
        <v>4832</v>
      </c>
      <c r="X1068" s="226" t="s">
        <v>4357</v>
      </c>
    </row>
    <row r="1069" spans="1:24" hidden="1" x14ac:dyDescent="0.25">
      <c r="A1069" s="114" t="str">
        <f t="shared" si="49"/>
        <v>2011</v>
      </c>
      <c r="B1069" s="226" t="s">
        <v>4486</v>
      </c>
      <c r="C1069" s="226" t="s">
        <v>4995</v>
      </c>
      <c r="D1069" s="226" t="s">
        <v>3972</v>
      </c>
      <c r="E1069" s="226"/>
      <c r="F1069" s="226"/>
      <c r="G1069" s="226"/>
      <c r="H1069" s="226"/>
      <c r="I1069" s="226"/>
      <c r="J1069" s="226"/>
      <c r="K1069" s="226"/>
      <c r="L1069" s="226"/>
      <c r="M1069" s="226"/>
      <c r="N1069" s="226"/>
      <c r="O1069" s="226"/>
      <c r="P1069" s="226"/>
      <c r="Q1069" s="226"/>
      <c r="R1069" s="226"/>
      <c r="S1069" s="226"/>
      <c r="T1069" s="227">
        <v>12.22765594</v>
      </c>
      <c r="U1069" s="226"/>
      <c r="V1069" s="226"/>
      <c r="W1069" s="226" t="s">
        <v>4832</v>
      </c>
      <c r="X1069" s="226" t="s">
        <v>4357</v>
      </c>
    </row>
    <row r="1070" spans="1:24" hidden="1" x14ac:dyDescent="0.25">
      <c r="A1070" s="114" t="str">
        <f t="shared" si="49"/>
        <v>2304</v>
      </c>
      <c r="B1070" s="226" t="s">
        <v>2810</v>
      </c>
      <c r="C1070" s="226" t="s">
        <v>322</v>
      </c>
      <c r="D1070" s="226" t="s">
        <v>321</v>
      </c>
      <c r="E1070" s="226"/>
      <c r="F1070" s="226"/>
      <c r="G1070" s="226"/>
      <c r="H1070" s="226"/>
      <c r="I1070" s="226"/>
      <c r="J1070" s="226"/>
      <c r="K1070" s="226"/>
      <c r="L1070" s="226"/>
      <c r="M1070" s="226"/>
      <c r="N1070" s="226"/>
      <c r="O1070" s="226"/>
      <c r="P1070" s="226"/>
      <c r="Q1070" s="226"/>
      <c r="R1070" s="226"/>
      <c r="S1070" s="226"/>
      <c r="T1070" s="227">
        <v>4.2379654499999999</v>
      </c>
      <c r="U1070" s="226"/>
      <c r="V1070" s="226"/>
      <c r="W1070" s="226" t="s">
        <v>4832</v>
      </c>
      <c r="X1070" s="226" t="s">
        <v>4357</v>
      </c>
    </row>
    <row r="1071" spans="1:24" hidden="1" x14ac:dyDescent="0.25">
      <c r="A1071" s="114" t="str">
        <f t="shared" si="49"/>
        <v>2304</v>
      </c>
      <c r="B1071" s="226" t="s">
        <v>2810</v>
      </c>
      <c r="C1071" s="226" t="s">
        <v>328</v>
      </c>
      <c r="D1071" s="226" t="s">
        <v>327</v>
      </c>
      <c r="E1071" s="226"/>
      <c r="F1071" s="226"/>
      <c r="G1071" s="226"/>
      <c r="H1071" s="226"/>
      <c r="I1071" s="226"/>
      <c r="J1071" s="226"/>
      <c r="K1071" s="226"/>
      <c r="L1071" s="226"/>
      <c r="M1071" s="226"/>
      <c r="N1071" s="226"/>
      <c r="O1071" s="226"/>
      <c r="P1071" s="226"/>
      <c r="Q1071" s="226"/>
      <c r="R1071" s="226"/>
      <c r="S1071" s="226"/>
      <c r="T1071" s="227">
        <v>4.2379654499999999</v>
      </c>
      <c r="U1071" s="226"/>
      <c r="V1071" s="226"/>
      <c r="W1071" s="226" t="s">
        <v>4832</v>
      </c>
      <c r="X1071" s="226" t="s">
        <v>4357</v>
      </c>
    </row>
    <row r="1072" spans="1:24" hidden="1" x14ac:dyDescent="0.25">
      <c r="A1072" s="114" t="str">
        <f t="shared" ref="A1072:A1135" si="50">RIGHT(LEFT(D1072,6),4)</f>
        <v>2304</v>
      </c>
      <c r="B1072" s="226" t="s">
        <v>2810</v>
      </c>
      <c r="C1072" s="226" t="s">
        <v>319</v>
      </c>
      <c r="D1072" s="226" t="s">
        <v>318</v>
      </c>
      <c r="E1072" s="226"/>
      <c r="F1072" s="226"/>
      <c r="G1072" s="226"/>
      <c r="H1072" s="226"/>
      <c r="I1072" s="226"/>
      <c r="J1072" s="226"/>
      <c r="K1072" s="226"/>
      <c r="L1072" s="226"/>
      <c r="M1072" s="226"/>
      <c r="N1072" s="226"/>
      <c r="O1072" s="226"/>
      <c r="P1072" s="226"/>
      <c r="Q1072" s="226"/>
      <c r="R1072" s="226"/>
      <c r="S1072" s="226"/>
      <c r="T1072" s="228">
        <v>4.2379654499999999</v>
      </c>
      <c r="U1072" s="226"/>
      <c r="V1072" s="226"/>
      <c r="W1072" s="226" t="s">
        <v>4832</v>
      </c>
      <c r="X1072" s="226" t="s">
        <v>4357</v>
      </c>
    </row>
    <row r="1073" spans="1:24" hidden="1" x14ac:dyDescent="0.25">
      <c r="A1073" s="114" t="str">
        <f t="shared" si="50"/>
        <v>2304</v>
      </c>
      <c r="B1073" s="226" t="s">
        <v>2810</v>
      </c>
      <c r="C1073" s="226" t="s">
        <v>330</v>
      </c>
      <c r="D1073" s="226" t="s">
        <v>329</v>
      </c>
      <c r="E1073" s="226"/>
      <c r="F1073" s="226"/>
      <c r="G1073" s="226"/>
      <c r="H1073" s="226"/>
      <c r="I1073" s="226"/>
      <c r="J1073" s="226"/>
      <c r="K1073" s="226"/>
      <c r="L1073" s="226"/>
      <c r="M1073" s="226"/>
      <c r="N1073" s="226"/>
      <c r="O1073" s="226"/>
      <c r="P1073" s="226"/>
      <c r="Q1073" s="226"/>
      <c r="R1073" s="226"/>
      <c r="S1073" s="226"/>
      <c r="T1073" s="228">
        <v>4.2379654499999999</v>
      </c>
      <c r="U1073" s="226"/>
      <c r="V1073" s="226"/>
      <c r="W1073" s="226" t="s">
        <v>4832</v>
      </c>
      <c r="X1073" s="226" t="s">
        <v>4357</v>
      </c>
    </row>
    <row r="1074" spans="1:24" hidden="1" x14ac:dyDescent="0.25">
      <c r="A1074" s="114" t="str">
        <f t="shared" si="50"/>
        <v>2304</v>
      </c>
      <c r="B1074" s="228" t="s">
        <v>2810</v>
      </c>
      <c r="C1074" s="228" t="s">
        <v>325</v>
      </c>
      <c r="D1074" s="228" t="s">
        <v>324</v>
      </c>
      <c r="E1074" s="228"/>
      <c r="F1074" s="228"/>
      <c r="G1074" s="228"/>
      <c r="H1074" s="228"/>
      <c r="I1074" s="228"/>
      <c r="J1074" s="228"/>
      <c r="K1074" s="228"/>
      <c r="L1074" s="228"/>
      <c r="M1074" s="228"/>
      <c r="N1074" s="228"/>
      <c r="O1074" s="228"/>
      <c r="P1074" s="228"/>
      <c r="Q1074" s="228"/>
      <c r="R1074" s="228"/>
      <c r="S1074" s="228"/>
      <c r="T1074" s="228">
        <v>4.2379654499999999</v>
      </c>
      <c r="U1074" s="228"/>
      <c r="V1074" s="228"/>
      <c r="W1074" s="226" t="s">
        <v>4832</v>
      </c>
      <c r="X1074" s="226" t="s">
        <v>4357</v>
      </c>
    </row>
    <row r="1075" spans="1:24" hidden="1" x14ac:dyDescent="0.25">
      <c r="A1075" s="114" t="str">
        <f t="shared" si="50"/>
        <v>2047</v>
      </c>
      <c r="B1075" s="228" t="s">
        <v>2802</v>
      </c>
      <c r="C1075" s="228" t="s">
        <v>335</v>
      </c>
      <c r="D1075" s="228" t="s">
        <v>334</v>
      </c>
      <c r="E1075" s="228"/>
      <c r="F1075" s="228"/>
      <c r="G1075" s="228"/>
      <c r="H1075" s="228"/>
      <c r="I1075" s="228"/>
      <c r="J1075" s="228"/>
      <c r="K1075" s="228"/>
      <c r="L1075" s="228"/>
      <c r="M1075" s="228"/>
      <c r="N1075" s="228"/>
      <c r="O1075" s="228"/>
      <c r="P1075" s="228"/>
      <c r="Q1075" s="228"/>
      <c r="R1075" s="228"/>
      <c r="S1075" s="228"/>
      <c r="T1075" s="228">
        <v>228.38915384000001</v>
      </c>
      <c r="U1075" s="228"/>
      <c r="V1075" s="228"/>
      <c r="W1075" s="226" t="s">
        <v>4832</v>
      </c>
      <c r="X1075" s="226" t="s">
        <v>4357</v>
      </c>
    </row>
    <row r="1076" spans="1:24" hidden="1" x14ac:dyDescent="0.25">
      <c r="A1076" s="114" t="str">
        <f t="shared" si="50"/>
        <v>0086</v>
      </c>
      <c r="B1076" s="228" t="s">
        <v>2807</v>
      </c>
      <c r="C1076" s="228" t="s">
        <v>5390</v>
      </c>
      <c r="D1076" s="228" t="s">
        <v>370</v>
      </c>
      <c r="E1076" s="228"/>
      <c r="F1076" s="228"/>
      <c r="G1076" s="228"/>
      <c r="H1076" s="228"/>
      <c r="I1076" s="228"/>
      <c r="J1076" s="228"/>
      <c r="K1076" s="228"/>
      <c r="L1076" s="228"/>
      <c r="M1076" s="228"/>
      <c r="N1076" s="228"/>
      <c r="O1076" s="228"/>
      <c r="P1076" s="228"/>
      <c r="Q1076" s="228"/>
      <c r="R1076" s="228"/>
      <c r="S1076" s="228"/>
      <c r="T1076" s="228">
        <v>4.0032245</v>
      </c>
      <c r="U1076" s="228"/>
      <c r="V1076" s="228"/>
      <c r="W1076" s="226" t="s">
        <v>4832</v>
      </c>
      <c r="X1076" s="226" t="s">
        <v>4357</v>
      </c>
    </row>
    <row r="1077" spans="1:24" hidden="1" x14ac:dyDescent="0.25">
      <c r="A1077" s="114" t="str">
        <f t="shared" si="50"/>
        <v>4325</v>
      </c>
      <c r="B1077" s="226" t="s">
        <v>4506</v>
      </c>
      <c r="C1077" s="226" t="s">
        <v>394</v>
      </c>
      <c r="D1077" s="226" t="s">
        <v>393</v>
      </c>
      <c r="E1077" s="226"/>
      <c r="F1077" s="226"/>
      <c r="G1077" s="226"/>
      <c r="H1077" s="226"/>
      <c r="I1077" s="226"/>
      <c r="J1077" s="226"/>
      <c r="K1077" s="226"/>
      <c r="L1077" s="226"/>
      <c r="M1077" s="226"/>
      <c r="N1077" s="226"/>
      <c r="O1077" s="226"/>
      <c r="P1077" s="226"/>
      <c r="Q1077" s="226"/>
      <c r="R1077" s="226"/>
      <c r="S1077" s="226"/>
      <c r="T1077" s="227">
        <v>295.20288226000002</v>
      </c>
      <c r="U1077" s="226"/>
      <c r="V1077" s="226"/>
      <c r="W1077" s="226" t="s">
        <v>4832</v>
      </c>
      <c r="X1077" s="226" t="s">
        <v>4357</v>
      </c>
    </row>
    <row r="1078" spans="1:24" hidden="1" x14ac:dyDescent="0.25">
      <c r="A1078" s="114" t="str">
        <f t="shared" si="50"/>
        <v>4325</v>
      </c>
      <c r="B1078" s="228" t="s">
        <v>4506</v>
      </c>
      <c r="C1078" s="228" t="s">
        <v>398</v>
      </c>
      <c r="D1078" s="228" t="s">
        <v>397</v>
      </c>
      <c r="E1078" s="228"/>
      <c r="F1078" s="228"/>
      <c r="G1078" s="228"/>
      <c r="H1078" s="228"/>
      <c r="I1078" s="228"/>
      <c r="J1078" s="228"/>
      <c r="K1078" s="228"/>
      <c r="L1078" s="228"/>
      <c r="M1078" s="228"/>
      <c r="N1078" s="228"/>
      <c r="O1078" s="228"/>
      <c r="P1078" s="228"/>
      <c r="Q1078" s="228"/>
      <c r="R1078" s="228"/>
      <c r="S1078" s="228"/>
      <c r="T1078" s="228">
        <v>295.20288226000002</v>
      </c>
      <c r="U1078" s="228"/>
      <c r="V1078" s="228"/>
      <c r="W1078" s="226" t="s">
        <v>4832</v>
      </c>
      <c r="X1078" s="226" t="s">
        <v>4357</v>
      </c>
    </row>
    <row r="1079" spans="1:24" hidden="1" x14ac:dyDescent="0.25">
      <c r="A1079" s="114" t="str">
        <f t="shared" si="50"/>
        <v>4329</v>
      </c>
      <c r="B1079" s="228" t="s">
        <v>4507</v>
      </c>
      <c r="C1079" s="228" t="s">
        <v>401</v>
      </c>
      <c r="D1079" s="228" t="s">
        <v>400</v>
      </c>
      <c r="E1079" s="228"/>
      <c r="F1079" s="228"/>
      <c r="G1079" s="228"/>
      <c r="H1079" s="228"/>
      <c r="I1079" s="228"/>
      <c r="J1079" s="228"/>
      <c r="K1079" s="228"/>
      <c r="L1079" s="228"/>
      <c r="M1079" s="228"/>
      <c r="N1079" s="228"/>
      <c r="O1079" s="228"/>
      <c r="P1079" s="228"/>
      <c r="Q1079" s="228"/>
      <c r="R1079" s="228"/>
      <c r="S1079" s="228"/>
      <c r="T1079" s="228">
        <v>295.20288226000002</v>
      </c>
      <c r="U1079" s="228"/>
      <c r="V1079" s="228"/>
      <c r="W1079" s="226" t="s">
        <v>4832</v>
      </c>
      <c r="X1079" s="226" t="s">
        <v>4357</v>
      </c>
    </row>
    <row r="1080" spans="1:24" hidden="1" x14ac:dyDescent="0.25">
      <c r="A1080" s="114" t="str">
        <f t="shared" si="50"/>
        <v>0202</v>
      </c>
      <c r="B1080" s="226" t="s">
        <v>4553</v>
      </c>
      <c r="C1080" s="226" t="s">
        <v>403</v>
      </c>
      <c r="D1080" s="226" t="s">
        <v>402</v>
      </c>
      <c r="E1080" s="226"/>
      <c r="F1080" s="226"/>
      <c r="G1080" s="226"/>
      <c r="H1080" s="226"/>
      <c r="I1080" s="226"/>
      <c r="J1080" s="226"/>
      <c r="K1080" s="226"/>
      <c r="L1080" s="226"/>
      <c r="M1080" s="226"/>
      <c r="N1080" s="226"/>
      <c r="O1080" s="226"/>
      <c r="P1080" s="226"/>
      <c r="Q1080" s="226"/>
      <c r="R1080" s="226"/>
      <c r="S1080" s="226"/>
      <c r="T1080" s="227">
        <v>33.06438043</v>
      </c>
      <c r="U1080" s="226"/>
      <c r="V1080" s="228"/>
      <c r="W1080" s="226" t="s">
        <v>4832</v>
      </c>
      <c r="X1080" s="226" t="s">
        <v>4357</v>
      </c>
    </row>
    <row r="1081" spans="1:24" hidden="1" x14ac:dyDescent="0.25">
      <c r="A1081" s="114" t="str">
        <f t="shared" si="50"/>
        <v>0201</v>
      </c>
      <c r="B1081" s="226" t="s">
        <v>2809</v>
      </c>
      <c r="C1081" s="226" t="s">
        <v>413</v>
      </c>
      <c r="D1081" s="226" t="s">
        <v>412</v>
      </c>
      <c r="E1081" s="226"/>
      <c r="F1081" s="226"/>
      <c r="G1081" s="226"/>
      <c r="H1081" s="226"/>
      <c r="I1081" s="226"/>
      <c r="J1081" s="226"/>
      <c r="K1081" s="226"/>
      <c r="L1081" s="226"/>
      <c r="M1081" s="226"/>
      <c r="N1081" s="226"/>
      <c r="O1081" s="226"/>
      <c r="P1081" s="226"/>
      <c r="Q1081" s="226"/>
      <c r="R1081" s="226"/>
      <c r="S1081" s="226"/>
      <c r="T1081" s="227">
        <v>12.22765594</v>
      </c>
      <c r="U1081" s="226"/>
      <c r="V1081" s="228"/>
      <c r="W1081" s="226" t="s">
        <v>4832</v>
      </c>
      <c r="X1081" s="226" t="s">
        <v>4357</v>
      </c>
    </row>
    <row r="1082" spans="1:24" hidden="1" x14ac:dyDescent="0.25">
      <c r="A1082" s="114" t="str">
        <f t="shared" si="50"/>
        <v>0201</v>
      </c>
      <c r="B1082" s="226" t="s">
        <v>2809</v>
      </c>
      <c r="C1082" s="226" t="s">
        <v>416</v>
      </c>
      <c r="D1082" s="226" t="s">
        <v>415</v>
      </c>
      <c r="E1082" s="226"/>
      <c r="F1082" s="226"/>
      <c r="G1082" s="226"/>
      <c r="H1082" s="226"/>
      <c r="I1082" s="226"/>
      <c r="J1082" s="226"/>
      <c r="K1082" s="226"/>
      <c r="L1082" s="226"/>
      <c r="M1082" s="226"/>
      <c r="N1082" s="226"/>
      <c r="O1082" s="226"/>
      <c r="P1082" s="226"/>
      <c r="Q1082" s="226"/>
      <c r="R1082" s="226"/>
      <c r="S1082" s="226"/>
      <c r="T1082" s="227">
        <v>12.22765594</v>
      </c>
      <c r="U1082" s="226"/>
      <c r="V1082" s="226"/>
      <c r="W1082" s="226" t="s">
        <v>4832</v>
      </c>
      <c r="X1082" s="226" t="s">
        <v>4357</v>
      </c>
    </row>
    <row r="1083" spans="1:24" hidden="1" x14ac:dyDescent="0.25">
      <c r="A1083" s="114" t="str">
        <f t="shared" si="50"/>
        <v>0201</v>
      </c>
      <c r="B1083" s="226" t="s">
        <v>5553</v>
      </c>
      <c r="C1083" s="226" t="s">
        <v>409</v>
      </c>
      <c r="D1083" s="226" t="s">
        <v>408</v>
      </c>
      <c r="E1083" s="226"/>
      <c r="F1083" s="226"/>
      <c r="G1083" s="226"/>
      <c r="H1083" s="226"/>
      <c r="I1083" s="226"/>
      <c r="J1083" s="226"/>
      <c r="K1083" s="226"/>
      <c r="L1083" s="226"/>
      <c r="M1083" s="226"/>
      <c r="N1083" s="226"/>
      <c r="O1083" s="226"/>
      <c r="P1083" s="226"/>
      <c r="Q1083" s="226"/>
      <c r="R1083" s="226"/>
      <c r="S1083" s="226"/>
      <c r="T1083" s="227">
        <v>12.22765594</v>
      </c>
      <c r="U1083" s="226"/>
      <c r="V1083" s="228"/>
      <c r="W1083" s="226" t="s">
        <v>4832</v>
      </c>
      <c r="X1083" s="226" t="s">
        <v>4357</v>
      </c>
    </row>
    <row r="1084" spans="1:24" hidden="1" x14ac:dyDescent="0.25">
      <c r="A1084" s="114" t="str">
        <f t="shared" si="50"/>
        <v>0204</v>
      </c>
      <c r="B1084" s="226" t="s">
        <v>2800</v>
      </c>
      <c r="C1084" s="226" t="s">
        <v>419</v>
      </c>
      <c r="D1084" s="226" t="s">
        <v>418</v>
      </c>
      <c r="E1084" s="226"/>
      <c r="F1084" s="226"/>
      <c r="G1084" s="226"/>
      <c r="H1084" s="226"/>
      <c r="I1084" s="226"/>
      <c r="J1084" s="226"/>
      <c r="K1084" s="226"/>
      <c r="L1084" s="226"/>
      <c r="M1084" s="226"/>
      <c r="N1084" s="226"/>
      <c r="O1084" s="226"/>
      <c r="P1084" s="226"/>
      <c r="Q1084" s="226"/>
      <c r="R1084" s="226"/>
      <c r="S1084" s="226"/>
      <c r="T1084" s="227">
        <v>12.22765594</v>
      </c>
      <c r="U1084" s="226"/>
      <c r="V1084" s="226"/>
      <c r="W1084" s="226" t="s">
        <v>4832</v>
      </c>
      <c r="X1084" s="226" t="s">
        <v>4357</v>
      </c>
    </row>
    <row r="1085" spans="1:24" hidden="1" x14ac:dyDescent="0.25">
      <c r="A1085" s="114" t="str">
        <f t="shared" si="50"/>
        <v>1114</v>
      </c>
      <c r="B1085" s="226" t="s">
        <v>4524</v>
      </c>
      <c r="C1085" s="226" t="s">
        <v>539</v>
      </c>
      <c r="D1085" s="226" t="s">
        <v>538</v>
      </c>
      <c r="E1085" s="226"/>
      <c r="F1085" s="226"/>
      <c r="G1085" s="226"/>
      <c r="H1085" s="226"/>
      <c r="I1085" s="226"/>
      <c r="J1085" s="226"/>
      <c r="K1085" s="226"/>
      <c r="L1085" s="226"/>
      <c r="M1085" s="226"/>
      <c r="N1085" s="226"/>
      <c r="O1085" s="226"/>
      <c r="P1085" s="226"/>
      <c r="Q1085" s="226"/>
      <c r="R1085" s="226"/>
      <c r="S1085" s="226"/>
      <c r="T1085" s="227">
        <v>31.33247536</v>
      </c>
      <c r="U1085" s="226"/>
      <c r="V1085" s="226"/>
      <c r="W1085" s="226" t="s">
        <v>4832</v>
      </c>
      <c r="X1085" s="226" t="s">
        <v>4357</v>
      </c>
    </row>
    <row r="1086" spans="1:24" hidden="1" x14ac:dyDescent="0.25">
      <c r="A1086" s="114" t="str">
        <f t="shared" si="50"/>
        <v>7425</v>
      </c>
      <c r="B1086" s="226" t="s">
        <v>4455</v>
      </c>
      <c r="C1086" s="226" t="s">
        <v>542</v>
      </c>
      <c r="D1086" s="226" t="s">
        <v>541</v>
      </c>
      <c r="E1086" s="226"/>
      <c r="F1086" s="226"/>
      <c r="G1086" s="226"/>
      <c r="H1086" s="226"/>
      <c r="I1086" s="226"/>
      <c r="J1086" s="226"/>
      <c r="K1086" s="226"/>
      <c r="L1086" s="226"/>
      <c r="M1086" s="226"/>
      <c r="N1086" s="226"/>
      <c r="O1086" s="226"/>
      <c r="P1086" s="226"/>
      <c r="Q1086" s="226"/>
      <c r="R1086" s="226"/>
      <c r="S1086" s="226"/>
      <c r="T1086" s="227">
        <v>31.33247536</v>
      </c>
      <c r="U1086" s="226"/>
      <c r="V1086" s="226"/>
      <c r="W1086" s="226" t="s">
        <v>4832</v>
      </c>
      <c r="X1086" s="226" t="s">
        <v>4357</v>
      </c>
    </row>
    <row r="1087" spans="1:24" hidden="1" x14ac:dyDescent="0.25">
      <c r="A1087" s="114" t="str">
        <f t="shared" si="50"/>
        <v>1105</v>
      </c>
      <c r="B1087" s="226" t="s">
        <v>4454</v>
      </c>
      <c r="C1087" s="226" t="s">
        <v>545</v>
      </c>
      <c r="D1087" s="226" t="s">
        <v>544</v>
      </c>
      <c r="E1087" s="226"/>
      <c r="F1087" s="226"/>
      <c r="G1087" s="226"/>
      <c r="H1087" s="226"/>
      <c r="I1087" s="226"/>
      <c r="J1087" s="226"/>
      <c r="K1087" s="226"/>
      <c r="L1087" s="226"/>
      <c r="M1087" s="226"/>
      <c r="N1087" s="226"/>
      <c r="O1087" s="226"/>
      <c r="P1087" s="226"/>
      <c r="Q1087" s="226"/>
      <c r="R1087" s="226"/>
      <c r="S1087" s="226"/>
      <c r="T1087" s="227">
        <v>31.33247536</v>
      </c>
      <c r="U1087" s="226"/>
      <c r="V1087" s="226"/>
      <c r="W1087" s="226" t="s">
        <v>4832</v>
      </c>
      <c r="X1087" s="226" t="s">
        <v>4357</v>
      </c>
    </row>
    <row r="1088" spans="1:24" hidden="1" x14ac:dyDescent="0.25">
      <c r="A1088" s="114" t="str">
        <f t="shared" si="50"/>
        <v>5132</v>
      </c>
      <c r="B1088" s="226" t="s">
        <v>2813</v>
      </c>
      <c r="C1088" s="226" t="s">
        <v>829</v>
      </c>
      <c r="D1088" s="226" t="s">
        <v>828</v>
      </c>
      <c r="E1088" s="226"/>
      <c r="F1088" s="226"/>
      <c r="G1088" s="226"/>
      <c r="H1088" s="226"/>
      <c r="I1088" s="226"/>
      <c r="J1088" s="226"/>
      <c r="K1088" s="226"/>
      <c r="L1088" s="226"/>
      <c r="M1088" s="226"/>
      <c r="N1088" s="226"/>
      <c r="O1088" s="226"/>
      <c r="P1088" s="226"/>
      <c r="Q1088" s="226"/>
      <c r="R1088" s="226"/>
      <c r="S1088" s="226"/>
      <c r="T1088" s="227">
        <v>31.33247536</v>
      </c>
      <c r="U1088" s="226"/>
      <c r="V1088" s="226"/>
      <c r="W1088" s="226" t="s">
        <v>4832</v>
      </c>
      <c r="X1088" s="226" t="s">
        <v>4357</v>
      </c>
    </row>
    <row r="1089" spans="1:24" hidden="1" x14ac:dyDescent="0.25">
      <c r="A1089" s="114" t="str">
        <f t="shared" si="50"/>
        <v>2107</v>
      </c>
      <c r="B1089" s="226" t="s">
        <v>2814</v>
      </c>
      <c r="C1089" s="226" t="s">
        <v>430</v>
      </c>
      <c r="D1089" s="226" t="s">
        <v>429</v>
      </c>
      <c r="E1089" s="226"/>
      <c r="F1089" s="226"/>
      <c r="G1089" s="226"/>
      <c r="H1089" s="226"/>
      <c r="I1089" s="226"/>
      <c r="J1089" s="226"/>
      <c r="K1089" s="226"/>
      <c r="L1089" s="226"/>
      <c r="M1089" s="226"/>
      <c r="N1089" s="226"/>
      <c r="O1089" s="226"/>
      <c r="P1089" s="226"/>
      <c r="Q1089" s="226"/>
      <c r="R1089" s="226"/>
      <c r="S1089" s="226"/>
      <c r="T1089" s="227">
        <v>33.06438043</v>
      </c>
      <c r="U1089" s="226"/>
      <c r="V1089" s="226"/>
      <c r="W1089" s="226" t="s">
        <v>4832</v>
      </c>
      <c r="X1089" s="226" t="s">
        <v>4357</v>
      </c>
    </row>
    <row r="1090" spans="1:24" hidden="1" x14ac:dyDescent="0.25">
      <c r="A1090" s="114" t="str">
        <f t="shared" si="50"/>
        <v>2107</v>
      </c>
      <c r="B1090" s="226" t="s">
        <v>2814</v>
      </c>
      <c r="C1090" s="226" t="s">
        <v>430</v>
      </c>
      <c r="D1090" s="226" t="s">
        <v>429</v>
      </c>
      <c r="E1090" s="226"/>
      <c r="F1090" s="226"/>
      <c r="G1090" s="226"/>
      <c r="H1090" s="226"/>
      <c r="I1090" s="226"/>
      <c r="J1090" s="226"/>
      <c r="K1090" s="226"/>
      <c r="L1090" s="226"/>
      <c r="M1090" s="226"/>
      <c r="N1090" s="226"/>
      <c r="O1090" s="226"/>
      <c r="P1090" s="226"/>
      <c r="Q1090" s="226"/>
      <c r="R1090" s="226"/>
      <c r="S1090" s="226"/>
      <c r="T1090" s="227">
        <v>33.06438043</v>
      </c>
      <c r="U1090" s="226"/>
      <c r="V1090" s="226"/>
      <c r="W1090" s="226" t="s">
        <v>4832</v>
      </c>
      <c r="X1090" s="226" t="s">
        <v>4357</v>
      </c>
    </row>
    <row r="1091" spans="1:24" hidden="1" x14ac:dyDescent="0.25">
      <c r="A1091" s="114" t="str">
        <f t="shared" si="50"/>
        <v>2107</v>
      </c>
      <c r="B1091" s="226" t="s">
        <v>2814</v>
      </c>
      <c r="C1091" s="226" t="s">
        <v>430</v>
      </c>
      <c r="D1091" s="226" t="s">
        <v>429</v>
      </c>
      <c r="E1091" s="226"/>
      <c r="F1091" s="226"/>
      <c r="G1091" s="226"/>
      <c r="H1091" s="226"/>
      <c r="I1091" s="226"/>
      <c r="J1091" s="226"/>
      <c r="K1091" s="226"/>
      <c r="L1091" s="226"/>
      <c r="M1091" s="226"/>
      <c r="N1091" s="226"/>
      <c r="O1091" s="226"/>
      <c r="P1091" s="226"/>
      <c r="Q1091" s="226"/>
      <c r="R1091" s="226"/>
      <c r="S1091" s="226"/>
      <c r="T1091" s="227">
        <v>33.06438043</v>
      </c>
      <c r="U1091" s="226"/>
      <c r="V1091" s="226"/>
      <c r="W1091" s="226" t="s">
        <v>4832</v>
      </c>
      <c r="X1091" s="226" t="s">
        <v>4357</v>
      </c>
    </row>
    <row r="1092" spans="1:24" hidden="1" x14ac:dyDescent="0.25">
      <c r="A1092" s="114" t="str">
        <f t="shared" si="50"/>
        <v>2011</v>
      </c>
      <c r="B1092" s="226" t="s">
        <v>5554</v>
      </c>
      <c r="C1092" s="226" t="s">
        <v>435</v>
      </c>
      <c r="D1092" s="226" t="s">
        <v>434</v>
      </c>
      <c r="E1092" s="226"/>
      <c r="F1092" s="226"/>
      <c r="G1092" s="226"/>
      <c r="H1092" s="226"/>
      <c r="I1092" s="226"/>
      <c r="J1092" s="226"/>
      <c r="K1092" s="226"/>
      <c r="L1092" s="226"/>
      <c r="M1092" s="226"/>
      <c r="N1092" s="226"/>
      <c r="O1092" s="226"/>
      <c r="P1092" s="226"/>
      <c r="Q1092" s="226"/>
      <c r="R1092" s="226"/>
      <c r="S1092" s="226"/>
      <c r="T1092" s="227">
        <v>12.22765594</v>
      </c>
      <c r="U1092" s="226"/>
      <c r="V1092" s="226"/>
      <c r="W1092" s="226" t="s">
        <v>4832</v>
      </c>
      <c r="X1092" s="226" t="s">
        <v>4357</v>
      </c>
    </row>
    <row r="1093" spans="1:24" hidden="1" x14ac:dyDescent="0.25">
      <c r="A1093" s="114" t="str">
        <f t="shared" si="50"/>
        <v>2011</v>
      </c>
      <c r="B1093" s="226" t="s">
        <v>5554</v>
      </c>
      <c r="C1093" s="226" t="s">
        <v>435</v>
      </c>
      <c r="D1093" s="226" t="s">
        <v>434</v>
      </c>
      <c r="E1093" s="226"/>
      <c r="F1093" s="226"/>
      <c r="G1093" s="226"/>
      <c r="H1093" s="226"/>
      <c r="I1093" s="226"/>
      <c r="J1093" s="226"/>
      <c r="K1093" s="226"/>
      <c r="L1093" s="226"/>
      <c r="M1093" s="226"/>
      <c r="N1093" s="226"/>
      <c r="O1093" s="226"/>
      <c r="P1093" s="226"/>
      <c r="Q1093" s="226"/>
      <c r="R1093" s="226"/>
      <c r="S1093" s="226"/>
      <c r="T1093" s="227">
        <v>12.22765594</v>
      </c>
      <c r="U1093" s="226"/>
      <c r="V1093" s="226"/>
      <c r="W1093" s="226" t="s">
        <v>4832</v>
      </c>
      <c r="X1093" s="226" t="s">
        <v>4357</v>
      </c>
    </row>
    <row r="1094" spans="1:24" hidden="1" x14ac:dyDescent="0.25">
      <c r="A1094" s="114" t="str">
        <f t="shared" si="50"/>
        <v>2011</v>
      </c>
      <c r="B1094" s="226" t="s">
        <v>5554</v>
      </c>
      <c r="C1094" s="226" t="s">
        <v>435</v>
      </c>
      <c r="D1094" s="226" t="s">
        <v>434</v>
      </c>
      <c r="E1094" s="226"/>
      <c r="F1094" s="226"/>
      <c r="G1094" s="226"/>
      <c r="H1094" s="226"/>
      <c r="I1094" s="226"/>
      <c r="J1094" s="226"/>
      <c r="K1094" s="226"/>
      <c r="L1094" s="226"/>
      <c r="M1094" s="226"/>
      <c r="N1094" s="226"/>
      <c r="O1094" s="226"/>
      <c r="P1094" s="226"/>
      <c r="Q1094" s="226"/>
      <c r="R1094" s="226"/>
      <c r="S1094" s="226"/>
      <c r="T1094" s="227">
        <v>12.22765594</v>
      </c>
      <c r="U1094" s="226"/>
      <c r="V1094" s="226"/>
      <c r="W1094" s="226" t="s">
        <v>4832</v>
      </c>
      <c r="X1094" s="226" t="s">
        <v>4357</v>
      </c>
    </row>
    <row r="1095" spans="1:24" hidden="1" x14ac:dyDescent="0.25">
      <c r="A1095" s="114" t="str">
        <f t="shared" si="50"/>
        <v>2048</v>
      </c>
      <c r="B1095" s="226" t="s">
        <v>5554</v>
      </c>
      <c r="C1095" s="226" t="s">
        <v>438</v>
      </c>
      <c r="D1095" s="226" t="s">
        <v>437</v>
      </c>
      <c r="E1095" s="226"/>
      <c r="F1095" s="226"/>
      <c r="G1095" s="226"/>
      <c r="H1095" s="226"/>
      <c r="I1095" s="226"/>
      <c r="J1095" s="226"/>
      <c r="K1095" s="226"/>
      <c r="L1095" s="226"/>
      <c r="M1095" s="226"/>
      <c r="N1095" s="226"/>
      <c r="O1095" s="226"/>
      <c r="P1095" s="226"/>
      <c r="Q1095" s="226"/>
      <c r="R1095" s="226"/>
      <c r="S1095" s="226"/>
      <c r="T1095" s="227">
        <v>12.22765594</v>
      </c>
      <c r="U1095" s="226"/>
      <c r="V1095" s="226"/>
      <c r="W1095" s="226" t="s">
        <v>4832</v>
      </c>
      <c r="X1095" s="226" t="s">
        <v>4357</v>
      </c>
    </row>
    <row r="1096" spans="1:24" hidden="1" x14ac:dyDescent="0.25">
      <c r="A1096" s="114" t="str">
        <f t="shared" si="50"/>
        <v>2048</v>
      </c>
      <c r="B1096" s="226" t="s">
        <v>5554</v>
      </c>
      <c r="C1096" s="226" t="s">
        <v>438</v>
      </c>
      <c r="D1096" s="226" t="s">
        <v>437</v>
      </c>
      <c r="E1096" s="226"/>
      <c r="F1096" s="226"/>
      <c r="G1096" s="226"/>
      <c r="H1096" s="226"/>
      <c r="I1096" s="226"/>
      <c r="J1096" s="226"/>
      <c r="K1096" s="226"/>
      <c r="L1096" s="226"/>
      <c r="M1096" s="226"/>
      <c r="N1096" s="226"/>
      <c r="O1096" s="226"/>
      <c r="P1096" s="226"/>
      <c r="Q1096" s="226"/>
      <c r="R1096" s="226"/>
      <c r="S1096" s="226"/>
      <c r="T1096" s="227">
        <v>12.22765594</v>
      </c>
      <c r="U1096" s="226"/>
      <c r="V1096" s="226"/>
      <c r="W1096" s="226" t="s">
        <v>4832</v>
      </c>
      <c r="X1096" s="226" t="s">
        <v>4357</v>
      </c>
    </row>
    <row r="1097" spans="1:24" hidden="1" x14ac:dyDescent="0.25">
      <c r="A1097" s="114" t="str">
        <f t="shared" si="50"/>
        <v>2072</v>
      </c>
      <c r="B1097" s="226" t="s">
        <v>2816</v>
      </c>
      <c r="C1097" s="226" t="s">
        <v>443</v>
      </c>
      <c r="D1097" s="226" t="s">
        <v>442</v>
      </c>
      <c r="E1097" s="226"/>
      <c r="F1097" s="226"/>
      <c r="G1097" s="226"/>
      <c r="H1097" s="226"/>
      <c r="I1097" s="226"/>
      <c r="J1097" s="226"/>
      <c r="K1097" s="226"/>
      <c r="L1097" s="226"/>
      <c r="M1097" s="226"/>
      <c r="N1097" s="226"/>
      <c r="O1097" s="226"/>
      <c r="P1097" s="226"/>
      <c r="Q1097" s="226"/>
      <c r="R1097" s="226"/>
      <c r="S1097" s="226"/>
      <c r="T1097" s="227">
        <v>267.09083670000001</v>
      </c>
      <c r="U1097" s="226"/>
      <c r="V1097" s="226"/>
      <c r="W1097" s="226" t="s">
        <v>4832</v>
      </c>
      <c r="X1097" s="226" t="s">
        <v>4357</v>
      </c>
    </row>
    <row r="1098" spans="1:24" hidden="1" x14ac:dyDescent="0.25">
      <c r="A1098" s="114" t="str">
        <f t="shared" si="50"/>
        <v>2072</v>
      </c>
      <c r="B1098" s="226" t="s">
        <v>2816</v>
      </c>
      <c r="C1098" s="226" t="s">
        <v>443</v>
      </c>
      <c r="D1098" s="226" t="s">
        <v>442</v>
      </c>
      <c r="E1098" s="226"/>
      <c r="F1098" s="226"/>
      <c r="G1098" s="226"/>
      <c r="H1098" s="226"/>
      <c r="I1098" s="226"/>
      <c r="J1098" s="226"/>
      <c r="K1098" s="226"/>
      <c r="L1098" s="226"/>
      <c r="M1098" s="226"/>
      <c r="N1098" s="226"/>
      <c r="O1098" s="226"/>
      <c r="P1098" s="226"/>
      <c r="Q1098" s="226"/>
      <c r="R1098" s="226"/>
      <c r="S1098" s="226"/>
      <c r="T1098" s="227">
        <v>267.09083670000001</v>
      </c>
      <c r="U1098" s="226"/>
      <c r="V1098" s="226"/>
      <c r="W1098" s="226" t="s">
        <v>4832</v>
      </c>
      <c r="X1098" s="226" t="s">
        <v>4357</v>
      </c>
    </row>
    <row r="1099" spans="1:24" hidden="1" x14ac:dyDescent="0.25">
      <c r="A1099" s="114" t="str">
        <f t="shared" si="50"/>
        <v>2072</v>
      </c>
      <c r="B1099" s="226" t="s">
        <v>2816</v>
      </c>
      <c r="C1099" s="226" t="s">
        <v>443</v>
      </c>
      <c r="D1099" s="226" t="s">
        <v>442</v>
      </c>
      <c r="E1099" s="226"/>
      <c r="F1099" s="226"/>
      <c r="G1099" s="226"/>
      <c r="H1099" s="226"/>
      <c r="I1099" s="226"/>
      <c r="J1099" s="226"/>
      <c r="K1099" s="226"/>
      <c r="L1099" s="226"/>
      <c r="M1099" s="226"/>
      <c r="N1099" s="226"/>
      <c r="O1099" s="226"/>
      <c r="P1099" s="226"/>
      <c r="Q1099" s="226"/>
      <c r="R1099" s="226"/>
      <c r="S1099" s="226"/>
      <c r="T1099" s="227">
        <v>267.09083670000001</v>
      </c>
      <c r="U1099" s="226"/>
      <c r="V1099" s="226"/>
      <c r="W1099" s="226" t="s">
        <v>4832</v>
      </c>
      <c r="X1099" s="226" t="s">
        <v>4357</v>
      </c>
    </row>
    <row r="1100" spans="1:24" hidden="1" x14ac:dyDescent="0.25">
      <c r="A1100" s="114" t="str">
        <f t="shared" si="50"/>
        <v>2029</v>
      </c>
      <c r="B1100" s="226" t="s">
        <v>4615</v>
      </c>
      <c r="C1100" s="226" t="s">
        <v>473</v>
      </c>
      <c r="D1100" s="226" t="s">
        <v>472</v>
      </c>
      <c r="E1100" s="226"/>
      <c r="F1100" s="226"/>
      <c r="G1100" s="226"/>
      <c r="H1100" s="226"/>
      <c r="I1100" s="226"/>
      <c r="J1100" s="226"/>
      <c r="K1100" s="226"/>
      <c r="L1100" s="226"/>
      <c r="M1100" s="226"/>
      <c r="N1100" s="226"/>
      <c r="O1100" s="226"/>
      <c r="P1100" s="226"/>
      <c r="Q1100" s="226"/>
      <c r="R1100" s="226"/>
      <c r="S1100" s="226"/>
      <c r="T1100" s="227">
        <v>33.06438043</v>
      </c>
      <c r="U1100" s="226"/>
      <c r="V1100" s="226"/>
      <c r="W1100" s="226" t="s">
        <v>4832</v>
      </c>
      <c r="X1100" s="226" t="s">
        <v>4357</v>
      </c>
    </row>
    <row r="1101" spans="1:24" hidden="1" x14ac:dyDescent="0.25">
      <c r="A1101" s="114" t="str">
        <f t="shared" si="50"/>
        <v>2029</v>
      </c>
      <c r="B1101" s="226" t="s">
        <v>4615</v>
      </c>
      <c r="C1101" s="226" t="s">
        <v>473</v>
      </c>
      <c r="D1101" s="226" t="s">
        <v>472</v>
      </c>
      <c r="E1101" s="226"/>
      <c r="F1101" s="226"/>
      <c r="G1101" s="226"/>
      <c r="H1101" s="226"/>
      <c r="I1101" s="226"/>
      <c r="J1101" s="226"/>
      <c r="K1101" s="226"/>
      <c r="L1101" s="226"/>
      <c r="M1101" s="226"/>
      <c r="N1101" s="226"/>
      <c r="O1101" s="226"/>
      <c r="P1101" s="226"/>
      <c r="Q1101" s="226"/>
      <c r="R1101" s="226"/>
      <c r="S1101" s="226"/>
      <c r="T1101" s="227">
        <v>33.06438043</v>
      </c>
      <c r="U1101" s="226"/>
      <c r="V1101" s="226"/>
      <c r="W1101" s="226" t="s">
        <v>4832</v>
      </c>
      <c r="X1101" s="226" t="s">
        <v>4357</v>
      </c>
    </row>
    <row r="1102" spans="1:24" hidden="1" x14ac:dyDescent="0.25">
      <c r="A1102" s="114" t="str">
        <f t="shared" si="50"/>
        <v>2029</v>
      </c>
      <c r="B1102" s="226" t="s">
        <v>4615</v>
      </c>
      <c r="C1102" s="226" t="s">
        <v>473</v>
      </c>
      <c r="D1102" s="226" t="s">
        <v>472</v>
      </c>
      <c r="E1102" s="226"/>
      <c r="F1102" s="226"/>
      <c r="G1102" s="226"/>
      <c r="H1102" s="226"/>
      <c r="I1102" s="226"/>
      <c r="J1102" s="226"/>
      <c r="K1102" s="226"/>
      <c r="L1102" s="226"/>
      <c r="M1102" s="226"/>
      <c r="N1102" s="226"/>
      <c r="O1102" s="226"/>
      <c r="P1102" s="226"/>
      <c r="Q1102" s="226"/>
      <c r="R1102" s="226"/>
      <c r="S1102" s="226"/>
      <c r="T1102" s="227">
        <v>33.06438043</v>
      </c>
      <c r="U1102" s="226"/>
      <c r="V1102" s="226"/>
      <c r="W1102" s="226" t="s">
        <v>4832</v>
      </c>
      <c r="X1102" s="226" t="s">
        <v>4357</v>
      </c>
    </row>
    <row r="1103" spans="1:24" hidden="1" x14ac:dyDescent="0.25">
      <c r="A1103" s="114" t="str">
        <f t="shared" si="50"/>
        <v>2025</v>
      </c>
      <c r="B1103" s="226" t="s">
        <v>4617</v>
      </c>
      <c r="C1103" s="226" t="s">
        <v>494</v>
      </c>
      <c r="D1103" s="226" t="s">
        <v>493</v>
      </c>
      <c r="E1103" s="226"/>
      <c r="F1103" s="226"/>
      <c r="G1103" s="226"/>
      <c r="H1103" s="226"/>
      <c r="I1103" s="226"/>
      <c r="J1103" s="226"/>
      <c r="K1103" s="226"/>
      <c r="L1103" s="226"/>
      <c r="M1103" s="226"/>
      <c r="N1103" s="226"/>
      <c r="O1103" s="226"/>
      <c r="P1103" s="226"/>
      <c r="Q1103" s="226"/>
      <c r="R1103" s="226"/>
      <c r="S1103" s="226"/>
      <c r="T1103" s="227">
        <v>4.2379654499999999</v>
      </c>
      <c r="U1103" s="226"/>
      <c r="V1103" s="226"/>
      <c r="W1103" s="226" t="s">
        <v>4832</v>
      </c>
      <c r="X1103" s="226" t="s">
        <v>4357</v>
      </c>
    </row>
    <row r="1104" spans="1:24" hidden="1" x14ac:dyDescent="0.25">
      <c r="A1104" s="114" t="str">
        <f t="shared" si="50"/>
        <v>2025</v>
      </c>
      <c r="B1104" s="226" t="s">
        <v>4617</v>
      </c>
      <c r="C1104" s="226" t="s">
        <v>494</v>
      </c>
      <c r="D1104" s="226" t="s">
        <v>493</v>
      </c>
      <c r="E1104" s="226"/>
      <c r="F1104" s="226"/>
      <c r="G1104" s="226"/>
      <c r="H1104" s="226"/>
      <c r="I1104" s="226"/>
      <c r="J1104" s="226"/>
      <c r="K1104" s="226"/>
      <c r="L1104" s="226"/>
      <c r="M1104" s="226"/>
      <c r="N1104" s="226"/>
      <c r="O1104" s="226"/>
      <c r="P1104" s="226"/>
      <c r="Q1104" s="226"/>
      <c r="R1104" s="226"/>
      <c r="S1104" s="226"/>
      <c r="T1104" s="227">
        <v>4.2379654499999999</v>
      </c>
      <c r="U1104" s="226"/>
      <c r="V1104" s="226"/>
      <c r="W1104" s="226" t="s">
        <v>4832</v>
      </c>
      <c r="X1104" s="226" t="s">
        <v>4357</v>
      </c>
    </row>
    <row r="1105" spans="1:24" hidden="1" x14ac:dyDescent="0.25">
      <c r="A1105" s="114" t="str">
        <f t="shared" si="50"/>
        <v>2025</v>
      </c>
      <c r="B1105" s="226" t="s">
        <v>4617</v>
      </c>
      <c r="C1105" s="226" t="s">
        <v>494</v>
      </c>
      <c r="D1105" s="226" t="s">
        <v>493</v>
      </c>
      <c r="E1105" s="226"/>
      <c r="F1105" s="226"/>
      <c r="G1105" s="226"/>
      <c r="H1105" s="226"/>
      <c r="I1105" s="226"/>
      <c r="J1105" s="226"/>
      <c r="K1105" s="226"/>
      <c r="L1105" s="226"/>
      <c r="M1105" s="226"/>
      <c r="N1105" s="226"/>
      <c r="O1105" s="226"/>
      <c r="P1105" s="226"/>
      <c r="Q1105" s="226"/>
      <c r="R1105" s="226"/>
      <c r="S1105" s="226"/>
      <c r="T1105" s="227">
        <v>4.2379654499999999</v>
      </c>
      <c r="U1105" s="226"/>
      <c r="V1105" s="226"/>
      <c r="W1105" s="226" t="s">
        <v>4832</v>
      </c>
      <c r="X1105" s="226" t="s">
        <v>4357</v>
      </c>
    </row>
    <row r="1106" spans="1:24" hidden="1" x14ac:dyDescent="0.25">
      <c r="A1106" s="114" t="str">
        <f t="shared" si="50"/>
        <v>2128</v>
      </c>
      <c r="B1106" s="226" t="s">
        <v>4623</v>
      </c>
      <c r="C1106" s="226" t="s">
        <v>5152</v>
      </c>
      <c r="D1106" s="226" t="s">
        <v>503</v>
      </c>
      <c r="E1106" s="226"/>
      <c r="F1106" s="226"/>
      <c r="G1106" s="226"/>
      <c r="H1106" s="226"/>
      <c r="I1106" s="226"/>
      <c r="J1106" s="226"/>
      <c r="K1106" s="226"/>
      <c r="L1106" s="226"/>
      <c r="M1106" s="226"/>
      <c r="N1106" s="226"/>
      <c r="O1106" s="226"/>
      <c r="P1106" s="226"/>
      <c r="Q1106" s="226"/>
      <c r="R1106" s="226"/>
      <c r="S1106" s="226"/>
      <c r="T1106" s="227">
        <v>267.09083670000001</v>
      </c>
      <c r="U1106" s="226"/>
      <c r="V1106" s="226"/>
      <c r="W1106" s="226" t="s">
        <v>4832</v>
      </c>
      <c r="X1106" s="226" t="s">
        <v>4357</v>
      </c>
    </row>
    <row r="1107" spans="1:24" hidden="1" x14ac:dyDescent="0.25">
      <c r="A1107" s="114" t="str">
        <f t="shared" si="50"/>
        <v>2128</v>
      </c>
      <c r="B1107" s="226" t="s">
        <v>4623</v>
      </c>
      <c r="C1107" s="226" t="s">
        <v>5152</v>
      </c>
      <c r="D1107" s="226" t="s">
        <v>503</v>
      </c>
      <c r="E1107" s="226"/>
      <c r="F1107" s="226"/>
      <c r="G1107" s="226"/>
      <c r="H1107" s="226"/>
      <c r="I1107" s="226"/>
      <c r="J1107" s="226"/>
      <c r="K1107" s="226"/>
      <c r="L1107" s="226"/>
      <c r="M1107" s="226"/>
      <c r="N1107" s="226"/>
      <c r="O1107" s="226"/>
      <c r="P1107" s="226"/>
      <c r="Q1107" s="226"/>
      <c r="R1107" s="226"/>
      <c r="S1107" s="226"/>
      <c r="T1107" s="227">
        <v>267.09083670000001</v>
      </c>
      <c r="U1107" s="226"/>
      <c r="V1107" s="226"/>
      <c r="W1107" s="226" t="s">
        <v>4832</v>
      </c>
      <c r="X1107" s="226" t="s">
        <v>4357</v>
      </c>
    </row>
    <row r="1108" spans="1:24" hidden="1" x14ac:dyDescent="0.25">
      <c r="A1108" s="114" t="str">
        <f t="shared" si="50"/>
        <v>2128</v>
      </c>
      <c r="B1108" s="226" t="s">
        <v>4623</v>
      </c>
      <c r="C1108" s="226" t="s">
        <v>5152</v>
      </c>
      <c r="D1108" s="226" t="s">
        <v>503</v>
      </c>
      <c r="E1108" s="226"/>
      <c r="F1108" s="226"/>
      <c r="G1108" s="226"/>
      <c r="H1108" s="226"/>
      <c r="I1108" s="226"/>
      <c r="J1108" s="226"/>
      <c r="K1108" s="226"/>
      <c r="L1108" s="226"/>
      <c r="M1108" s="226"/>
      <c r="N1108" s="226"/>
      <c r="O1108" s="226"/>
      <c r="P1108" s="226"/>
      <c r="Q1108" s="226"/>
      <c r="R1108" s="226"/>
      <c r="S1108" s="226"/>
      <c r="T1108" s="227">
        <v>267.09083670000001</v>
      </c>
      <c r="U1108" s="226"/>
      <c r="V1108" s="226"/>
      <c r="W1108" s="226" t="s">
        <v>4832</v>
      </c>
      <c r="X1108" s="226" t="s">
        <v>4357</v>
      </c>
    </row>
    <row r="1109" spans="1:24" hidden="1" x14ac:dyDescent="0.25">
      <c r="A1109" s="114" t="str">
        <f t="shared" si="50"/>
        <v>5874</v>
      </c>
      <c r="B1109" s="226" t="s">
        <v>5555</v>
      </c>
      <c r="C1109" s="226" t="s">
        <v>5175</v>
      </c>
      <c r="D1109" s="226" t="s">
        <v>5174</v>
      </c>
      <c r="E1109" s="226"/>
      <c r="F1109" s="226"/>
      <c r="G1109" s="226"/>
      <c r="H1109" s="226"/>
      <c r="I1109" s="226"/>
      <c r="J1109" s="226"/>
      <c r="K1109" s="226"/>
      <c r="L1109" s="226"/>
      <c r="M1109" s="226"/>
      <c r="N1109" s="226"/>
      <c r="O1109" s="226"/>
      <c r="P1109" s="226"/>
      <c r="Q1109" s="226"/>
      <c r="R1109" s="226"/>
      <c r="S1109" s="226"/>
      <c r="T1109" s="227">
        <v>3.10555344</v>
      </c>
      <c r="U1109" s="226"/>
      <c r="V1109" s="226"/>
      <c r="W1109" s="226" t="s">
        <v>4832</v>
      </c>
      <c r="X1109" s="226" t="s">
        <v>4357</v>
      </c>
    </row>
    <row r="1110" spans="1:24" hidden="1" x14ac:dyDescent="0.25">
      <c r="A1110" s="114" t="str">
        <f t="shared" si="50"/>
        <v>5874</v>
      </c>
      <c r="B1110" s="226" t="s">
        <v>5555</v>
      </c>
      <c r="C1110" s="226" t="s">
        <v>5175</v>
      </c>
      <c r="D1110" s="226" t="s">
        <v>5174</v>
      </c>
      <c r="E1110" s="226"/>
      <c r="F1110" s="226"/>
      <c r="G1110" s="226"/>
      <c r="H1110" s="226"/>
      <c r="I1110" s="226"/>
      <c r="J1110" s="226"/>
      <c r="K1110" s="226"/>
      <c r="L1110" s="226"/>
      <c r="M1110" s="226"/>
      <c r="N1110" s="226"/>
      <c r="O1110" s="226"/>
      <c r="P1110" s="226"/>
      <c r="Q1110" s="226"/>
      <c r="R1110" s="226"/>
      <c r="S1110" s="226"/>
      <c r="T1110" s="227">
        <v>3.10555344</v>
      </c>
      <c r="U1110" s="226"/>
      <c r="V1110" s="226"/>
      <c r="W1110" s="226" t="s">
        <v>4832</v>
      </c>
      <c r="X1110" s="226" t="s">
        <v>4357</v>
      </c>
    </row>
    <row r="1111" spans="1:24" hidden="1" x14ac:dyDescent="0.25">
      <c r="A1111" s="114" t="str">
        <f t="shared" si="50"/>
        <v>5874</v>
      </c>
      <c r="B1111" s="226" t="s">
        <v>5555</v>
      </c>
      <c r="C1111" s="226" t="s">
        <v>5175</v>
      </c>
      <c r="D1111" s="226" t="s">
        <v>5174</v>
      </c>
      <c r="E1111" s="226"/>
      <c r="F1111" s="226"/>
      <c r="G1111" s="226"/>
      <c r="H1111" s="226"/>
      <c r="I1111" s="226"/>
      <c r="J1111" s="226"/>
      <c r="K1111" s="226"/>
      <c r="L1111" s="226"/>
      <c r="M1111" s="226"/>
      <c r="N1111" s="226"/>
      <c r="O1111" s="226"/>
      <c r="P1111" s="226"/>
      <c r="Q1111" s="226"/>
      <c r="R1111" s="226"/>
      <c r="S1111" s="226"/>
      <c r="T1111" s="227">
        <v>3.10555344</v>
      </c>
      <c r="U1111" s="226"/>
      <c r="V1111" s="226"/>
      <c r="W1111" s="226" t="s">
        <v>4832</v>
      </c>
      <c r="X1111" s="226" t="s">
        <v>4357</v>
      </c>
    </row>
    <row r="1112" spans="1:24" hidden="1" x14ac:dyDescent="0.25">
      <c r="A1112" s="114" t="str">
        <f t="shared" si="50"/>
        <v>5885</v>
      </c>
      <c r="B1112" s="226" t="s">
        <v>4607</v>
      </c>
      <c r="C1112" s="226" t="s">
        <v>515</v>
      </c>
      <c r="D1112" s="226" t="s">
        <v>514</v>
      </c>
      <c r="E1112" s="226"/>
      <c r="F1112" s="226"/>
      <c r="G1112" s="226"/>
      <c r="H1112" s="226"/>
      <c r="I1112" s="226"/>
      <c r="J1112" s="226"/>
      <c r="K1112" s="226"/>
      <c r="L1112" s="226"/>
      <c r="M1112" s="226"/>
      <c r="N1112" s="226"/>
      <c r="O1112" s="226"/>
      <c r="P1112" s="226"/>
      <c r="Q1112" s="226"/>
      <c r="R1112" s="226"/>
      <c r="S1112" s="226"/>
      <c r="T1112" s="227">
        <v>267.09083670000001</v>
      </c>
      <c r="U1112" s="226"/>
      <c r="V1112" s="226"/>
      <c r="W1112" s="226" t="s">
        <v>4832</v>
      </c>
      <c r="X1112" s="226" t="s">
        <v>4357</v>
      </c>
    </row>
    <row r="1113" spans="1:24" hidden="1" x14ac:dyDescent="0.25">
      <c r="A1113" s="114" t="str">
        <f t="shared" si="50"/>
        <v>5885</v>
      </c>
      <c r="B1113" s="226" t="s">
        <v>4607</v>
      </c>
      <c r="C1113" s="226" t="s">
        <v>515</v>
      </c>
      <c r="D1113" s="226" t="s">
        <v>514</v>
      </c>
      <c r="E1113" s="226"/>
      <c r="F1113" s="226"/>
      <c r="G1113" s="226"/>
      <c r="H1113" s="226"/>
      <c r="I1113" s="226"/>
      <c r="J1113" s="226"/>
      <c r="K1113" s="226"/>
      <c r="L1113" s="226"/>
      <c r="M1113" s="226"/>
      <c r="N1113" s="226"/>
      <c r="O1113" s="226"/>
      <c r="P1113" s="226"/>
      <c r="Q1113" s="226"/>
      <c r="R1113" s="226"/>
      <c r="S1113" s="226"/>
      <c r="T1113" s="227">
        <v>267.09083670000001</v>
      </c>
      <c r="U1113" s="226"/>
      <c r="V1113" s="226"/>
      <c r="W1113" s="226" t="s">
        <v>4832</v>
      </c>
      <c r="X1113" s="226" t="s">
        <v>4357</v>
      </c>
    </row>
    <row r="1114" spans="1:24" hidden="1" x14ac:dyDescent="0.25">
      <c r="A1114" s="114" t="str">
        <f t="shared" si="50"/>
        <v>5885</v>
      </c>
      <c r="B1114" s="226" t="s">
        <v>4607</v>
      </c>
      <c r="C1114" s="226" t="s">
        <v>515</v>
      </c>
      <c r="D1114" s="226" t="s">
        <v>514</v>
      </c>
      <c r="E1114" s="226"/>
      <c r="F1114" s="226"/>
      <c r="G1114" s="226"/>
      <c r="H1114" s="226"/>
      <c r="I1114" s="226"/>
      <c r="J1114" s="226"/>
      <c r="K1114" s="226"/>
      <c r="L1114" s="226"/>
      <c r="M1114" s="226"/>
      <c r="N1114" s="226"/>
      <c r="O1114" s="226"/>
      <c r="P1114" s="226"/>
      <c r="Q1114" s="226"/>
      <c r="R1114" s="226"/>
      <c r="S1114" s="226"/>
      <c r="T1114" s="227">
        <v>267.09083670000001</v>
      </c>
      <c r="U1114" s="226"/>
      <c r="V1114" s="226"/>
      <c r="W1114" s="226" t="s">
        <v>4832</v>
      </c>
      <c r="X1114" s="226" t="s">
        <v>4357</v>
      </c>
    </row>
    <row r="1115" spans="1:24" hidden="1" x14ac:dyDescent="0.25">
      <c r="A1115" s="114" t="str">
        <f t="shared" si="50"/>
        <v>7682</v>
      </c>
      <c r="B1115" s="226" t="s">
        <v>4608</v>
      </c>
      <c r="C1115" s="226" t="s">
        <v>927</v>
      </c>
      <c r="D1115" s="226" t="s">
        <v>926</v>
      </c>
      <c r="E1115" s="226"/>
      <c r="F1115" s="226"/>
      <c r="G1115" s="226"/>
      <c r="H1115" s="226"/>
      <c r="I1115" s="226"/>
      <c r="J1115" s="226"/>
      <c r="K1115" s="226"/>
      <c r="L1115" s="226"/>
      <c r="M1115" s="226"/>
      <c r="N1115" s="226"/>
      <c r="O1115" s="226"/>
      <c r="P1115" s="226"/>
      <c r="Q1115" s="226"/>
      <c r="R1115" s="226"/>
      <c r="S1115" s="226"/>
      <c r="T1115" s="227">
        <v>31.33247536</v>
      </c>
      <c r="U1115" s="226"/>
      <c r="V1115" s="226"/>
      <c r="W1115" s="226" t="s">
        <v>4832</v>
      </c>
      <c r="X1115" s="226" t="s">
        <v>4357</v>
      </c>
    </row>
    <row r="1116" spans="1:24" hidden="1" x14ac:dyDescent="0.25">
      <c r="A1116" s="114" t="str">
        <f t="shared" si="50"/>
        <v>0018</v>
      </c>
      <c r="B1116" s="226" t="s">
        <v>4531</v>
      </c>
      <c r="C1116" s="226" t="s">
        <v>235</v>
      </c>
      <c r="D1116" s="226" t="s">
        <v>234</v>
      </c>
      <c r="E1116" s="226"/>
      <c r="F1116" s="226"/>
      <c r="G1116" s="226"/>
      <c r="H1116" s="226"/>
      <c r="I1116" s="226"/>
      <c r="J1116" s="226"/>
      <c r="K1116" s="226"/>
      <c r="L1116" s="226"/>
      <c r="M1116" s="226"/>
      <c r="N1116" s="226"/>
      <c r="O1116" s="226"/>
      <c r="P1116" s="226"/>
      <c r="Q1116" s="226"/>
      <c r="R1116" s="226"/>
      <c r="S1116" s="226"/>
      <c r="T1116" s="227">
        <v>4.0032245</v>
      </c>
      <c r="U1116" s="226"/>
      <c r="V1116" s="226"/>
      <c r="W1116" s="226" t="s">
        <v>4832</v>
      </c>
      <c r="X1116" s="226" t="s">
        <v>4357</v>
      </c>
    </row>
    <row r="1117" spans="1:24" hidden="1" x14ac:dyDescent="0.25">
      <c r="A1117" s="114" t="str">
        <f t="shared" si="50"/>
        <v>5923</v>
      </c>
      <c r="B1117" s="226" t="s">
        <v>5341</v>
      </c>
      <c r="C1117" s="226" t="s">
        <v>5280</v>
      </c>
      <c r="D1117" s="226" t="s">
        <v>5279</v>
      </c>
      <c r="E1117" s="226"/>
      <c r="F1117" s="226"/>
      <c r="G1117" s="226"/>
      <c r="H1117" s="226"/>
      <c r="I1117" s="226"/>
      <c r="J1117" s="226"/>
      <c r="K1117" s="226"/>
      <c r="L1117" s="226"/>
      <c r="M1117" s="226"/>
      <c r="N1117" s="226"/>
      <c r="O1117" s="226"/>
      <c r="P1117" s="226"/>
      <c r="Q1117" s="226"/>
      <c r="R1117" s="226"/>
      <c r="S1117" s="226"/>
      <c r="T1117" s="227">
        <v>33.06438043</v>
      </c>
      <c r="U1117" s="226"/>
      <c r="V1117" s="226"/>
      <c r="W1117" s="226" t="s">
        <v>4832</v>
      </c>
      <c r="X1117" s="226" t="s">
        <v>4357</v>
      </c>
    </row>
    <row r="1118" spans="1:24" hidden="1" x14ac:dyDescent="0.25">
      <c r="A1118" s="114" t="str">
        <f t="shared" si="50"/>
        <v>5923</v>
      </c>
      <c r="B1118" s="226" t="s">
        <v>5342</v>
      </c>
      <c r="C1118" s="226" t="s">
        <v>5284</v>
      </c>
      <c r="D1118" s="226" t="s">
        <v>5283</v>
      </c>
      <c r="E1118" s="226"/>
      <c r="F1118" s="226"/>
      <c r="G1118" s="226"/>
      <c r="H1118" s="226"/>
      <c r="I1118" s="226"/>
      <c r="J1118" s="226"/>
      <c r="K1118" s="226"/>
      <c r="L1118" s="226"/>
      <c r="M1118" s="226"/>
      <c r="N1118" s="226"/>
      <c r="O1118" s="226"/>
      <c r="P1118" s="226"/>
      <c r="Q1118" s="226"/>
      <c r="R1118" s="226"/>
      <c r="S1118" s="226"/>
      <c r="T1118" s="227">
        <v>33.06438043</v>
      </c>
      <c r="U1118" s="226"/>
      <c r="V1118" s="226"/>
      <c r="W1118" s="226" t="s">
        <v>4832</v>
      </c>
      <c r="X1118" s="226" t="s">
        <v>4357</v>
      </c>
    </row>
    <row r="1119" spans="1:24" hidden="1" x14ac:dyDescent="0.25">
      <c r="A1119" s="114" t="str">
        <f t="shared" si="50"/>
        <v>2032</v>
      </c>
      <c r="B1119" s="226" t="s">
        <v>5556</v>
      </c>
      <c r="C1119" s="226" t="s">
        <v>463</v>
      </c>
      <c r="D1119" s="226" t="s">
        <v>462</v>
      </c>
      <c r="E1119" s="226"/>
      <c r="F1119" s="226"/>
      <c r="G1119" s="226"/>
      <c r="H1119" s="226"/>
      <c r="I1119" s="226"/>
      <c r="J1119" s="226"/>
      <c r="K1119" s="226"/>
      <c r="L1119" s="226"/>
      <c r="M1119" s="226"/>
      <c r="N1119" s="226"/>
      <c r="O1119" s="226"/>
      <c r="P1119" s="226"/>
      <c r="Q1119" s="226"/>
      <c r="R1119" s="226"/>
      <c r="S1119" s="226"/>
      <c r="T1119" s="227">
        <v>295.20288226000002</v>
      </c>
      <c r="U1119" s="226"/>
      <c r="V1119" s="226"/>
      <c r="W1119" s="226" t="s">
        <v>4832</v>
      </c>
      <c r="X1119" s="226" t="s">
        <v>4357</v>
      </c>
    </row>
    <row r="1120" spans="1:24" hidden="1" x14ac:dyDescent="0.25">
      <c r="A1120" s="114" t="str">
        <f t="shared" si="50"/>
        <v>5840</v>
      </c>
      <c r="B1120" s="226" t="s">
        <v>4515</v>
      </c>
      <c r="C1120" s="226" t="s">
        <v>5476</v>
      </c>
      <c r="D1120" s="226" t="s">
        <v>913</v>
      </c>
      <c r="E1120" s="226"/>
      <c r="F1120" s="226"/>
      <c r="G1120" s="226"/>
      <c r="H1120" s="226"/>
      <c r="I1120" s="226"/>
      <c r="J1120" s="226"/>
      <c r="K1120" s="226"/>
      <c r="L1120" s="226"/>
      <c r="M1120" s="226"/>
      <c r="N1120" s="226"/>
      <c r="O1120" s="226"/>
      <c r="P1120" s="226"/>
      <c r="Q1120" s="226"/>
      <c r="R1120" s="226"/>
      <c r="S1120" s="226"/>
      <c r="T1120" s="227">
        <v>228.38915384000001</v>
      </c>
      <c r="U1120" s="226"/>
      <c r="V1120" s="226"/>
      <c r="W1120" s="226" t="s">
        <v>4832</v>
      </c>
      <c r="X1120" s="226" t="s">
        <v>4357</v>
      </c>
    </row>
    <row r="1121" spans="1:24" hidden="1" x14ac:dyDescent="0.25">
      <c r="A1121" s="114" t="str">
        <f t="shared" si="50"/>
        <v>2029</v>
      </c>
      <c r="B1121" s="226" t="s">
        <v>4630</v>
      </c>
      <c r="C1121" s="226" t="s">
        <v>5483</v>
      </c>
      <c r="D1121" s="226" t="s">
        <v>5482</v>
      </c>
      <c r="E1121" s="226"/>
      <c r="F1121" s="226"/>
      <c r="G1121" s="226"/>
      <c r="H1121" s="226"/>
      <c r="I1121" s="226"/>
      <c r="J1121" s="226"/>
      <c r="K1121" s="226"/>
      <c r="L1121" s="226"/>
      <c r="M1121" s="226"/>
      <c r="N1121" s="226"/>
      <c r="O1121" s="226"/>
      <c r="P1121" s="226"/>
      <c r="Q1121" s="226"/>
      <c r="R1121" s="226"/>
      <c r="S1121" s="226"/>
      <c r="T1121" s="227">
        <v>33.06438043</v>
      </c>
      <c r="U1121" s="226"/>
      <c r="V1121" s="226"/>
      <c r="W1121" s="226" t="s">
        <v>4832</v>
      </c>
      <c r="X1121" s="226" t="s">
        <v>4357</v>
      </c>
    </row>
    <row r="1122" spans="1:24" hidden="1" x14ac:dyDescent="0.25">
      <c r="A1122" s="114" t="str">
        <f t="shared" si="50"/>
        <v>5834</v>
      </c>
      <c r="B1122" s="226" t="s">
        <v>4558</v>
      </c>
      <c r="C1122" s="226" t="s">
        <v>5854</v>
      </c>
      <c r="D1122" s="226" t="s">
        <v>5853</v>
      </c>
      <c r="E1122" s="226"/>
      <c r="F1122" s="226"/>
      <c r="G1122" s="226"/>
      <c r="H1122" s="226"/>
      <c r="I1122" s="226"/>
      <c r="J1122" s="226"/>
      <c r="K1122" s="226"/>
      <c r="L1122" s="226"/>
      <c r="M1122" s="226"/>
      <c r="N1122" s="226"/>
      <c r="O1122" s="226"/>
      <c r="P1122" s="226"/>
      <c r="Q1122" s="226"/>
      <c r="R1122" s="226"/>
      <c r="S1122" s="226"/>
      <c r="T1122" s="227">
        <v>4.0032245</v>
      </c>
      <c r="U1122" s="226"/>
      <c r="V1122" s="226"/>
      <c r="W1122" s="226" t="s">
        <v>4832</v>
      </c>
      <c r="X1122" s="226" t="s">
        <v>4357</v>
      </c>
    </row>
    <row r="1123" spans="1:24" hidden="1" x14ac:dyDescent="0.25">
      <c r="A1123" s="114" t="str">
        <f t="shared" si="50"/>
        <v>5834</v>
      </c>
      <c r="B1123" s="226" t="s">
        <v>4558</v>
      </c>
      <c r="C1123" s="226" t="s">
        <v>5677</v>
      </c>
      <c r="D1123" s="226" t="s">
        <v>5676</v>
      </c>
      <c r="E1123" s="226"/>
      <c r="F1123" s="226"/>
      <c r="G1123" s="226"/>
      <c r="H1123" s="226"/>
      <c r="I1123" s="226"/>
      <c r="J1123" s="226"/>
      <c r="K1123" s="226"/>
      <c r="L1123" s="226"/>
      <c r="M1123" s="226"/>
      <c r="N1123" s="226"/>
      <c r="O1123" s="226"/>
      <c r="P1123" s="226"/>
      <c r="Q1123" s="226"/>
      <c r="R1123" s="226"/>
      <c r="S1123" s="226"/>
      <c r="T1123" s="227">
        <v>4.0032245</v>
      </c>
      <c r="U1123" s="226"/>
      <c r="V1123" s="226"/>
      <c r="W1123" s="226" t="s">
        <v>4832</v>
      </c>
      <c r="X1123" s="226" t="s">
        <v>4357</v>
      </c>
    </row>
    <row r="1124" spans="1:24" hidden="1" x14ac:dyDescent="0.25">
      <c r="A1124" s="114" t="str">
        <f t="shared" si="50"/>
        <v>5834</v>
      </c>
      <c r="B1124" s="226" t="s">
        <v>4558</v>
      </c>
      <c r="C1124" s="226" t="s">
        <v>5368</v>
      </c>
      <c r="D1124" s="226" t="s">
        <v>5367</v>
      </c>
      <c r="E1124" s="226"/>
      <c r="F1124" s="226"/>
      <c r="G1124" s="226"/>
      <c r="H1124" s="226"/>
      <c r="I1124" s="226"/>
      <c r="J1124" s="226"/>
      <c r="K1124" s="226"/>
      <c r="L1124" s="226"/>
      <c r="M1124" s="226"/>
      <c r="N1124" s="226"/>
      <c r="O1124" s="226"/>
      <c r="P1124" s="226"/>
      <c r="Q1124" s="226"/>
      <c r="R1124" s="226"/>
      <c r="S1124" s="226"/>
      <c r="T1124" s="227">
        <v>4.0032245</v>
      </c>
      <c r="U1124" s="226"/>
      <c r="V1124" s="226"/>
      <c r="W1124" s="226" t="s">
        <v>4832</v>
      </c>
      <c r="X1124" s="226" t="s">
        <v>4357</v>
      </c>
    </row>
    <row r="1125" spans="1:24" hidden="1" x14ac:dyDescent="0.25">
      <c r="A1125" s="114" t="str">
        <f t="shared" si="50"/>
        <v>5834</v>
      </c>
      <c r="B1125" s="226" t="s">
        <v>4558</v>
      </c>
      <c r="C1125" s="226" t="s">
        <v>5479</v>
      </c>
      <c r="D1125" s="226" t="s">
        <v>5478</v>
      </c>
      <c r="E1125" s="226"/>
      <c r="F1125" s="226"/>
      <c r="G1125" s="226"/>
      <c r="H1125" s="226"/>
      <c r="I1125" s="226"/>
      <c r="J1125" s="226"/>
      <c r="K1125" s="226"/>
      <c r="L1125" s="226"/>
      <c r="M1125" s="226"/>
      <c r="N1125" s="226"/>
      <c r="O1125" s="226"/>
      <c r="P1125" s="226"/>
      <c r="Q1125" s="226"/>
      <c r="R1125" s="226"/>
      <c r="S1125" s="226"/>
      <c r="T1125" s="227">
        <v>4.0032245</v>
      </c>
      <c r="U1125" s="226"/>
      <c r="V1125" s="226"/>
      <c r="W1125" s="226" t="s">
        <v>4832</v>
      </c>
      <c r="X1125" s="226" t="s">
        <v>4357</v>
      </c>
    </row>
    <row r="1126" spans="1:24" hidden="1" x14ac:dyDescent="0.25">
      <c r="A1126" s="114" t="str">
        <f t="shared" si="50"/>
        <v>5834</v>
      </c>
      <c r="B1126" s="226" t="s">
        <v>4558</v>
      </c>
      <c r="C1126" s="226" t="s">
        <v>6097</v>
      </c>
      <c r="D1126" s="226" t="s">
        <v>5171</v>
      </c>
      <c r="E1126" s="226"/>
      <c r="F1126" s="226"/>
      <c r="G1126" s="226"/>
      <c r="H1126" s="226"/>
      <c r="I1126" s="226"/>
      <c r="J1126" s="226"/>
      <c r="K1126" s="226"/>
      <c r="L1126" s="226"/>
      <c r="M1126" s="226"/>
      <c r="N1126" s="226"/>
      <c r="O1126" s="226"/>
      <c r="P1126" s="226"/>
      <c r="Q1126" s="226"/>
      <c r="R1126" s="226"/>
      <c r="S1126" s="226"/>
      <c r="T1126" s="227">
        <v>4.0032245</v>
      </c>
      <c r="U1126" s="226"/>
      <c r="V1126" s="226"/>
      <c r="W1126" s="226" t="s">
        <v>4832</v>
      </c>
      <c r="X1126" s="226" t="s">
        <v>4357</v>
      </c>
    </row>
    <row r="1127" spans="1:24" hidden="1" x14ac:dyDescent="0.25">
      <c r="A1127" s="114" t="str">
        <f t="shared" si="50"/>
        <v>5834</v>
      </c>
      <c r="B1127" s="226" t="s">
        <v>4558</v>
      </c>
      <c r="C1127" s="226" t="s">
        <v>5679</v>
      </c>
      <c r="D1127" s="226" t="s">
        <v>5678</v>
      </c>
      <c r="E1127" s="226"/>
      <c r="F1127" s="226"/>
      <c r="G1127" s="226"/>
      <c r="H1127" s="226"/>
      <c r="I1127" s="226"/>
      <c r="J1127" s="226"/>
      <c r="K1127" s="226"/>
      <c r="L1127" s="226"/>
      <c r="M1127" s="226"/>
      <c r="N1127" s="226"/>
      <c r="O1127" s="226"/>
      <c r="P1127" s="226"/>
      <c r="Q1127" s="226"/>
      <c r="R1127" s="226"/>
      <c r="S1127" s="226"/>
      <c r="T1127" s="227">
        <v>4.0032245</v>
      </c>
      <c r="U1127" s="226"/>
      <c r="V1127" s="226"/>
      <c r="W1127" s="226" t="s">
        <v>4832</v>
      </c>
      <c r="X1127" s="226" t="s">
        <v>4357</v>
      </c>
    </row>
    <row r="1128" spans="1:24" hidden="1" x14ac:dyDescent="0.25">
      <c r="A1128" s="114" t="str">
        <f t="shared" si="50"/>
        <v>0086</v>
      </c>
      <c r="B1128" s="226" t="s">
        <v>2807</v>
      </c>
      <c r="C1128" s="226" t="s">
        <v>5481</v>
      </c>
      <c r="D1128" s="226" t="s">
        <v>5480</v>
      </c>
      <c r="E1128" s="226"/>
      <c r="F1128" s="226"/>
      <c r="G1128" s="226"/>
      <c r="H1128" s="226"/>
      <c r="I1128" s="226"/>
      <c r="J1128" s="226"/>
      <c r="K1128" s="226"/>
      <c r="L1128" s="226"/>
      <c r="M1128" s="226"/>
      <c r="N1128" s="226"/>
      <c r="O1128" s="226"/>
      <c r="P1128" s="226"/>
      <c r="Q1128" s="226"/>
      <c r="R1128" s="226"/>
      <c r="S1128" s="226"/>
      <c r="T1128" s="227">
        <v>4.0032245</v>
      </c>
      <c r="U1128" s="226"/>
      <c r="V1128" s="226"/>
      <c r="W1128" s="226" t="s">
        <v>4832</v>
      </c>
      <c r="X1128" s="226" t="s">
        <v>4357</v>
      </c>
    </row>
    <row r="1129" spans="1:24" hidden="1" x14ac:dyDescent="0.25">
      <c r="A1129" s="114" t="str">
        <f t="shared" si="50"/>
        <v>2030</v>
      </c>
      <c r="B1129" s="226" t="s">
        <v>5939</v>
      </c>
      <c r="C1129" s="226" t="s">
        <v>467</v>
      </c>
      <c r="D1129" s="226" t="s">
        <v>466</v>
      </c>
      <c r="E1129" s="226"/>
      <c r="F1129" s="226"/>
      <c r="G1129" s="226"/>
      <c r="H1129" s="226"/>
      <c r="I1129" s="226"/>
      <c r="J1129" s="226"/>
      <c r="K1129" s="226"/>
      <c r="L1129" s="226"/>
      <c r="M1129" s="226"/>
      <c r="N1129" s="226"/>
      <c r="O1129" s="226"/>
      <c r="P1129" s="226"/>
      <c r="Q1129" s="226"/>
      <c r="R1129" s="226"/>
      <c r="S1129" s="226"/>
      <c r="T1129" s="227">
        <v>295.20288226000002</v>
      </c>
      <c r="U1129" s="226"/>
      <c r="V1129" s="226"/>
      <c r="W1129" s="226" t="s">
        <v>4832</v>
      </c>
      <c r="X1129" s="226" t="s">
        <v>4357</v>
      </c>
    </row>
    <row r="1130" spans="1:24" hidden="1" x14ac:dyDescent="0.25">
      <c r="A1130" s="114" t="str">
        <f t="shared" si="50"/>
        <v>2030</v>
      </c>
      <c r="B1130" s="226" t="s">
        <v>5939</v>
      </c>
      <c r="C1130" s="226" t="s">
        <v>6408</v>
      </c>
      <c r="D1130" s="226" t="s">
        <v>6407</v>
      </c>
      <c r="E1130" s="226"/>
      <c r="F1130" s="226"/>
      <c r="G1130" s="226"/>
      <c r="H1130" s="226"/>
      <c r="I1130" s="226"/>
      <c r="J1130" s="226"/>
      <c r="K1130" s="226"/>
      <c r="L1130" s="226"/>
      <c r="M1130" s="226"/>
      <c r="N1130" s="226"/>
      <c r="O1130" s="226"/>
      <c r="P1130" s="226"/>
      <c r="Q1130" s="226"/>
      <c r="R1130" s="226"/>
      <c r="S1130" s="226"/>
      <c r="T1130" s="227">
        <v>295.20288226000002</v>
      </c>
      <c r="U1130" s="226"/>
      <c r="V1130" s="226"/>
      <c r="W1130" s="226" t="s">
        <v>4832</v>
      </c>
      <c r="X1130" s="226" t="s">
        <v>4357</v>
      </c>
    </row>
    <row r="1131" spans="1:24" hidden="1" x14ac:dyDescent="0.25">
      <c r="A1131" s="114" t="str">
        <f t="shared" si="50"/>
        <v>2061</v>
      </c>
      <c r="B1131" s="226" t="s">
        <v>5149</v>
      </c>
      <c r="C1131" s="226" t="s">
        <v>470</v>
      </c>
      <c r="D1131" s="226" t="s">
        <v>469</v>
      </c>
      <c r="E1131" s="226"/>
      <c r="F1131" s="226"/>
      <c r="G1131" s="226"/>
      <c r="H1131" s="226"/>
      <c r="I1131" s="226"/>
      <c r="J1131" s="226"/>
      <c r="K1131" s="226"/>
      <c r="L1131" s="226"/>
      <c r="M1131" s="226"/>
      <c r="N1131" s="226"/>
      <c r="O1131" s="226"/>
      <c r="P1131" s="226"/>
      <c r="Q1131" s="226"/>
      <c r="R1131" s="226"/>
      <c r="S1131" s="226"/>
      <c r="T1131" s="227">
        <v>295.20288226000002</v>
      </c>
      <c r="U1131" s="226"/>
      <c r="V1131" s="226"/>
      <c r="W1131" s="226" t="s">
        <v>4832</v>
      </c>
      <c r="X1131" s="226" t="s">
        <v>4357</v>
      </c>
    </row>
    <row r="1132" spans="1:24" hidden="1" x14ac:dyDescent="0.25">
      <c r="A1132" s="114" t="str">
        <f t="shared" si="50"/>
        <v>5324</v>
      </c>
      <c r="B1132" s="226" t="s">
        <v>6627</v>
      </c>
      <c r="C1132" s="226" t="s">
        <v>6401</v>
      </c>
      <c r="D1132" s="226" t="s">
        <v>6400</v>
      </c>
      <c r="E1132" s="226"/>
      <c r="F1132" s="226"/>
      <c r="G1132" s="226"/>
      <c r="H1132" s="226"/>
      <c r="I1132" s="226"/>
      <c r="J1132" s="226"/>
      <c r="K1132" s="226"/>
      <c r="L1132" s="226"/>
      <c r="M1132" s="226"/>
      <c r="N1132" s="226"/>
      <c r="O1132" s="226"/>
      <c r="P1132" s="226"/>
      <c r="Q1132" s="226"/>
      <c r="R1132" s="226"/>
      <c r="S1132" s="226"/>
      <c r="T1132" s="227">
        <v>4.0032245</v>
      </c>
      <c r="U1132" s="226"/>
      <c r="V1132" s="226"/>
      <c r="W1132" s="226" t="s">
        <v>4832</v>
      </c>
      <c r="X1132" s="226" t="s">
        <v>4357</v>
      </c>
    </row>
    <row r="1133" spans="1:24" hidden="1" x14ac:dyDescent="0.25">
      <c r="A1133" s="114" t="str">
        <f t="shared" si="50"/>
        <v>5840</v>
      </c>
      <c r="B1133" s="226" t="s">
        <v>4515</v>
      </c>
      <c r="C1133" s="226" t="s">
        <v>5952</v>
      </c>
      <c r="D1133" s="226" t="s">
        <v>5951</v>
      </c>
      <c r="E1133" s="226"/>
      <c r="F1133" s="226"/>
      <c r="G1133" s="226"/>
      <c r="H1133" s="226"/>
      <c r="I1133" s="226"/>
      <c r="J1133" s="226"/>
      <c r="K1133" s="226"/>
      <c r="L1133" s="226"/>
      <c r="M1133" s="226"/>
      <c r="N1133" s="226"/>
      <c r="O1133" s="226"/>
      <c r="P1133" s="226"/>
      <c r="Q1133" s="226"/>
      <c r="R1133" s="226"/>
      <c r="S1133" s="226"/>
      <c r="T1133" s="227">
        <v>228.38915384000001</v>
      </c>
      <c r="U1133" s="226"/>
      <c r="V1133" s="226"/>
      <c r="W1133" s="226" t="s">
        <v>4832</v>
      </c>
      <c r="X1133" s="226" t="s">
        <v>4357</v>
      </c>
    </row>
    <row r="1134" spans="1:24" hidden="1" x14ac:dyDescent="0.25">
      <c r="A1134" s="114" t="str">
        <f t="shared" si="50"/>
        <v>2047</v>
      </c>
      <c r="B1134" s="226" t="s">
        <v>2802</v>
      </c>
      <c r="C1134" s="226" t="s">
        <v>6411</v>
      </c>
      <c r="D1134" s="226" t="s">
        <v>6410</v>
      </c>
      <c r="E1134" s="226"/>
      <c r="F1134" s="226"/>
      <c r="G1134" s="226"/>
      <c r="H1134" s="226"/>
      <c r="I1134" s="226"/>
      <c r="J1134" s="226"/>
      <c r="K1134" s="226"/>
      <c r="L1134" s="226"/>
      <c r="M1134" s="226"/>
      <c r="N1134" s="226"/>
      <c r="O1134" s="226"/>
      <c r="P1134" s="226"/>
      <c r="Q1134" s="226"/>
      <c r="R1134" s="226"/>
      <c r="S1134" s="226"/>
      <c r="T1134" s="227">
        <v>295.20288226000002</v>
      </c>
      <c r="U1134" s="226"/>
      <c r="V1134" s="226"/>
      <c r="W1134" s="226" t="s">
        <v>4832</v>
      </c>
      <c r="X1134" s="226" t="s">
        <v>4357</v>
      </c>
    </row>
    <row r="1135" spans="1:24" hidden="1" x14ac:dyDescent="0.25">
      <c r="A1135" s="114" t="str">
        <f t="shared" si="50"/>
        <v>2128</v>
      </c>
      <c r="B1135" s="226" t="s">
        <v>4623</v>
      </c>
      <c r="C1135" s="226" t="s">
        <v>6432</v>
      </c>
      <c r="D1135" s="226" t="s">
        <v>503</v>
      </c>
      <c r="E1135" s="226"/>
      <c r="F1135" s="226"/>
      <c r="G1135" s="226"/>
      <c r="H1135" s="226"/>
      <c r="I1135" s="226"/>
      <c r="J1135" s="226"/>
      <c r="K1135" s="226"/>
      <c r="L1135" s="226"/>
      <c r="M1135" s="226"/>
      <c r="N1135" s="226"/>
      <c r="O1135" s="226"/>
      <c r="P1135" s="226"/>
      <c r="Q1135" s="226"/>
      <c r="R1135" s="226"/>
      <c r="S1135" s="226"/>
      <c r="T1135" s="227">
        <v>267.09083670000001</v>
      </c>
      <c r="U1135" s="226"/>
      <c r="V1135" s="226"/>
      <c r="W1135" s="226" t="s">
        <v>4832</v>
      </c>
      <c r="X1135" s="226" t="s">
        <v>4357</v>
      </c>
    </row>
    <row r="1136" spans="1:24" hidden="1" x14ac:dyDescent="0.25">
      <c r="A1136" s="229" t="s">
        <v>313</v>
      </c>
      <c r="B1136" s="230" t="s">
        <v>2164</v>
      </c>
      <c r="C1136" s="230" t="s">
        <v>510</v>
      </c>
      <c r="D1136" s="230" t="s">
        <v>509</v>
      </c>
      <c r="E1136" s="230" t="s">
        <v>422</v>
      </c>
      <c r="F1136" s="230" t="s">
        <v>4801</v>
      </c>
      <c r="G1136" s="230" t="s">
        <v>1198</v>
      </c>
      <c r="H1136" s="230" t="s">
        <v>1082</v>
      </c>
      <c r="I1136" s="230">
        <v>864.1</v>
      </c>
      <c r="J1136" s="230">
        <v>2182701</v>
      </c>
      <c r="K1136" s="230">
        <v>2525.98</v>
      </c>
      <c r="L1136" s="230">
        <v>5.0999999999999996</v>
      </c>
      <c r="M1136" s="230">
        <v>2.2000000000000002</v>
      </c>
      <c r="N1136" s="230">
        <v>6</v>
      </c>
      <c r="O1136" s="230">
        <v>5.3</v>
      </c>
      <c r="P1136" s="230">
        <v>0</v>
      </c>
      <c r="Q1136" s="230"/>
      <c r="R1136" s="230">
        <v>37</v>
      </c>
      <c r="S1136" s="230" t="s">
        <v>1063</v>
      </c>
      <c r="T1136" s="230">
        <v>2525.98</v>
      </c>
      <c r="U1136" s="230" t="s">
        <v>2819</v>
      </c>
      <c r="V1136" s="230" t="s">
        <v>1062</v>
      </c>
      <c r="W1136" s="229" t="s">
        <v>4795</v>
      </c>
      <c r="X1136" s="229" t="s">
        <v>4795</v>
      </c>
    </row>
    <row r="1137" spans="1:24" hidden="1" x14ac:dyDescent="0.25">
      <c r="A1137" s="229" t="s">
        <v>854</v>
      </c>
      <c r="B1137" s="229" t="s">
        <v>2447</v>
      </c>
      <c r="C1137" s="230" t="s">
        <v>5278</v>
      </c>
      <c r="D1137" s="230" t="s">
        <v>5277</v>
      </c>
      <c r="E1137" s="229" t="s">
        <v>422</v>
      </c>
      <c r="F1137" s="229" t="s">
        <v>4801</v>
      </c>
      <c r="G1137" s="229" t="s">
        <v>1198</v>
      </c>
      <c r="H1137" s="229" t="s">
        <v>1324</v>
      </c>
      <c r="I1137" s="229">
        <v>2969.72</v>
      </c>
      <c r="J1137" s="229">
        <v>323603</v>
      </c>
      <c r="K1137" s="229">
        <v>108.97</v>
      </c>
      <c r="L1137" s="229"/>
      <c r="M1137" s="229"/>
      <c r="N1137" s="229"/>
      <c r="O1137" s="229"/>
      <c r="P1137" s="229"/>
      <c r="Q1137" s="229"/>
      <c r="R1137" s="229">
        <v>8</v>
      </c>
      <c r="S1137" s="229"/>
      <c r="T1137" s="231">
        <v>108.97</v>
      </c>
      <c r="U1137" s="229" t="s">
        <v>2819</v>
      </c>
      <c r="V1137" s="229" t="s">
        <v>1062</v>
      </c>
      <c r="W1137" s="229" t="s">
        <v>4795</v>
      </c>
      <c r="X1137" s="229" t="s">
        <v>4795</v>
      </c>
    </row>
    <row r="1138" spans="1:24" hidden="1" x14ac:dyDescent="0.25">
      <c r="A1138" s="229" t="s">
        <v>854</v>
      </c>
      <c r="B1138" s="229" t="s">
        <v>2447</v>
      </c>
      <c r="C1138" s="230" t="s">
        <v>5173</v>
      </c>
      <c r="D1138" s="230" t="s">
        <v>5172</v>
      </c>
      <c r="E1138" s="229" t="s">
        <v>422</v>
      </c>
      <c r="F1138" s="229" t="s">
        <v>4801</v>
      </c>
      <c r="G1138" s="229" t="s">
        <v>1198</v>
      </c>
      <c r="H1138" s="229" t="s">
        <v>1324</v>
      </c>
      <c r="I1138" s="229">
        <v>2969.72</v>
      </c>
      <c r="J1138" s="229">
        <v>323603</v>
      </c>
      <c r="K1138" s="229">
        <v>108.97</v>
      </c>
      <c r="L1138" s="229"/>
      <c r="M1138" s="229"/>
      <c r="N1138" s="229"/>
      <c r="O1138" s="229"/>
      <c r="P1138" s="229"/>
      <c r="Q1138" s="229"/>
      <c r="R1138" s="229">
        <v>8</v>
      </c>
      <c r="S1138" s="229"/>
      <c r="T1138" s="231">
        <v>108.97</v>
      </c>
      <c r="U1138" s="229" t="s">
        <v>2819</v>
      </c>
      <c r="V1138" s="229" t="s">
        <v>1062</v>
      </c>
      <c r="W1138" s="229" t="s">
        <v>4795</v>
      </c>
      <c r="X1138" s="229" t="s">
        <v>4795</v>
      </c>
    </row>
    <row r="1139" spans="1:24" hidden="1" x14ac:dyDescent="0.25">
      <c r="A1139" s="229" t="s">
        <v>332</v>
      </c>
      <c r="B1139" s="229" t="s">
        <v>5939</v>
      </c>
      <c r="C1139" s="230" t="s">
        <v>467</v>
      </c>
      <c r="D1139" s="230" t="s">
        <v>466</v>
      </c>
      <c r="E1139" s="229"/>
      <c r="F1139" s="229"/>
      <c r="G1139" s="229"/>
      <c r="H1139" s="229"/>
      <c r="I1139" s="229"/>
      <c r="J1139" s="229"/>
      <c r="K1139" s="229"/>
      <c r="L1139" s="229"/>
      <c r="M1139" s="229"/>
      <c r="N1139" s="229"/>
      <c r="O1139" s="229"/>
      <c r="P1139" s="229"/>
      <c r="Q1139" s="229"/>
      <c r="R1139" s="229"/>
      <c r="S1139" s="229"/>
      <c r="T1139" s="230">
        <v>200.75</v>
      </c>
      <c r="U1139" s="229"/>
      <c r="V1139" s="229"/>
      <c r="W1139" s="229" t="s">
        <v>4795</v>
      </c>
      <c r="X1139" s="229" t="s">
        <v>4795</v>
      </c>
    </row>
    <row r="1140" spans="1:24" hidden="1" x14ac:dyDescent="0.25">
      <c r="A1140" s="229"/>
      <c r="B1140" s="229" t="s">
        <v>5149</v>
      </c>
      <c r="C1140" s="230" t="s">
        <v>470</v>
      </c>
      <c r="D1140" s="230" t="s">
        <v>469</v>
      </c>
      <c r="E1140" s="229"/>
      <c r="F1140" s="229"/>
      <c r="G1140" s="229"/>
      <c r="H1140" s="229"/>
      <c r="I1140" s="229"/>
      <c r="J1140" s="229"/>
      <c r="K1140" s="229"/>
      <c r="L1140" s="229"/>
      <c r="M1140" s="229"/>
      <c r="N1140" s="229"/>
      <c r="O1140" s="229"/>
      <c r="P1140" s="229"/>
      <c r="Q1140" s="229"/>
      <c r="R1140" s="229"/>
      <c r="S1140" s="229"/>
      <c r="T1140" s="230">
        <v>1357.45</v>
      </c>
      <c r="U1140" s="229"/>
      <c r="V1140" s="229"/>
      <c r="W1140" s="229" t="s">
        <v>4795</v>
      </c>
      <c r="X1140" s="229" t="s">
        <v>4795</v>
      </c>
    </row>
    <row r="1141" spans="1:24" hidden="1" x14ac:dyDescent="0.25">
      <c r="A1141" s="229"/>
      <c r="B1141" s="230" t="s">
        <v>1223</v>
      </c>
      <c r="C1141" s="230" t="s">
        <v>453</v>
      </c>
      <c r="D1141" s="230" t="s">
        <v>452</v>
      </c>
      <c r="E1141" s="230" t="s">
        <v>422</v>
      </c>
      <c r="F1141" s="230" t="s">
        <v>4801</v>
      </c>
      <c r="G1141" s="230" t="s">
        <v>1198</v>
      </c>
      <c r="H1141" s="230" t="s">
        <v>1119</v>
      </c>
      <c r="I1141" s="230">
        <v>7031.91</v>
      </c>
      <c r="J1141" s="230">
        <v>5410</v>
      </c>
      <c r="K1141" s="230">
        <v>0.77</v>
      </c>
      <c r="L1141" s="230">
        <v>5</v>
      </c>
      <c r="M1141" s="230">
        <v>4.2</v>
      </c>
      <c r="N1141" s="230">
        <v>4.2</v>
      </c>
      <c r="O1141" s="230">
        <v>4.5999999999999996</v>
      </c>
      <c r="P1141" s="230">
        <v>0</v>
      </c>
      <c r="Q1141" s="230"/>
      <c r="R1141" s="230">
        <v>35</v>
      </c>
      <c r="S1141" s="230" t="s">
        <v>1063</v>
      </c>
      <c r="T1141" s="230">
        <v>0.77</v>
      </c>
      <c r="U1141" s="230" t="s">
        <v>2819</v>
      </c>
      <c r="V1141" s="230" t="s">
        <v>1062</v>
      </c>
      <c r="W1141" s="229" t="s">
        <v>4795</v>
      </c>
      <c r="X1141" s="229" t="s">
        <v>4795</v>
      </c>
    </row>
    <row r="1142" spans="1:24" hidden="1" x14ac:dyDescent="0.25">
      <c r="A1142" s="229"/>
      <c r="B1142" s="230" t="s">
        <v>1685</v>
      </c>
      <c r="C1142" s="230" t="s">
        <v>448</v>
      </c>
      <c r="D1142" s="230" t="s">
        <v>447</v>
      </c>
      <c r="E1142" s="230" t="s">
        <v>422</v>
      </c>
      <c r="F1142" s="230" t="s">
        <v>4801</v>
      </c>
      <c r="G1142" s="230" t="s">
        <v>1198</v>
      </c>
      <c r="H1142" s="230" t="s">
        <v>1082</v>
      </c>
      <c r="I1142" s="230">
        <v>2299.23</v>
      </c>
      <c r="J1142" s="230">
        <v>4601917</v>
      </c>
      <c r="K1142" s="230">
        <v>2001.5</v>
      </c>
      <c r="L1142" s="230">
        <v>4.7</v>
      </c>
      <c r="M1142" s="230">
        <v>2.7</v>
      </c>
      <c r="N1142" s="230">
        <v>5.5</v>
      </c>
      <c r="O1142" s="230">
        <v>4.0999999999999996</v>
      </c>
      <c r="P1142" s="230">
        <v>0</v>
      </c>
      <c r="Q1142" s="230"/>
      <c r="R1142" s="230">
        <v>10</v>
      </c>
      <c r="S1142" s="230" t="s">
        <v>1063</v>
      </c>
      <c r="T1142" s="230">
        <v>2001.5</v>
      </c>
      <c r="U1142" s="230" t="s">
        <v>2819</v>
      </c>
      <c r="V1142" s="230" t="s">
        <v>1062</v>
      </c>
      <c r="W1142" s="229" t="s">
        <v>4795</v>
      </c>
      <c r="X1142" s="229" t="s">
        <v>4795</v>
      </c>
    </row>
    <row r="1143" spans="1:24" hidden="1" x14ac:dyDescent="0.25">
      <c r="A1143" s="229" t="s">
        <v>313</v>
      </c>
      <c r="B1143" s="230" t="s">
        <v>2164</v>
      </c>
      <c r="C1143" s="230" t="s">
        <v>456</v>
      </c>
      <c r="D1143" s="230" t="s">
        <v>455</v>
      </c>
      <c r="E1143" s="230" t="s">
        <v>422</v>
      </c>
      <c r="F1143" s="230" t="s">
        <v>4801</v>
      </c>
      <c r="G1143" s="230" t="s">
        <v>1198</v>
      </c>
      <c r="H1143" s="230" t="s">
        <v>1082</v>
      </c>
      <c r="I1143" s="230">
        <v>864.1</v>
      </c>
      <c r="J1143" s="230">
        <v>2182701</v>
      </c>
      <c r="K1143" s="230">
        <v>2525.98</v>
      </c>
      <c r="L1143" s="230">
        <v>5.0999999999999996</v>
      </c>
      <c r="M1143" s="230">
        <v>2.2000000000000002</v>
      </c>
      <c r="N1143" s="230">
        <v>6</v>
      </c>
      <c r="O1143" s="230">
        <v>5</v>
      </c>
      <c r="P1143" s="230">
        <v>0</v>
      </c>
      <c r="Q1143" s="230"/>
      <c r="R1143" s="230">
        <v>31</v>
      </c>
      <c r="S1143" s="230" t="s">
        <v>1063</v>
      </c>
      <c r="T1143" s="230">
        <v>2525.98</v>
      </c>
      <c r="U1143" s="230" t="s">
        <v>2819</v>
      </c>
      <c r="V1143" s="230" t="s">
        <v>1062</v>
      </c>
      <c r="W1143" s="229" t="s">
        <v>4795</v>
      </c>
      <c r="X1143" s="229" t="s">
        <v>4795</v>
      </c>
    </row>
    <row r="1144" spans="1:24" hidden="1" x14ac:dyDescent="0.25">
      <c r="A1144" s="229" t="s">
        <v>346</v>
      </c>
      <c r="B1144" s="230" t="s">
        <v>2624</v>
      </c>
      <c r="C1144" s="230" t="s">
        <v>489</v>
      </c>
      <c r="D1144" s="230" t="s">
        <v>488</v>
      </c>
      <c r="E1144" s="230" t="s">
        <v>422</v>
      </c>
      <c r="F1144" s="230" t="s">
        <v>4801</v>
      </c>
      <c r="G1144" s="230" t="s">
        <v>1198</v>
      </c>
      <c r="H1144" s="230" t="s">
        <v>1147</v>
      </c>
      <c r="I1144" s="230">
        <v>1136.46</v>
      </c>
      <c r="J1144" s="230">
        <v>183516</v>
      </c>
      <c r="K1144" s="230">
        <v>161.47999999999999</v>
      </c>
      <c r="L1144" s="230">
        <v>4.5</v>
      </c>
      <c r="M1144" s="230">
        <v>2.7</v>
      </c>
      <c r="N1144" s="230">
        <v>4.7</v>
      </c>
      <c r="O1144" s="230">
        <v>4.5</v>
      </c>
      <c r="P1144" s="230">
        <v>1</v>
      </c>
      <c r="Q1144" s="230"/>
      <c r="R1144" s="230">
        <v>41</v>
      </c>
      <c r="S1144" s="230" t="s">
        <v>1063</v>
      </c>
      <c r="T1144" s="230">
        <v>161.47999999999999</v>
      </c>
      <c r="U1144" s="230" t="s">
        <v>2819</v>
      </c>
      <c r="V1144" s="230" t="s">
        <v>1062</v>
      </c>
      <c r="W1144" s="229" t="s">
        <v>4795</v>
      </c>
      <c r="X1144" s="229" t="s">
        <v>4795</v>
      </c>
    </row>
    <row r="1145" spans="1:24" hidden="1" x14ac:dyDescent="0.25">
      <c r="A1145" s="229"/>
      <c r="B1145" s="230" t="s">
        <v>2624</v>
      </c>
      <c r="C1145" s="230" t="s">
        <v>486</v>
      </c>
      <c r="D1145" s="230" t="s">
        <v>485</v>
      </c>
      <c r="E1145" s="230" t="s">
        <v>422</v>
      </c>
      <c r="F1145" s="230" t="s">
        <v>4801</v>
      </c>
      <c r="G1145" s="230" t="s">
        <v>1198</v>
      </c>
      <c r="H1145" s="230" t="s">
        <v>1147</v>
      </c>
      <c r="I1145" s="230">
        <v>1136.46</v>
      </c>
      <c r="J1145" s="230">
        <v>183516</v>
      </c>
      <c r="K1145" s="230">
        <v>161.47999999999999</v>
      </c>
      <c r="L1145" s="230">
        <v>4.5</v>
      </c>
      <c r="M1145" s="230">
        <v>2.7</v>
      </c>
      <c r="N1145" s="230">
        <v>4.7</v>
      </c>
      <c r="O1145" s="230">
        <v>4.5</v>
      </c>
      <c r="P1145" s="230">
        <v>1</v>
      </c>
      <c r="Q1145" s="230"/>
      <c r="R1145" s="230">
        <v>41</v>
      </c>
      <c r="S1145" s="230" t="s">
        <v>1063</v>
      </c>
      <c r="T1145" s="230">
        <v>161.47999999999999</v>
      </c>
      <c r="U1145" s="230" t="s">
        <v>2819</v>
      </c>
      <c r="V1145" s="230" t="s">
        <v>1062</v>
      </c>
      <c r="W1145" s="229" t="s">
        <v>4795</v>
      </c>
      <c r="X1145" s="229" t="s">
        <v>4795</v>
      </c>
    </row>
    <row r="1146" spans="1:24" hidden="1" x14ac:dyDescent="0.25">
      <c r="A1146" s="229" t="s">
        <v>854</v>
      </c>
      <c r="B1146" s="229" t="s">
        <v>2447</v>
      </c>
      <c r="C1146" s="230" t="s">
        <v>6414</v>
      </c>
      <c r="D1146" s="230" t="s">
        <v>6413</v>
      </c>
      <c r="E1146" s="229"/>
      <c r="F1146" s="229" t="s">
        <v>4801</v>
      </c>
      <c r="G1146" s="229"/>
      <c r="H1146" s="229" t="s">
        <v>1324</v>
      </c>
      <c r="I1146" s="229">
        <v>2969.72</v>
      </c>
      <c r="J1146" s="229">
        <v>323603</v>
      </c>
      <c r="K1146" s="229">
        <v>108.97</v>
      </c>
      <c r="L1146" s="229"/>
      <c r="M1146" s="229"/>
      <c r="N1146" s="229"/>
      <c r="O1146" s="229"/>
      <c r="P1146" s="229"/>
      <c r="Q1146" s="229"/>
      <c r="R1146" s="229">
        <v>8</v>
      </c>
      <c r="S1146" s="229"/>
      <c r="T1146" s="231">
        <v>108.97</v>
      </c>
      <c r="U1146" s="229" t="s">
        <v>2819</v>
      </c>
      <c r="V1146" s="229" t="s">
        <v>1062</v>
      </c>
      <c r="W1146" s="229" t="s">
        <v>4795</v>
      </c>
      <c r="X1146" s="229" t="s">
        <v>4795</v>
      </c>
    </row>
  </sheetData>
  <autoFilter ref="A1:X1146" xr:uid="{41995E52-169E-4BB2-BB87-EC8A7C1944EB}">
    <filterColumn colId="1">
      <filters>
        <filter val="Intercorp Financial Services Inc."/>
      </filters>
    </filterColumn>
  </autoFilter>
  <phoneticPr fontId="3"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A21E0-A0D5-455D-B246-8F93F54530FC}">
  <sheetPr codeName="Sheet5"/>
  <dimension ref="A1:AA11"/>
  <sheetViews>
    <sheetView workbookViewId="0"/>
  </sheetViews>
  <sheetFormatPr defaultColWidth="9.140625" defaultRowHeight="15" x14ac:dyDescent="0.25"/>
  <cols>
    <col min="2" max="2" width="37.5703125" bestFit="1" customWidth="1"/>
  </cols>
  <sheetData>
    <row r="1" spans="1:27" x14ac:dyDescent="0.25">
      <c r="A1" s="114" t="s">
        <v>313</v>
      </c>
      <c r="B1" t="s">
        <v>2164</v>
      </c>
      <c r="C1" t="s">
        <v>510</v>
      </c>
      <c r="D1" t="s">
        <v>509</v>
      </c>
      <c r="E1" t="s">
        <v>422</v>
      </c>
      <c r="F1" t="s">
        <v>4801</v>
      </c>
      <c r="G1" t="s">
        <v>1198</v>
      </c>
      <c r="H1" t="s">
        <v>1082</v>
      </c>
      <c r="I1">
        <v>864.1</v>
      </c>
      <c r="J1">
        <v>2182701</v>
      </c>
      <c r="K1">
        <v>2525.98</v>
      </c>
      <c r="L1">
        <v>5.0999999999999996</v>
      </c>
      <c r="M1">
        <v>2.2000000000000002</v>
      </c>
      <c r="N1">
        <v>6</v>
      </c>
      <c r="O1">
        <v>5.3</v>
      </c>
      <c r="P1">
        <v>0</v>
      </c>
      <c r="R1">
        <v>37</v>
      </c>
      <c r="S1" t="s">
        <v>1063</v>
      </c>
      <c r="T1">
        <v>2525.98</v>
      </c>
      <c r="U1" t="s">
        <v>2819</v>
      </c>
      <c r="V1" t="s">
        <v>1062</v>
      </c>
      <c r="W1" s="114" t="s">
        <v>4795</v>
      </c>
      <c r="X1" s="114" t="s">
        <v>4795</v>
      </c>
    </row>
    <row r="2" spans="1:27" x14ac:dyDescent="0.25">
      <c r="A2" s="114" t="s">
        <v>854</v>
      </c>
      <c r="B2" s="114" t="s">
        <v>2447</v>
      </c>
      <c r="C2" t="s">
        <v>5278</v>
      </c>
      <c r="D2" t="s">
        <v>5277</v>
      </c>
      <c r="E2" s="114" t="s">
        <v>422</v>
      </c>
      <c r="F2" s="114" t="s">
        <v>4801</v>
      </c>
      <c r="G2" s="114" t="s">
        <v>1198</v>
      </c>
      <c r="H2" s="114" t="s">
        <v>1324</v>
      </c>
      <c r="I2" s="114">
        <v>2969.72</v>
      </c>
      <c r="J2" s="114">
        <v>323603</v>
      </c>
      <c r="K2" s="114">
        <v>108.97</v>
      </c>
      <c r="L2" s="114"/>
      <c r="M2" s="114"/>
      <c r="N2" s="114"/>
      <c r="O2" s="114"/>
      <c r="P2" s="114"/>
      <c r="Q2" s="114"/>
      <c r="R2" s="114">
        <v>8</v>
      </c>
      <c r="S2" s="114"/>
      <c r="T2" s="178">
        <v>108.97</v>
      </c>
      <c r="U2" s="114" t="s">
        <v>2819</v>
      </c>
      <c r="V2" s="114" t="s">
        <v>1062</v>
      </c>
      <c r="W2" s="114" t="s">
        <v>4795</v>
      </c>
      <c r="X2" s="114" t="s">
        <v>4795</v>
      </c>
      <c r="AA2" s="1"/>
    </row>
    <row r="3" spans="1:27" x14ac:dyDescent="0.25">
      <c r="A3" s="114" t="s">
        <v>854</v>
      </c>
      <c r="B3" s="114" t="s">
        <v>2447</v>
      </c>
      <c r="C3" t="s">
        <v>5173</v>
      </c>
      <c r="D3" t="s">
        <v>5172</v>
      </c>
      <c r="E3" s="114" t="s">
        <v>422</v>
      </c>
      <c r="F3" s="114" t="s">
        <v>4801</v>
      </c>
      <c r="G3" s="114" t="s">
        <v>1198</v>
      </c>
      <c r="H3" s="114" t="s">
        <v>1324</v>
      </c>
      <c r="I3" s="114">
        <v>2969.72</v>
      </c>
      <c r="J3" s="114">
        <v>323603</v>
      </c>
      <c r="K3" s="114">
        <v>108.97</v>
      </c>
      <c r="L3" s="114"/>
      <c r="M3" s="114"/>
      <c r="N3" s="114"/>
      <c r="O3" s="114"/>
      <c r="P3" s="114"/>
      <c r="Q3" s="114"/>
      <c r="R3" s="114">
        <v>8</v>
      </c>
      <c r="S3" s="114"/>
      <c r="T3" s="178">
        <v>108.97</v>
      </c>
      <c r="U3" s="114" t="s">
        <v>2819</v>
      </c>
      <c r="V3" s="114" t="s">
        <v>1062</v>
      </c>
      <c r="W3" s="114" t="s">
        <v>4795</v>
      </c>
      <c r="X3" s="114" t="s">
        <v>4795</v>
      </c>
      <c r="AA3" s="1"/>
    </row>
    <row r="4" spans="1:27" x14ac:dyDescent="0.25">
      <c r="A4" s="114" t="s">
        <v>332</v>
      </c>
      <c r="B4" s="114" t="s">
        <v>5939</v>
      </c>
      <c r="C4" t="s">
        <v>467</v>
      </c>
      <c r="D4" t="s">
        <v>466</v>
      </c>
      <c r="E4" s="114"/>
      <c r="F4" s="114"/>
      <c r="G4" s="114"/>
      <c r="H4" s="114"/>
      <c r="I4" s="114"/>
      <c r="J4" s="114"/>
      <c r="K4" s="114"/>
      <c r="L4" s="114"/>
      <c r="M4" s="114"/>
      <c r="N4" s="114"/>
      <c r="O4" s="114"/>
      <c r="P4" s="114"/>
      <c r="Q4" s="114"/>
      <c r="R4" s="114"/>
      <c r="S4" s="114"/>
      <c r="T4">
        <v>200.75</v>
      </c>
      <c r="U4" s="114"/>
      <c r="V4" s="114"/>
      <c r="W4" s="114" t="s">
        <v>4795</v>
      </c>
      <c r="X4" s="114" t="s">
        <v>4795</v>
      </c>
    </row>
    <row r="5" spans="1:27" x14ac:dyDescent="0.25">
      <c r="A5" s="114"/>
      <c r="B5" s="114" t="s">
        <v>5149</v>
      </c>
      <c r="C5" t="s">
        <v>470</v>
      </c>
      <c r="D5" t="s">
        <v>469</v>
      </c>
      <c r="E5" s="114"/>
      <c r="F5" s="114"/>
      <c r="G5" s="114"/>
      <c r="H5" s="114"/>
      <c r="I5" s="114"/>
      <c r="J5" s="114"/>
      <c r="K5" s="114"/>
      <c r="L5" s="114"/>
      <c r="M5" s="114"/>
      <c r="N5" s="114"/>
      <c r="O5" s="114"/>
      <c r="P5" s="114"/>
      <c r="Q5" s="114"/>
      <c r="R5" s="114"/>
      <c r="S5" s="114"/>
      <c r="T5">
        <v>1357.45</v>
      </c>
      <c r="U5" s="114"/>
      <c r="V5" s="114"/>
      <c r="W5" s="114" t="s">
        <v>4795</v>
      </c>
      <c r="X5" s="114" t="s">
        <v>4795</v>
      </c>
    </row>
    <row r="6" spans="1:27" x14ac:dyDescent="0.25">
      <c r="A6" s="114"/>
      <c r="B6" t="s">
        <v>1223</v>
      </c>
      <c r="C6" t="s">
        <v>453</v>
      </c>
      <c r="D6" t="s">
        <v>452</v>
      </c>
      <c r="E6" t="s">
        <v>422</v>
      </c>
      <c r="F6" t="s">
        <v>4801</v>
      </c>
      <c r="G6" t="s">
        <v>1198</v>
      </c>
      <c r="H6" t="s">
        <v>1119</v>
      </c>
      <c r="I6">
        <v>7031.91</v>
      </c>
      <c r="J6">
        <v>5410</v>
      </c>
      <c r="K6">
        <v>0.77</v>
      </c>
      <c r="L6">
        <v>5</v>
      </c>
      <c r="M6">
        <v>4.2</v>
      </c>
      <c r="N6">
        <v>4.2</v>
      </c>
      <c r="O6">
        <v>4.5999999999999996</v>
      </c>
      <c r="P6">
        <v>0</v>
      </c>
      <c r="R6">
        <v>35</v>
      </c>
      <c r="S6" t="s">
        <v>1063</v>
      </c>
      <c r="T6">
        <v>0.77</v>
      </c>
      <c r="U6" t="s">
        <v>2819</v>
      </c>
      <c r="V6" t="s">
        <v>1062</v>
      </c>
      <c r="W6" s="114" t="s">
        <v>4795</v>
      </c>
      <c r="X6" s="114" t="s">
        <v>4795</v>
      </c>
    </row>
    <row r="7" spans="1:27" x14ac:dyDescent="0.25">
      <c r="A7" s="114"/>
      <c r="B7" t="s">
        <v>1685</v>
      </c>
      <c r="C7" t="s">
        <v>448</v>
      </c>
      <c r="D7" t="s">
        <v>447</v>
      </c>
      <c r="E7" t="s">
        <v>422</v>
      </c>
      <c r="F7" t="s">
        <v>4801</v>
      </c>
      <c r="G7" t="s">
        <v>1198</v>
      </c>
      <c r="H7" t="s">
        <v>1082</v>
      </c>
      <c r="I7">
        <v>2299.23</v>
      </c>
      <c r="J7">
        <v>4601917</v>
      </c>
      <c r="K7">
        <v>2001.5</v>
      </c>
      <c r="L7">
        <v>4.7</v>
      </c>
      <c r="M7">
        <v>2.7</v>
      </c>
      <c r="N7">
        <v>5.5</v>
      </c>
      <c r="O7">
        <v>4.0999999999999996</v>
      </c>
      <c r="P7">
        <v>0</v>
      </c>
      <c r="R7">
        <v>10</v>
      </c>
      <c r="S7" t="s">
        <v>1063</v>
      </c>
      <c r="T7">
        <v>2001.5</v>
      </c>
      <c r="U7" t="s">
        <v>2819</v>
      </c>
      <c r="V7" t="s">
        <v>1062</v>
      </c>
      <c r="W7" s="114" t="s">
        <v>4795</v>
      </c>
      <c r="X7" s="114" t="s">
        <v>4795</v>
      </c>
    </row>
    <row r="8" spans="1:27" x14ac:dyDescent="0.25">
      <c r="A8" s="114" t="s">
        <v>313</v>
      </c>
      <c r="B8" t="s">
        <v>2164</v>
      </c>
      <c r="C8" t="s">
        <v>456</v>
      </c>
      <c r="D8" t="s">
        <v>455</v>
      </c>
      <c r="E8" t="s">
        <v>422</v>
      </c>
      <c r="F8" t="s">
        <v>4801</v>
      </c>
      <c r="G8" t="s">
        <v>1198</v>
      </c>
      <c r="H8" t="s">
        <v>1082</v>
      </c>
      <c r="I8">
        <v>864.1</v>
      </c>
      <c r="J8">
        <v>2182701</v>
      </c>
      <c r="K8">
        <v>2525.98</v>
      </c>
      <c r="L8">
        <v>5.0999999999999996</v>
      </c>
      <c r="M8">
        <v>2.2000000000000002</v>
      </c>
      <c r="N8">
        <v>6</v>
      </c>
      <c r="O8">
        <v>5</v>
      </c>
      <c r="P8">
        <v>0</v>
      </c>
      <c r="R8">
        <v>31</v>
      </c>
      <c r="S8" t="s">
        <v>1063</v>
      </c>
      <c r="T8">
        <v>2525.98</v>
      </c>
      <c r="U8" t="s">
        <v>2819</v>
      </c>
      <c r="V8" t="s">
        <v>1062</v>
      </c>
      <c r="W8" s="114" t="s">
        <v>4795</v>
      </c>
      <c r="X8" s="114" t="s">
        <v>4795</v>
      </c>
    </row>
    <row r="9" spans="1:27" x14ac:dyDescent="0.25">
      <c r="A9" s="114" t="s">
        <v>346</v>
      </c>
      <c r="B9" t="s">
        <v>2624</v>
      </c>
      <c r="C9" t="s">
        <v>489</v>
      </c>
      <c r="D9" t="s">
        <v>488</v>
      </c>
      <c r="E9" t="s">
        <v>422</v>
      </c>
      <c r="F9" t="s">
        <v>4801</v>
      </c>
      <c r="G9" t="s">
        <v>1198</v>
      </c>
      <c r="H9" t="s">
        <v>1147</v>
      </c>
      <c r="I9">
        <v>1136.46</v>
      </c>
      <c r="J9">
        <v>183516</v>
      </c>
      <c r="K9">
        <v>161.47999999999999</v>
      </c>
      <c r="L9">
        <v>4.5</v>
      </c>
      <c r="M9">
        <v>2.7</v>
      </c>
      <c r="N9">
        <v>4.7</v>
      </c>
      <c r="O9">
        <v>4.5</v>
      </c>
      <c r="P9">
        <v>1</v>
      </c>
      <c r="R9">
        <v>41</v>
      </c>
      <c r="S9" t="s">
        <v>1063</v>
      </c>
      <c r="T9">
        <v>161.47999999999999</v>
      </c>
      <c r="U9" t="s">
        <v>2819</v>
      </c>
      <c r="V9" t="s">
        <v>1062</v>
      </c>
      <c r="W9" s="114" t="s">
        <v>4795</v>
      </c>
      <c r="X9" s="114" t="s">
        <v>4795</v>
      </c>
    </row>
    <row r="10" spans="1:27" x14ac:dyDescent="0.25">
      <c r="A10" s="114"/>
      <c r="B10" t="s">
        <v>2624</v>
      </c>
      <c r="C10" t="s">
        <v>486</v>
      </c>
      <c r="D10" t="s">
        <v>485</v>
      </c>
      <c r="E10" t="s">
        <v>422</v>
      </c>
      <c r="F10" t="s">
        <v>4801</v>
      </c>
      <c r="G10" t="s">
        <v>1198</v>
      </c>
      <c r="H10" t="s">
        <v>1147</v>
      </c>
      <c r="I10">
        <v>1136.46</v>
      </c>
      <c r="J10">
        <v>183516</v>
      </c>
      <c r="K10">
        <v>161.47999999999999</v>
      </c>
      <c r="L10">
        <v>4.5</v>
      </c>
      <c r="M10">
        <v>2.7</v>
      </c>
      <c r="N10">
        <v>4.7</v>
      </c>
      <c r="O10">
        <v>4.5</v>
      </c>
      <c r="P10">
        <v>1</v>
      </c>
      <c r="R10">
        <v>41</v>
      </c>
      <c r="S10" t="s">
        <v>1063</v>
      </c>
      <c r="T10">
        <v>161.47999999999999</v>
      </c>
      <c r="U10" t="s">
        <v>2819</v>
      </c>
      <c r="V10" t="s">
        <v>1062</v>
      </c>
      <c r="W10" s="114" t="s">
        <v>4795</v>
      </c>
      <c r="X10" s="114" t="s">
        <v>4795</v>
      </c>
    </row>
    <row r="11" spans="1:27" x14ac:dyDescent="0.25">
      <c r="A11" s="114" t="s">
        <v>854</v>
      </c>
      <c r="B11" s="114" t="s">
        <v>2447</v>
      </c>
      <c r="C11" t="s">
        <v>6414</v>
      </c>
      <c r="D11" t="s">
        <v>6413</v>
      </c>
      <c r="E11" s="114"/>
      <c r="F11" s="114" t="s">
        <v>4801</v>
      </c>
      <c r="G11" s="114"/>
      <c r="H11" s="114" t="s">
        <v>1324</v>
      </c>
      <c r="I11" s="114">
        <v>2969.72</v>
      </c>
      <c r="J11" s="114">
        <v>323603</v>
      </c>
      <c r="K11" s="114">
        <v>108.97</v>
      </c>
      <c r="L11" s="114"/>
      <c r="M11" s="114"/>
      <c r="N11" s="114"/>
      <c r="O11" s="114"/>
      <c r="P11" s="114"/>
      <c r="Q11" s="114"/>
      <c r="R11" s="114">
        <v>8</v>
      </c>
      <c r="S11" s="114"/>
      <c r="T11" s="178">
        <v>108.97</v>
      </c>
      <c r="U11" s="114" t="s">
        <v>2819</v>
      </c>
      <c r="V11" s="114" t="s">
        <v>1062</v>
      </c>
      <c r="W11" s="114" t="s">
        <v>4795</v>
      </c>
      <c r="X11" s="114" t="s">
        <v>4795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0F2016-54ED-406D-9928-F87ABF2E8F29}">
  <sheetPr codeName="Sheet10"/>
  <dimension ref="C1:P3184"/>
  <sheetViews>
    <sheetView topLeftCell="A7" workbookViewId="0"/>
  </sheetViews>
  <sheetFormatPr defaultColWidth="9.140625" defaultRowHeight="15" x14ac:dyDescent="0.25"/>
  <cols>
    <col min="1" max="1" width="6.42578125" customWidth="1"/>
    <col min="2" max="2" width="2.42578125" customWidth="1"/>
    <col min="3" max="3" width="25.42578125" customWidth="1"/>
    <col min="4" max="4" width="33" customWidth="1"/>
    <col min="5" max="5" width="22.5703125" customWidth="1"/>
    <col min="6" max="6" width="17.28515625" bestFit="1" customWidth="1"/>
    <col min="7" max="7" width="16.28515625" bestFit="1" customWidth="1"/>
    <col min="8" max="8" width="78.7109375" bestFit="1" customWidth="1"/>
    <col min="9" max="9" width="5.7109375" customWidth="1"/>
    <col min="10" max="10" width="12.85546875" bestFit="1" customWidth="1"/>
    <col min="11" max="12" width="8.7109375" customWidth="1"/>
    <col min="15" max="15" width="60.5703125" bestFit="1" customWidth="1"/>
    <col min="16" max="16" width="25" bestFit="1" customWidth="1"/>
  </cols>
  <sheetData>
    <row r="1" spans="3:16" hidden="1" x14ac:dyDescent="0.25">
      <c r="O1" s="189"/>
      <c r="P1" s="190"/>
    </row>
    <row r="2" spans="3:16" hidden="1" x14ac:dyDescent="0.25">
      <c r="D2" t="s">
        <v>4846</v>
      </c>
    </row>
    <row r="3" spans="3:16" hidden="1" x14ac:dyDescent="0.25">
      <c r="C3" s="183"/>
    </row>
    <row r="4" spans="3:16" hidden="1" x14ac:dyDescent="0.25">
      <c r="C4" s="183"/>
    </row>
    <row r="5" spans="3:16" hidden="1" x14ac:dyDescent="0.25"/>
    <row r="6" spans="3:16" hidden="1" x14ac:dyDescent="0.25">
      <c r="C6" s="183"/>
    </row>
    <row r="7" spans="3:16" x14ac:dyDescent="0.25">
      <c r="F7" t="s">
        <v>6107</v>
      </c>
    </row>
    <row r="8" spans="3:16" x14ac:dyDescent="0.25">
      <c r="C8" s="27" t="s">
        <v>2831</v>
      </c>
      <c r="D8" s="29" t="s">
        <v>4351</v>
      </c>
      <c r="E8" s="30" t="s">
        <v>4352</v>
      </c>
      <c r="F8" s="29" t="s">
        <v>4354</v>
      </c>
      <c r="G8" s="30" t="s">
        <v>6105</v>
      </c>
      <c r="H8" s="30" t="s">
        <v>1039</v>
      </c>
      <c r="I8" s="30"/>
      <c r="J8" s="30" t="s">
        <v>6106</v>
      </c>
      <c r="O8" s="30" t="s">
        <v>4893</v>
      </c>
      <c r="P8" s="30" t="s">
        <v>1045</v>
      </c>
    </row>
    <row r="9" spans="3:16" x14ac:dyDescent="0.25">
      <c r="C9" s="28" t="s">
        <v>2832</v>
      </c>
      <c r="D9" s="188" t="str">
        <f>+INDEX([1]Detallado!$F:$F,MATCH($C9,[1]Detallado!$B:$B,0))</f>
        <v>Alternativos</v>
      </c>
      <c r="E9" s="31" t="str">
        <f>+INDEX([1]Detallado!$Q:$Q,MATCH($C9,[1]Detallado!$B:$B,0))</f>
        <v>ALT</v>
      </c>
      <c r="F9" s="185" t="s">
        <v>4353</v>
      </c>
      <c r="G9" s="186" t="str">
        <f>LEFT(C9,2)&amp;E9</f>
        <v>53ALT</v>
      </c>
      <c r="H9" s="187" t="str">
        <f>+INDEX([1]Detallado!$D:$D,MATCH(C9,[1]Detallado!$B:$B,0))</f>
        <v>Antin Infrastructure Partners V-B SCSp</v>
      </c>
      <c r="I9" s="28"/>
      <c r="J9" s="184" t="str">
        <f>IF(E9="ALT",LEFT(E9,3),LEFT(E9,3)&amp;F9)</f>
        <v>ALT</v>
      </c>
      <c r="O9" s="28" t="s">
        <v>4433</v>
      </c>
      <c r="P9" s="28" t="s">
        <v>1324</v>
      </c>
    </row>
    <row r="10" spans="3:16" x14ac:dyDescent="0.25">
      <c r="C10" s="28" t="s">
        <v>2833</v>
      </c>
      <c r="D10" s="188" t="str">
        <f>+INDEX([1]Detallado!$F:$F,MATCH($C10,[1]Detallado!$B:$B,0))</f>
        <v>Alternativos</v>
      </c>
      <c r="E10" s="31" t="str">
        <f>+INDEX([1]Detallado!$Q:$Q,MATCH($C10,[1]Detallado!$B:$B,0))</f>
        <v>ALT</v>
      </c>
      <c r="F10" s="185" t="s">
        <v>4353</v>
      </c>
      <c r="G10" s="186" t="str">
        <f t="shared" ref="G10:G73" si="0">LEFT(C10,2)&amp;E10</f>
        <v>53ALT</v>
      </c>
      <c r="H10" s="187" t="str">
        <f>+INDEX([1]Detallado!$D:$D,MATCH(C10,[1]Detallado!$B:$B,0))</f>
        <v>Antin Infrastructure Partners IV</v>
      </c>
      <c r="I10" s="28"/>
      <c r="J10" s="184" t="str">
        <f t="shared" ref="J10:J73" si="1">IF(E10="ALT",LEFT(E10,3),LEFT(E10,3)&amp;F10)</f>
        <v>ALT</v>
      </c>
      <c r="O10" s="28" t="s">
        <v>4457</v>
      </c>
      <c r="P10" s="28" t="s">
        <v>4902</v>
      </c>
    </row>
    <row r="11" spans="3:16" x14ac:dyDescent="0.25">
      <c r="C11" s="28" t="s">
        <v>2834</v>
      </c>
      <c r="D11" s="188" t="str">
        <f>+INDEX([1]Detallado!$F:$F,MATCH($C11,[1]Detallado!$B:$B,0))</f>
        <v>Alternativos</v>
      </c>
      <c r="E11" s="31" t="str">
        <f>+INDEX([1]Detallado!$Q:$Q,MATCH($C11,[1]Detallado!$B:$B,0))</f>
        <v>ALT</v>
      </c>
      <c r="F11" s="185" t="s">
        <v>4353</v>
      </c>
      <c r="G11" s="186" t="str">
        <f t="shared" si="0"/>
        <v>53ALT</v>
      </c>
      <c r="H11" s="187" t="str">
        <f>+INDEX([1]Detallado!$D:$D,MATCH(C11,[1]Detallado!$B:$B,0))</f>
        <v>Stonepeak Infrastructure Partners III</v>
      </c>
      <c r="I11" s="28"/>
      <c r="J11" s="184" t="str">
        <f t="shared" si="1"/>
        <v>ALT</v>
      </c>
      <c r="O11" s="28" t="s">
        <v>4435</v>
      </c>
      <c r="P11" s="28" t="s">
        <v>4902</v>
      </c>
    </row>
    <row r="12" spans="3:16" x14ac:dyDescent="0.25">
      <c r="C12" s="28" t="s">
        <v>811</v>
      </c>
      <c r="D12" s="188" t="str">
        <f>+INDEX([1]Detallado!$F:$F,MATCH($C12,[1]Detallado!$B:$B,0))</f>
        <v>Alternativos</v>
      </c>
      <c r="E12" s="31" t="str">
        <f>+INDEX([1]Detallado!$Q:$Q,MATCH($C12,[1]Detallado!$B:$B,0))</f>
        <v>ALT</v>
      </c>
      <c r="F12" s="185" t="s">
        <v>4353</v>
      </c>
      <c r="G12" s="186" t="str">
        <f t="shared" si="0"/>
        <v>53ALT</v>
      </c>
      <c r="H12" s="187" t="str">
        <f>+INDEX([1]Detallado!$D:$D,MATCH(C12,[1]Detallado!$B:$B,0))</f>
        <v>Global Infrastructure GP IV, L.P.</v>
      </c>
      <c r="I12" s="28"/>
      <c r="J12" s="184" t="str">
        <f t="shared" si="1"/>
        <v>ALT</v>
      </c>
      <c r="O12" s="28" t="s">
        <v>4459</v>
      </c>
      <c r="P12" s="28" t="s">
        <v>4902</v>
      </c>
    </row>
    <row r="13" spans="3:16" x14ac:dyDescent="0.25">
      <c r="C13" s="28" t="s">
        <v>2835</v>
      </c>
      <c r="D13" s="188" t="str">
        <f>+INDEX([1]Detallado!$F:$F,MATCH($C13,[1]Detallado!$B:$B,0))</f>
        <v>Alternativos</v>
      </c>
      <c r="E13" s="31" t="str">
        <f>+INDEX([1]Detallado!$Q:$Q,MATCH($C13,[1]Detallado!$B:$B,0))</f>
        <v>ALT</v>
      </c>
      <c r="F13" s="185" t="s">
        <v>4353</v>
      </c>
      <c r="G13" s="186" t="str">
        <f t="shared" si="0"/>
        <v>53ALT</v>
      </c>
      <c r="H13" s="187" t="str">
        <f>+INDEX([1]Detallado!$D:$D,MATCH(C13,[1]Detallado!$B:$B,0))</f>
        <v>EQT Infrastructure IV (GP) SCS</v>
      </c>
      <c r="I13" s="28"/>
      <c r="J13" s="184" t="str">
        <f t="shared" si="1"/>
        <v>ALT</v>
      </c>
      <c r="O13" s="28" t="s">
        <v>4531</v>
      </c>
      <c r="P13" s="28" t="s">
        <v>4902</v>
      </c>
    </row>
    <row r="14" spans="3:16" x14ac:dyDescent="0.25">
      <c r="C14" s="28" t="s">
        <v>2836</v>
      </c>
      <c r="D14" s="188" t="str">
        <f>+INDEX([1]Detallado!$F:$F,MATCH($C14,[1]Detallado!$B:$B,0))</f>
        <v>Alternativos</v>
      </c>
      <c r="E14" s="31" t="str">
        <f>+INDEX([1]Detallado!$Q:$Q,MATCH($C14,[1]Detallado!$B:$B,0))</f>
        <v>ALT</v>
      </c>
      <c r="F14" s="185" t="s">
        <v>4353</v>
      </c>
      <c r="G14" s="186" t="str">
        <f t="shared" si="0"/>
        <v>53ALT</v>
      </c>
      <c r="H14" s="187" t="str">
        <f>+INDEX([1]Detallado!$D:$D,MATCH(C14,[1]Detallado!$B:$B,0))</f>
        <v>EQT Infrastructure V (General Partner) S.à.r.</v>
      </c>
      <c r="I14" s="28"/>
      <c r="J14" s="184" t="str">
        <f t="shared" si="1"/>
        <v>ALT</v>
      </c>
      <c r="O14" s="28" t="s">
        <v>2804</v>
      </c>
      <c r="P14" s="28" t="s">
        <v>4902</v>
      </c>
    </row>
    <row r="15" spans="3:16" x14ac:dyDescent="0.25">
      <c r="C15" s="28" t="s">
        <v>2837</v>
      </c>
      <c r="D15" s="188" t="str">
        <f>+INDEX([1]Detallado!$F:$F,MATCH($C15,[1]Detallado!$B:$B,0))</f>
        <v>Alternativos</v>
      </c>
      <c r="E15" s="31" t="str">
        <f>+INDEX([1]Detallado!$Q:$Q,MATCH($C15,[1]Detallado!$B:$B,0))</f>
        <v>ALT</v>
      </c>
      <c r="F15" s="185" t="s">
        <v>4353</v>
      </c>
      <c r="G15" s="186" t="str">
        <f t="shared" si="0"/>
        <v>53ALT</v>
      </c>
      <c r="H15" s="187" t="str">
        <f>+INDEX([1]Detallado!$D:$D,MATCH(C15,[1]Detallado!$B:$B,0))</f>
        <v>InfraVia European Fund V SCSp</v>
      </c>
      <c r="I15" s="28"/>
      <c r="J15" s="184" t="str">
        <f t="shared" si="1"/>
        <v>ALT</v>
      </c>
      <c r="O15" s="28" t="s">
        <v>4460</v>
      </c>
      <c r="P15" s="28" t="s">
        <v>4902</v>
      </c>
    </row>
    <row r="16" spans="3:16" x14ac:dyDescent="0.25">
      <c r="C16" s="28" t="s">
        <v>2838</v>
      </c>
      <c r="D16" s="188" t="str">
        <f>+INDEX([1]Detallado!$F:$F,MATCH($C16,[1]Detallado!$B:$B,0))</f>
        <v>Alternativos</v>
      </c>
      <c r="E16" s="31" t="str">
        <f>+INDEX([1]Detallado!$Q:$Q,MATCH($C16,[1]Detallado!$B:$B,0))</f>
        <v>ALT</v>
      </c>
      <c r="F16" s="185" t="s">
        <v>4353</v>
      </c>
      <c r="G16" s="186" t="str">
        <f t="shared" si="0"/>
        <v>53ALT</v>
      </c>
      <c r="H16" s="187" t="str">
        <f>+INDEX([1]Detallado!$D:$D,MATCH(C16,[1]Detallado!$B:$B,0))</f>
        <v>Partners Group Direct Infrastructure 2020</v>
      </c>
      <c r="I16" s="28"/>
      <c r="J16" s="184" t="str">
        <f t="shared" si="1"/>
        <v>ALT</v>
      </c>
      <c r="O16" s="28" t="s">
        <v>4436</v>
      </c>
      <c r="P16" s="28" t="s">
        <v>4902</v>
      </c>
    </row>
    <row r="17" spans="3:16" x14ac:dyDescent="0.25">
      <c r="C17" s="28" t="s">
        <v>2839</v>
      </c>
      <c r="D17" s="188" t="str">
        <f>+INDEX([1]Detallado!$F:$F,MATCH($C17,[1]Detallado!$B:$B,0))</f>
        <v>Alternativos</v>
      </c>
      <c r="E17" s="31" t="str">
        <f>+INDEX([1]Detallado!$Q:$Q,MATCH($C17,[1]Detallado!$B:$B,0))</f>
        <v>ALT</v>
      </c>
      <c r="F17" s="185" t="s">
        <v>4353</v>
      </c>
      <c r="G17" s="186" t="str">
        <f t="shared" si="0"/>
        <v>53ALT</v>
      </c>
      <c r="H17" s="187" t="str">
        <f>+INDEX([1]Detallado!$D:$D,MATCH(C17,[1]Detallado!$B:$B,0))</f>
        <v>Morgan Stanley - Infrastructure Fund III</v>
      </c>
      <c r="I17" s="28"/>
      <c r="J17" s="184" t="str">
        <f>IF(E17="ALT",LEFT(E17,3),LEFT(E17,3)&amp;F17)</f>
        <v>ALT</v>
      </c>
      <c r="O17" s="28" t="s">
        <v>4609</v>
      </c>
      <c r="P17" s="28" t="s">
        <v>4877</v>
      </c>
    </row>
    <row r="18" spans="3:16" x14ac:dyDescent="0.25">
      <c r="C18" s="28" t="s">
        <v>2840</v>
      </c>
      <c r="D18" s="188" t="str">
        <f>+INDEX([1]Detallado!$F:$F,MATCH($C18,[1]Detallado!$B:$B,0))</f>
        <v>Alternativos</v>
      </c>
      <c r="E18" s="31" t="str">
        <f>+INDEX([1]Detallado!$Q:$Q,MATCH($C18,[1]Detallado!$B:$B,0))</f>
        <v>ALT</v>
      </c>
      <c r="F18" s="185" t="s">
        <v>4353</v>
      </c>
      <c r="G18" s="186" t="str">
        <f t="shared" si="0"/>
        <v>53ALT</v>
      </c>
      <c r="H18" s="187" t="str">
        <f>+INDEX([1]Detallado!$D:$D,MATCH(C18,[1]Detallado!$B:$B,0))</f>
        <v>Oaktree Special Situations Fund II GP, L.P.</v>
      </c>
      <c r="I18" s="28"/>
      <c r="J18" s="184" t="str">
        <f t="shared" si="1"/>
        <v>ALT</v>
      </c>
      <c r="O18" s="28" t="s">
        <v>4484</v>
      </c>
      <c r="P18" s="28" t="s">
        <v>4894</v>
      </c>
    </row>
    <row r="19" spans="3:16" x14ac:dyDescent="0.25">
      <c r="C19" s="28" t="s">
        <v>2841</v>
      </c>
      <c r="D19" s="188" t="str">
        <f>+INDEX([1]Detallado!$F:$F,MATCH($C19,[1]Detallado!$B:$B,0))</f>
        <v>Alternativos</v>
      </c>
      <c r="E19" s="31" t="str">
        <f>+INDEX([1]Detallado!$Q:$Q,MATCH($C19,[1]Detallado!$B:$B,0))</f>
        <v>ALT</v>
      </c>
      <c r="F19" s="185" t="s">
        <v>4353</v>
      </c>
      <c r="G19" s="186" t="str">
        <f t="shared" si="0"/>
        <v>53ALT</v>
      </c>
      <c r="H19" s="187" t="str">
        <f>+INDEX([1]Detallado!$D:$D,MATCH(C19,[1]Detallado!$B:$B,0))</f>
        <v>Bain Capital - Distr. &amp; Sp. Sits 2019</v>
      </c>
      <c r="I19" s="28"/>
      <c r="J19" s="184" t="str">
        <f t="shared" si="1"/>
        <v>ALT</v>
      </c>
      <c r="O19" s="28" t="s">
        <v>2800</v>
      </c>
      <c r="P19" s="28" t="s">
        <v>4898</v>
      </c>
    </row>
    <row r="20" spans="3:16" x14ac:dyDescent="0.25">
      <c r="C20" s="28" t="s">
        <v>2923</v>
      </c>
      <c r="D20" s="188" t="str">
        <f>+INDEX([1]Detallado!$F:$F,MATCH($C20,[1]Detallado!$B:$B,0))</f>
        <v>Renta Fija</v>
      </c>
      <c r="E20" s="31" t="str">
        <f>+INDEX([1]Detallado!$Q:$Q,MATCH($C20,[1]Detallado!$B:$B,0))</f>
        <v>RFIG</v>
      </c>
      <c r="F20" s="185" t="s">
        <v>4355</v>
      </c>
      <c r="G20" s="186" t="str">
        <f t="shared" si="0"/>
        <v>52RFIG</v>
      </c>
      <c r="H20" s="187" t="str">
        <f>+INDEX([1]Detallado!$D:$D,MATCH(C20,[1]Detallado!$B:$B,0))</f>
        <v>Arcano Fund - European Income Fund, ESG Selection</v>
      </c>
      <c r="I20" s="28"/>
      <c r="J20" s="184" t="str">
        <f t="shared" si="1"/>
        <v>RFITD</v>
      </c>
      <c r="O20" s="28" t="s">
        <v>4488</v>
      </c>
      <c r="P20" s="28" t="s">
        <v>4894</v>
      </c>
    </row>
    <row r="21" spans="3:16" x14ac:dyDescent="0.25">
      <c r="C21" s="28" t="s">
        <v>739</v>
      </c>
      <c r="D21" s="188" t="str">
        <f>+INDEX([1]Detallado!$F:$F,MATCH($C21,[1]Detallado!$B:$B,0))</f>
        <v>Alternativos</v>
      </c>
      <c r="E21" s="31" t="str">
        <f>+INDEX([1]Detallado!$Q:$Q,MATCH($C21,[1]Detallado!$B:$B,0))</f>
        <v>ALT</v>
      </c>
      <c r="F21" s="185" t="s">
        <v>4353</v>
      </c>
      <c r="G21" s="186" t="str">
        <f t="shared" si="0"/>
        <v>53ALT</v>
      </c>
      <c r="H21" s="187" t="str">
        <f>+INDEX([1]Detallado!$D:$D,MATCH(C21,[1]Detallado!$B:$B,0))</f>
        <v xml:space="preserve">PineBridge - Credit Opportunities II </v>
      </c>
      <c r="I21" s="28"/>
      <c r="J21" s="184" t="str">
        <f t="shared" si="1"/>
        <v>ALT</v>
      </c>
      <c r="O21" s="28" t="s">
        <v>2807</v>
      </c>
      <c r="P21" s="28" t="s">
        <v>4902</v>
      </c>
    </row>
    <row r="22" spans="3:16" x14ac:dyDescent="0.25">
      <c r="C22" s="28" t="s">
        <v>761</v>
      </c>
      <c r="D22" s="188" t="str">
        <f>+INDEX([1]Detallado!$F:$F,MATCH($C22,[1]Detallado!$B:$B,0))</f>
        <v>Alternativos</v>
      </c>
      <c r="E22" s="31" t="str">
        <f>+INDEX([1]Detallado!$Q:$Q,MATCH($C22,[1]Detallado!$B:$B,0))</f>
        <v>ALT</v>
      </c>
      <c r="F22" s="185" t="s">
        <v>4353</v>
      </c>
      <c r="G22" s="186" t="str">
        <f t="shared" si="0"/>
        <v>53ALT</v>
      </c>
      <c r="H22" s="187" t="str">
        <f>+INDEX([1]Detallado!$D:$D,MATCH(C22,[1]Detallado!$B:$B,0))</f>
        <v>Apollo Credit Opportunity III</v>
      </c>
      <c r="I22" s="28"/>
      <c r="J22" s="184" t="str">
        <f t="shared" si="1"/>
        <v>ALT</v>
      </c>
      <c r="O22" s="28" t="s">
        <v>4614</v>
      </c>
      <c r="P22" s="28" t="s">
        <v>4902</v>
      </c>
    </row>
    <row r="23" spans="3:16" x14ac:dyDescent="0.25">
      <c r="C23" s="28" t="s">
        <v>768</v>
      </c>
      <c r="D23" s="188" t="str">
        <f>+INDEX([1]Detallado!$F:$F,MATCH($C23,[1]Detallado!$B:$B,0))</f>
        <v>Alternativos</v>
      </c>
      <c r="E23" s="31" t="str">
        <f>+INDEX([1]Detallado!$Q:$Q,MATCH($C23,[1]Detallado!$B:$B,0))</f>
        <v>ALT</v>
      </c>
      <c r="F23" s="185" t="s">
        <v>4353</v>
      </c>
      <c r="G23" s="186" t="str">
        <f t="shared" si="0"/>
        <v>53ALT</v>
      </c>
      <c r="H23" s="187" t="str">
        <f>+INDEX([1]Detallado!$D:$D,MATCH(C23,[1]Detallado!$B:$B,0))</f>
        <v>Oaktree Principal Fund VI GP, L.P.</v>
      </c>
      <c r="I23" s="28"/>
      <c r="J23" s="184" t="str">
        <f t="shared" si="1"/>
        <v>ALT</v>
      </c>
      <c r="O23" s="28" t="s">
        <v>2805</v>
      </c>
      <c r="P23" s="28" t="s">
        <v>4902</v>
      </c>
    </row>
    <row r="24" spans="3:16" x14ac:dyDescent="0.25">
      <c r="C24" s="28" t="s">
        <v>772</v>
      </c>
      <c r="D24" s="188" t="str">
        <f>+INDEX([1]Detallado!$F:$F,MATCH($C24,[1]Detallado!$B:$B,0))</f>
        <v>Alternativos</v>
      </c>
      <c r="E24" s="31" t="str">
        <f>+INDEX([1]Detallado!$Q:$Q,MATCH($C24,[1]Detallado!$B:$B,0))</f>
        <v>ALT</v>
      </c>
      <c r="F24" s="185" t="s">
        <v>4353</v>
      </c>
      <c r="G24" s="186" t="str">
        <f t="shared" si="0"/>
        <v>53ALT</v>
      </c>
      <c r="H24" s="187" t="str">
        <f>+INDEX([1]Detallado!$D:$D,MATCH(C24,[1]Detallado!$B:$B,0))</f>
        <v>ASSF - Operating Manager IV, LP</v>
      </c>
      <c r="I24" s="28"/>
      <c r="J24" s="184" t="str">
        <f t="shared" si="1"/>
        <v>ALT</v>
      </c>
      <c r="O24" s="28" t="s">
        <v>4431</v>
      </c>
      <c r="P24" s="28" t="s">
        <v>4895</v>
      </c>
    </row>
    <row r="25" spans="3:16" x14ac:dyDescent="0.25">
      <c r="C25" s="28" t="s">
        <v>774</v>
      </c>
      <c r="D25" s="188" t="str">
        <f>+INDEX([1]Detallado!$F:$F,MATCH($C25,[1]Detallado!$B:$B,0))</f>
        <v>Alternativos</v>
      </c>
      <c r="E25" s="31" t="str">
        <f>+INDEX([1]Detallado!$Q:$Q,MATCH($C25,[1]Detallado!$B:$B,0))</f>
        <v>ALT</v>
      </c>
      <c r="F25" s="185" t="s">
        <v>4353</v>
      </c>
      <c r="G25" s="186" t="str">
        <f t="shared" si="0"/>
        <v>53ALT</v>
      </c>
      <c r="H25" s="187" t="str">
        <f>+INDEX([1]Detallado!$D:$D,MATCH(C25,[1]Detallado!$B:$B,0))</f>
        <v>Avenue - Europe Capital Partners III, LLC</v>
      </c>
      <c r="I25" s="28"/>
      <c r="J25" s="184" t="str">
        <f t="shared" si="1"/>
        <v>ALT</v>
      </c>
      <c r="O25" s="28" t="s">
        <v>4625</v>
      </c>
      <c r="P25" s="28" t="s">
        <v>1324</v>
      </c>
    </row>
    <row r="26" spans="3:16" x14ac:dyDescent="0.25">
      <c r="C26" s="28" t="s">
        <v>2842</v>
      </c>
      <c r="D26" s="188" t="str">
        <f>+INDEX([1]Detallado!$F:$F,MATCH($C26,[1]Detallado!$B:$B,0))</f>
        <v>Alternativos</v>
      </c>
      <c r="E26" s="31" t="str">
        <f>+INDEX([1]Detallado!$Q:$Q,MATCH($C26,[1]Detallado!$B:$B,0))</f>
        <v>ALT</v>
      </c>
      <c r="F26" s="185" t="s">
        <v>4353</v>
      </c>
      <c r="G26" s="186" t="str">
        <f t="shared" si="0"/>
        <v>53ALT</v>
      </c>
      <c r="H26" s="187" t="str">
        <f>+INDEX([1]Detallado!$D:$D,MATCH(C26,[1]Detallado!$B:$B,0))</f>
        <v>CIP</v>
      </c>
      <c r="I26" s="28"/>
      <c r="J26" s="184" t="str">
        <f t="shared" si="1"/>
        <v>ALT</v>
      </c>
      <c r="O26" s="28" t="s">
        <v>4624</v>
      </c>
      <c r="P26" s="28" t="s">
        <v>1324</v>
      </c>
    </row>
    <row r="27" spans="3:16" x14ac:dyDescent="0.25">
      <c r="C27" s="28" t="s">
        <v>2843</v>
      </c>
      <c r="D27" s="188" t="str">
        <f>+INDEX([1]Detallado!$F:$F,MATCH($C27,[1]Detallado!$B:$B,0))</f>
        <v>Alternativos</v>
      </c>
      <c r="E27" s="31" t="str">
        <f>+INDEX([1]Detallado!$Q:$Q,MATCH($C27,[1]Detallado!$B:$B,0))</f>
        <v>ALT</v>
      </c>
      <c r="F27" s="185" t="s">
        <v>4353</v>
      </c>
      <c r="G27" s="186" t="str">
        <f t="shared" si="0"/>
        <v>53ALT</v>
      </c>
      <c r="H27" s="187" t="str">
        <f>+INDEX([1]Detallado!$D:$D,MATCH(C27,[1]Detallado!$B:$B,0))</f>
        <v>Strategic Partners - VIII</v>
      </c>
      <c r="I27" s="28"/>
      <c r="J27" s="184" t="str">
        <f t="shared" si="1"/>
        <v>ALT</v>
      </c>
      <c r="O27" s="28" t="s">
        <v>2813</v>
      </c>
      <c r="P27" s="28" t="s">
        <v>1324</v>
      </c>
    </row>
    <row r="28" spans="3:16" x14ac:dyDescent="0.25">
      <c r="C28" s="28" t="s">
        <v>2844</v>
      </c>
      <c r="D28" s="188" t="str">
        <f>+INDEX([1]Detallado!$F:$F,MATCH($C28,[1]Detallado!$B:$B,0))</f>
        <v>Alternativos</v>
      </c>
      <c r="E28" s="31" t="str">
        <f>+INDEX([1]Detallado!$Q:$Q,MATCH($C28,[1]Detallado!$B:$B,0))</f>
        <v>ALT</v>
      </c>
      <c r="F28" s="185" t="s">
        <v>4353</v>
      </c>
      <c r="G28" s="186" t="str">
        <f t="shared" si="0"/>
        <v>53ALT</v>
      </c>
      <c r="H28" s="187" t="str">
        <f>+INDEX([1]Detallado!$D:$D,MATCH(C28,[1]Detallado!$B:$B,0))</f>
        <v>GSO Capital Solutions Overseas Feeder Fund III LP</v>
      </c>
      <c r="I28" s="28"/>
      <c r="J28" s="184" t="str">
        <f t="shared" si="1"/>
        <v>ALT</v>
      </c>
      <c r="O28" s="28" t="s">
        <v>2806</v>
      </c>
      <c r="P28" s="28" t="s">
        <v>4898</v>
      </c>
    </row>
    <row r="29" spans="3:16" x14ac:dyDescent="0.25">
      <c r="C29" s="28" t="s">
        <v>2845</v>
      </c>
      <c r="D29" s="188" t="str">
        <f>+INDEX([1]Detallado!$F:$F,MATCH($C29,[1]Detallado!$B:$B,0))</f>
        <v>Alternativos</v>
      </c>
      <c r="E29" s="31" t="str">
        <f>+INDEX([1]Detallado!$Q:$Q,MATCH($C29,[1]Detallado!$B:$B,0))</f>
        <v>ALT</v>
      </c>
      <c r="F29" s="185" t="s">
        <v>4353</v>
      </c>
      <c r="G29" s="186" t="str">
        <f t="shared" si="0"/>
        <v>53ALT</v>
      </c>
      <c r="H29" s="187" t="str">
        <f>+INDEX([1]Detallado!$D:$D,MATCH(C29,[1]Detallado!$B:$B,0))</f>
        <v>CVC Credit Partners Global Special Situations Feeder Fund II SCSp</v>
      </c>
      <c r="I29" s="28"/>
      <c r="J29" s="184" t="str">
        <f t="shared" si="1"/>
        <v>ALT</v>
      </c>
      <c r="O29" s="28" t="s">
        <v>2814</v>
      </c>
      <c r="P29" s="28" t="s">
        <v>4896</v>
      </c>
    </row>
    <row r="30" spans="3:16" x14ac:dyDescent="0.25">
      <c r="C30" s="28" t="s">
        <v>2846</v>
      </c>
      <c r="D30" s="188" t="str">
        <f>+INDEX([1]Detallado!$F:$F,MATCH($C30,[1]Detallado!$B:$B,0))</f>
        <v>Alternativos</v>
      </c>
      <c r="E30" s="31" t="str">
        <f>+INDEX([1]Detallado!$Q:$Q,MATCH($C30,[1]Detallado!$B:$B,0))</f>
        <v>ALT</v>
      </c>
      <c r="F30" s="185" t="s">
        <v>4353</v>
      </c>
      <c r="G30" s="186" t="str">
        <f t="shared" si="0"/>
        <v>53ALT</v>
      </c>
      <c r="H30" s="187" t="str">
        <f>+INDEX([1]Detallado!$D:$D,MATCH(C30,[1]Detallado!$B:$B,0))</f>
        <v>Apollo European Principal Finance Fund III (EURO B), L.P</v>
      </c>
      <c r="I30" s="28"/>
      <c r="J30" s="184" t="str">
        <f t="shared" si="1"/>
        <v>ALT</v>
      </c>
      <c r="O30" s="28" t="s">
        <v>2803</v>
      </c>
      <c r="P30" s="28" t="s">
        <v>4902</v>
      </c>
    </row>
    <row r="31" spans="3:16" x14ac:dyDescent="0.25">
      <c r="C31" s="28" t="s">
        <v>2847</v>
      </c>
      <c r="D31" s="188" t="str">
        <f>+INDEX([1]Detallado!$F:$F,MATCH($C31,[1]Detallado!$B:$B,0))</f>
        <v>Alternativos</v>
      </c>
      <c r="E31" s="31" t="str">
        <f>+INDEX([1]Detallado!$Q:$Q,MATCH($C31,[1]Detallado!$B:$B,0))</f>
        <v>ALT</v>
      </c>
      <c r="F31" s="185" t="s">
        <v>4353</v>
      </c>
      <c r="G31" s="186" t="str">
        <f t="shared" si="0"/>
        <v>53ALT</v>
      </c>
      <c r="H31" s="187" t="str">
        <f>+INDEX([1]Detallado!$D:$D,MATCH(C31,[1]Detallado!$B:$B,0))</f>
        <v>Portfolio Advisors - Direct Credit Opportunities Fund III</v>
      </c>
      <c r="I31" s="28"/>
      <c r="J31" s="184" t="str">
        <f t="shared" si="1"/>
        <v>ALT</v>
      </c>
      <c r="O31" s="28" t="s">
        <v>4498</v>
      </c>
      <c r="P31" s="28" t="s">
        <v>4902</v>
      </c>
    </row>
    <row r="32" spans="3:16" x14ac:dyDescent="0.25">
      <c r="C32" s="28" t="s">
        <v>2848</v>
      </c>
      <c r="D32" s="188" t="str">
        <f>+INDEX([1]Detallado!$F:$F,MATCH($C32,[1]Detallado!$B:$B,0))</f>
        <v>Alternativos</v>
      </c>
      <c r="E32" s="31" t="str">
        <f>+INDEX([1]Detallado!$Q:$Q,MATCH($C32,[1]Detallado!$B:$B,0))</f>
        <v>ALT</v>
      </c>
      <c r="F32" s="185" t="s">
        <v>4353</v>
      </c>
      <c r="G32" s="186" t="str">
        <f t="shared" si="0"/>
        <v>53ALT</v>
      </c>
      <c r="H32" s="187" t="str">
        <f>+INDEX([1]Detallado!$D:$D,MATCH(C32,[1]Detallado!$B:$B,0))</f>
        <v>ICG - Europe Fund VI GP Limited</v>
      </c>
      <c r="I32" s="28"/>
      <c r="J32" s="184" t="str">
        <f t="shared" si="1"/>
        <v>ALT</v>
      </c>
      <c r="O32" s="28" t="s">
        <v>4615</v>
      </c>
      <c r="P32" s="28" t="s">
        <v>4896</v>
      </c>
    </row>
    <row r="33" spans="3:16" x14ac:dyDescent="0.25">
      <c r="C33" s="28" t="s">
        <v>2849</v>
      </c>
      <c r="D33" s="188" t="str">
        <f>+INDEX([1]Detallado!$F:$F,MATCH($C33,[1]Detallado!$B:$B,0))</f>
        <v>Alternativos</v>
      </c>
      <c r="E33" s="31" t="str">
        <f>+INDEX([1]Detallado!$Q:$Q,MATCH($C33,[1]Detallado!$B:$B,0))</f>
        <v>ALT</v>
      </c>
      <c r="F33" s="185" t="s">
        <v>4353</v>
      </c>
      <c r="G33" s="186" t="str">
        <f t="shared" si="0"/>
        <v>53ALT</v>
      </c>
      <c r="H33" s="187" t="str">
        <f>+INDEX([1]Detallado!$D:$D,MATCH(C33,[1]Detallado!$B:$B,0))</f>
        <v>Cerberus - CIP VI Overseas Feeder</v>
      </c>
      <c r="I33" s="28"/>
      <c r="J33" s="184" t="str">
        <f t="shared" si="1"/>
        <v>ALT</v>
      </c>
      <c r="O33" s="28" t="s">
        <v>4434</v>
      </c>
      <c r="P33" s="28" t="s">
        <v>4902</v>
      </c>
    </row>
    <row r="34" spans="3:16" x14ac:dyDescent="0.25">
      <c r="C34" s="28" t="s">
        <v>2850</v>
      </c>
      <c r="D34" s="188" t="str">
        <f>+INDEX([1]Detallado!$F:$F,MATCH($C34,[1]Detallado!$B:$B,0))</f>
        <v>Alternativos</v>
      </c>
      <c r="E34" s="31" t="str">
        <f>+INDEX([1]Detallado!$Q:$Q,MATCH($C34,[1]Detallado!$B:$B,0))</f>
        <v>ALT</v>
      </c>
      <c r="F34" s="185" t="s">
        <v>4353</v>
      </c>
      <c r="G34" s="186" t="str">
        <f t="shared" si="0"/>
        <v>53ALT</v>
      </c>
      <c r="H34" s="187" t="str">
        <f>+INDEX([1]Detallado!$D:$D,MATCH(C34,[1]Detallado!$B:$B,0))</f>
        <v>GSO Capital Solutions - Overseas Feeder Fund III</v>
      </c>
      <c r="I34" s="28"/>
      <c r="J34" s="184" t="str">
        <f t="shared" si="1"/>
        <v>ALT</v>
      </c>
      <c r="O34" s="28" t="s">
        <v>2812</v>
      </c>
      <c r="P34" s="28" t="s">
        <v>1324</v>
      </c>
    </row>
    <row r="35" spans="3:16" x14ac:dyDescent="0.25">
      <c r="C35" s="28" t="s">
        <v>2851</v>
      </c>
      <c r="D35" s="188" t="str">
        <f>+INDEX([1]Detallado!$F:$F,MATCH($C35,[1]Detallado!$B:$B,0))</f>
        <v>Alternativos</v>
      </c>
      <c r="E35" s="31" t="str">
        <f>+INDEX([1]Detallado!$Q:$Q,MATCH($C35,[1]Detallado!$B:$B,0))</f>
        <v>ALT</v>
      </c>
      <c r="F35" s="185" t="s">
        <v>4353</v>
      </c>
      <c r="G35" s="186" t="str">
        <f t="shared" si="0"/>
        <v>53ALT</v>
      </c>
      <c r="H35" s="187" t="str">
        <f>+INDEX([1]Detallado!$D:$D,MATCH(C35,[1]Detallado!$B:$B,0))</f>
        <v>Fortress - Real Estate Opportunities Fund III</v>
      </c>
      <c r="I35" s="28"/>
      <c r="J35" s="184" t="str">
        <f t="shared" si="1"/>
        <v>ALT</v>
      </c>
      <c r="O35" s="28" t="s">
        <v>4611</v>
      </c>
      <c r="P35" s="28" t="s">
        <v>4898</v>
      </c>
    </row>
    <row r="36" spans="3:16" x14ac:dyDescent="0.25">
      <c r="C36" s="28" t="s">
        <v>2852</v>
      </c>
      <c r="D36" s="188" t="str">
        <f>+INDEX([1]Detallado!$F:$F,MATCH($C36,[1]Detallado!$B:$B,0))</f>
        <v>Alternativos</v>
      </c>
      <c r="E36" s="31" t="str">
        <f>+INDEX([1]Detallado!$Q:$Q,MATCH($C36,[1]Detallado!$B:$B,0))</f>
        <v>ALT</v>
      </c>
      <c r="F36" s="185" t="s">
        <v>4353</v>
      </c>
      <c r="G36" s="186" t="str">
        <f t="shared" si="0"/>
        <v>53ALT</v>
      </c>
      <c r="H36" s="187" t="str">
        <f>+INDEX([1]Detallado!$D:$D,MATCH(C36,[1]Detallado!$B:$B,0))</f>
        <v>Neuberger Bergman Private Debt III</v>
      </c>
      <c r="I36" s="28"/>
      <c r="J36" s="184" t="str">
        <f t="shared" si="1"/>
        <v>ALT</v>
      </c>
      <c r="O36" s="28" t="s">
        <v>4500</v>
      </c>
      <c r="P36" s="28" t="s">
        <v>4898</v>
      </c>
    </row>
    <row r="37" spans="3:16" x14ac:dyDescent="0.25">
      <c r="C37" s="28" t="s">
        <v>2853</v>
      </c>
      <c r="D37" s="188" t="str">
        <f>+INDEX([1]Detallado!$F:$F,MATCH($C37,[1]Detallado!$B:$B,0))</f>
        <v>Alternativos</v>
      </c>
      <c r="E37" s="31" t="str">
        <f>+INDEX([1]Detallado!$Q:$Q,MATCH($C37,[1]Detallado!$B:$B,0))</f>
        <v>ALT</v>
      </c>
      <c r="F37" s="185" t="s">
        <v>4353</v>
      </c>
      <c r="G37" s="186" t="str">
        <f t="shared" si="0"/>
        <v>53ALT</v>
      </c>
      <c r="H37" s="187" t="str">
        <f>+INDEX([1]Detallado!$D:$D,MATCH(C37,[1]Detallado!$B:$B,0))</f>
        <v>Altamar - PE Program VIII</v>
      </c>
      <c r="I37" s="28"/>
      <c r="J37" s="184" t="str">
        <f t="shared" si="1"/>
        <v>ALT</v>
      </c>
      <c r="O37" s="28" t="s">
        <v>4499</v>
      </c>
      <c r="P37" s="28" t="s">
        <v>4902</v>
      </c>
    </row>
    <row r="38" spans="3:16" x14ac:dyDescent="0.25">
      <c r="C38" s="28" t="s">
        <v>2854</v>
      </c>
      <c r="D38" s="188" t="str">
        <f>+INDEX([1]Detallado!$F:$F,MATCH($C38,[1]Detallado!$B:$B,0))</f>
        <v>Alternativos</v>
      </c>
      <c r="E38" s="31" t="str">
        <f>+INDEX([1]Detallado!$Q:$Q,MATCH($C38,[1]Detallado!$B:$B,0))</f>
        <v>ALT</v>
      </c>
      <c r="F38" s="185" t="s">
        <v>4353</v>
      </c>
      <c r="G38" s="186" t="str">
        <f t="shared" si="0"/>
        <v>53ALT</v>
      </c>
      <c r="H38" s="187" t="str">
        <f>+INDEX([1]Detallado!$D:$D,MATCH(C38,[1]Detallado!$B:$B,0))</f>
        <v>Altamar - PE Program V</v>
      </c>
      <c r="I38" s="28"/>
      <c r="J38" s="184" t="str">
        <f t="shared" si="1"/>
        <v>ALT</v>
      </c>
      <c r="O38" s="28" t="s">
        <v>4613</v>
      </c>
      <c r="P38" s="28" t="s">
        <v>4902</v>
      </c>
    </row>
    <row r="39" spans="3:16" x14ac:dyDescent="0.25">
      <c r="C39" s="28" t="s">
        <v>2855</v>
      </c>
      <c r="D39" s="188" t="str">
        <f>+INDEX([1]Detallado!$F:$F,MATCH($C39,[1]Detallado!$B:$B,0))</f>
        <v>Alternativos</v>
      </c>
      <c r="E39" s="31" t="str">
        <f>+INDEX([1]Detallado!$Q:$Q,MATCH($C39,[1]Detallado!$B:$B,0))</f>
        <v>ALT</v>
      </c>
      <c r="F39" s="185" t="s">
        <v>4353</v>
      </c>
      <c r="G39" s="186" t="str">
        <f t="shared" si="0"/>
        <v>53ALT</v>
      </c>
      <c r="H39" s="187" t="str">
        <f>+INDEX([1]Detallado!$D:$D,MATCH(C39,[1]Detallado!$B:$B,0))</f>
        <v>Harbourvest - Buyout Us IX FoF</v>
      </c>
      <c r="I39" s="28"/>
      <c r="J39" s="184" t="str">
        <f t="shared" si="1"/>
        <v>ALT</v>
      </c>
      <c r="O39" s="28" t="s">
        <v>2797</v>
      </c>
      <c r="P39" s="28" t="s">
        <v>4902</v>
      </c>
    </row>
    <row r="40" spans="3:16" x14ac:dyDescent="0.25">
      <c r="C40" s="28" t="s">
        <v>741</v>
      </c>
      <c r="D40" s="188" t="str">
        <f>+INDEX([1]Detallado!$F:$F,MATCH($C40,[1]Detallado!$B:$B,0))</f>
        <v>Alternativos</v>
      </c>
      <c r="E40" s="31" t="str">
        <f>+INDEX([1]Detallado!$Q:$Q,MATCH($C40,[1]Detallado!$B:$B,0))</f>
        <v>ALT</v>
      </c>
      <c r="F40" s="185" t="s">
        <v>4353</v>
      </c>
      <c r="G40" s="186" t="str">
        <f t="shared" si="0"/>
        <v>53ALT</v>
      </c>
      <c r="H40" s="187" t="str">
        <f>+INDEX([1]Detallado!$D:$D,MATCH(C40,[1]Detallado!$B:$B,0))</f>
        <v>Pantheon - PASIA VI</v>
      </c>
      <c r="I40" s="28"/>
      <c r="J40" s="184" t="str">
        <f t="shared" si="1"/>
        <v>ALT</v>
      </c>
      <c r="O40" s="28" t="s">
        <v>2801</v>
      </c>
      <c r="P40" s="28" t="s">
        <v>4898</v>
      </c>
    </row>
    <row r="41" spans="3:16" x14ac:dyDescent="0.25">
      <c r="C41" s="28" t="s">
        <v>2856</v>
      </c>
      <c r="D41" s="188" t="str">
        <f>+INDEX([1]Detallado!$F:$F,MATCH($C41,[1]Detallado!$B:$B,0))</f>
        <v>Alternativos</v>
      </c>
      <c r="E41" s="31" t="str">
        <f>+INDEX([1]Detallado!$Q:$Q,MATCH($C41,[1]Detallado!$B:$B,0))</f>
        <v>ALT</v>
      </c>
      <c r="F41" s="185" t="s">
        <v>4353</v>
      </c>
      <c r="G41" s="186" t="str">
        <f t="shared" si="0"/>
        <v>53ALT</v>
      </c>
      <c r="H41" s="187" t="str">
        <f>+INDEX([1]Detallado!$D:$D,MATCH(C41,[1]Detallado!$B:$B,0))</f>
        <v>Harbourvest - HIPEP VI</v>
      </c>
      <c r="I41" s="28"/>
      <c r="J41" s="184" t="str">
        <f t="shared" si="1"/>
        <v>ALT</v>
      </c>
      <c r="O41" s="28" t="s">
        <v>4487</v>
      </c>
      <c r="P41" s="28" t="s">
        <v>4984</v>
      </c>
    </row>
    <row r="42" spans="3:16" x14ac:dyDescent="0.25">
      <c r="C42" s="28" t="s">
        <v>2857</v>
      </c>
      <c r="D42" s="188" t="str">
        <f>+INDEX([1]Detallado!$F:$F,MATCH($C42,[1]Detallado!$B:$B,0))</f>
        <v>Alternativos</v>
      </c>
      <c r="E42" s="31" t="str">
        <f>+INDEX([1]Detallado!$Q:$Q,MATCH($C42,[1]Detallado!$B:$B,0))</f>
        <v>ALT</v>
      </c>
      <c r="F42" s="185" t="s">
        <v>4353</v>
      </c>
      <c r="G42" s="186" t="str">
        <f t="shared" si="0"/>
        <v>53ALT</v>
      </c>
      <c r="H42" s="187" t="str">
        <f>+INDEX([1]Detallado!$D:$D,MATCH(C42,[1]Detallado!$B:$B,0))</f>
        <v>HarbourVest Partners L.P.</v>
      </c>
      <c r="I42" s="28"/>
      <c r="J42" s="184" t="str">
        <f t="shared" si="1"/>
        <v>ALT</v>
      </c>
      <c r="O42" s="28" t="s">
        <v>4620</v>
      </c>
      <c r="P42" s="28" t="s">
        <v>4984</v>
      </c>
    </row>
    <row r="43" spans="3:16" x14ac:dyDescent="0.25">
      <c r="C43" s="28" t="s">
        <v>2858</v>
      </c>
      <c r="D43" s="188" t="str">
        <f>+INDEX([1]Detallado!$F:$F,MATCH($C43,[1]Detallado!$B:$B,0))</f>
        <v>Alternativos</v>
      </c>
      <c r="E43" s="31" t="str">
        <f>+INDEX([1]Detallado!$Q:$Q,MATCH($C43,[1]Detallado!$B:$B,0))</f>
        <v>ALT</v>
      </c>
      <c r="F43" s="185" t="s">
        <v>4353</v>
      </c>
      <c r="G43" s="186" t="str">
        <f t="shared" si="0"/>
        <v>53ALT</v>
      </c>
      <c r="H43" s="187" t="str">
        <f>+INDEX([1]Detallado!$D:$D,MATCH(C43,[1]Detallado!$B:$B,0))</f>
        <v>Hipep - VII Partnership Feeder Fund L.P.</v>
      </c>
      <c r="I43" s="28"/>
      <c r="J43" s="184" t="str">
        <f t="shared" si="1"/>
        <v>ALT</v>
      </c>
      <c r="O43" s="28" t="s">
        <v>4621</v>
      </c>
      <c r="P43" s="28" t="s">
        <v>4984</v>
      </c>
    </row>
    <row r="44" spans="3:16" x14ac:dyDescent="0.25">
      <c r="C44" s="28" t="s">
        <v>2859</v>
      </c>
      <c r="D44" s="188" t="str">
        <f>+INDEX([1]Detallado!$F:$F,MATCH($C44,[1]Detallado!$B:$B,0))</f>
        <v>Alternativos</v>
      </c>
      <c r="E44" s="31" t="str">
        <f>+INDEX([1]Detallado!$Q:$Q,MATCH($C44,[1]Detallado!$B:$B,0))</f>
        <v>ALT</v>
      </c>
      <c r="F44" s="185" t="s">
        <v>4353</v>
      </c>
      <c r="G44" s="186" t="str">
        <f t="shared" si="0"/>
        <v>53ALT</v>
      </c>
      <c r="H44" s="187" t="str">
        <f>+INDEX([1]Detallado!$D:$D,MATCH(C44,[1]Detallado!$B:$B,0))</f>
        <v>Hamilton Lane - Global SMID II</v>
      </c>
      <c r="I44" s="28"/>
      <c r="J44" s="184" t="str">
        <f t="shared" si="1"/>
        <v>ALT</v>
      </c>
      <c r="O44" s="28" t="s">
        <v>2815</v>
      </c>
      <c r="P44" s="28" t="s">
        <v>4984</v>
      </c>
    </row>
    <row r="45" spans="3:16" x14ac:dyDescent="0.25">
      <c r="C45" s="28" t="s">
        <v>2860</v>
      </c>
      <c r="D45" s="188" t="str">
        <f>+INDEX([1]Detallado!$F:$F,MATCH($C45,[1]Detallado!$B:$B,0))</f>
        <v>Alternativos</v>
      </c>
      <c r="E45" s="31" t="str">
        <f>+INDEX([1]Detallado!$Q:$Q,MATCH($C45,[1]Detallado!$B:$B,0))</f>
        <v>ALT</v>
      </c>
      <c r="F45" s="185" t="s">
        <v>4353</v>
      </c>
      <c r="G45" s="186" t="str">
        <f t="shared" si="0"/>
        <v>53ALT</v>
      </c>
      <c r="H45" s="187" t="str">
        <f>+INDEX([1]Detallado!$D:$D,MATCH(C45,[1]Detallado!$B:$B,0))</f>
        <v>Venta Alts</v>
      </c>
      <c r="I45" s="28"/>
      <c r="J45" s="184" t="str">
        <f t="shared" si="1"/>
        <v>ALT</v>
      </c>
      <c r="O45" s="28" t="s">
        <v>2802</v>
      </c>
      <c r="P45" s="28" t="s">
        <v>1324</v>
      </c>
    </row>
    <row r="46" spans="3:16" x14ac:dyDescent="0.25">
      <c r="C46" s="28" t="s">
        <v>2861</v>
      </c>
      <c r="D46" s="188" t="str">
        <f>+INDEX([1]Detallado!$F:$F,MATCH($C46,[1]Detallado!$B:$B,0))</f>
        <v>Alternativos</v>
      </c>
      <c r="E46" s="31" t="str">
        <f>+INDEX([1]Detallado!$Q:$Q,MATCH($C46,[1]Detallado!$B:$B,0))</f>
        <v>ALT</v>
      </c>
      <c r="F46" s="185" t="s">
        <v>4353</v>
      </c>
      <c r="G46" s="186" t="str">
        <f t="shared" si="0"/>
        <v>53ALT</v>
      </c>
      <c r="H46" s="187" t="str">
        <f>+INDEX([1]Detallado!$D:$D,MATCH(C46,[1]Detallado!$B:$B,0))</f>
        <v>StepStone Capital Partners V Offshore,  L.P</v>
      </c>
      <c r="I46" s="28"/>
      <c r="J46" s="184" t="str">
        <f t="shared" si="1"/>
        <v>ALT</v>
      </c>
      <c r="O46" s="28" t="s">
        <v>4548</v>
      </c>
      <c r="P46" s="28" t="s">
        <v>4896</v>
      </c>
    </row>
    <row r="47" spans="3:16" x14ac:dyDescent="0.25">
      <c r="C47" s="28" t="s">
        <v>2862</v>
      </c>
      <c r="D47" s="188" t="str">
        <f>+INDEX([1]Detallado!$F:$F,MATCH($C47,[1]Detallado!$B:$B,0))</f>
        <v>Alternativos</v>
      </c>
      <c r="E47" s="31" t="str">
        <f>+INDEX([1]Detallado!$Q:$Q,MATCH($C47,[1]Detallado!$B:$B,0))</f>
        <v>ALT</v>
      </c>
      <c r="F47" s="185" t="s">
        <v>4353</v>
      </c>
      <c r="G47" s="186" t="str">
        <f t="shared" si="0"/>
        <v>53ALT</v>
      </c>
      <c r="H47" s="187" t="str">
        <f>+INDEX([1]Detallado!$D:$D,MATCH(C47,[1]Detallado!$B:$B,0))</f>
        <v>Blackstone Growth Associates L.P.</v>
      </c>
      <c r="I47" s="28"/>
      <c r="J47" s="184" t="str">
        <f t="shared" si="1"/>
        <v>ALT</v>
      </c>
      <c r="O47" s="28" t="s">
        <v>4560</v>
      </c>
      <c r="P47" s="28" t="s">
        <v>4896</v>
      </c>
    </row>
    <row r="48" spans="3:16" x14ac:dyDescent="0.25">
      <c r="C48" s="28" t="s">
        <v>2863</v>
      </c>
      <c r="D48" s="188" t="str">
        <f>+INDEX([1]Detallado!$F:$F,MATCH($C48,[1]Detallado!$B:$B,0))</f>
        <v>Alternativos</v>
      </c>
      <c r="E48" s="31" t="str">
        <f>+INDEX([1]Detallado!$Q:$Q,MATCH($C48,[1]Detallado!$B:$B,0))</f>
        <v>ALT</v>
      </c>
      <c r="F48" s="185" t="s">
        <v>4353</v>
      </c>
      <c r="G48" s="186" t="str">
        <f t="shared" si="0"/>
        <v>53ALT</v>
      </c>
      <c r="H48" s="187" t="str">
        <f>+INDEX([1]Detallado!$D:$D,MATCH(C48,[1]Detallado!$B:$B,0))</f>
        <v>CD&amp;R - Fund XI</v>
      </c>
      <c r="I48" s="28"/>
      <c r="J48" s="184" t="str">
        <f t="shared" si="1"/>
        <v>ALT</v>
      </c>
      <c r="O48" s="28" t="s">
        <v>4494</v>
      </c>
      <c r="P48" s="28" t="s">
        <v>4896</v>
      </c>
    </row>
    <row r="49" spans="3:16" x14ac:dyDescent="0.25">
      <c r="C49" s="28" t="s">
        <v>2864</v>
      </c>
      <c r="D49" s="188" t="str">
        <f>+INDEX([1]Detallado!$F:$F,MATCH($C49,[1]Detallado!$B:$B,0))</f>
        <v>Alternativos</v>
      </c>
      <c r="E49" s="31" t="str">
        <f>+INDEX([1]Detallado!$Q:$Q,MATCH($C49,[1]Detallado!$B:$B,0))</f>
        <v>ALT</v>
      </c>
      <c r="F49" s="185" t="s">
        <v>4353</v>
      </c>
      <c r="G49" s="186" t="str">
        <f t="shared" si="0"/>
        <v>53ALT</v>
      </c>
      <c r="H49" s="187" t="str">
        <f>+INDEX([1]Detallado!$D:$D,MATCH(C49,[1]Detallado!$B:$B,0))</f>
        <v>Partners Group Direct Equity 2016</v>
      </c>
      <c r="I49" s="28"/>
      <c r="J49" s="184" t="str">
        <f t="shared" si="1"/>
        <v>ALT</v>
      </c>
      <c r="O49" s="28" t="s">
        <v>4482</v>
      </c>
      <c r="P49" s="28" t="s">
        <v>4902</v>
      </c>
    </row>
    <row r="50" spans="3:16" x14ac:dyDescent="0.25">
      <c r="C50" s="28" t="s">
        <v>2865</v>
      </c>
      <c r="D50" s="188" t="str">
        <f>+INDEX([1]Detallado!$F:$F,MATCH($C50,[1]Detallado!$B:$B,0))</f>
        <v>Alternativos</v>
      </c>
      <c r="E50" s="31" t="str">
        <f>+INDEX([1]Detallado!$Q:$Q,MATCH($C50,[1]Detallado!$B:$B,0))</f>
        <v>ALT</v>
      </c>
      <c r="F50" s="185" t="s">
        <v>4353</v>
      </c>
      <c r="G50" s="186" t="str">
        <f t="shared" si="0"/>
        <v>53ALT</v>
      </c>
      <c r="H50" s="187" t="str">
        <f>+INDEX([1]Detallado!$D:$D,MATCH(C50,[1]Detallado!$B:$B,0))</f>
        <v>Cevine Capital Management VII Feeder L.P.</v>
      </c>
      <c r="I50" s="28"/>
      <c r="J50" s="184" t="str">
        <f t="shared" si="1"/>
        <v>ALT</v>
      </c>
      <c r="O50" s="28" t="s">
        <v>2816</v>
      </c>
      <c r="P50" s="28" t="s">
        <v>4984</v>
      </c>
    </row>
    <row r="51" spans="3:16" x14ac:dyDescent="0.25">
      <c r="C51" s="28" t="s">
        <v>731</v>
      </c>
      <c r="D51" s="188" t="str">
        <f>+INDEX([1]Detallado!$F:$F,MATCH($C51,[1]Detallado!$B:$B,0))</f>
        <v>Alternativos</v>
      </c>
      <c r="E51" s="31" t="str">
        <f>+INDEX([1]Detallado!$Q:$Q,MATCH($C51,[1]Detallado!$B:$B,0))</f>
        <v>ALT</v>
      </c>
      <c r="F51" s="185" t="s">
        <v>4353</v>
      </c>
      <c r="G51" s="186" t="str">
        <f t="shared" si="0"/>
        <v>53ALT</v>
      </c>
      <c r="H51" s="187" t="str">
        <f>+INDEX([1]Detallado!$D:$D,MATCH(C51,[1]Detallado!$B:$B,0))</f>
        <v>TRG Rohatyn - LAPEF I</v>
      </c>
      <c r="I51" s="28"/>
      <c r="J51" s="184" t="str">
        <f t="shared" si="1"/>
        <v>ALT</v>
      </c>
      <c r="O51" s="28" t="s">
        <v>4441</v>
      </c>
      <c r="P51" s="28" t="s">
        <v>4984</v>
      </c>
    </row>
    <row r="52" spans="3:16" x14ac:dyDescent="0.25">
      <c r="C52" s="28" t="s">
        <v>2866</v>
      </c>
      <c r="D52" s="188" t="str">
        <f>+INDEX([1]Detallado!$F:$F,MATCH($C52,[1]Detallado!$B:$B,0))</f>
        <v>Alternativos</v>
      </c>
      <c r="E52" s="31" t="str">
        <f>+INDEX([1]Detallado!$Q:$Q,MATCH($C52,[1]Detallado!$B:$B,0))</f>
        <v>ALT</v>
      </c>
      <c r="F52" s="185" t="s">
        <v>4353</v>
      </c>
      <c r="G52" s="186" t="str">
        <f t="shared" si="0"/>
        <v>53ALT</v>
      </c>
      <c r="H52" s="187" t="str">
        <f>+INDEX([1]Detallado!$D:$D,MATCH(C52,[1]Detallado!$B:$B,0))</f>
        <v>Insight Partners (Cayman) XII. L.P</v>
      </c>
      <c r="I52" s="28"/>
      <c r="J52" s="184" t="str">
        <f t="shared" si="1"/>
        <v>ALT</v>
      </c>
      <c r="O52" s="28" t="s">
        <v>2810</v>
      </c>
      <c r="P52" s="28" t="s">
        <v>4897</v>
      </c>
    </row>
    <row r="53" spans="3:16" x14ac:dyDescent="0.25">
      <c r="C53" s="28" t="s">
        <v>2867</v>
      </c>
      <c r="D53" s="188" t="str">
        <f>+INDEX([1]Detallado!$F:$F,MATCH($C53,[1]Detallado!$B:$B,0))</f>
        <v>Alternativos</v>
      </c>
      <c r="E53" s="31" t="str">
        <f>+INDEX([1]Detallado!$Q:$Q,MATCH($C53,[1]Detallado!$B:$B,0))</f>
        <v>ALT</v>
      </c>
      <c r="F53" s="185" t="s">
        <v>4353</v>
      </c>
      <c r="G53" s="186" t="str">
        <f t="shared" si="0"/>
        <v>53ALT</v>
      </c>
      <c r="H53" s="187" t="str">
        <f>+INDEX([1]Detallado!$D:$D,MATCH(C53,[1]Detallado!$B:$B,0))</f>
        <v>Insight Partners XI</v>
      </c>
      <c r="I53" s="28"/>
      <c r="J53" s="184" t="str">
        <f t="shared" si="1"/>
        <v>ALT</v>
      </c>
      <c r="O53" s="28" t="s">
        <v>4485</v>
      </c>
      <c r="P53" s="28" t="s">
        <v>4894</v>
      </c>
    </row>
    <row r="54" spans="3:16" x14ac:dyDescent="0.25">
      <c r="C54" s="28" t="s">
        <v>735</v>
      </c>
      <c r="D54" s="188" t="str">
        <f>+INDEX([1]Detallado!$F:$F,MATCH($C54,[1]Detallado!$B:$B,0))</f>
        <v>Alternativos</v>
      </c>
      <c r="E54" s="31" t="str">
        <f>+INDEX([1]Detallado!$Q:$Q,MATCH($C54,[1]Detallado!$B:$B,0))</f>
        <v>ALT</v>
      </c>
      <c r="F54" s="185" t="s">
        <v>4353</v>
      </c>
      <c r="G54" s="186" t="str">
        <f t="shared" si="0"/>
        <v>53ALT</v>
      </c>
      <c r="H54" s="187" t="str">
        <f>+INDEX([1]Detallado!$D:$D,MATCH(C54,[1]Detallado!$B:$B,0))</f>
        <v>Partners - PGD 2009</v>
      </c>
      <c r="I54" s="28"/>
      <c r="J54" s="184" t="str">
        <f t="shared" si="1"/>
        <v>ALT</v>
      </c>
      <c r="O54" s="28" t="s">
        <v>4476</v>
      </c>
      <c r="P54" s="28" t="s">
        <v>1324</v>
      </c>
    </row>
    <row r="55" spans="3:16" x14ac:dyDescent="0.25">
      <c r="C55" s="28" t="s">
        <v>2868</v>
      </c>
      <c r="D55" s="188" t="str">
        <f>+INDEX([1]Detallado!$F:$F,MATCH($C55,[1]Detallado!$B:$B,0))</f>
        <v>Alternativos</v>
      </c>
      <c r="E55" s="31" t="str">
        <f>+INDEX([1]Detallado!$Q:$Q,MATCH($C55,[1]Detallado!$B:$B,0))</f>
        <v>ALT</v>
      </c>
      <c r="F55" s="185" t="s">
        <v>4353</v>
      </c>
      <c r="G55" s="186" t="str">
        <f t="shared" si="0"/>
        <v>53ALT</v>
      </c>
      <c r="H55" s="187" t="str">
        <f>+INDEX([1]Detallado!$D:$D,MATCH(C55,[1]Detallado!$B:$B,0))</f>
        <v>Partners Group - PGD19</v>
      </c>
      <c r="I55" s="28"/>
      <c r="J55" s="184" t="str">
        <f t="shared" si="1"/>
        <v>ALT</v>
      </c>
      <c r="O55" s="28" t="s">
        <v>4629</v>
      </c>
      <c r="P55" s="28" t="s">
        <v>4899</v>
      </c>
    </row>
    <row r="56" spans="3:16" x14ac:dyDescent="0.25">
      <c r="C56" s="28" t="s">
        <v>2869</v>
      </c>
      <c r="D56" s="188" t="str">
        <f>+INDEX([1]Detallado!$F:$F,MATCH($C56,[1]Detallado!$B:$B,0))</f>
        <v>Alternativos</v>
      </c>
      <c r="E56" s="31" t="str">
        <f>+INDEX([1]Detallado!$Q:$Q,MATCH($C56,[1]Detallado!$B:$B,0))</f>
        <v>ALT</v>
      </c>
      <c r="F56" s="185" t="s">
        <v>4353</v>
      </c>
      <c r="G56" s="186" t="str">
        <f t="shared" si="0"/>
        <v>53ALT</v>
      </c>
      <c r="H56" s="187" t="str">
        <f>+INDEX([1]Detallado!$D:$D,MATCH(C56,[1]Detallado!$B:$B,0))</f>
        <v>Calyle - CSABF</v>
      </c>
      <c r="I56" s="28"/>
      <c r="J56" s="184" t="str">
        <f t="shared" si="1"/>
        <v>ALT</v>
      </c>
      <c r="O56" s="28" t="s">
        <v>4981</v>
      </c>
      <c r="P56" s="28" t="s">
        <v>4984</v>
      </c>
    </row>
    <row r="57" spans="3:16" x14ac:dyDescent="0.25">
      <c r="C57" s="28" t="s">
        <v>754</v>
      </c>
      <c r="D57" s="188" t="str">
        <f>+INDEX([1]Detallado!$F:$F,MATCH($C57,[1]Detallado!$B:$B,0))</f>
        <v>Alternativos</v>
      </c>
      <c r="E57" s="31" t="str">
        <f>+INDEX([1]Detallado!$Q:$Q,MATCH($C57,[1]Detallado!$B:$B,0))</f>
        <v>ALT</v>
      </c>
      <c r="F57" s="185" t="s">
        <v>4353</v>
      </c>
      <c r="G57" s="186" t="str">
        <f t="shared" si="0"/>
        <v>53ALT</v>
      </c>
      <c r="H57" s="187" t="str">
        <f>+INDEX([1]Detallado!$D:$D,MATCH(C57,[1]Detallado!$B:$B,0))</f>
        <v>Apax VIII</v>
      </c>
      <c r="I57" s="28"/>
      <c r="J57" s="184" t="str">
        <f t="shared" si="1"/>
        <v>ALT</v>
      </c>
      <c r="O57" s="28" t="s">
        <v>4622</v>
      </c>
      <c r="P57" s="28" t="s">
        <v>4984</v>
      </c>
    </row>
    <row r="58" spans="3:16" x14ac:dyDescent="0.25">
      <c r="C58" s="28" t="s">
        <v>809</v>
      </c>
      <c r="D58" s="188" t="str">
        <f>+INDEX([1]Detallado!$F:$F,MATCH($C58,[1]Detallado!$B:$B,0))</f>
        <v>Alternativos</v>
      </c>
      <c r="E58" s="31" t="str">
        <f>+INDEX([1]Detallado!$Q:$Q,MATCH($C58,[1]Detallado!$B:$B,0))</f>
        <v>ALT</v>
      </c>
      <c r="F58" s="185" t="s">
        <v>4353</v>
      </c>
      <c r="G58" s="186" t="str">
        <f t="shared" si="0"/>
        <v>53ALT</v>
      </c>
      <c r="H58" s="187" t="str">
        <f>+INDEX([1]Detallado!$D:$D,MATCH(C58,[1]Detallado!$B:$B,0))</f>
        <v>Apax X</v>
      </c>
      <c r="I58" s="28"/>
      <c r="J58" s="184" t="str">
        <f t="shared" si="1"/>
        <v>ALT</v>
      </c>
      <c r="O58" s="28" t="s">
        <v>4538</v>
      </c>
      <c r="P58" s="28" t="s">
        <v>4898</v>
      </c>
    </row>
    <row r="59" spans="3:16" x14ac:dyDescent="0.25">
      <c r="C59" s="28" t="s">
        <v>2870</v>
      </c>
      <c r="D59" s="188" t="str">
        <f>+INDEX([1]Detallado!$F:$F,MATCH($C59,[1]Detallado!$B:$B,0))</f>
        <v>Alternativos</v>
      </c>
      <c r="E59" s="31" t="str">
        <f>+INDEX([1]Detallado!$Q:$Q,MATCH($C59,[1]Detallado!$B:$B,0))</f>
        <v>ALT</v>
      </c>
      <c r="F59" s="185" t="s">
        <v>4353</v>
      </c>
      <c r="G59" s="186" t="str">
        <f t="shared" si="0"/>
        <v>53ALT</v>
      </c>
      <c r="H59" s="187" t="str">
        <f>+INDEX([1]Detallado!$D:$D,MATCH(C59,[1]Detallado!$B:$B,0))</f>
        <v>CPS Managers Fund L.P</v>
      </c>
      <c r="I59" s="28"/>
      <c r="J59" s="184" t="str">
        <f t="shared" si="1"/>
        <v>ALT</v>
      </c>
      <c r="O59" s="28" t="s">
        <v>4507</v>
      </c>
      <c r="P59" s="28" t="s">
        <v>4896</v>
      </c>
    </row>
    <row r="60" spans="3:16" x14ac:dyDescent="0.25">
      <c r="C60" s="28" t="s">
        <v>2871</v>
      </c>
      <c r="D60" s="188" t="str">
        <f>+INDEX([1]Detallado!$F:$F,MATCH($C60,[1]Detallado!$B:$B,0))</f>
        <v>Alternativos</v>
      </c>
      <c r="E60" s="31" t="str">
        <f>+INDEX([1]Detallado!$Q:$Q,MATCH($C60,[1]Detallado!$B:$B,0))</f>
        <v>ALT</v>
      </c>
      <c r="F60" s="185" t="s">
        <v>4353</v>
      </c>
      <c r="G60" s="186" t="str">
        <f t="shared" si="0"/>
        <v>53ALT</v>
      </c>
      <c r="H60" s="187" t="str">
        <f>+INDEX([1]Detallado!$D:$D,MATCH(C60,[1]Detallado!$B:$B,0))</f>
        <v>Actis</v>
      </c>
      <c r="I60" s="28"/>
      <c r="J60" s="184" t="str">
        <f t="shared" si="1"/>
        <v>ALT</v>
      </c>
      <c r="O60" s="28" t="s">
        <v>4445</v>
      </c>
      <c r="P60" s="28" t="s">
        <v>4894</v>
      </c>
    </row>
    <row r="61" spans="3:16" x14ac:dyDescent="0.25">
      <c r="C61" s="28" t="s">
        <v>2872</v>
      </c>
      <c r="D61" s="188" t="str">
        <f>+INDEX([1]Detallado!$F:$F,MATCH($C61,[1]Detallado!$B:$B,0))</f>
        <v>Alternativos</v>
      </c>
      <c r="E61" s="31" t="str">
        <f>+INDEX([1]Detallado!$Q:$Q,MATCH($C61,[1]Detallado!$B:$B,0))</f>
        <v>ALT</v>
      </c>
      <c r="F61" s="185" t="s">
        <v>4353</v>
      </c>
      <c r="G61" s="186" t="str">
        <f t="shared" si="0"/>
        <v>53ALT</v>
      </c>
      <c r="H61" s="187" t="str">
        <f>+INDEX([1]Detallado!$D:$D,MATCH(C61,[1]Detallado!$B:$B,0))</f>
        <v>Partners Group Mngt.</v>
      </c>
      <c r="I61" s="28"/>
      <c r="J61" s="184" t="str">
        <f t="shared" si="1"/>
        <v>ALT</v>
      </c>
      <c r="O61" s="28" t="s">
        <v>4445</v>
      </c>
      <c r="P61" s="28" t="s">
        <v>4894</v>
      </c>
    </row>
    <row r="62" spans="3:16" x14ac:dyDescent="0.25">
      <c r="C62" s="28" t="s">
        <v>783</v>
      </c>
      <c r="D62" s="188" t="str">
        <f>+INDEX([1]Detallado!$F:$F,MATCH($C62,[1]Detallado!$B:$B,0))</f>
        <v>Alternativos</v>
      </c>
      <c r="E62" s="31" t="str">
        <f>+INDEX([1]Detallado!$Q:$Q,MATCH($C62,[1]Detallado!$B:$B,0))</f>
        <v>ALT</v>
      </c>
      <c r="F62" s="185" t="s">
        <v>4353</v>
      </c>
      <c r="G62" s="186" t="str">
        <f t="shared" si="0"/>
        <v>53ALT</v>
      </c>
      <c r="H62" s="187" t="str">
        <f>+INDEX([1]Detallado!$D:$D,MATCH(C62,[1]Detallado!$B:$B,0))</f>
        <v>KKR</v>
      </c>
      <c r="I62" s="28"/>
      <c r="J62" s="184" t="str">
        <f t="shared" si="1"/>
        <v>ALT</v>
      </c>
      <c r="O62" s="28" t="s">
        <v>4445</v>
      </c>
      <c r="P62" s="28" t="s">
        <v>4894</v>
      </c>
    </row>
    <row r="63" spans="3:16" x14ac:dyDescent="0.25">
      <c r="C63" s="28" t="s">
        <v>795</v>
      </c>
      <c r="D63" s="188" t="str">
        <f>+INDEX([1]Detallado!$F:$F,MATCH($C63,[1]Detallado!$B:$B,0))</f>
        <v>Alternativos</v>
      </c>
      <c r="E63" s="31" t="str">
        <f>+INDEX([1]Detallado!$Q:$Q,MATCH($C63,[1]Detallado!$B:$B,0))</f>
        <v>ALT</v>
      </c>
      <c r="F63" s="185" t="s">
        <v>4353</v>
      </c>
      <c r="G63" s="186" t="str">
        <f t="shared" si="0"/>
        <v>53ALT</v>
      </c>
      <c r="H63" s="187" t="str">
        <f>+INDEX([1]Detallado!$D:$D,MATCH(C63,[1]Detallado!$B:$B,0))</f>
        <v>PAI Europe VII</v>
      </c>
      <c r="I63" s="28"/>
      <c r="J63" s="184" t="str">
        <f t="shared" si="1"/>
        <v>ALT</v>
      </c>
      <c r="O63" s="28" t="s">
        <v>4445</v>
      </c>
      <c r="P63" s="28" t="s">
        <v>4894</v>
      </c>
    </row>
    <row r="64" spans="3:16" x14ac:dyDescent="0.25">
      <c r="C64" s="28" t="s">
        <v>793</v>
      </c>
      <c r="D64" s="188" t="str">
        <f>+INDEX([1]Detallado!$F:$F,MATCH($C64,[1]Detallado!$B:$B,0))</f>
        <v>Alternativos</v>
      </c>
      <c r="E64" s="31" t="str">
        <f>+INDEX([1]Detallado!$Q:$Q,MATCH($C64,[1]Detallado!$B:$B,0))</f>
        <v>ALT</v>
      </c>
      <c r="F64" s="185" t="s">
        <v>4353</v>
      </c>
      <c r="G64" s="186" t="str">
        <f t="shared" si="0"/>
        <v>53ALT</v>
      </c>
      <c r="H64" s="187" t="str">
        <f>+INDEX([1]Detallado!$D:$D,MATCH(C64,[1]Detallado!$B:$B,0))</f>
        <v>PAI Europe VII</v>
      </c>
      <c r="I64" s="28"/>
      <c r="J64" s="184" t="str">
        <f t="shared" si="1"/>
        <v>ALT</v>
      </c>
      <c r="O64" s="28" t="s">
        <v>4445</v>
      </c>
      <c r="P64" s="28" t="s">
        <v>4894</v>
      </c>
    </row>
    <row r="65" spans="3:16" x14ac:dyDescent="0.25">
      <c r="C65" s="28" t="s">
        <v>781</v>
      </c>
      <c r="D65" s="188" t="str">
        <f>+INDEX([1]Detallado!$F:$F,MATCH($C65,[1]Detallado!$B:$B,0))</f>
        <v>Alternativos</v>
      </c>
      <c r="E65" s="31" t="str">
        <f>+INDEX([1]Detallado!$Q:$Q,MATCH($C65,[1]Detallado!$B:$B,0))</f>
        <v>ALT</v>
      </c>
      <c r="F65" s="185" t="s">
        <v>4353</v>
      </c>
      <c r="G65" s="186" t="str">
        <f t="shared" si="0"/>
        <v>53ALT</v>
      </c>
      <c r="H65" s="187" t="str">
        <f>+INDEX([1]Detallado!$D:$D,MATCH(C65,[1]Detallado!$B:$B,0))</f>
        <v xml:space="preserve">Apax IX </v>
      </c>
      <c r="I65" s="28"/>
      <c r="J65" s="184" t="str">
        <f t="shared" si="1"/>
        <v>ALT</v>
      </c>
      <c r="O65" s="28" t="s">
        <v>4445</v>
      </c>
      <c r="P65" s="28" t="s">
        <v>4894</v>
      </c>
    </row>
    <row r="66" spans="3:16" x14ac:dyDescent="0.25">
      <c r="C66" s="28" t="s">
        <v>787</v>
      </c>
      <c r="D66" s="188" t="str">
        <f>+INDEX([1]Detallado!$F:$F,MATCH($C66,[1]Detallado!$B:$B,0))</f>
        <v>Alternativos</v>
      </c>
      <c r="E66" s="31" t="str">
        <f>+INDEX([1]Detallado!$Q:$Q,MATCH($C66,[1]Detallado!$B:$B,0))</f>
        <v>ALT</v>
      </c>
      <c r="F66" s="185" t="s">
        <v>4353</v>
      </c>
      <c r="G66" s="186" t="str">
        <f t="shared" si="0"/>
        <v>53ALT</v>
      </c>
      <c r="H66" s="187" t="str">
        <f>+INDEX([1]Detallado!$D:$D,MATCH(C66,[1]Detallado!$B:$B,0))</f>
        <v>CVC Capital Partners - VII Limited</v>
      </c>
      <c r="I66" s="28"/>
      <c r="J66" s="184" t="str">
        <f t="shared" si="1"/>
        <v>ALT</v>
      </c>
      <c r="O66" s="28" t="s">
        <v>4445</v>
      </c>
      <c r="P66" s="28" t="s">
        <v>4894</v>
      </c>
    </row>
    <row r="67" spans="3:16" x14ac:dyDescent="0.25">
      <c r="C67" s="28" t="s">
        <v>2873</v>
      </c>
      <c r="D67" s="188" t="str">
        <f>+INDEX([1]Detallado!$F:$F,MATCH($C67,[1]Detallado!$B:$B,0))</f>
        <v>Alternativos</v>
      </c>
      <c r="E67" s="31" t="str">
        <f>+INDEX([1]Detallado!$Q:$Q,MATCH($C67,[1]Detallado!$B:$B,0))</f>
        <v>ALT</v>
      </c>
      <c r="F67" s="185" t="s">
        <v>4353</v>
      </c>
      <c r="G67" s="186" t="str">
        <f t="shared" si="0"/>
        <v>53ALT</v>
      </c>
      <c r="H67" s="187" t="str">
        <f>+INDEX([1]Detallado!$D:$D,MATCH(C67,[1]Detallado!$B:$B,0))</f>
        <v>Bridgepoint - Europe V D LP</v>
      </c>
      <c r="I67" s="28"/>
      <c r="J67" s="184" t="str">
        <f t="shared" si="1"/>
        <v>ALT</v>
      </c>
      <c r="O67" s="28" t="s">
        <v>4445</v>
      </c>
      <c r="P67" s="28" t="s">
        <v>4894</v>
      </c>
    </row>
    <row r="68" spans="3:16" x14ac:dyDescent="0.25">
      <c r="C68" s="28" t="s">
        <v>2874</v>
      </c>
      <c r="D68" s="188" t="str">
        <f>+INDEX([1]Detallado!$F:$F,MATCH($C68,[1]Detallado!$B:$B,0))</f>
        <v>Alternativos</v>
      </c>
      <c r="E68" s="31" t="str">
        <f>+INDEX([1]Detallado!$Q:$Q,MATCH($C68,[1]Detallado!$B:$B,0))</f>
        <v>ALT</v>
      </c>
      <c r="F68" s="185" t="s">
        <v>4353</v>
      </c>
      <c r="G68" s="186" t="str">
        <f t="shared" si="0"/>
        <v>53ALT</v>
      </c>
      <c r="H68" s="187" t="str">
        <f>+INDEX([1]Detallado!$D:$D,MATCH(C68,[1]Detallado!$B:$B,0))</f>
        <v>Bridgepoint - Europe VI Private Equity Fund</v>
      </c>
      <c r="I68" s="28"/>
      <c r="J68" s="184" t="str">
        <f t="shared" si="1"/>
        <v>ALT</v>
      </c>
      <c r="O68" s="28" t="s">
        <v>4445</v>
      </c>
      <c r="P68" s="28" t="s">
        <v>4894</v>
      </c>
    </row>
    <row r="69" spans="3:16" x14ac:dyDescent="0.25">
      <c r="C69" s="28" t="s">
        <v>2875</v>
      </c>
      <c r="D69" s="188" t="str">
        <f>+INDEX([1]Detallado!$F:$F,MATCH($C69,[1]Detallado!$B:$B,0))</f>
        <v>Alternativos</v>
      </c>
      <c r="E69" s="31" t="str">
        <f>+INDEX([1]Detallado!$Q:$Q,MATCH($C69,[1]Detallado!$B:$B,0))</f>
        <v>ALT</v>
      </c>
      <c r="F69" s="185" t="s">
        <v>4353</v>
      </c>
      <c r="G69" s="186" t="str">
        <f t="shared" si="0"/>
        <v>53ALT</v>
      </c>
      <c r="H69" s="187" t="str">
        <f>+INDEX([1]Detallado!$D:$D,MATCH(C69,[1]Detallado!$B:$B,0))</f>
        <v>Ardian Buyout Fund VII</v>
      </c>
      <c r="I69" s="28"/>
      <c r="J69" s="184" t="str">
        <f t="shared" si="1"/>
        <v>ALT</v>
      </c>
      <c r="O69" s="28" t="s">
        <v>4445</v>
      </c>
      <c r="P69" s="28" t="s">
        <v>4894</v>
      </c>
    </row>
    <row r="70" spans="3:16" x14ac:dyDescent="0.25">
      <c r="C70" s="28" t="s">
        <v>2876</v>
      </c>
      <c r="D70" s="188" t="str">
        <f>+INDEX([1]Detallado!$F:$F,MATCH($C70,[1]Detallado!$B:$B,0))</f>
        <v>Alternativos</v>
      </c>
      <c r="E70" s="31" t="str">
        <f>+INDEX([1]Detallado!$Q:$Q,MATCH($C70,[1]Detallado!$B:$B,0))</f>
        <v>ALT</v>
      </c>
      <c r="F70" s="185" t="s">
        <v>4353</v>
      </c>
      <c r="G70" s="186" t="str">
        <f t="shared" si="0"/>
        <v>53ALT</v>
      </c>
      <c r="H70" s="187" t="str">
        <f>+INDEX([1]Detallado!$D:$D,MATCH(C70,[1]Detallado!$B:$B,0))</f>
        <v>IK Investment Partners IX</v>
      </c>
      <c r="I70" s="28"/>
      <c r="J70" s="184" t="str">
        <f t="shared" si="1"/>
        <v>ALT</v>
      </c>
      <c r="O70" s="28" t="s">
        <v>4445</v>
      </c>
      <c r="P70" s="28" t="s">
        <v>4894</v>
      </c>
    </row>
    <row r="71" spans="3:16" x14ac:dyDescent="0.25">
      <c r="C71" s="28" t="s">
        <v>785</v>
      </c>
      <c r="D71" s="188" t="str">
        <f>+INDEX([1]Detallado!$F:$F,MATCH($C71,[1]Detallado!$B:$B,0))</f>
        <v>Alternativos</v>
      </c>
      <c r="E71" s="31" t="str">
        <f>+INDEX([1]Detallado!$Q:$Q,MATCH($C71,[1]Detallado!$B:$B,0))</f>
        <v>ALT</v>
      </c>
      <c r="F71" s="185" t="s">
        <v>4353</v>
      </c>
      <c r="G71" s="186" t="str">
        <f t="shared" si="0"/>
        <v>53ALT</v>
      </c>
      <c r="H71" s="187" t="str">
        <f>+INDEX([1]Detallado!$D:$D,MATCH(C71,[1]Detallado!$B:$B,0))</f>
        <v>HarbourVest Co-Investment Fund IV</v>
      </c>
      <c r="I71" s="28"/>
      <c r="J71" s="184" t="str">
        <f t="shared" si="1"/>
        <v>ALT</v>
      </c>
      <c r="O71" s="28" t="s">
        <v>4445</v>
      </c>
      <c r="P71" s="28" t="s">
        <v>4894</v>
      </c>
    </row>
    <row r="72" spans="3:16" x14ac:dyDescent="0.25">
      <c r="C72" s="28" t="s">
        <v>2877</v>
      </c>
      <c r="D72" s="188" t="str">
        <f>+INDEX([1]Detallado!$F:$F,MATCH($C72,[1]Detallado!$B:$B,0))</f>
        <v>Alternativos</v>
      </c>
      <c r="E72" s="31" t="str">
        <f>+INDEX([1]Detallado!$Q:$Q,MATCH($C72,[1]Detallado!$B:$B,0))</f>
        <v>ALT</v>
      </c>
      <c r="F72" s="185" t="s">
        <v>4353</v>
      </c>
      <c r="G72" s="186" t="str">
        <f t="shared" si="0"/>
        <v>53ALT</v>
      </c>
      <c r="H72" s="187" t="str">
        <f>+INDEX([1]Detallado!$D:$D,MATCH(C72,[1]Detallado!$B:$B,0))</f>
        <v>PAI Europa V1 - FPCI</v>
      </c>
      <c r="I72" s="28"/>
      <c r="J72" s="184" t="str">
        <f t="shared" si="1"/>
        <v>ALT</v>
      </c>
      <c r="O72" s="28" t="s">
        <v>4539</v>
      </c>
      <c r="P72" s="28" t="s">
        <v>4899</v>
      </c>
    </row>
    <row r="73" spans="3:16" x14ac:dyDescent="0.25">
      <c r="C73" s="28" t="s">
        <v>2878</v>
      </c>
      <c r="D73" s="188" t="str">
        <f>+INDEX([1]Detallado!$F:$F,MATCH($C73,[1]Detallado!$B:$B,0))</f>
        <v>Alternativos</v>
      </c>
      <c r="E73" s="31" t="str">
        <f>+INDEX([1]Detallado!$Q:$Q,MATCH($C73,[1]Detallado!$B:$B,0))</f>
        <v>ALT</v>
      </c>
      <c r="F73" s="185" t="s">
        <v>4353</v>
      </c>
      <c r="G73" s="186" t="str">
        <f t="shared" si="0"/>
        <v>53ALT</v>
      </c>
      <c r="H73" s="187" t="str">
        <f>+INDEX([1]Detallado!$D:$D,MATCH(C73,[1]Detallado!$B:$B,0))</f>
        <v>Knightsbridge Management X, LLC</v>
      </c>
      <c r="I73" s="28"/>
      <c r="J73" s="184" t="str">
        <f t="shared" si="1"/>
        <v>ALT</v>
      </c>
      <c r="O73" s="28" t="s">
        <v>4900</v>
      </c>
      <c r="P73" s="28" t="s">
        <v>4896</v>
      </c>
    </row>
    <row r="74" spans="3:16" x14ac:dyDescent="0.25">
      <c r="C74" s="28" t="s">
        <v>2879</v>
      </c>
      <c r="D74" s="188" t="str">
        <f>+INDEX([1]Detallado!$F:$F,MATCH($C74,[1]Detallado!$B:$B,0))</f>
        <v>Alternativos</v>
      </c>
      <c r="E74" s="31" t="str">
        <f>+INDEX([1]Detallado!$Q:$Q,MATCH($C74,[1]Detallado!$B:$B,0))</f>
        <v>ALT</v>
      </c>
      <c r="F74" s="185" t="s">
        <v>4353</v>
      </c>
      <c r="G74" s="186" t="str">
        <f t="shared" ref="G74:G137" si="2">LEFT(C74,2)&amp;E74</f>
        <v>53ALT</v>
      </c>
      <c r="H74" s="187" t="str">
        <f>+INDEX([1]Detallado!$D:$D,MATCH(C74,[1]Detallado!$B:$B,0))</f>
        <v>G Squared Equity GP V</v>
      </c>
      <c r="I74" s="28"/>
      <c r="J74" s="184" t="str">
        <f t="shared" ref="J74:J137" si="3">IF(E74="ALT",LEFT(E74,3),LEFT(E74,3)&amp;F74)</f>
        <v>ALT</v>
      </c>
      <c r="O74" s="28" t="s">
        <v>4900</v>
      </c>
      <c r="P74" s="28" t="s">
        <v>4896</v>
      </c>
    </row>
    <row r="75" spans="3:16" x14ac:dyDescent="0.25">
      <c r="C75" s="28" t="s">
        <v>2880</v>
      </c>
      <c r="D75" s="188" t="str">
        <f>+INDEX([1]Detallado!$F:$F,MATCH($C75,[1]Detallado!$B:$B,0))</f>
        <v>Alternativos</v>
      </c>
      <c r="E75" s="31" t="str">
        <f>+INDEX([1]Detallado!$Q:$Q,MATCH($C75,[1]Detallado!$B:$B,0))</f>
        <v>ALT</v>
      </c>
      <c r="F75" s="185" t="s">
        <v>4353</v>
      </c>
      <c r="G75" s="186" t="str">
        <f t="shared" si="2"/>
        <v>53ALT</v>
      </c>
      <c r="H75" s="187" t="str">
        <f>+INDEX([1]Detallado!$D:$D,MATCH(C75,[1]Detallado!$B:$B,0))</f>
        <v>EQT IX (General Partner) S.à r.l.</v>
      </c>
      <c r="I75" s="28"/>
      <c r="J75" s="184" t="str">
        <f t="shared" si="3"/>
        <v>ALT</v>
      </c>
      <c r="O75" s="28" t="s">
        <v>4900</v>
      </c>
      <c r="P75" s="28" t="s">
        <v>4896</v>
      </c>
    </row>
    <row r="76" spans="3:16" x14ac:dyDescent="0.25">
      <c r="C76" s="28" t="s">
        <v>2881</v>
      </c>
      <c r="D76" s="188" t="str">
        <f>+INDEX([1]Detallado!$F:$F,MATCH($C76,[1]Detallado!$B:$B,0))</f>
        <v>Alternativos</v>
      </c>
      <c r="E76" s="31" t="str">
        <f>+INDEX([1]Detallado!$Q:$Q,MATCH($C76,[1]Detallado!$B:$B,0))</f>
        <v>ALT</v>
      </c>
      <c r="F76" s="185" t="s">
        <v>4353</v>
      </c>
      <c r="G76" s="186" t="str">
        <f t="shared" si="2"/>
        <v>53ALT</v>
      </c>
      <c r="H76" s="187" t="str">
        <f>+INDEX([1]Detallado!$D:$D,MATCH(C76,[1]Detallado!$B:$B,0))</f>
        <v>PAI Europe VI - 1 SCSP</v>
      </c>
      <c r="I76" s="28"/>
      <c r="J76" s="184" t="str">
        <f t="shared" si="3"/>
        <v>ALT</v>
      </c>
      <c r="O76" s="28" t="s">
        <v>4900</v>
      </c>
      <c r="P76" s="28" t="s">
        <v>4896</v>
      </c>
    </row>
    <row r="77" spans="3:16" x14ac:dyDescent="0.25">
      <c r="C77" s="28" t="s">
        <v>2882</v>
      </c>
      <c r="D77" s="188" t="str">
        <f>+INDEX([1]Detallado!$F:$F,MATCH($C77,[1]Detallado!$B:$B,0))</f>
        <v>Alternativos</v>
      </c>
      <c r="E77" s="31" t="str">
        <f>+INDEX([1]Detallado!$Q:$Q,MATCH($C77,[1]Detallado!$B:$B,0))</f>
        <v>ALT</v>
      </c>
      <c r="F77" s="185" t="s">
        <v>4353</v>
      </c>
      <c r="G77" s="186" t="str">
        <f t="shared" si="2"/>
        <v>53ALT</v>
      </c>
      <c r="H77" s="187" t="str">
        <f>+INDEX([1]Detallado!$D:$D,MATCH(C77,[1]Detallado!$B:$B,0))</f>
        <v>Thoma Bravo Fund XIV</v>
      </c>
      <c r="I77" s="28"/>
      <c r="J77" s="184" t="str">
        <f t="shared" si="3"/>
        <v>ALT</v>
      </c>
      <c r="O77" s="28" t="s">
        <v>4900</v>
      </c>
      <c r="P77" s="28" t="s">
        <v>4896</v>
      </c>
    </row>
    <row r="78" spans="3:16" x14ac:dyDescent="0.25">
      <c r="C78" s="28" t="s">
        <v>2883</v>
      </c>
      <c r="D78" s="188" t="str">
        <f>+INDEX([1]Detallado!$F:$F,MATCH($C78,[1]Detallado!$B:$B,0))</f>
        <v>Alternativos</v>
      </c>
      <c r="E78" s="31" t="str">
        <f>+INDEX([1]Detallado!$Q:$Q,MATCH($C78,[1]Detallado!$B:$B,0))</f>
        <v>ALT</v>
      </c>
      <c r="F78" s="185" t="s">
        <v>4353</v>
      </c>
      <c r="G78" s="186" t="str">
        <f t="shared" si="2"/>
        <v>53ALT</v>
      </c>
      <c r="H78" s="187" t="str">
        <f>+INDEX([1]Detallado!$D:$D,MATCH(C78,[1]Detallado!$B:$B,0))</f>
        <v>Vista Co-Invest Program International Feeder, L.P.</v>
      </c>
      <c r="I78" s="28"/>
      <c r="J78" s="184" t="str">
        <f t="shared" si="3"/>
        <v>ALT</v>
      </c>
      <c r="O78" s="28" t="s">
        <v>4900</v>
      </c>
      <c r="P78" s="28" t="s">
        <v>4896</v>
      </c>
    </row>
    <row r="79" spans="3:16" x14ac:dyDescent="0.25">
      <c r="C79" s="28" t="s">
        <v>807</v>
      </c>
      <c r="D79" s="188" t="str">
        <f>+INDEX([1]Detallado!$F:$F,MATCH($C79,[1]Detallado!$B:$B,0))</f>
        <v>Alternativos</v>
      </c>
      <c r="E79" s="31" t="str">
        <f>+INDEX([1]Detallado!$Q:$Q,MATCH($C79,[1]Detallado!$B:$B,0))</f>
        <v>ALT</v>
      </c>
      <c r="F79" s="185" t="s">
        <v>4353</v>
      </c>
      <c r="G79" s="186" t="str">
        <f t="shared" si="2"/>
        <v>53ALT</v>
      </c>
      <c r="H79" s="187" t="str">
        <f>+INDEX([1]Detallado!$D:$D,MATCH(C79,[1]Detallado!$B:$B,0))</f>
        <v>Vista Equity Partners Fund VII GP, L.P.</v>
      </c>
      <c r="I79" s="28"/>
      <c r="J79" s="184" t="str">
        <f t="shared" si="3"/>
        <v>ALT</v>
      </c>
      <c r="O79" s="28" t="s">
        <v>4900</v>
      </c>
      <c r="P79" s="28" t="s">
        <v>4896</v>
      </c>
    </row>
    <row r="80" spans="3:16" x14ac:dyDescent="0.25">
      <c r="C80" s="28" t="s">
        <v>2884</v>
      </c>
      <c r="D80" s="188" t="str">
        <f>+INDEX([1]Detallado!$F:$F,MATCH($C80,[1]Detallado!$B:$B,0))</f>
        <v>Alternativos</v>
      </c>
      <c r="E80" s="31" t="str">
        <f>+INDEX([1]Detallado!$Q:$Q,MATCH($C80,[1]Detallado!$B:$B,0))</f>
        <v>ALT</v>
      </c>
      <c r="F80" s="185" t="s">
        <v>4353</v>
      </c>
      <c r="G80" s="186" t="str">
        <f t="shared" si="2"/>
        <v>53ALT</v>
      </c>
      <c r="H80" s="187" t="str">
        <f>+INDEX([1]Detallado!$D:$D,MATCH(C80,[1]Detallado!$B:$B,0))</f>
        <v>Partners Group - Direct Equty 2016 C-G</v>
      </c>
      <c r="I80" s="28"/>
      <c r="J80" s="184" t="str">
        <f t="shared" si="3"/>
        <v>ALT</v>
      </c>
      <c r="O80" s="28" t="s">
        <v>4900</v>
      </c>
      <c r="P80" s="28" t="s">
        <v>4896</v>
      </c>
    </row>
    <row r="81" spans="3:16" x14ac:dyDescent="0.25">
      <c r="C81" s="28" t="s">
        <v>2885</v>
      </c>
      <c r="D81" s="188" t="str">
        <f>+INDEX([1]Detallado!$F:$F,MATCH($C81,[1]Detallado!$B:$B,0))</f>
        <v>Alternativos</v>
      </c>
      <c r="E81" s="31" t="str">
        <f>+INDEX([1]Detallado!$Q:$Q,MATCH($C81,[1]Detallado!$B:$B,0))</f>
        <v>ALT</v>
      </c>
      <c r="F81" s="185" t="s">
        <v>4353</v>
      </c>
      <c r="G81" s="186" t="str">
        <f t="shared" si="2"/>
        <v>53ALT</v>
      </c>
      <c r="H81" s="187" t="str">
        <f>+INDEX([1]Detallado!$D:$D,MATCH(C81,[1]Detallado!$B:$B,0))</f>
        <v>Platinum Equity Partners V</v>
      </c>
      <c r="I81" s="28"/>
      <c r="J81" s="184" t="str">
        <f t="shared" si="3"/>
        <v>ALT</v>
      </c>
      <c r="O81" s="28" t="s">
        <v>4900</v>
      </c>
      <c r="P81" s="28" t="s">
        <v>4896</v>
      </c>
    </row>
    <row r="82" spans="3:16" x14ac:dyDescent="0.25">
      <c r="C82" s="28" t="s">
        <v>2886</v>
      </c>
      <c r="D82" s="188" t="str">
        <f>+INDEX([1]Detallado!$F:$F,MATCH($C82,[1]Detallado!$B:$B,0))</f>
        <v>Alternativos</v>
      </c>
      <c r="E82" s="31" t="str">
        <f>+INDEX([1]Detallado!$Q:$Q,MATCH($C82,[1]Detallado!$B:$B,0))</f>
        <v>ALT</v>
      </c>
      <c r="F82" s="185" t="s">
        <v>4353</v>
      </c>
      <c r="G82" s="186" t="str">
        <f t="shared" si="2"/>
        <v>53ALT</v>
      </c>
      <c r="H82" s="187" t="str">
        <f>+INDEX([1]Detallado!$D:$D,MATCH(C82,[1]Detallado!$B:$B,0))</f>
        <v>Hamilton Lane SMID</v>
      </c>
      <c r="I82" s="28"/>
      <c r="J82" s="184" t="str">
        <f t="shared" si="3"/>
        <v>ALT</v>
      </c>
      <c r="O82" s="28" t="s">
        <v>4900</v>
      </c>
      <c r="P82" s="28" t="s">
        <v>4896</v>
      </c>
    </row>
    <row r="83" spans="3:16" x14ac:dyDescent="0.25">
      <c r="C83" s="28" t="s">
        <v>797</v>
      </c>
      <c r="D83" s="188" t="str">
        <f>+INDEX([1]Detallado!$F:$F,MATCH($C83,[1]Detallado!$B:$B,0))</f>
        <v>Alternativos</v>
      </c>
      <c r="E83" s="31" t="str">
        <f>+INDEX([1]Detallado!$Q:$Q,MATCH($C83,[1]Detallado!$B:$B,0))</f>
        <v>ALT</v>
      </c>
      <c r="F83" s="185" t="s">
        <v>4353</v>
      </c>
      <c r="G83" s="186" t="str">
        <f t="shared" si="2"/>
        <v>53ALT</v>
      </c>
      <c r="H83" s="187" t="str">
        <f>+INDEX([1]Detallado!$D:$D,MATCH(C83,[1]Detallado!$B:$B,0))</f>
        <v>CEP V LUX</v>
      </c>
      <c r="I83" s="28"/>
      <c r="J83" s="184" t="str">
        <f t="shared" si="3"/>
        <v>ALT</v>
      </c>
      <c r="O83" s="28" t="s">
        <v>4900</v>
      </c>
      <c r="P83" s="28" t="s">
        <v>4896</v>
      </c>
    </row>
    <row r="84" spans="3:16" x14ac:dyDescent="0.25">
      <c r="C84" s="28" t="s">
        <v>791</v>
      </c>
      <c r="D84" s="188" t="str">
        <f>+INDEX([1]Detallado!$F:$F,MATCH($C84,[1]Detallado!$B:$B,0))</f>
        <v>Alternativos</v>
      </c>
      <c r="E84" s="31" t="str">
        <f>+INDEX([1]Detallado!$Q:$Q,MATCH($C84,[1]Detallado!$B:$B,0))</f>
        <v>ALT</v>
      </c>
      <c r="F84" s="185" t="s">
        <v>4353</v>
      </c>
      <c r="G84" s="186" t="str">
        <f t="shared" si="2"/>
        <v>53ALT</v>
      </c>
      <c r="H84" s="187" t="str">
        <f>+INDEX([1]Detallado!$D:$D,MATCH(C84,[1]Detallado!$B:$B,0))</f>
        <v>Carlyle Partners VII</v>
      </c>
      <c r="I84" s="28"/>
      <c r="J84" s="184" t="str">
        <f t="shared" si="3"/>
        <v>ALT</v>
      </c>
      <c r="O84" s="28" t="s">
        <v>4900</v>
      </c>
      <c r="P84" s="28" t="s">
        <v>4896</v>
      </c>
    </row>
    <row r="85" spans="3:16" x14ac:dyDescent="0.25">
      <c r="C85" s="28" t="s">
        <v>802</v>
      </c>
      <c r="D85" s="188" t="str">
        <f>+INDEX([1]Detallado!$F:$F,MATCH($C85,[1]Detallado!$B:$B,0))</f>
        <v>Alternativos</v>
      </c>
      <c r="E85" s="31" t="str">
        <f>+INDEX([1]Detallado!$Q:$Q,MATCH($C85,[1]Detallado!$B:$B,0))</f>
        <v>ALT</v>
      </c>
      <c r="F85" s="185" t="s">
        <v>4353</v>
      </c>
      <c r="G85" s="186" t="str">
        <f t="shared" si="2"/>
        <v>53ALT</v>
      </c>
      <c r="H85" s="187" t="str">
        <f>+INDEX([1]Detallado!$D:$D,MATCH(C85,[1]Detallado!$B:$B,0))</f>
        <v>Hellman &amp; Friedman</v>
      </c>
      <c r="I85" s="28"/>
      <c r="J85" s="184" t="str">
        <f t="shared" si="3"/>
        <v>ALT</v>
      </c>
      <c r="O85" s="28" t="s">
        <v>4900</v>
      </c>
      <c r="P85" s="28" t="s">
        <v>4896</v>
      </c>
    </row>
    <row r="86" spans="3:16" x14ac:dyDescent="0.25">
      <c r="C86" s="28" t="s">
        <v>2887</v>
      </c>
      <c r="D86" s="188" t="str">
        <f>+INDEX([1]Detallado!$F:$F,MATCH($C86,[1]Detallado!$B:$B,0))</f>
        <v>Alternativos</v>
      </c>
      <c r="E86" s="31" t="str">
        <f>+INDEX([1]Detallado!$Q:$Q,MATCH($C86,[1]Detallado!$B:$B,0))</f>
        <v>ALT</v>
      </c>
      <c r="F86" s="185" t="s">
        <v>4353</v>
      </c>
      <c r="G86" s="186" t="str">
        <f t="shared" si="2"/>
        <v>53ALT</v>
      </c>
      <c r="H86" s="187" t="str">
        <f>+INDEX([1]Detallado!$D:$D,MATCH(C86,[1]Detallado!$B:$B,0))</f>
        <v>Oak Hill Capital Partners V</v>
      </c>
      <c r="I86" s="28"/>
      <c r="J86" s="184" t="str">
        <f t="shared" si="3"/>
        <v>ALT</v>
      </c>
      <c r="O86" s="28" t="s">
        <v>4900</v>
      </c>
      <c r="P86" s="28" t="s">
        <v>4896</v>
      </c>
    </row>
    <row r="87" spans="3:16" x14ac:dyDescent="0.25">
      <c r="C87" s="28" t="s">
        <v>2888</v>
      </c>
      <c r="D87" s="188" t="str">
        <f>+INDEX([1]Detallado!$F:$F,MATCH($C87,[1]Detallado!$B:$B,0))</f>
        <v>Alternativos</v>
      </c>
      <c r="E87" s="31" t="str">
        <f>+INDEX([1]Detallado!$Q:$Q,MATCH($C87,[1]Detallado!$B:$B,0))</f>
        <v>ALT</v>
      </c>
      <c r="F87" s="185" t="s">
        <v>4353</v>
      </c>
      <c r="G87" s="186" t="str">
        <f t="shared" si="2"/>
        <v>53ALT</v>
      </c>
      <c r="H87" s="187" t="str">
        <f>+INDEX([1]Detallado!$D:$D,MATCH(C87,[1]Detallado!$B:$B,0))</f>
        <v>Warburg Pincus - Global Growth Fund</v>
      </c>
      <c r="I87" s="28"/>
      <c r="J87" s="184" t="str">
        <f t="shared" si="3"/>
        <v>ALT</v>
      </c>
      <c r="O87" s="28" t="s">
        <v>4900</v>
      </c>
      <c r="P87" s="28" t="s">
        <v>4896</v>
      </c>
    </row>
    <row r="88" spans="3:16" x14ac:dyDescent="0.25">
      <c r="C88" s="28" t="s">
        <v>2889</v>
      </c>
      <c r="D88" s="188" t="str">
        <f>+INDEX([1]Detallado!$F:$F,MATCH($C88,[1]Detallado!$B:$B,0))</f>
        <v>Alternativos</v>
      </c>
      <c r="E88" s="31" t="str">
        <f>+INDEX([1]Detallado!$Q:$Q,MATCH($C88,[1]Detallado!$B:$B,0))</f>
        <v>ALT</v>
      </c>
      <c r="F88" s="185" t="s">
        <v>4353</v>
      </c>
      <c r="G88" s="186" t="str">
        <f t="shared" si="2"/>
        <v>53ALT</v>
      </c>
      <c r="H88" s="187" t="str">
        <f>+INDEX([1]Detallado!$D:$D,MATCH(C88,[1]Detallado!$B:$B,0))</f>
        <v>Francisco Partners VI</v>
      </c>
      <c r="I88" s="28"/>
      <c r="J88" s="184" t="str">
        <f t="shared" si="3"/>
        <v>ALT</v>
      </c>
      <c r="O88" s="28" t="s">
        <v>4901</v>
      </c>
      <c r="P88" s="28" t="s">
        <v>4894</v>
      </c>
    </row>
    <row r="89" spans="3:16" x14ac:dyDescent="0.25">
      <c r="C89" s="28" t="s">
        <v>2890</v>
      </c>
      <c r="D89" s="188" t="str">
        <f>+INDEX([1]Detallado!$F:$F,MATCH($C89,[1]Detallado!$B:$B,0))</f>
        <v>Alternativos</v>
      </c>
      <c r="E89" s="31" t="str">
        <f>+INDEX([1]Detallado!$Q:$Q,MATCH($C89,[1]Detallado!$B:$B,0))</f>
        <v>ALT</v>
      </c>
      <c r="F89" s="185" t="s">
        <v>4353</v>
      </c>
      <c r="G89" s="186" t="str">
        <f t="shared" si="2"/>
        <v>53ALT</v>
      </c>
      <c r="H89" s="187" t="str">
        <f>+INDEX([1]Detallado!$D:$D,MATCH(C89,[1]Detallado!$B:$B,0))</f>
        <v>Thoma Bravo Fund XIV</v>
      </c>
      <c r="I89" s="28"/>
      <c r="J89" s="184" t="str">
        <f t="shared" si="3"/>
        <v>ALT</v>
      </c>
      <c r="O89" s="28" t="s">
        <v>4901</v>
      </c>
      <c r="P89" s="28" t="s">
        <v>4894</v>
      </c>
    </row>
    <row r="90" spans="3:16" x14ac:dyDescent="0.25">
      <c r="C90" s="28" t="s">
        <v>2891</v>
      </c>
      <c r="D90" s="188" t="str">
        <f>+INDEX([1]Detallado!$F:$F,MATCH($C90,[1]Detallado!$B:$B,0))</f>
        <v>Alternativos</v>
      </c>
      <c r="E90" s="31" t="str">
        <f>+INDEX([1]Detallado!$Q:$Q,MATCH($C90,[1]Detallado!$B:$B,0))</f>
        <v>ALT</v>
      </c>
      <c r="F90" s="185" t="s">
        <v>4353</v>
      </c>
      <c r="G90" s="186" t="str">
        <f t="shared" si="2"/>
        <v>53ALT</v>
      </c>
      <c r="H90" s="187" t="str">
        <f>+INDEX([1]Detallado!$D:$D,MATCH(C90,[1]Detallado!$B:$B,0))</f>
        <v>Crown Global Secondaries V GP</v>
      </c>
      <c r="I90" s="28"/>
      <c r="J90" s="184" t="str">
        <f t="shared" si="3"/>
        <v>ALT</v>
      </c>
      <c r="O90" s="28" t="s">
        <v>4482</v>
      </c>
      <c r="P90" s="28" t="s">
        <v>4902</v>
      </c>
    </row>
    <row r="91" spans="3:16" x14ac:dyDescent="0.25">
      <c r="C91" s="28" t="s">
        <v>2892</v>
      </c>
      <c r="D91" s="188" t="str">
        <f>+INDEX([1]Detallado!$F:$F,MATCH($C91,[1]Detallado!$B:$B,0))</f>
        <v>Alternativos</v>
      </c>
      <c r="E91" s="31" t="str">
        <f>+INDEX([1]Detallado!$Q:$Q,MATCH($C91,[1]Detallado!$B:$B,0))</f>
        <v>ALT</v>
      </c>
      <c r="F91" s="185" t="s">
        <v>4353</v>
      </c>
      <c r="G91" s="186" t="str">
        <f t="shared" si="2"/>
        <v>53ALT</v>
      </c>
      <c r="H91" s="187" t="str">
        <f>+INDEX([1]Detallado!$D:$D,MATCH(C91,[1]Detallado!$B:$B,0))</f>
        <v>Dover Street X Feeder Fund L.P.</v>
      </c>
      <c r="I91" s="28"/>
      <c r="J91" s="184" t="str">
        <f t="shared" si="3"/>
        <v>ALT</v>
      </c>
      <c r="O91" s="28" t="s">
        <v>4482</v>
      </c>
      <c r="P91" s="28" t="s">
        <v>4902</v>
      </c>
    </row>
    <row r="92" spans="3:16" x14ac:dyDescent="0.25">
      <c r="C92" s="28" t="s">
        <v>799</v>
      </c>
      <c r="D92" s="188" t="str">
        <f>+INDEX([1]Detallado!$F:$F,MATCH($C92,[1]Detallado!$B:$B,0))</f>
        <v>Alternativos</v>
      </c>
      <c r="E92" s="31" t="str">
        <f>+INDEX([1]Detallado!$Q:$Q,MATCH($C92,[1]Detallado!$B:$B,0))</f>
        <v>ALT</v>
      </c>
      <c r="F92" s="185" t="s">
        <v>4353</v>
      </c>
      <c r="G92" s="186" t="str">
        <f t="shared" si="2"/>
        <v>53ALT</v>
      </c>
      <c r="H92" s="187" t="str">
        <f>+INDEX([1]Detallado!$D:$D,MATCH(C92,[1]Detallado!$B:$B,0))</f>
        <v>PRIVFAELCPIX</v>
      </c>
      <c r="I92" s="28"/>
      <c r="J92" s="184" t="str">
        <f t="shared" si="3"/>
        <v>ALT</v>
      </c>
      <c r="O92" s="28" t="s">
        <v>4482</v>
      </c>
      <c r="P92" s="28" t="s">
        <v>4902</v>
      </c>
    </row>
    <row r="93" spans="3:16" x14ac:dyDescent="0.25">
      <c r="C93" s="28" t="s">
        <v>2893</v>
      </c>
      <c r="D93" s="188" t="str">
        <f>+INDEX([1]Detallado!$F:$F,MATCH($C93,[1]Detallado!$B:$B,0))</f>
        <v>Alternativos</v>
      </c>
      <c r="E93" s="31" t="str">
        <f>+INDEX([1]Detallado!$Q:$Q,MATCH($C93,[1]Detallado!$B:$B,0))</f>
        <v>ALT</v>
      </c>
      <c r="F93" s="185" t="s">
        <v>4353</v>
      </c>
      <c r="G93" s="186" t="str">
        <f t="shared" si="2"/>
        <v>53ALT</v>
      </c>
      <c r="H93" s="187" t="str">
        <f>+INDEX([1]Detallado!$D:$D,MATCH(C93,[1]Detallado!$B:$B,0))</f>
        <v>Harbourvest - Dover Street VII</v>
      </c>
      <c r="I93" s="28"/>
      <c r="J93" s="184" t="str">
        <f t="shared" si="3"/>
        <v>ALT</v>
      </c>
      <c r="O93" s="28" t="s">
        <v>4482</v>
      </c>
      <c r="P93" s="28" t="s">
        <v>4902</v>
      </c>
    </row>
    <row r="94" spans="3:16" x14ac:dyDescent="0.25">
      <c r="C94" s="28" t="s">
        <v>2894</v>
      </c>
      <c r="D94" s="188" t="str">
        <f>+INDEX([1]Detallado!$F:$F,MATCH($C94,[1]Detallado!$B:$B,0))</f>
        <v>Alternativos</v>
      </c>
      <c r="E94" s="31" t="str">
        <f>+INDEX([1]Detallado!$Q:$Q,MATCH($C94,[1]Detallado!$B:$B,0))</f>
        <v>ALT</v>
      </c>
      <c r="F94" s="185" t="s">
        <v>4353</v>
      </c>
      <c r="G94" s="186" t="str">
        <f t="shared" si="2"/>
        <v>53ALT</v>
      </c>
      <c r="H94" s="187" t="str">
        <f>+INDEX([1]Detallado!$D:$D,MATCH(C94,[1]Detallado!$B:$B,0))</f>
        <v>Partners - PG Secondary 2008</v>
      </c>
      <c r="I94" s="28"/>
      <c r="J94" s="184" t="str">
        <f t="shared" si="3"/>
        <v>ALT</v>
      </c>
      <c r="O94" s="28" t="s">
        <v>4482</v>
      </c>
      <c r="P94" s="28" t="s">
        <v>4902</v>
      </c>
    </row>
    <row r="95" spans="3:16" x14ac:dyDescent="0.25">
      <c r="C95" s="28" t="s">
        <v>2895</v>
      </c>
      <c r="D95" s="188" t="str">
        <f>+INDEX([1]Detallado!$F:$F,MATCH($C95,[1]Detallado!$B:$B,0))</f>
        <v>Alternativos</v>
      </c>
      <c r="E95" s="31" t="str">
        <f>+INDEX([1]Detallado!$Q:$Q,MATCH($C95,[1]Detallado!$B:$B,0))</f>
        <v>ALT</v>
      </c>
      <c r="F95" s="185" t="s">
        <v>4353</v>
      </c>
      <c r="G95" s="186" t="str">
        <f t="shared" si="2"/>
        <v>53ALT</v>
      </c>
      <c r="H95" s="187" t="str">
        <f>+INDEX([1]Detallado!$D:$D,MATCH(C95,[1]Detallado!$B:$B,0))</f>
        <v>PGSF VI Feeder GP, LLC</v>
      </c>
      <c r="I95" s="28"/>
      <c r="J95" s="184" t="str">
        <f t="shared" si="3"/>
        <v>ALT</v>
      </c>
      <c r="O95" s="28" t="s">
        <v>4482</v>
      </c>
      <c r="P95" s="28" t="s">
        <v>4902</v>
      </c>
    </row>
    <row r="96" spans="3:16" x14ac:dyDescent="0.25">
      <c r="C96" s="28" t="s">
        <v>2896</v>
      </c>
      <c r="D96" s="188" t="str">
        <f>+INDEX([1]Detallado!$F:$F,MATCH($C96,[1]Detallado!$B:$B,0))</f>
        <v>Alternativos</v>
      </c>
      <c r="E96" s="31" t="str">
        <f>+INDEX([1]Detallado!$Q:$Q,MATCH($C96,[1]Detallado!$B:$B,0))</f>
        <v>ALT</v>
      </c>
      <c r="F96" s="185" t="s">
        <v>4353</v>
      </c>
      <c r="G96" s="186" t="str">
        <f t="shared" si="2"/>
        <v>53ALT</v>
      </c>
      <c r="H96" s="187" t="str">
        <f>+INDEX([1]Detallado!$D:$D,MATCH(C96,[1]Detallado!$B:$B,0))</f>
        <v>Lexington - LCP VII</v>
      </c>
      <c r="I96" s="28"/>
      <c r="J96" s="184" t="str">
        <f t="shared" si="3"/>
        <v>ALT</v>
      </c>
      <c r="O96" s="28" t="s">
        <v>4482</v>
      </c>
      <c r="P96" s="28" t="s">
        <v>4902</v>
      </c>
    </row>
    <row r="97" spans="3:16" x14ac:dyDescent="0.25">
      <c r="C97" s="28" t="s">
        <v>748</v>
      </c>
      <c r="D97" s="188" t="str">
        <f>+INDEX([1]Detallado!$F:$F,MATCH($C97,[1]Detallado!$B:$B,0))</f>
        <v>Alternativos</v>
      </c>
      <c r="E97" s="31" t="str">
        <f>+INDEX([1]Detallado!$Q:$Q,MATCH($C97,[1]Detallado!$B:$B,0))</f>
        <v>ALT</v>
      </c>
      <c r="F97" s="185" t="s">
        <v>4353</v>
      </c>
      <c r="G97" s="186" t="str">
        <f t="shared" si="2"/>
        <v>53ALT</v>
      </c>
      <c r="H97" s="187" t="str">
        <f>+INDEX([1]Detallado!$D:$D,MATCH(C97,[1]Detallado!$B:$B,0))</f>
        <v>Coller - Coller VI</v>
      </c>
      <c r="I97" s="28"/>
      <c r="J97" s="184" t="str">
        <f t="shared" si="3"/>
        <v>ALT</v>
      </c>
      <c r="O97" s="28" t="s">
        <v>4482</v>
      </c>
      <c r="P97" s="28" t="s">
        <v>4902</v>
      </c>
    </row>
    <row r="98" spans="3:16" x14ac:dyDescent="0.25">
      <c r="C98" s="28" t="s">
        <v>805</v>
      </c>
      <c r="D98" s="188" t="str">
        <f>+INDEX([1]Detallado!$F:$F,MATCH($C98,[1]Detallado!$B:$B,0))</f>
        <v>Alternativos</v>
      </c>
      <c r="E98" s="31" t="str">
        <f>+INDEX([1]Detallado!$Q:$Q,MATCH($C98,[1]Detallado!$B:$B,0))</f>
        <v>ALT</v>
      </c>
      <c r="F98" s="185" t="s">
        <v>4353</v>
      </c>
      <c r="G98" s="186" t="str">
        <f t="shared" si="2"/>
        <v>53ALT</v>
      </c>
      <c r="H98" s="187" t="str">
        <f>+INDEX([1]Detallado!$D:$D,MATCH(C98,[1]Detallado!$B:$B,0))</f>
        <v>Coller - Coller VIII</v>
      </c>
      <c r="I98" s="28"/>
      <c r="J98" s="184" t="str">
        <f t="shared" si="3"/>
        <v>ALT</v>
      </c>
      <c r="O98" s="28" t="s">
        <v>4482</v>
      </c>
      <c r="P98" s="28" t="s">
        <v>4902</v>
      </c>
    </row>
    <row r="99" spans="3:16" x14ac:dyDescent="0.25">
      <c r="C99" s="28" t="s">
        <v>752</v>
      </c>
      <c r="D99" s="188" t="str">
        <f>+INDEX([1]Detallado!$F:$F,MATCH($C99,[1]Detallado!$B:$B,0))</f>
        <v>Alternativos</v>
      </c>
      <c r="E99" s="31" t="str">
        <f>+INDEX([1]Detallado!$Q:$Q,MATCH($C99,[1]Detallado!$B:$B,0))</f>
        <v>ALT</v>
      </c>
      <c r="F99" s="185" t="s">
        <v>4353</v>
      </c>
      <c r="G99" s="186" t="str">
        <f t="shared" si="2"/>
        <v>53ALT</v>
      </c>
      <c r="H99" s="187" t="str">
        <f>+INDEX([1]Detallado!$D:$D,MATCH(C99,[1]Detallado!$B:$B,0))</f>
        <v>Partners - PG Secondary 2011</v>
      </c>
      <c r="I99" s="28"/>
      <c r="J99" s="184" t="str">
        <f t="shared" si="3"/>
        <v>ALT</v>
      </c>
      <c r="O99" s="28" t="s">
        <v>4482</v>
      </c>
      <c r="P99" s="28" t="s">
        <v>4902</v>
      </c>
    </row>
    <row r="100" spans="3:16" x14ac:dyDescent="0.25">
      <c r="C100" s="28" t="s">
        <v>758</v>
      </c>
      <c r="D100" s="188" t="str">
        <f>+INDEX([1]Detallado!$F:$F,MATCH($C100,[1]Detallado!$B:$B,0))</f>
        <v>Alternativos</v>
      </c>
      <c r="E100" s="31" t="str">
        <f>+INDEX([1]Detallado!$Q:$Q,MATCH($C100,[1]Detallado!$B:$B,0))</f>
        <v>ALT</v>
      </c>
      <c r="F100" s="185" t="s">
        <v>4353</v>
      </c>
      <c r="G100" s="186" t="str">
        <f t="shared" si="2"/>
        <v>53ALT</v>
      </c>
      <c r="H100" s="187" t="str">
        <f>+INDEX([1]Detallado!$D:$D,MATCH(C100,[1]Detallado!$B:$B,0))</f>
        <v>Lexington Partners GP Holdings VIII LLC</v>
      </c>
      <c r="I100" s="28"/>
      <c r="J100" s="184" t="str">
        <f t="shared" si="3"/>
        <v>ALT</v>
      </c>
      <c r="O100" s="28" t="s">
        <v>4482</v>
      </c>
      <c r="P100" s="28" t="s">
        <v>4902</v>
      </c>
    </row>
    <row r="101" spans="3:16" x14ac:dyDescent="0.25">
      <c r="C101" s="28" t="s">
        <v>765</v>
      </c>
      <c r="D101" s="188" t="str">
        <f>+INDEX([1]Detallado!$F:$F,MATCH($C101,[1]Detallado!$B:$B,0))</f>
        <v>Alternativos</v>
      </c>
      <c r="E101" s="31" t="str">
        <f>+INDEX([1]Detallado!$Q:$Q,MATCH($C101,[1]Detallado!$B:$B,0))</f>
        <v>ALT</v>
      </c>
      <c r="F101" s="185" t="s">
        <v>4353</v>
      </c>
      <c r="G101" s="186" t="str">
        <f t="shared" si="2"/>
        <v>53ALT</v>
      </c>
      <c r="H101" s="187" t="str">
        <f>+INDEX([1]Detallado!$D:$D,MATCH(C101,[1]Detallado!$B:$B,0))</f>
        <v>Partners - PG Secondary 2015</v>
      </c>
      <c r="I101" s="28"/>
      <c r="J101" s="184" t="str">
        <f t="shared" si="3"/>
        <v>ALT</v>
      </c>
      <c r="O101" s="28" t="s">
        <v>4482</v>
      </c>
      <c r="P101" s="28" t="s">
        <v>4902</v>
      </c>
    </row>
    <row r="102" spans="3:16" x14ac:dyDescent="0.25">
      <c r="C102" s="28" t="s">
        <v>778</v>
      </c>
      <c r="D102" s="188" t="str">
        <f>+INDEX([1]Detallado!$F:$F,MATCH($C102,[1]Detallado!$B:$B,0))</f>
        <v>Alternativos</v>
      </c>
      <c r="E102" s="31" t="str">
        <f>+INDEX([1]Detallado!$Q:$Q,MATCH($C102,[1]Detallado!$B:$B,0))</f>
        <v>ALT</v>
      </c>
      <c r="F102" s="185" t="s">
        <v>4353</v>
      </c>
      <c r="G102" s="186" t="str">
        <f t="shared" si="2"/>
        <v>53ALT</v>
      </c>
      <c r="H102" s="187" t="str">
        <f>+INDEX([1]Detallado!$D:$D,MATCH(C102,[1]Detallado!$B:$B,0))</f>
        <v>Coller</v>
      </c>
      <c r="I102" s="28"/>
      <c r="J102" s="184" t="str">
        <f t="shared" si="3"/>
        <v>ALT</v>
      </c>
      <c r="O102" s="28" t="s">
        <v>4482</v>
      </c>
      <c r="P102" s="28" t="s">
        <v>4902</v>
      </c>
    </row>
    <row r="103" spans="3:16" x14ac:dyDescent="0.25">
      <c r="C103" s="28" t="s">
        <v>2897</v>
      </c>
      <c r="D103" s="188" t="str">
        <f>+INDEX([1]Detallado!$F:$F,MATCH($C103,[1]Detallado!$B:$B,0))</f>
        <v>Alternativos</v>
      </c>
      <c r="E103" s="31" t="str">
        <f>+INDEX([1]Detallado!$Q:$Q,MATCH($C103,[1]Detallado!$B:$B,0))</f>
        <v>ALT</v>
      </c>
      <c r="F103" s="185" t="s">
        <v>4353</v>
      </c>
      <c r="G103" s="186" t="str">
        <f t="shared" si="2"/>
        <v>53ALT</v>
      </c>
      <c r="H103" s="187" t="str">
        <f>+INDEX([1]Detallado!$D:$D,MATCH(C103,[1]Detallado!$B:$B,0))</f>
        <v>Ardian - Secondary Fund VII LP</v>
      </c>
      <c r="I103" s="28"/>
      <c r="J103" s="184" t="str">
        <f t="shared" si="3"/>
        <v>ALT</v>
      </c>
      <c r="O103" s="28" t="s">
        <v>4482</v>
      </c>
      <c r="P103" s="28" t="s">
        <v>4902</v>
      </c>
    </row>
    <row r="104" spans="3:16" x14ac:dyDescent="0.25">
      <c r="C104" s="28" t="s">
        <v>815</v>
      </c>
      <c r="D104" s="188" t="str">
        <f>+INDEX([1]Detallado!$F:$F,MATCH($C104,[1]Detallado!$B:$B,0))</f>
        <v>Alternativos</v>
      </c>
      <c r="E104" s="31" t="str">
        <f>+INDEX([1]Detallado!$Q:$Q,MATCH($C104,[1]Detallado!$B:$B,0))</f>
        <v>ALT</v>
      </c>
      <c r="F104" s="185" t="s">
        <v>4353</v>
      </c>
      <c r="G104" s="186" t="str">
        <f t="shared" si="2"/>
        <v>53ALT</v>
      </c>
      <c r="H104" s="187" t="str">
        <f>+INDEX([1]Detallado!$D:$D,MATCH(C104,[1]Detallado!$B:$B,0))</f>
        <v>ASF Cosmos Co-Invest L.P.</v>
      </c>
      <c r="I104" s="28"/>
      <c r="J104" s="184" t="str">
        <f t="shared" si="3"/>
        <v>ALT</v>
      </c>
      <c r="O104" s="28" t="s">
        <v>4482</v>
      </c>
      <c r="P104" s="28" t="s">
        <v>4902</v>
      </c>
    </row>
    <row r="105" spans="3:16" x14ac:dyDescent="0.25">
      <c r="C105" s="28" t="s">
        <v>729</v>
      </c>
      <c r="D105" s="188" t="str">
        <f>+INDEX([1]Detallado!$F:$F,MATCH($C105,[1]Detallado!$B:$B,0))</f>
        <v>Alternativos</v>
      </c>
      <c r="E105" s="31" t="str">
        <f>+INDEX([1]Detallado!$Q:$Q,MATCH($C105,[1]Detallado!$B:$B,0))</f>
        <v>ALT</v>
      </c>
      <c r="F105" s="185" t="s">
        <v>4353</v>
      </c>
      <c r="G105" s="186" t="str">
        <f t="shared" si="2"/>
        <v>53ALT</v>
      </c>
      <c r="H105" s="187" t="str">
        <f>+INDEX([1]Detallado!$D:$D,MATCH(C105,[1]Detallado!$B:$B,0))</f>
        <v>ASF VIII GP Limited</v>
      </c>
      <c r="I105" s="28"/>
      <c r="J105" s="184" t="str">
        <f t="shared" si="3"/>
        <v>ALT</v>
      </c>
      <c r="O105" s="28" t="s">
        <v>4471</v>
      </c>
      <c r="P105" s="28" t="s">
        <v>4898</v>
      </c>
    </row>
    <row r="106" spans="3:16" x14ac:dyDescent="0.25">
      <c r="C106" s="28" t="s">
        <v>2898</v>
      </c>
      <c r="D106" s="188" t="str">
        <f>+INDEX([1]Detallado!$F:$F,MATCH($C106,[1]Detallado!$B:$B,0))</f>
        <v>Alternativos</v>
      </c>
      <c r="E106" s="31" t="str">
        <f>+INDEX([1]Detallado!$Q:$Q,MATCH($C106,[1]Detallado!$B:$B,0))</f>
        <v>ALT</v>
      </c>
      <c r="F106" s="185" t="s">
        <v>4353</v>
      </c>
      <c r="G106" s="186" t="str">
        <f t="shared" si="2"/>
        <v>53ALT</v>
      </c>
      <c r="H106" s="187" t="str">
        <f>+INDEX([1]Detallado!$D:$D,MATCH(C106,[1]Detallado!$B:$B,0))</f>
        <v>Cortland Enhanced Value Fund V, L.P.</v>
      </c>
      <c r="I106" s="28"/>
      <c r="J106" s="184" t="str">
        <f t="shared" si="3"/>
        <v>ALT</v>
      </c>
      <c r="O106" s="28" t="s">
        <v>4471</v>
      </c>
      <c r="P106" s="28" t="s">
        <v>4898</v>
      </c>
    </row>
    <row r="107" spans="3:16" x14ac:dyDescent="0.25">
      <c r="C107" s="28" t="s">
        <v>2899</v>
      </c>
      <c r="D107" s="188" t="str">
        <f>+INDEX([1]Detallado!$F:$F,MATCH($C107,[1]Detallado!$B:$B,0))</f>
        <v>Alternativos</v>
      </c>
      <c r="E107" s="31" t="str">
        <f>+INDEX([1]Detallado!$Q:$Q,MATCH($C107,[1]Detallado!$B:$B,0))</f>
        <v>ALT</v>
      </c>
      <c r="F107" s="185" t="s">
        <v>4353</v>
      </c>
      <c r="G107" s="186" t="str">
        <f t="shared" si="2"/>
        <v>53ALT</v>
      </c>
      <c r="H107" s="187" t="str">
        <f>+INDEX([1]Detallado!$D:$D,MATCH(C107,[1]Detallado!$B:$B,0))</f>
        <v>TSE - Real Estate Venture VIII SCSp</v>
      </c>
      <c r="I107" s="28"/>
      <c r="J107" s="184" t="str">
        <f t="shared" si="3"/>
        <v>ALT</v>
      </c>
      <c r="O107" s="28" t="s">
        <v>4471</v>
      </c>
      <c r="P107" s="28" t="s">
        <v>4898</v>
      </c>
    </row>
    <row r="108" spans="3:16" x14ac:dyDescent="0.25">
      <c r="C108" s="28" t="s">
        <v>2900</v>
      </c>
      <c r="D108" s="188" t="str">
        <f>+INDEX([1]Detallado!$F:$F,MATCH($C108,[1]Detallado!$B:$B,0))</f>
        <v>Alternativos</v>
      </c>
      <c r="E108" s="31" t="str">
        <f>+INDEX([1]Detallado!$Q:$Q,MATCH($C108,[1]Detallado!$B:$B,0))</f>
        <v>ALT</v>
      </c>
      <c r="F108" s="185" t="s">
        <v>4353</v>
      </c>
      <c r="G108" s="186" t="str">
        <f t="shared" si="2"/>
        <v>53ALT</v>
      </c>
      <c r="H108" s="187" t="str">
        <f>+INDEX([1]Detallado!$D:$D,MATCH(C108,[1]Detallado!$B:$B,0))</f>
        <v>Terranum - Real Estate Fund</v>
      </c>
      <c r="I108" s="28"/>
      <c r="J108" s="184" t="str">
        <f t="shared" si="3"/>
        <v>ALT</v>
      </c>
      <c r="O108" s="28" t="s">
        <v>4471</v>
      </c>
      <c r="P108" s="28" t="s">
        <v>4898</v>
      </c>
    </row>
    <row r="109" spans="3:16" x14ac:dyDescent="0.25">
      <c r="C109" s="28" t="s">
        <v>2901</v>
      </c>
      <c r="D109" s="188" t="str">
        <f>+INDEX([1]Detallado!$F:$F,MATCH($C109,[1]Detallado!$B:$B,0))</f>
        <v>Alternativos</v>
      </c>
      <c r="E109" s="31" t="str">
        <f>+INDEX([1]Detallado!$Q:$Q,MATCH($C109,[1]Detallado!$B:$B,0))</f>
        <v>ALT</v>
      </c>
      <c r="F109" s="185" t="s">
        <v>4353</v>
      </c>
      <c r="G109" s="186" t="str">
        <f t="shared" si="2"/>
        <v>53ALT</v>
      </c>
      <c r="H109" s="187" t="str">
        <f>+INDEX([1]Detallado!$D:$D,MATCH(C109,[1]Detallado!$B:$B,0))</f>
        <v>Terranum Capital - Latin America Real Estate Fund II, L.P.</v>
      </c>
      <c r="I109" s="28"/>
      <c r="J109" s="184" t="str">
        <f t="shared" si="3"/>
        <v>ALT</v>
      </c>
      <c r="O109" s="28" t="s">
        <v>4471</v>
      </c>
      <c r="P109" s="28" t="s">
        <v>4898</v>
      </c>
    </row>
    <row r="110" spans="3:16" x14ac:dyDescent="0.25">
      <c r="C110" s="28" t="s">
        <v>2902</v>
      </c>
      <c r="D110" s="188" t="str">
        <f>+INDEX([1]Detallado!$F:$F,MATCH($C110,[1]Detallado!$B:$B,0))</f>
        <v>Alternativos</v>
      </c>
      <c r="E110" s="31" t="str">
        <f>+INDEX([1]Detallado!$Q:$Q,MATCH($C110,[1]Detallado!$B:$B,0))</f>
        <v>ALT</v>
      </c>
      <c r="F110" s="185" t="s">
        <v>4353</v>
      </c>
      <c r="G110" s="186" t="str">
        <f t="shared" si="2"/>
        <v>53ALT</v>
      </c>
      <c r="H110" s="187" t="str">
        <f>+INDEX([1]Detallado!$D:$D,MATCH(C110,[1]Detallado!$B:$B,0))</f>
        <v>Strategic Partners - Real Estate VII</v>
      </c>
      <c r="I110" s="28"/>
      <c r="J110" s="184" t="str">
        <f t="shared" si="3"/>
        <v>ALT</v>
      </c>
      <c r="O110" s="28" t="s">
        <v>4471</v>
      </c>
      <c r="P110" s="28" t="s">
        <v>4898</v>
      </c>
    </row>
    <row r="111" spans="3:16" x14ac:dyDescent="0.25">
      <c r="C111" s="28" t="s">
        <v>789</v>
      </c>
      <c r="D111" s="188" t="str">
        <f>+INDEX([1]Detallado!$F:$F,MATCH($C111,[1]Detallado!$B:$B,0))</f>
        <v>Alternativos</v>
      </c>
      <c r="E111" s="31" t="str">
        <f>+INDEX([1]Detallado!$Q:$Q,MATCH($C111,[1]Detallado!$B:$B,0))</f>
        <v>ALT</v>
      </c>
      <c r="F111" s="185" t="s">
        <v>4353</v>
      </c>
      <c r="G111" s="186" t="str">
        <f t="shared" si="2"/>
        <v>53ALT</v>
      </c>
      <c r="H111" s="187" t="str">
        <f>+INDEX([1]Detallado!$D:$D,MATCH(C111,[1]Detallado!$B:$B,0))</f>
        <v>Carlyle Realty Partners - VIII</v>
      </c>
      <c r="I111" s="28"/>
      <c r="J111" s="184" t="str">
        <f t="shared" si="3"/>
        <v>ALT</v>
      </c>
      <c r="O111" s="28" t="s">
        <v>4471</v>
      </c>
      <c r="P111" s="28" t="s">
        <v>4898</v>
      </c>
    </row>
    <row r="112" spans="3:16" x14ac:dyDescent="0.25">
      <c r="C112" s="28" t="s">
        <v>2903</v>
      </c>
      <c r="D112" s="188" t="str">
        <f>+INDEX([1]Detallado!$F:$F,MATCH($C112,[1]Detallado!$B:$B,0))</f>
        <v>Alternativos</v>
      </c>
      <c r="E112" s="31" t="str">
        <f>+INDEX([1]Detallado!$Q:$Q,MATCH($C112,[1]Detallado!$B:$B,0))</f>
        <v>ALT</v>
      </c>
      <c r="F112" s="185" t="s">
        <v>4353</v>
      </c>
      <c r="G112" s="186" t="str">
        <f t="shared" si="2"/>
        <v>53ALT</v>
      </c>
      <c r="H112" s="187" t="str">
        <f>+INDEX([1]Detallado!$D:$D,MATCH(C112,[1]Detallado!$B:$B,0))</f>
        <v>Starwood Opportunity Fund XI Investor KP, L.P.</v>
      </c>
      <c r="I112" s="28"/>
      <c r="J112" s="184" t="str">
        <f t="shared" si="3"/>
        <v>ALT</v>
      </c>
      <c r="O112" s="28" t="s">
        <v>4471</v>
      </c>
      <c r="P112" s="28" t="s">
        <v>4898</v>
      </c>
    </row>
    <row r="113" spans="3:16" x14ac:dyDescent="0.25">
      <c r="C113" s="28" t="s">
        <v>2904</v>
      </c>
      <c r="D113" s="188" t="str">
        <f>+INDEX([1]Detallado!$F:$F,MATCH($C113,[1]Detallado!$B:$B,0))</f>
        <v>Alternativos</v>
      </c>
      <c r="E113" s="31" t="str">
        <f>+INDEX([1]Detallado!$Q:$Q,MATCH($C113,[1]Detallado!$B:$B,0))</f>
        <v>ALT</v>
      </c>
      <c r="F113" s="185" t="s">
        <v>4353</v>
      </c>
      <c r="G113" s="186" t="str">
        <f t="shared" si="2"/>
        <v>53ALT</v>
      </c>
      <c r="H113" s="187" t="str">
        <f>+INDEX([1]Detallado!$D:$D,MATCH(C113,[1]Detallado!$B:$B,0))</f>
        <v>Starwood Opportunity Fund XI Investor KP, L.P.</v>
      </c>
      <c r="I113" s="28"/>
      <c r="J113" s="184" t="str">
        <f t="shared" si="3"/>
        <v>ALT</v>
      </c>
      <c r="O113" s="28" t="s">
        <v>4471</v>
      </c>
      <c r="P113" s="28" t="s">
        <v>4898</v>
      </c>
    </row>
    <row r="114" spans="3:16" x14ac:dyDescent="0.25">
      <c r="C114" s="28" t="s">
        <v>2905</v>
      </c>
      <c r="D114" s="188" t="str">
        <f>+INDEX([1]Detallado!$F:$F,MATCH($C114,[1]Detallado!$B:$B,0))</f>
        <v>Alternativos</v>
      </c>
      <c r="E114" s="31" t="str">
        <f>+INDEX([1]Detallado!$Q:$Q,MATCH($C114,[1]Detallado!$B:$B,0))</f>
        <v>ALT</v>
      </c>
      <c r="F114" s="185" t="s">
        <v>4353</v>
      </c>
      <c r="G114" s="186" t="str">
        <f t="shared" si="2"/>
        <v>53ALT</v>
      </c>
      <c r="H114" s="187" t="str">
        <f>+INDEX([1]Detallado!$D:$D,MATCH(C114,[1]Detallado!$B:$B,0))</f>
        <v>Metropolitan Real Estate Partners Secondaries Fund EUI-II L.P.</v>
      </c>
      <c r="I114" s="28"/>
      <c r="J114" s="184" t="str">
        <f t="shared" si="3"/>
        <v>ALT</v>
      </c>
      <c r="O114" s="28" t="s">
        <v>4474</v>
      </c>
      <c r="P114" s="28" t="s">
        <v>4902</v>
      </c>
    </row>
    <row r="115" spans="3:16" x14ac:dyDescent="0.25">
      <c r="C115" s="28" t="s">
        <v>2906</v>
      </c>
      <c r="D115" s="188" t="str">
        <f>+INDEX([1]Detallado!$F:$F,MATCH($C115,[1]Detallado!$B:$B,0))</f>
        <v>Alternativos</v>
      </c>
      <c r="E115" s="31" t="str">
        <f>+INDEX([1]Detallado!$Q:$Q,MATCH($C115,[1]Detallado!$B:$B,0))</f>
        <v>ALT</v>
      </c>
      <c r="F115" s="185" t="s">
        <v>4353</v>
      </c>
      <c r="G115" s="186" t="str">
        <f t="shared" si="2"/>
        <v>53ALT</v>
      </c>
      <c r="H115" s="187" t="str">
        <f>+INDEX([1]Detallado!$D:$D,MATCH(C115,[1]Detallado!$B:$B,0))</f>
        <v>Partners Group Real Estate Secondary 2017 (USD) D, L.P. Inc.</v>
      </c>
      <c r="I115" s="28"/>
      <c r="J115" s="184" t="str">
        <f t="shared" si="3"/>
        <v>ALT</v>
      </c>
      <c r="O115" s="28" t="s">
        <v>4628</v>
      </c>
      <c r="P115" s="28" t="s">
        <v>4895</v>
      </c>
    </row>
    <row r="116" spans="3:16" x14ac:dyDescent="0.25">
      <c r="C116" s="28" t="s">
        <v>813</v>
      </c>
      <c r="D116" s="188" t="str">
        <f>+INDEX([1]Detallado!$F:$F,MATCH($C116,[1]Detallado!$B:$B,0))</f>
        <v>Alternativos</v>
      </c>
      <c r="E116" s="31" t="str">
        <f>+INDEX([1]Detallado!$Q:$Q,MATCH($C116,[1]Detallado!$B:$B,0))</f>
        <v>ALT</v>
      </c>
      <c r="F116" s="185" t="s">
        <v>4353</v>
      </c>
      <c r="G116" s="186" t="str">
        <f t="shared" si="2"/>
        <v>53ALT</v>
      </c>
      <c r="H116" s="187" t="str">
        <f>+INDEX([1]Detallado!$D:$D,MATCH(C116,[1]Detallado!$B:$B,0))</f>
        <v>Blackstone Real Estate Associates Europe VI</v>
      </c>
      <c r="I116" s="28"/>
      <c r="J116" s="184" t="str">
        <f t="shared" si="3"/>
        <v>ALT</v>
      </c>
      <c r="O116" s="28" t="s">
        <v>4903</v>
      </c>
      <c r="P116" s="28" t="s">
        <v>4896</v>
      </c>
    </row>
    <row r="117" spans="3:16" x14ac:dyDescent="0.25">
      <c r="C117" s="28" t="s">
        <v>2907</v>
      </c>
      <c r="D117" s="188" t="str">
        <f>+INDEX([1]Detallado!$F:$F,MATCH($C117,[1]Detallado!$B:$B,0))</f>
        <v>Alternativos</v>
      </c>
      <c r="E117" s="31" t="str">
        <f>+INDEX([1]Detallado!$Q:$Q,MATCH($C117,[1]Detallado!$B:$B,0))</f>
        <v>ALT</v>
      </c>
      <c r="F117" s="185" t="s">
        <v>4353</v>
      </c>
      <c r="G117" s="186" t="str">
        <f t="shared" si="2"/>
        <v>51ALT</v>
      </c>
      <c r="H117" s="187" t="str">
        <f>+INDEX([1]Detallado!$D:$D,MATCH(C117,[1]Detallado!$B:$B,0))</f>
        <v>AC Capitales - Infraestructura</v>
      </c>
      <c r="I117" s="28"/>
      <c r="J117" s="184" t="str">
        <f t="shared" si="3"/>
        <v>ALT</v>
      </c>
      <c r="O117" s="28" t="s">
        <v>4903</v>
      </c>
      <c r="P117" s="28" t="s">
        <v>4896</v>
      </c>
    </row>
    <row r="118" spans="3:16" x14ac:dyDescent="0.25">
      <c r="C118" s="28" t="s">
        <v>564</v>
      </c>
      <c r="D118" s="188" t="str">
        <f>+INDEX([1]Detallado!$F:$F,MATCH($C118,[1]Detallado!$B:$B,0))</f>
        <v>Alternativos</v>
      </c>
      <c r="E118" s="31" t="str">
        <f>+INDEX([1]Detallado!$Q:$Q,MATCH($C118,[1]Detallado!$B:$B,0))</f>
        <v>ALT</v>
      </c>
      <c r="F118" s="185" t="s">
        <v>4353</v>
      </c>
      <c r="G118" s="186" t="str">
        <f t="shared" si="2"/>
        <v>51ALT</v>
      </c>
      <c r="H118" s="187" t="str">
        <f>+INDEX([1]Detallado!$D:$D,MATCH(C118,[1]Detallado!$B:$B,0))</f>
        <v>AC Capitales - Infraestructura</v>
      </c>
      <c r="I118" s="28"/>
      <c r="J118" s="184" t="str">
        <f t="shared" si="3"/>
        <v>ALT</v>
      </c>
      <c r="O118" s="28" t="s">
        <v>4903</v>
      </c>
      <c r="P118" s="28" t="s">
        <v>4896</v>
      </c>
    </row>
    <row r="119" spans="3:16" x14ac:dyDescent="0.25">
      <c r="C119" s="28" t="s">
        <v>559</v>
      </c>
      <c r="D119" s="188" t="str">
        <f>+INDEX([1]Detallado!$F:$F,MATCH($C119,[1]Detallado!$B:$B,0))</f>
        <v>Alternativos</v>
      </c>
      <c r="E119" s="31" t="str">
        <f>+INDEX([1]Detallado!$Q:$Q,MATCH($C119,[1]Detallado!$B:$B,0))</f>
        <v>ALT</v>
      </c>
      <c r="F119" s="185" t="s">
        <v>4353</v>
      </c>
      <c r="G119" s="186" t="str">
        <f t="shared" si="2"/>
        <v>51ALT</v>
      </c>
      <c r="H119" s="187" t="str">
        <f>+INDEX([1]Detallado!$D:$D,MATCH(C119,[1]Detallado!$B:$B,0))</f>
        <v>AC Capitales - Infraestructura II</v>
      </c>
      <c r="I119" s="28"/>
      <c r="J119" s="184" t="str">
        <f t="shared" si="3"/>
        <v>ALT</v>
      </c>
      <c r="O119" s="28" t="s">
        <v>4903</v>
      </c>
      <c r="P119" s="28" t="s">
        <v>4896</v>
      </c>
    </row>
    <row r="120" spans="3:16" x14ac:dyDescent="0.25">
      <c r="C120" s="28" t="s">
        <v>584</v>
      </c>
      <c r="D120" s="188" t="str">
        <f>+INDEX([1]Detallado!$F:$F,MATCH($C120,[1]Detallado!$B:$B,0))</f>
        <v>Alternativos</v>
      </c>
      <c r="E120" s="31" t="str">
        <f>+INDEX([1]Detallado!$Q:$Q,MATCH($C120,[1]Detallado!$B:$B,0))</f>
        <v>ALT</v>
      </c>
      <c r="F120" s="185" t="s">
        <v>4353</v>
      </c>
      <c r="G120" s="186" t="str">
        <f t="shared" si="2"/>
        <v>51ALT</v>
      </c>
      <c r="H120" s="187" t="str">
        <f>+INDEX([1]Detallado!$D:$D,MATCH(C120,[1]Detallado!$B:$B,0))</f>
        <v>Sigma- Infraestructura</v>
      </c>
      <c r="I120" s="28"/>
      <c r="J120" s="184" t="str">
        <f t="shared" si="3"/>
        <v>ALT</v>
      </c>
      <c r="O120" s="28" t="s">
        <v>4540</v>
      </c>
      <c r="P120" s="28" t="s">
        <v>4898</v>
      </c>
    </row>
    <row r="121" spans="3:16" x14ac:dyDescent="0.25">
      <c r="C121" s="28" t="s">
        <v>556</v>
      </c>
      <c r="D121" s="188" t="str">
        <f>+INDEX([1]Detallado!$F:$F,MATCH($C121,[1]Detallado!$B:$B,0))</f>
        <v>Alternativos</v>
      </c>
      <c r="E121" s="31" t="str">
        <f>+INDEX([1]Detallado!$Q:$Q,MATCH($C121,[1]Detallado!$B:$B,0))</f>
        <v>ALT</v>
      </c>
      <c r="F121" s="185" t="s">
        <v>4353</v>
      </c>
      <c r="G121" s="186" t="str">
        <f t="shared" si="2"/>
        <v>51ALT</v>
      </c>
      <c r="H121" s="187" t="str">
        <f>+INDEX([1]Detallado!$D:$D,MATCH(C121,[1]Detallado!$B:$B,0))</f>
        <v>Sura Credicorp Infraestructura</v>
      </c>
      <c r="I121" s="28"/>
      <c r="J121" s="184" t="str">
        <f t="shared" si="3"/>
        <v>ALT</v>
      </c>
      <c r="O121" s="28" t="s">
        <v>4540</v>
      </c>
      <c r="P121" s="28" t="s">
        <v>4898</v>
      </c>
    </row>
    <row r="122" spans="3:16" x14ac:dyDescent="0.25">
      <c r="C122" s="28" t="s">
        <v>2908</v>
      </c>
      <c r="D122" s="188" t="str">
        <f>+INDEX([1]Detallado!$F:$F,MATCH($C122,[1]Detallado!$B:$B,0))</f>
        <v>Alternativos</v>
      </c>
      <c r="E122" s="31" t="str">
        <f>+INDEX([1]Detallado!$Q:$Q,MATCH($C122,[1]Detallado!$B:$B,0))</f>
        <v>ALT</v>
      </c>
      <c r="F122" s="185" t="s">
        <v>4353</v>
      </c>
      <c r="G122" s="186" t="str">
        <f t="shared" si="2"/>
        <v>51ALT</v>
      </c>
      <c r="H122" s="187" t="str">
        <f>+INDEX([1]Detallado!$D:$D,MATCH(C122,[1]Detallado!$B:$B,0))</f>
        <v>Brookfield - Infraestructura</v>
      </c>
      <c r="I122" s="28"/>
      <c r="J122" s="184" t="str">
        <f t="shared" si="3"/>
        <v>ALT</v>
      </c>
      <c r="O122" s="28" t="s">
        <v>4540</v>
      </c>
      <c r="P122" s="28" t="s">
        <v>4898</v>
      </c>
    </row>
    <row r="123" spans="3:16" x14ac:dyDescent="0.25">
      <c r="C123" s="28" t="s">
        <v>817</v>
      </c>
      <c r="D123" s="188" t="str">
        <f>+INDEX([1]Detallado!$F:$F,MATCH($C123,[1]Detallado!$B:$B,0))</f>
        <v>Alternativos</v>
      </c>
      <c r="E123" s="31" t="str">
        <f>+INDEX([1]Detallado!$Q:$Q,MATCH($C123,[1]Detallado!$B:$B,0))</f>
        <v>ALT</v>
      </c>
      <c r="F123" s="185" t="s">
        <v>4353</v>
      </c>
      <c r="G123" s="186" t="str">
        <f t="shared" si="2"/>
        <v>53ALT</v>
      </c>
      <c r="H123" s="187" t="str">
        <f>+INDEX([1]Detallado!$D:$D,MATCH(C123,[1]Detallado!$B:$B,0))</f>
        <v>LarraínVial - Energía I</v>
      </c>
      <c r="I123" s="28"/>
      <c r="J123" s="184" t="str">
        <f t="shared" si="3"/>
        <v>ALT</v>
      </c>
      <c r="O123" s="28" t="s">
        <v>4540</v>
      </c>
      <c r="P123" s="28" t="s">
        <v>4898</v>
      </c>
    </row>
    <row r="124" spans="3:16" x14ac:dyDescent="0.25">
      <c r="C124" s="28" t="s">
        <v>2909</v>
      </c>
      <c r="D124" s="188" t="str">
        <f>+INDEX([1]Detallado!$F:$F,MATCH($C124,[1]Detallado!$B:$B,0))</f>
        <v>Alternativos</v>
      </c>
      <c r="E124" s="31" t="str">
        <f>+INDEX([1]Detallado!$Q:$Q,MATCH($C124,[1]Detallado!$B:$B,0))</f>
        <v>ALT</v>
      </c>
      <c r="F124" s="185" t="s">
        <v>4353</v>
      </c>
      <c r="G124" s="186" t="str">
        <f t="shared" si="2"/>
        <v>53ALT</v>
      </c>
      <c r="H124" s="187" t="str">
        <f>+INDEX([1]Detallado!$D:$D,MATCH(C124,[1]Detallado!$B:$B,0))</f>
        <v>ARCM - ARC Fund I</v>
      </c>
      <c r="I124" s="28"/>
      <c r="J124" s="184" t="str">
        <f t="shared" si="3"/>
        <v>ALT</v>
      </c>
      <c r="O124" s="28" t="s">
        <v>4540</v>
      </c>
      <c r="P124" s="28" t="s">
        <v>4898</v>
      </c>
    </row>
    <row r="125" spans="3:16" x14ac:dyDescent="0.25">
      <c r="C125" s="28" t="s">
        <v>744</v>
      </c>
      <c r="D125" s="188" t="str">
        <f>+INDEX([1]Detallado!$F:$F,MATCH($C125,[1]Detallado!$B:$B,0))</f>
        <v>Alternativos</v>
      </c>
      <c r="E125" s="31" t="str">
        <f>+INDEX([1]Detallado!$Q:$Q,MATCH($C125,[1]Detallado!$B:$B,0))</f>
        <v>ALT</v>
      </c>
      <c r="F125" s="185" t="s">
        <v>4353</v>
      </c>
      <c r="G125" s="186" t="str">
        <f t="shared" si="2"/>
        <v>53ALT</v>
      </c>
      <c r="H125" s="187" t="str">
        <f>+INDEX([1]Detallado!$D:$D,MATCH(C125,[1]Detallado!$B:$B,0))</f>
        <v>ARCM - ARC Fund II</v>
      </c>
      <c r="I125" s="28"/>
      <c r="J125" s="184" t="str">
        <f t="shared" si="3"/>
        <v>ALT</v>
      </c>
      <c r="O125" s="28" t="s">
        <v>4540</v>
      </c>
      <c r="P125" s="28" t="s">
        <v>4898</v>
      </c>
    </row>
    <row r="126" spans="3:16" x14ac:dyDescent="0.25">
      <c r="C126" s="28" t="s">
        <v>2910</v>
      </c>
      <c r="D126" s="188" t="str">
        <f>+INDEX([1]Detallado!$F:$F,MATCH($C126,[1]Detallado!$B:$B,0))</f>
        <v>Alternativos</v>
      </c>
      <c r="E126" s="31" t="str">
        <f>+INDEX([1]Detallado!$Q:$Q,MATCH($C126,[1]Detallado!$B:$B,0))</f>
        <v>ALT</v>
      </c>
      <c r="F126" s="185" t="s">
        <v>4353</v>
      </c>
      <c r="G126" s="186" t="str">
        <f t="shared" si="2"/>
        <v>51ALT</v>
      </c>
      <c r="H126" s="187" t="str">
        <f>+INDEX([1]Detallado!$D:$D,MATCH(C126,[1]Detallado!$B:$B,0))</f>
        <v>Summa - Mezzanine</v>
      </c>
      <c r="I126" s="28"/>
      <c r="J126" s="184" t="str">
        <f t="shared" si="3"/>
        <v>ALT</v>
      </c>
      <c r="O126" s="28" t="s">
        <v>4440</v>
      </c>
      <c r="P126" s="28" t="s">
        <v>4898</v>
      </c>
    </row>
    <row r="127" spans="3:16" x14ac:dyDescent="0.25">
      <c r="C127" s="28" t="s">
        <v>534</v>
      </c>
      <c r="D127" s="188" t="str">
        <f>+INDEX([1]Detallado!$F:$F,MATCH($C127,[1]Detallado!$B:$B,0))</f>
        <v>Alternativos</v>
      </c>
      <c r="E127" s="31" t="str">
        <f>+INDEX([1]Detallado!$Q:$Q,MATCH($C127,[1]Detallado!$B:$B,0))</f>
        <v>ALT</v>
      </c>
      <c r="F127" s="185" t="s">
        <v>4353</v>
      </c>
      <c r="G127" s="186" t="str">
        <f t="shared" si="2"/>
        <v>48ALT</v>
      </c>
      <c r="H127" s="187" t="str">
        <f>+INDEX([1]Detallado!$D:$D,MATCH(C127,[1]Detallado!$B:$B,0))</f>
        <v>Carlyle Peru</v>
      </c>
      <c r="I127" s="28"/>
      <c r="J127" s="184" t="str">
        <f t="shared" si="3"/>
        <v>ALT</v>
      </c>
      <c r="O127" s="28" t="s">
        <v>4440</v>
      </c>
      <c r="P127" s="28" t="s">
        <v>4898</v>
      </c>
    </row>
    <row r="128" spans="3:16" x14ac:dyDescent="0.25">
      <c r="C128" s="28" t="s">
        <v>2911</v>
      </c>
      <c r="D128" s="188" t="str">
        <f>+INDEX([1]Detallado!$F:$F,MATCH($C128,[1]Detallado!$B:$B,0))</f>
        <v>Alternativos</v>
      </c>
      <c r="E128" s="31" t="str">
        <f>+INDEX([1]Detallado!$Q:$Q,MATCH($C128,[1]Detallado!$B:$B,0))</f>
        <v>ALT</v>
      </c>
      <c r="F128" s="185" t="s">
        <v>4353</v>
      </c>
      <c r="G128" s="186" t="str">
        <f t="shared" si="2"/>
        <v>51ALT</v>
      </c>
      <c r="H128" s="187" t="str">
        <f>+INDEX([1]Detallado!$D:$D,MATCH(C128,[1]Detallado!$B:$B,0))</f>
        <v>Effic Partners - Latam</v>
      </c>
      <c r="I128" s="28"/>
      <c r="J128" s="184" t="str">
        <f t="shared" si="3"/>
        <v>ALT</v>
      </c>
      <c r="O128" s="28" t="s">
        <v>4440</v>
      </c>
      <c r="P128" s="28" t="s">
        <v>4898</v>
      </c>
    </row>
    <row r="129" spans="3:16" x14ac:dyDescent="0.25">
      <c r="C129" s="28" t="s">
        <v>2912</v>
      </c>
      <c r="D129" s="188" t="str">
        <f>+INDEX([1]Detallado!$F:$F,MATCH($C129,[1]Detallado!$B:$B,0))</f>
        <v>Alternativos</v>
      </c>
      <c r="E129" s="31" t="str">
        <f>+INDEX([1]Detallado!$Q:$Q,MATCH($C129,[1]Detallado!$B:$B,0))</f>
        <v>ALT</v>
      </c>
      <c r="F129" s="185" t="s">
        <v>4353</v>
      </c>
      <c r="G129" s="186" t="str">
        <f t="shared" si="2"/>
        <v>51ALT</v>
      </c>
      <c r="H129" s="187" t="str">
        <f>+INDEX([1]Detallado!$D:$D,MATCH(C129,[1]Detallado!$B:$B,0))</f>
        <v>Access Seaf - Latam</v>
      </c>
      <c r="I129" s="28"/>
      <c r="J129" s="184" t="str">
        <f t="shared" si="3"/>
        <v>ALT</v>
      </c>
      <c r="O129" s="28" t="s">
        <v>4440</v>
      </c>
      <c r="P129" s="28" t="s">
        <v>4898</v>
      </c>
    </row>
    <row r="130" spans="3:16" x14ac:dyDescent="0.25">
      <c r="C130" s="28" t="s">
        <v>2913</v>
      </c>
      <c r="D130" s="188" t="str">
        <f>+INDEX([1]Detallado!$F:$F,MATCH($C130,[1]Detallado!$B:$B,0))</f>
        <v>Alternativos</v>
      </c>
      <c r="E130" s="31" t="str">
        <f>+INDEX([1]Detallado!$Q:$Q,MATCH($C130,[1]Detallado!$B:$B,0))</f>
        <v>ALT</v>
      </c>
      <c r="F130" s="185" t="s">
        <v>4353</v>
      </c>
      <c r="G130" s="186" t="str">
        <f t="shared" si="2"/>
        <v>51ALT</v>
      </c>
      <c r="H130" s="187" t="str">
        <f>+INDEX([1]Detallado!$D:$D,MATCH(C130,[1]Detallado!$B:$B,0))</f>
        <v>Summa - Trasandino</v>
      </c>
      <c r="I130" s="28"/>
      <c r="J130" s="184" t="str">
        <f t="shared" si="3"/>
        <v>ALT</v>
      </c>
      <c r="O130" s="28" t="s">
        <v>4560</v>
      </c>
      <c r="P130" s="28" t="s">
        <v>4896</v>
      </c>
    </row>
    <row r="131" spans="3:16" x14ac:dyDescent="0.25">
      <c r="C131" s="28" t="s">
        <v>2914</v>
      </c>
      <c r="D131" s="188" t="str">
        <f>+INDEX([1]Detallado!$F:$F,MATCH($C131,[1]Detallado!$B:$B,0))</f>
        <v>Alternativos</v>
      </c>
      <c r="E131" s="31" t="str">
        <f>+INDEX([1]Detallado!$Q:$Q,MATCH($C131,[1]Detallado!$B:$B,0))</f>
        <v>ALT</v>
      </c>
      <c r="F131" s="185" t="s">
        <v>4353</v>
      </c>
      <c r="G131" s="186" t="str">
        <f t="shared" si="2"/>
        <v>51ALT</v>
      </c>
      <c r="H131" s="187" t="str">
        <f>+INDEX([1]Detallado!$D:$D,MATCH(C131,[1]Detallado!$B:$B,0))</f>
        <v>Access Seaf - Trasandino</v>
      </c>
      <c r="I131" s="28"/>
      <c r="J131" s="184" t="str">
        <f t="shared" si="3"/>
        <v>ALT</v>
      </c>
      <c r="O131" s="28" t="s">
        <v>4560</v>
      </c>
      <c r="P131" s="28" t="s">
        <v>4896</v>
      </c>
    </row>
    <row r="132" spans="3:16" x14ac:dyDescent="0.25">
      <c r="C132" s="28" t="s">
        <v>2915</v>
      </c>
      <c r="D132" s="188" t="str">
        <f>+INDEX([1]Detallado!$F:$F,MATCH($C132,[1]Detallado!$B:$B,0))</f>
        <v>Alternativos</v>
      </c>
      <c r="E132" s="31" t="str">
        <f>+INDEX([1]Detallado!$Q:$Q,MATCH($C132,[1]Detallado!$B:$B,0))</f>
        <v>ALT</v>
      </c>
      <c r="F132" s="185" t="s">
        <v>4353</v>
      </c>
      <c r="G132" s="186" t="str">
        <f t="shared" si="2"/>
        <v>51ALT</v>
      </c>
      <c r="H132" s="187" t="str">
        <f>+INDEX([1]Detallado!$D:$D,MATCH(C132,[1]Detallado!$B:$B,0))</f>
        <v>Enfoca - Descubridor I</v>
      </c>
      <c r="I132" s="28"/>
      <c r="J132" s="184" t="str">
        <f t="shared" si="3"/>
        <v>ALT</v>
      </c>
      <c r="O132" s="28" t="s">
        <v>4529</v>
      </c>
      <c r="P132" s="28" t="s">
        <v>4898</v>
      </c>
    </row>
    <row r="133" spans="3:16" x14ac:dyDescent="0.25">
      <c r="C133" s="28" t="s">
        <v>2916</v>
      </c>
      <c r="D133" s="188" t="str">
        <f>+INDEX([1]Detallado!$F:$F,MATCH($C133,[1]Detallado!$B:$B,0))</f>
        <v>Alternativos</v>
      </c>
      <c r="E133" s="31" t="str">
        <f>+INDEX([1]Detallado!$Q:$Q,MATCH($C133,[1]Detallado!$B:$B,0))</f>
        <v>ALT</v>
      </c>
      <c r="F133" s="185" t="s">
        <v>4353</v>
      </c>
      <c r="G133" s="186" t="str">
        <f t="shared" si="2"/>
        <v>51ALT</v>
      </c>
      <c r="H133" s="187" t="str">
        <f>+INDEX([1]Detallado!$D:$D,MATCH(C133,[1]Detallado!$B:$B,0))</f>
        <v>Enfoca - Descubridor II</v>
      </c>
      <c r="I133" s="28"/>
      <c r="J133" s="184" t="str">
        <f t="shared" si="3"/>
        <v>ALT</v>
      </c>
      <c r="O133" s="28" t="s">
        <v>4904</v>
      </c>
      <c r="P133" s="28" t="s">
        <v>4898</v>
      </c>
    </row>
    <row r="134" spans="3:16" x14ac:dyDescent="0.25">
      <c r="C134" s="28" t="s">
        <v>2917</v>
      </c>
      <c r="D134" s="188" t="str">
        <f>+INDEX([1]Detallado!$F:$F,MATCH($C134,[1]Detallado!$B:$B,0))</f>
        <v>Alternativos</v>
      </c>
      <c r="E134" s="31" t="str">
        <f>+INDEX([1]Detallado!$Q:$Q,MATCH($C134,[1]Detallado!$B:$B,0))</f>
        <v>ALT</v>
      </c>
      <c r="F134" s="185" t="s">
        <v>4353</v>
      </c>
      <c r="G134" s="186" t="str">
        <f t="shared" si="2"/>
        <v>51ALT</v>
      </c>
      <c r="H134" s="187" t="str">
        <f>+INDEX([1]Detallado!$D:$D,MATCH(C134,[1]Detallado!$B:$B,0))</f>
        <v>Enfoca - Discovery I</v>
      </c>
      <c r="I134" s="28"/>
      <c r="J134" s="184" t="str">
        <f t="shared" si="3"/>
        <v>ALT</v>
      </c>
      <c r="O134" s="28" t="s">
        <v>4481</v>
      </c>
      <c r="P134" s="28" t="s">
        <v>1324</v>
      </c>
    </row>
    <row r="135" spans="3:16" x14ac:dyDescent="0.25">
      <c r="C135" s="28" t="s">
        <v>551</v>
      </c>
      <c r="D135" s="188" t="str">
        <f>+INDEX([1]Detallado!$F:$F,MATCH($C135,[1]Detallado!$B:$B,0))</f>
        <v>Alternativos</v>
      </c>
      <c r="E135" s="31" t="str">
        <f>+INDEX([1]Detallado!$Q:$Q,MATCH($C135,[1]Detallado!$B:$B,0))</f>
        <v>ALT</v>
      </c>
      <c r="F135" s="185" t="s">
        <v>4353</v>
      </c>
      <c r="G135" s="186" t="str">
        <f t="shared" si="2"/>
        <v>51ALT</v>
      </c>
      <c r="H135" s="187" t="str">
        <f>+INDEX([1]Detallado!$D:$D,MATCH(C135,[1]Detallado!$B:$B,0))</f>
        <v>Kandeo - II Private Equity</v>
      </c>
      <c r="I135" s="28"/>
      <c r="J135" s="184" t="str">
        <f t="shared" si="3"/>
        <v>ALT</v>
      </c>
      <c r="O135" s="28" t="s">
        <v>4612</v>
      </c>
      <c r="P135" s="28" t="s">
        <v>4895</v>
      </c>
    </row>
    <row r="136" spans="3:16" x14ac:dyDescent="0.25">
      <c r="C136" s="28" t="s">
        <v>549</v>
      </c>
      <c r="D136" s="188" t="str">
        <f>+INDEX([1]Detallado!$F:$F,MATCH($C136,[1]Detallado!$B:$B,0))</f>
        <v>Alternativos</v>
      </c>
      <c r="E136" s="31" t="str">
        <f>+INDEX([1]Detallado!$Q:$Q,MATCH($C136,[1]Detallado!$B:$B,0))</f>
        <v>ALT</v>
      </c>
      <c r="F136" s="185" t="s">
        <v>4353</v>
      </c>
      <c r="G136" s="186" t="str">
        <f t="shared" si="2"/>
        <v>51ALT</v>
      </c>
      <c r="H136" s="187" t="str">
        <f>+INDEX([1]Detallado!$D:$D,MATCH(C136,[1]Detallado!$B:$B,0))</f>
        <v>Macrocapitales - Fortaleza</v>
      </c>
      <c r="I136" s="28"/>
      <c r="J136" s="184" t="str">
        <f t="shared" si="3"/>
        <v>ALT</v>
      </c>
      <c r="O136" s="28" t="s">
        <v>4473</v>
      </c>
      <c r="P136" s="28" t="s">
        <v>4902</v>
      </c>
    </row>
    <row r="137" spans="3:16" x14ac:dyDescent="0.25">
      <c r="C137" s="28" t="s">
        <v>576</v>
      </c>
      <c r="D137" s="188" t="str">
        <f>+INDEX([1]Detallado!$F:$F,MATCH($C137,[1]Detallado!$B:$B,0))</f>
        <v>Alternativos</v>
      </c>
      <c r="E137" s="31" t="str">
        <f>+INDEX([1]Detallado!$Q:$Q,MATCH($C137,[1]Detallado!$B:$B,0))</f>
        <v>ALT</v>
      </c>
      <c r="F137" s="185" t="s">
        <v>4353</v>
      </c>
      <c r="G137" s="186" t="str">
        <f t="shared" si="2"/>
        <v>51ALT</v>
      </c>
      <c r="H137" s="187" t="str">
        <f>+INDEX([1]Detallado!$D:$D,MATCH(C137,[1]Detallado!$B:$B,0))</f>
        <v xml:space="preserve">Faro Capital - Fondo de Inversión Retail </v>
      </c>
      <c r="I137" s="28"/>
      <c r="J137" s="184" t="str">
        <f t="shared" si="3"/>
        <v>ALT</v>
      </c>
      <c r="O137" s="28" t="s">
        <v>4464</v>
      </c>
      <c r="P137" s="28" t="s">
        <v>1324</v>
      </c>
    </row>
    <row r="138" spans="3:16" x14ac:dyDescent="0.25">
      <c r="C138" s="28" t="s">
        <v>2918</v>
      </c>
      <c r="D138" s="188" t="str">
        <f>+INDEX([1]Detallado!$F:$F,MATCH($C138,[1]Detallado!$B:$B,0))</f>
        <v>Alternativos</v>
      </c>
      <c r="E138" s="31" t="str">
        <f>+INDEX([1]Detallado!$Q:$Q,MATCH($C138,[1]Detallado!$B:$B,0))</f>
        <v>ALT</v>
      </c>
      <c r="F138" s="185" t="s">
        <v>4353</v>
      </c>
      <c r="G138" s="186" t="str">
        <f t="shared" ref="G138:G201" si="4">LEFT(C138,2)&amp;E138</f>
        <v>51ALT</v>
      </c>
      <c r="H138" s="187" t="str">
        <f>+INDEX([1]Detallado!$D:$D,MATCH(C138,[1]Detallado!$B:$B,0))</f>
        <v>Faro - Capital Privado</v>
      </c>
      <c r="I138" s="28"/>
      <c r="J138" s="184" t="str">
        <f t="shared" ref="J138:J201" si="5">IF(E138="ALT",LEFT(E138,3),LEFT(E138,3)&amp;F138)</f>
        <v>ALT</v>
      </c>
      <c r="O138" s="28" t="s">
        <v>4464</v>
      </c>
      <c r="P138" s="28" t="s">
        <v>1324</v>
      </c>
    </row>
    <row r="139" spans="3:16" x14ac:dyDescent="0.25">
      <c r="C139" s="28" t="s">
        <v>571</v>
      </c>
      <c r="D139" s="188" t="str">
        <f>+INDEX([1]Detallado!$F:$F,MATCH($C139,[1]Detallado!$B:$B,0))</f>
        <v>Alternativos</v>
      </c>
      <c r="E139" s="31" t="str">
        <f>+INDEX([1]Detallado!$Q:$Q,MATCH($C139,[1]Detallado!$B:$B,0))</f>
        <v>ALT</v>
      </c>
      <c r="F139" s="185" t="s">
        <v>4353</v>
      </c>
      <c r="G139" s="186" t="str">
        <f t="shared" si="4"/>
        <v>51ALT</v>
      </c>
      <c r="H139" s="187" t="str">
        <f>+INDEX([1]Detallado!$D:$D,MATCH(C139,[1]Detallado!$B:$B,0))</f>
        <v>Enfoca - Descubridor 1</v>
      </c>
      <c r="I139" s="28"/>
      <c r="J139" s="184" t="str">
        <f t="shared" si="5"/>
        <v>ALT</v>
      </c>
      <c r="O139" s="28" t="s">
        <v>4464</v>
      </c>
      <c r="P139" s="28" t="s">
        <v>1324</v>
      </c>
    </row>
    <row r="140" spans="3:16" x14ac:dyDescent="0.25">
      <c r="C140" s="28" t="s">
        <v>574</v>
      </c>
      <c r="D140" s="188" t="str">
        <f>+INDEX([1]Detallado!$F:$F,MATCH($C140,[1]Detallado!$B:$B,0))</f>
        <v>Alternativos</v>
      </c>
      <c r="E140" s="31" t="str">
        <f>+INDEX([1]Detallado!$Q:$Q,MATCH($C140,[1]Detallado!$B:$B,0))</f>
        <v>ALT</v>
      </c>
      <c r="F140" s="185" t="s">
        <v>4353</v>
      </c>
      <c r="G140" s="186" t="str">
        <f t="shared" si="4"/>
        <v>51ALT</v>
      </c>
      <c r="H140" s="187" t="str">
        <f>+INDEX([1]Detallado!$D:$D,MATCH(C140,[1]Detallado!$B:$B,0))</f>
        <v>Enfoca - Descubridor 2</v>
      </c>
      <c r="I140" s="28"/>
      <c r="J140" s="184" t="str">
        <f t="shared" si="5"/>
        <v>ALT</v>
      </c>
      <c r="O140" s="28" t="s">
        <v>4464</v>
      </c>
      <c r="P140" s="28" t="s">
        <v>1324</v>
      </c>
    </row>
    <row r="141" spans="3:16" x14ac:dyDescent="0.25">
      <c r="C141" s="28" t="s">
        <v>568</v>
      </c>
      <c r="D141" s="188" t="str">
        <f>+INDEX([1]Detallado!$F:$F,MATCH($C141,[1]Detallado!$B:$B,0))</f>
        <v>Alternativos</v>
      </c>
      <c r="E141" s="31" t="str">
        <f>+INDEX([1]Detallado!$Q:$Q,MATCH($C141,[1]Detallado!$B:$B,0))</f>
        <v>ALT</v>
      </c>
      <c r="F141" s="185" t="s">
        <v>4353</v>
      </c>
      <c r="G141" s="186" t="str">
        <f t="shared" si="4"/>
        <v>51ALT</v>
      </c>
      <c r="H141" s="187" t="str">
        <f>+INDEX([1]Detallado!$D:$D,MATCH(C141,[1]Detallado!$B:$B,0))</f>
        <v>BCP Fondo Inmobiliario</v>
      </c>
      <c r="I141" s="28"/>
      <c r="J141" s="184" t="str">
        <f t="shared" si="5"/>
        <v>ALT</v>
      </c>
      <c r="O141" s="28" t="s">
        <v>4464</v>
      </c>
      <c r="P141" s="28" t="s">
        <v>1324</v>
      </c>
    </row>
    <row r="142" spans="3:16" x14ac:dyDescent="0.25">
      <c r="C142" s="28" t="s">
        <v>2919</v>
      </c>
      <c r="D142" s="188" t="str">
        <f>+INDEX([1]Detallado!$F:$F,MATCH($C142,[1]Detallado!$B:$B,0))</f>
        <v>Alternativos</v>
      </c>
      <c r="E142" s="31" t="str">
        <f>+INDEX([1]Detallado!$Q:$Q,MATCH($C142,[1]Detallado!$B:$B,0))</f>
        <v>ALT</v>
      </c>
      <c r="F142" s="185" t="s">
        <v>4353</v>
      </c>
      <c r="G142" s="186" t="str">
        <f t="shared" si="4"/>
        <v>51ALT</v>
      </c>
      <c r="H142" s="187" t="str">
        <f>+INDEX([1]Detallado!$D:$D,MATCH(C142,[1]Detallado!$B:$B,0))</f>
        <v>Compass - Inmobiliario A</v>
      </c>
      <c r="I142" s="28"/>
      <c r="J142" s="184" t="str">
        <f t="shared" si="5"/>
        <v>ALT</v>
      </c>
      <c r="O142" s="28" t="s">
        <v>4464</v>
      </c>
      <c r="P142" s="28" t="s">
        <v>1324</v>
      </c>
    </row>
    <row r="143" spans="3:16" x14ac:dyDescent="0.25">
      <c r="C143" s="28" t="s">
        <v>566</v>
      </c>
      <c r="D143" s="188" t="str">
        <f>+INDEX([1]Detallado!$F:$F,MATCH($C143,[1]Detallado!$B:$B,0))</f>
        <v>Alternativos</v>
      </c>
      <c r="E143" s="31" t="str">
        <f>+INDEX([1]Detallado!$Q:$Q,MATCH($C143,[1]Detallado!$B:$B,0))</f>
        <v>ALT</v>
      </c>
      <c r="F143" s="185" t="s">
        <v>4353</v>
      </c>
      <c r="G143" s="186" t="str">
        <f t="shared" si="4"/>
        <v>51ALT</v>
      </c>
      <c r="H143" s="187" t="str">
        <f>+INDEX([1]Detallado!$D:$D,MATCH(C143,[1]Detallado!$B:$B,0))</f>
        <v>Compass - Inmobiliario B</v>
      </c>
      <c r="I143" s="28"/>
      <c r="J143" s="184" t="str">
        <f t="shared" si="5"/>
        <v>ALT</v>
      </c>
      <c r="O143" s="28" t="s">
        <v>4464</v>
      </c>
      <c r="P143" s="28" t="s">
        <v>1324</v>
      </c>
    </row>
    <row r="144" spans="3:16" x14ac:dyDescent="0.25">
      <c r="C144" s="28" t="s">
        <v>2920</v>
      </c>
      <c r="D144" s="188" t="str">
        <f>+INDEX([1]Detallado!$F:$F,MATCH($C144,[1]Detallado!$B:$B,0))</f>
        <v>Alternativos</v>
      </c>
      <c r="E144" s="31" t="str">
        <f>+INDEX([1]Detallado!$Q:$Q,MATCH($C144,[1]Detallado!$B:$B,0))</f>
        <v>ALT</v>
      </c>
      <c r="F144" s="185" t="s">
        <v>4353</v>
      </c>
      <c r="G144" s="186" t="str">
        <f t="shared" si="4"/>
        <v>51ALT</v>
      </c>
      <c r="H144" s="187" t="str">
        <f>+INDEX([1]Detallado!$D:$D,MATCH(C144,[1]Detallado!$B:$B,0))</f>
        <v>AC Capitales - Inmobiliario I</v>
      </c>
      <c r="I144" s="28"/>
      <c r="J144" s="184" t="str">
        <f t="shared" si="5"/>
        <v>ALT</v>
      </c>
      <c r="O144" s="28" t="s">
        <v>4464</v>
      </c>
      <c r="P144" s="28" t="s">
        <v>1324</v>
      </c>
    </row>
    <row r="145" spans="3:16" x14ac:dyDescent="0.25">
      <c r="C145" s="28" t="s">
        <v>562</v>
      </c>
      <c r="D145" s="188" t="str">
        <f>+INDEX([1]Detallado!$F:$F,MATCH($C145,[1]Detallado!$B:$B,0))</f>
        <v>Alternativos</v>
      </c>
      <c r="E145" s="31" t="str">
        <f>+INDEX([1]Detallado!$Q:$Q,MATCH($C145,[1]Detallado!$B:$B,0))</f>
        <v>ALT</v>
      </c>
      <c r="F145" s="185" t="s">
        <v>4353</v>
      </c>
      <c r="G145" s="186" t="str">
        <f t="shared" si="4"/>
        <v>51ALT</v>
      </c>
      <c r="H145" s="187" t="str">
        <f>+INDEX([1]Detallado!$D:$D,MATCH(C145,[1]Detallado!$B:$B,0))</f>
        <v>AC Capitales - Inmobiliario II</v>
      </c>
      <c r="I145" s="28"/>
      <c r="J145" s="184" t="str">
        <f t="shared" si="5"/>
        <v>ALT</v>
      </c>
      <c r="O145" s="28" t="s">
        <v>4537</v>
      </c>
      <c r="P145" s="28" t="s">
        <v>4894</v>
      </c>
    </row>
    <row r="146" spans="3:16" x14ac:dyDescent="0.25">
      <c r="C146" s="28" t="s">
        <v>580</v>
      </c>
      <c r="D146" s="188" t="str">
        <f>+INDEX([1]Detallado!$F:$F,MATCH($C146,[1]Detallado!$B:$B,0))</f>
        <v>Alternativos</v>
      </c>
      <c r="E146" s="31" t="str">
        <f>+INDEX([1]Detallado!$Q:$Q,MATCH($C146,[1]Detallado!$B:$B,0))</f>
        <v>ALT</v>
      </c>
      <c r="F146" s="185" t="s">
        <v>4353</v>
      </c>
      <c r="G146" s="186" t="str">
        <f t="shared" si="4"/>
        <v>51ALT</v>
      </c>
      <c r="H146" s="187" t="str">
        <f>+INDEX([1]Detallado!$D:$D,MATCH(C146,[1]Detallado!$B:$B,0))</f>
        <v>LarraínVial Colliers - Fibra II</v>
      </c>
      <c r="I146" s="28"/>
      <c r="J146" s="184" t="str">
        <f t="shared" si="5"/>
        <v>ALT</v>
      </c>
      <c r="O146" s="28" t="s">
        <v>4548</v>
      </c>
      <c r="P146" s="28" t="s">
        <v>4896</v>
      </c>
    </row>
    <row r="147" spans="3:16" x14ac:dyDescent="0.25">
      <c r="C147" s="28" t="s">
        <v>582</v>
      </c>
      <c r="D147" s="188" t="str">
        <f>+INDEX([1]Detallado!$F:$F,MATCH($C147,[1]Detallado!$B:$B,0))</f>
        <v>Alternativos</v>
      </c>
      <c r="E147" s="31" t="str">
        <f>+INDEX([1]Detallado!$Q:$Q,MATCH($C147,[1]Detallado!$B:$B,0))</f>
        <v>ALT</v>
      </c>
      <c r="F147" s="185" t="s">
        <v>4353</v>
      </c>
      <c r="G147" s="186" t="str">
        <f t="shared" si="4"/>
        <v>51ALT</v>
      </c>
      <c r="H147" s="187" t="str">
        <f>+INDEX([1]Detallado!$D:$D,MATCH(C147,[1]Detallado!$B:$B,0))</f>
        <v>LarraínVial Colliers - Fibra III</v>
      </c>
      <c r="I147" s="28"/>
      <c r="J147" s="184" t="str">
        <f t="shared" si="5"/>
        <v>ALT</v>
      </c>
      <c r="O147" s="28" t="s">
        <v>4548</v>
      </c>
      <c r="P147" s="28" t="s">
        <v>4896</v>
      </c>
    </row>
    <row r="148" spans="3:16" x14ac:dyDescent="0.25">
      <c r="C148" s="28" t="s">
        <v>2921</v>
      </c>
      <c r="D148" s="188" t="str">
        <f>+INDEX([1]Detallado!$F:$F,MATCH($C148,[1]Detallado!$B:$B,0))</f>
        <v>Alternativos</v>
      </c>
      <c r="E148" s="31" t="str">
        <f>+INDEX([1]Detallado!$Q:$Q,MATCH($C148,[1]Detallado!$B:$B,0))</f>
        <v>ALT</v>
      </c>
      <c r="F148" s="185" t="s">
        <v>4353</v>
      </c>
      <c r="G148" s="186" t="str">
        <f t="shared" si="4"/>
        <v>51ALT</v>
      </c>
      <c r="H148" s="187" t="str">
        <f>+INDEX([1]Detallado!$D:$D,MATCH(C148,[1]Detallado!$B:$B,0))</f>
        <v>LarraínVial Colliers - Fibra I</v>
      </c>
      <c r="I148" s="28"/>
      <c r="J148" s="184" t="str">
        <f t="shared" si="5"/>
        <v>ALT</v>
      </c>
      <c r="O148" s="28" t="s">
        <v>4548</v>
      </c>
      <c r="P148" s="28" t="s">
        <v>4896</v>
      </c>
    </row>
    <row r="149" spans="3:16" x14ac:dyDescent="0.25">
      <c r="C149" s="28" t="s">
        <v>2922</v>
      </c>
      <c r="D149" s="188" t="str">
        <f>+INDEX([1]Detallado!$F:$F,MATCH($C149,[1]Detallado!$B:$B,0))</f>
        <v>Alternativos</v>
      </c>
      <c r="E149" s="31" t="str">
        <f>+INDEX([1]Detallado!$Q:$Q,MATCH($C149,[1]Detallado!$B:$B,0))</f>
        <v>ALT</v>
      </c>
      <c r="F149" s="185" t="s">
        <v>4353</v>
      </c>
      <c r="G149" s="186" t="str">
        <f t="shared" si="4"/>
        <v>51ALT</v>
      </c>
      <c r="H149" s="187" t="str">
        <f>+INDEX([1]Detallado!$D:$D,MATCH(C149,[1]Detallado!$B:$B,0))</f>
        <v>Faro - Inmobiliario I</v>
      </c>
      <c r="I149" s="28"/>
      <c r="J149" s="184" t="str">
        <f t="shared" si="5"/>
        <v>ALT</v>
      </c>
      <c r="O149" s="28" t="s">
        <v>4548</v>
      </c>
      <c r="P149" s="28" t="s">
        <v>4896</v>
      </c>
    </row>
    <row r="150" spans="3:16" x14ac:dyDescent="0.25">
      <c r="C150" s="28" t="s">
        <v>553</v>
      </c>
      <c r="D150" s="188" t="str">
        <f>+INDEX([1]Detallado!$F:$F,MATCH($C150,[1]Detallado!$B:$B,0))</f>
        <v>Alternativos</v>
      </c>
      <c r="E150" s="31" t="str">
        <f>+INDEX([1]Detallado!$Q:$Q,MATCH($C150,[1]Detallado!$B:$B,0))</f>
        <v>ALT</v>
      </c>
      <c r="F150" s="185" t="s">
        <v>4353</v>
      </c>
      <c r="G150" s="186" t="str">
        <f t="shared" si="4"/>
        <v>51ALT</v>
      </c>
      <c r="H150" s="187" t="str">
        <f>+INDEX([1]Detallado!$D:$D,MATCH(C150,[1]Detallado!$B:$B,0))</f>
        <v>W Capital - Fondo Inmobiliario</v>
      </c>
      <c r="I150" s="28"/>
      <c r="J150" s="184" t="str">
        <f t="shared" si="5"/>
        <v>ALT</v>
      </c>
      <c r="O150" s="28" t="s">
        <v>4548</v>
      </c>
      <c r="P150" s="28" t="s">
        <v>4896</v>
      </c>
    </row>
    <row r="151" spans="3:16" x14ac:dyDescent="0.25">
      <c r="C151" s="28" t="s">
        <v>2005</v>
      </c>
      <c r="D151" s="188" t="str">
        <f>+INDEX([1]Detallado!$F:$F,MATCH($C151,[1]Detallado!$B:$B,0))</f>
        <v>Renta Fija</v>
      </c>
      <c r="E151" s="31" t="str">
        <f>+INDEX([1]Detallado!$Q:$Q,MATCH($C151,[1]Detallado!$B:$B,0))</f>
        <v>RFIG</v>
      </c>
      <c r="F151" s="185" t="s">
        <v>4355</v>
      </c>
      <c r="G151" s="186" t="str">
        <f t="shared" si="4"/>
        <v>52RFIG</v>
      </c>
      <c r="H151" s="187" t="str">
        <f>+INDEX([1]Detallado!$D:$D,MATCH(C151,[1]Detallado!$B:$B,0))</f>
        <v>DWS Invest - Convertibles</v>
      </c>
      <c r="I151" s="28"/>
      <c r="J151" s="184" t="str">
        <f t="shared" si="5"/>
        <v>RFITD</v>
      </c>
      <c r="O151" s="28" t="s">
        <v>4548</v>
      </c>
      <c r="P151" s="28" t="s">
        <v>4896</v>
      </c>
    </row>
    <row r="152" spans="3:16" x14ac:dyDescent="0.25">
      <c r="C152" s="28" t="s">
        <v>2198</v>
      </c>
      <c r="D152" s="188" t="str">
        <f>+INDEX([1]Detallado!$F:$F,MATCH($C152,[1]Detallado!$B:$B,0))</f>
        <v>Renta Fija</v>
      </c>
      <c r="E152" s="31" t="str">
        <f>+INDEX([1]Detallado!$Q:$Q,MATCH($C152,[1]Detallado!$B:$B,0))</f>
        <v>RFIG</v>
      </c>
      <c r="F152" s="185" t="s">
        <v>4355</v>
      </c>
      <c r="G152" s="186" t="str">
        <f t="shared" si="4"/>
        <v>52RFIG</v>
      </c>
      <c r="H152" s="187" t="str">
        <f>+INDEX([1]Detallado!$D:$D,MATCH(C152,[1]Detallado!$B:$B,0))</f>
        <v>Franklin Templeton - Global Convertibles</v>
      </c>
      <c r="I152" s="28"/>
      <c r="J152" s="184" t="str">
        <f t="shared" si="5"/>
        <v>RFITD</v>
      </c>
      <c r="O152" s="28" t="s">
        <v>4467</v>
      </c>
      <c r="P152" s="28" t="s">
        <v>4895</v>
      </c>
    </row>
    <row r="153" spans="3:16" x14ac:dyDescent="0.25">
      <c r="C153" s="28" t="s">
        <v>1632</v>
      </c>
      <c r="D153" s="188" t="str">
        <f>+INDEX([1]Detallado!$F:$F,MATCH($C153,[1]Detallado!$B:$B,0))</f>
        <v>Renta Fija</v>
      </c>
      <c r="E153" s="31" t="str">
        <f>+INDEX([1]Detallado!$Q:$Q,MATCH($C153,[1]Detallado!$B:$B,0))</f>
        <v>RFIG</v>
      </c>
      <c r="F153" s="185" t="s">
        <v>4355</v>
      </c>
      <c r="G153" s="186" t="str">
        <f t="shared" si="4"/>
        <v>52RFIG</v>
      </c>
      <c r="H153" s="187" t="str">
        <f>+INDEX([1]Detallado!$D:$D,MATCH(C153,[1]Detallado!$B:$B,0))</f>
        <v>BlackRock - iShares Convertible Bond ETF</v>
      </c>
      <c r="I153" s="28"/>
      <c r="J153" s="184" t="str">
        <f t="shared" si="5"/>
        <v>RFITD</v>
      </c>
      <c r="O153" s="28" t="s">
        <v>4466</v>
      </c>
      <c r="P153" s="28" t="s">
        <v>4895</v>
      </c>
    </row>
    <row r="154" spans="3:16" x14ac:dyDescent="0.25">
      <c r="C154" s="28" t="s">
        <v>1855</v>
      </c>
      <c r="D154" s="188" t="str">
        <f>+INDEX([1]Detallado!$F:$F,MATCH($C154,[1]Detallado!$B:$B,0))</f>
        <v>Renta Fija</v>
      </c>
      <c r="E154" s="31" t="str">
        <f>+INDEX([1]Detallado!$Q:$Q,MATCH($C154,[1]Detallado!$B:$B,0))</f>
        <v>RFIG</v>
      </c>
      <c r="F154" s="185" t="s">
        <v>4355</v>
      </c>
      <c r="G154" s="186" t="str">
        <f t="shared" si="4"/>
        <v>52RFIG</v>
      </c>
      <c r="H154" s="187" t="str">
        <f>+INDEX([1]Detallado!$D:$D,MATCH(C154,[1]Detallado!$B:$B,0))</f>
        <v>Morgan Stanley - Global Convertible Bond Fund</v>
      </c>
      <c r="I154" s="28"/>
      <c r="J154" s="184" t="str">
        <f t="shared" si="5"/>
        <v>RFITD</v>
      </c>
      <c r="O154" s="28" t="s">
        <v>4466</v>
      </c>
      <c r="P154" s="28" t="s">
        <v>4895</v>
      </c>
    </row>
    <row r="155" spans="3:16" x14ac:dyDescent="0.25">
      <c r="C155" s="28" t="s">
        <v>1455</v>
      </c>
      <c r="D155" s="188" t="str">
        <f>+INDEX([1]Detallado!$F:$F,MATCH($C155,[1]Detallado!$B:$B,0))</f>
        <v>Renta Fija</v>
      </c>
      <c r="E155" s="31" t="str">
        <f>+INDEX([1]Detallado!$Q:$Q,MATCH($C155,[1]Detallado!$B:$B,0))</f>
        <v>RFIG</v>
      </c>
      <c r="F155" s="185" t="s">
        <v>4355</v>
      </c>
      <c r="G155" s="186" t="str">
        <f t="shared" si="4"/>
        <v>52RFIG</v>
      </c>
      <c r="H155" s="187" t="str">
        <f>+INDEX([1]Detallado!$D:$D,MATCH(C155,[1]Detallado!$B:$B,0))</f>
        <v>SSGA - Bloomberg Barclays Convertible Securities</v>
      </c>
      <c r="I155" s="28"/>
      <c r="J155" s="184" t="str">
        <f t="shared" si="5"/>
        <v>RFITD</v>
      </c>
      <c r="O155" s="28" t="s">
        <v>4905</v>
      </c>
      <c r="P155" s="28" t="s">
        <v>4898</v>
      </c>
    </row>
    <row r="156" spans="3:16" x14ac:dyDescent="0.25">
      <c r="C156" s="28" t="s">
        <v>2052</v>
      </c>
      <c r="D156" s="188" t="str">
        <f>+INDEX([1]Detallado!$F:$F,MATCH($C156,[1]Detallado!$B:$B,0))</f>
        <v>Renta Fija</v>
      </c>
      <c r="E156" s="31" t="str">
        <f>+INDEX([1]Detallado!$Q:$Q,MATCH($C156,[1]Detallado!$B:$B,0))</f>
        <v>RFIG</v>
      </c>
      <c r="F156" s="185" t="s">
        <v>4355</v>
      </c>
      <c r="G156" s="186" t="str">
        <f t="shared" si="4"/>
        <v>52RFIG</v>
      </c>
      <c r="H156" s="187" t="str">
        <f>+INDEX([1]Detallado!$D:$D,MATCH(C156,[1]Detallado!$B:$B,0))</f>
        <v>Lazard - Convertible Europe Fund</v>
      </c>
      <c r="I156" s="28"/>
      <c r="J156" s="184" t="str">
        <f t="shared" si="5"/>
        <v>RFITD</v>
      </c>
      <c r="O156" s="28" t="s">
        <v>4905</v>
      </c>
      <c r="P156" s="28" t="s">
        <v>4898</v>
      </c>
    </row>
    <row r="157" spans="3:16" x14ac:dyDescent="0.25">
      <c r="C157" s="28" t="s">
        <v>668</v>
      </c>
      <c r="D157" s="188" t="str">
        <f>+INDEX([1]Detallado!$F:$F,MATCH($C157,[1]Detallado!$B:$B,0))</f>
        <v>Renta Fija</v>
      </c>
      <c r="E157" s="31" t="str">
        <f>+INDEX([1]Detallado!$Q:$Q,MATCH($C157,[1]Detallado!$B:$B,0))</f>
        <v>RFIG</v>
      </c>
      <c r="F157" s="185" t="s">
        <v>4355</v>
      </c>
      <c r="G157" s="186" t="str">
        <f t="shared" si="4"/>
        <v>52RFIG</v>
      </c>
      <c r="H157" s="187" t="str">
        <f>+INDEX([1]Detallado!$D:$D,MATCH(C157,[1]Detallado!$B:$B,0))</f>
        <v>Lazard - Convertible Global Fund</v>
      </c>
      <c r="I157" s="28"/>
      <c r="J157" s="184" t="str">
        <f t="shared" si="5"/>
        <v>RFITD</v>
      </c>
      <c r="O157" s="28" t="s">
        <v>4905</v>
      </c>
      <c r="P157" s="28" t="s">
        <v>4898</v>
      </c>
    </row>
    <row r="158" spans="3:16" x14ac:dyDescent="0.25">
      <c r="C158" s="28" t="s">
        <v>2381</v>
      </c>
      <c r="D158" s="188" t="str">
        <f>+INDEX([1]Detallado!$F:$F,MATCH($C158,[1]Detallado!$B:$B,0))</f>
        <v>Renta Fija</v>
      </c>
      <c r="E158" s="31" t="str">
        <f>+INDEX([1]Detallado!$Q:$Q,MATCH($C158,[1]Detallado!$B:$B,0))</f>
        <v>RFIG</v>
      </c>
      <c r="F158" s="185" t="s">
        <v>4355</v>
      </c>
      <c r="G158" s="186" t="str">
        <f t="shared" si="4"/>
        <v>52RFIG</v>
      </c>
      <c r="H158" s="187" t="str">
        <f>+INDEX([1]Detallado!$D:$D,MATCH(C158,[1]Detallado!$B:$B,0))</f>
        <v>MSIM - High Yield</v>
      </c>
      <c r="I158" s="28"/>
      <c r="J158" s="184" t="str">
        <f t="shared" si="5"/>
        <v>RFITD</v>
      </c>
      <c r="O158" s="28" t="s">
        <v>4906</v>
      </c>
      <c r="P158" s="28" t="s">
        <v>4902</v>
      </c>
    </row>
    <row r="159" spans="3:16" x14ac:dyDescent="0.25">
      <c r="C159" s="28" t="s">
        <v>2924</v>
      </c>
      <c r="D159" s="188" t="str">
        <f>+INDEX([1]Detallado!$F:$F,MATCH($C159,[1]Detallado!$B:$B,0))</f>
        <v>Renta Fija</v>
      </c>
      <c r="E159" s="31" t="str">
        <f>+INDEX([1]Detallado!$Q:$Q,MATCH($C159,[1]Detallado!$B:$B,0))</f>
        <v>RFIG</v>
      </c>
      <c r="F159" s="185" t="s">
        <v>4355</v>
      </c>
      <c r="G159" s="186" t="str">
        <f t="shared" si="4"/>
        <v>52RFIG</v>
      </c>
      <c r="H159" s="187" t="str">
        <f>+INDEX([1]Detallado!$D:$D,MATCH(C159,[1]Detallado!$B:$B,0))</f>
        <v>BNY Mellon Compass Fund - ABS Fund</v>
      </c>
      <c r="I159" s="28"/>
      <c r="J159" s="184" t="str">
        <f t="shared" si="5"/>
        <v>RFITD</v>
      </c>
      <c r="O159" s="28" t="s">
        <v>4907</v>
      </c>
      <c r="P159" s="28" t="s">
        <v>4895</v>
      </c>
    </row>
    <row r="160" spans="3:16" x14ac:dyDescent="0.25">
      <c r="C160" s="28" t="s">
        <v>2925</v>
      </c>
      <c r="D160" s="188" t="str">
        <f>+INDEX([1]Detallado!$F:$F,MATCH($C160,[1]Detallado!$B:$B,0))</f>
        <v>Renta Fija</v>
      </c>
      <c r="E160" s="31" t="str">
        <f>+INDEX([1]Detallado!$Q:$Q,MATCH($C160,[1]Detallado!$B:$B,0))</f>
        <v>RFIG</v>
      </c>
      <c r="F160" s="185" t="s">
        <v>4355</v>
      </c>
      <c r="G160" s="186" t="str">
        <f t="shared" si="4"/>
        <v>52RFIG</v>
      </c>
      <c r="H160" s="187" t="str">
        <f>+INDEX([1]Detallado!$D:$D,MATCH(C160,[1]Detallado!$B:$B,0))</f>
        <v>BNY Mellon Compass Fund - ABS Fund</v>
      </c>
      <c r="I160" s="28"/>
      <c r="J160" s="184" t="str">
        <f t="shared" si="5"/>
        <v>RFITD</v>
      </c>
      <c r="O160" s="28" t="s">
        <v>4907</v>
      </c>
      <c r="P160" s="28" t="s">
        <v>4895</v>
      </c>
    </row>
    <row r="161" spans="3:16" x14ac:dyDescent="0.25">
      <c r="C161" s="28" t="s">
        <v>2124</v>
      </c>
      <c r="D161" s="188" t="str">
        <f>+INDEX([1]Detallado!$F:$F,MATCH($C161,[1]Detallado!$B:$B,0))</f>
        <v>Renta Fija</v>
      </c>
      <c r="E161" s="31" t="str">
        <f>+INDEX([1]Detallado!$Q:$Q,MATCH($C161,[1]Detallado!$B:$B,0))</f>
        <v>RFIG</v>
      </c>
      <c r="F161" s="185" t="s">
        <v>4355</v>
      </c>
      <c r="G161" s="186" t="str">
        <f t="shared" si="4"/>
        <v>52RFIG</v>
      </c>
      <c r="H161" s="187" t="str">
        <f>+INDEX([1]Detallado!$D:$D,MATCH(C161,[1]Detallado!$B:$B,0))</f>
        <v>NN - European High Yield</v>
      </c>
      <c r="I161" s="28"/>
      <c r="J161" s="184" t="str">
        <f t="shared" si="5"/>
        <v>RFITD</v>
      </c>
      <c r="O161" s="28" t="s">
        <v>4907</v>
      </c>
      <c r="P161" s="28" t="s">
        <v>4895</v>
      </c>
    </row>
    <row r="162" spans="3:16" x14ac:dyDescent="0.25">
      <c r="C162" s="28" t="s">
        <v>1954</v>
      </c>
      <c r="D162" s="188" t="str">
        <f>+INDEX([1]Detallado!$F:$F,MATCH($C162,[1]Detallado!$B:$B,0))</f>
        <v>Renta Fija</v>
      </c>
      <c r="E162" s="31" t="str">
        <f>+INDEX([1]Detallado!$Q:$Q,MATCH($C162,[1]Detallado!$B:$B,0))</f>
        <v>RFIG</v>
      </c>
      <c r="F162" s="185" t="s">
        <v>4355</v>
      </c>
      <c r="G162" s="186" t="str">
        <f t="shared" si="4"/>
        <v>52RFIG</v>
      </c>
      <c r="H162" s="187" t="str">
        <f>+INDEX([1]Detallado!$D:$D,MATCH(C162,[1]Detallado!$B:$B,0))</f>
        <v>Aberdeen - Select Euro High Yield</v>
      </c>
      <c r="I162" s="28"/>
      <c r="J162" s="184" t="str">
        <f t="shared" si="5"/>
        <v>RFITD</v>
      </c>
      <c r="O162" s="28" t="s">
        <v>4510</v>
      </c>
      <c r="P162" s="28" t="s">
        <v>4902</v>
      </c>
    </row>
    <row r="163" spans="3:16" x14ac:dyDescent="0.25">
      <c r="C163" s="28" t="s">
        <v>1781</v>
      </c>
      <c r="D163" s="188" t="str">
        <f>+INDEX([1]Detallado!$F:$F,MATCH($C163,[1]Detallado!$B:$B,0))</f>
        <v>Renta Fija</v>
      </c>
      <c r="E163" s="31" t="str">
        <f>+INDEX([1]Detallado!$Q:$Q,MATCH($C163,[1]Detallado!$B:$B,0))</f>
        <v>RFIG</v>
      </c>
      <c r="F163" s="185" t="s">
        <v>4355</v>
      </c>
      <c r="G163" s="186" t="str">
        <f t="shared" si="4"/>
        <v>52RFIG</v>
      </c>
      <c r="H163" s="187" t="str">
        <f>+INDEX([1]Detallado!$D:$D,MATCH(C163,[1]Detallado!$B:$B,0))</f>
        <v>Aberdeen - Select Euro High Yield</v>
      </c>
      <c r="I163" s="28"/>
      <c r="J163" s="184" t="str">
        <f t="shared" si="5"/>
        <v>RFITD</v>
      </c>
      <c r="O163" s="28" t="s">
        <v>4456</v>
      </c>
      <c r="P163" s="28" t="s">
        <v>4895</v>
      </c>
    </row>
    <row r="164" spans="3:16" x14ac:dyDescent="0.25">
      <c r="C164" s="28" t="s">
        <v>1752</v>
      </c>
      <c r="D164" s="188" t="str">
        <f>+INDEX([1]Detallado!$F:$F,MATCH($C164,[1]Detallado!$B:$B,0))</f>
        <v>Renta Fija</v>
      </c>
      <c r="E164" s="31" t="str">
        <f>+INDEX([1]Detallado!$Q:$Q,MATCH($C164,[1]Detallado!$B:$B,0))</f>
        <v>RFIG</v>
      </c>
      <c r="F164" s="185" t="s">
        <v>4355</v>
      </c>
      <c r="G164" s="186" t="str">
        <f t="shared" si="4"/>
        <v>52RFIG</v>
      </c>
      <c r="H164" s="187" t="str">
        <f>+INDEX([1]Detallado!$D:$D,MATCH(C164,[1]Detallado!$B:$B,0))</f>
        <v>Robeco - High Yield Bonds Fund</v>
      </c>
      <c r="I164" s="28"/>
      <c r="J164" s="184" t="str">
        <f t="shared" si="5"/>
        <v>RFITD</v>
      </c>
      <c r="O164" s="28" t="s">
        <v>4456</v>
      </c>
      <c r="P164" s="28" t="s">
        <v>4895</v>
      </c>
    </row>
    <row r="165" spans="3:16" x14ac:dyDescent="0.25">
      <c r="C165" s="28" t="s">
        <v>1835</v>
      </c>
      <c r="D165" s="188" t="str">
        <f>+INDEX([1]Detallado!$F:$F,MATCH($C165,[1]Detallado!$B:$B,0))</f>
        <v>Renta Fija</v>
      </c>
      <c r="E165" s="31" t="str">
        <f>+INDEX([1]Detallado!$Q:$Q,MATCH($C165,[1]Detallado!$B:$B,0))</f>
        <v>RFIG</v>
      </c>
      <c r="F165" s="185" t="s">
        <v>4355</v>
      </c>
      <c r="G165" s="186" t="str">
        <f t="shared" si="4"/>
        <v>52RFIG</v>
      </c>
      <c r="H165" s="187" t="str">
        <f>+INDEX([1]Detallado!$D:$D,MATCH(C165,[1]Detallado!$B:$B,0))</f>
        <v>Janus Henderson - US High Yield Fund</v>
      </c>
      <c r="I165" s="28"/>
      <c r="J165" s="184" t="str">
        <f t="shared" si="5"/>
        <v>RFITD</v>
      </c>
      <c r="O165" s="28" t="s">
        <v>4456</v>
      </c>
      <c r="P165" s="28" t="s">
        <v>4895</v>
      </c>
    </row>
    <row r="166" spans="3:16" x14ac:dyDescent="0.25">
      <c r="C166" s="28" t="s">
        <v>2613</v>
      </c>
      <c r="D166" s="188" t="str">
        <f>+INDEX([1]Detallado!$F:$F,MATCH($C166,[1]Detallado!$B:$B,0))</f>
        <v>Renta Fija</v>
      </c>
      <c r="E166" s="31" t="str">
        <f>+INDEX([1]Detallado!$Q:$Q,MATCH($C166,[1]Detallado!$B:$B,0))</f>
        <v>RFIG</v>
      </c>
      <c r="F166" s="185" t="s">
        <v>4355</v>
      </c>
      <c r="G166" s="186" t="str">
        <f t="shared" si="4"/>
        <v>52RFIG</v>
      </c>
      <c r="H166" s="187" t="str">
        <f>+INDEX([1]Detallado!$D:$D,MATCH(C166,[1]Detallado!$B:$B,0))</f>
        <v>Lord Abbett - US Convertible Fund</v>
      </c>
      <c r="I166" s="28"/>
      <c r="J166" s="184" t="str">
        <f t="shared" si="5"/>
        <v>RFITD</v>
      </c>
      <c r="O166" s="28" t="s">
        <v>4502</v>
      </c>
      <c r="P166" s="28" t="s">
        <v>4902</v>
      </c>
    </row>
    <row r="167" spans="3:16" x14ac:dyDescent="0.25">
      <c r="C167" s="28" t="s">
        <v>2355</v>
      </c>
      <c r="D167" s="188" t="str">
        <f>+INDEX([1]Detallado!$F:$F,MATCH($C167,[1]Detallado!$B:$B,0))</f>
        <v>Renta Fija</v>
      </c>
      <c r="E167" s="31" t="str">
        <f>+INDEX([1]Detallado!$Q:$Q,MATCH($C167,[1]Detallado!$B:$B,0))</f>
        <v>RFIG</v>
      </c>
      <c r="F167" s="185" t="s">
        <v>4355</v>
      </c>
      <c r="G167" s="186" t="str">
        <f t="shared" si="4"/>
        <v>52RFIG</v>
      </c>
      <c r="H167" s="187" t="str">
        <f>+INDEX([1]Detallado!$D:$D,MATCH(C167,[1]Detallado!$B:$B,0))</f>
        <v>Lord Abbett - US High Yield Fund</v>
      </c>
      <c r="I167" s="28"/>
      <c r="J167" s="184" t="str">
        <f t="shared" si="5"/>
        <v>RFITD</v>
      </c>
      <c r="O167" s="28" t="s">
        <v>4502</v>
      </c>
      <c r="P167" s="28" t="s">
        <v>4902</v>
      </c>
    </row>
    <row r="168" spans="3:16" x14ac:dyDescent="0.25">
      <c r="C168" s="28" t="s">
        <v>2926</v>
      </c>
      <c r="D168" s="188" t="str">
        <f>+INDEX([1]Detallado!$F:$F,MATCH($C168,[1]Detallado!$B:$B,0))</f>
        <v>Renta Fija</v>
      </c>
      <c r="E168" s="31" t="str">
        <f>+INDEX([1]Detallado!$Q:$Q,MATCH($C168,[1]Detallado!$B:$B,0))</f>
        <v>RFIG</v>
      </c>
      <c r="F168" s="185" t="s">
        <v>4355</v>
      </c>
      <c r="G168" s="186" t="str">
        <f t="shared" si="4"/>
        <v>52RFIG</v>
      </c>
      <c r="H168" s="187" t="str">
        <f>+INDEX([1]Detallado!$D:$D,MATCH(C168,[1]Detallado!$B:$B,0))</f>
        <v>Amundi / Pioneer - US High Yield</v>
      </c>
      <c r="I168" s="28"/>
      <c r="J168" s="184" t="str">
        <f t="shared" si="5"/>
        <v>RFITD</v>
      </c>
      <c r="O168" s="28" t="s">
        <v>4502</v>
      </c>
      <c r="P168" s="28" t="s">
        <v>4902</v>
      </c>
    </row>
    <row r="169" spans="3:16" x14ac:dyDescent="0.25">
      <c r="C169" s="28" t="s">
        <v>2927</v>
      </c>
      <c r="D169" s="188" t="str">
        <f>+INDEX([1]Detallado!$F:$F,MATCH($C169,[1]Detallado!$B:$B,0))</f>
        <v>Renta Fija</v>
      </c>
      <c r="E169" s="31" t="str">
        <f>+INDEX([1]Detallado!$Q:$Q,MATCH($C169,[1]Detallado!$B:$B,0))</f>
        <v>RFIG</v>
      </c>
      <c r="F169" s="185" t="s">
        <v>4355</v>
      </c>
      <c r="G169" s="186" t="str">
        <f t="shared" si="4"/>
        <v>52RFIG</v>
      </c>
      <c r="H169" s="187" t="str">
        <f>+INDEX([1]Detallado!$D:$D,MATCH(C169,[1]Detallado!$B:$B,0))</f>
        <v>Amundi / Pioneer - Euro Strategic Bond</v>
      </c>
      <c r="I169" s="28"/>
      <c r="J169" s="184" t="str">
        <f t="shared" si="5"/>
        <v>RFITD</v>
      </c>
      <c r="O169" s="28" t="s">
        <v>4502</v>
      </c>
      <c r="P169" s="28" t="s">
        <v>4902</v>
      </c>
    </row>
    <row r="170" spans="3:16" x14ac:dyDescent="0.25">
      <c r="C170" s="28" t="s">
        <v>2928</v>
      </c>
      <c r="D170" s="188" t="str">
        <f>+INDEX([1]Detallado!$F:$F,MATCH($C170,[1]Detallado!$B:$B,0))</f>
        <v>Renta Fija</v>
      </c>
      <c r="E170" s="31" t="str">
        <f>+INDEX([1]Detallado!$Q:$Q,MATCH($C170,[1]Detallado!$B:$B,0))</f>
        <v>RFIG</v>
      </c>
      <c r="F170" s="185" t="s">
        <v>4355</v>
      </c>
      <c r="G170" s="186" t="str">
        <f t="shared" si="4"/>
        <v>52RFIG</v>
      </c>
      <c r="H170" s="187" t="str">
        <f>+INDEX([1]Detallado!$D:$D,MATCH(C170,[1]Detallado!$B:$B,0))</f>
        <v>Amundi / Pioneer - Global High Yield</v>
      </c>
      <c r="I170" s="28"/>
      <c r="J170" s="184" t="str">
        <f t="shared" si="5"/>
        <v>RFITD</v>
      </c>
      <c r="O170" s="28" t="s">
        <v>4908</v>
      </c>
      <c r="P170" s="28" t="s">
        <v>4896</v>
      </c>
    </row>
    <row r="171" spans="3:16" x14ac:dyDescent="0.25">
      <c r="C171" s="28" t="s">
        <v>2558</v>
      </c>
      <c r="D171" s="188" t="str">
        <f>+INDEX([1]Detallado!$F:$F,MATCH($C171,[1]Detallado!$B:$B,0))</f>
        <v>Renta Fija</v>
      </c>
      <c r="E171" s="31" t="str">
        <f>+INDEX([1]Detallado!$Q:$Q,MATCH($C171,[1]Detallado!$B:$B,0))</f>
        <v>RFIG</v>
      </c>
      <c r="F171" s="185" t="s">
        <v>4355</v>
      </c>
      <c r="G171" s="186" t="str">
        <f t="shared" si="4"/>
        <v>52RFIG</v>
      </c>
      <c r="H171" s="187" t="str">
        <f>+INDEX([1]Detallado!$D:$D,MATCH(C171,[1]Detallado!$B:$B,0))</f>
        <v>Amundi / Pioneer - US High Yield</v>
      </c>
      <c r="I171" s="28"/>
      <c r="J171" s="184" t="str">
        <f t="shared" si="5"/>
        <v>RFITD</v>
      </c>
      <c r="O171" s="28" t="s">
        <v>4550</v>
      </c>
      <c r="P171" s="28" t="s">
        <v>4909</v>
      </c>
    </row>
    <row r="172" spans="3:16" x14ac:dyDescent="0.25">
      <c r="C172" s="28" t="s">
        <v>2561</v>
      </c>
      <c r="D172" s="188" t="str">
        <f>+INDEX([1]Detallado!$F:$F,MATCH($C172,[1]Detallado!$B:$B,0))</f>
        <v>Renta Fija</v>
      </c>
      <c r="E172" s="31" t="str">
        <f>+INDEX([1]Detallado!$Q:$Q,MATCH($C172,[1]Detallado!$B:$B,0))</f>
        <v>RFIG</v>
      </c>
      <c r="F172" s="185" t="s">
        <v>4355</v>
      </c>
      <c r="G172" s="186" t="str">
        <f t="shared" si="4"/>
        <v>52RFIG</v>
      </c>
      <c r="H172" s="187" t="str">
        <f>+INDEX([1]Detallado!$D:$D,MATCH(C172,[1]Detallado!$B:$B,0))</f>
        <v>Amundi / Pioneer - Global Subordinated</v>
      </c>
      <c r="I172" s="28"/>
      <c r="J172" s="184" t="str">
        <f t="shared" si="5"/>
        <v>RFITD</v>
      </c>
      <c r="O172" s="28" t="s">
        <v>4541</v>
      </c>
      <c r="P172" s="28" t="s">
        <v>4899</v>
      </c>
    </row>
    <row r="173" spans="3:16" x14ac:dyDescent="0.25">
      <c r="C173" s="28" t="s">
        <v>1726</v>
      </c>
      <c r="D173" s="188" t="str">
        <f>+INDEX([1]Detallado!$F:$F,MATCH($C173,[1]Detallado!$B:$B,0))</f>
        <v>Renta Fija</v>
      </c>
      <c r="E173" s="31" t="str">
        <f>+INDEX([1]Detallado!$Q:$Q,MATCH($C173,[1]Detallado!$B:$B,0))</f>
        <v>RFIG</v>
      </c>
      <c r="F173" s="185" t="s">
        <v>4355</v>
      </c>
      <c r="G173" s="186" t="str">
        <f t="shared" si="4"/>
        <v>52RFIG</v>
      </c>
      <c r="H173" s="187" t="str">
        <f>+INDEX([1]Detallado!$D:$D,MATCH(C173,[1]Detallado!$B:$B,0))</f>
        <v>Fidelity - European High Yield</v>
      </c>
      <c r="I173" s="28"/>
      <c r="J173" s="184" t="str">
        <f t="shared" si="5"/>
        <v>RFITD</v>
      </c>
      <c r="O173" s="28" t="s">
        <v>4541</v>
      </c>
      <c r="P173" s="28" t="s">
        <v>4899</v>
      </c>
    </row>
    <row r="174" spans="3:16" x14ac:dyDescent="0.25">
      <c r="C174" s="28" t="s">
        <v>2340</v>
      </c>
      <c r="D174" s="188" t="str">
        <f>+INDEX([1]Detallado!$F:$F,MATCH($C174,[1]Detallado!$B:$B,0))</f>
        <v>Renta Fija</v>
      </c>
      <c r="E174" s="31" t="str">
        <f>+INDEX([1]Detallado!$Q:$Q,MATCH($C174,[1]Detallado!$B:$B,0))</f>
        <v>RFIG</v>
      </c>
      <c r="F174" s="185" t="s">
        <v>4355</v>
      </c>
      <c r="G174" s="186" t="str">
        <f t="shared" si="4"/>
        <v>52RFIG</v>
      </c>
      <c r="H174" s="187" t="str">
        <f>+INDEX([1]Detallado!$D:$D,MATCH(C174,[1]Detallado!$B:$B,0))</f>
        <v>AUDHYBI LX - US Dynamic High Yield Bonds</v>
      </c>
      <c r="I174" s="28"/>
      <c r="J174" s="184" t="str">
        <f t="shared" si="5"/>
        <v>RFITD</v>
      </c>
      <c r="O174" s="28" t="s">
        <v>4910</v>
      </c>
      <c r="P174" s="28" t="s">
        <v>4902</v>
      </c>
    </row>
    <row r="175" spans="3:16" x14ac:dyDescent="0.25">
      <c r="C175" s="28" t="s">
        <v>1996</v>
      </c>
      <c r="D175" s="188" t="str">
        <f>+INDEX([1]Detallado!$F:$F,MATCH($C175,[1]Detallado!$B:$B,0))</f>
        <v>Renta Fija</v>
      </c>
      <c r="E175" s="31" t="str">
        <f>+INDEX([1]Detallado!$Q:$Q,MATCH($C175,[1]Detallado!$B:$B,0))</f>
        <v>RFIG</v>
      </c>
      <c r="F175" s="185" t="s">
        <v>4355</v>
      </c>
      <c r="G175" s="186" t="str">
        <f t="shared" si="4"/>
        <v>52RFIG</v>
      </c>
      <c r="H175" s="187" t="str">
        <f>+INDEX([1]Detallado!$D:$D,MATCH(C175,[1]Detallado!$B:$B,0))</f>
        <v>AXA - US High Yield Bonds</v>
      </c>
      <c r="I175" s="28"/>
      <c r="J175" s="184" t="str">
        <f t="shared" si="5"/>
        <v>RFITD</v>
      </c>
      <c r="O175" s="28" t="s">
        <v>2798</v>
      </c>
      <c r="P175" s="28" t="s">
        <v>4902</v>
      </c>
    </row>
    <row r="176" spans="3:16" x14ac:dyDescent="0.25">
      <c r="C176" s="28" t="s">
        <v>1928</v>
      </c>
      <c r="D176" s="188" t="str">
        <f>+INDEX([1]Detallado!$F:$F,MATCH($C176,[1]Detallado!$B:$B,0))</f>
        <v>Renta Fija</v>
      </c>
      <c r="E176" s="31" t="str">
        <f>+INDEX([1]Detallado!$Q:$Q,MATCH($C176,[1]Detallado!$B:$B,0))</f>
        <v>RFIG</v>
      </c>
      <c r="F176" s="185" t="s">
        <v>4355</v>
      </c>
      <c r="G176" s="186" t="str">
        <f t="shared" si="4"/>
        <v>52RFIG</v>
      </c>
      <c r="H176" s="187" t="str">
        <f>+INDEX([1]Detallado!$D:$D,MATCH(C176,[1]Detallado!$B:$B,0))</f>
        <v>AXA - US Short Duration High Yield</v>
      </c>
      <c r="I176" s="28"/>
      <c r="J176" s="184" t="str">
        <f t="shared" si="5"/>
        <v>RFITD</v>
      </c>
      <c r="O176" s="28" t="s">
        <v>2798</v>
      </c>
      <c r="P176" s="28" t="s">
        <v>4902</v>
      </c>
    </row>
    <row r="177" spans="3:16" x14ac:dyDescent="0.25">
      <c r="C177" s="28" t="s">
        <v>1931</v>
      </c>
      <c r="D177" s="188" t="str">
        <f>+INDEX([1]Detallado!$F:$F,MATCH($C177,[1]Detallado!$B:$B,0))</f>
        <v>Renta Fija</v>
      </c>
      <c r="E177" s="31" t="str">
        <f>+INDEX([1]Detallado!$Q:$Q,MATCH($C177,[1]Detallado!$B:$B,0))</f>
        <v>RFIG</v>
      </c>
      <c r="F177" s="185" t="s">
        <v>4355</v>
      </c>
      <c r="G177" s="186" t="str">
        <f t="shared" si="4"/>
        <v>52RFIG</v>
      </c>
      <c r="H177" s="187" t="str">
        <f>+INDEX([1]Detallado!$D:$D,MATCH(C177,[1]Detallado!$B:$B,0))</f>
        <v>AXA - US Short Duration High Yield</v>
      </c>
      <c r="I177" s="28"/>
      <c r="J177" s="184" t="str">
        <f t="shared" si="5"/>
        <v>RFITD</v>
      </c>
      <c r="O177" s="28" t="s">
        <v>4885</v>
      </c>
      <c r="P177" s="28" t="s">
        <v>4894</v>
      </c>
    </row>
    <row r="178" spans="3:16" x14ac:dyDescent="0.25">
      <c r="C178" s="28" t="s">
        <v>1571</v>
      </c>
      <c r="D178" s="188" t="str">
        <f>+INDEX([1]Detallado!$F:$F,MATCH($C178,[1]Detallado!$B:$B,0))</f>
        <v>Renta Fija</v>
      </c>
      <c r="E178" s="31" t="str">
        <f>+INDEX([1]Detallado!$Q:$Q,MATCH($C178,[1]Detallado!$B:$B,0))</f>
        <v>RFIG</v>
      </c>
      <c r="F178" s="185" t="s">
        <v>4355</v>
      </c>
      <c r="G178" s="186" t="str">
        <f t="shared" si="4"/>
        <v>52RFIG</v>
      </c>
      <c r="H178" s="187" t="str">
        <f>+INDEX([1]Detallado!$D:$D,MATCH(C178,[1]Detallado!$B:$B,0))</f>
        <v>ANGL US - Fallen Angels</v>
      </c>
      <c r="I178" s="28"/>
      <c r="J178" s="184" t="str">
        <f t="shared" si="5"/>
        <v>RFITD</v>
      </c>
      <c r="O178" s="28" t="s">
        <v>4885</v>
      </c>
      <c r="P178" s="28" t="s">
        <v>4894</v>
      </c>
    </row>
    <row r="179" spans="3:16" x14ac:dyDescent="0.25">
      <c r="C179" s="28" t="s">
        <v>2929</v>
      </c>
      <c r="D179" s="188" t="str">
        <f>+INDEX([1]Detallado!$F:$F,MATCH($C179,[1]Detallado!$B:$B,0))</f>
        <v>Renta Fija</v>
      </c>
      <c r="E179" s="31" t="str">
        <f>+INDEX([1]Detallado!$Q:$Q,MATCH($C179,[1]Detallado!$B:$B,0))</f>
        <v>RFIG</v>
      </c>
      <c r="F179" s="185" t="s">
        <v>4355</v>
      </c>
      <c r="G179" s="186" t="str">
        <f t="shared" si="4"/>
        <v>52RFIG</v>
      </c>
      <c r="H179" s="187" t="str">
        <f>+INDEX([1]Detallado!$D:$D,MATCH(C179,[1]Detallado!$B:$B,0))</f>
        <v>Threadneedle - European High Yield</v>
      </c>
      <c r="I179" s="28"/>
      <c r="J179" s="184" t="str">
        <f t="shared" si="5"/>
        <v>RFITD</v>
      </c>
      <c r="O179" s="28" t="s">
        <v>4885</v>
      </c>
      <c r="P179" s="28" t="s">
        <v>4894</v>
      </c>
    </row>
    <row r="180" spans="3:16" x14ac:dyDescent="0.25">
      <c r="C180" s="28" t="s">
        <v>2299</v>
      </c>
      <c r="D180" s="188" t="str">
        <f>+INDEX([1]Detallado!$F:$F,MATCH($C180,[1]Detallado!$B:$B,0))</f>
        <v>Renta Fija</v>
      </c>
      <c r="E180" s="31" t="str">
        <f>+INDEX([1]Detallado!$Q:$Q,MATCH($C180,[1]Detallado!$B:$B,0))</f>
        <v>RFIG</v>
      </c>
      <c r="F180" s="185" t="s">
        <v>4355</v>
      </c>
      <c r="G180" s="186" t="str">
        <f t="shared" si="4"/>
        <v>52RFIG</v>
      </c>
      <c r="H180" s="187" t="str">
        <f>+INDEX([1]Detallado!$D:$D,MATCH(C180,[1]Detallado!$B:$B,0))</f>
        <v>JP Morgan - Global Bond Opportunities Fund</v>
      </c>
      <c r="I180" s="28"/>
      <c r="J180" s="184" t="str">
        <f t="shared" si="5"/>
        <v>RFITD</v>
      </c>
      <c r="O180" s="28" t="s">
        <v>4885</v>
      </c>
      <c r="P180" s="28" t="s">
        <v>4894</v>
      </c>
    </row>
    <row r="181" spans="3:16" x14ac:dyDescent="0.25">
      <c r="C181" s="28" t="s">
        <v>1821</v>
      </c>
      <c r="D181" s="188" t="str">
        <f>+INDEX([1]Detallado!$F:$F,MATCH($C181,[1]Detallado!$B:$B,0))</f>
        <v>Renta Fija</v>
      </c>
      <c r="E181" s="31" t="str">
        <f>+INDEX([1]Detallado!$Q:$Q,MATCH($C181,[1]Detallado!$B:$B,0))</f>
        <v>RFIG</v>
      </c>
      <c r="F181" s="185" t="s">
        <v>4355</v>
      </c>
      <c r="G181" s="186" t="str">
        <f t="shared" si="4"/>
        <v>52RFIG</v>
      </c>
      <c r="H181" s="187" t="str">
        <f>+INDEX([1]Detallado!$D:$D,MATCH(C181,[1]Detallado!$B:$B,0))</f>
        <v>Muzinich - Americayield Fund</v>
      </c>
      <c r="I181" s="28"/>
      <c r="J181" s="184" t="str">
        <f t="shared" si="5"/>
        <v>RFITD</v>
      </c>
      <c r="O181" s="28" t="s">
        <v>4885</v>
      </c>
      <c r="P181" s="28" t="s">
        <v>4894</v>
      </c>
    </row>
    <row r="182" spans="3:16" x14ac:dyDescent="0.25">
      <c r="C182" s="28" t="s">
        <v>2132</v>
      </c>
      <c r="D182" s="188" t="str">
        <f>+INDEX([1]Detallado!$F:$F,MATCH($C182,[1]Detallado!$B:$B,0))</f>
        <v>Renta Fija</v>
      </c>
      <c r="E182" s="31" t="str">
        <f>+INDEX([1]Detallado!$Q:$Q,MATCH($C182,[1]Detallado!$B:$B,0))</f>
        <v>RFIG</v>
      </c>
      <c r="F182" s="185" t="s">
        <v>4355</v>
      </c>
      <c r="G182" s="186" t="str">
        <f t="shared" si="4"/>
        <v>52RFIG</v>
      </c>
      <c r="H182" s="187" t="str">
        <f>+INDEX([1]Detallado!$D:$D,MATCH(C182,[1]Detallado!$B:$B,0))</f>
        <v>Muzinich - Short Duration High Yield</v>
      </c>
      <c r="I182" s="28"/>
      <c r="J182" s="184" t="str">
        <f t="shared" si="5"/>
        <v>RFITD</v>
      </c>
      <c r="O182" s="28" t="s">
        <v>4885</v>
      </c>
      <c r="P182" s="28" t="s">
        <v>4894</v>
      </c>
    </row>
    <row r="183" spans="3:16" x14ac:dyDescent="0.25">
      <c r="C183" s="28" t="s">
        <v>1427</v>
      </c>
      <c r="D183" s="188" t="str">
        <f>+INDEX([1]Detallado!$F:$F,MATCH($C183,[1]Detallado!$B:$B,0))</f>
        <v>Renta Fija</v>
      </c>
      <c r="E183" s="31" t="str">
        <f>+INDEX([1]Detallado!$Q:$Q,MATCH($C183,[1]Detallado!$B:$B,0))</f>
        <v>RFIG</v>
      </c>
      <c r="F183" s="185" t="s">
        <v>4355</v>
      </c>
      <c r="G183" s="186" t="str">
        <f t="shared" si="4"/>
        <v>52RFIG</v>
      </c>
      <c r="H183" s="187" t="str">
        <f>+INDEX([1]Detallado!$D:$D,MATCH(C183,[1]Detallado!$B:$B,0))</f>
        <v>SPDR - Bloomberg High Yield ETF</v>
      </c>
      <c r="I183" s="28"/>
      <c r="J183" s="184" t="str">
        <f t="shared" si="5"/>
        <v>RFITD</v>
      </c>
      <c r="O183" s="28" t="s">
        <v>4911</v>
      </c>
      <c r="P183" s="28" t="s">
        <v>1324</v>
      </c>
    </row>
    <row r="184" spans="3:16" x14ac:dyDescent="0.25">
      <c r="C184" s="28" t="s">
        <v>616</v>
      </c>
      <c r="D184" s="188" t="str">
        <f>+INDEX([1]Detallado!$F:$F,MATCH($C184,[1]Detallado!$B:$B,0))</f>
        <v>Renta Fija</v>
      </c>
      <c r="E184" s="31" t="str">
        <f>+INDEX([1]Detallado!$Q:$Q,MATCH($C184,[1]Detallado!$B:$B,0))</f>
        <v>RFIG</v>
      </c>
      <c r="F184" s="185" t="s">
        <v>4355</v>
      </c>
      <c r="G184" s="186" t="str">
        <f t="shared" si="4"/>
        <v>52RFIG</v>
      </c>
      <c r="H184" s="187" t="str">
        <f>+INDEX([1]Detallado!$D:$D,MATCH(C184,[1]Detallado!$B:$B,0))</f>
        <v>BlackRock - iShares iBoxx High Yield Corporate Bond</v>
      </c>
      <c r="I184" s="28"/>
      <c r="J184" s="184" t="str">
        <f t="shared" si="5"/>
        <v>RFITD</v>
      </c>
      <c r="O184" s="28" t="s">
        <v>4479</v>
      </c>
      <c r="P184" s="28" t="s">
        <v>4895</v>
      </c>
    </row>
    <row r="185" spans="3:16" x14ac:dyDescent="0.25">
      <c r="C185" s="28" t="s">
        <v>2435</v>
      </c>
      <c r="D185" s="188" t="str">
        <f>+INDEX([1]Detallado!$F:$F,MATCH($C185,[1]Detallado!$B:$B,0))</f>
        <v>Renta Fija</v>
      </c>
      <c r="E185" s="31" t="str">
        <f>+INDEX([1]Detallado!$Q:$Q,MATCH($C185,[1]Detallado!$B:$B,0))</f>
        <v>RFIG</v>
      </c>
      <c r="F185" s="185" t="s">
        <v>4355</v>
      </c>
      <c r="G185" s="186" t="str">
        <f t="shared" si="4"/>
        <v>52RFIG</v>
      </c>
      <c r="H185" s="187" t="str">
        <f>+INDEX([1]Detallado!$D:$D,MATCH(C185,[1]Detallado!$B:$B,0))</f>
        <v>BlackRock - Fallen Angels HY Corp Bonds UCITS</v>
      </c>
      <c r="I185" s="28"/>
      <c r="J185" s="184" t="str">
        <f t="shared" si="5"/>
        <v>RFITD</v>
      </c>
      <c r="O185" s="28" t="s">
        <v>4546</v>
      </c>
      <c r="P185" s="28" t="s">
        <v>4896</v>
      </c>
    </row>
    <row r="186" spans="3:16" x14ac:dyDescent="0.25">
      <c r="C186" s="28" t="s">
        <v>2207</v>
      </c>
      <c r="D186" s="188" t="str">
        <f>+INDEX([1]Detallado!$F:$F,MATCH($C186,[1]Detallado!$B:$B,0))</f>
        <v>Renta Fija</v>
      </c>
      <c r="E186" s="31" t="str">
        <f>+INDEX([1]Detallado!$Q:$Q,MATCH($C186,[1]Detallado!$B:$B,0))</f>
        <v>RFIG</v>
      </c>
      <c r="F186" s="185" t="s">
        <v>4355</v>
      </c>
      <c r="G186" s="186" t="str">
        <f t="shared" si="4"/>
        <v>52RFIG</v>
      </c>
      <c r="H186" s="187" t="str">
        <f>+INDEX([1]Detallado!$D:$D,MATCH(C186,[1]Detallado!$B:$B,0))</f>
        <v>BlackRock - iShares iBoxx High Yield Corporate Bond</v>
      </c>
      <c r="I186" s="28"/>
      <c r="J186" s="184" t="str">
        <f t="shared" si="5"/>
        <v>RFITD</v>
      </c>
      <c r="O186" s="28" t="s">
        <v>4546</v>
      </c>
      <c r="P186" s="28" t="s">
        <v>4896</v>
      </c>
    </row>
    <row r="187" spans="3:16" x14ac:dyDescent="0.25">
      <c r="C187" s="28" t="s">
        <v>2067</v>
      </c>
      <c r="D187" s="188" t="str">
        <f>+INDEX([1]Detallado!$F:$F,MATCH($C187,[1]Detallado!$B:$B,0))</f>
        <v>Renta Fija</v>
      </c>
      <c r="E187" s="31" t="str">
        <f>+INDEX([1]Detallado!$Q:$Q,MATCH($C187,[1]Detallado!$B:$B,0))</f>
        <v>RFIG</v>
      </c>
      <c r="F187" s="185" t="s">
        <v>4355</v>
      </c>
      <c r="G187" s="186" t="str">
        <f t="shared" si="4"/>
        <v>52RFIG</v>
      </c>
      <c r="H187" s="187" t="str">
        <f>+INDEX([1]Detallado!$D:$D,MATCH(C187,[1]Detallado!$B:$B,0))</f>
        <v>Nomura - US High Yield Bond Fund</v>
      </c>
      <c r="I187" s="28"/>
      <c r="J187" s="184" t="str">
        <f t="shared" si="5"/>
        <v>RFITD</v>
      </c>
      <c r="O187" s="28" t="s">
        <v>4912</v>
      </c>
      <c r="P187" s="28" t="s">
        <v>4894</v>
      </c>
    </row>
    <row r="188" spans="3:16" x14ac:dyDescent="0.25">
      <c r="C188" s="28" t="s">
        <v>2233</v>
      </c>
      <c r="D188" s="188" t="str">
        <f>+INDEX([1]Detallado!$F:$F,MATCH($C188,[1]Detallado!$B:$B,0))</f>
        <v>Renta Fija</v>
      </c>
      <c r="E188" s="31" t="str">
        <f>+INDEX([1]Detallado!$Q:$Q,MATCH($C188,[1]Detallado!$B:$B,0))</f>
        <v>RFIG</v>
      </c>
      <c r="F188" s="185" t="s">
        <v>4355</v>
      </c>
      <c r="G188" s="186" t="str">
        <f t="shared" si="4"/>
        <v>52RFIG</v>
      </c>
      <c r="H188" s="187" t="str">
        <f>+INDEX([1]Detallado!$D:$D,MATCH(C188,[1]Detallado!$B:$B,0))</f>
        <v>DWS Invest - Euro High Yield</v>
      </c>
      <c r="I188" s="28"/>
      <c r="J188" s="184" t="str">
        <f t="shared" si="5"/>
        <v>RFITD</v>
      </c>
      <c r="O188" s="28" t="s">
        <v>4912</v>
      </c>
      <c r="P188" s="28" t="s">
        <v>4894</v>
      </c>
    </row>
    <row r="189" spans="3:16" x14ac:dyDescent="0.25">
      <c r="C189" s="28" t="s">
        <v>1287</v>
      </c>
      <c r="D189" s="188" t="str">
        <f>+INDEX([1]Detallado!$F:$F,MATCH($C189,[1]Detallado!$B:$B,0))</f>
        <v>Renta Fija</v>
      </c>
      <c r="E189" s="31" t="str">
        <f>+INDEX([1]Detallado!$Q:$Q,MATCH($C189,[1]Detallado!$B:$B,0))</f>
        <v>RFIG</v>
      </c>
      <c r="F189" s="185" t="s">
        <v>4355</v>
      </c>
      <c r="G189" s="186" t="str">
        <f t="shared" si="4"/>
        <v>52RFIG</v>
      </c>
      <c r="H189" s="187" t="str">
        <f>+INDEX([1]Detallado!$D:$D,MATCH(C189,[1]Detallado!$B:$B,0))</f>
        <v>Federated - High Yield Bond Fund</v>
      </c>
      <c r="I189" s="28"/>
      <c r="J189" s="184" t="str">
        <f t="shared" si="5"/>
        <v>RFITD</v>
      </c>
      <c r="O189" s="28" t="s">
        <v>4913</v>
      </c>
      <c r="P189" s="28" t="s">
        <v>4894</v>
      </c>
    </row>
    <row r="190" spans="3:16" x14ac:dyDescent="0.25">
      <c r="C190" s="28" t="s">
        <v>2930</v>
      </c>
      <c r="D190" s="188" t="str">
        <f>+INDEX([1]Detallado!$F:$F,MATCH($C190,[1]Detallado!$B:$B,0))</f>
        <v>Renta Fija</v>
      </c>
      <c r="E190" s="31" t="str">
        <f>+INDEX([1]Detallado!$Q:$Q,MATCH($C190,[1]Detallado!$B:$B,0))</f>
        <v>RFIG</v>
      </c>
      <c r="F190" s="185" t="s">
        <v>4355</v>
      </c>
      <c r="G190" s="186" t="str">
        <f t="shared" si="4"/>
        <v>52RFIG</v>
      </c>
      <c r="H190" s="187" t="str">
        <f>+INDEX([1]Detallado!$D:$D,MATCH(C190,[1]Detallado!$B:$B,0))</f>
        <v>Invesco - Global High Income Fund UCITS</v>
      </c>
      <c r="I190" s="28"/>
      <c r="J190" s="184" t="str">
        <f t="shared" si="5"/>
        <v>RFITD</v>
      </c>
      <c r="O190" s="28" t="s">
        <v>4514</v>
      </c>
      <c r="P190" s="28" t="s">
        <v>4894</v>
      </c>
    </row>
    <row r="191" spans="3:16" x14ac:dyDescent="0.25">
      <c r="C191" s="28" t="s">
        <v>2061</v>
      </c>
      <c r="D191" s="188" t="str">
        <f>+INDEX([1]Detallado!$F:$F,MATCH($C191,[1]Detallado!$B:$B,0))</f>
        <v>Renta Fija</v>
      </c>
      <c r="E191" s="31" t="str">
        <f>+INDEX([1]Detallado!$Q:$Q,MATCH($C191,[1]Detallado!$B:$B,0))</f>
        <v>RFIG</v>
      </c>
      <c r="F191" s="185" t="s">
        <v>4355</v>
      </c>
      <c r="G191" s="186" t="str">
        <f t="shared" si="4"/>
        <v>52RFIG</v>
      </c>
      <c r="H191" s="187" t="str">
        <f>+INDEX([1]Detallado!$D:$D,MATCH(C191,[1]Detallado!$B:$B,0))</f>
        <v>Morgan Stanley - European Currencies High Yield</v>
      </c>
      <c r="I191" s="28"/>
      <c r="J191" s="184" t="str">
        <f t="shared" si="5"/>
        <v>RFITD</v>
      </c>
      <c r="O191" s="28" t="s">
        <v>4514</v>
      </c>
      <c r="P191" s="28" t="s">
        <v>4894</v>
      </c>
    </row>
    <row r="192" spans="3:16" x14ac:dyDescent="0.25">
      <c r="C192" s="28" t="s">
        <v>2453</v>
      </c>
      <c r="D192" s="188" t="str">
        <f>+INDEX([1]Detallado!$F:$F,MATCH($C192,[1]Detallado!$B:$B,0))</f>
        <v>Renta Fija</v>
      </c>
      <c r="E192" s="31" t="str">
        <f>+INDEX([1]Detallado!$Q:$Q,MATCH($C192,[1]Detallado!$B:$B,0))</f>
        <v>RFIG</v>
      </c>
      <c r="F192" s="185" t="s">
        <v>4355</v>
      </c>
      <c r="G192" s="186" t="str">
        <f t="shared" si="4"/>
        <v>52RFIG</v>
      </c>
      <c r="H192" s="187" t="str">
        <f>+INDEX([1]Detallado!$D:$D,MATCH(C192,[1]Detallado!$B:$B,0))</f>
        <v>DWS Invest - Euro High Yield Corporates</v>
      </c>
      <c r="I192" s="28"/>
      <c r="J192" s="184" t="str">
        <f t="shared" si="5"/>
        <v>RFITD</v>
      </c>
      <c r="O192" s="28" t="s">
        <v>4514</v>
      </c>
      <c r="P192" s="28" t="s">
        <v>4894</v>
      </c>
    </row>
    <row r="193" spans="3:16" x14ac:dyDescent="0.25">
      <c r="C193" s="28" t="s">
        <v>678</v>
      </c>
      <c r="D193" s="188" t="str">
        <f>+INDEX([1]Detallado!$F:$F,MATCH($C193,[1]Detallado!$B:$B,0))</f>
        <v>Renta Fija</v>
      </c>
      <c r="E193" s="31" t="str">
        <f>+INDEX([1]Detallado!$Q:$Q,MATCH($C193,[1]Detallado!$B:$B,0))</f>
        <v>RFIG</v>
      </c>
      <c r="F193" s="185" t="s">
        <v>4355</v>
      </c>
      <c r="G193" s="186" t="str">
        <f t="shared" si="4"/>
        <v>52RFIG</v>
      </c>
      <c r="H193" s="187" t="str">
        <f>+INDEX([1]Detallado!$D:$D,MATCH(C193,[1]Detallado!$B:$B,0))</f>
        <v>BlueBay - Financial Capital Bond - E</v>
      </c>
      <c r="I193" s="28"/>
      <c r="J193" s="184" t="str">
        <f t="shared" si="5"/>
        <v>RFITD</v>
      </c>
      <c r="O193" s="28" t="s">
        <v>4914</v>
      </c>
      <c r="P193" s="28" t="s">
        <v>4894</v>
      </c>
    </row>
    <row r="194" spans="3:16" x14ac:dyDescent="0.25">
      <c r="C194" s="28" t="s">
        <v>2074</v>
      </c>
      <c r="D194" s="188" t="str">
        <f>+INDEX([1]Detallado!$F:$F,MATCH($C194,[1]Detallado!$B:$B,0))</f>
        <v>Renta Fija</v>
      </c>
      <c r="E194" s="31" t="str">
        <f>+INDEX([1]Detallado!$Q:$Q,MATCH($C194,[1]Detallado!$B:$B,0))</f>
        <v>RFIG</v>
      </c>
      <c r="F194" s="185" t="s">
        <v>4355</v>
      </c>
      <c r="G194" s="186" t="str">
        <f t="shared" si="4"/>
        <v>52RFIG</v>
      </c>
      <c r="H194" s="187" t="str">
        <f>+INDEX([1]Detallado!$D:$D,MATCH(C194,[1]Detallado!$B:$B,0))</f>
        <v>BlueBay - Financial Capital Bond - U</v>
      </c>
      <c r="I194" s="28"/>
      <c r="J194" s="184" t="str">
        <f t="shared" si="5"/>
        <v>RFITD</v>
      </c>
      <c r="O194" s="28" t="s">
        <v>4915</v>
      </c>
      <c r="P194" s="28" t="s">
        <v>4894</v>
      </c>
    </row>
    <row r="195" spans="3:16" x14ac:dyDescent="0.25">
      <c r="C195" s="28" t="s">
        <v>2316</v>
      </c>
      <c r="D195" s="188" t="str">
        <f>+INDEX([1]Detallado!$F:$F,MATCH($C195,[1]Detallado!$B:$B,0))</f>
        <v>Renta Fija</v>
      </c>
      <c r="E195" s="31" t="str">
        <f>+INDEX([1]Detallado!$Q:$Q,MATCH($C195,[1]Detallado!$B:$B,0))</f>
        <v>RFIG</v>
      </c>
      <c r="F195" s="185" t="s">
        <v>4355</v>
      </c>
      <c r="G195" s="186" t="str">
        <f t="shared" si="4"/>
        <v>52RFIG</v>
      </c>
      <c r="H195" s="187" t="str">
        <f>+INDEX([1]Detallado!$D:$D,MATCH(C195,[1]Detallado!$B:$B,0))</f>
        <v xml:space="preserve">Gam - Star Credit Opportunities </v>
      </c>
      <c r="I195" s="28"/>
      <c r="J195" s="184" t="str">
        <f t="shared" si="5"/>
        <v>RFITD</v>
      </c>
      <c r="O195" s="28" t="s">
        <v>4915</v>
      </c>
      <c r="P195" s="28" t="s">
        <v>4894</v>
      </c>
    </row>
    <row r="196" spans="3:16" x14ac:dyDescent="0.25">
      <c r="C196" s="28" t="s">
        <v>2229</v>
      </c>
      <c r="D196" s="188" t="str">
        <f>+INDEX([1]Detallado!$F:$F,MATCH($C196,[1]Detallado!$B:$B,0))</f>
        <v>Renta Fija</v>
      </c>
      <c r="E196" s="31" t="str">
        <f>+INDEX([1]Detallado!$Q:$Q,MATCH($C196,[1]Detallado!$B:$B,0))</f>
        <v>RFIG</v>
      </c>
      <c r="F196" s="185" t="s">
        <v>4355</v>
      </c>
      <c r="G196" s="186" t="str">
        <f t="shared" si="4"/>
        <v>52RFIG</v>
      </c>
      <c r="H196" s="187" t="str">
        <f>+INDEX([1]Detallado!$D:$D,MATCH(C196,[1]Detallado!$B:$B,0))</f>
        <v>Universal Invest Lux - Berenberg Credit Opportunities</v>
      </c>
      <c r="I196" s="28"/>
      <c r="J196" s="184" t="str">
        <f t="shared" si="5"/>
        <v>RFITD</v>
      </c>
      <c r="O196" s="28" t="s">
        <v>4915</v>
      </c>
      <c r="P196" s="28" t="s">
        <v>4894</v>
      </c>
    </row>
    <row r="197" spans="3:16" x14ac:dyDescent="0.25">
      <c r="C197" s="28" t="s">
        <v>2377</v>
      </c>
      <c r="D197" s="188" t="e">
        <f>+INDEX([1]Detallado!$F:$F,MATCH($C197,[1]Detallado!$B:$B,0))</f>
        <v>#N/A</v>
      </c>
      <c r="E197" s="31" t="e">
        <f>+INDEX([1]Detallado!$Q:$Q,MATCH($C197,[1]Detallado!$B:$B,0))</f>
        <v>#N/A</v>
      </c>
      <c r="F197" s="185" t="s">
        <v>4355</v>
      </c>
      <c r="G197" s="186" t="e">
        <f t="shared" si="4"/>
        <v>#N/A</v>
      </c>
      <c r="H197" s="187" t="e">
        <f>+INDEX([1]Detallado!$D:$D,MATCH(C197,[1]Detallado!$B:$B,0))</f>
        <v>#N/A</v>
      </c>
      <c r="I197" s="28"/>
      <c r="J197" s="184" t="e">
        <f t="shared" si="5"/>
        <v>#N/A</v>
      </c>
      <c r="O197" s="28" t="s">
        <v>4916</v>
      </c>
      <c r="P197" s="28" t="s">
        <v>4894</v>
      </c>
    </row>
    <row r="198" spans="3:16" x14ac:dyDescent="0.25">
      <c r="C198" s="28" t="s">
        <v>2931</v>
      </c>
      <c r="D198" s="188" t="str">
        <f>+INDEX([1]Detallado!$F:$F,MATCH($C198,[1]Detallado!$B:$B,0))</f>
        <v>Renta Fija</v>
      </c>
      <c r="E198" s="31" t="str">
        <f>+INDEX([1]Detallado!$Q:$Q,MATCH($C198,[1]Detallado!$B:$B,0))</f>
        <v>RFIG</v>
      </c>
      <c r="F198" s="185" t="s">
        <v>4355</v>
      </c>
      <c r="G198" s="186" t="str">
        <f t="shared" si="4"/>
        <v>52RFIG</v>
      </c>
      <c r="H198" s="187" t="str">
        <f>+INDEX([1]Detallado!$D:$D,MATCH(C198,[1]Detallado!$B:$B,0))</f>
        <v>Azimut - Fund 1 Hybrid Bonds</v>
      </c>
      <c r="I198" s="28"/>
      <c r="J198" s="184" t="str">
        <f t="shared" si="5"/>
        <v>RFITD</v>
      </c>
      <c r="O198" s="28" t="s">
        <v>4532</v>
      </c>
      <c r="P198" s="28" t="s">
        <v>4902</v>
      </c>
    </row>
    <row r="199" spans="3:16" x14ac:dyDescent="0.25">
      <c r="C199" s="28" t="s">
        <v>2932</v>
      </c>
      <c r="D199" s="188" t="str">
        <f>+INDEX([1]Detallado!$F:$F,MATCH($C199,[1]Detallado!$B:$B,0))</f>
        <v>Renta Fija</v>
      </c>
      <c r="E199" s="31" t="str">
        <f>+INDEX([1]Detallado!$Q:$Q,MATCH($C199,[1]Detallado!$B:$B,0))</f>
        <v>RFIG</v>
      </c>
      <c r="F199" s="185" t="s">
        <v>4355</v>
      </c>
      <c r="G199" s="186" t="str">
        <f t="shared" si="4"/>
        <v>52RFIG</v>
      </c>
      <c r="H199" s="187" t="str">
        <f>+INDEX([1]Detallado!$D:$D,MATCH(C199,[1]Detallado!$B:$B,0))</f>
        <v>Azimut - Fund 1 Hybrid Bonds</v>
      </c>
      <c r="I199" s="28"/>
      <c r="J199" s="184" t="str">
        <f t="shared" si="5"/>
        <v>RFITD</v>
      </c>
      <c r="O199" s="28" t="s">
        <v>4532</v>
      </c>
      <c r="P199" s="28" t="s">
        <v>4902</v>
      </c>
    </row>
    <row r="200" spans="3:16" x14ac:dyDescent="0.25">
      <c r="C200" s="28" t="s">
        <v>2334</v>
      </c>
      <c r="D200" s="188" t="str">
        <f>+INDEX([1]Detallado!$F:$F,MATCH($C200,[1]Detallado!$B:$B,0))</f>
        <v>Renta Fija</v>
      </c>
      <c r="E200" s="31" t="str">
        <f>+INDEX([1]Detallado!$Q:$Q,MATCH($C200,[1]Detallado!$B:$B,0))</f>
        <v>RFIG</v>
      </c>
      <c r="F200" s="185" t="s">
        <v>4355</v>
      </c>
      <c r="G200" s="186" t="str">
        <f t="shared" si="4"/>
        <v>52RFIG</v>
      </c>
      <c r="H200" s="187" t="str">
        <f>+INDEX([1]Detallado!$D:$D,MATCH(C200,[1]Detallado!$B:$B,0))</f>
        <v>Robeco - Capital Growth Funds High Yield Bonds</v>
      </c>
      <c r="I200" s="28"/>
      <c r="J200" s="184" t="str">
        <f t="shared" si="5"/>
        <v>RFITD</v>
      </c>
      <c r="O200" s="28" t="s">
        <v>4532</v>
      </c>
      <c r="P200" s="28" t="s">
        <v>4902</v>
      </c>
    </row>
    <row r="201" spans="3:16" x14ac:dyDescent="0.25">
      <c r="C201" s="28" t="s">
        <v>634</v>
      </c>
      <c r="D201" s="188" t="str">
        <f>+INDEX([1]Detallado!$F:$F,MATCH($C201,[1]Detallado!$B:$B,0))</f>
        <v>Renta Fija</v>
      </c>
      <c r="E201" s="31" t="str">
        <f>+INDEX([1]Detallado!$Q:$Q,MATCH($C201,[1]Detallado!$B:$B,0))</f>
        <v>RFIG</v>
      </c>
      <c r="F201" s="185" t="s">
        <v>4355</v>
      </c>
      <c r="G201" s="186" t="str">
        <f t="shared" si="4"/>
        <v>52RFIG</v>
      </c>
      <c r="H201" s="187" t="str">
        <f>+INDEX([1]Detallado!$D:$D,MATCH(C201,[1]Detallado!$B:$B,0))</f>
        <v>Robeco Luxembourg S.A.</v>
      </c>
      <c r="I201" s="28"/>
      <c r="J201" s="184" t="str">
        <f t="shared" si="5"/>
        <v>RFITD</v>
      </c>
      <c r="O201" s="28" t="s">
        <v>4532</v>
      </c>
      <c r="P201" s="28" t="s">
        <v>4902</v>
      </c>
    </row>
    <row r="202" spans="3:16" x14ac:dyDescent="0.25">
      <c r="C202" s="28" t="s">
        <v>1565</v>
      </c>
      <c r="D202" s="188" t="str">
        <f>+INDEX([1]Detallado!$F:$F,MATCH($C202,[1]Detallado!$B:$B,0))</f>
        <v>Renta Fija</v>
      </c>
      <c r="E202" s="31" t="str">
        <f>+INDEX([1]Detallado!$Q:$Q,MATCH($C202,[1]Detallado!$B:$B,0))</f>
        <v>RFIG</v>
      </c>
      <c r="F202" s="185" t="s">
        <v>4355</v>
      </c>
      <c r="G202" s="186" t="str">
        <f t="shared" ref="G202:G265" si="6">LEFT(C202,2)&amp;E202</f>
        <v>52RFIG</v>
      </c>
      <c r="H202" s="187" t="str">
        <f>+INDEX([1]Detallado!$D:$D,MATCH(C202,[1]Detallado!$B:$B,0))</f>
        <v>BlackRock - iShares EM High Yield Bond</v>
      </c>
      <c r="I202" s="28"/>
      <c r="J202" s="184" t="str">
        <f t="shared" ref="J202:J265" si="7">IF(E202="ALT",LEFT(E202,3),LEFT(E202,3)&amp;F202)</f>
        <v>RFITD</v>
      </c>
      <c r="O202" s="28" t="s">
        <v>4532</v>
      </c>
      <c r="P202" s="28" t="s">
        <v>4902</v>
      </c>
    </row>
    <row r="203" spans="3:16" x14ac:dyDescent="0.25">
      <c r="C203" s="28" t="s">
        <v>1934</v>
      </c>
      <c r="D203" s="188" t="str">
        <f>+INDEX([1]Detallado!$F:$F,MATCH($C203,[1]Detallado!$B:$B,0))</f>
        <v>Renta Fija</v>
      </c>
      <c r="E203" s="31" t="str">
        <f>+INDEX([1]Detallado!$Q:$Q,MATCH($C203,[1]Detallado!$B:$B,0))</f>
        <v>RFIG</v>
      </c>
      <c r="F203" s="185" t="s">
        <v>4355</v>
      </c>
      <c r="G203" s="186" t="str">
        <f t="shared" si="6"/>
        <v>52RFIG</v>
      </c>
      <c r="H203" s="187" t="str">
        <f>+INDEX([1]Detallado!$D:$D,MATCH(C203,[1]Detallado!$B:$B,0))</f>
        <v>Pimco - Global High Yield Bond Fund</v>
      </c>
      <c r="I203" s="28"/>
      <c r="J203" s="184" t="str">
        <f t="shared" si="7"/>
        <v>RFITD</v>
      </c>
      <c r="O203" s="28" t="s">
        <v>4532</v>
      </c>
      <c r="P203" s="28" t="s">
        <v>4902</v>
      </c>
    </row>
    <row r="204" spans="3:16" x14ac:dyDescent="0.25">
      <c r="C204" s="28" t="s">
        <v>1674</v>
      </c>
      <c r="D204" s="188" t="str">
        <f>+INDEX([1]Detallado!$F:$F,MATCH($C204,[1]Detallado!$B:$B,0))</f>
        <v>Renta Fija</v>
      </c>
      <c r="E204" s="31" t="str">
        <f>+INDEX([1]Detallado!$Q:$Q,MATCH($C204,[1]Detallado!$B:$B,0))</f>
        <v>RFIG</v>
      </c>
      <c r="F204" s="185" t="s">
        <v>4355</v>
      </c>
      <c r="G204" s="186" t="str">
        <f t="shared" si="6"/>
        <v>52RFIG</v>
      </c>
      <c r="H204" s="187" t="str">
        <f>+INDEX([1]Detallado!$D:$D,MATCH(C204,[1]Detallado!$B:$B,0))</f>
        <v>Pimco - US High Yield Bond</v>
      </c>
      <c r="I204" s="28"/>
      <c r="J204" s="184" t="str">
        <f t="shared" si="7"/>
        <v>RFITD</v>
      </c>
      <c r="O204" s="28" t="s">
        <v>4532</v>
      </c>
      <c r="P204" s="28" t="s">
        <v>4902</v>
      </c>
    </row>
    <row r="205" spans="3:16" x14ac:dyDescent="0.25">
      <c r="C205" s="28" t="s">
        <v>651</v>
      </c>
      <c r="D205" s="188" t="str">
        <f>+INDEX([1]Detallado!$F:$F,MATCH($C205,[1]Detallado!$B:$B,0))</f>
        <v>Renta Fija</v>
      </c>
      <c r="E205" s="31" t="str">
        <f>+INDEX([1]Detallado!$Q:$Q,MATCH($C205,[1]Detallado!$B:$B,0))</f>
        <v>RFIG</v>
      </c>
      <c r="F205" s="185" t="s">
        <v>4355</v>
      </c>
      <c r="G205" s="186" t="str">
        <f t="shared" si="6"/>
        <v>52RFIG</v>
      </c>
      <c r="H205" s="187" t="str">
        <f>+INDEX([1]Detallado!$D:$D,MATCH(C205,[1]Detallado!$B:$B,0))</f>
        <v>Pimco - US High Yield Bond</v>
      </c>
      <c r="I205" s="28"/>
      <c r="J205" s="184" t="str">
        <f t="shared" si="7"/>
        <v>RFITD</v>
      </c>
      <c r="O205" s="28" t="s">
        <v>4532</v>
      </c>
      <c r="P205" s="28" t="s">
        <v>4902</v>
      </c>
    </row>
    <row r="206" spans="3:16" x14ac:dyDescent="0.25">
      <c r="C206" s="28" t="s">
        <v>2554</v>
      </c>
      <c r="D206" s="188" t="e">
        <f>+INDEX([1]Detallado!$F:$F,MATCH($C206,[1]Detallado!$B:$B,0))</f>
        <v>#N/A</v>
      </c>
      <c r="E206" s="31" t="e">
        <f>+INDEX([1]Detallado!$Q:$Q,MATCH($C206,[1]Detallado!$B:$B,0))</f>
        <v>#N/A</v>
      </c>
      <c r="F206" s="185" t="s">
        <v>4355</v>
      </c>
      <c r="G206" s="186" t="e">
        <f t="shared" si="6"/>
        <v>#N/A</v>
      </c>
      <c r="H206" s="187" t="e">
        <f>+INDEX([1]Detallado!$D:$D,MATCH(C206,[1]Detallado!$B:$B,0))</f>
        <v>#N/A</v>
      </c>
      <c r="I206" s="28"/>
      <c r="J206" s="184" t="e">
        <f t="shared" si="7"/>
        <v>#N/A</v>
      </c>
      <c r="O206" s="28" t="s">
        <v>4532</v>
      </c>
      <c r="P206" s="28" t="s">
        <v>4902</v>
      </c>
    </row>
    <row r="207" spans="3:16" x14ac:dyDescent="0.25">
      <c r="C207" s="28" t="s">
        <v>2933</v>
      </c>
      <c r="D207" s="188" t="str">
        <f>+INDEX([1]Detallado!$F:$F,MATCH($C207,[1]Detallado!$B:$B,0))</f>
        <v>Renta Fija</v>
      </c>
      <c r="E207" s="31" t="str">
        <f>+INDEX([1]Detallado!$Q:$Q,MATCH($C207,[1]Detallado!$B:$B,0))</f>
        <v>RFIG</v>
      </c>
      <c r="F207" s="185" t="s">
        <v>4355</v>
      </c>
      <c r="G207" s="186" t="str">
        <f t="shared" si="6"/>
        <v>52RFIG</v>
      </c>
      <c r="H207" s="187" t="str">
        <f>+INDEX([1]Detallado!$D:$D,MATCH(C207,[1]Detallado!$B:$B,0))</f>
        <v>Amundi / Pioneer - Global Subordinated Bond</v>
      </c>
      <c r="I207" s="28"/>
      <c r="J207" s="184" t="str">
        <f t="shared" si="7"/>
        <v>RFITD</v>
      </c>
      <c r="O207" s="28" t="s">
        <v>4532</v>
      </c>
      <c r="P207" s="28" t="s">
        <v>4902</v>
      </c>
    </row>
    <row r="208" spans="3:16" x14ac:dyDescent="0.25">
      <c r="C208" s="28" t="s">
        <v>2451</v>
      </c>
      <c r="D208" s="188" t="e">
        <f>+INDEX([1]Detallado!$F:$F,MATCH($C208,[1]Detallado!$B:$B,0))</f>
        <v>#N/A</v>
      </c>
      <c r="E208" s="31" t="e">
        <f>+INDEX([1]Detallado!$Q:$Q,MATCH($C208,[1]Detallado!$B:$B,0))</f>
        <v>#N/A</v>
      </c>
      <c r="F208" s="185" t="s">
        <v>4355</v>
      </c>
      <c r="G208" s="186" t="e">
        <f t="shared" si="6"/>
        <v>#N/A</v>
      </c>
      <c r="H208" s="187" t="e">
        <f>+INDEX([1]Detallado!$D:$D,MATCH(C208,[1]Detallado!$B:$B,0))</f>
        <v>#N/A</v>
      </c>
      <c r="I208" s="28"/>
      <c r="J208" s="184" t="e">
        <f t="shared" si="7"/>
        <v>#N/A</v>
      </c>
      <c r="O208" s="28" t="s">
        <v>4917</v>
      </c>
      <c r="P208" s="28" t="s">
        <v>4902</v>
      </c>
    </row>
    <row r="209" spans="3:16" x14ac:dyDescent="0.25">
      <c r="C209" s="28" t="s">
        <v>1892</v>
      </c>
      <c r="D209" s="188" t="str">
        <f>+INDEX([1]Detallado!$F:$F,MATCH($C209,[1]Detallado!$B:$B,0))</f>
        <v>Renta Fija</v>
      </c>
      <c r="E209" s="31" t="str">
        <f>+INDEX([1]Detallado!$Q:$Q,MATCH($C209,[1]Detallado!$B:$B,0))</f>
        <v>RFIG</v>
      </c>
      <c r="F209" s="185" t="s">
        <v>4355</v>
      </c>
      <c r="G209" s="186" t="str">
        <f t="shared" si="6"/>
        <v>52RFIG</v>
      </c>
      <c r="H209" s="187" t="str">
        <f>+INDEX([1]Detallado!$D:$D,MATCH(C209,[1]Detallado!$B:$B,0))</f>
        <v>Schroders - Global High Yield</v>
      </c>
      <c r="I209" s="28"/>
      <c r="J209" s="184" t="str">
        <f t="shared" si="7"/>
        <v>RFITD</v>
      </c>
      <c r="O209" s="28" t="s">
        <v>4917</v>
      </c>
      <c r="P209" s="28" t="s">
        <v>4902</v>
      </c>
    </row>
    <row r="210" spans="3:16" x14ac:dyDescent="0.25">
      <c r="C210" s="28" t="s">
        <v>671</v>
      </c>
      <c r="D210" s="188" t="str">
        <f>+INDEX([1]Detallado!$F:$F,MATCH($C210,[1]Detallado!$B:$B,0))</f>
        <v>Renta Fija</v>
      </c>
      <c r="E210" s="31" t="str">
        <f>+INDEX([1]Detallado!$Q:$Q,MATCH($C210,[1]Detallado!$B:$B,0))</f>
        <v>RFIG</v>
      </c>
      <c r="F210" s="185" t="s">
        <v>4355</v>
      </c>
      <c r="G210" s="186" t="str">
        <f t="shared" si="6"/>
        <v>52RFIG</v>
      </c>
      <c r="H210" s="187" t="str">
        <f>+INDEX([1]Detallado!$D:$D,MATCH(C210,[1]Detallado!$B:$B,0))</f>
        <v>Lazard Capital Fi</v>
      </c>
      <c r="I210" s="28"/>
      <c r="J210" s="184" t="str">
        <f t="shared" si="7"/>
        <v>RFITD</v>
      </c>
      <c r="O210" s="28" t="s">
        <v>4917</v>
      </c>
      <c r="P210" s="28" t="s">
        <v>4902</v>
      </c>
    </row>
    <row r="211" spans="3:16" x14ac:dyDescent="0.25">
      <c r="C211" s="28" t="s">
        <v>2934</v>
      </c>
      <c r="D211" s="188" t="str">
        <f>+INDEX([1]Detallado!$F:$F,MATCH($C211,[1]Detallado!$B:$B,0))</f>
        <v>Renta Fija</v>
      </c>
      <c r="E211" s="31" t="str">
        <f>+INDEX([1]Detallado!$Q:$Q,MATCH($C211,[1]Detallado!$B:$B,0))</f>
        <v>RFIG</v>
      </c>
      <c r="F211" s="185" t="s">
        <v>4355</v>
      </c>
      <c r="G211" s="186" t="str">
        <f t="shared" si="6"/>
        <v>52RFIG</v>
      </c>
      <c r="H211" s="187" t="str">
        <f>+INDEX([1]Detallado!$D:$D,MATCH(C211,[1]Detallado!$B:$B,0))</f>
        <v>Amundi / Pioneer - Strategic Income</v>
      </c>
      <c r="I211" s="28"/>
      <c r="J211" s="184" t="str">
        <f t="shared" si="7"/>
        <v>RFITD</v>
      </c>
      <c r="O211" s="28" t="s">
        <v>4917</v>
      </c>
      <c r="P211" s="28" t="s">
        <v>4902</v>
      </c>
    </row>
    <row r="212" spans="3:16" x14ac:dyDescent="0.25">
      <c r="C212" s="28" t="s">
        <v>2171</v>
      </c>
      <c r="D212" s="188" t="str">
        <f>+INDEX([1]Detallado!$F:$F,MATCH($C212,[1]Detallado!$B:$B,0))</f>
        <v>Renta Fija</v>
      </c>
      <c r="E212" s="31" t="str">
        <f>+INDEX([1]Detallado!$Q:$Q,MATCH($C212,[1]Detallado!$B:$B,0))</f>
        <v>RFIG</v>
      </c>
      <c r="F212" s="185" t="s">
        <v>4355</v>
      </c>
      <c r="G212" s="186" t="str">
        <f t="shared" si="6"/>
        <v>52RFIG</v>
      </c>
      <c r="H212" s="187" t="str">
        <f>+INDEX([1]Detallado!$D:$D,MATCH(C212,[1]Detallado!$B:$B,0))</f>
        <v>DWS Invest - Money Market</v>
      </c>
      <c r="I212" s="28"/>
      <c r="J212" s="184" t="str">
        <f t="shared" si="7"/>
        <v>RFITD</v>
      </c>
      <c r="O212" s="28" t="s">
        <v>4917</v>
      </c>
      <c r="P212" s="28" t="s">
        <v>4902</v>
      </c>
    </row>
    <row r="213" spans="3:16" x14ac:dyDescent="0.25">
      <c r="C213" s="28" t="s">
        <v>939</v>
      </c>
      <c r="D213" s="188" t="str">
        <f>+INDEX([1]Detallado!$F:$F,MATCH($C213,[1]Detallado!$B:$B,0))</f>
        <v>Renta Fija</v>
      </c>
      <c r="E213" s="31" t="str">
        <f>+INDEX([1]Detallado!$Q:$Q,MATCH($C213,[1]Detallado!$B:$B,0))</f>
        <v>RFIG</v>
      </c>
      <c r="F213" s="185" t="s">
        <v>4355</v>
      </c>
      <c r="G213" s="186" t="str">
        <f t="shared" si="6"/>
        <v>52RFIG</v>
      </c>
      <c r="H213" s="187" t="str">
        <f>+INDEX([1]Detallado!$D:$D,MATCH(C213,[1]Detallado!$B:$B,0))</f>
        <v>BlackRock - iShares iBoxx $ Investment Grade Corporate Bond ETF</v>
      </c>
      <c r="I213" s="28"/>
      <c r="J213" s="184" t="str">
        <f t="shared" si="7"/>
        <v>RFITD</v>
      </c>
      <c r="O213" s="28" t="s">
        <v>4917</v>
      </c>
      <c r="P213" s="28" t="s">
        <v>4902</v>
      </c>
    </row>
    <row r="214" spans="3:16" x14ac:dyDescent="0.25">
      <c r="C214" s="28" t="s">
        <v>1869</v>
      </c>
      <c r="D214" s="188" t="str">
        <f>+INDEX([1]Detallado!$F:$F,MATCH($C214,[1]Detallado!$B:$B,0))</f>
        <v>Renta Fija</v>
      </c>
      <c r="E214" s="31" t="str">
        <f>+INDEX([1]Detallado!$Q:$Q,MATCH($C214,[1]Detallado!$B:$B,0))</f>
        <v>RFIG</v>
      </c>
      <c r="F214" s="185" t="s">
        <v>4355</v>
      </c>
      <c r="G214" s="186" t="str">
        <f t="shared" si="6"/>
        <v>52RFIG</v>
      </c>
      <c r="H214" s="187" t="str">
        <f>+INDEX([1]Detallado!$D:$D,MATCH(C214,[1]Detallado!$B:$B,0))</f>
        <v>BlackRock - iShares USD Corp Bond UCITS</v>
      </c>
      <c r="I214" s="28"/>
      <c r="J214" s="184" t="str">
        <f t="shared" si="7"/>
        <v>RFITD</v>
      </c>
      <c r="O214" s="28" t="s">
        <v>4917</v>
      </c>
      <c r="P214" s="28" t="s">
        <v>4902</v>
      </c>
    </row>
    <row r="215" spans="3:16" x14ac:dyDescent="0.25">
      <c r="C215" s="28" t="s">
        <v>1865</v>
      </c>
      <c r="D215" s="188" t="str">
        <f>+INDEX([1]Detallado!$F:$F,MATCH($C215,[1]Detallado!$B:$B,0))</f>
        <v>Renta Fija</v>
      </c>
      <c r="E215" s="31" t="str">
        <f>+INDEX([1]Detallado!$Q:$Q,MATCH($C215,[1]Detallado!$B:$B,0))</f>
        <v>RFIG</v>
      </c>
      <c r="F215" s="185" t="s">
        <v>4355</v>
      </c>
      <c r="G215" s="186" t="str">
        <f t="shared" si="6"/>
        <v>52RFIG</v>
      </c>
      <c r="H215" s="187" t="str">
        <f>+INDEX([1]Detallado!$D:$D,MATCH(C215,[1]Detallado!$B:$B,0))</f>
        <v>Goldman Sachs - US Fixed Income Portfolio</v>
      </c>
      <c r="I215" s="28"/>
      <c r="J215" s="184" t="str">
        <f t="shared" si="7"/>
        <v>RFITD</v>
      </c>
      <c r="O215" s="28" t="s">
        <v>4917</v>
      </c>
      <c r="P215" s="28" t="s">
        <v>4902</v>
      </c>
    </row>
    <row r="216" spans="3:16" x14ac:dyDescent="0.25">
      <c r="C216" s="28" t="s">
        <v>2239</v>
      </c>
      <c r="D216" s="188" t="str">
        <f>+INDEX([1]Detallado!$F:$F,MATCH($C216,[1]Detallado!$B:$B,0))</f>
        <v>Renta Fija</v>
      </c>
      <c r="E216" s="31" t="str">
        <f>+INDEX([1]Detallado!$Q:$Q,MATCH($C216,[1]Detallado!$B:$B,0))</f>
        <v>RFIG</v>
      </c>
      <c r="F216" s="185" t="s">
        <v>4355</v>
      </c>
      <c r="G216" s="186" t="str">
        <f t="shared" si="6"/>
        <v>52RFIG</v>
      </c>
      <c r="H216" s="187" t="str">
        <f>+INDEX([1]Detallado!$D:$D,MATCH(C216,[1]Detallado!$B:$B,0))</f>
        <v>Santander - Select Moderate</v>
      </c>
      <c r="I216" s="28"/>
      <c r="J216" s="184" t="str">
        <f t="shared" si="7"/>
        <v>RFITD</v>
      </c>
      <c r="O216" s="28" t="s">
        <v>4917</v>
      </c>
      <c r="P216" s="28" t="s">
        <v>4902</v>
      </c>
    </row>
    <row r="217" spans="3:16" x14ac:dyDescent="0.25">
      <c r="C217" s="28" t="s">
        <v>1965</v>
      </c>
      <c r="D217" s="188" t="str">
        <f>+INDEX([1]Detallado!$F:$F,MATCH($C217,[1]Detallado!$B:$B,0))</f>
        <v>Renta Fija</v>
      </c>
      <c r="E217" s="31" t="str">
        <f>+INDEX([1]Detallado!$Q:$Q,MATCH($C217,[1]Detallado!$B:$B,0))</f>
        <v>RFIG</v>
      </c>
      <c r="F217" s="185" t="s">
        <v>4355</v>
      </c>
      <c r="G217" s="186" t="str">
        <f t="shared" si="6"/>
        <v>52RFIG</v>
      </c>
      <c r="H217" s="187" t="str">
        <f>+INDEX([1]Detallado!$D:$D,MATCH(C217,[1]Detallado!$B:$B,0))</f>
        <v>Pimco - Global Investment Grade Credit Fund</v>
      </c>
      <c r="I217" s="28"/>
      <c r="J217" s="184" t="str">
        <f t="shared" si="7"/>
        <v>RFITD</v>
      </c>
      <c r="O217" s="28" t="s">
        <v>4917</v>
      </c>
      <c r="P217" s="28" t="s">
        <v>4902</v>
      </c>
    </row>
    <row r="218" spans="3:16" x14ac:dyDescent="0.25">
      <c r="C218" s="28" t="s">
        <v>2082</v>
      </c>
      <c r="D218" s="188" t="str">
        <f>+INDEX([1]Detallado!$F:$F,MATCH($C218,[1]Detallado!$B:$B,0))</f>
        <v>Renta Fija</v>
      </c>
      <c r="E218" s="31" t="str">
        <f>+INDEX([1]Detallado!$Q:$Q,MATCH($C218,[1]Detallado!$B:$B,0))</f>
        <v>RFIG</v>
      </c>
      <c r="F218" s="185" t="s">
        <v>4355</v>
      </c>
      <c r="G218" s="186" t="str">
        <f t="shared" si="6"/>
        <v>52RFIG</v>
      </c>
      <c r="H218" s="187" t="str">
        <f>+INDEX([1]Detallado!$D:$D,MATCH(C218,[1]Detallado!$B:$B,0))</f>
        <v>NN - Flex Senior Loans</v>
      </c>
      <c r="I218" s="28"/>
      <c r="J218" s="184" t="str">
        <f t="shared" si="7"/>
        <v>RFITD</v>
      </c>
      <c r="O218" s="28" t="s">
        <v>4492</v>
      </c>
      <c r="P218" s="28" t="s">
        <v>4894</v>
      </c>
    </row>
    <row r="219" spans="3:16" x14ac:dyDescent="0.25">
      <c r="C219" s="28" t="s">
        <v>2935</v>
      </c>
      <c r="D219" s="188" t="str">
        <f>+INDEX([1]Detallado!$F:$F,MATCH($C219,[1]Detallado!$B:$B,0))</f>
        <v>Renta Fija</v>
      </c>
      <c r="E219" s="31" t="str">
        <f>+INDEX([1]Detallado!$Q:$Q,MATCH($C219,[1]Detallado!$B:$B,0))</f>
        <v>RFIG</v>
      </c>
      <c r="F219" s="185" t="s">
        <v>4355</v>
      </c>
      <c r="G219" s="186" t="str">
        <f t="shared" si="6"/>
        <v>52RFIG</v>
      </c>
      <c r="H219" s="187" t="str">
        <f>+INDEX([1]Detallado!$D:$D,MATCH(C219,[1]Detallado!$B:$B,0))</f>
        <v>Invesco - US Senior Loans</v>
      </c>
      <c r="I219" s="28"/>
      <c r="J219" s="184" t="str">
        <f t="shared" si="7"/>
        <v>RFITD</v>
      </c>
      <c r="O219" s="28" t="s">
        <v>4534</v>
      </c>
      <c r="P219" s="28" t="s">
        <v>1324</v>
      </c>
    </row>
    <row r="220" spans="3:16" x14ac:dyDescent="0.25">
      <c r="C220" s="28" t="s">
        <v>1582</v>
      </c>
      <c r="D220" s="188" t="str">
        <f>+INDEX([1]Detallado!$F:$F,MATCH($C220,[1]Detallado!$B:$B,0))</f>
        <v>Renta Fija</v>
      </c>
      <c r="E220" s="31" t="str">
        <f>+INDEX([1]Detallado!$Q:$Q,MATCH($C220,[1]Detallado!$B:$B,0))</f>
        <v>RFIG</v>
      </c>
      <c r="F220" s="185" t="s">
        <v>4355</v>
      </c>
      <c r="G220" s="186" t="str">
        <f t="shared" si="6"/>
        <v>52RFIG</v>
      </c>
      <c r="H220" s="187" t="str">
        <f>+INDEX([1]Detallado!$D:$D,MATCH(C220,[1]Detallado!$B:$B,0))</f>
        <v>State Street - Blackstone Senior Loans</v>
      </c>
      <c r="I220" s="28"/>
      <c r="J220" s="184" t="str">
        <f t="shared" si="7"/>
        <v>RFITD</v>
      </c>
      <c r="O220" s="28" t="s">
        <v>4534</v>
      </c>
      <c r="P220" s="28" t="s">
        <v>1324</v>
      </c>
    </row>
    <row r="221" spans="3:16" x14ac:dyDescent="0.25">
      <c r="C221" s="28" t="s">
        <v>2274</v>
      </c>
      <c r="D221" s="188" t="str">
        <f>+INDEX([1]Detallado!$F:$F,MATCH($C221,[1]Detallado!$B:$B,0))</f>
        <v>Renta Fija</v>
      </c>
      <c r="E221" s="31" t="str">
        <f>+INDEX([1]Detallado!$Q:$Q,MATCH($C221,[1]Detallado!$B:$B,0))</f>
        <v>RFIG</v>
      </c>
      <c r="F221" s="185" t="s">
        <v>4355</v>
      </c>
      <c r="G221" s="186" t="str">
        <f t="shared" si="6"/>
        <v>52RFIG</v>
      </c>
      <c r="H221" s="187" t="str">
        <f>+INDEX([1]Detallado!$D:$D,MATCH(C221,[1]Detallado!$B:$B,0))</f>
        <v>Credit Suisse - Global Senior Loans</v>
      </c>
      <c r="I221" s="28"/>
      <c r="J221" s="184" t="str">
        <f t="shared" si="7"/>
        <v>RFITD</v>
      </c>
      <c r="O221" s="28" t="s">
        <v>4534</v>
      </c>
      <c r="P221" s="28" t="s">
        <v>1324</v>
      </c>
    </row>
    <row r="222" spans="3:16" x14ac:dyDescent="0.25">
      <c r="C222" s="28" t="s">
        <v>2936</v>
      </c>
      <c r="D222" s="188" t="str">
        <f>+INDEX([1]Detallado!$F:$F,MATCH($C222,[1]Detallado!$B:$B,0))</f>
        <v>Renta Fija</v>
      </c>
      <c r="E222" s="31" t="str">
        <f>+INDEX([1]Detallado!$Q:$Q,MATCH($C222,[1]Detallado!$B:$B,0))</f>
        <v>RFIG</v>
      </c>
      <c r="F222" s="185" t="s">
        <v>4356</v>
      </c>
      <c r="G222" s="186" t="str">
        <f t="shared" si="6"/>
        <v>08RFIG</v>
      </c>
      <c r="H222" s="187" t="str">
        <f>+INDEX([1]Detallado!$D:$D,MATCH(C222,[1]Detallado!$B:$B,0))</f>
        <v>Gobierno del Reino Unido</v>
      </c>
      <c r="I222" s="28"/>
      <c r="J222" s="184" t="str">
        <f t="shared" si="7"/>
        <v>RFIGOB</v>
      </c>
      <c r="O222" s="28" t="s">
        <v>4534</v>
      </c>
      <c r="P222" s="28" t="s">
        <v>1324</v>
      </c>
    </row>
    <row r="223" spans="3:16" x14ac:dyDescent="0.25">
      <c r="C223" s="28" t="s">
        <v>2937</v>
      </c>
      <c r="D223" s="188" t="str">
        <f>+INDEX([1]Detallado!$F:$F,MATCH($C223,[1]Detallado!$B:$B,0))</f>
        <v>Renta Fija</v>
      </c>
      <c r="E223" s="31" t="str">
        <f>+INDEX([1]Detallado!$Q:$Q,MATCH($C223,[1]Detallado!$B:$B,0))</f>
        <v>RFIG</v>
      </c>
      <c r="F223" s="185" t="s">
        <v>4356</v>
      </c>
      <c r="G223" s="186" t="str">
        <f t="shared" si="6"/>
        <v>08RFIG</v>
      </c>
      <c r="H223" s="187" t="str">
        <f>+INDEX([1]Detallado!$D:$D,MATCH(C223,[1]Detallado!$B:$B,0))</f>
        <v>Gobierno del Reino Unido</v>
      </c>
      <c r="I223" s="28"/>
      <c r="J223" s="184" t="str">
        <f t="shared" si="7"/>
        <v>RFIGOB</v>
      </c>
      <c r="O223" s="28" t="s">
        <v>4534</v>
      </c>
      <c r="P223" s="28" t="s">
        <v>1324</v>
      </c>
    </row>
    <row r="224" spans="3:16" x14ac:dyDescent="0.25">
      <c r="C224" s="28" t="s">
        <v>873</v>
      </c>
      <c r="D224" s="188" t="str">
        <f>+INDEX([1]Detallado!$F:$F,MATCH($C224,[1]Detallado!$B:$B,0))</f>
        <v>Renta Fija</v>
      </c>
      <c r="E224" s="31" t="str">
        <f>+INDEX([1]Detallado!$Q:$Q,MATCH($C224,[1]Detallado!$B:$B,0))</f>
        <v>RFIG</v>
      </c>
      <c r="F224" s="185" t="s">
        <v>4356</v>
      </c>
      <c r="G224" s="186" t="str">
        <f t="shared" si="6"/>
        <v>08RFIG</v>
      </c>
      <c r="H224" s="187" t="str">
        <f>+INDEX([1]Detallado!$D:$D,MATCH(C224,[1]Detallado!$B:$B,0))</f>
        <v>Gobierno de Australia</v>
      </c>
      <c r="I224" s="28"/>
      <c r="J224" s="184" t="str">
        <f t="shared" si="7"/>
        <v>RFIGOB</v>
      </c>
      <c r="O224" s="28" t="s">
        <v>4534</v>
      </c>
      <c r="P224" s="28" t="s">
        <v>1324</v>
      </c>
    </row>
    <row r="225" spans="3:16" x14ac:dyDescent="0.25">
      <c r="C225" s="28" t="s">
        <v>871</v>
      </c>
      <c r="D225" s="188" t="str">
        <f>+INDEX([1]Detallado!$F:$F,MATCH($C225,[1]Detallado!$B:$B,0))</f>
        <v>Renta Fija</v>
      </c>
      <c r="E225" s="31" t="str">
        <f>+INDEX([1]Detallado!$Q:$Q,MATCH($C225,[1]Detallado!$B:$B,0))</f>
        <v>RFIG</v>
      </c>
      <c r="F225" s="185" t="s">
        <v>4356</v>
      </c>
      <c r="G225" s="186" t="str">
        <f t="shared" si="6"/>
        <v>08RFIG</v>
      </c>
      <c r="H225" s="187" t="str">
        <f>+INDEX([1]Detallado!$D:$D,MATCH(C225,[1]Detallado!$B:$B,0))</f>
        <v>Gobierno de Australia</v>
      </c>
      <c r="I225" s="28"/>
      <c r="J225" s="184" t="str">
        <f t="shared" si="7"/>
        <v>RFIGOB</v>
      </c>
      <c r="O225" s="28" t="s">
        <v>4534</v>
      </c>
      <c r="P225" s="28" t="s">
        <v>1324</v>
      </c>
    </row>
    <row r="226" spans="3:16" x14ac:dyDescent="0.25">
      <c r="C226" s="28" t="s">
        <v>2938</v>
      </c>
      <c r="D226" s="188" t="str">
        <f>+INDEX([1]Detallado!$F:$F,MATCH($C226,[1]Detallado!$B:$B,0))</f>
        <v>Renta Fija</v>
      </c>
      <c r="E226" s="31" t="str">
        <f>+INDEX([1]Detallado!$Q:$Q,MATCH($C226,[1]Detallado!$B:$B,0))</f>
        <v>RFIG</v>
      </c>
      <c r="F226" s="185" t="s">
        <v>4356</v>
      </c>
      <c r="G226" s="186" t="str">
        <f t="shared" si="6"/>
        <v>08RFIG</v>
      </c>
      <c r="H226" s="187" t="str">
        <f>+INDEX([1]Detallado!$D:$D,MATCH(C226,[1]Detallado!$B:$B,0))</f>
        <v>Gobierno de Australia</v>
      </c>
      <c r="I226" s="28"/>
      <c r="J226" s="184" t="str">
        <f t="shared" si="7"/>
        <v>RFIGOB</v>
      </c>
      <c r="O226" s="28" t="s">
        <v>4534</v>
      </c>
      <c r="P226" s="28" t="s">
        <v>1324</v>
      </c>
    </row>
    <row r="227" spans="3:16" x14ac:dyDescent="0.25">
      <c r="C227" s="28" t="s">
        <v>2939</v>
      </c>
      <c r="D227" s="188" t="str">
        <f>+INDEX([1]Detallado!$F:$F,MATCH($C227,[1]Detallado!$B:$B,0))</f>
        <v>Renta Fija</v>
      </c>
      <c r="E227" s="31" t="str">
        <f>+INDEX([1]Detallado!$Q:$Q,MATCH($C227,[1]Detallado!$B:$B,0))</f>
        <v>RFIG</v>
      </c>
      <c r="F227" s="185" t="s">
        <v>4356</v>
      </c>
      <c r="G227" s="186" t="str">
        <f t="shared" si="6"/>
        <v>08RFIG</v>
      </c>
      <c r="H227" s="187" t="str">
        <f>+INDEX([1]Detallado!$D:$D,MATCH(C227,[1]Detallado!$B:$B,0))</f>
        <v>Gobierno de Australia</v>
      </c>
      <c r="I227" s="28"/>
      <c r="J227" s="184" t="str">
        <f t="shared" si="7"/>
        <v>RFIGOB</v>
      </c>
      <c r="O227" s="28" t="s">
        <v>4534</v>
      </c>
      <c r="P227" s="28" t="s">
        <v>1324</v>
      </c>
    </row>
    <row r="228" spans="3:16" x14ac:dyDescent="0.25">
      <c r="C228" s="28" t="s">
        <v>2940</v>
      </c>
      <c r="D228" s="188" t="str">
        <f>+INDEX([1]Detallado!$F:$F,MATCH($C228,[1]Detallado!$B:$B,0))</f>
        <v>Renta Fija</v>
      </c>
      <c r="E228" s="31" t="str">
        <f>+INDEX([1]Detallado!$Q:$Q,MATCH($C228,[1]Detallado!$B:$B,0))</f>
        <v>RFIG</v>
      </c>
      <c r="F228" s="185" t="s">
        <v>4356</v>
      </c>
      <c r="G228" s="186" t="str">
        <f t="shared" si="6"/>
        <v>08RFIG</v>
      </c>
      <c r="H228" s="187" t="str">
        <f>+INDEX([1]Detallado!$D:$D,MATCH(C228,[1]Detallado!$B:$B,0))</f>
        <v>Gobierno de Australia</v>
      </c>
      <c r="I228" s="28"/>
      <c r="J228" s="184" t="str">
        <f t="shared" si="7"/>
        <v>RFIGOB</v>
      </c>
      <c r="O228" s="28" t="s">
        <v>4534</v>
      </c>
      <c r="P228" s="28" t="s">
        <v>1324</v>
      </c>
    </row>
    <row r="229" spans="3:16" x14ac:dyDescent="0.25">
      <c r="C229" s="28" t="s">
        <v>2941</v>
      </c>
      <c r="D229" s="188" t="str">
        <f>+INDEX([1]Detallado!$F:$F,MATCH($C229,[1]Detallado!$B:$B,0))</f>
        <v>Renta Fija</v>
      </c>
      <c r="E229" s="31" t="str">
        <f>+INDEX([1]Detallado!$Q:$Q,MATCH($C229,[1]Detallado!$B:$B,0))</f>
        <v>RFIG</v>
      </c>
      <c r="F229" s="185" t="s">
        <v>4356</v>
      </c>
      <c r="G229" s="186" t="str">
        <f t="shared" si="6"/>
        <v>08RFIG</v>
      </c>
      <c r="H229" s="187" t="str">
        <f>+INDEX([1]Detallado!$D:$D,MATCH(C229,[1]Detallado!$B:$B,0))</f>
        <v>Gobierno de Canada</v>
      </c>
      <c r="I229" s="28"/>
      <c r="J229" s="184" t="str">
        <f t="shared" si="7"/>
        <v>RFIGOB</v>
      </c>
      <c r="O229" s="28" t="s">
        <v>4534</v>
      </c>
      <c r="P229" s="28" t="s">
        <v>1324</v>
      </c>
    </row>
    <row r="230" spans="3:16" x14ac:dyDescent="0.25">
      <c r="C230" s="28" t="s">
        <v>2942</v>
      </c>
      <c r="D230" s="188" t="str">
        <f>+INDEX([1]Detallado!$F:$F,MATCH($C230,[1]Detallado!$B:$B,0))</f>
        <v>Renta Fija</v>
      </c>
      <c r="E230" s="31" t="str">
        <f>+INDEX([1]Detallado!$Q:$Q,MATCH($C230,[1]Detallado!$B:$B,0))</f>
        <v>RFIG</v>
      </c>
      <c r="F230" s="185" t="s">
        <v>4356</v>
      </c>
      <c r="G230" s="186" t="str">
        <f t="shared" si="6"/>
        <v>08RFIG</v>
      </c>
      <c r="H230" s="187" t="str">
        <f>+INDEX([1]Detallado!$D:$D,MATCH(C230,[1]Detallado!$B:$B,0))</f>
        <v>Gobierno de Canada</v>
      </c>
      <c r="I230" s="28"/>
      <c r="J230" s="184" t="str">
        <f t="shared" si="7"/>
        <v>RFIGOB</v>
      </c>
      <c r="O230" s="28" t="s">
        <v>4534</v>
      </c>
      <c r="P230" s="28" t="s">
        <v>1324</v>
      </c>
    </row>
    <row r="231" spans="3:16" x14ac:dyDescent="0.25">
      <c r="C231" s="28" t="s">
        <v>1276</v>
      </c>
      <c r="D231" s="188" t="str">
        <f>+INDEX([1]Detallado!$F:$F,MATCH($C231,[1]Detallado!$B:$B,0))</f>
        <v>Renta Fija</v>
      </c>
      <c r="E231" s="31" t="str">
        <f>+INDEX([1]Detallado!$Q:$Q,MATCH($C231,[1]Detallado!$B:$B,0))</f>
        <v>RFIG</v>
      </c>
      <c r="F231" s="185" t="s">
        <v>4355</v>
      </c>
      <c r="G231" s="186" t="str">
        <f t="shared" si="6"/>
        <v>52RFIG</v>
      </c>
      <c r="H231" s="187" t="str">
        <f>+INDEX([1]Detallado!$D:$D,MATCH(C231,[1]Detallado!$B:$B,0))</f>
        <v>BlackRock - iShares - 1 - 3 Year Treasury Bond ETF</v>
      </c>
      <c r="I231" s="28"/>
      <c r="J231" s="184" t="str">
        <f t="shared" si="7"/>
        <v>RFITD</v>
      </c>
      <c r="O231" s="28" t="s">
        <v>4534</v>
      </c>
      <c r="P231" s="28" t="s">
        <v>1324</v>
      </c>
    </row>
    <row r="232" spans="3:16" x14ac:dyDescent="0.25">
      <c r="C232" s="28" t="s">
        <v>943</v>
      </c>
      <c r="D232" s="188" t="str">
        <f>+INDEX([1]Detallado!$F:$F,MATCH($C232,[1]Detallado!$B:$B,0))</f>
        <v>Renta Fija</v>
      </c>
      <c r="E232" s="31" t="str">
        <f>+INDEX([1]Detallado!$Q:$Q,MATCH($C232,[1]Detallado!$B:$B,0))</f>
        <v>RFIG</v>
      </c>
      <c r="F232" s="185" t="s">
        <v>4355</v>
      </c>
      <c r="G232" s="186" t="str">
        <f t="shared" si="6"/>
        <v>52RFIG</v>
      </c>
      <c r="H232" s="187" t="str">
        <f>+INDEX([1]Detallado!$D:$D,MATCH(C232,[1]Detallado!$B:$B,0))</f>
        <v>BlackRock - iShares -20+ Year Treasury Bond ETF</v>
      </c>
      <c r="I232" s="28"/>
      <c r="J232" s="184" t="str">
        <f t="shared" si="7"/>
        <v>RFITD</v>
      </c>
      <c r="O232" s="28" t="s">
        <v>4534</v>
      </c>
      <c r="P232" s="28" t="s">
        <v>1324</v>
      </c>
    </row>
    <row r="233" spans="3:16" x14ac:dyDescent="0.25">
      <c r="C233" s="28" t="s">
        <v>941</v>
      </c>
      <c r="D233" s="188" t="str">
        <f>+INDEX([1]Detallado!$F:$F,MATCH($C233,[1]Detallado!$B:$B,0))</f>
        <v>Renta Fija</v>
      </c>
      <c r="E233" s="31" t="str">
        <f>+INDEX([1]Detallado!$Q:$Q,MATCH($C233,[1]Detallado!$B:$B,0))</f>
        <v>RFIG</v>
      </c>
      <c r="F233" s="185" t="s">
        <v>4355</v>
      </c>
      <c r="G233" s="186" t="str">
        <f t="shared" si="6"/>
        <v>52RFIG</v>
      </c>
      <c r="H233" s="187" t="str">
        <f>+INDEX([1]Detallado!$D:$D,MATCH(C233,[1]Detallado!$B:$B,0))</f>
        <v>BlackRock - iShares -7 - 10 Year Treasury Bond ETF</v>
      </c>
      <c r="I233" s="28"/>
      <c r="J233" s="184" t="str">
        <f t="shared" si="7"/>
        <v>RFITD</v>
      </c>
      <c r="O233" s="28" t="s">
        <v>4534</v>
      </c>
      <c r="P233" s="28" t="s">
        <v>1324</v>
      </c>
    </row>
    <row r="234" spans="3:16" x14ac:dyDescent="0.25">
      <c r="C234" s="28" t="s">
        <v>1322</v>
      </c>
      <c r="D234" s="188" t="str">
        <f>+INDEX([1]Detallado!$F:$F,MATCH($C234,[1]Detallado!$B:$B,0))</f>
        <v>Renta Fija</v>
      </c>
      <c r="E234" s="31" t="str">
        <f>+INDEX([1]Detallado!$Q:$Q,MATCH($C234,[1]Detallado!$B:$B,0))</f>
        <v>RFIG</v>
      </c>
      <c r="F234" s="185" t="s">
        <v>4355</v>
      </c>
      <c r="G234" s="186" t="str">
        <f t="shared" si="6"/>
        <v>52RFIG</v>
      </c>
      <c r="H234" s="187" t="str">
        <f>+INDEX([1]Detallado!$D:$D,MATCH(C234,[1]Detallado!$B:$B,0))</f>
        <v>BlackRock - iShares - Tips ETF</v>
      </c>
      <c r="I234" s="28"/>
      <c r="J234" s="184" t="str">
        <f t="shared" si="7"/>
        <v>RFITD</v>
      </c>
      <c r="O234" s="28" t="s">
        <v>4534</v>
      </c>
      <c r="P234" s="28" t="s">
        <v>1324</v>
      </c>
    </row>
    <row r="235" spans="3:16" x14ac:dyDescent="0.25">
      <c r="C235" s="28" t="s">
        <v>1398</v>
      </c>
      <c r="D235" s="188" t="str">
        <f>+INDEX([1]Detallado!$F:$F,MATCH($C235,[1]Detallado!$B:$B,0))</f>
        <v>Renta Fija</v>
      </c>
      <c r="E235" s="31" t="str">
        <f>+INDEX([1]Detallado!$Q:$Q,MATCH($C235,[1]Detallado!$B:$B,0))</f>
        <v>RFIG</v>
      </c>
      <c r="F235" s="185" t="s">
        <v>4355</v>
      </c>
      <c r="G235" s="186" t="str">
        <f t="shared" si="6"/>
        <v>52RFIG</v>
      </c>
      <c r="H235" s="187" t="str">
        <f>+INDEX([1]Detallado!$D:$D,MATCH(C235,[1]Detallado!$B:$B,0))</f>
        <v>BlackRock - Ishares Short Treasury Bond</v>
      </c>
      <c r="I235" s="28"/>
      <c r="J235" s="184" t="str">
        <f t="shared" si="7"/>
        <v>RFITD</v>
      </c>
      <c r="O235" s="28" t="s">
        <v>4534</v>
      </c>
      <c r="P235" s="28" t="s">
        <v>1324</v>
      </c>
    </row>
    <row r="236" spans="3:16" x14ac:dyDescent="0.25">
      <c r="C236" s="28" t="s">
        <v>1420</v>
      </c>
      <c r="D236" s="188" t="str">
        <f>+INDEX([1]Detallado!$F:$F,MATCH($C236,[1]Detallado!$B:$B,0))</f>
        <v>Renta Fija</v>
      </c>
      <c r="E236" s="31" t="str">
        <f>+INDEX([1]Detallado!$Q:$Q,MATCH($C236,[1]Detallado!$B:$B,0))</f>
        <v>RFIG</v>
      </c>
      <c r="F236" s="185" t="s">
        <v>4355</v>
      </c>
      <c r="G236" s="186" t="str">
        <f t="shared" si="6"/>
        <v>52RFIG</v>
      </c>
      <c r="H236" s="187" t="str">
        <f>+INDEX([1]Detallado!$D:$D,MATCH(C236,[1]Detallado!$B:$B,0))</f>
        <v>SSGA - Bloomberg Barclays 1-3 months Tbills</v>
      </c>
      <c r="I236" s="28"/>
      <c r="J236" s="184" t="str">
        <f t="shared" si="7"/>
        <v>RFITD</v>
      </c>
      <c r="O236" s="28" t="s">
        <v>4534</v>
      </c>
      <c r="P236" s="28" t="s">
        <v>1324</v>
      </c>
    </row>
    <row r="237" spans="3:16" x14ac:dyDescent="0.25">
      <c r="C237" s="28" t="s">
        <v>2943</v>
      </c>
      <c r="D237" s="188" t="str">
        <f>+INDEX([1]Detallado!$F:$F,MATCH($C237,[1]Detallado!$B:$B,0))</f>
        <v>Renta Fija</v>
      </c>
      <c r="E237" s="31" t="str">
        <f>+INDEX([1]Detallado!$Q:$Q,MATCH($C237,[1]Detallado!$B:$B,0))</f>
        <v>RFIG</v>
      </c>
      <c r="F237" s="185" t="s">
        <v>4356</v>
      </c>
      <c r="G237" s="186" t="str">
        <f t="shared" si="6"/>
        <v>08RFIG</v>
      </c>
      <c r="H237" s="187" t="str">
        <f>+INDEX([1]Detallado!$D:$D,MATCH(C237,[1]Detallado!$B:$B,0))</f>
        <v>Gobierno de Japon</v>
      </c>
      <c r="I237" s="28"/>
      <c r="J237" s="184" t="str">
        <f t="shared" si="7"/>
        <v>RFIGOB</v>
      </c>
      <c r="O237" s="28" t="s">
        <v>4534</v>
      </c>
      <c r="P237" s="28" t="s">
        <v>1324</v>
      </c>
    </row>
    <row r="238" spans="3:16" x14ac:dyDescent="0.25">
      <c r="C238" s="28" t="s">
        <v>2944</v>
      </c>
      <c r="D238" s="188" t="str">
        <f>+INDEX([1]Detallado!$F:$F,MATCH($C238,[1]Detallado!$B:$B,0))</f>
        <v>Renta Fija</v>
      </c>
      <c r="E238" s="31" t="str">
        <f>+INDEX([1]Detallado!$Q:$Q,MATCH($C238,[1]Detallado!$B:$B,0))</f>
        <v>RFIG</v>
      </c>
      <c r="F238" s="185" t="s">
        <v>4356</v>
      </c>
      <c r="G238" s="186" t="str">
        <f t="shared" si="6"/>
        <v>08RFIG</v>
      </c>
      <c r="H238" s="187" t="str">
        <f>+INDEX([1]Detallado!$D:$D,MATCH(C238,[1]Detallado!$B:$B,0))</f>
        <v>Gobierno de Japon</v>
      </c>
      <c r="I238" s="28"/>
      <c r="J238" s="184" t="str">
        <f t="shared" si="7"/>
        <v>RFIGOB</v>
      </c>
      <c r="O238" s="28" t="s">
        <v>4918</v>
      </c>
      <c r="P238" s="28" t="s">
        <v>4896</v>
      </c>
    </row>
    <row r="239" spans="3:16" x14ac:dyDescent="0.25">
      <c r="C239" s="28" t="s">
        <v>2945</v>
      </c>
      <c r="D239" s="188" t="str">
        <f>+INDEX([1]Detallado!$F:$F,MATCH($C239,[1]Detallado!$B:$B,0))</f>
        <v>Renta Fija</v>
      </c>
      <c r="E239" s="31" t="str">
        <f>+INDEX([1]Detallado!$Q:$Q,MATCH($C239,[1]Detallado!$B:$B,0))</f>
        <v>RFIG</v>
      </c>
      <c r="F239" s="185" t="s">
        <v>4356</v>
      </c>
      <c r="G239" s="186" t="str">
        <f t="shared" si="6"/>
        <v>08RFIG</v>
      </c>
      <c r="H239" s="187" t="str">
        <f>+INDEX([1]Detallado!$D:$D,MATCH(C239,[1]Detallado!$B:$B,0))</f>
        <v>Gobierno de Japon</v>
      </c>
      <c r="I239" s="28"/>
      <c r="J239" s="184" t="str">
        <f t="shared" si="7"/>
        <v>RFIGOB</v>
      </c>
      <c r="O239" s="28" t="s">
        <v>4919</v>
      </c>
      <c r="P239" s="28" t="s">
        <v>4899</v>
      </c>
    </row>
    <row r="240" spans="3:16" x14ac:dyDescent="0.25">
      <c r="C240" s="28" t="s">
        <v>2946</v>
      </c>
      <c r="D240" s="188" t="str">
        <f>+INDEX([1]Detallado!$F:$F,MATCH($C240,[1]Detallado!$B:$B,0))</f>
        <v>Renta Fija</v>
      </c>
      <c r="E240" s="31" t="str">
        <f>+INDEX([1]Detallado!$Q:$Q,MATCH($C240,[1]Detallado!$B:$B,0))</f>
        <v>RFIG</v>
      </c>
      <c r="F240" s="185" t="s">
        <v>4356</v>
      </c>
      <c r="G240" s="186" t="str">
        <f t="shared" si="6"/>
        <v>08RFIG</v>
      </c>
      <c r="H240" s="187" t="str">
        <f>+INDEX([1]Detallado!$D:$D,MATCH(C240,[1]Detallado!$B:$B,0))</f>
        <v>Gobierno de Japon</v>
      </c>
      <c r="I240" s="28"/>
      <c r="J240" s="184" t="str">
        <f t="shared" si="7"/>
        <v>RFIGOB</v>
      </c>
      <c r="O240" s="28" t="s">
        <v>4919</v>
      </c>
      <c r="P240" s="28" t="s">
        <v>4899</v>
      </c>
    </row>
    <row r="241" spans="3:16" x14ac:dyDescent="0.25">
      <c r="C241" s="28" t="s">
        <v>2948</v>
      </c>
      <c r="D241" s="188" t="str">
        <f>+INDEX([1]Detallado!$F:$F,MATCH($C241,[1]Detallado!$B:$B,0))</f>
        <v>Renta Fija</v>
      </c>
      <c r="E241" s="31" t="str">
        <f>+INDEX([1]Detallado!$Q:$Q,MATCH($C241,[1]Detallado!$B:$B,0))</f>
        <v>RFIG</v>
      </c>
      <c r="F241" s="185" t="s">
        <v>4356</v>
      </c>
      <c r="G241" s="186" t="str">
        <f t="shared" si="6"/>
        <v>08RFIG</v>
      </c>
      <c r="H241" s="187" t="str">
        <f>+INDEX([1]Detallado!$D:$D,MATCH(C241,[1]Detallado!$B:$B,0))</f>
        <v>Gobierno de los Estados Unidos</v>
      </c>
      <c r="I241" s="28"/>
      <c r="J241" s="184" t="str">
        <f t="shared" si="7"/>
        <v>RFIGOB</v>
      </c>
      <c r="O241" s="28" t="s">
        <v>4919</v>
      </c>
      <c r="P241" s="28" t="s">
        <v>4899</v>
      </c>
    </row>
    <row r="242" spans="3:16" x14ac:dyDescent="0.25">
      <c r="C242" s="28" t="s">
        <v>897</v>
      </c>
      <c r="D242" s="188" t="str">
        <f>+INDEX([1]Detallado!$F:$F,MATCH($C242,[1]Detallado!$B:$B,0))</f>
        <v>Renta Fija</v>
      </c>
      <c r="E242" s="31" t="str">
        <f>+INDEX([1]Detallado!$Q:$Q,MATCH($C242,[1]Detallado!$B:$B,0))</f>
        <v>RFIG</v>
      </c>
      <c r="F242" s="185" t="s">
        <v>4356</v>
      </c>
      <c r="G242" s="186" t="str">
        <f t="shared" si="6"/>
        <v>08RFIG</v>
      </c>
      <c r="H242" s="187" t="str">
        <f>+INDEX([1]Detallado!$D:$D,MATCH(C242,[1]Detallado!$B:$B,0))</f>
        <v>Gobierno de los Estados Unidos</v>
      </c>
      <c r="I242" s="28"/>
      <c r="J242" s="184" t="str">
        <f t="shared" si="7"/>
        <v>RFIGOB</v>
      </c>
      <c r="O242" s="28" t="s">
        <v>4491</v>
      </c>
      <c r="P242" s="28" t="s">
        <v>4896</v>
      </c>
    </row>
    <row r="243" spans="3:16" x14ac:dyDescent="0.25">
      <c r="C243" s="28" t="s">
        <v>2950</v>
      </c>
      <c r="D243" s="188" t="str">
        <f>+INDEX([1]Detallado!$F:$F,MATCH($C243,[1]Detallado!$B:$B,0))</f>
        <v>Renta Fija</v>
      </c>
      <c r="E243" s="31" t="str">
        <f>+INDEX([1]Detallado!$Q:$Q,MATCH($C243,[1]Detallado!$B:$B,0))</f>
        <v>RFIG</v>
      </c>
      <c r="F243" s="185" t="s">
        <v>4356</v>
      </c>
      <c r="G243" s="186" t="str">
        <f t="shared" si="6"/>
        <v>08RFIG</v>
      </c>
      <c r="H243" s="187" t="str">
        <f>+INDEX([1]Detallado!$D:$D,MATCH(C243,[1]Detallado!$B:$B,0))</f>
        <v>Gobierno de los Estados Unidos</v>
      </c>
      <c r="I243" s="28"/>
      <c r="J243" s="184" t="str">
        <f t="shared" si="7"/>
        <v>RFIGOB</v>
      </c>
      <c r="O243" s="28" t="s">
        <v>4491</v>
      </c>
      <c r="P243" s="28" t="s">
        <v>4896</v>
      </c>
    </row>
    <row r="244" spans="3:16" x14ac:dyDescent="0.25">
      <c r="C244" s="28" t="s">
        <v>899</v>
      </c>
      <c r="D244" s="188" t="str">
        <f>+INDEX([1]Detallado!$F:$F,MATCH($C244,[1]Detallado!$B:$B,0))</f>
        <v>Renta Fija</v>
      </c>
      <c r="E244" s="31" t="str">
        <f>+INDEX([1]Detallado!$Q:$Q,MATCH($C244,[1]Detallado!$B:$B,0))</f>
        <v>RFIG</v>
      </c>
      <c r="F244" s="185" t="s">
        <v>4356</v>
      </c>
      <c r="G244" s="186" t="str">
        <f t="shared" si="6"/>
        <v>08RFIG</v>
      </c>
      <c r="H244" s="187" t="str">
        <f>+INDEX([1]Detallado!$D:$D,MATCH(C244,[1]Detallado!$B:$B,0))</f>
        <v>Gobierno de los Estados Unidos</v>
      </c>
      <c r="I244" s="28"/>
      <c r="J244" s="184" t="str">
        <f t="shared" si="7"/>
        <v>RFIGOB</v>
      </c>
      <c r="O244" s="28" t="s">
        <v>4458</v>
      </c>
      <c r="P244" s="28" t="s">
        <v>4902</v>
      </c>
    </row>
    <row r="245" spans="3:16" x14ac:dyDescent="0.25">
      <c r="C245" s="28" t="s">
        <v>2951</v>
      </c>
      <c r="D245" s="188" t="str">
        <f>+INDEX([1]Detallado!$F:$F,MATCH($C245,[1]Detallado!$B:$B,0))</f>
        <v>Renta Fija</v>
      </c>
      <c r="E245" s="31" t="str">
        <f>+INDEX([1]Detallado!$Q:$Q,MATCH($C245,[1]Detallado!$B:$B,0))</f>
        <v>RFIG</v>
      </c>
      <c r="F245" s="185" t="s">
        <v>4356</v>
      </c>
      <c r="G245" s="186" t="str">
        <f t="shared" si="6"/>
        <v>08RFIG</v>
      </c>
      <c r="H245" s="187" t="str">
        <f>+INDEX([1]Detallado!$D:$D,MATCH(C245,[1]Detallado!$B:$B,0))</f>
        <v>Gobierno de los Estados Unidos</v>
      </c>
      <c r="I245" s="28"/>
      <c r="J245" s="184" t="str">
        <f t="shared" si="7"/>
        <v>RFIGOB</v>
      </c>
      <c r="O245" s="28" t="s">
        <v>4458</v>
      </c>
      <c r="P245" s="28" t="s">
        <v>4896</v>
      </c>
    </row>
    <row r="246" spans="3:16" x14ac:dyDescent="0.25">
      <c r="C246" s="28" t="s">
        <v>2952</v>
      </c>
      <c r="D246" s="188" t="str">
        <f>+INDEX([1]Detallado!$F:$F,MATCH($C246,[1]Detallado!$B:$B,0))</f>
        <v>Renta Fija</v>
      </c>
      <c r="E246" s="31" t="str">
        <f>+INDEX([1]Detallado!$Q:$Q,MATCH($C246,[1]Detallado!$B:$B,0))</f>
        <v>RFIG</v>
      </c>
      <c r="F246" s="185" t="s">
        <v>4356</v>
      </c>
      <c r="G246" s="186" t="str">
        <f t="shared" si="6"/>
        <v>08RFIG</v>
      </c>
      <c r="H246" s="187" t="str">
        <f>+INDEX([1]Detallado!$D:$D,MATCH(C246,[1]Detallado!$B:$B,0))</f>
        <v>Gobierno de los Estados Unidos</v>
      </c>
      <c r="I246" s="28"/>
      <c r="J246" s="184" t="str">
        <f t="shared" si="7"/>
        <v>RFIGOB</v>
      </c>
      <c r="O246" s="28" t="s">
        <v>4920</v>
      </c>
      <c r="P246" s="28" t="s">
        <v>4902</v>
      </c>
    </row>
    <row r="247" spans="3:16" x14ac:dyDescent="0.25">
      <c r="C247" s="28" t="s">
        <v>2953</v>
      </c>
      <c r="D247" s="188" t="str">
        <f>+INDEX([1]Detallado!$F:$F,MATCH($C247,[1]Detallado!$B:$B,0))</f>
        <v>Renta Fija</v>
      </c>
      <c r="E247" s="31" t="str">
        <f>+INDEX([1]Detallado!$Q:$Q,MATCH($C247,[1]Detallado!$B:$B,0))</f>
        <v>RFIG</v>
      </c>
      <c r="F247" s="185" t="s">
        <v>4356</v>
      </c>
      <c r="G247" s="186" t="str">
        <f t="shared" si="6"/>
        <v>08RFIG</v>
      </c>
      <c r="H247" s="187" t="str">
        <f>+INDEX([1]Detallado!$D:$D,MATCH(C247,[1]Detallado!$B:$B,0))</f>
        <v>Gobierno de los Estados Unidos</v>
      </c>
      <c r="I247" s="28"/>
      <c r="J247" s="184" t="str">
        <f t="shared" si="7"/>
        <v>RFIGOB</v>
      </c>
      <c r="O247" s="28" t="s">
        <v>4565</v>
      </c>
      <c r="P247" s="28" t="s">
        <v>4894</v>
      </c>
    </row>
    <row r="248" spans="3:16" x14ac:dyDescent="0.25">
      <c r="C248" s="28" t="s">
        <v>2954</v>
      </c>
      <c r="D248" s="188" t="str">
        <f>+INDEX([1]Detallado!$F:$F,MATCH($C248,[1]Detallado!$B:$B,0))</f>
        <v>Renta Fija</v>
      </c>
      <c r="E248" s="31" t="str">
        <f>+INDEX([1]Detallado!$Q:$Q,MATCH($C248,[1]Detallado!$B:$B,0))</f>
        <v>RFIG</v>
      </c>
      <c r="F248" s="185" t="s">
        <v>4356</v>
      </c>
      <c r="G248" s="186" t="str">
        <f t="shared" si="6"/>
        <v>08RFIG</v>
      </c>
      <c r="H248" s="187" t="str">
        <f>+INDEX([1]Detallado!$D:$D,MATCH(C248,[1]Detallado!$B:$B,0))</f>
        <v>Gobierno de los Estados Unidos</v>
      </c>
      <c r="I248" s="28"/>
      <c r="J248" s="184" t="str">
        <f t="shared" si="7"/>
        <v>RFIGOB</v>
      </c>
      <c r="O248" s="28" t="s">
        <v>4565</v>
      </c>
      <c r="P248" s="28" t="s">
        <v>4894</v>
      </c>
    </row>
    <row r="249" spans="3:16" x14ac:dyDescent="0.25">
      <c r="C249" s="28" t="s">
        <v>2955</v>
      </c>
      <c r="D249" s="188" t="str">
        <f>+INDEX([1]Detallado!$F:$F,MATCH($C249,[1]Detallado!$B:$B,0))</f>
        <v>Renta Fija</v>
      </c>
      <c r="E249" s="31" t="str">
        <f>+INDEX([1]Detallado!$Q:$Q,MATCH($C249,[1]Detallado!$B:$B,0))</f>
        <v>RFIG</v>
      </c>
      <c r="F249" s="185" t="s">
        <v>4356</v>
      </c>
      <c r="G249" s="186" t="str">
        <f t="shared" si="6"/>
        <v>08RFIG</v>
      </c>
      <c r="H249" s="187" t="str">
        <f>+INDEX([1]Detallado!$D:$D,MATCH(C249,[1]Detallado!$B:$B,0))</f>
        <v>Gobierno de los Estados Unidos</v>
      </c>
      <c r="I249" s="28"/>
      <c r="J249" s="184" t="str">
        <f t="shared" si="7"/>
        <v>RFIGOB</v>
      </c>
      <c r="O249" s="28" t="s">
        <v>4921</v>
      </c>
      <c r="P249" s="28" t="s">
        <v>1324</v>
      </c>
    </row>
    <row r="250" spans="3:16" x14ac:dyDescent="0.25">
      <c r="C250" s="28" t="s">
        <v>2956</v>
      </c>
      <c r="D250" s="188" t="str">
        <f>+INDEX([1]Detallado!$F:$F,MATCH($C250,[1]Detallado!$B:$B,0))</f>
        <v>Renta Fija</v>
      </c>
      <c r="E250" s="31" t="str">
        <f>+INDEX([1]Detallado!$Q:$Q,MATCH($C250,[1]Detallado!$B:$B,0))</f>
        <v>RFIG</v>
      </c>
      <c r="F250" s="185" t="s">
        <v>4356</v>
      </c>
      <c r="G250" s="186" t="str">
        <f t="shared" si="6"/>
        <v>08RFIG</v>
      </c>
      <c r="H250" s="187" t="str">
        <f>+INDEX([1]Detallado!$D:$D,MATCH(C250,[1]Detallado!$B:$B,0))</f>
        <v>Gobierno de los Estados Unidos</v>
      </c>
      <c r="I250" s="28"/>
      <c r="J250" s="184" t="str">
        <f t="shared" si="7"/>
        <v>RFIGOB</v>
      </c>
      <c r="O250" s="28" t="s">
        <v>4921</v>
      </c>
      <c r="P250" s="28" t="s">
        <v>1324</v>
      </c>
    </row>
    <row r="251" spans="3:16" x14ac:dyDescent="0.25">
      <c r="C251" s="28" t="s">
        <v>2957</v>
      </c>
      <c r="D251" s="188" t="str">
        <f>+INDEX([1]Detallado!$F:$F,MATCH($C251,[1]Detallado!$B:$B,0))</f>
        <v>Renta Fija</v>
      </c>
      <c r="E251" s="31" t="str">
        <f>+INDEX([1]Detallado!$Q:$Q,MATCH($C251,[1]Detallado!$B:$B,0))</f>
        <v>RFIG</v>
      </c>
      <c r="F251" s="185" t="s">
        <v>4356</v>
      </c>
      <c r="G251" s="186" t="str">
        <f t="shared" si="6"/>
        <v>08RFIG</v>
      </c>
      <c r="H251" s="187" t="str">
        <f>+INDEX([1]Detallado!$D:$D,MATCH(C251,[1]Detallado!$B:$B,0))</f>
        <v>Gobierno de los Estados Unidos</v>
      </c>
      <c r="I251" s="28"/>
      <c r="J251" s="184" t="str">
        <f t="shared" si="7"/>
        <v>RFIGOB</v>
      </c>
      <c r="O251" s="28" t="s">
        <v>4921</v>
      </c>
      <c r="P251" s="28" t="s">
        <v>1324</v>
      </c>
    </row>
    <row r="252" spans="3:16" x14ac:dyDescent="0.25">
      <c r="C252" s="28" t="s">
        <v>2958</v>
      </c>
      <c r="D252" s="188" t="str">
        <f>+INDEX([1]Detallado!$F:$F,MATCH($C252,[1]Detallado!$B:$B,0))</f>
        <v>Renta Fija</v>
      </c>
      <c r="E252" s="31" t="str">
        <f>+INDEX([1]Detallado!$Q:$Q,MATCH($C252,[1]Detallado!$B:$B,0))</f>
        <v>RFIG</v>
      </c>
      <c r="F252" s="185" t="s">
        <v>4356</v>
      </c>
      <c r="G252" s="186" t="str">
        <f t="shared" si="6"/>
        <v>08RFIG</v>
      </c>
      <c r="H252" s="187" t="str">
        <f>+INDEX([1]Detallado!$D:$D,MATCH(C252,[1]Detallado!$B:$B,0))</f>
        <v>Gobierno de los Estados Unidos</v>
      </c>
      <c r="I252" s="28"/>
      <c r="J252" s="184" t="str">
        <f t="shared" si="7"/>
        <v>RFIGOB</v>
      </c>
      <c r="O252" s="28" t="s">
        <v>4468</v>
      </c>
      <c r="P252" s="28" t="s">
        <v>4898</v>
      </c>
    </row>
    <row r="253" spans="3:16" x14ac:dyDescent="0.25">
      <c r="C253" s="28" t="s">
        <v>2959</v>
      </c>
      <c r="D253" s="188" t="str">
        <f>+INDEX([1]Detallado!$F:$F,MATCH($C253,[1]Detallado!$B:$B,0))</f>
        <v>Renta Fija</v>
      </c>
      <c r="E253" s="31" t="str">
        <f>+INDEX([1]Detallado!$Q:$Q,MATCH($C253,[1]Detallado!$B:$B,0))</f>
        <v>RFIG</v>
      </c>
      <c r="F253" s="185" t="s">
        <v>4356</v>
      </c>
      <c r="G253" s="186" t="str">
        <f t="shared" si="6"/>
        <v>08RFIG</v>
      </c>
      <c r="H253" s="187" t="str">
        <f>+INDEX([1]Detallado!$D:$D,MATCH(C253,[1]Detallado!$B:$B,0))</f>
        <v>Gobierno de los Estados Unidos</v>
      </c>
      <c r="I253" s="28"/>
      <c r="J253" s="184" t="str">
        <f t="shared" si="7"/>
        <v>RFIGOB</v>
      </c>
      <c r="O253" s="28" t="s">
        <v>4468</v>
      </c>
      <c r="P253" s="28" t="s">
        <v>4898</v>
      </c>
    </row>
    <row r="254" spans="3:16" x14ac:dyDescent="0.25">
      <c r="C254" s="28" t="s">
        <v>2960</v>
      </c>
      <c r="D254" s="188" t="str">
        <f>+INDEX([1]Detallado!$F:$F,MATCH($C254,[1]Detallado!$B:$B,0))</f>
        <v>Renta Fija</v>
      </c>
      <c r="E254" s="31" t="str">
        <f>+INDEX([1]Detallado!$Q:$Q,MATCH($C254,[1]Detallado!$B:$B,0))</f>
        <v>RFIG</v>
      </c>
      <c r="F254" s="185" t="s">
        <v>4356</v>
      </c>
      <c r="G254" s="186" t="str">
        <f t="shared" si="6"/>
        <v>08RFIG</v>
      </c>
      <c r="H254" s="187" t="str">
        <f>+INDEX([1]Detallado!$D:$D,MATCH(C254,[1]Detallado!$B:$B,0))</f>
        <v>Gobierno de los Estados Unidos</v>
      </c>
      <c r="I254" s="28"/>
      <c r="J254" s="184" t="str">
        <f t="shared" si="7"/>
        <v>RFIGOB</v>
      </c>
      <c r="O254" s="28" t="s">
        <v>4468</v>
      </c>
      <c r="P254" s="28" t="s">
        <v>4898</v>
      </c>
    </row>
    <row r="255" spans="3:16" x14ac:dyDescent="0.25">
      <c r="C255" s="28" t="s">
        <v>2961</v>
      </c>
      <c r="D255" s="188" t="str">
        <f>+INDEX([1]Detallado!$F:$F,MATCH($C255,[1]Detallado!$B:$B,0))</f>
        <v>Renta Fija</v>
      </c>
      <c r="E255" s="31" t="str">
        <f>+INDEX([1]Detallado!$Q:$Q,MATCH($C255,[1]Detallado!$B:$B,0))</f>
        <v>RFIG</v>
      </c>
      <c r="F255" s="185" t="s">
        <v>4356</v>
      </c>
      <c r="G255" s="186" t="str">
        <f t="shared" si="6"/>
        <v>08RFIG</v>
      </c>
      <c r="H255" s="187" t="str">
        <f>+INDEX([1]Detallado!$D:$D,MATCH(C255,[1]Detallado!$B:$B,0))</f>
        <v>Gobierno de los Estados Unidos</v>
      </c>
      <c r="I255" s="28"/>
      <c r="J255" s="184" t="str">
        <f t="shared" si="7"/>
        <v>RFIGOB</v>
      </c>
      <c r="O255" s="28" t="s">
        <v>4564</v>
      </c>
      <c r="P255" s="28" t="s">
        <v>4896</v>
      </c>
    </row>
    <row r="256" spans="3:16" x14ac:dyDescent="0.25">
      <c r="C256" s="28" t="s">
        <v>2962</v>
      </c>
      <c r="D256" s="188" t="str">
        <f>+INDEX([1]Detallado!$F:$F,MATCH($C256,[1]Detallado!$B:$B,0))</f>
        <v>Renta Fija</v>
      </c>
      <c r="E256" s="31" t="str">
        <f>+INDEX([1]Detallado!$Q:$Q,MATCH($C256,[1]Detallado!$B:$B,0))</f>
        <v>RFIG</v>
      </c>
      <c r="F256" s="185" t="s">
        <v>4356</v>
      </c>
      <c r="G256" s="186" t="str">
        <f t="shared" si="6"/>
        <v>08RFIG</v>
      </c>
      <c r="H256" s="187" t="str">
        <f>+INDEX([1]Detallado!$D:$D,MATCH(C256,[1]Detallado!$B:$B,0))</f>
        <v>Gobierno de los Estados Unidos</v>
      </c>
      <c r="I256" s="28"/>
      <c r="J256" s="184" t="str">
        <f t="shared" si="7"/>
        <v>RFIGOB</v>
      </c>
      <c r="O256" s="28" t="s">
        <v>4922</v>
      </c>
      <c r="P256" s="28" t="s">
        <v>4898</v>
      </c>
    </row>
    <row r="257" spans="3:16" x14ac:dyDescent="0.25">
      <c r="C257" s="28" t="s">
        <v>2963</v>
      </c>
      <c r="D257" s="188" t="str">
        <f>+INDEX([1]Detallado!$F:$F,MATCH($C257,[1]Detallado!$B:$B,0))</f>
        <v>Renta Fija</v>
      </c>
      <c r="E257" s="31" t="str">
        <f>+INDEX([1]Detallado!$Q:$Q,MATCH($C257,[1]Detallado!$B:$B,0))</f>
        <v>RFIG</v>
      </c>
      <c r="F257" s="185" t="s">
        <v>4356</v>
      </c>
      <c r="G257" s="186" t="str">
        <f t="shared" si="6"/>
        <v>08RFIG</v>
      </c>
      <c r="H257" s="187" t="str">
        <f>+INDEX([1]Detallado!$D:$D,MATCH(C257,[1]Detallado!$B:$B,0))</f>
        <v>Gobierno de los Estados Unidos</v>
      </c>
      <c r="I257" s="28"/>
      <c r="J257" s="184" t="str">
        <f t="shared" si="7"/>
        <v>RFIGOB</v>
      </c>
      <c r="O257" s="28" t="s">
        <v>4444</v>
      </c>
      <c r="P257" s="28" t="s">
        <v>4894</v>
      </c>
    </row>
    <row r="258" spans="3:16" x14ac:dyDescent="0.25">
      <c r="C258" s="28" t="s">
        <v>2964</v>
      </c>
      <c r="D258" s="188" t="str">
        <f>+INDEX([1]Detallado!$F:$F,MATCH($C258,[1]Detallado!$B:$B,0))</f>
        <v>Renta Fija</v>
      </c>
      <c r="E258" s="31" t="str">
        <f>+INDEX([1]Detallado!$Q:$Q,MATCH($C258,[1]Detallado!$B:$B,0))</f>
        <v>RFIG</v>
      </c>
      <c r="F258" s="185" t="s">
        <v>4356</v>
      </c>
      <c r="G258" s="186" t="str">
        <f t="shared" si="6"/>
        <v>08RFIG</v>
      </c>
      <c r="H258" s="187" t="str">
        <f>+INDEX([1]Detallado!$D:$D,MATCH(C258,[1]Detallado!$B:$B,0))</f>
        <v>Gobierno de los Estados Unidos</v>
      </c>
      <c r="I258" s="28"/>
      <c r="J258" s="184" t="str">
        <f t="shared" si="7"/>
        <v>RFIGOB</v>
      </c>
      <c r="O258" s="28" t="s">
        <v>2797</v>
      </c>
      <c r="P258" s="28" t="s">
        <v>4902</v>
      </c>
    </row>
    <row r="259" spans="3:16" x14ac:dyDescent="0.25">
      <c r="C259" s="28" t="s">
        <v>2965</v>
      </c>
      <c r="D259" s="188" t="str">
        <f>+INDEX([1]Detallado!$F:$F,MATCH($C259,[1]Detallado!$B:$B,0))</f>
        <v>Renta Fija</v>
      </c>
      <c r="E259" s="31" t="str">
        <f>+INDEX([1]Detallado!$Q:$Q,MATCH($C259,[1]Detallado!$B:$B,0))</f>
        <v>RFIG</v>
      </c>
      <c r="F259" s="185" t="s">
        <v>4356</v>
      </c>
      <c r="G259" s="186" t="str">
        <f t="shared" si="6"/>
        <v>08RFIG</v>
      </c>
      <c r="H259" s="187" t="str">
        <f>+INDEX([1]Detallado!$D:$D,MATCH(C259,[1]Detallado!$B:$B,0))</f>
        <v>Gobierno de los Estados Unidos</v>
      </c>
      <c r="I259" s="28"/>
      <c r="J259" s="184" t="str">
        <f t="shared" si="7"/>
        <v>RFIGOB</v>
      </c>
      <c r="O259" s="28" t="s">
        <v>2797</v>
      </c>
      <c r="P259" s="28" t="s">
        <v>4902</v>
      </c>
    </row>
    <row r="260" spans="3:16" x14ac:dyDescent="0.25">
      <c r="C260" s="28" t="s">
        <v>2966</v>
      </c>
      <c r="D260" s="188" t="str">
        <f>+INDEX([1]Detallado!$F:$F,MATCH($C260,[1]Detallado!$B:$B,0))</f>
        <v>Renta Fija</v>
      </c>
      <c r="E260" s="31" t="str">
        <f>+INDEX([1]Detallado!$Q:$Q,MATCH($C260,[1]Detallado!$B:$B,0))</f>
        <v>RFIG</v>
      </c>
      <c r="F260" s="185" t="s">
        <v>4356</v>
      </c>
      <c r="G260" s="186" t="str">
        <f t="shared" si="6"/>
        <v>08RFIG</v>
      </c>
      <c r="H260" s="187" t="str">
        <f>+INDEX([1]Detallado!$D:$D,MATCH(C260,[1]Detallado!$B:$B,0))</f>
        <v>Gobierno de los Estados Unidos</v>
      </c>
      <c r="I260" s="28"/>
      <c r="J260" s="184" t="str">
        <f t="shared" si="7"/>
        <v>RFIGOB</v>
      </c>
      <c r="O260" s="28" t="s">
        <v>2797</v>
      </c>
      <c r="P260" s="28" t="s">
        <v>4902</v>
      </c>
    </row>
    <row r="261" spans="3:16" x14ac:dyDescent="0.25">
      <c r="C261" s="28" t="s">
        <v>2967</v>
      </c>
      <c r="D261" s="188" t="str">
        <f>+INDEX([1]Detallado!$F:$F,MATCH($C261,[1]Detallado!$B:$B,0))</f>
        <v>Renta Fija</v>
      </c>
      <c r="E261" s="31" t="str">
        <f>+INDEX([1]Detallado!$Q:$Q,MATCH($C261,[1]Detallado!$B:$B,0))</f>
        <v>RFIG</v>
      </c>
      <c r="F261" s="185" t="s">
        <v>4356</v>
      </c>
      <c r="G261" s="186" t="str">
        <f t="shared" si="6"/>
        <v>08RFIG</v>
      </c>
      <c r="H261" s="187" t="str">
        <f>+INDEX([1]Detallado!$D:$D,MATCH(C261,[1]Detallado!$B:$B,0))</f>
        <v>Gobierno de los Estados Unidos</v>
      </c>
      <c r="I261" s="28"/>
      <c r="J261" s="184" t="str">
        <f t="shared" si="7"/>
        <v>RFIGOB</v>
      </c>
      <c r="O261" s="28" t="s">
        <v>2797</v>
      </c>
      <c r="P261" s="28" t="s">
        <v>4902</v>
      </c>
    </row>
    <row r="262" spans="3:16" x14ac:dyDescent="0.25">
      <c r="C262" s="28" t="s">
        <v>2968</v>
      </c>
      <c r="D262" s="188" t="str">
        <f>+INDEX([1]Detallado!$F:$F,MATCH($C262,[1]Detallado!$B:$B,0))</f>
        <v>Renta Fija</v>
      </c>
      <c r="E262" s="31" t="str">
        <f>+INDEX([1]Detallado!$Q:$Q,MATCH($C262,[1]Detallado!$B:$B,0))</f>
        <v>RFIG</v>
      </c>
      <c r="F262" s="185" t="s">
        <v>4356</v>
      </c>
      <c r="G262" s="186" t="str">
        <f t="shared" si="6"/>
        <v>08RFIG</v>
      </c>
      <c r="H262" s="187" t="str">
        <f>+INDEX([1]Detallado!$D:$D,MATCH(C262,[1]Detallado!$B:$B,0))</f>
        <v>Gobierno de los Estados Unidos</v>
      </c>
      <c r="I262" s="28"/>
      <c r="J262" s="184" t="str">
        <f t="shared" si="7"/>
        <v>RFIGOB</v>
      </c>
      <c r="O262" s="28" t="s">
        <v>2797</v>
      </c>
      <c r="P262" s="28" t="s">
        <v>4902</v>
      </c>
    </row>
    <row r="263" spans="3:16" x14ac:dyDescent="0.25">
      <c r="C263" s="28" t="s">
        <v>2969</v>
      </c>
      <c r="D263" s="188" t="str">
        <f>+INDEX([1]Detallado!$F:$F,MATCH($C263,[1]Detallado!$B:$B,0))</f>
        <v>Renta Fija</v>
      </c>
      <c r="E263" s="31" t="str">
        <f>+INDEX([1]Detallado!$Q:$Q,MATCH($C263,[1]Detallado!$B:$B,0))</f>
        <v>RFIG</v>
      </c>
      <c r="F263" s="185" t="s">
        <v>4356</v>
      </c>
      <c r="G263" s="186" t="str">
        <f t="shared" si="6"/>
        <v>08RFIG</v>
      </c>
      <c r="H263" s="187" t="str">
        <f>+INDEX([1]Detallado!$D:$D,MATCH(C263,[1]Detallado!$B:$B,0))</f>
        <v>Gobierno de los Estados Unidos</v>
      </c>
      <c r="I263" s="28"/>
      <c r="J263" s="184" t="str">
        <f t="shared" si="7"/>
        <v>RFIGOB</v>
      </c>
      <c r="O263" s="28" t="s">
        <v>4511</v>
      </c>
      <c r="P263" s="28" t="s">
        <v>4902</v>
      </c>
    </row>
    <row r="264" spans="3:16" x14ac:dyDescent="0.25">
      <c r="C264" s="28" t="s">
        <v>2970</v>
      </c>
      <c r="D264" s="188" t="str">
        <f>+INDEX([1]Detallado!$F:$F,MATCH($C264,[1]Detallado!$B:$B,0))</f>
        <v>Renta Fija</v>
      </c>
      <c r="E264" s="31" t="str">
        <f>+INDEX([1]Detallado!$Q:$Q,MATCH($C264,[1]Detallado!$B:$B,0))</f>
        <v>RFIG</v>
      </c>
      <c r="F264" s="185" t="s">
        <v>4356</v>
      </c>
      <c r="G264" s="186" t="str">
        <f t="shared" si="6"/>
        <v>08RFIG</v>
      </c>
      <c r="H264" s="187" t="str">
        <f>+INDEX([1]Detallado!$D:$D,MATCH(C264,[1]Detallado!$B:$B,0))</f>
        <v>Gobierno de los Estados Unidos</v>
      </c>
      <c r="I264" s="28"/>
      <c r="J264" s="184" t="str">
        <f t="shared" si="7"/>
        <v>RFIGOB</v>
      </c>
      <c r="O264" s="28" t="s">
        <v>4504</v>
      </c>
      <c r="P264" s="28" t="s">
        <v>4902</v>
      </c>
    </row>
    <row r="265" spans="3:16" x14ac:dyDescent="0.25">
      <c r="C265" s="28" t="s">
        <v>2971</v>
      </c>
      <c r="D265" s="188" t="str">
        <f>+INDEX([1]Detallado!$F:$F,MATCH($C265,[1]Detallado!$B:$B,0))</f>
        <v>Renta Fija</v>
      </c>
      <c r="E265" s="31" t="str">
        <f>+INDEX([1]Detallado!$Q:$Q,MATCH($C265,[1]Detallado!$B:$B,0))</f>
        <v>RFIG</v>
      </c>
      <c r="F265" s="185" t="s">
        <v>4356</v>
      </c>
      <c r="G265" s="186" t="str">
        <f t="shared" si="6"/>
        <v>08RFIG</v>
      </c>
      <c r="H265" s="187" t="str">
        <f>+INDEX([1]Detallado!$D:$D,MATCH(C265,[1]Detallado!$B:$B,0))</f>
        <v>Gobierno de los Estados Unidos</v>
      </c>
      <c r="I265" s="28"/>
      <c r="J265" s="184" t="str">
        <f t="shared" si="7"/>
        <v>RFIGOB</v>
      </c>
      <c r="O265" s="28" t="s">
        <v>4503</v>
      </c>
      <c r="P265" s="28" t="s">
        <v>4902</v>
      </c>
    </row>
    <row r="266" spans="3:16" x14ac:dyDescent="0.25">
      <c r="C266" s="28" t="s">
        <v>2972</v>
      </c>
      <c r="D266" s="188" t="str">
        <f>+INDEX([1]Detallado!$F:$F,MATCH($C266,[1]Detallado!$B:$B,0))</f>
        <v>Renta Fija</v>
      </c>
      <c r="E266" s="31" t="str">
        <f>+INDEX([1]Detallado!$Q:$Q,MATCH($C266,[1]Detallado!$B:$B,0))</f>
        <v>RFIG</v>
      </c>
      <c r="F266" s="185" t="s">
        <v>4356</v>
      </c>
      <c r="G266" s="186" t="str">
        <f t="shared" ref="G266:G329" si="8">LEFT(C266,2)&amp;E266</f>
        <v>08RFIG</v>
      </c>
      <c r="H266" s="187" t="str">
        <f>+INDEX([1]Detallado!$D:$D,MATCH(C266,[1]Detallado!$B:$B,0))</f>
        <v>Gobierno de los Estados Unidos</v>
      </c>
      <c r="I266" s="28"/>
      <c r="J266" s="184" t="str">
        <f t="shared" ref="J266:J329" si="9">IF(E266="ALT",LEFT(E266,3),LEFT(E266,3)&amp;F266)</f>
        <v>RFIGOB</v>
      </c>
      <c r="O266" s="28" t="s">
        <v>4503</v>
      </c>
      <c r="P266" s="28" t="s">
        <v>4902</v>
      </c>
    </row>
    <row r="267" spans="3:16" x14ac:dyDescent="0.25">
      <c r="C267" s="28" t="s">
        <v>2973</v>
      </c>
      <c r="D267" s="188" t="str">
        <f>+INDEX([1]Detallado!$F:$F,MATCH($C267,[1]Detallado!$B:$B,0))</f>
        <v>Renta Fija</v>
      </c>
      <c r="E267" s="31" t="str">
        <f>+INDEX([1]Detallado!$Q:$Q,MATCH($C267,[1]Detallado!$B:$B,0))</f>
        <v>RFIG</v>
      </c>
      <c r="F267" s="185" t="s">
        <v>4356</v>
      </c>
      <c r="G267" s="186" t="str">
        <f t="shared" si="8"/>
        <v>08RFIG</v>
      </c>
      <c r="H267" s="187" t="str">
        <f>+INDEX([1]Detallado!$D:$D,MATCH(C267,[1]Detallado!$B:$B,0))</f>
        <v>Gobierno de los Estados Unidos</v>
      </c>
      <c r="I267" s="28"/>
      <c r="J267" s="184" t="str">
        <f t="shared" si="9"/>
        <v>RFIGOB</v>
      </c>
      <c r="O267" s="28" t="s">
        <v>4503</v>
      </c>
      <c r="P267" s="28" t="s">
        <v>4902</v>
      </c>
    </row>
    <row r="268" spans="3:16" x14ac:dyDescent="0.25">
      <c r="C268" s="28" t="s">
        <v>2974</v>
      </c>
      <c r="D268" s="188" t="str">
        <f>+INDEX([1]Detallado!$F:$F,MATCH($C268,[1]Detallado!$B:$B,0))</f>
        <v>Renta Fija</v>
      </c>
      <c r="E268" s="31" t="str">
        <f>+INDEX([1]Detallado!$Q:$Q,MATCH($C268,[1]Detallado!$B:$B,0))</f>
        <v>RFIG</v>
      </c>
      <c r="F268" s="185" t="s">
        <v>4356</v>
      </c>
      <c r="G268" s="186" t="str">
        <f t="shared" si="8"/>
        <v>08RFIG</v>
      </c>
      <c r="H268" s="187" t="str">
        <f>+INDEX([1]Detallado!$D:$D,MATCH(C268,[1]Detallado!$B:$B,0))</f>
        <v>Gobierno de los Estados Unidos</v>
      </c>
      <c r="I268" s="28"/>
      <c r="J268" s="184" t="str">
        <f t="shared" si="9"/>
        <v>RFIGOB</v>
      </c>
      <c r="O268" s="28" t="s">
        <v>4503</v>
      </c>
      <c r="P268" s="28" t="s">
        <v>4902</v>
      </c>
    </row>
    <row r="269" spans="3:16" x14ac:dyDescent="0.25">
      <c r="C269" s="28" t="s">
        <v>2975</v>
      </c>
      <c r="D269" s="188" t="str">
        <f>+INDEX([1]Detallado!$F:$F,MATCH($C269,[1]Detallado!$B:$B,0))</f>
        <v>Renta Fija</v>
      </c>
      <c r="E269" s="31" t="str">
        <f>+INDEX([1]Detallado!$Q:$Q,MATCH($C269,[1]Detallado!$B:$B,0))</f>
        <v>RFIG</v>
      </c>
      <c r="F269" s="185" t="s">
        <v>4356</v>
      </c>
      <c r="G269" s="186" t="str">
        <f t="shared" si="8"/>
        <v>08RFIG</v>
      </c>
      <c r="H269" s="187" t="str">
        <f>+INDEX([1]Detallado!$D:$D,MATCH(C269,[1]Detallado!$B:$B,0))</f>
        <v>Gobierno de los Estados Unidos</v>
      </c>
      <c r="I269" s="28"/>
      <c r="J269" s="184" t="str">
        <f t="shared" si="9"/>
        <v>RFIGOB</v>
      </c>
      <c r="O269" s="28" t="s">
        <v>4503</v>
      </c>
      <c r="P269" s="28" t="s">
        <v>4902</v>
      </c>
    </row>
    <row r="270" spans="3:16" x14ac:dyDescent="0.25">
      <c r="C270" s="28" t="s">
        <v>2976</v>
      </c>
      <c r="D270" s="188" t="str">
        <f>+INDEX([1]Detallado!$F:$F,MATCH($C270,[1]Detallado!$B:$B,0))</f>
        <v>Renta Fija</v>
      </c>
      <c r="E270" s="31" t="str">
        <f>+INDEX([1]Detallado!$Q:$Q,MATCH($C270,[1]Detallado!$B:$B,0))</f>
        <v>RFIG</v>
      </c>
      <c r="F270" s="185" t="s">
        <v>4356</v>
      </c>
      <c r="G270" s="186" t="str">
        <f t="shared" si="8"/>
        <v>08RFIG</v>
      </c>
      <c r="H270" s="187" t="str">
        <f>+INDEX([1]Detallado!$D:$D,MATCH(C270,[1]Detallado!$B:$B,0))</f>
        <v>Gobierno de los Estados Unidos</v>
      </c>
      <c r="I270" s="28"/>
      <c r="J270" s="184" t="str">
        <f t="shared" si="9"/>
        <v>RFIGOB</v>
      </c>
      <c r="O270" s="28" t="s">
        <v>4552</v>
      </c>
      <c r="P270" s="28" t="s">
        <v>4898</v>
      </c>
    </row>
    <row r="271" spans="3:16" x14ac:dyDescent="0.25">
      <c r="C271" s="28" t="s">
        <v>2977</v>
      </c>
      <c r="D271" s="188" t="str">
        <f>+INDEX([1]Detallado!$F:$F,MATCH($C271,[1]Detallado!$B:$B,0))</f>
        <v>Renta Fija</v>
      </c>
      <c r="E271" s="31" t="str">
        <f>+INDEX([1]Detallado!$Q:$Q,MATCH($C271,[1]Detallado!$B:$B,0))</f>
        <v>RFIG</v>
      </c>
      <c r="F271" s="185" t="s">
        <v>4356</v>
      </c>
      <c r="G271" s="186" t="str">
        <f t="shared" si="8"/>
        <v>08RFIG</v>
      </c>
      <c r="H271" s="187" t="str">
        <f>+INDEX([1]Detallado!$D:$D,MATCH(C271,[1]Detallado!$B:$B,0))</f>
        <v>Gobierno de los Estados Unidos</v>
      </c>
      <c r="I271" s="28"/>
      <c r="J271" s="184" t="str">
        <f t="shared" si="9"/>
        <v>RFIGOB</v>
      </c>
      <c r="O271" s="28" t="s">
        <v>4552</v>
      </c>
      <c r="P271" s="28" t="s">
        <v>4898</v>
      </c>
    </row>
    <row r="272" spans="3:16" x14ac:dyDescent="0.25">
      <c r="C272" s="28" t="s">
        <v>2978</v>
      </c>
      <c r="D272" s="188" t="str">
        <f>+INDEX([1]Detallado!$F:$F,MATCH($C272,[1]Detallado!$B:$B,0))</f>
        <v>Renta Fija</v>
      </c>
      <c r="E272" s="31" t="str">
        <f>+INDEX([1]Detallado!$Q:$Q,MATCH($C272,[1]Detallado!$B:$B,0))</f>
        <v>RFIG</v>
      </c>
      <c r="F272" s="185" t="s">
        <v>4356</v>
      </c>
      <c r="G272" s="186" t="str">
        <f t="shared" si="8"/>
        <v>08RFIG</v>
      </c>
      <c r="H272" s="187" t="str">
        <f>+INDEX([1]Detallado!$D:$D,MATCH(C272,[1]Detallado!$B:$B,0))</f>
        <v>Gobierno de los Estados Unidos</v>
      </c>
      <c r="I272" s="28"/>
      <c r="J272" s="184" t="str">
        <f t="shared" si="9"/>
        <v>RFIGOB</v>
      </c>
      <c r="O272" s="28" t="s">
        <v>4613</v>
      </c>
      <c r="P272" s="28" t="s">
        <v>4902</v>
      </c>
    </row>
    <row r="273" spans="3:16" x14ac:dyDescent="0.25">
      <c r="C273" s="28" t="s">
        <v>2979</v>
      </c>
      <c r="D273" s="188" t="str">
        <f>+INDEX([1]Detallado!$F:$F,MATCH($C273,[1]Detallado!$B:$B,0))</f>
        <v>Renta Fija</v>
      </c>
      <c r="E273" s="31" t="str">
        <f>+INDEX([1]Detallado!$Q:$Q,MATCH($C273,[1]Detallado!$B:$B,0))</f>
        <v>RFIG</v>
      </c>
      <c r="F273" s="185" t="s">
        <v>4356</v>
      </c>
      <c r="G273" s="186" t="str">
        <f t="shared" si="8"/>
        <v>08RFIG</v>
      </c>
      <c r="H273" s="187" t="str">
        <f>+INDEX([1]Detallado!$D:$D,MATCH(C273,[1]Detallado!$B:$B,0))</f>
        <v>Gobierno de los Estados Unidos</v>
      </c>
      <c r="I273" s="28"/>
      <c r="J273" s="184" t="str">
        <f t="shared" si="9"/>
        <v>RFIGOB</v>
      </c>
      <c r="O273" s="28" t="s">
        <v>4613</v>
      </c>
      <c r="P273" s="28" t="s">
        <v>4902</v>
      </c>
    </row>
    <row r="274" spans="3:16" x14ac:dyDescent="0.25">
      <c r="C274" s="28" t="s">
        <v>2980</v>
      </c>
      <c r="D274" s="188" t="str">
        <f>+INDEX([1]Detallado!$F:$F,MATCH($C274,[1]Detallado!$B:$B,0))</f>
        <v>Renta Fija</v>
      </c>
      <c r="E274" s="31" t="str">
        <f>+INDEX([1]Detallado!$Q:$Q,MATCH($C274,[1]Detallado!$B:$B,0))</f>
        <v>RFIG</v>
      </c>
      <c r="F274" s="185" t="s">
        <v>4356</v>
      </c>
      <c r="G274" s="186" t="str">
        <f t="shared" si="8"/>
        <v>08RFIG</v>
      </c>
      <c r="H274" s="187" t="str">
        <f>+INDEX([1]Detallado!$D:$D,MATCH(C274,[1]Detallado!$B:$B,0))</f>
        <v>Gobierno de los Estados Unidos</v>
      </c>
      <c r="I274" s="28"/>
      <c r="J274" s="184" t="str">
        <f t="shared" si="9"/>
        <v>RFIGOB</v>
      </c>
      <c r="O274" s="28" t="s">
        <v>4613</v>
      </c>
      <c r="P274" s="28" t="s">
        <v>4902</v>
      </c>
    </row>
    <row r="275" spans="3:16" x14ac:dyDescent="0.25">
      <c r="C275" s="28" t="s">
        <v>2981</v>
      </c>
      <c r="D275" s="188" t="str">
        <f>+INDEX([1]Detallado!$F:$F,MATCH($C275,[1]Detallado!$B:$B,0))</f>
        <v>Renta Fija</v>
      </c>
      <c r="E275" s="31" t="str">
        <f>+INDEX([1]Detallado!$Q:$Q,MATCH($C275,[1]Detallado!$B:$B,0))</f>
        <v>RFIG</v>
      </c>
      <c r="F275" s="185" t="s">
        <v>4356</v>
      </c>
      <c r="G275" s="186" t="str">
        <f t="shared" si="8"/>
        <v>08RFIG</v>
      </c>
      <c r="H275" s="187" t="str">
        <f>+INDEX([1]Detallado!$D:$D,MATCH(C275,[1]Detallado!$B:$B,0))</f>
        <v>Gobierno de los Estados Unidos</v>
      </c>
      <c r="I275" s="28"/>
      <c r="J275" s="184" t="str">
        <f t="shared" si="9"/>
        <v>RFIGOB</v>
      </c>
      <c r="O275" s="28" t="s">
        <v>4499</v>
      </c>
      <c r="P275" s="28" t="s">
        <v>4902</v>
      </c>
    </row>
    <row r="276" spans="3:16" x14ac:dyDescent="0.25">
      <c r="C276" s="28" t="s">
        <v>2982</v>
      </c>
      <c r="D276" s="188" t="str">
        <f>+INDEX([1]Detallado!$F:$F,MATCH($C276,[1]Detallado!$B:$B,0))</f>
        <v>Renta Fija</v>
      </c>
      <c r="E276" s="31" t="str">
        <f>+INDEX([1]Detallado!$Q:$Q,MATCH($C276,[1]Detallado!$B:$B,0))</f>
        <v>RFIG</v>
      </c>
      <c r="F276" s="185" t="s">
        <v>4356</v>
      </c>
      <c r="G276" s="186" t="str">
        <f t="shared" si="8"/>
        <v>08RFIG</v>
      </c>
      <c r="H276" s="187" t="str">
        <f>+INDEX([1]Detallado!$D:$D,MATCH(C276,[1]Detallado!$B:$B,0))</f>
        <v>Gobierno de los Estados Unidos</v>
      </c>
      <c r="I276" s="28"/>
      <c r="J276" s="184" t="str">
        <f t="shared" si="9"/>
        <v>RFIGOB</v>
      </c>
      <c r="O276" s="28" t="s">
        <v>4499</v>
      </c>
      <c r="P276" s="28" t="s">
        <v>4902</v>
      </c>
    </row>
    <row r="277" spans="3:16" x14ac:dyDescent="0.25">
      <c r="C277" s="28" t="s">
        <v>2983</v>
      </c>
      <c r="D277" s="188" t="str">
        <f>+INDEX([1]Detallado!$F:$F,MATCH($C277,[1]Detallado!$B:$B,0))</f>
        <v>Renta Fija</v>
      </c>
      <c r="E277" s="31" t="str">
        <f>+INDEX([1]Detallado!$Q:$Q,MATCH($C277,[1]Detallado!$B:$B,0))</f>
        <v>RFIG</v>
      </c>
      <c r="F277" s="185" t="s">
        <v>4356</v>
      </c>
      <c r="G277" s="186" t="str">
        <f t="shared" si="8"/>
        <v>08RFIG</v>
      </c>
      <c r="H277" s="187" t="str">
        <f>+INDEX([1]Detallado!$D:$D,MATCH(C277,[1]Detallado!$B:$B,0))</f>
        <v>Gobierno de los Estados Unidos</v>
      </c>
      <c r="I277" s="28"/>
      <c r="J277" s="184" t="str">
        <f t="shared" si="9"/>
        <v>RFIGOB</v>
      </c>
      <c r="O277" s="28" t="s">
        <v>4499</v>
      </c>
      <c r="P277" s="28" t="s">
        <v>4902</v>
      </c>
    </row>
    <row r="278" spans="3:16" x14ac:dyDescent="0.25">
      <c r="C278" s="28" t="s">
        <v>2984</v>
      </c>
      <c r="D278" s="188" t="str">
        <f>+INDEX([1]Detallado!$F:$F,MATCH($C278,[1]Detallado!$B:$B,0))</f>
        <v>Renta Fija</v>
      </c>
      <c r="E278" s="31" t="str">
        <f>+INDEX([1]Detallado!$Q:$Q,MATCH($C278,[1]Detallado!$B:$B,0))</f>
        <v>RFIG</v>
      </c>
      <c r="F278" s="185" t="s">
        <v>4356</v>
      </c>
      <c r="G278" s="186" t="str">
        <f t="shared" si="8"/>
        <v>08RFIG</v>
      </c>
      <c r="H278" s="187" t="str">
        <f>+INDEX([1]Detallado!$D:$D,MATCH(C278,[1]Detallado!$B:$B,0))</f>
        <v>Gobierno de los Estados Unidos</v>
      </c>
      <c r="I278" s="28"/>
      <c r="J278" s="184" t="str">
        <f t="shared" si="9"/>
        <v>RFIGOB</v>
      </c>
      <c r="O278" s="28" t="s">
        <v>4499</v>
      </c>
      <c r="P278" s="28" t="s">
        <v>4902</v>
      </c>
    </row>
    <row r="279" spans="3:16" x14ac:dyDescent="0.25">
      <c r="C279" s="28" t="s">
        <v>2985</v>
      </c>
      <c r="D279" s="188" t="str">
        <f>+INDEX([1]Detallado!$F:$F,MATCH($C279,[1]Detallado!$B:$B,0))</f>
        <v>Renta Fija</v>
      </c>
      <c r="E279" s="31" t="str">
        <f>+INDEX([1]Detallado!$Q:$Q,MATCH($C279,[1]Detallado!$B:$B,0))</f>
        <v>RFIG</v>
      </c>
      <c r="F279" s="185" t="s">
        <v>4356</v>
      </c>
      <c r="G279" s="186" t="str">
        <f t="shared" si="8"/>
        <v>08RFIG</v>
      </c>
      <c r="H279" s="187" t="str">
        <f>+INDEX([1]Detallado!$D:$D,MATCH(C279,[1]Detallado!$B:$B,0))</f>
        <v>Gobierno de los Estados Unidos</v>
      </c>
      <c r="I279" s="28"/>
      <c r="J279" s="184" t="str">
        <f t="shared" si="9"/>
        <v>RFIGOB</v>
      </c>
      <c r="O279" s="28" t="s">
        <v>4923</v>
      </c>
      <c r="P279" s="28" t="s">
        <v>1324</v>
      </c>
    </row>
    <row r="280" spans="3:16" x14ac:dyDescent="0.25">
      <c r="C280" s="28" t="s">
        <v>2986</v>
      </c>
      <c r="D280" s="188" t="str">
        <f>+INDEX([1]Detallado!$F:$F,MATCH($C280,[1]Detallado!$B:$B,0))</f>
        <v>Renta Fija</v>
      </c>
      <c r="E280" s="31" t="str">
        <f>+INDEX([1]Detallado!$Q:$Q,MATCH($C280,[1]Detallado!$B:$B,0))</f>
        <v>RFIG</v>
      </c>
      <c r="F280" s="185" t="s">
        <v>4356</v>
      </c>
      <c r="G280" s="186" t="str">
        <f t="shared" si="8"/>
        <v>08RFIG</v>
      </c>
      <c r="H280" s="187" t="str">
        <f>+INDEX([1]Detallado!$D:$D,MATCH(C280,[1]Detallado!$B:$B,0))</f>
        <v>Gobierno de los Estados Unidos</v>
      </c>
      <c r="I280" s="28"/>
      <c r="J280" s="184" t="str">
        <f t="shared" si="9"/>
        <v>RFIGOB</v>
      </c>
      <c r="O280" s="28" t="s">
        <v>4924</v>
      </c>
      <c r="P280" s="28" t="s">
        <v>4902</v>
      </c>
    </row>
    <row r="281" spans="3:16" x14ac:dyDescent="0.25">
      <c r="C281" s="28" t="s">
        <v>2987</v>
      </c>
      <c r="D281" s="188" t="str">
        <f>+INDEX([1]Detallado!$F:$F,MATCH($C281,[1]Detallado!$B:$B,0))</f>
        <v>Renta Fija</v>
      </c>
      <c r="E281" s="31" t="str">
        <f>+INDEX([1]Detallado!$Q:$Q,MATCH($C281,[1]Detallado!$B:$B,0))</f>
        <v>RFIG</v>
      </c>
      <c r="F281" s="185" t="s">
        <v>4356</v>
      </c>
      <c r="G281" s="186" t="str">
        <f t="shared" si="8"/>
        <v>08RFIG</v>
      </c>
      <c r="H281" s="187" t="str">
        <f>+INDEX([1]Detallado!$D:$D,MATCH(C281,[1]Detallado!$B:$B,0))</f>
        <v>Gobierno de los Estados Unidos</v>
      </c>
      <c r="I281" s="28"/>
      <c r="J281" s="184" t="str">
        <f t="shared" si="9"/>
        <v>RFIGOB</v>
      </c>
      <c r="O281" s="28" t="s">
        <v>4924</v>
      </c>
      <c r="P281" s="28" t="s">
        <v>4902</v>
      </c>
    </row>
    <row r="282" spans="3:16" x14ac:dyDescent="0.25">
      <c r="C282" s="28" t="s">
        <v>2988</v>
      </c>
      <c r="D282" s="188" t="str">
        <f>+INDEX([1]Detallado!$F:$F,MATCH($C282,[1]Detallado!$B:$B,0))</f>
        <v>Renta Fija</v>
      </c>
      <c r="E282" s="31" t="str">
        <f>+INDEX([1]Detallado!$Q:$Q,MATCH($C282,[1]Detallado!$B:$B,0))</f>
        <v>RFIG</v>
      </c>
      <c r="F282" s="185" t="s">
        <v>4356</v>
      </c>
      <c r="G282" s="186" t="str">
        <f t="shared" si="8"/>
        <v>08RFIG</v>
      </c>
      <c r="H282" s="187" t="str">
        <f>+INDEX([1]Detallado!$D:$D,MATCH(C282,[1]Detallado!$B:$B,0))</f>
        <v>Gobierno de los Estados Unidos</v>
      </c>
      <c r="I282" s="28"/>
      <c r="J282" s="184" t="str">
        <f t="shared" si="9"/>
        <v>RFIGOB</v>
      </c>
      <c r="O282" s="28" t="s">
        <v>4924</v>
      </c>
      <c r="P282" s="28" t="s">
        <v>4902</v>
      </c>
    </row>
    <row r="283" spans="3:16" x14ac:dyDescent="0.25">
      <c r="C283" s="28" t="s">
        <v>2989</v>
      </c>
      <c r="D283" s="188" t="str">
        <f>+INDEX([1]Detallado!$F:$F,MATCH($C283,[1]Detallado!$B:$B,0))</f>
        <v>Renta Fija</v>
      </c>
      <c r="E283" s="31" t="str">
        <f>+INDEX([1]Detallado!$Q:$Q,MATCH($C283,[1]Detallado!$B:$B,0))</f>
        <v>RFIG</v>
      </c>
      <c r="F283" s="185" t="s">
        <v>4356</v>
      </c>
      <c r="G283" s="186" t="str">
        <f t="shared" si="8"/>
        <v>08RFIG</v>
      </c>
      <c r="H283" s="187" t="str">
        <f>+INDEX([1]Detallado!$D:$D,MATCH(C283,[1]Detallado!$B:$B,0))</f>
        <v>Gobierno de los Estados Unidos</v>
      </c>
      <c r="I283" s="28"/>
      <c r="J283" s="184" t="str">
        <f t="shared" si="9"/>
        <v>RFIGOB</v>
      </c>
      <c r="O283" s="28" t="s">
        <v>4924</v>
      </c>
      <c r="P283" s="28" t="s">
        <v>4902</v>
      </c>
    </row>
    <row r="284" spans="3:16" x14ac:dyDescent="0.25">
      <c r="C284" s="28" t="s">
        <v>2990</v>
      </c>
      <c r="D284" s="188" t="str">
        <f>+INDEX([1]Detallado!$F:$F,MATCH($C284,[1]Detallado!$B:$B,0))</f>
        <v>Renta Fija</v>
      </c>
      <c r="E284" s="31" t="str">
        <f>+INDEX([1]Detallado!$Q:$Q,MATCH($C284,[1]Detallado!$B:$B,0))</f>
        <v>RFIG</v>
      </c>
      <c r="F284" s="185" t="s">
        <v>4356</v>
      </c>
      <c r="G284" s="186" t="str">
        <f t="shared" si="8"/>
        <v>08RFIG</v>
      </c>
      <c r="H284" s="187" t="str">
        <f>+INDEX([1]Detallado!$D:$D,MATCH(C284,[1]Detallado!$B:$B,0))</f>
        <v>Gobierno de los Estados Unidos</v>
      </c>
      <c r="I284" s="28"/>
      <c r="J284" s="184" t="str">
        <f t="shared" si="9"/>
        <v>RFIGOB</v>
      </c>
      <c r="O284" s="28" t="s">
        <v>4924</v>
      </c>
      <c r="P284" s="28" t="s">
        <v>4902</v>
      </c>
    </row>
    <row r="285" spans="3:16" x14ac:dyDescent="0.25">
      <c r="C285" s="28" t="s">
        <v>2991</v>
      </c>
      <c r="D285" s="188" t="str">
        <f>+INDEX([1]Detallado!$F:$F,MATCH($C285,[1]Detallado!$B:$B,0))</f>
        <v>Renta Fija</v>
      </c>
      <c r="E285" s="31" t="str">
        <f>+INDEX([1]Detallado!$Q:$Q,MATCH($C285,[1]Detallado!$B:$B,0))</f>
        <v>RFIG</v>
      </c>
      <c r="F285" s="185" t="s">
        <v>4356</v>
      </c>
      <c r="G285" s="186" t="str">
        <f t="shared" si="8"/>
        <v>08RFIG</v>
      </c>
      <c r="H285" s="187" t="str">
        <f>+INDEX([1]Detallado!$D:$D,MATCH(C285,[1]Detallado!$B:$B,0))</f>
        <v>Gobierno de los Estados Unidos</v>
      </c>
      <c r="I285" s="28"/>
      <c r="J285" s="184" t="str">
        <f t="shared" si="9"/>
        <v>RFIGOB</v>
      </c>
      <c r="O285" s="28" t="s">
        <v>4924</v>
      </c>
      <c r="P285" s="28" t="s">
        <v>4902</v>
      </c>
    </row>
    <row r="286" spans="3:16" x14ac:dyDescent="0.25">
      <c r="C286" s="28" t="s">
        <v>2992</v>
      </c>
      <c r="D286" s="188" t="str">
        <f>+INDEX([1]Detallado!$F:$F,MATCH($C286,[1]Detallado!$B:$B,0))</f>
        <v>Renta Fija</v>
      </c>
      <c r="E286" s="31" t="str">
        <f>+INDEX([1]Detallado!$Q:$Q,MATCH($C286,[1]Detallado!$B:$B,0))</f>
        <v>RFIG</v>
      </c>
      <c r="F286" s="185" t="s">
        <v>4356</v>
      </c>
      <c r="G286" s="186" t="str">
        <f t="shared" si="8"/>
        <v>08RFIG</v>
      </c>
      <c r="H286" s="187" t="str">
        <f>+INDEX([1]Detallado!$D:$D,MATCH(C286,[1]Detallado!$B:$B,0))</f>
        <v>Gobierno de los Estados Unidos</v>
      </c>
      <c r="I286" s="28"/>
      <c r="J286" s="184" t="str">
        <f t="shared" si="9"/>
        <v>RFIGOB</v>
      </c>
      <c r="O286" s="28" t="s">
        <v>4924</v>
      </c>
      <c r="P286" s="28" t="s">
        <v>4902</v>
      </c>
    </row>
    <row r="287" spans="3:16" x14ac:dyDescent="0.25">
      <c r="C287" s="28" t="s">
        <v>2993</v>
      </c>
      <c r="D287" s="188" t="str">
        <f>+INDEX([1]Detallado!$F:$F,MATCH($C287,[1]Detallado!$B:$B,0))</f>
        <v>Renta Fija</v>
      </c>
      <c r="E287" s="31" t="str">
        <f>+INDEX([1]Detallado!$Q:$Q,MATCH($C287,[1]Detallado!$B:$B,0))</f>
        <v>RFIG</v>
      </c>
      <c r="F287" s="185" t="s">
        <v>4356</v>
      </c>
      <c r="G287" s="186" t="str">
        <f t="shared" si="8"/>
        <v>08RFIG</v>
      </c>
      <c r="H287" s="187" t="str">
        <f>+INDEX([1]Detallado!$D:$D,MATCH(C287,[1]Detallado!$B:$B,0))</f>
        <v>Gobierno de Estados Unidos</v>
      </c>
      <c r="I287" s="28"/>
      <c r="J287" s="184" t="str">
        <f t="shared" si="9"/>
        <v>RFIGOB</v>
      </c>
      <c r="O287" s="28" t="s">
        <v>4924</v>
      </c>
      <c r="P287" s="28" t="s">
        <v>4902</v>
      </c>
    </row>
    <row r="288" spans="3:16" x14ac:dyDescent="0.25">
      <c r="C288" s="28" t="s">
        <v>1670</v>
      </c>
      <c r="D288" s="188" t="str">
        <f>+INDEX([1]Detallado!$F:$F,MATCH($C288,[1]Detallado!$B:$B,0))</f>
        <v>Renta Fija</v>
      </c>
      <c r="E288" s="31" t="str">
        <f>+INDEX([1]Detallado!$Q:$Q,MATCH($C288,[1]Detallado!$B:$B,0))</f>
        <v>RFIG</v>
      </c>
      <c r="F288" s="185" t="s">
        <v>4355</v>
      </c>
      <c r="G288" s="186" t="str">
        <f t="shared" si="8"/>
        <v>52RFIG</v>
      </c>
      <c r="H288" s="187" t="str">
        <f>+INDEX([1]Detallado!$D:$D,MATCH(C288,[1]Detallado!$B:$B,0))</f>
        <v>JP Morgan - Liquidity Fund LVNAV</v>
      </c>
      <c r="I288" s="28"/>
      <c r="J288" s="184" t="str">
        <f t="shared" si="9"/>
        <v>RFITD</v>
      </c>
      <c r="O288" s="28" t="s">
        <v>4924</v>
      </c>
      <c r="P288" s="28" t="s">
        <v>4902</v>
      </c>
    </row>
    <row r="289" spans="3:16" x14ac:dyDescent="0.25">
      <c r="C289" s="28" t="s">
        <v>2425</v>
      </c>
      <c r="D289" s="188" t="str">
        <f>+INDEX([1]Detallado!$F:$F,MATCH($C289,[1]Detallado!$B:$B,0))</f>
        <v>Renta Fija</v>
      </c>
      <c r="E289" s="31" t="str">
        <f>+INDEX([1]Detallado!$Q:$Q,MATCH($C289,[1]Detallado!$B:$B,0))</f>
        <v>RFIG</v>
      </c>
      <c r="F289" s="185" t="s">
        <v>4355</v>
      </c>
      <c r="G289" s="186" t="str">
        <f t="shared" si="8"/>
        <v>52RFIG</v>
      </c>
      <c r="H289" s="187" t="str">
        <f>+INDEX([1]Detallado!$D:$D,MATCH(C289,[1]Detallado!$B:$B,0))</f>
        <v>HSBC - Global Liquidity Funds</v>
      </c>
      <c r="I289" s="28"/>
      <c r="J289" s="184" t="str">
        <f t="shared" si="9"/>
        <v>RFITD</v>
      </c>
      <c r="O289" s="28" t="s">
        <v>4924</v>
      </c>
      <c r="P289" s="28" t="s">
        <v>4902</v>
      </c>
    </row>
    <row r="290" spans="3:16" x14ac:dyDescent="0.25">
      <c r="C290" s="28" t="s">
        <v>2426</v>
      </c>
      <c r="D290" s="188" t="str">
        <f>+INDEX([1]Detallado!$F:$F,MATCH($C290,[1]Detallado!$B:$B,0))</f>
        <v>Renta Fija</v>
      </c>
      <c r="E290" s="31" t="str">
        <f>+INDEX([1]Detallado!$Q:$Q,MATCH($C290,[1]Detallado!$B:$B,0))</f>
        <v>RFIG</v>
      </c>
      <c r="F290" s="185" t="s">
        <v>4355</v>
      </c>
      <c r="G290" s="186" t="str">
        <f t="shared" si="8"/>
        <v>52RFIG</v>
      </c>
      <c r="H290" s="187" t="str">
        <f>+INDEX([1]Detallado!$D:$D,MATCH(C290,[1]Detallado!$B:$B,0))</f>
        <v>HSBC - Global Liquidity Funds</v>
      </c>
      <c r="I290" s="28"/>
      <c r="J290" s="184" t="str">
        <f t="shared" si="9"/>
        <v>RFITD</v>
      </c>
      <c r="O290" s="28" t="s">
        <v>4924</v>
      </c>
      <c r="P290" s="28" t="s">
        <v>4902</v>
      </c>
    </row>
    <row r="291" spans="3:16" x14ac:dyDescent="0.25">
      <c r="C291" s="28" t="s">
        <v>2994</v>
      </c>
      <c r="D291" s="188" t="str">
        <f>+INDEX([1]Detallado!$F:$F,MATCH($C291,[1]Detallado!$B:$B,0))</f>
        <v>Renta Fija</v>
      </c>
      <c r="E291" s="31" t="str">
        <f>+INDEX([1]Detallado!$Q:$Q,MATCH($C291,[1]Detallado!$B:$B,0))</f>
        <v>RFIG</v>
      </c>
      <c r="F291" s="185" t="s">
        <v>4355</v>
      </c>
      <c r="G291" s="186" t="str">
        <f t="shared" si="8"/>
        <v>52RFIG</v>
      </c>
      <c r="H291" s="187" t="str">
        <f>+INDEX([1]Detallado!$D:$D,MATCH(C291,[1]Detallado!$B:$B,0))</f>
        <v xml:space="preserve">Larrain Vial </v>
      </c>
      <c r="I291" s="28"/>
      <c r="J291" s="184" t="str">
        <f t="shared" si="9"/>
        <v>RFITD</v>
      </c>
      <c r="O291" s="28" t="s">
        <v>4924</v>
      </c>
      <c r="P291" s="28" t="s">
        <v>4902</v>
      </c>
    </row>
    <row r="292" spans="3:16" x14ac:dyDescent="0.25">
      <c r="C292" s="28" t="s">
        <v>2494</v>
      </c>
      <c r="D292" s="188" t="str">
        <f>+INDEX([1]Detallado!$F:$F,MATCH($C292,[1]Detallado!$B:$B,0))</f>
        <v>Renta Fija</v>
      </c>
      <c r="E292" s="31" t="str">
        <f>+INDEX([1]Detallado!$Q:$Q,MATCH($C292,[1]Detallado!$B:$B,0))</f>
        <v>RFIG</v>
      </c>
      <c r="F292" s="185" t="s">
        <v>4355</v>
      </c>
      <c r="G292" s="186" t="str">
        <f t="shared" si="8"/>
        <v>52RFIG</v>
      </c>
      <c r="H292" s="187" t="str">
        <f>+INDEX([1]Detallado!$D:$D,MATCH(C292,[1]Detallado!$B:$B,0))</f>
        <v>Waystone Credicorp - Latam Corps HC</v>
      </c>
      <c r="I292" s="28"/>
      <c r="J292" s="184" t="str">
        <f t="shared" si="9"/>
        <v>RFITD</v>
      </c>
      <c r="O292" s="28" t="s">
        <v>4924</v>
      </c>
      <c r="P292" s="28" t="s">
        <v>4902</v>
      </c>
    </row>
    <row r="293" spans="3:16" x14ac:dyDescent="0.25">
      <c r="C293" s="28" t="s">
        <v>2995</v>
      </c>
      <c r="D293" s="188" t="str">
        <f>+INDEX([1]Detallado!$F:$F,MATCH($C293,[1]Detallado!$B:$B,0))</f>
        <v>Renta Fija</v>
      </c>
      <c r="E293" s="31" t="str">
        <f>+INDEX([1]Detallado!$Q:$Q,MATCH($C293,[1]Detallado!$B:$B,0))</f>
        <v>RFIG</v>
      </c>
      <c r="F293" s="185" t="s">
        <v>4355</v>
      </c>
      <c r="G293" s="186" t="str">
        <f t="shared" si="8"/>
        <v>52RFIG</v>
      </c>
      <c r="H293" s="187" t="str">
        <f>+INDEX([1]Detallado!$D:$D,MATCH(C293,[1]Detallado!$B:$B,0))</f>
        <v>Waystone Security - Latam Corps HC</v>
      </c>
      <c r="I293" s="28"/>
      <c r="J293" s="184" t="str">
        <f t="shared" si="9"/>
        <v>RFITD</v>
      </c>
      <c r="O293" s="28" t="s">
        <v>4924</v>
      </c>
      <c r="P293" s="28" t="s">
        <v>4902</v>
      </c>
    </row>
    <row r="294" spans="3:16" x14ac:dyDescent="0.25">
      <c r="C294" s="28" t="s">
        <v>2275</v>
      </c>
      <c r="D294" s="188" t="e">
        <f>+INDEX([1]Detallado!$F:$F,MATCH($C294,[1]Detallado!$B:$B,0))</f>
        <v>#N/A</v>
      </c>
      <c r="E294" s="31" t="e">
        <f>+INDEX([1]Detallado!$Q:$Q,MATCH($C294,[1]Detallado!$B:$B,0))</f>
        <v>#N/A</v>
      </c>
      <c r="F294" s="185" t="s">
        <v>4355</v>
      </c>
      <c r="G294" s="186" t="e">
        <f t="shared" si="8"/>
        <v>#N/A</v>
      </c>
      <c r="H294" s="187" t="e">
        <f>+INDEX([1]Detallado!$D:$D,MATCH(C294,[1]Detallado!$B:$B,0))</f>
        <v>#N/A</v>
      </c>
      <c r="I294" s="28"/>
      <c r="J294" s="184" t="e">
        <f t="shared" si="9"/>
        <v>#N/A</v>
      </c>
      <c r="O294" s="28" t="s">
        <v>4924</v>
      </c>
      <c r="P294" s="28" t="s">
        <v>4902</v>
      </c>
    </row>
    <row r="295" spans="3:16" x14ac:dyDescent="0.25">
      <c r="C295" s="28" t="s">
        <v>2996</v>
      </c>
      <c r="D295" s="188" t="str">
        <f>+INDEX([1]Detallado!$F:$F,MATCH($C295,[1]Detallado!$B:$B,0))</f>
        <v>Renta Fija</v>
      </c>
      <c r="E295" s="31" t="str">
        <f>+INDEX([1]Detallado!$Q:$Q,MATCH($C295,[1]Detallado!$B:$B,0))</f>
        <v>RFIG</v>
      </c>
      <c r="F295" s="185" t="s">
        <v>4355</v>
      </c>
      <c r="G295" s="186" t="str">
        <f t="shared" si="8"/>
        <v>52RFIG</v>
      </c>
      <c r="H295" s="187" t="str">
        <f>+INDEX([1]Detallado!$D:$D,MATCH(C295,[1]Detallado!$B:$B,0))</f>
        <v>MDO - Renta Fija Latam Corps</v>
      </c>
      <c r="I295" s="28"/>
      <c r="J295" s="184" t="str">
        <f t="shared" si="9"/>
        <v>RFITD</v>
      </c>
      <c r="O295" s="28" t="s">
        <v>4924</v>
      </c>
      <c r="P295" s="28" t="s">
        <v>4902</v>
      </c>
    </row>
    <row r="296" spans="3:16" x14ac:dyDescent="0.25">
      <c r="C296" s="28" t="s">
        <v>2997</v>
      </c>
      <c r="D296" s="188" t="str">
        <f>+INDEX([1]Detallado!$F:$F,MATCH($C296,[1]Detallado!$B:$B,0))</f>
        <v>Renta Fija</v>
      </c>
      <c r="E296" s="31" t="str">
        <f>+INDEX([1]Detallado!$Q:$Q,MATCH($C296,[1]Detallado!$B:$B,0))</f>
        <v>RFIG</v>
      </c>
      <c r="F296" s="185" t="s">
        <v>4355</v>
      </c>
      <c r="G296" s="186" t="str">
        <f t="shared" si="8"/>
        <v>52RFIG</v>
      </c>
      <c r="H296" s="187" t="str">
        <f>+INDEX([1]Detallado!$D:$D,MATCH(C296,[1]Detallado!$B:$B,0))</f>
        <v>Lemanik - Corp EM Debt USD</v>
      </c>
      <c r="I296" s="28"/>
      <c r="J296" s="184" t="str">
        <f t="shared" si="9"/>
        <v>RFITD</v>
      </c>
      <c r="O296" s="28" t="s">
        <v>4500</v>
      </c>
      <c r="P296" s="28" t="s">
        <v>4898</v>
      </c>
    </row>
    <row r="297" spans="3:16" x14ac:dyDescent="0.25">
      <c r="C297" s="28" t="s">
        <v>2500</v>
      </c>
      <c r="D297" s="188" t="e">
        <f>+INDEX([1]Detallado!$F:$F,MATCH($C297,[1]Detallado!$B:$B,0))</f>
        <v>#N/A</v>
      </c>
      <c r="E297" s="31" t="e">
        <f>+INDEX([1]Detallado!$Q:$Q,MATCH($C297,[1]Detallado!$B:$B,0))</f>
        <v>#N/A</v>
      </c>
      <c r="F297" s="185" t="s">
        <v>4355</v>
      </c>
      <c r="G297" s="186" t="e">
        <f t="shared" si="8"/>
        <v>#N/A</v>
      </c>
      <c r="H297" s="187" t="e">
        <f>+INDEX([1]Detallado!$D:$D,MATCH(C297,[1]Detallado!$B:$B,0))</f>
        <v>#N/A</v>
      </c>
      <c r="I297" s="28"/>
      <c r="J297" s="184" t="e">
        <f t="shared" si="9"/>
        <v>#N/A</v>
      </c>
      <c r="O297" s="28" t="s">
        <v>4500</v>
      </c>
      <c r="P297" s="28" t="s">
        <v>4898</v>
      </c>
    </row>
    <row r="298" spans="3:16" x14ac:dyDescent="0.25">
      <c r="C298" s="28" t="s">
        <v>2495</v>
      </c>
      <c r="D298" s="188" t="e">
        <f>+INDEX([1]Detallado!$F:$F,MATCH($C298,[1]Detallado!$B:$B,0))</f>
        <v>#N/A</v>
      </c>
      <c r="E298" s="31" t="e">
        <f>+INDEX([1]Detallado!$Q:$Q,MATCH($C298,[1]Detallado!$B:$B,0))</f>
        <v>#N/A</v>
      </c>
      <c r="F298" s="185" t="s">
        <v>4355</v>
      </c>
      <c r="G298" s="186" t="e">
        <f t="shared" si="8"/>
        <v>#N/A</v>
      </c>
      <c r="H298" s="187" t="e">
        <f>+INDEX([1]Detallado!$D:$D,MATCH(C298,[1]Detallado!$B:$B,0))</f>
        <v>#N/A</v>
      </c>
      <c r="I298" s="28"/>
      <c r="J298" s="184" t="e">
        <f t="shared" si="9"/>
        <v>#N/A</v>
      </c>
      <c r="O298" s="28" t="s">
        <v>4500</v>
      </c>
      <c r="P298" s="28" t="s">
        <v>4898</v>
      </c>
    </row>
    <row r="299" spans="3:16" x14ac:dyDescent="0.25">
      <c r="C299" s="28" t="s">
        <v>2153</v>
      </c>
      <c r="D299" s="188" t="str">
        <f>+INDEX([1]Detallado!$F:$F,MATCH($C299,[1]Detallado!$B:$B,0))</f>
        <v>Renta Fija</v>
      </c>
      <c r="E299" s="31" t="str">
        <f>+INDEX([1]Detallado!$Q:$Q,MATCH($C299,[1]Detallado!$B:$B,0))</f>
        <v>RFIG</v>
      </c>
      <c r="F299" s="185" t="s">
        <v>4355</v>
      </c>
      <c r="G299" s="186" t="str">
        <f t="shared" si="8"/>
        <v>52RFIG</v>
      </c>
      <c r="H299" s="187" t="str">
        <f>+INDEX([1]Detallado!$D:$D,MATCH(C299,[1]Detallado!$B:$B,0))</f>
        <v>Aberdeen - EM Corporate Bond</v>
      </c>
      <c r="I299" s="28"/>
      <c r="J299" s="184" t="str">
        <f t="shared" si="9"/>
        <v>RFITD</v>
      </c>
      <c r="O299" s="28" t="s">
        <v>4500</v>
      </c>
      <c r="P299" s="28" t="s">
        <v>4898</v>
      </c>
    </row>
    <row r="300" spans="3:16" x14ac:dyDescent="0.25">
      <c r="C300" s="28" t="s">
        <v>701</v>
      </c>
      <c r="D300" s="188" t="str">
        <f>+INDEX([1]Detallado!$F:$F,MATCH($C300,[1]Detallado!$B:$B,0))</f>
        <v>Renta Fija</v>
      </c>
      <c r="E300" s="31" t="str">
        <f>+INDEX([1]Detallado!$Q:$Q,MATCH($C300,[1]Detallado!$B:$B,0))</f>
        <v>RFIG</v>
      </c>
      <c r="F300" s="185" t="s">
        <v>4355</v>
      </c>
      <c r="G300" s="186" t="str">
        <f t="shared" si="8"/>
        <v>52RFIG</v>
      </c>
      <c r="H300" s="187" t="str">
        <f>+INDEX([1]Detallado!$D:$D,MATCH(C300,[1]Detallado!$B:$B,0))</f>
        <v>Goldman Sachs - Emerging Markets Corporate Debt</v>
      </c>
      <c r="I300" s="28"/>
      <c r="J300" s="184" t="str">
        <f t="shared" si="9"/>
        <v>RFITD</v>
      </c>
      <c r="O300" s="28" t="s">
        <v>4513</v>
      </c>
      <c r="P300" s="28" t="s">
        <v>4899</v>
      </c>
    </row>
    <row r="301" spans="3:16" x14ac:dyDescent="0.25">
      <c r="C301" s="28" t="s">
        <v>2151</v>
      </c>
      <c r="D301" s="188" t="str">
        <f>+INDEX([1]Detallado!$F:$F,MATCH($C301,[1]Detallado!$B:$B,0))</f>
        <v>Renta Fija</v>
      </c>
      <c r="E301" s="31" t="str">
        <f>+INDEX([1]Detallado!$Q:$Q,MATCH($C301,[1]Detallado!$B:$B,0))</f>
        <v>RFIG</v>
      </c>
      <c r="F301" s="185" t="s">
        <v>4355</v>
      </c>
      <c r="G301" s="186" t="str">
        <f t="shared" si="8"/>
        <v>52RFIG</v>
      </c>
      <c r="H301" s="187" t="str">
        <f>+INDEX([1]Detallado!$D:$D,MATCH(C301,[1]Detallado!$B:$B,0))</f>
        <v>Investec - Emerging Markets Corporate Debt</v>
      </c>
      <c r="I301" s="28"/>
      <c r="J301" s="184" t="str">
        <f t="shared" si="9"/>
        <v>RFITD</v>
      </c>
      <c r="O301" s="28" t="s">
        <v>4513</v>
      </c>
      <c r="P301" s="28" t="s">
        <v>4899</v>
      </c>
    </row>
    <row r="302" spans="3:16" x14ac:dyDescent="0.25">
      <c r="C302" s="28" t="s">
        <v>2107</v>
      </c>
      <c r="D302" s="188" t="str">
        <f>+INDEX([1]Detallado!$F:$F,MATCH($C302,[1]Detallado!$B:$B,0))</f>
        <v>Renta Fija</v>
      </c>
      <c r="E302" s="31" t="str">
        <f>+INDEX([1]Detallado!$Q:$Q,MATCH($C302,[1]Detallado!$B:$B,0))</f>
        <v>RFIG</v>
      </c>
      <c r="F302" s="185" t="s">
        <v>4355</v>
      </c>
      <c r="G302" s="186" t="str">
        <f t="shared" si="8"/>
        <v>52RFIG</v>
      </c>
      <c r="H302" s="187" t="str">
        <f>+INDEX([1]Detallado!$D:$D,MATCH(C302,[1]Detallado!$B:$B,0))</f>
        <v>Investec - Latin American Corporate Debt</v>
      </c>
      <c r="I302" s="28"/>
      <c r="J302" s="184" t="str">
        <f t="shared" si="9"/>
        <v>RFITD</v>
      </c>
      <c r="O302" s="28" t="s">
        <v>4925</v>
      </c>
      <c r="P302" s="28" t="s">
        <v>4899</v>
      </c>
    </row>
    <row r="303" spans="3:16" x14ac:dyDescent="0.25">
      <c r="C303" s="28" t="s">
        <v>2147</v>
      </c>
      <c r="D303" s="188" t="str">
        <f>+INDEX([1]Detallado!$F:$F,MATCH($C303,[1]Detallado!$B:$B,0))</f>
        <v>Renta Fija</v>
      </c>
      <c r="E303" s="31" t="str">
        <f>+INDEX([1]Detallado!$Q:$Q,MATCH($C303,[1]Detallado!$B:$B,0))</f>
        <v>RFIG</v>
      </c>
      <c r="F303" s="185" t="s">
        <v>4355</v>
      </c>
      <c r="G303" s="186" t="str">
        <f t="shared" si="8"/>
        <v>52RFIG</v>
      </c>
      <c r="H303" s="187" t="str">
        <f>+INDEX([1]Detallado!$D:$D,MATCH(C303,[1]Detallado!$B:$B,0))</f>
        <v>Morgan Stanley - Emerging Markets Corporate Debt Fund</v>
      </c>
      <c r="I303" s="28"/>
      <c r="J303" s="184" t="str">
        <f t="shared" si="9"/>
        <v>RFITD</v>
      </c>
      <c r="O303" s="28" t="s">
        <v>4501</v>
      </c>
      <c r="P303" s="28" t="s">
        <v>4899</v>
      </c>
    </row>
    <row r="304" spans="3:16" x14ac:dyDescent="0.25">
      <c r="C304" s="28" t="s">
        <v>1568</v>
      </c>
      <c r="D304" s="188" t="str">
        <f>+INDEX([1]Detallado!$F:$F,MATCH($C304,[1]Detallado!$B:$B,0))</f>
        <v>Renta Fija</v>
      </c>
      <c r="E304" s="31" t="str">
        <f>+INDEX([1]Detallado!$Q:$Q,MATCH($C304,[1]Detallado!$B:$B,0))</f>
        <v>RFIG</v>
      </c>
      <c r="F304" s="185" t="s">
        <v>4355</v>
      </c>
      <c r="G304" s="186" t="str">
        <f t="shared" si="8"/>
        <v>52RFIG</v>
      </c>
      <c r="H304" s="187" t="str">
        <f>+INDEX([1]Detallado!$D:$D,MATCH(C304,[1]Detallado!$B:$B,0))</f>
        <v>BlackRock - iShares JP Morgan EM Corporate Bond</v>
      </c>
      <c r="I304" s="28"/>
      <c r="J304" s="184" t="str">
        <f t="shared" si="9"/>
        <v>RFITD</v>
      </c>
      <c r="O304" s="28" t="s">
        <v>4501</v>
      </c>
      <c r="P304" s="28" t="s">
        <v>4899</v>
      </c>
    </row>
    <row r="305" spans="3:16" x14ac:dyDescent="0.25">
      <c r="C305" s="28" t="s">
        <v>2522</v>
      </c>
      <c r="D305" s="188" t="str">
        <f>+INDEX([1]Detallado!$F:$F,MATCH($C305,[1]Detallado!$B:$B,0))</f>
        <v>Renta Fija</v>
      </c>
      <c r="E305" s="31" t="str">
        <f>+INDEX([1]Detallado!$Q:$Q,MATCH($C305,[1]Detallado!$B:$B,0))</f>
        <v>RFIG</v>
      </c>
      <c r="F305" s="185" t="s">
        <v>4355</v>
      </c>
      <c r="G305" s="186" t="str">
        <f t="shared" si="8"/>
        <v>52RFIG</v>
      </c>
      <c r="H305" s="187" t="str">
        <f>+INDEX([1]Detallado!$D:$D,MATCH(C305,[1]Detallado!$B:$B,0))</f>
        <v>BlackRock - EM Corp Bond UCITS</v>
      </c>
      <c r="I305" s="28"/>
      <c r="J305" s="184" t="str">
        <f t="shared" si="9"/>
        <v>RFITD</v>
      </c>
      <c r="O305" s="28" t="s">
        <v>4501</v>
      </c>
      <c r="P305" s="28" t="s">
        <v>4899</v>
      </c>
    </row>
    <row r="306" spans="3:16" x14ac:dyDescent="0.25">
      <c r="C306" s="28" t="s">
        <v>1957</v>
      </c>
      <c r="D306" s="188" t="str">
        <f>+INDEX([1]Detallado!$F:$F,MATCH($C306,[1]Detallado!$B:$B,0))</f>
        <v>Renta Fija</v>
      </c>
      <c r="E306" s="31" t="str">
        <f>+INDEX([1]Detallado!$Q:$Q,MATCH($C306,[1]Detallado!$B:$B,0))</f>
        <v>RFIG</v>
      </c>
      <c r="F306" s="185" t="s">
        <v>4355</v>
      </c>
      <c r="G306" s="186" t="str">
        <f t="shared" si="8"/>
        <v>52RFIG</v>
      </c>
      <c r="H306" s="187" t="str">
        <f>+INDEX([1]Detallado!$D:$D,MATCH(C306,[1]Detallado!$B:$B,0))</f>
        <v>Santander - Latin America Corporate Bond</v>
      </c>
      <c r="I306" s="28"/>
      <c r="J306" s="184" t="str">
        <f t="shared" si="9"/>
        <v>RFITD</v>
      </c>
      <c r="O306" s="28" t="s">
        <v>4501</v>
      </c>
      <c r="P306" s="28" t="s">
        <v>4899</v>
      </c>
    </row>
    <row r="307" spans="3:16" x14ac:dyDescent="0.25">
      <c r="C307" s="28" t="s">
        <v>2998</v>
      </c>
      <c r="D307" s="188" t="str">
        <f>+INDEX([1]Detallado!$F:$F,MATCH($C307,[1]Detallado!$B:$B,0))</f>
        <v>Renta Fija</v>
      </c>
      <c r="E307" s="31" t="str">
        <f>+INDEX([1]Detallado!$Q:$Q,MATCH($C307,[1]Detallado!$B:$B,0))</f>
        <v>RFIG</v>
      </c>
      <c r="F307" s="185" t="s">
        <v>4355</v>
      </c>
      <c r="G307" s="186" t="str">
        <f t="shared" si="8"/>
        <v>52RFIG</v>
      </c>
      <c r="H307" s="187" t="str">
        <f>+INDEX([1]Detallado!$D:$D,MATCH(C307,[1]Detallado!$B:$B,0))</f>
        <v>FIGLHYI CI - Compass Latam HY</v>
      </c>
      <c r="I307" s="28"/>
      <c r="J307" s="184" t="str">
        <f t="shared" si="9"/>
        <v>RFITD</v>
      </c>
      <c r="O307" s="28" t="s">
        <v>4543</v>
      </c>
      <c r="P307" s="28" t="s">
        <v>4926</v>
      </c>
    </row>
    <row r="308" spans="3:16" x14ac:dyDescent="0.25">
      <c r="C308" s="28" t="s">
        <v>2342</v>
      </c>
      <c r="D308" s="188" t="str">
        <f>+INDEX([1]Detallado!$F:$F,MATCH($C308,[1]Detallado!$B:$B,0))</f>
        <v>Renta Fija</v>
      </c>
      <c r="E308" s="31" t="str">
        <f>+INDEX([1]Detallado!$Q:$Q,MATCH($C308,[1]Detallado!$B:$B,0))</f>
        <v>RFIG</v>
      </c>
      <c r="F308" s="185" t="s">
        <v>4355</v>
      </c>
      <c r="G308" s="186" t="str">
        <f t="shared" si="8"/>
        <v>52RFIG</v>
      </c>
      <c r="H308" s="187" t="str">
        <f>+INDEX([1]Detallado!$D:$D,MATCH(C308,[1]Detallado!$B:$B,0))</f>
        <v>Aberdeen - Frontier Markets Bond Fund</v>
      </c>
      <c r="I308" s="28"/>
      <c r="J308" s="184" t="str">
        <f t="shared" si="9"/>
        <v>RFITD</v>
      </c>
      <c r="O308" s="28" t="s">
        <v>2812</v>
      </c>
      <c r="P308" s="28" t="s">
        <v>1324</v>
      </c>
    </row>
    <row r="309" spans="3:16" x14ac:dyDescent="0.25">
      <c r="C309" s="28" t="s">
        <v>2230</v>
      </c>
      <c r="D309" s="188" t="str">
        <f>+INDEX([1]Detallado!$F:$F,MATCH($C309,[1]Detallado!$B:$B,0))</f>
        <v>Renta Fija</v>
      </c>
      <c r="E309" s="31" t="str">
        <f>+INDEX([1]Detallado!$Q:$Q,MATCH($C309,[1]Detallado!$B:$B,0))</f>
        <v>RFIG</v>
      </c>
      <c r="F309" s="185" t="s">
        <v>4355</v>
      </c>
      <c r="G309" s="186" t="str">
        <f t="shared" si="8"/>
        <v>52RFIG</v>
      </c>
      <c r="H309" s="187" t="str">
        <f>+INDEX([1]Detallado!$D:$D,MATCH(C309,[1]Detallado!$B:$B,0))</f>
        <v>Credit Suisse - Emerging Markets  Corporate Bonds</v>
      </c>
      <c r="I309" s="28"/>
      <c r="J309" s="184" t="str">
        <f t="shared" si="9"/>
        <v>RFITD</v>
      </c>
      <c r="O309" s="28" t="s">
        <v>4927</v>
      </c>
      <c r="P309" s="28" t="s">
        <v>4894</v>
      </c>
    </row>
    <row r="310" spans="3:16" x14ac:dyDescent="0.25">
      <c r="C310" s="28" t="s">
        <v>588</v>
      </c>
      <c r="D310" s="188" t="str">
        <f>+INDEX([1]Detallado!$F:$F,MATCH($C310,[1]Detallado!$B:$B,0))</f>
        <v>Renta Fija</v>
      </c>
      <c r="E310" s="31" t="str">
        <f>+INDEX([1]Detallado!$Q:$Q,MATCH($C310,[1]Detallado!$B:$B,0))</f>
        <v>RFIG</v>
      </c>
      <c r="F310" s="185" t="s">
        <v>4355</v>
      </c>
      <c r="G310" s="186" t="str">
        <f t="shared" si="8"/>
        <v>52RFIG</v>
      </c>
      <c r="H310" s="187" t="str">
        <f>+INDEX([1]Detallado!$D:$D,MATCH(C310,[1]Detallado!$B:$B,0))</f>
        <v>Vontobel - Emerging Markets Corporate</v>
      </c>
      <c r="I310" s="28"/>
      <c r="J310" s="184" t="str">
        <f t="shared" si="9"/>
        <v>RFITD</v>
      </c>
      <c r="O310" s="28" t="s">
        <v>4927</v>
      </c>
      <c r="P310" s="28" t="s">
        <v>4894</v>
      </c>
    </row>
    <row r="311" spans="3:16" x14ac:dyDescent="0.25">
      <c r="C311" s="28" t="s">
        <v>860</v>
      </c>
      <c r="D311" s="188" t="str">
        <f>+INDEX([1]Detallado!$F:$F,MATCH($C311,[1]Detallado!$B:$B,0))</f>
        <v>Renta Fija</v>
      </c>
      <c r="E311" s="31" t="str">
        <f>+INDEX([1]Detallado!$Q:$Q,MATCH($C311,[1]Detallado!$B:$B,0))</f>
        <v>RFIG</v>
      </c>
      <c r="F311" s="185" t="s">
        <v>4355</v>
      </c>
      <c r="G311" s="186" t="str">
        <f t="shared" si="8"/>
        <v>52RFIG</v>
      </c>
      <c r="H311" s="187" t="str">
        <f>+INDEX([1]Detallado!$D:$D,MATCH(C311,[1]Detallado!$B:$B,0))</f>
        <v>PIMCO - Asia High Yield Bond Fund</v>
      </c>
      <c r="I311" s="28"/>
      <c r="J311" s="184" t="str">
        <f t="shared" si="9"/>
        <v>RFITD</v>
      </c>
      <c r="O311" s="28" t="s">
        <v>4927</v>
      </c>
      <c r="P311" s="28" t="s">
        <v>4894</v>
      </c>
    </row>
    <row r="312" spans="3:16" x14ac:dyDescent="0.25">
      <c r="C312" s="28" t="s">
        <v>3000</v>
      </c>
      <c r="D312" s="188" t="str">
        <f>+INDEX([1]Detallado!$F:$F,MATCH($C312,[1]Detallado!$B:$B,0))</f>
        <v>Renta Fija</v>
      </c>
      <c r="E312" s="31" t="str">
        <f>+INDEX([1]Detallado!$Q:$Q,MATCH($C312,[1]Detallado!$B:$B,0))</f>
        <v>RFIG</v>
      </c>
      <c r="F312" s="185" t="s">
        <v>4355</v>
      </c>
      <c r="G312" s="186" t="str">
        <f t="shared" si="8"/>
        <v>52RFIG</v>
      </c>
      <c r="H312" s="187" t="str">
        <f>+INDEX([1]Detallado!$D:$D,MATCH(C312,[1]Detallado!$B:$B,0))</f>
        <v>Moneda - Latam High Yield</v>
      </c>
      <c r="I312" s="28"/>
      <c r="J312" s="184" t="str">
        <f t="shared" si="9"/>
        <v>RFITD</v>
      </c>
      <c r="O312" s="28" t="s">
        <v>4469</v>
      </c>
      <c r="P312" s="28" t="s">
        <v>4896</v>
      </c>
    </row>
    <row r="313" spans="3:16" x14ac:dyDescent="0.25">
      <c r="C313" s="28" t="s">
        <v>2400</v>
      </c>
      <c r="D313" s="188" t="str">
        <f>+INDEX([1]Detallado!$F:$F,MATCH($C313,[1]Detallado!$B:$B,0))</f>
        <v>Renta Fija</v>
      </c>
      <c r="E313" s="31" t="str">
        <f>+INDEX([1]Detallado!$Q:$Q,MATCH($C313,[1]Detallado!$B:$B,0))</f>
        <v>RFIG</v>
      </c>
      <c r="F313" s="185" t="s">
        <v>4355</v>
      </c>
      <c r="G313" s="186" t="str">
        <f t="shared" si="8"/>
        <v>52RFIG</v>
      </c>
      <c r="H313" s="187" t="str">
        <f>+INDEX([1]Detallado!$D:$D,MATCH(C313,[1]Detallado!$B:$B,0))</f>
        <v>MDO - Latam Corp HY</v>
      </c>
      <c r="I313" s="28"/>
      <c r="J313" s="184" t="str">
        <f t="shared" si="9"/>
        <v>RFITD</v>
      </c>
      <c r="O313" s="28" t="s">
        <v>4505</v>
      </c>
      <c r="P313" s="28" t="s">
        <v>4902</v>
      </c>
    </row>
    <row r="314" spans="3:16" x14ac:dyDescent="0.25">
      <c r="C314" s="28" t="s">
        <v>2168</v>
      </c>
      <c r="D314" s="188" t="str">
        <f>+INDEX([1]Detallado!$F:$F,MATCH($C314,[1]Detallado!$B:$B,0))</f>
        <v>Renta Fija</v>
      </c>
      <c r="E314" s="31" t="str">
        <f>+INDEX([1]Detallado!$Q:$Q,MATCH($C314,[1]Detallado!$B:$B,0))</f>
        <v>RFIG</v>
      </c>
      <c r="F314" s="185" t="s">
        <v>4355</v>
      </c>
      <c r="G314" s="186" t="str">
        <f t="shared" si="8"/>
        <v>52RFIG</v>
      </c>
      <c r="H314" s="187" t="str">
        <f>+INDEX([1]Detallado!$D:$D,MATCH(C314,[1]Detallado!$B:$B,0))</f>
        <v>JP Morgan - Emerging Markets Corporate Bond Fund</v>
      </c>
      <c r="I314" s="28"/>
      <c r="J314" s="184" t="str">
        <f t="shared" si="9"/>
        <v>RFITD</v>
      </c>
      <c r="O314" s="28" t="s">
        <v>4505</v>
      </c>
      <c r="P314" s="28" t="s">
        <v>4902</v>
      </c>
    </row>
    <row r="315" spans="3:16" x14ac:dyDescent="0.25">
      <c r="C315" s="28" t="s">
        <v>3001</v>
      </c>
      <c r="D315" s="188" t="str">
        <f>+INDEX([1]Detallado!$F:$F,MATCH($C315,[1]Detallado!$B:$B,0))</f>
        <v>Renta Fija</v>
      </c>
      <c r="E315" s="31" t="str">
        <f>+INDEX([1]Detallado!$Q:$Q,MATCH($C315,[1]Detallado!$B:$B,0))</f>
        <v>RFIG</v>
      </c>
      <c r="F315" s="185" t="s">
        <v>4355</v>
      </c>
      <c r="G315" s="186" t="str">
        <f t="shared" si="8"/>
        <v>52RFIG</v>
      </c>
      <c r="H315" s="187" t="str">
        <f>+INDEX([1]Detallado!$D:$D,MATCH(C315,[1]Detallado!$B:$B,0))</f>
        <v>Moneda - Deuda Latinoamericana</v>
      </c>
      <c r="I315" s="28"/>
      <c r="J315" s="184" t="str">
        <f t="shared" si="9"/>
        <v>RFITD</v>
      </c>
      <c r="O315" s="28" t="s">
        <v>4545</v>
      </c>
      <c r="P315" s="28" t="s">
        <v>4896</v>
      </c>
    </row>
    <row r="316" spans="3:16" x14ac:dyDescent="0.25">
      <c r="C316" s="28" t="s">
        <v>673</v>
      </c>
      <c r="D316" s="188" t="str">
        <f>+INDEX([1]Detallado!$F:$F,MATCH($C316,[1]Detallado!$B:$B,0))</f>
        <v>Renta Fija</v>
      </c>
      <c r="E316" s="31" t="str">
        <f>+INDEX([1]Detallado!$Q:$Q,MATCH($C316,[1]Detallado!$B:$B,0))</f>
        <v>RFIG</v>
      </c>
      <c r="F316" s="185" t="s">
        <v>4355</v>
      </c>
      <c r="G316" s="186" t="str">
        <f t="shared" si="8"/>
        <v>52RFIG</v>
      </c>
      <c r="H316" s="187" t="str">
        <f>+INDEX([1]Detallado!$D:$D,MATCH(C316,[1]Detallado!$B:$B,0))</f>
        <v>Moneda S.A. Administradora General de Fondos - Deuda Latam</v>
      </c>
      <c r="I316" s="28"/>
      <c r="J316" s="184" t="str">
        <f t="shared" si="9"/>
        <v>RFITD</v>
      </c>
      <c r="O316" s="28" t="s">
        <v>4480</v>
      </c>
      <c r="P316" s="28" t="s">
        <v>4902</v>
      </c>
    </row>
    <row r="317" spans="3:16" x14ac:dyDescent="0.25">
      <c r="C317" s="28" t="s">
        <v>3002</v>
      </c>
      <c r="D317" s="188" t="str">
        <f>+INDEX([1]Detallado!$F:$F,MATCH($C317,[1]Detallado!$B:$B,0))</f>
        <v>Renta Fija</v>
      </c>
      <c r="E317" s="31" t="str">
        <f>+INDEX([1]Detallado!$Q:$Q,MATCH($C317,[1]Detallado!$B:$B,0))</f>
        <v>RFIC</v>
      </c>
      <c r="F317" s="185" t="s">
        <v>4357</v>
      </c>
      <c r="G317" s="186" t="str">
        <f t="shared" si="8"/>
        <v>12RFIC</v>
      </c>
      <c r="H317" s="187" t="str">
        <f>+INDEX([1]Detallado!$D:$D,MATCH(C317,[1]Detallado!$B:$B,0))</f>
        <v>Petrobras International</v>
      </c>
      <c r="I317" s="28"/>
      <c r="J317" s="184" t="str">
        <f t="shared" si="9"/>
        <v>RFIBU</v>
      </c>
      <c r="O317" s="28" t="s">
        <v>4515</v>
      </c>
      <c r="P317" s="28" t="s">
        <v>4895</v>
      </c>
    </row>
    <row r="318" spans="3:16" x14ac:dyDescent="0.25">
      <c r="C318" s="28" t="s">
        <v>959</v>
      </c>
      <c r="D318" s="188" t="str">
        <f>+INDEX([1]Detallado!$F:$F,MATCH($C318,[1]Detallado!$B:$B,0))</f>
        <v>Renta Fija</v>
      </c>
      <c r="E318" s="31" t="str">
        <f>+INDEX([1]Detallado!$Q:$Q,MATCH($C318,[1]Detallado!$B:$B,0))</f>
        <v>RFIC</v>
      </c>
      <c r="F318" s="185" t="s">
        <v>4357</v>
      </c>
      <c r="G318" s="186" t="str">
        <f t="shared" si="8"/>
        <v>59RFIC</v>
      </c>
      <c r="H318" s="187" t="str">
        <f>+INDEX([1]Detallado!$D:$D,MATCH(C318,[1]Detallado!$B:$B,0))</f>
        <v>Ecopetrol</v>
      </c>
      <c r="I318" s="28"/>
      <c r="J318" s="184" t="str">
        <f t="shared" si="9"/>
        <v>RFIBU</v>
      </c>
      <c r="O318" s="28" t="s">
        <v>4506</v>
      </c>
      <c r="P318" s="28" t="s">
        <v>4896</v>
      </c>
    </row>
    <row r="319" spans="3:16" x14ac:dyDescent="0.25">
      <c r="C319" s="28" t="s">
        <v>825</v>
      </c>
      <c r="D319" s="188" t="str">
        <f>+INDEX([1]Detallado!$F:$F,MATCH($C319,[1]Detallado!$B:$B,0))</f>
        <v>Renta Fija</v>
      </c>
      <c r="E319" s="31" t="str">
        <f>+INDEX([1]Detallado!$Q:$Q,MATCH($C319,[1]Detallado!$B:$B,0))</f>
        <v>RFIC</v>
      </c>
      <c r="F319" s="185" t="s">
        <v>4357</v>
      </c>
      <c r="G319" s="186" t="str">
        <f t="shared" si="8"/>
        <v>59RFIC</v>
      </c>
      <c r="H319" s="187" t="str">
        <f>+INDEX([1]Detallado!$D:$D,MATCH(C319,[1]Detallado!$B:$B,0))</f>
        <v>Ecopetrol</v>
      </c>
      <c r="I319" s="28"/>
      <c r="J319" s="184" t="str">
        <f t="shared" si="9"/>
        <v>RFIBU</v>
      </c>
      <c r="O319" s="28" t="s">
        <v>4506</v>
      </c>
      <c r="P319" s="28" t="s">
        <v>4896</v>
      </c>
    </row>
    <row r="320" spans="3:16" x14ac:dyDescent="0.25">
      <c r="C320" s="28" t="s">
        <v>3003</v>
      </c>
      <c r="D320" s="188" t="str">
        <f>+INDEX([1]Detallado!$F:$F,MATCH($C320,[1]Detallado!$B:$B,0))</f>
        <v>Renta Fija</v>
      </c>
      <c r="E320" s="31" t="str">
        <f>+INDEX([1]Detallado!$Q:$Q,MATCH($C320,[1]Detallado!$B:$B,0))</f>
        <v>RFIC</v>
      </c>
      <c r="F320" s="185" t="s">
        <v>4357</v>
      </c>
      <c r="G320" s="186" t="str">
        <f t="shared" si="8"/>
        <v>59RFIC</v>
      </c>
      <c r="H320" s="187" t="str">
        <f>+INDEX([1]Detallado!$D:$D,MATCH(C320,[1]Detallado!$B:$B,0))</f>
        <v>Ecopetrol</v>
      </c>
      <c r="I320" s="28"/>
      <c r="J320" s="184" t="str">
        <f t="shared" si="9"/>
        <v>RFIBU</v>
      </c>
      <c r="O320" s="28" t="s">
        <v>4472</v>
      </c>
      <c r="P320" s="28" t="s">
        <v>4898</v>
      </c>
    </row>
    <row r="321" spans="3:16" x14ac:dyDescent="0.25">
      <c r="C321" s="28" t="s">
        <v>3004</v>
      </c>
      <c r="D321" s="188" t="str">
        <f>+INDEX([1]Detallado!$F:$F,MATCH($C321,[1]Detallado!$B:$B,0))</f>
        <v>Renta Fija</v>
      </c>
      <c r="E321" s="31" t="str">
        <f>+INDEX([1]Detallado!$Q:$Q,MATCH($C321,[1]Detallado!$B:$B,0))</f>
        <v>RFIC</v>
      </c>
      <c r="F321" s="185" t="s">
        <v>4357</v>
      </c>
      <c r="G321" s="186" t="str">
        <f t="shared" si="8"/>
        <v>12RFIC</v>
      </c>
      <c r="H321" s="187" t="str">
        <f>+INDEX([1]Detallado!$D:$D,MATCH(C321,[1]Detallado!$B:$B,0))</f>
        <v>Fibria Overseas Finance Ltd.</v>
      </c>
      <c r="I321" s="28"/>
      <c r="J321" s="184" t="str">
        <f t="shared" si="9"/>
        <v>RFIBU</v>
      </c>
      <c r="O321" s="28" t="s">
        <v>4472</v>
      </c>
      <c r="P321" s="28" t="s">
        <v>4898</v>
      </c>
    </row>
    <row r="322" spans="3:16" x14ac:dyDescent="0.25">
      <c r="C322" s="28" t="s">
        <v>3005</v>
      </c>
      <c r="D322" s="188" t="str">
        <f>+INDEX([1]Detallado!$F:$F,MATCH($C322,[1]Detallado!$B:$B,0))</f>
        <v>Renta Fija</v>
      </c>
      <c r="E322" s="31" t="str">
        <f>+INDEX([1]Detallado!$Q:$Q,MATCH($C322,[1]Detallado!$B:$B,0))</f>
        <v>RFIC</v>
      </c>
      <c r="F322" s="185" t="s">
        <v>4357</v>
      </c>
      <c r="G322" s="186" t="str">
        <f t="shared" si="8"/>
        <v>12RFIC</v>
      </c>
      <c r="H322" s="187" t="str">
        <f>+INDEX([1]Detallado!$D:$D,MATCH(C322,[1]Detallado!$B:$B,0))</f>
        <v>Fibria Overseas Finance Ltd.</v>
      </c>
      <c r="I322" s="28"/>
      <c r="J322" s="184" t="str">
        <f t="shared" si="9"/>
        <v>RFIBU</v>
      </c>
      <c r="O322" s="28" t="s">
        <v>4472</v>
      </c>
      <c r="P322" s="28" t="s">
        <v>4898</v>
      </c>
    </row>
    <row r="323" spans="3:16" x14ac:dyDescent="0.25">
      <c r="C323" s="28" t="s">
        <v>3006</v>
      </c>
      <c r="D323" s="188" t="str">
        <f>+INDEX([1]Detallado!$F:$F,MATCH($C323,[1]Detallado!$B:$B,0))</f>
        <v>Renta Fija</v>
      </c>
      <c r="E323" s="31" t="str">
        <f>+INDEX([1]Detallado!$Q:$Q,MATCH($C323,[1]Detallado!$B:$B,0))</f>
        <v>RFIC</v>
      </c>
      <c r="F323" s="185" t="s">
        <v>4357</v>
      </c>
      <c r="G323" s="186" t="str">
        <f t="shared" si="8"/>
        <v>12RFIC</v>
      </c>
      <c r="H323" s="187" t="str">
        <f>+INDEX([1]Detallado!$D:$D,MATCH(C323,[1]Detallado!$B:$B,0))</f>
        <v>VALEBZ 6 7/8 11/21/36</v>
      </c>
      <c r="I323" s="28"/>
      <c r="J323" s="184" t="str">
        <f t="shared" si="9"/>
        <v>RFIBU</v>
      </c>
      <c r="O323" s="28" t="s">
        <v>4472</v>
      </c>
      <c r="P323" s="28" t="s">
        <v>4898</v>
      </c>
    </row>
    <row r="324" spans="3:16" x14ac:dyDescent="0.25">
      <c r="C324" s="28" t="s">
        <v>3008</v>
      </c>
      <c r="D324" s="188" t="str">
        <f>+INDEX([1]Detallado!$F:$F,MATCH($C324,[1]Detallado!$B:$B,0))</f>
        <v>Renta Fija</v>
      </c>
      <c r="E324" s="31" t="str">
        <f>+INDEX([1]Detallado!$Q:$Q,MATCH($C324,[1]Detallado!$B:$B,0))</f>
        <v>RFIC</v>
      </c>
      <c r="F324" s="185" t="s">
        <v>4357</v>
      </c>
      <c r="G324" s="186" t="str">
        <f t="shared" si="8"/>
        <v>12RFIC</v>
      </c>
      <c r="H324" s="187" t="str">
        <f>+INDEX([1]Detallado!$D:$D,MATCH(C324,[1]Detallado!$B:$B,0))</f>
        <v>Brasil Foods</v>
      </c>
      <c r="I324" s="28"/>
      <c r="J324" s="184" t="str">
        <f t="shared" si="9"/>
        <v>RFIBU</v>
      </c>
      <c r="O324" s="28" t="s">
        <v>4928</v>
      </c>
      <c r="P324" s="28" t="s">
        <v>4894</v>
      </c>
    </row>
    <row r="325" spans="3:16" x14ac:dyDescent="0.25">
      <c r="C325" s="28" t="s">
        <v>3009</v>
      </c>
      <c r="D325" s="188" t="str">
        <f>+INDEX([1]Detallado!$F:$F,MATCH($C325,[1]Detallado!$B:$B,0))</f>
        <v>Renta Fija</v>
      </c>
      <c r="E325" s="31" t="str">
        <f>+INDEX([1]Detallado!$Q:$Q,MATCH($C325,[1]Detallado!$B:$B,0))</f>
        <v>RFIC</v>
      </c>
      <c r="F325" s="185" t="s">
        <v>4357</v>
      </c>
      <c r="G325" s="186" t="str">
        <f t="shared" si="8"/>
        <v>12RFIC</v>
      </c>
      <c r="H325" s="187" t="str">
        <f>+INDEX([1]Detallado!$D:$D,MATCH(C325,[1]Detallado!$B:$B,0))</f>
        <v>Brasil Foods</v>
      </c>
      <c r="I325" s="28"/>
      <c r="J325" s="184" t="str">
        <f t="shared" si="9"/>
        <v>RFIBU</v>
      </c>
      <c r="O325" s="28" t="s">
        <v>4929</v>
      </c>
      <c r="P325" s="28" t="s">
        <v>4896</v>
      </c>
    </row>
    <row r="326" spans="3:16" x14ac:dyDescent="0.25">
      <c r="C326" s="28" t="s">
        <v>3010</v>
      </c>
      <c r="D326" s="188" t="str">
        <f>+INDEX([1]Detallado!$F:$F,MATCH($C326,[1]Detallado!$B:$B,0))</f>
        <v>Renta Fija</v>
      </c>
      <c r="E326" s="31" t="str">
        <f>+INDEX([1]Detallado!$Q:$Q,MATCH($C326,[1]Detallado!$B:$B,0))</f>
        <v>RFIC</v>
      </c>
      <c r="F326" s="185" t="s">
        <v>4357</v>
      </c>
      <c r="G326" s="186" t="str">
        <f t="shared" si="8"/>
        <v>12RFIC</v>
      </c>
      <c r="H326" s="187" t="str">
        <f>+INDEX([1]Detallado!$D:$D,MATCH(C326,[1]Detallado!$B:$B,0))</f>
        <v>Brasil Foods</v>
      </c>
      <c r="I326" s="28"/>
      <c r="J326" s="184" t="str">
        <f t="shared" si="9"/>
        <v>RFIBU</v>
      </c>
      <c r="O326" s="28" t="s">
        <v>4530</v>
      </c>
      <c r="P326" s="28" t="s">
        <v>4896</v>
      </c>
    </row>
    <row r="327" spans="3:16" x14ac:dyDescent="0.25">
      <c r="C327" s="28" t="s">
        <v>3011</v>
      </c>
      <c r="D327" s="188" t="str">
        <f>+INDEX([1]Detallado!$F:$F,MATCH($C327,[1]Detallado!$B:$B,0))</f>
        <v>Renta Fija</v>
      </c>
      <c r="E327" s="31" t="str">
        <f>+INDEX([1]Detallado!$Q:$Q,MATCH($C327,[1]Detallado!$B:$B,0))</f>
        <v>RFIC</v>
      </c>
      <c r="F327" s="185" t="s">
        <v>4357</v>
      </c>
      <c r="G327" s="186" t="str">
        <f t="shared" si="8"/>
        <v>12RFIC</v>
      </c>
      <c r="H327" s="187" t="str">
        <f>+INDEX([1]Detallado!$D:$D,MATCH(C327,[1]Detallado!$B:$B,0))</f>
        <v>Petrobras International Finance Company</v>
      </c>
      <c r="I327" s="28"/>
      <c r="J327" s="184" t="str">
        <f t="shared" si="9"/>
        <v>RFIBU</v>
      </c>
      <c r="O327" s="28" t="s">
        <v>4530</v>
      </c>
      <c r="P327" s="28" t="s">
        <v>4896</v>
      </c>
    </row>
    <row r="328" spans="3:16" x14ac:dyDescent="0.25">
      <c r="C328" s="28" t="s">
        <v>957</v>
      </c>
      <c r="D328" s="188" t="str">
        <f>+INDEX([1]Detallado!$F:$F,MATCH($C328,[1]Detallado!$B:$B,0))</f>
        <v>Renta Fija</v>
      </c>
      <c r="E328" s="31" t="str">
        <f>+INDEX([1]Detallado!$Q:$Q,MATCH($C328,[1]Detallado!$B:$B,0))</f>
        <v>RFIC</v>
      </c>
      <c r="F328" s="185" t="s">
        <v>4357</v>
      </c>
      <c r="G328" s="186" t="str">
        <f t="shared" si="8"/>
        <v>59RFIC</v>
      </c>
      <c r="H328" s="187" t="str">
        <f>+INDEX([1]Detallado!$D:$D,MATCH(C328,[1]Detallado!$B:$B,0))</f>
        <v>Ecopetrol</v>
      </c>
      <c r="I328" s="28"/>
      <c r="J328" s="184" t="str">
        <f t="shared" si="9"/>
        <v>RFIBU</v>
      </c>
      <c r="O328" s="28" t="s">
        <v>4930</v>
      </c>
      <c r="P328" s="28" t="s">
        <v>4896</v>
      </c>
    </row>
    <row r="329" spans="3:16" x14ac:dyDescent="0.25">
      <c r="C329" s="28" t="s">
        <v>3012</v>
      </c>
      <c r="D329" s="188" t="str">
        <f>+INDEX([1]Detallado!$F:$F,MATCH($C329,[1]Detallado!$B:$B,0))</f>
        <v>Renta Fija</v>
      </c>
      <c r="E329" s="31" t="str">
        <f>+INDEX([1]Detallado!$Q:$Q,MATCH($C329,[1]Detallado!$B:$B,0))</f>
        <v>RFIC</v>
      </c>
      <c r="F329" s="185" t="s">
        <v>4357</v>
      </c>
      <c r="G329" s="186" t="str">
        <f t="shared" si="8"/>
        <v>12RFIC</v>
      </c>
      <c r="H329" s="187" t="str">
        <f>+INDEX([1]Detallado!$D:$D,MATCH(C329,[1]Detallado!$B:$B,0))</f>
        <v>Ecopetrol</v>
      </c>
      <c r="I329" s="28"/>
      <c r="J329" s="184" t="str">
        <f t="shared" si="9"/>
        <v>RFIBU</v>
      </c>
      <c r="O329" s="28" t="s">
        <v>4497</v>
      </c>
      <c r="P329" s="28" t="s">
        <v>4902</v>
      </c>
    </row>
    <row r="330" spans="3:16" x14ac:dyDescent="0.25">
      <c r="C330" s="28" t="s">
        <v>3013</v>
      </c>
      <c r="D330" s="188" t="str">
        <f>+INDEX([1]Detallado!$F:$F,MATCH($C330,[1]Detallado!$B:$B,0))</f>
        <v>Renta Fija</v>
      </c>
      <c r="E330" s="31" t="str">
        <f>+INDEX([1]Detallado!$Q:$Q,MATCH($C330,[1]Detallado!$B:$B,0))</f>
        <v>RFIC</v>
      </c>
      <c r="F330" s="185" t="s">
        <v>4357</v>
      </c>
      <c r="G330" s="186" t="str">
        <f t="shared" ref="G330:G393" si="10">LEFT(C330,2)&amp;E330</f>
        <v>12RFIC</v>
      </c>
      <c r="H330" s="187" t="str">
        <f>+INDEX([1]Detallado!$D:$D,MATCH(C330,[1]Detallado!$B:$B,0))</f>
        <v>Ecopetrol</v>
      </c>
      <c r="I330" s="28"/>
      <c r="J330" s="184" t="str">
        <f t="shared" ref="J330:J393" si="11">IF(E330="ALT",LEFT(E330,3),LEFT(E330,3)&amp;F330)</f>
        <v>RFIBU</v>
      </c>
      <c r="O330" s="28" t="s">
        <v>4475</v>
      </c>
      <c r="P330" s="28" t="s">
        <v>4902</v>
      </c>
    </row>
    <row r="331" spans="3:16" x14ac:dyDescent="0.25">
      <c r="C331" s="28" t="s">
        <v>3014</v>
      </c>
      <c r="D331" s="188" t="str">
        <f>+INDEX([1]Detallado!$F:$F,MATCH($C331,[1]Detallado!$B:$B,0))</f>
        <v>Renta Fija</v>
      </c>
      <c r="E331" s="31" t="str">
        <f>+INDEX([1]Detallado!$Q:$Q,MATCH($C331,[1]Detallado!$B:$B,0))</f>
        <v>RFIC</v>
      </c>
      <c r="F331" s="185" t="s">
        <v>4357</v>
      </c>
      <c r="G331" s="186" t="str">
        <f t="shared" si="10"/>
        <v>59RFIC</v>
      </c>
      <c r="H331" s="187" t="str">
        <f>+INDEX([1]Detallado!$D:$D,MATCH(C331,[1]Detallado!$B:$B,0))</f>
        <v>Ecopetrol</v>
      </c>
      <c r="I331" s="28"/>
      <c r="J331" s="184" t="str">
        <f t="shared" si="11"/>
        <v>RFIBU</v>
      </c>
      <c r="O331" s="28" t="s">
        <v>4475</v>
      </c>
      <c r="P331" s="28" t="s">
        <v>4902</v>
      </c>
    </row>
    <row r="332" spans="3:16" x14ac:dyDescent="0.25">
      <c r="C332" s="28" t="s">
        <v>3015</v>
      </c>
      <c r="D332" s="188" t="str">
        <f>+INDEX([1]Detallado!$F:$F,MATCH($C332,[1]Detallado!$B:$B,0))</f>
        <v>Renta Fija</v>
      </c>
      <c r="E332" s="31" t="str">
        <f>+INDEX([1]Detallado!$Q:$Q,MATCH($C332,[1]Detallado!$B:$B,0))</f>
        <v>RFIC</v>
      </c>
      <c r="F332" s="185" t="s">
        <v>4357</v>
      </c>
      <c r="G332" s="186" t="str">
        <f t="shared" si="10"/>
        <v>59RFIC</v>
      </c>
      <c r="H332" s="187" t="str">
        <f>+INDEX([1]Detallado!$D:$D,MATCH(C332,[1]Detallado!$B:$B,0))</f>
        <v>Ecopetrol</v>
      </c>
      <c r="I332" s="28"/>
      <c r="J332" s="184" t="str">
        <f t="shared" si="11"/>
        <v>RFIBU</v>
      </c>
      <c r="O332" s="28" t="s">
        <v>4475</v>
      </c>
      <c r="P332" s="28" t="s">
        <v>4902</v>
      </c>
    </row>
    <row r="333" spans="3:16" x14ac:dyDescent="0.25">
      <c r="C333" s="28" t="s">
        <v>3016</v>
      </c>
      <c r="D333" s="188" t="str">
        <f>+INDEX([1]Detallado!$F:$F,MATCH($C333,[1]Detallado!$B:$B,0))</f>
        <v>Renta Fija</v>
      </c>
      <c r="E333" s="31" t="str">
        <f>+INDEX([1]Detallado!$Q:$Q,MATCH($C333,[1]Detallado!$B:$B,0))</f>
        <v>RFIC</v>
      </c>
      <c r="F333" s="185" t="s">
        <v>4357</v>
      </c>
      <c r="G333" s="186" t="str">
        <f t="shared" si="10"/>
        <v>12RFIC</v>
      </c>
      <c r="H333" s="187" t="str">
        <f>+INDEX([1]Detallado!$D:$D,MATCH(C333,[1]Detallado!$B:$B,0))</f>
        <v>Ecopetrol</v>
      </c>
      <c r="I333" s="28"/>
      <c r="J333" s="184" t="str">
        <f t="shared" si="11"/>
        <v>RFIBU</v>
      </c>
      <c r="O333" s="28" t="s">
        <v>4475</v>
      </c>
      <c r="P333" s="28" t="s">
        <v>4902</v>
      </c>
    </row>
    <row r="334" spans="3:16" x14ac:dyDescent="0.25">
      <c r="C334" s="28" t="s">
        <v>3017</v>
      </c>
      <c r="D334" s="188" t="str">
        <f>+INDEX([1]Detallado!$F:$F,MATCH($C334,[1]Detallado!$B:$B,0))</f>
        <v>Renta Fija</v>
      </c>
      <c r="E334" s="31" t="str">
        <f>+INDEX([1]Detallado!$Q:$Q,MATCH($C334,[1]Detallado!$B:$B,0))</f>
        <v>RFIC</v>
      </c>
      <c r="F334" s="185" t="s">
        <v>4357</v>
      </c>
      <c r="G334" s="186" t="str">
        <f t="shared" si="10"/>
        <v>12RFIC</v>
      </c>
      <c r="H334" s="187" t="str">
        <f>+INDEX([1]Detallado!$D:$D,MATCH(C334,[1]Detallado!$B:$B,0))</f>
        <v>Ecopetrol</v>
      </c>
      <c r="I334" s="28"/>
      <c r="J334" s="184" t="str">
        <f t="shared" si="11"/>
        <v>RFIBU</v>
      </c>
      <c r="O334" s="28" t="s">
        <v>4535</v>
      </c>
      <c r="P334" s="28" t="s">
        <v>4899</v>
      </c>
    </row>
    <row r="335" spans="3:16" x14ac:dyDescent="0.25">
      <c r="C335" s="28" t="s">
        <v>3018</v>
      </c>
      <c r="D335" s="188" t="str">
        <f>+INDEX([1]Detallado!$F:$F,MATCH($C335,[1]Detallado!$B:$B,0))</f>
        <v>Renta Fija</v>
      </c>
      <c r="E335" s="31" t="str">
        <f>+INDEX([1]Detallado!$Q:$Q,MATCH($C335,[1]Detallado!$B:$B,0))</f>
        <v>RFIC</v>
      </c>
      <c r="F335" s="185" t="s">
        <v>4357</v>
      </c>
      <c r="G335" s="186" t="str">
        <f t="shared" si="10"/>
        <v>12RFIC</v>
      </c>
      <c r="H335" s="187" t="str">
        <f>+INDEX([1]Detallado!$D:$D,MATCH(C335,[1]Detallado!$B:$B,0))</f>
        <v>Ecopetrol</v>
      </c>
      <c r="I335" s="28"/>
      <c r="J335" s="184" t="str">
        <f t="shared" si="11"/>
        <v>RFIBU</v>
      </c>
      <c r="O335" s="28" t="s">
        <v>4535</v>
      </c>
      <c r="P335" s="28" t="s">
        <v>4899</v>
      </c>
    </row>
    <row r="336" spans="3:16" x14ac:dyDescent="0.25">
      <c r="C336" s="28" t="s">
        <v>3019</v>
      </c>
      <c r="D336" s="188" t="str">
        <f>+INDEX([1]Detallado!$F:$F,MATCH($C336,[1]Detallado!$B:$B,0))</f>
        <v>Renta Fija</v>
      </c>
      <c r="E336" s="31" t="str">
        <f>+INDEX([1]Detallado!$Q:$Q,MATCH($C336,[1]Detallado!$B:$B,0))</f>
        <v>RFIC</v>
      </c>
      <c r="F336" s="185" t="s">
        <v>4357</v>
      </c>
      <c r="G336" s="186" t="str">
        <f t="shared" si="10"/>
        <v>12RFIC</v>
      </c>
      <c r="H336" s="187" t="str">
        <f>+INDEX([1]Detallado!$D:$D,MATCH(C336,[1]Detallado!$B:$B,0))</f>
        <v>Ecopetrol</v>
      </c>
      <c r="I336" s="28"/>
      <c r="J336" s="184" t="str">
        <f t="shared" si="11"/>
        <v>RFIBU</v>
      </c>
      <c r="O336" s="28" t="s">
        <v>4535</v>
      </c>
      <c r="P336" s="28" t="s">
        <v>4899</v>
      </c>
    </row>
    <row r="337" spans="3:16" x14ac:dyDescent="0.25">
      <c r="C337" s="28" t="s">
        <v>3020</v>
      </c>
      <c r="D337" s="188" t="str">
        <f>+INDEX([1]Detallado!$F:$F,MATCH($C337,[1]Detallado!$B:$B,0))</f>
        <v>Renta Fija</v>
      </c>
      <c r="E337" s="31" t="str">
        <f>+INDEX([1]Detallado!$Q:$Q,MATCH($C337,[1]Detallado!$B:$B,0))</f>
        <v>RFIC</v>
      </c>
      <c r="F337" s="185" t="s">
        <v>4357</v>
      </c>
      <c r="G337" s="186" t="str">
        <f t="shared" si="10"/>
        <v>12RFIC</v>
      </c>
      <c r="H337" s="187" t="str">
        <f>+INDEX([1]Detallado!$D:$D,MATCH(C337,[1]Detallado!$B:$B,0))</f>
        <v>Ecopetrol</v>
      </c>
      <c r="I337" s="28"/>
      <c r="J337" s="184" t="str">
        <f t="shared" si="11"/>
        <v>RFIBU</v>
      </c>
      <c r="O337" s="28" t="s">
        <v>4535</v>
      </c>
      <c r="P337" s="28" t="s">
        <v>4899</v>
      </c>
    </row>
    <row r="338" spans="3:16" x14ac:dyDescent="0.25">
      <c r="C338" s="28" t="s">
        <v>3021</v>
      </c>
      <c r="D338" s="188" t="str">
        <f>+INDEX([1]Detallado!$F:$F,MATCH($C338,[1]Detallado!$B:$B,0))</f>
        <v>Renta Fija</v>
      </c>
      <c r="E338" s="31" t="str">
        <f>+INDEX([1]Detallado!$Q:$Q,MATCH($C338,[1]Detallado!$B:$B,0))</f>
        <v>RFIC</v>
      </c>
      <c r="F338" s="185" t="s">
        <v>4357</v>
      </c>
      <c r="G338" s="186" t="str">
        <f t="shared" si="10"/>
        <v>12RFIC</v>
      </c>
      <c r="H338" s="187" t="str">
        <f>+INDEX([1]Detallado!$D:$D,MATCH(C338,[1]Detallado!$B:$B,0))</f>
        <v>Ecopetrol</v>
      </c>
      <c r="I338" s="28"/>
      <c r="J338" s="184" t="str">
        <f t="shared" si="11"/>
        <v>RFIBU</v>
      </c>
      <c r="O338" s="28" t="s">
        <v>4535</v>
      </c>
      <c r="P338" s="28" t="s">
        <v>4899</v>
      </c>
    </row>
    <row r="339" spans="3:16" x14ac:dyDescent="0.25">
      <c r="C339" s="28" t="s">
        <v>3022</v>
      </c>
      <c r="D339" s="188" t="str">
        <f>+INDEX([1]Detallado!$F:$F,MATCH($C339,[1]Detallado!$B:$B,0))</f>
        <v>Renta Fija</v>
      </c>
      <c r="E339" s="31" t="str">
        <f>+INDEX([1]Detallado!$Q:$Q,MATCH($C339,[1]Detallado!$B:$B,0))</f>
        <v>RFIC</v>
      </c>
      <c r="F339" s="185" t="s">
        <v>4357</v>
      </c>
      <c r="G339" s="186" t="str">
        <f t="shared" si="10"/>
        <v>12RFIC</v>
      </c>
      <c r="H339" s="187" t="str">
        <f>+INDEX([1]Detallado!$D:$D,MATCH(C339,[1]Detallado!$B:$B,0))</f>
        <v>Cosan S.A. Industria y Comercio</v>
      </c>
      <c r="I339" s="28"/>
      <c r="J339" s="184" t="str">
        <f t="shared" si="11"/>
        <v>RFIBU</v>
      </c>
      <c r="O339" s="28" t="s">
        <v>4535</v>
      </c>
      <c r="P339" s="28" t="s">
        <v>4899</v>
      </c>
    </row>
    <row r="340" spans="3:16" x14ac:dyDescent="0.25">
      <c r="C340" s="28" t="s">
        <v>3023</v>
      </c>
      <c r="D340" s="188" t="str">
        <f>+INDEX([1]Detallado!$F:$F,MATCH($C340,[1]Detallado!$B:$B,0))</f>
        <v>Renta Fija</v>
      </c>
      <c r="E340" s="31" t="str">
        <f>+INDEX([1]Detallado!$Q:$Q,MATCH($C340,[1]Detallado!$B:$B,0))</f>
        <v>RFIC</v>
      </c>
      <c r="F340" s="185" t="s">
        <v>4357</v>
      </c>
      <c r="G340" s="186" t="str">
        <f t="shared" si="10"/>
        <v>12RFIC</v>
      </c>
      <c r="H340" s="187" t="str">
        <f>+INDEX([1]Detallado!$D:$D,MATCH(C340,[1]Detallado!$B:$B,0))</f>
        <v>Constructora Norberto Odebretch S.A.</v>
      </c>
      <c r="I340" s="28"/>
      <c r="J340" s="184" t="str">
        <f t="shared" si="11"/>
        <v>RFIBU</v>
      </c>
      <c r="O340" s="28" t="s">
        <v>4535</v>
      </c>
      <c r="P340" s="28" t="s">
        <v>4899</v>
      </c>
    </row>
    <row r="341" spans="3:16" x14ac:dyDescent="0.25">
      <c r="C341" s="28" t="s">
        <v>3024</v>
      </c>
      <c r="D341" s="188" t="str">
        <f>+INDEX([1]Detallado!$F:$F,MATCH($C341,[1]Detallado!$B:$B,0))</f>
        <v>Renta Fija</v>
      </c>
      <c r="E341" s="31" t="str">
        <f>+INDEX([1]Detallado!$Q:$Q,MATCH($C341,[1]Detallado!$B:$B,0))</f>
        <v>RFIC</v>
      </c>
      <c r="F341" s="185" t="s">
        <v>4357</v>
      </c>
      <c r="G341" s="186" t="str">
        <f t="shared" si="10"/>
        <v>12RFIC</v>
      </c>
      <c r="H341" s="187" t="str">
        <f>+INDEX([1]Detallado!$D:$D,MATCH(C341,[1]Detallado!$B:$B,0))</f>
        <v>SCCO 6 3/8 07/27/15</v>
      </c>
      <c r="I341" s="28"/>
      <c r="J341" s="184" t="str">
        <f t="shared" si="11"/>
        <v>RFIBU</v>
      </c>
      <c r="O341" s="28" t="s">
        <v>2625</v>
      </c>
      <c r="P341" s="28" t="s">
        <v>4894</v>
      </c>
    </row>
    <row r="342" spans="3:16" x14ac:dyDescent="0.25">
      <c r="C342" s="28" t="s">
        <v>194</v>
      </c>
      <c r="D342" s="188" t="str">
        <f>+INDEX([1]Detallado!$F:$F,MATCH($C342,[1]Detallado!$B:$B,0))</f>
        <v>Renta Fija</v>
      </c>
      <c r="E342" s="31" t="str">
        <f>+INDEX([1]Detallado!$Q:$Q,MATCH($C342,[1]Detallado!$B:$B,0))</f>
        <v>RFIC</v>
      </c>
      <c r="F342" s="185" t="s">
        <v>4357</v>
      </c>
      <c r="G342" s="186" t="str">
        <f t="shared" si="10"/>
        <v>12RFIC</v>
      </c>
      <c r="H342" s="187" t="str">
        <f>+INDEX([1]Detallado!$D:$D,MATCH(C342,[1]Detallado!$B:$B,0))</f>
        <v>AES Gener SA</v>
      </c>
      <c r="I342" s="28"/>
      <c r="J342" s="184" t="str">
        <f t="shared" si="11"/>
        <v>RFIBU</v>
      </c>
      <c r="O342" s="28" t="s">
        <v>4931</v>
      </c>
      <c r="P342" s="28" t="s">
        <v>4894</v>
      </c>
    </row>
    <row r="343" spans="3:16" x14ac:dyDescent="0.25">
      <c r="C343" s="28" t="s">
        <v>196</v>
      </c>
      <c r="D343" s="188" t="str">
        <f>+INDEX([1]Detallado!$F:$F,MATCH($C343,[1]Detallado!$B:$B,0))</f>
        <v>Renta Fija</v>
      </c>
      <c r="E343" s="31" t="str">
        <f>+INDEX([1]Detallado!$Q:$Q,MATCH($C343,[1]Detallado!$B:$B,0))</f>
        <v>RFIC</v>
      </c>
      <c r="F343" s="185" t="s">
        <v>4357</v>
      </c>
      <c r="G343" s="186" t="str">
        <f t="shared" si="10"/>
        <v>12RFIC</v>
      </c>
      <c r="H343" s="187" t="str">
        <f>+INDEX([1]Detallado!$D:$D,MATCH(C343,[1]Detallado!$B:$B,0))</f>
        <v>AES Gener SA</v>
      </c>
      <c r="I343" s="28"/>
      <c r="J343" s="184" t="str">
        <f t="shared" si="11"/>
        <v>RFIBU</v>
      </c>
      <c r="O343" s="28" t="s">
        <v>4931</v>
      </c>
      <c r="P343" s="28" t="s">
        <v>4894</v>
      </c>
    </row>
    <row r="344" spans="3:16" x14ac:dyDescent="0.25">
      <c r="C344" s="28" t="s">
        <v>3025</v>
      </c>
      <c r="D344" s="188" t="str">
        <f>+INDEX([1]Detallado!$F:$F,MATCH($C344,[1]Detallado!$B:$B,0))</f>
        <v>Renta Fija</v>
      </c>
      <c r="E344" s="31" t="str">
        <f>+INDEX([1]Detallado!$Q:$Q,MATCH($C344,[1]Detallado!$B:$B,0))</f>
        <v>RFIC</v>
      </c>
      <c r="F344" s="185" t="s">
        <v>4357</v>
      </c>
      <c r="G344" s="186" t="str">
        <f t="shared" si="10"/>
        <v>12RFIC</v>
      </c>
      <c r="H344" s="187" t="str">
        <f>+INDEX([1]Detallado!$D:$D,MATCH(C344,[1]Detallado!$B:$B,0))</f>
        <v>Pacific Rubiales Corp.</v>
      </c>
      <c r="I344" s="28"/>
      <c r="J344" s="184" t="str">
        <f t="shared" si="11"/>
        <v>RFIBU</v>
      </c>
      <c r="O344" s="28" t="s">
        <v>4931</v>
      </c>
      <c r="P344" s="28" t="s">
        <v>4894</v>
      </c>
    </row>
    <row r="345" spans="3:16" x14ac:dyDescent="0.25">
      <c r="C345" s="28" t="s">
        <v>3026</v>
      </c>
      <c r="D345" s="188" t="str">
        <f>+INDEX([1]Detallado!$F:$F,MATCH($C345,[1]Detallado!$B:$B,0))</f>
        <v>Renta Fija</v>
      </c>
      <c r="E345" s="31" t="str">
        <f>+INDEX([1]Detallado!$Q:$Q,MATCH($C345,[1]Detallado!$B:$B,0))</f>
        <v>RFIC</v>
      </c>
      <c r="F345" s="185" t="s">
        <v>4357</v>
      </c>
      <c r="G345" s="186" t="str">
        <f t="shared" si="10"/>
        <v>12RFIC</v>
      </c>
      <c r="H345" s="187" t="str">
        <f>+INDEX([1]Detallado!$D:$D,MATCH(C345,[1]Detallado!$B:$B,0))</f>
        <v>Pacific Rubiales Corp.</v>
      </c>
      <c r="I345" s="28"/>
      <c r="J345" s="184" t="str">
        <f t="shared" si="11"/>
        <v>RFIBU</v>
      </c>
      <c r="O345" s="28" t="s">
        <v>4932</v>
      </c>
      <c r="P345" s="28" t="s">
        <v>4896</v>
      </c>
    </row>
    <row r="346" spans="3:16" x14ac:dyDescent="0.25">
      <c r="C346" s="28" t="s">
        <v>3027</v>
      </c>
      <c r="D346" s="188" t="str">
        <f>+INDEX([1]Detallado!$F:$F,MATCH($C346,[1]Detallado!$B:$B,0))</f>
        <v>Renta Fija</v>
      </c>
      <c r="E346" s="31" t="str">
        <f>+INDEX([1]Detallado!$Q:$Q,MATCH($C346,[1]Detallado!$B:$B,0))</f>
        <v>RFIC</v>
      </c>
      <c r="F346" s="185" t="s">
        <v>4357</v>
      </c>
      <c r="G346" s="186" t="str">
        <f t="shared" si="10"/>
        <v>12RFIC</v>
      </c>
      <c r="H346" s="187" t="str">
        <f>+INDEX([1]Detallado!$D:$D,MATCH(C346,[1]Detallado!$B:$B,0))</f>
        <v>Pacific Rubiales Corp.</v>
      </c>
      <c r="I346" s="28"/>
      <c r="J346" s="184" t="str">
        <f t="shared" si="11"/>
        <v>RFIBU</v>
      </c>
      <c r="O346" s="28" t="s">
        <v>4557</v>
      </c>
      <c r="P346" s="28" t="s">
        <v>4902</v>
      </c>
    </row>
    <row r="347" spans="3:16" x14ac:dyDescent="0.25">
      <c r="C347" s="28" t="s">
        <v>3028</v>
      </c>
      <c r="D347" s="188" t="str">
        <f>+INDEX([1]Detallado!$F:$F,MATCH($C347,[1]Detallado!$B:$B,0))</f>
        <v>Renta Fija</v>
      </c>
      <c r="E347" s="31" t="str">
        <f>+INDEX([1]Detallado!$Q:$Q,MATCH($C347,[1]Detallado!$B:$B,0))</f>
        <v>RFIC</v>
      </c>
      <c r="F347" s="185" t="s">
        <v>4357</v>
      </c>
      <c r="G347" s="186" t="str">
        <f t="shared" si="10"/>
        <v>12RFIC</v>
      </c>
      <c r="H347" s="187" t="str">
        <f>+INDEX([1]Detallado!$D:$D,MATCH(C347,[1]Detallado!$B:$B,0))</f>
        <v>Inkia Energy Limited</v>
      </c>
      <c r="I347" s="28"/>
      <c r="J347" s="184" t="str">
        <f t="shared" si="11"/>
        <v>RFIBU</v>
      </c>
      <c r="O347" s="28" t="s">
        <v>4557</v>
      </c>
      <c r="P347" s="28" t="s">
        <v>4902</v>
      </c>
    </row>
    <row r="348" spans="3:16" x14ac:dyDescent="0.25">
      <c r="C348" s="28" t="s">
        <v>3029</v>
      </c>
      <c r="D348" s="188" t="str">
        <f>+INDEX([1]Detallado!$F:$F,MATCH($C348,[1]Detallado!$B:$B,0))</f>
        <v>Renta Fija</v>
      </c>
      <c r="E348" s="31" t="str">
        <f>+INDEX([1]Detallado!$Q:$Q,MATCH($C348,[1]Detallado!$B:$B,0))</f>
        <v>RFIC</v>
      </c>
      <c r="F348" s="185" t="s">
        <v>4357</v>
      </c>
      <c r="G348" s="186" t="str">
        <f t="shared" si="10"/>
        <v>12RFIC</v>
      </c>
      <c r="H348" s="187" t="str">
        <f>+INDEX([1]Detallado!$D:$D,MATCH(C348,[1]Detallado!$B:$B,0))</f>
        <v>TAM Líneas Aéreas S.A.</v>
      </c>
      <c r="I348" s="28"/>
      <c r="J348" s="184" t="str">
        <f t="shared" si="11"/>
        <v>RFIBU</v>
      </c>
      <c r="O348" s="28" t="s">
        <v>4557</v>
      </c>
      <c r="P348" s="28" t="s">
        <v>4902</v>
      </c>
    </row>
    <row r="349" spans="3:16" x14ac:dyDescent="0.25">
      <c r="C349" s="28" t="s">
        <v>3030</v>
      </c>
      <c r="D349" s="188" t="str">
        <f>+INDEX([1]Detallado!$F:$F,MATCH($C349,[1]Detallado!$B:$B,0))</f>
        <v>Renta Fija</v>
      </c>
      <c r="E349" s="31" t="str">
        <f>+INDEX([1]Detallado!$Q:$Q,MATCH($C349,[1]Detallado!$B:$B,0))</f>
        <v>RFIC</v>
      </c>
      <c r="F349" s="185" t="s">
        <v>4357</v>
      </c>
      <c r="G349" s="186" t="str">
        <f t="shared" si="10"/>
        <v>12RFIC</v>
      </c>
      <c r="H349" s="187" t="str">
        <f>+INDEX([1]Detallado!$D:$D,MATCH(C349,[1]Detallado!$B:$B,0))</f>
        <v>Grupo Embotellador Atic, S.L.</v>
      </c>
      <c r="I349" s="28"/>
      <c r="J349" s="184" t="str">
        <f t="shared" si="11"/>
        <v>RFIBU</v>
      </c>
      <c r="O349" s="28" t="s">
        <v>4557</v>
      </c>
      <c r="P349" s="28" t="s">
        <v>4902</v>
      </c>
    </row>
    <row r="350" spans="3:16" x14ac:dyDescent="0.25">
      <c r="C350" s="28" t="s">
        <v>3031</v>
      </c>
      <c r="D350" s="188" t="str">
        <f>+INDEX([1]Detallado!$F:$F,MATCH($C350,[1]Detallado!$B:$B,0))</f>
        <v>Renta Fija</v>
      </c>
      <c r="E350" s="31" t="str">
        <f>+INDEX([1]Detallado!$Q:$Q,MATCH($C350,[1]Detallado!$B:$B,0))</f>
        <v>RFIC</v>
      </c>
      <c r="F350" s="185" t="s">
        <v>4357</v>
      </c>
      <c r="G350" s="186" t="str">
        <f t="shared" si="10"/>
        <v>12RFIC</v>
      </c>
      <c r="H350" s="187" t="str">
        <f>+INDEX([1]Detallado!$D:$D,MATCH(C350,[1]Detallado!$B:$B,0))</f>
        <v>Colombia Telecomunicaciones</v>
      </c>
      <c r="I350" s="28"/>
      <c r="J350" s="184" t="str">
        <f t="shared" si="11"/>
        <v>RFIBU</v>
      </c>
      <c r="O350" s="28" t="s">
        <v>4557</v>
      </c>
      <c r="P350" s="28" t="s">
        <v>4902</v>
      </c>
    </row>
    <row r="351" spans="3:16" x14ac:dyDescent="0.25">
      <c r="C351" s="28" t="s">
        <v>3032</v>
      </c>
      <c r="D351" s="188" t="str">
        <f>+INDEX([1]Detallado!$F:$F,MATCH($C351,[1]Detallado!$B:$B,0))</f>
        <v>Renta Fija</v>
      </c>
      <c r="E351" s="31" t="str">
        <f>+INDEX([1]Detallado!$Q:$Q,MATCH($C351,[1]Detallado!$B:$B,0))</f>
        <v>RFIC</v>
      </c>
      <c r="F351" s="185" t="s">
        <v>4357</v>
      </c>
      <c r="G351" s="186" t="str">
        <f t="shared" si="10"/>
        <v>12RFIC</v>
      </c>
      <c r="H351" s="187" t="str">
        <f>+INDEX([1]Detallado!$D:$D,MATCH(C351,[1]Detallado!$B:$B,0))</f>
        <v>Hypermarcas</v>
      </c>
      <c r="I351" s="28"/>
      <c r="J351" s="184" t="str">
        <f t="shared" si="11"/>
        <v>RFIBU</v>
      </c>
      <c r="O351" s="28" t="s">
        <v>4557</v>
      </c>
      <c r="P351" s="28" t="s">
        <v>4902</v>
      </c>
    </row>
    <row r="352" spans="3:16" x14ac:dyDescent="0.25">
      <c r="C352" s="28" t="s">
        <v>3033</v>
      </c>
      <c r="D352" s="188" t="str">
        <f>+INDEX([1]Detallado!$F:$F,MATCH($C352,[1]Detallado!$B:$B,0))</f>
        <v>Renta Fija</v>
      </c>
      <c r="E352" s="31" t="str">
        <f>+INDEX([1]Detallado!$Q:$Q,MATCH($C352,[1]Detallado!$B:$B,0))</f>
        <v>RFIC</v>
      </c>
      <c r="F352" s="185" t="s">
        <v>4357</v>
      </c>
      <c r="G352" s="186" t="str">
        <f t="shared" si="10"/>
        <v>12RFIC</v>
      </c>
      <c r="H352" s="187" t="str">
        <f>+INDEX([1]Detallado!$D:$D,MATCH(C352,[1]Detallado!$B:$B,0))</f>
        <v>Alsea S.A</v>
      </c>
      <c r="I352" s="28"/>
      <c r="J352" s="184" t="str">
        <f t="shared" si="11"/>
        <v>RFIBU</v>
      </c>
      <c r="O352" s="28" t="s">
        <v>4933</v>
      </c>
      <c r="P352" s="28" t="s">
        <v>4902</v>
      </c>
    </row>
    <row r="353" spans="3:16" x14ac:dyDescent="0.25">
      <c r="C353" s="28" t="s">
        <v>3034</v>
      </c>
      <c r="D353" s="188" t="str">
        <f>+INDEX([1]Detallado!$F:$F,MATCH($C353,[1]Detallado!$B:$B,0))</f>
        <v>Renta Fija</v>
      </c>
      <c r="E353" s="31" t="str">
        <f>+INDEX([1]Detallado!$Q:$Q,MATCH($C353,[1]Detallado!$B:$B,0))</f>
        <v>RFIC</v>
      </c>
      <c r="F353" s="185" t="s">
        <v>4357</v>
      </c>
      <c r="G353" s="186" t="str">
        <f t="shared" si="10"/>
        <v>12RFIC</v>
      </c>
      <c r="H353" s="187" t="str">
        <f>+INDEX([1]Detallado!$D:$D,MATCH(C353,[1]Detallado!$B:$B,0))</f>
        <v>Elementia SAB de CV</v>
      </c>
      <c r="I353" s="28"/>
      <c r="J353" s="184" t="str">
        <f t="shared" si="11"/>
        <v>RFIBU</v>
      </c>
      <c r="O353" s="28" t="s">
        <v>4934</v>
      </c>
      <c r="P353" s="28" t="s">
        <v>4902</v>
      </c>
    </row>
    <row r="354" spans="3:16" x14ac:dyDescent="0.25">
      <c r="C354" s="28" t="s">
        <v>3035</v>
      </c>
      <c r="D354" s="188" t="str">
        <f>+INDEX([1]Detallado!$F:$F,MATCH($C354,[1]Detallado!$B:$B,0))</f>
        <v>Renta Fija</v>
      </c>
      <c r="E354" s="31" t="str">
        <f>+INDEX([1]Detallado!$Q:$Q,MATCH($C354,[1]Detallado!$B:$B,0))</f>
        <v>RFIC</v>
      </c>
      <c r="F354" s="185" t="s">
        <v>4357</v>
      </c>
      <c r="G354" s="186" t="str">
        <f t="shared" si="10"/>
        <v>12RFIC</v>
      </c>
      <c r="H354" s="187" t="str">
        <f>+INDEX([1]Detallado!$D:$D,MATCH(C354,[1]Detallado!$B:$B,0))</f>
        <v>Elementia SAB de CV</v>
      </c>
      <c r="I354" s="28"/>
      <c r="J354" s="184" t="str">
        <f t="shared" si="11"/>
        <v>RFIBU</v>
      </c>
      <c r="O354" s="28" t="s">
        <v>4934</v>
      </c>
      <c r="P354" s="28" t="s">
        <v>4902</v>
      </c>
    </row>
    <row r="355" spans="3:16" x14ac:dyDescent="0.25">
      <c r="C355" s="28" t="s">
        <v>3036</v>
      </c>
      <c r="D355" s="188" t="str">
        <f>+INDEX([1]Detallado!$F:$F,MATCH($C355,[1]Detallado!$B:$B,0))</f>
        <v>Renta Fija</v>
      </c>
      <c r="E355" s="31" t="str">
        <f>+INDEX([1]Detallado!$Q:$Q,MATCH($C355,[1]Detallado!$B:$B,0))</f>
        <v>RFIC</v>
      </c>
      <c r="F355" s="185" t="s">
        <v>4357</v>
      </c>
      <c r="G355" s="186" t="str">
        <f t="shared" si="10"/>
        <v>15RFIC</v>
      </c>
      <c r="H355" s="187" t="str">
        <f>+INDEX([1]Detallado!$D:$D,MATCH(C355,[1]Detallado!$B:$B,0))</f>
        <v>Itau</v>
      </c>
      <c r="I355" s="28"/>
      <c r="J355" s="184" t="str">
        <f t="shared" si="11"/>
        <v>RFIBU</v>
      </c>
      <c r="O355" s="28" t="s">
        <v>4934</v>
      </c>
      <c r="P355" s="28" t="s">
        <v>4902</v>
      </c>
    </row>
    <row r="356" spans="3:16" x14ac:dyDescent="0.25">
      <c r="C356" s="28" t="s">
        <v>3037</v>
      </c>
      <c r="D356" s="188" t="str">
        <f>+INDEX([1]Detallado!$F:$F,MATCH($C356,[1]Detallado!$B:$B,0))</f>
        <v>Renta Fija</v>
      </c>
      <c r="E356" s="31" t="str">
        <f>+INDEX([1]Detallado!$Q:$Q,MATCH($C356,[1]Detallado!$B:$B,0))</f>
        <v>RFIC</v>
      </c>
      <c r="F356" s="185" t="s">
        <v>4357</v>
      </c>
      <c r="G356" s="186" t="str">
        <f t="shared" si="10"/>
        <v>15RFIC</v>
      </c>
      <c r="H356" s="187" t="str">
        <f>+INDEX([1]Detallado!$D:$D,MATCH(C356,[1]Detallado!$B:$B,0))</f>
        <v>Itau</v>
      </c>
      <c r="I356" s="28"/>
      <c r="J356" s="184" t="str">
        <f t="shared" si="11"/>
        <v>RFIBU</v>
      </c>
      <c r="O356" s="28" t="s">
        <v>4934</v>
      </c>
      <c r="P356" s="28" t="s">
        <v>4902</v>
      </c>
    </row>
    <row r="357" spans="3:16" x14ac:dyDescent="0.25">
      <c r="C357" s="28" t="s">
        <v>3038</v>
      </c>
      <c r="D357" s="188" t="str">
        <f>+INDEX([1]Detallado!$F:$F,MATCH($C357,[1]Detallado!$B:$B,0))</f>
        <v>Renta Fija</v>
      </c>
      <c r="E357" s="31" t="str">
        <f>+INDEX([1]Detallado!$Q:$Q,MATCH($C357,[1]Detallado!$B:$B,0))</f>
        <v>RFIC</v>
      </c>
      <c r="F357" s="185" t="s">
        <v>4357</v>
      </c>
      <c r="G357" s="186" t="str">
        <f t="shared" si="10"/>
        <v>15RFIC</v>
      </c>
      <c r="H357" s="187" t="str">
        <f>+INDEX([1]Detallado!$D:$D,MATCH(C357,[1]Detallado!$B:$B,0))</f>
        <v>Banco do Brasil</v>
      </c>
      <c r="I357" s="28"/>
      <c r="J357" s="184" t="str">
        <f t="shared" si="11"/>
        <v>RFIBU</v>
      </c>
      <c r="O357" s="28" t="s">
        <v>4934</v>
      </c>
      <c r="P357" s="28" t="s">
        <v>4902</v>
      </c>
    </row>
    <row r="358" spans="3:16" x14ac:dyDescent="0.25">
      <c r="C358" s="28" t="s">
        <v>3039</v>
      </c>
      <c r="D358" s="188" t="str">
        <f>+INDEX([1]Detallado!$F:$F,MATCH($C358,[1]Detallado!$B:$B,0))</f>
        <v>Renta Fija</v>
      </c>
      <c r="E358" s="31" t="str">
        <f>+INDEX([1]Detallado!$Q:$Q,MATCH($C358,[1]Detallado!$B:$B,0))</f>
        <v>RFIC</v>
      </c>
      <c r="F358" s="185" t="s">
        <v>4357</v>
      </c>
      <c r="G358" s="186" t="str">
        <f t="shared" si="10"/>
        <v>15RFIC</v>
      </c>
      <c r="H358" s="187" t="str">
        <f>+INDEX([1]Detallado!$D:$D,MATCH(C358,[1]Detallado!$B:$B,0))</f>
        <v>Banco do Brasil</v>
      </c>
      <c r="I358" s="28"/>
      <c r="J358" s="184" t="str">
        <f t="shared" si="11"/>
        <v>RFIBU</v>
      </c>
      <c r="O358" s="28" t="s">
        <v>4934</v>
      </c>
      <c r="P358" s="28" t="s">
        <v>4902</v>
      </c>
    </row>
    <row r="359" spans="3:16" x14ac:dyDescent="0.25">
      <c r="C359" s="28" t="s">
        <v>3040</v>
      </c>
      <c r="D359" s="188" t="str">
        <f>+INDEX([1]Detallado!$F:$F,MATCH($C359,[1]Detallado!$B:$B,0))</f>
        <v>Renta Fija</v>
      </c>
      <c r="E359" s="31" t="str">
        <f>+INDEX([1]Detallado!$Q:$Q,MATCH($C359,[1]Detallado!$B:$B,0))</f>
        <v>RFIC</v>
      </c>
      <c r="F359" s="185" t="s">
        <v>4357</v>
      </c>
      <c r="G359" s="186" t="str">
        <f t="shared" si="10"/>
        <v>15RFIC</v>
      </c>
      <c r="H359" s="187" t="str">
        <f>+INDEX([1]Detallado!$D:$D,MATCH(C359,[1]Detallado!$B:$B,0))</f>
        <v>Banco do Brasil</v>
      </c>
      <c r="I359" s="28"/>
      <c r="J359" s="184" t="str">
        <f t="shared" si="11"/>
        <v>RFIBU</v>
      </c>
      <c r="O359" s="28" t="s">
        <v>4934</v>
      </c>
      <c r="P359" s="28" t="s">
        <v>4902</v>
      </c>
    </row>
    <row r="360" spans="3:16" x14ac:dyDescent="0.25">
      <c r="C360" s="28" t="s">
        <v>207</v>
      </c>
      <c r="D360" s="188" t="str">
        <f>+INDEX([1]Detallado!$F:$F,MATCH($C360,[1]Detallado!$B:$B,0))</f>
        <v>Renta Fija</v>
      </c>
      <c r="E360" s="31" t="str">
        <f>+INDEX([1]Detallado!$Q:$Q,MATCH($C360,[1]Detallado!$B:$B,0))</f>
        <v>RFIC</v>
      </c>
      <c r="F360" s="185" t="s">
        <v>4357</v>
      </c>
      <c r="G360" s="186" t="str">
        <f t="shared" si="10"/>
        <v>15RFIC</v>
      </c>
      <c r="H360" s="187" t="str">
        <f>+INDEX([1]Detallado!$D:$D,MATCH(C360,[1]Detallado!$B:$B,0))</f>
        <v>Grupo Financiero Banorte</v>
      </c>
      <c r="I360" s="28"/>
      <c r="J360" s="184" t="str">
        <f t="shared" si="11"/>
        <v>RFIBU</v>
      </c>
      <c r="O360" s="28" t="s">
        <v>4934</v>
      </c>
      <c r="P360" s="28" t="s">
        <v>4902</v>
      </c>
    </row>
    <row r="361" spans="3:16" x14ac:dyDescent="0.25">
      <c r="C361" s="28" t="s">
        <v>3041</v>
      </c>
      <c r="D361" s="188" t="str">
        <f>+INDEX([1]Detallado!$F:$F,MATCH($C361,[1]Detallado!$B:$B,0))</f>
        <v>Renta Fija</v>
      </c>
      <c r="E361" s="31" t="str">
        <f>+INDEX([1]Detallado!$Q:$Q,MATCH($C361,[1]Detallado!$B:$B,0))</f>
        <v>RFIC</v>
      </c>
      <c r="F361" s="185" t="s">
        <v>4357</v>
      </c>
      <c r="G361" s="186" t="str">
        <f t="shared" si="10"/>
        <v>15RFIC</v>
      </c>
      <c r="H361" s="187" t="str">
        <f>+INDEX([1]Detallado!$D:$D,MATCH(C361,[1]Detallado!$B:$B,0))</f>
        <v>Grupo Financiero Banorte</v>
      </c>
      <c r="I361" s="28"/>
      <c r="J361" s="184" t="str">
        <f t="shared" si="11"/>
        <v>RFIBU</v>
      </c>
      <c r="O361" s="28" t="s">
        <v>4934</v>
      </c>
      <c r="P361" s="28" t="s">
        <v>4902</v>
      </c>
    </row>
    <row r="362" spans="3:16" x14ac:dyDescent="0.25">
      <c r="C362" s="28" t="s">
        <v>3042</v>
      </c>
      <c r="D362" s="188" t="str">
        <f>+INDEX([1]Detallado!$F:$F,MATCH($C362,[1]Detallado!$B:$B,0))</f>
        <v>Renta Fija</v>
      </c>
      <c r="E362" s="31" t="str">
        <f>+INDEX([1]Detallado!$Q:$Q,MATCH($C362,[1]Detallado!$B:$B,0))</f>
        <v>RFIC</v>
      </c>
      <c r="F362" s="185" t="s">
        <v>4357</v>
      </c>
      <c r="G362" s="186" t="str">
        <f t="shared" si="10"/>
        <v>15RFIC</v>
      </c>
      <c r="H362" s="187" t="str">
        <f>+INDEX([1]Detallado!$D:$D,MATCH(C362,[1]Detallado!$B:$B,0))</f>
        <v>Grupo Financiero Banorte</v>
      </c>
      <c r="I362" s="28"/>
      <c r="J362" s="184" t="str">
        <f t="shared" si="11"/>
        <v>RFIBU</v>
      </c>
      <c r="O362" s="28" t="s">
        <v>4934</v>
      </c>
      <c r="P362" s="28" t="s">
        <v>4902</v>
      </c>
    </row>
    <row r="363" spans="3:16" x14ac:dyDescent="0.25">
      <c r="C363" s="28" t="s">
        <v>209</v>
      </c>
      <c r="D363" s="188" t="str">
        <f>+INDEX([1]Detallado!$F:$F,MATCH($C363,[1]Detallado!$B:$B,0))</f>
        <v>Renta Fija</v>
      </c>
      <c r="E363" s="31" t="str">
        <f>+INDEX([1]Detallado!$Q:$Q,MATCH($C363,[1]Detallado!$B:$B,0))</f>
        <v>RFIC</v>
      </c>
      <c r="F363" s="185" t="s">
        <v>4357</v>
      </c>
      <c r="G363" s="186" t="str">
        <f t="shared" si="10"/>
        <v>15RFIC</v>
      </c>
      <c r="H363" s="187" t="str">
        <f>+INDEX([1]Detallado!$D:$D,MATCH(C363,[1]Detallado!$B:$B,0))</f>
        <v>Grupo Financiero Banorte</v>
      </c>
      <c r="I363" s="28"/>
      <c r="J363" s="184" t="str">
        <f t="shared" si="11"/>
        <v>RFIBU</v>
      </c>
      <c r="O363" s="28" t="s">
        <v>4934</v>
      </c>
      <c r="P363" s="28" t="s">
        <v>4902</v>
      </c>
    </row>
    <row r="364" spans="3:16" x14ac:dyDescent="0.25">
      <c r="C364" s="28" t="s">
        <v>205</v>
      </c>
      <c r="D364" s="188" t="str">
        <f>+INDEX([1]Detallado!$F:$F,MATCH($C364,[1]Detallado!$B:$B,0))</f>
        <v>Renta Fija</v>
      </c>
      <c r="E364" s="31" t="str">
        <f>+INDEX([1]Detallado!$Q:$Q,MATCH($C364,[1]Detallado!$B:$B,0))</f>
        <v>RFIC</v>
      </c>
      <c r="F364" s="185" t="s">
        <v>4357</v>
      </c>
      <c r="G364" s="186" t="str">
        <f t="shared" si="10"/>
        <v>15RFIC</v>
      </c>
      <c r="H364" s="187" t="str">
        <f>+INDEX([1]Detallado!$D:$D,MATCH(C364,[1]Detallado!$B:$B,0))</f>
        <v>Grupo Financiero Banorte</v>
      </c>
      <c r="I364" s="28"/>
      <c r="J364" s="184" t="str">
        <f t="shared" si="11"/>
        <v>RFIBU</v>
      </c>
      <c r="O364" s="28" t="s">
        <v>4934</v>
      </c>
      <c r="P364" s="28" t="s">
        <v>4902</v>
      </c>
    </row>
    <row r="365" spans="3:16" x14ac:dyDescent="0.25">
      <c r="C365" s="28" t="s">
        <v>3043</v>
      </c>
      <c r="D365" s="188" t="str">
        <f>+INDEX([1]Detallado!$F:$F,MATCH($C365,[1]Detallado!$B:$B,0))</f>
        <v>Renta Fija</v>
      </c>
      <c r="E365" s="31" t="str">
        <f>+INDEX([1]Detallado!$Q:$Q,MATCH($C365,[1]Detallado!$B:$B,0))</f>
        <v>RFIC</v>
      </c>
      <c r="F365" s="185" t="s">
        <v>4357</v>
      </c>
      <c r="G365" s="186" t="str">
        <f t="shared" si="10"/>
        <v>15RFIC</v>
      </c>
      <c r="H365" s="187" t="str">
        <f>+INDEX([1]Detallado!$D:$D,MATCH(C365,[1]Detallado!$B:$B,0))</f>
        <v>Banco de Colombia</v>
      </c>
      <c r="I365" s="28"/>
      <c r="J365" s="184" t="str">
        <f t="shared" si="11"/>
        <v>RFIBU</v>
      </c>
      <c r="O365" s="28" t="s">
        <v>4934</v>
      </c>
      <c r="P365" s="28" t="s">
        <v>4902</v>
      </c>
    </row>
    <row r="366" spans="3:16" x14ac:dyDescent="0.25">
      <c r="C366" s="28" t="s">
        <v>3044</v>
      </c>
      <c r="D366" s="188" t="str">
        <f>+INDEX([1]Detallado!$F:$F,MATCH($C366,[1]Detallado!$B:$B,0))</f>
        <v>Renta Fija</v>
      </c>
      <c r="E366" s="31" t="str">
        <f>+INDEX([1]Detallado!$Q:$Q,MATCH($C366,[1]Detallado!$B:$B,0))</f>
        <v>RFIC</v>
      </c>
      <c r="F366" s="185" t="s">
        <v>4357</v>
      </c>
      <c r="G366" s="186" t="str">
        <f t="shared" si="10"/>
        <v>15RFIC</v>
      </c>
      <c r="H366" s="187" t="str">
        <f>+INDEX([1]Detallado!$D:$D,MATCH(C366,[1]Detallado!$B:$B,0))</f>
        <v>Banco de Colombia</v>
      </c>
      <c r="I366" s="28"/>
      <c r="J366" s="184" t="str">
        <f t="shared" si="11"/>
        <v>RFIBU</v>
      </c>
      <c r="O366" s="28" t="s">
        <v>4934</v>
      </c>
      <c r="P366" s="28" t="s">
        <v>4902</v>
      </c>
    </row>
    <row r="367" spans="3:16" x14ac:dyDescent="0.25">
      <c r="C367" s="28" t="s">
        <v>3045</v>
      </c>
      <c r="D367" s="188" t="str">
        <f>+INDEX([1]Detallado!$F:$F,MATCH($C367,[1]Detallado!$B:$B,0))</f>
        <v>Renta Fija</v>
      </c>
      <c r="E367" s="31" t="str">
        <f>+INDEX([1]Detallado!$Q:$Q,MATCH($C367,[1]Detallado!$B:$B,0))</f>
        <v>RFIC</v>
      </c>
      <c r="F367" s="185" t="s">
        <v>4357</v>
      </c>
      <c r="G367" s="186" t="str">
        <f t="shared" si="10"/>
        <v>15RFIC</v>
      </c>
      <c r="H367" s="187" t="str">
        <f>+INDEX([1]Detallado!$D:$D,MATCH(C367,[1]Detallado!$B:$B,0))</f>
        <v>Banco de Colombia</v>
      </c>
      <c r="I367" s="28"/>
      <c r="J367" s="184" t="str">
        <f t="shared" si="11"/>
        <v>RFIBU</v>
      </c>
      <c r="O367" s="28" t="s">
        <v>4934</v>
      </c>
      <c r="P367" s="28" t="s">
        <v>4902</v>
      </c>
    </row>
    <row r="368" spans="3:16" x14ac:dyDescent="0.25">
      <c r="C368" s="28" t="s">
        <v>909</v>
      </c>
      <c r="D368" s="188" t="str">
        <f>+INDEX([1]Detallado!$F:$F,MATCH($C368,[1]Detallado!$B:$B,0))</f>
        <v>Renta Fija</v>
      </c>
      <c r="E368" s="31" t="str">
        <f>+INDEX([1]Detallado!$Q:$Q,MATCH($C368,[1]Detallado!$B:$B,0))</f>
        <v>RFIC</v>
      </c>
      <c r="F368" s="185" t="s">
        <v>4357</v>
      </c>
      <c r="G368" s="186" t="str">
        <f t="shared" si="10"/>
        <v>15RFIC</v>
      </c>
      <c r="H368" s="187" t="str">
        <f>+INDEX([1]Detallado!$D:$D,MATCH(C368,[1]Detallado!$B:$B,0))</f>
        <v>Banco de Colombia</v>
      </c>
      <c r="I368" s="28"/>
      <c r="J368" s="184" t="str">
        <f t="shared" si="11"/>
        <v>RFIBU</v>
      </c>
      <c r="O368" s="28" t="s">
        <v>4934</v>
      </c>
      <c r="P368" s="28" t="s">
        <v>4902</v>
      </c>
    </row>
    <row r="369" spans="3:16" x14ac:dyDescent="0.25">
      <c r="C369" s="28" t="s">
        <v>216</v>
      </c>
      <c r="D369" s="188" t="str">
        <f>+INDEX([1]Detallado!$F:$F,MATCH($C369,[1]Detallado!$B:$B,0))</f>
        <v>Renta Fija</v>
      </c>
      <c r="E369" s="31" t="str">
        <f>+INDEX([1]Detallado!$Q:$Q,MATCH($C369,[1]Detallado!$B:$B,0))</f>
        <v>RFIC</v>
      </c>
      <c r="F369" s="185" t="s">
        <v>4357</v>
      </c>
      <c r="G369" s="186" t="str">
        <f t="shared" si="10"/>
        <v>15RFIC</v>
      </c>
      <c r="H369" s="187" t="str">
        <f>+INDEX([1]Detallado!$D:$D,MATCH(C369,[1]Detallado!$B:$B,0))</f>
        <v>Banco de Colombia</v>
      </c>
      <c r="I369" s="28"/>
      <c r="J369" s="184" t="str">
        <f t="shared" si="11"/>
        <v>RFIBU</v>
      </c>
      <c r="O369" s="28" t="s">
        <v>4934</v>
      </c>
      <c r="P369" s="28" t="s">
        <v>4902</v>
      </c>
    </row>
    <row r="370" spans="3:16" x14ac:dyDescent="0.25">
      <c r="C370" s="28" t="s">
        <v>3046</v>
      </c>
      <c r="D370" s="188" t="str">
        <f>+INDEX([1]Detallado!$F:$F,MATCH($C370,[1]Detallado!$B:$B,0))</f>
        <v>Renta Fija</v>
      </c>
      <c r="E370" s="31" t="str">
        <f>+INDEX([1]Detallado!$Q:$Q,MATCH($C370,[1]Detallado!$B:$B,0))</f>
        <v>RFIC</v>
      </c>
      <c r="F370" s="185" t="s">
        <v>4357</v>
      </c>
      <c r="G370" s="186" t="str">
        <f t="shared" si="10"/>
        <v>15RFIC</v>
      </c>
      <c r="H370" s="187" t="str">
        <f>+INDEX([1]Detallado!$D:$D,MATCH(C370,[1]Detallado!$B:$B,0))</f>
        <v>Banco de Colombia</v>
      </c>
      <c r="I370" s="28"/>
      <c r="J370" s="184" t="str">
        <f t="shared" si="11"/>
        <v>RFIBU</v>
      </c>
      <c r="O370" s="28" t="s">
        <v>4935</v>
      </c>
      <c r="P370" s="28" t="s">
        <v>4902</v>
      </c>
    </row>
    <row r="371" spans="3:16" x14ac:dyDescent="0.25">
      <c r="C371" s="28" t="s">
        <v>3047</v>
      </c>
      <c r="D371" s="188" t="str">
        <f>+INDEX([1]Detallado!$F:$F,MATCH($C371,[1]Detallado!$B:$B,0))</f>
        <v>Renta Fija</v>
      </c>
      <c r="E371" s="31" t="str">
        <f>+INDEX([1]Detallado!$Q:$Q,MATCH($C371,[1]Detallado!$B:$B,0))</f>
        <v>RFIC</v>
      </c>
      <c r="F371" s="185" t="s">
        <v>4357</v>
      </c>
      <c r="G371" s="186" t="str">
        <f t="shared" si="10"/>
        <v>15RFIC</v>
      </c>
      <c r="H371" s="187" t="str">
        <f>+INDEX([1]Detallado!$D:$D,MATCH(C371,[1]Detallado!$B:$B,0))</f>
        <v>BBVA Bancomer</v>
      </c>
      <c r="I371" s="28"/>
      <c r="J371" s="184" t="str">
        <f t="shared" si="11"/>
        <v>RFIBU</v>
      </c>
      <c r="O371" s="28" t="s">
        <v>4935</v>
      </c>
      <c r="P371" s="28" t="s">
        <v>4902</v>
      </c>
    </row>
    <row r="372" spans="3:16" x14ac:dyDescent="0.25">
      <c r="C372" s="28" t="s">
        <v>907</v>
      </c>
      <c r="D372" s="188" t="str">
        <f>+INDEX([1]Detallado!$F:$F,MATCH($C372,[1]Detallado!$B:$B,0))</f>
        <v>Renta Fija</v>
      </c>
      <c r="E372" s="31" t="str">
        <f>+INDEX([1]Detallado!$Q:$Q,MATCH($C372,[1]Detallado!$B:$B,0))</f>
        <v>RFIC</v>
      </c>
      <c r="F372" s="185" t="s">
        <v>4357</v>
      </c>
      <c r="G372" s="186" t="str">
        <f t="shared" si="10"/>
        <v>15RFIC</v>
      </c>
      <c r="H372" s="187" t="str">
        <f>+INDEX([1]Detallado!$D:$D,MATCH(C372,[1]Detallado!$B:$B,0))</f>
        <v>BBVA Bancomer</v>
      </c>
      <c r="I372" s="28"/>
      <c r="J372" s="184" t="str">
        <f t="shared" si="11"/>
        <v>RFIBU</v>
      </c>
      <c r="O372" s="28" t="s">
        <v>4936</v>
      </c>
      <c r="P372" s="28" t="s">
        <v>4902</v>
      </c>
    </row>
    <row r="373" spans="3:16" x14ac:dyDescent="0.25">
      <c r="C373" s="28" t="s">
        <v>905</v>
      </c>
      <c r="D373" s="188" t="str">
        <f>+INDEX([1]Detallado!$F:$F,MATCH($C373,[1]Detallado!$B:$B,0))</f>
        <v>Renta Fija</v>
      </c>
      <c r="E373" s="31" t="str">
        <f>+INDEX([1]Detallado!$Q:$Q,MATCH($C373,[1]Detallado!$B:$B,0))</f>
        <v>RFIC</v>
      </c>
      <c r="F373" s="185" t="s">
        <v>4357</v>
      </c>
      <c r="G373" s="186" t="str">
        <f t="shared" si="10"/>
        <v>15RFIC</v>
      </c>
      <c r="H373" s="187" t="str">
        <f>+INDEX([1]Detallado!$D:$D,MATCH(C373,[1]Detallado!$B:$B,0))</f>
        <v>BBVA Bancomer</v>
      </c>
      <c r="I373" s="28"/>
      <c r="J373" s="184" t="str">
        <f t="shared" si="11"/>
        <v>RFIBU</v>
      </c>
      <c r="O373" s="28" t="s">
        <v>4936</v>
      </c>
      <c r="P373" s="28" t="s">
        <v>4902</v>
      </c>
    </row>
    <row r="374" spans="3:16" x14ac:dyDescent="0.25">
      <c r="C374" s="28" t="s">
        <v>3048</v>
      </c>
      <c r="D374" s="188" t="str">
        <f>+INDEX([1]Detallado!$F:$F,MATCH($C374,[1]Detallado!$B:$B,0))</f>
        <v>Renta Fija</v>
      </c>
      <c r="E374" s="31" t="str">
        <f>+INDEX([1]Detallado!$Q:$Q,MATCH($C374,[1]Detallado!$B:$B,0))</f>
        <v>RFIC</v>
      </c>
      <c r="F374" s="185" t="s">
        <v>4357</v>
      </c>
      <c r="G374" s="186" t="str">
        <f t="shared" si="10"/>
        <v>15RFIC</v>
      </c>
      <c r="H374" s="187" t="str">
        <f>+INDEX([1]Detallado!$D:$D,MATCH(C374,[1]Detallado!$B:$B,0))</f>
        <v>BBVA Bancomer</v>
      </c>
      <c r="I374" s="28"/>
      <c r="J374" s="184" t="str">
        <f t="shared" si="11"/>
        <v>RFIBU</v>
      </c>
      <c r="O374" s="28" t="s">
        <v>4936</v>
      </c>
      <c r="P374" s="28" t="s">
        <v>4902</v>
      </c>
    </row>
    <row r="375" spans="3:16" x14ac:dyDescent="0.25">
      <c r="C375" s="28" t="s">
        <v>3049</v>
      </c>
      <c r="D375" s="188" t="str">
        <f>+INDEX([1]Detallado!$F:$F,MATCH($C375,[1]Detallado!$B:$B,0))</f>
        <v>Renta Fija</v>
      </c>
      <c r="E375" s="31" t="str">
        <f>+INDEX([1]Detallado!$Q:$Q,MATCH($C375,[1]Detallado!$B:$B,0))</f>
        <v>RFIC</v>
      </c>
      <c r="F375" s="185" t="s">
        <v>4357</v>
      </c>
      <c r="G375" s="186" t="str">
        <f t="shared" si="10"/>
        <v>15RFIC</v>
      </c>
      <c r="H375" s="187" t="str">
        <f>+INDEX([1]Detallado!$D:$D,MATCH(C375,[1]Detallado!$B:$B,0))</f>
        <v>BBVA Bancomer</v>
      </c>
      <c r="I375" s="28"/>
      <c r="J375" s="184" t="str">
        <f t="shared" si="11"/>
        <v>RFIBU</v>
      </c>
      <c r="O375" s="28" t="s">
        <v>4936</v>
      </c>
      <c r="P375" s="28" t="s">
        <v>4902</v>
      </c>
    </row>
    <row r="376" spans="3:16" x14ac:dyDescent="0.25">
      <c r="C376" s="28" t="s">
        <v>212</v>
      </c>
      <c r="D376" s="188" t="str">
        <f>+INDEX([1]Detallado!$F:$F,MATCH($C376,[1]Detallado!$B:$B,0))</f>
        <v>Renta Fija</v>
      </c>
      <c r="E376" s="31" t="str">
        <f>+INDEX([1]Detallado!$Q:$Q,MATCH($C376,[1]Detallado!$B:$B,0))</f>
        <v>RFIC</v>
      </c>
      <c r="F376" s="185" t="s">
        <v>4357</v>
      </c>
      <c r="G376" s="186" t="str">
        <f t="shared" si="10"/>
        <v>15RFIC</v>
      </c>
      <c r="H376" s="187" t="str">
        <f>+INDEX([1]Detallado!$D:$D,MATCH(C376,[1]Detallado!$B:$B,0))</f>
        <v>BBVA Bancomer</v>
      </c>
      <c r="I376" s="28"/>
      <c r="J376" s="184" t="str">
        <f t="shared" si="11"/>
        <v>RFIBU</v>
      </c>
      <c r="O376" s="28" t="s">
        <v>4936</v>
      </c>
      <c r="P376" s="28" t="s">
        <v>4902</v>
      </c>
    </row>
    <row r="377" spans="3:16" x14ac:dyDescent="0.25">
      <c r="C377" s="28" t="s">
        <v>3050</v>
      </c>
      <c r="D377" s="188" t="str">
        <f>+INDEX([1]Detallado!$F:$F,MATCH($C377,[1]Detallado!$B:$B,0))</f>
        <v>Renta Fija</v>
      </c>
      <c r="E377" s="31" t="str">
        <f>+INDEX([1]Detallado!$Q:$Q,MATCH($C377,[1]Detallado!$B:$B,0))</f>
        <v>RFIC</v>
      </c>
      <c r="F377" s="185" t="s">
        <v>4357</v>
      </c>
      <c r="G377" s="186" t="str">
        <f t="shared" si="10"/>
        <v>15RFIC</v>
      </c>
      <c r="H377" s="187" t="str">
        <f>+INDEX([1]Detallado!$D:$D,MATCH(C377,[1]Detallado!$B:$B,0))</f>
        <v>Grupo Aval Acciones y Valores</v>
      </c>
      <c r="I377" s="28"/>
      <c r="J377" s="184" t="str">
        <f t="shared" si="11"/>
        <v>RFIBU</v>
      </c>
      <c r="O377" s="28" t="s">
        <v>4936</v>
      </c>
      <c r="P377" s="28" t="s">
        <v>4902</v>
      </c>
    </row>
    <row r="378" spans="3:16" x14ac:dyDescent="0.25">
      <c r="C378" s="28" t="s">
        <v>3051</v>
      </c>
      <c r="D378" s="188" t="str">
        <f>+INDEX([1]Detallado!$F:$F,MATCH($C378,[1]Detallado!$B:$B,0))</f>
        <v>Renta Fija</v>
      </c>
      <c r="E378" s="31" t="str">
        <f>+INDEX([1]Detallado!$Q:$Q,MATCH($C378,[1]Detallado!$B:$B,0))</f>
        <v>RFIC</v>
      </c>
      <c r="F378" s="185" t="s">
        <v>4357</v>
      </c>
      <c r="G378" s="186" t="str">
        <f t="shared" si="10"/>
        <v>15RFIC</v>
      </c>
      <c r="H378" s="187" t="str">
        <f>+INDEX([1]Detallado!$D:$D,MATCH(C378,[1]Detallado!$B:$B,0))</f>
        <v>Grupo Aval Acciones y Valores</v>
      </c>
      <c r="I378" s="28"/>
      <c r="J378" s="184" t="str">
        <f t="shared" si="11"/>
        <v>RFIBU</v>
      </c>
      <c r="O378" s="28" t="s">
        <v>4936</v>
      </c>
      <c r="P378" s="28" t="s">
        <v>4902</v>
      </c>
    </row>
    <row r="379" spans="3:16" x14ac:dyDescent="0.25">
      <c r="C379" s="28" t="s">
        <v>3052</v>
      </c>
      <c r="D379" s="188" t="str">
        <f>+INDEX([1]Detallado!$F:$F,MATCH($C379,[1]Detallado!$B:$B,0))</f>
        <v>Renta Fija</v>
      </c>
      <c r="E379" s="31" t="str">
        <f>+INDEX([1]Detallado!$Q:$Q,MATCH($C379,[1]Detallado!$B:$B,0))</f>
        <v>RFIC</v>
      </c>
      <c r="F379" s="185" t="s">
        <v>4357</v>
      </c>
      <c r="G379" s="186" t="str">
        <f t="shared" si="10"/>
        <v>15RFIC</v>
      </c>
      <c r="H379" s="187" t="str">
        <f>+INDEX([1]Detallado!$D:$D,MATCH(C379,[1]Detallado!$B:$B,0))</f>
        <v>Grupo Aval Acciones y Valores</v>
      </c>
      <c r="I379" s="28"/>
      <c r="J379" s="184" t="str">
        <f t="shared" si="11"/>
        <v>RFIBU</v>
      </c>
      <c r="O379" s="28" t="s">
        <v>4936</v>
      </c>
      <c r="P379" s="28" t="s">
        <v>4902</v>
      </c>
    </row>
    <row r="380" spans="3:16" x14ac:dyDescent="0.25">
      <c r="C380" s="28" t="s">
        <v>3053</v>
      </c>
      <c r="D380" s="188" t="str">
        <f>+INDEX([1]Detallado!$F:$F,MATCH($C380,[1]Detallado!$B:$B,0))</f>
        <v>Renta Fija</v>
      </c>
      <c r="E380" s="31" t="str">
        <f>+INDEX([1]Detallado!$Q:$Q,MATCH($C380,[1]Detallado!$B:$B,0))</f>
        <v>RFIC</v>
      </c>
      <c r="F380" s="185" t="s">
        <v>4357</v>
      </c>
      <c r="G380" s="186" t="str">
        <f t="shared" si="10"/>
        <v>15RFIC</v>
      </c>
      <c r="H380" s="187" t="str">
        <f>+INDEX([1]Detallado!$D:$D,MATCH(C380,[1]Detallado!$B:$B,0))</f>
        <v>GRUPOS 5 1/2 04/29/2026</v>
      </c>
      <c r="I380" s="28"/>
      <c r="J380" s="184" t="str">
        <f t="shared" si="11"/>
        <v>RFIBU</v>
      </c>
      <c r="O380" s="28" t="s">
        <v>4432</v>
      </c>
      <c r="P380" s="28" t="s">
        <v>4894</v>
      </c>
    </row>
    <row r="381" spans="3:16" x14ac:dyDescent="0.25">
      <c r="C381" s="28" t="s">
        <v>3054</v>
      </c>
      <c r="D381" s="188" t="str">
        <f>+INDEX([1]Detallado!$F:$F,MATCH($C381,[1]Detallado!$B:$B,0))</f>
        <v>Renta Fija</v>
      </c>
      <c r="E381" s="31" t="str">
        <f>+INDEX([1]Detallado!$Q:$Q,MATCH($C381,[1]Detallado!$B:$B,0))</f>
        <v>RFIC</v>
      </c>
      <c r="F381" s="185" t="s">
        <v>4357</v>
      </c>
      <c r="G381" s="186" t="str">
        <f t="shared" si="10"/>
        <v>15RFIC</v>
      </c>
      <c r="H381" s="187" t="str">
        <f>+INDEX([1]Detallado!$D:$D,MATCH(C381,[1]Detallado!$B:$B,0))</f>
        <v>Banco Davivienda S.A.</v>
      </c>
      <c r="I381" s="28"/>
      <c r="J381" s="184" t="str">
        <f t="shared" si="11"/>
        <v>RFIBU</v>
      </c>
      <c r="O381" s="28" t="s">
        <v>4937</v>
      </c>
      <c r="P381" s="28" t="s">
        <v>4896</v>
      </c>
    </row>
    <row r="382" spans="3:16" x14ac:dyDescent="0.25">
      <c r="C382" s="28" t="s">
        <v>3055</v>
      </c>
      <c r="D382" s="188" t="str">
        <f>+INDEX([1]Detallado!$F:$F,MATCH($C382,[1]Detallado!$B:$B,0))</f>
        <v>Renta Fija</v>
      </c>
      <c r="E382" s="31" t="str">
        <f>+INDEX([1]Detallado!$Q:$Q,MATCH($C382,[1]Detallado!$B:$B,0))</f>
        <v>RFIC</v>
      </c>
      <c r="F382" s="185" t="s">
        <v>4357</v>
      </c>
      <c r="G382" s="186" t="str">
        <f t="shared" si="10"/>
        <v>15RFIC</v>
      </c>
      <c r="H382" s="187" t="str">
        <f>+INDEX([1]Detallado!$D:$D,MATCH(C382,[1]Detallado!$B:$B,0))</f>
        <v>Banco de Bogotá</v>
      </c>
      <c r="I382" s="28"/>
      <c r="J382" s="184" t="str">
        <f t="shared" si="11"/>
        <v>RFIBU</v>
      </c>
      <c r="O382" s="28" t="s">
        <v>4937</v>
      </c>
      <c r="P382" s="28" t="s">
        <v>4896</v>
      </c>
    </row>
    <row r="383" spans="3:16" x14ac:dyDescent="0.25">
      <c r="C383" s="28" t="s">
        <v>3056</v>
      </c>
      <c r="D383" s="188" t="str">
        <f>+INDEX([1]Detallado!$F:$F,MATCH($C383,[1]Detallado!$B:$B,0))</f>
        <v>Renta Fija</v>
      </c>
      <c r="E383" s="31" t="str">
        <f>+INDEX([1]Detallado!$Q:$Q,MATCH($C383,[1]Detallado!$B:$B,0))</f>
        <v>RFIC</v>
      </c>
      <c r="F383" s="185" t="s">
        <v>4357</v>
      </c>
      <c r="G383" s="186" t="str">
        <f t="shared" si="10"/>
        <v>15RFIC</v>
      </c>
      <c r="H383" s="187" t="str">
        <f>+INDEX([1]Detallado!$D:$D,MATCH(C383,[1]Detallado!$B:$B,0))</f>
        <v>Banco de Bogotá</v>
      </c>
      <c r="I383" s="28"/>
      <c r="J383" s="184" t="str">
        <f t="shared" si="11"/>
        <v>RFIBU</v>
      </c>
      <c r="O383" s="28" t="s">
        <v>4938</v>
      </c>
      <c r="P383" s="28" t="s">
        <v>1324</v>
      </c>
    </row>
    <row r="384" spans="3:16" x14ac:dyDescent="0.25">
      <c r="C384" s="28" t="s">
        <v>3057</v>
      </c>
      <c r="D384" s="188" t="str">
        <f>+INDEX([1]Detallado!$F:$F,MATCH($C384,[1]Detallado!$B:$B,0))</f>
        <v>Renta Fija</v>
      </c>
      <c r="E384" s="31" t="str">
        <f>+INDEX([1]Detallado!$Q:$Q,MATCH($C384,[1]Detallado!$B:$B,0))</f>
        <v>RFIC</v>
      </c>
      <c r="F384" s="185" t="s">
        <v>4357</v>
      </c>
      <c r="G384" s="186" t="str">
        <f t="shared" si="10"/>
        <v>15RFIC</v>
      </c>
      <c r="H384" s="187" t="str">
        <f>+INDEX([1]Detallado!$D:$D,MATCH(C384,[1]Detallado!$B:$B,0))</f>
        <v>Banco BTG Pactual S.A.</v>
      </c>
      <c r="I384" s="28"/>
      <c r="J384" s="184" t="str">
        <f t="shared" si="11"/>
        <v>RFIBU</v>
      </c>
      <c r="O384" s="28" t="s">
        <v>4939</v>
      </c>
      <c r="P384" s="28" t="s">
        <v>4902</v>
      </c>
    </row>
    <row r="385" spans="3:16" x14ac:dyDescent="0.25">
      <c r="C385" s="28" t="s">
        <v>3059</v>
      </c>
      <c r="D385" s="188" t="str">
        <f>+INDEX([1]Detallado!$F:$F,MATCH($C385,[1]Detallado!$B:$B,0))</f>
        <v>Renta Fija</v>
      </c>
      <c r="E385" s="31" t="str">
        <f>+INDEX([1]Detallado!$Q:$Q,MATCH($C385,[1]Detallado!$B:$B,0))</f>
        <v>RFIC</v>
      </c>
      <c r="F385" s="185" t="s">
        <v>4357</v>
      </c>
      <c r="G385" s="186" t="str">
        <f t="shared" si="10"/>
        <v>15RFIC</v>
      </c>
      <c r="H385" s="187" t="str">
        <f>+INDEX([1]Detallado!$D:$D,MATCH(C385,[1]Detallado!$B:$B,0))</f>
        <v>Corp Group Banking S.A.</v>
      </c>
      <c r="I385" s="28"/>
      <c r="J385" s="184" t="str">
        <f t="shared" si="11"/>
        <v>RFIBU</v>
      </c>
      <c r="O385" s="28" t="s">
        <v>4939</v>
      </c>
      <c r="P385" s="28" t="s">
        <v>4902</v>
      </c>
    </row>
    <row r="386" spans="3:16" x14ac:dyDescent="0.25">
      <c r="C386" s="28" t="s">
        <v>3060</v>
      </c>
      <c r="D386" s="188" t="str">
        <f>+INDEX([1]Detallado!$F:$F,MATCH($C386,[1]Detallado!$B:$B,0))</f>
        <v>Renta Fija</v>
      </c>
      <c r="E386" s="31" t="str">
        <f>+INDEX([1]Detallado!$Q:$Q,MATCH($C386,[1]Detallado!$B:$B,0))</f>
        <v>RFIC</v>
      </c>
      <c r="F386" s="185" t="s">
        <v>4357</v>
      </c>
      <c r="G386" s="186" t="str">
        <f t="shared" si="10"/>
        <v>15RFIC</v>
      </c>
      <c r="H386" s="187" t="str">
        <f>+INDEX([1]Detallado!$D:$D,MATCH(C386,[1]Detallado!$B:$B,0))</f>
        <v>Banco Santander México</v>
      </c>
      <c r="I386" s="28"/>
      <c r="J386" s="184" t="str">
        <f t="shared" si="11"/>
        <v>RFIBU</v>
      </c>
      <c r="O386" s="28" t="s">
        <v>4939</v>
      </c>
      <c r="P386" s="28" t="s">
        <v>4902</v>
      </c>
    </row>
    <row r="387" spans="3:16" x14ac:dyDescent="0.25">
      <c r="C387" s="28" t="s">
        <v>3061</v>
      </c>
      <c r="D387" s="188" t="str">
        <f>+INDEX([1]Detallado!$F:$F,MATCH($C387,[1]Detallado!$B:$B,0))</f>
        <v>Renta Fija</v>
      </c>
      <c r="E387" s="31" t="str">
        <f>+INDEX([1]Detallado!$Q:$Q,MATCH($C387,[1]Detallado!$B:$B,0))</f>
        <v>RFIC</v>
      </c>
      <c r="F387" s="185" t="s">
        <v>4357</v>
      </c>
      <c r="G387" s="186" t="str">
        <f t="shared" si="10"/>
        <v>17RFIC</v>
      </c>
      <c r="H387" s="187" t="str">
        <f>+INDEX([1]Detallado!$D:$D,MATCH(C387,[1]Detallado!$B:$B,0))</f>
        <v>Inkia Energy Limited</v>
      </c>
      <c r="I387" s="28"/>
      <c r="J387" s="184" t="str">
        <f t="shared" si="11"/>
        <v>RFIBU</v>
      </c>
      <c r="O387" s="28" t="s">
        <v>4939</v>
      </c>
      <c r="P387" s="28" t="s">
        <v>4902</v>
      </c>
    </row>
    <row r="388" spans="3:16" x14ac:dyDescent="0.25">
      <c r="C388" s="28" t="s">
        <v>3062</v>
      </c>
      <c r="D388" s="188" t="str">
        <f>+INDEX([1]Detallado!$F:$F,MATCH($C388,[1]Detallado!$B:$B,0))</f>
        <v>Renta Fija</v>
      </c>
      <c r="E388" s="31" t="str">
        <f>+INDEX([1]Detallado!$Q:$Q,MATCH($C388,[1]Detallado!$B:$B,0))</f>
        <v>RFIC</v>
      </c>
      <c r="F388" s="185" t="s">
        <v>4357</v>
      </c>
      <c r="G388" s="186" t="str">
        <f t="shared" si="10"/>
        <v>17RFIC</v>
      </c>
      <c r="H388" s="187" t="str">
        <f>+INDEX([1]Detallado!$D:$D,MATCH(C388,[1]Detallado!$B:$B,0))</f>
        <v>Inkia Energy Limited</v>
      </c>
      <c r="I388" s="28"/>
      <c r="J388" s="184" t="str">
        <f t="shared" si="11"/>
        <v>RFIBU</v>
      </c>
      <c r="O388" s="28" t="s">
        <v>4939</v>
      </c>
      <c r="P388" s="28" t="s">
        <v>4902</v>
      </c>
    </row>
    <row r="389" spans="3:16" x14ac:dyDescent="0.25">
      <c r="C389" s="28" t="s">
        <v>197</v>
      </c>
      <c r="D389" s="188" t="str">
        <f>+INDEX([1]Detallado!$F:$F,MATCH($C389,[1]Detallado!$B:$B,0))</f>
        <v>Renta Fija</v>
      </c>
      <c r="E389" s="31" t="str">
        <f>+INDEX([1]Detallado!$Q:$Q,MATCH($C389,[1]Detallado!$B:$B,0))</f>
        <v>RFIC</v>
      </c>
      <c r="F389" s="185" t="s">
        <v>4357</v>
      </c>
      <c r="G389" s="186" t="str">
        <f t="shared" si="10"/>
        <v>12RFIC</v>
      </c>
      <c r="H389" s="187" t="str">
        <f>+INDEX([1]Detallado!$D:$D,MATCH(C389,[1]Detallado!$B:$B,0))</f>
        <v>Inkia Energy Limited</v>
      </c>
      <c r="I389" s="28"/>
      <c r="J389" s="184" t="str">
        <f t="shared" si="11"/>
        <v>RFIBU</v>
      </c>
      <c r="O389" s="28" t="s">
        <v>2806</v>
      </c>
      <c r="P389" s="28" t="s">
        <v>4898</v>
      </c>
    </row>
    <row r="390" spans="3:16" x14ac:dyDescent="0.25">
      <c r="C390" s="28" t="s">
        <v>3063</v>
      </c>
      <c r="D390" s="188" t="str">
        <f>+INDEX([1]Detallado!$F:$F,MATCH($C390,[1]Detallado!$B:$B,0))</f>
        <v>Renta Fija</v>
      </c>
      <c r="E390" s="31" t="str">
        <f>+INDEX([1]Detallado!$Q:$Q,MATCH($C390,[1]Detallado!$B:$B,0))</f>
        <v>RFIC</v>
      </c>
      <c r="F390" s="185" t="s">
        <v>4357</v>
      </c>
      <c r="G390" s="186" t="str">
        <f t="shared" si="10"/>
        <v>57RFIC</v>
      </c>
      <c r="H390" s="187" t="str">
        <f>+INDEX([1]Detallado!$D:$D,MATCH(C390,[1]Detallado!$B:$B,0))</f>
        <v>Lan Airlines</v>
      </c>
      <c r="I390" s="28"/>
      <c r="J390" s="184" t="str">
        <f t="shared" si="11"/>
        <v>RFIBU</v>
      </c>
      <c r="O390" s="28" t="s">
        <v>2806</v>
      </c>
      <c r="P390" s="28" t="s">
        <v>4898</v>
      </c>
    </row>
    <row r="391" spans="3:16" x14ac:dyDescent="0.25">
      <c r="C391" s="28" t="s">
        <v>962</v>
      </c>
      <c r="D391" s="188" t="str">
        <f>+INDEX([1]Detallado!$F:$F,MATCH($C391,[1]Detallado!$B:$B,0))</f>
        <v>Renta Fija</v>
      </c>
      <c r="E391" s="31" t="str">
        <f>+INDEX([1]Detallado!$Q:$Q,MATCH($C391,[1]Detallado!$B:$B,0))</f>
        <v>RFIC</v>
      </c>
      <c r="F391" s="185" t="s">
        <v>4357</v>
      </c>
      <c r="G391" s="186" t="str">
        <f t="shared" si="10"/>
        <v>59RFIC</v>
      </c>
      <c r="H391" s="187" t="str">
        <f>+INDEX([1]Detallado!$D:$D,MATCH(C391,[1]Detallado!$B:$B,0))</f>
        <v>Empresas Públicas Medellin</v>
      </c>
      <c r="I391" s="28"/>
      <c r="J391" s="184" t="str">
        <f t="shared" si="11"/>
        <v>RFIBU</v>
      </c>
      <c r="O391" s="28" t="s">
        <v>2806</v>
      </c>
      <c r="P391" s="28" t="s">
        <v>4898</v>
      </c>
    </row>
    <row r="392" spans="3:16" x14ac:dyDescent="0.25">
      <c r="C392" s="28" t="s">
        <v>832</v>
      </c>
      <c r="D392" s="188" t="str">
        <f>+INDEX([1]Detallado!$F:$F,MATCH($C392,[1]Detallado!$B:$B,0))</f>
        <v>Renta Fija</v>
      </c>
      <c r="E392" s="31" t="str">
        <f>+INDEX([1]Detallado!$Q:$Q,MATCH($C392,[1]Detallado!$B:$B,0))</f>
        <v>RFIC</v>
      </c>
      <c r="F392" s="185" t="s">
        <v>4357</v>
      </c>
      <c r="G392" s="186" t="str">
        <f t="shared" si="10"/>
        <v>59RFIC</v>
      </c>
      <c r="H392" s="187" t="str">
        <f>+INDEX([1]Detallado!$D:$D,MATCH(C392,[1]Detallado!$B:$B,0))</f>
        <v>Empresas Públicas Medellin</v>
      </c>
      <c r="I392" s="28"/>
      <c r="J392" s="184" t="str">
        <f t="shared" si="11"/>
        <v>RFIBU</v>
      </c>
      <c r="O392" s="28" t="s">
        <v>2806</v>
      </c>
      <c r="P392" s="28" t="s">
        <v>4898</v>
      </c>
    </row>
    <row r="393" spans="3:16" x14ac:dyDescent="0.25">
      <c r="C393" s="28" t="s">
        <v>3064</v>
      </c>
      <c r="D393" s="188" t="str">
        <f>+INDEX([1]Detallado!$F:$F,MATCH($C393,[1]Detallado!$B:$B,0))</f>
        <v>Renta Fija</v>
      </c>
      <c r="E393" s="31" t="str">
        <f>+INDEX([1]Detallado!$Q:$Q,MATCH($C393,[1]Detallado!$B:$B,0))</f>
        <v>RFIC</v>
      </c>
      <c r="F393" s="185" t="s">
        <v>4357</v>
      </c>
      <c r="G393" s="186" t="str">
        <f t="shared" si="10"/>
        <v>59RFIC</v>
      </c>
      <c r="H393" s="187" t="str">
        <f>+INDEX([1]Detallado!$D:$D,MATCH(C393,[1]Detallado!$B:$B,0))</f>
        <v>Empresas Públicas Medellin</v>
      </c>
      <c r="I393" s="28"/>
      <c r="J393" s="184" t="str">
        <f t="shared" si="11"/>
        <v>RFIBU</v>
      </c>
      <c r="O393" s="28" t="s">
        <v>2806</v>
      </c>
      <c r="P393" s="28" t="s">
        <v>4898</v>
      </c>
    </row>
    <row r="394" spans="3:16" x14ac:dyDescent="0.25">
      <c r="C394" s="28" t="s">
        <v>3065</v>
      </c>
      <c r="D394" s="188" t="str">
        <f>+INDEX([1]Detallado!$F:$F,MATCH($C394,[1]Detallado!$B:$B,0))</f>
        <v>Renta Fija</v>
      </c>
      <c r="E394" s="31" t="str">
        <f>+INDEX([1]Detallado!$Q:$Q,MATCH($C394,[1]Detallado!$B:$B,0))</f>
        <v>RFIC</v>
      </c>
      <c r="F394" s="185" t="s">
        <v>4357</v>
      </c>
      <c r="G394" s="186" t="str">
        <f t="shared" ref="G394:G457" si="12">LEFT(C394,2)&amp;E394</f>
        <v>15RFIC</v>
      </c>
      <c r="H394" s="187" t="str">
        <f>+INDEX([1]Detallado!$D:$D,MATCH(C394,[1]Detallado!$B:$B,0))</f>
        <v>Banco de Bogotá</v>
      </c>
      <c r="I394" s="28"/>
      <c r="J394" s="184" t="str">
        <f t="shared" ref="J394:J457" si="13">IF(E394="ALT",LEFT(E394,3),LEFT(E394,3)&amp;F394)</f>
        <v>RFIBU</v>
      </c>
      <c r="O394" s="28" t="s">
        <v>4490</v>
      </c>
      <c r="P394" s="28" t="s">
        <v>4896</v>
      </c>
    </row>
    <row r="395" spans="3:16" x14ac:dyDescent="0.25">
      <c r="C395" s="28" t="s">
        <v>3066</v>
      </c>
      <c r="D395" s="188" t="str">
        <f>+INDEX([1]Detallado!$F:$F,MATCH($C395,[1]Detallado!$B:$B,0))</f>
        <v>Renta Fija</v>
      </c>
      <c r="E395" s="31" t="str">
        <f>+INDEX([1]Detallado!$Q:$Q,MATCH($C395,[1]Detallado!$B:$B,0))</f>
        <v>RFIC</v>
      </c>
      <c r="F395" s="185" t="s">
        <v>4357</v>
      </c>
      <c r="G395" s="186" t="str">
        <f t="shared" si="12"/>
        <v>15RFIC</v>
      </c>
      <c r="H395" s="187" t="str">
        <f>+INDEX([1]Detallado!$D:$D,MATCH(C395,[1]Detallado!$B:$B,0))</f>
        <v>Banco Santander México</v>
      </c>
      <c r="I395" s="28"/>
      <c r="J395" s="184" t="str">
        <f t="shared" si="13"/>
        <v>RFIBU</v>
      </c>
      <c r="O395" s="28" t="s">
        <v>4490</v>
      </c>
      <c r="P395" s="28" t="s">
        <v>4896</v>
      </c>
    </row>
    <row r="396" spans="3:16" x14ac:dyDescent="0.25">
      <c r="C396" s="28" t="s">
        <v>3067</v>
      </c>
      <c r="D396" s="188" t="str">
        <f>+INDEX([1]Detallado!$F:$F,MATCH($C396,[1]Detallado!$B:$B,0))</f>
        <v>Renta Fija</v>
      </c>
      <c r="E396" s="31" t="str">
        <f>+INDEX([1]Detallado!$Q:$Q,MATCH($C396,[1]Detallado!$B:$B,0))</f>
        <v>RFIC</v>
      </c>
      <c r="F396" s="185" t="s">
        <v>4357</v>
      </c>
      <c r="G396" s="186" t="str">
        <f t="shared" si="12"/>
        <v>15RFIC</v>
      </c>
      <c r="H396" s="187" t="str">
        <f>+INDEX([1]Detallado!$D:$D,MATCH(C396,[1]Detallado!$B:$B,0))</f>
        <v>Banco Santander México</v>
      </c>
      <c r="I396" s="28"/>
      <c r="J396" s="184" t="str">
        <f t="shared" si="13"/>
        <v>RFIBU</v>
      </c>
      <c r="O396" s="28" t="s">
        <v>4940</v>
      </c>
      <c r="P396" s="28" t="s">
        <v>1324</v>
      </c>
    </row>
    <row r="397" spans="3:16" x14ac:dyDescent="0.25">
      <c r="C397" s="28" t="s">
        <v>3068</v>
      </c>
      <c r="D397" s="188" t="str">
        <f>+INDEX([1]Detallado!$F:$F,MATCH($C397,[1]Detallado!$B:$B,0))</f>
        <v>Renta Fija</v>
      </c>
      <c r="E397" s="31" t="str">
        <f>+INDEX([1]Detallado!$Q:$Q,MATCH($C397,[1]Detallado!$B:$B,0))</f>
        <v>RFIC</v>
      </c>
      <c r="F397" s="185" t="s">
        <v>4357</v>
      </c>
      <c r="G397" s="186" t="str">
        <f t="shared" si="12"/>
        <v>12RFIC</v>
      </c>
      <c r="H397" s="187" t="str">
        <f>+INDEX([1]Detallado!$D:$D,MATCH(C397,[1]Detallado!$B:$B,0))</f>
        <v>Brasil Foods</v>
      </c>
      <c r="I397" s="28"/>
      <c r="J397" s="184" t="str">
        <f t="shared" si="13"/>
        <v>RFIBU</v>
      </c>
      <c r="O397" s="28" t="s">
        <v>4940</v>
      </c>
      <c r="P397" s="28" t="s">
        <v>1324</v>
      </c>
    </row>
    <row r="398" spans="3:16" x14ac:dyDescent="0.25">
      <c r="C398" s="28" t="s">
        <v>3069</v>
      </c>
      <c r="D398" s="188" t="str">
        <f>+INDEX([1]Detallado!$F:$F,MATCH($C398,[1]Detallado!$B:$B,0))</f>
        <v>Renta Fija</v>
      </c>
      <c r="E398" s="31" t="str">
        <f>+INDEX([1]Detallado!$Q:$Q,MATCH($C398,[1]Detallado!$B:$B,0))</f>
        <v>RFIC</v>
      </c>
      <c r="F398" s="185" t="s">
        <v>4357</v>
      </c>
      <c r="G398" s="186" t="str">
        <f t="shared" si="12"/>
        <v>15RFIC</v>
      </c>
      <c r="H398" s="187" t="str">
        <f>+INDEX([1]Detallado!$D:$D,MATCH(C398,[1]Detallado!$B:$B,0))</f>
        <v>Banco de Bogotá</v>
      </c>
      <c r="I398" s="28"/>
      <c r="J398" s="184" t="str">
        <f t="shared" si="13"/>
        <v>RFIBU</v>
      </c>
      <c r="O398" s="28" t="s">
        <v>4940</v>
      </c>
      <c r="P398" s="28" t="s">
        <v>1324</v>
      </c>
    </row>
    <row r="399" spans="3:16" x14ac:dyDescent="0.25">
      <c r="C399" s="28" t="s">
        <v>3070</v>
      </c>
      <c r="D399" s="188" t="str">
        <f>+INDEX([1]Detallado!$F:$F,MATCH($C399,[1]Detallado!$B:$B,0))</f>
        <v>Renta Fija</v>
      </c>
      <c r="E399" s="31" t="str">
        <f>+INDEX([1]Detallado!$Q:$Q,MATCH($C399,[1]Detallado!$B:$B,0))</f>
        <v>RFIC</v>
      </c>
      <c r="F399" s="185" t="s">
        <v>4357</v>
      </c>
      <c r="G399" s="186" t="str">
        <f t="shared" si="12"/>
        <v>12RFIC</v>
      </c>
      <c r="H399" s="187" t="str">
        <f>+INDEX([1]Detallado!$D:$D,MATCH(C399,[1]Detallado!$B:$B,0))</f>
        <v>SCCO 6 3/8 07/27/15</v>
      </c>
      <c r="I399" s="28"/>
      <c r="J399" s="184" t="str">
        <f t="shared" si="13"/>
        <v>RFIBU</v>
      </c>
      <c r="O399" s="28" t="s">
        <v>4940</v>
      </c>
      <c r="P399" s="28" t="s">
        <v>1324</v>
      </c>
    </row>
    <row r="400" spans="3:16" x14ac:dyDescent="0.25">
      <c r="C400" s="28" t="s">
        <v>3071</v>
      </c>
      <c r="D400" s="188" t="str">
        <f>+INDEX([1]Detallado!$F:$F,MATCH($C400,[1]Detallado!$B:$B,0))</f>
        <v>Renta Fija</v>
      </c>
      <c r="E400" s="31" t="str">
        <f>+INDEX([1]Detallado!$Q:$Q,MATCH($C400,[1]Detallado!$B:$B,0))</f>
        <v>RFIC</v>
      </c>
      <c r="F400" s="185" t="s">
        <v>4357</v>
      </c>
      <c r="G400" s="186" t="str">
        <f t="shared" si="12"/>
        <v>12RFIC</v>
      </c>
      <c r="H400" s="187" t="str">
        <f>+INDEX([1]Detallado!$D:$D,MATCH(C400,[1]Detallado!$B:$B,0))</f>
        <v>SCCO 6 3/8 07/27/15</v>
      </c>
      <c r="I400" s="28"/>
      <c r="J400" s="184" t="str">
        <f t="shared" si="13"/>
        <v>RFIBU</v>
      </c>
      <c r="O400" s="28" t="s">
        <v>4940</v>
      </c>
      <c r="P400" s="28" t="s">
        <v>1324</v>
      </c>
    </row>
    <row r="401" spans="3:16" x14ac:dyDescent="0.25">
      <c r="C401" s="28" t="s">
        <v>3072</v>
      </c>
      <c r="D401" s="188" t="str">
        <f>+INDEX([1]Detallado!$F:$F,MATCH($C401,[1]Detallado!$B:$B,0))</f>
        <v>Renta Fija</v>
      </c>
      <c r="E401" s="31" t="str">
        <f>+INDEX([1]Detallado!$Q:$Q,MATCH($C401,[1]Detallado!$B:$B,0))</f>
        <v>RFIC</v>
      </c>
      <c r="F401" s="185" t="s">
        <v>4357</v>
      </c>
      <c r="G401" s="186" t="str">
        <f t="shared" si="12"/>
        <v>12RFIC</v>
      </c>
      <c r="H401" s="187" t="str">
        <f>+INDEX([1]Detallado!$D:$D,MATCH(C401,[1]Detallado!$B:$B,0))</f>
        <v>GRUPO ENERGIA BOGOTA</v>
      </c>
      <c r="I401" s="28"/>
      <c r="J401" s="184" t="str">
        <f t="shared" si="13"/>
        <v>RFIBU</v>
      </c>
      <c r="O401" s="28" t="s">
        <v>4940</v>
      </c>
      <c r="P401" s="28" t="s">
        <v>1324</v>
      </c>
    </row>
    <row r="402" spans="3:16" x14ac:dyDescent="0.25">
      <c r="C402" s="28" t="s">
        <v>3073</v>
      </c>
      <c r="D402" s="188" t="str">
        <f>+INDEX([1]Detallado!$F:$F,MATCH($C402,[1]Detallado!$B:$B,0))</f>
        <v>Renta Fija</v>
      </c>
      <c r="E402" s="31" t="str">
        <f>+INDEX([1]Detallado!$Q:$Q,MATCH($C402,[1]Detallado!$B:$B,0))</f>
        <v>RFIC</v>
      </c>
      <c r="F402" s="185" t="s">
        <v>4357</v>
      </c>
      <c r="G402" s="186" t="str">
        <f t="shared" si="12"/>
        <v>12RFIC</v>
      </c>
      <c r="H402" s="187" t="str">
        <f>+INDEX([1]Detallado!$D:$D,MATCH(C402,[1]Detallado!$B:$B,0))</f>
        <v>Cencosud</v>
      </c>
      <c r="I402" s="28"/>
      <c r="J402" s="184" t="str">
        <f t="shared" si="13"/>
        <v>RFIBU</v>
      </c>
      <c r="O402" s="28" t="s">
        <v>4940</v>
      </c>
      <c r="P402" s="28" t="s">
        <v>1324</v>
      </c>
    </row>
    <row r="403" spans="3:16" x14ac:dyDescent="0.25">
      <c r="C403" s="28" t="s">
        <v>3074</v>
      </c>
      <c r="D403" s="188" t="str">
        <f>+INDEX([1]Detallado!$F:$F,MATCH($C403,[1]Detallado!$B:$B,0))</f>
        <v>Renta Fija</v>
      </c>
      <c r="E403" s="31" t="str">
        <f>+INDEX([1]Detallado!$Q:$Q,MATCH($C403,[1]Detallado!$B:$B,0))</f>
        <v>RFIC</v>
      </c>
      <c r="F403" s="185" t="s">
        <v>4357</v>
      </c>
      <c r="G403" s="186" t="str">
        <f t="shared" si="12"/>
        <v>12RFIC</v>
      </c>
      <c r="H403" s="187" t="str">
        <f>+INDEX([1]Detallado!$D:$D,MATCH(C403,[1]Detallado!$B:$B,0))</f>
        <v>Cencosud</v>
      </c>
      <c r="I403" s="28"/>
      <c r="J403" s="184" t="str">
        <f t="shared" si="13"/>
        <v>RFIBU</v>
      </c>
      <c r="O403" s="28" t="s">
        <v>4940</v>
      </c>
      <c r="P403" s="28" t="s">
        <v>1324</v>
      </c>
    </row>
    <row r="404" spans="3:16" x14ac:dyDescent="0.25">
      <c r="C404" s="28" t="s">
        <v>3075</v>
      </c>
      <c r="D404" s="188" t="str">
        <f>+INDEX([1]Detallado!$F:$F,MATCH($C404,[1]Detallado!$B:$B,0))</f>
        <v>Renta Fija</v>
      </c>
      <c r="E404" s="31" t="str">
        <f>+INDEX([1]Detallado!$Q:$Q,MATCH($C404,[1]Detallado!$B:$B,0))</f>
        <v>RFIC</v>
      </c>
      <c r="F404" s="185" t="s">
        <v>4357</v>
      </c>
      <c r="G404" s="186" t="str">
        <f t="shared" si="12"/>
        <v>12RFIC</v>
      </c>
      <c r="H404" s="187" t="str">
        <f>+INDEX([1]Detallado!$D:$D,MATCH(C404,[1]Detallado!$B:$B,0))</f>
        <v>Cencosud</v>
      </c>
      <c r="I404" s="28"/>
      <c r="J404" s="184" t="str">
        <f t="shared" si="13"/>
        <v>RFIBU</v>
      </c>
      <c r="O404" s="28" t="s">
        <v>4940</v>
      </c>
      <c r="P404" s="28" t="s">
        <v>1324</v>
      </c>
    </row>
    <row r="405" spans="3:16" x14ac:dyDescent="0.25">
      <c r="C405" s="28" t="s">
        <v>3076</v>
      </c>
      <c r="D405" s="188" t="str">
        <f>+INDEX([1]Detallado!$F:$F,MATCH($C405,[1]Detallado!$B:$B,0))</f>
        <v>Renta Fija</v>
      </c>
      <c r="E405" s="31" t="str">
        <f>+INDEX([1]Detallado!$Q:$Q,MATCH($C405,[1]Detallado!$B:$B,0))</f>
        <v>RFIC</v>
      </c>
      <c r="F405" s="185" t="s">
        <v>4357</v>
      </c>
      <c r="G405" s="186" t="str">
        <f t="shared" si="12"/>
        <v>12RFIC</v>
      </c>
      <c r="H405" s="187" t="str">
        <f>+INDEX([1]Detallado!$D:$D,MATCH(C405,[1]Detallado!$B:$B,0))</f>
        <v>Cencosud</v>
      </c>
      <c r="I405" s="28"/>
      <c r="J405" s="184" t="str">
        <f t="shared" si="13"/>
        <v>RFIBU</v>
      </c>
      <c r="O405" s="28" t="s">
        <v>4940</v>
      </c>
      <c r="P405" s="28" t="s">
        <v>1324</v>
      </c>
    </row>
    <row r="406" spans="3:16" x14ac:dyDescent="0.25">
      <c r="C406" s="28" t="s">
        <v>3077</v>
      </c>
      <c r="D406" s="188" t="str">
        <f>+INDEX([1]Detallado!$F:$F,MATCH($C406,[1]Detallado!$B:$B,0))</f>
        <v>Renta Fija</v>
      </c>
      <c r="E406" s="31" t="str">
        <f>+INDEX([1]Detallado!$Q:$Q,MATCH($C406,[1]Detallado!$B:$B,0))</f>
        <v>RFIC</v>
      </c>
      <c r="F406" s="185" t="s">
        <v>4357</v>
      </c>
      <c r="G406" s="186" t="str">
        <f t="shared" si="12"/>
        <v>12RFIC</v>
      </c>
      <c r="H406" s="187" t="str">
        <f>+INDEX([1]Detallado!$D:$D,MATCH(C406,[1]Detallado!$B:$B,0))</f>
        <v xml:space="preserve">America Movil </v>
      </c>
      <c r="I406" s="28"/>
      <c r="J406" s="184" t="str">
        <f t="shared" si="13"/>
        <v>RFIBU</v>
      </c>
      <c r="O406" s="28" t="s">
        <v>4941</v>
      </c>
      <c r="P406" s="28" t="s">
        <v>1324</v>
      </c>
    </row>
    <row r="407" spans="3:16" x14ac:dyDescent="0.25">
      <c r="C407" s="28" t="s">
        <v>3078</v>
      </c>
      <c r="D407" s="188" t="str">
        <f>+INDEX([1]Detallado!$F:$F,MATCH($C407,[1]Detallado!$B:$B,0))</f>
        <v>Renta Fija</v>
      </c>
      <c r="E407" s="31" t="str">
        <f>+INDEX([1]Detallado!$Q:$Q,MATCH($C407,[1]Detallado!$B:$B,0))</f>
        <v>RFIC</v>
      </c>
      <c r="F407" s="185" t="s">
        <v>4357</v>
      </c>
      <c r="G407" s="186" t="str">
        <f t="shared" si="12"/>
        <v>12RFIC</v>
      </c>
      <c r="H407" s="187" t="str">
        <f>+INDEX([1]Detallado!$D:$D,MATCH(C407,[1]Detallado!$B:$B,0))</f>
        <v>SACI Falabella</v>
      </c>
      <c r="I407" s="28"/>
      <c r="J407" s="184" t="str">
        <f t="shared" si="13"/>
        <v>RFIBU</v>
      </c>
      <c r="O407" s="28" t="s">
        <v>4942</v>
      </c>
      <c r="P407" s="28" t="s">
        <v>1324</v>
      </c>
    </row>
    <row r="408" spans="3:16" x14ac:dyDescent="0.25">
      <c r="C408" s="28" t="s">
        <v>3079</v>
      </c>
      <c r="D408" s="188" t="str">
        <f>+INDEX([1]Detallado!$F:$F,MATCH($C408,[1]Detallado!$B:$B,0))</f>
        <v>Renta Fija</v>
      </c>
      <c r="E408" s="31" t="str">
        <f>+INDEX([1]Detallado!$Q:$Q,MATCH($C408,[1]Detallado!$B:$B,0))</f>
        <v>RFIC</v>
      </c>
      <c r="F408" s="185" t="s">
        <v>4357</v>
      </c>
      <c r="G408" s="186" t="str">
        <f t="shared" si="12"/>
        <v>12RFIC</v>
      </c>
      <c r="H408" s="187" t="str">
        <f>+INDEX([1]Detallado!$D:$D,MATCH(C408,[1]Detallado!$B:$B,0))</f>
        <v>SACI Falabella</v>
      </c>
      <c r="I408" s="28"/>
      <c r="J408" s="184" t="str">
        <f t="shared" si="13"/>
        <v>RFIBU</v>
      </c>
      <c r="O408" s="28" t="s">
        <v>4942</v>
      </c>
      <c r="P408" s="28" t="s">
        <v>1324</v>
      </c>
    </row>
    <row r="409" spans="3:16" x14ac:dyDescent="0.25">
      <c r="C409" s="28" t="s">
        <v>3080</v>
      </c>
      <c r="D409" s="188" t="str">
        <f>+INDEX([1]Detallado!$F:$F,MATCH($C409,[1]Detallado!$B:$B,0))</f>
        <v>Renta Fija</v>
      </c>
      <c r="E409" s="31" t="str">
        <f>+INDEX([1]Detallado!$Q:$Q,MATCH($C409,[1]Detallado!$B:$B,0))</f>
        <v>RFIC</v>
      </c>
      <c r="F409" s="185" t="s">
        <v>4357</v>
      </c>
      <c r="G409" s="186" t="str">
        <f t="shared" si="12"/>
        <v>12RFIC</v>
      </c>
      <c r="H409" s="187" t="str">
        <f>+INDEX([1]Detallado!$D:$D,MATCH(C409,[1]Detallado!$B:$B,0))</f>
        <v>SACI Falabella</v>
      </c>
      <c r="I409" s="28"/>
      <c r="J409" s="184" t="str">
        <f t="shared" si="13"/>
        <v>RFIBU</v>
      </c>
      <c r="O409" s="28" t="s">
        <v>4942</v>
      </c>
      <c r="P409" s="28" t="s">
        <v>1324</v>
      </c>
    </row>
    <row r="410" spans="3:16" x14ac:dyDescent="0.25">
      <c r="C410" s="28" t="s">
        <v>3081</v>
      </c>
      <c r="D410" s="188" t="str">
        <f>+INDEX([1]Detallado!$F:$F,MATCH($C410,[1]Detallado!$B:$B,0))</f>
        <v>Renta Fija</v>
      </c>
      <c r="E410" s="31" t="str">
        <f>+INDEX([1]Detallado!$Q:$Q,MATCH($C410,[1]Detallado!$B:$B,0))</f>
        <v>RFIC</v>
      </c>
      <c r="F410" s="185" t="s">
        <v>4357</v>
      </c>
      <c r="G410" s="186" t="str">
        <f t="shared" si="12"/>
        <v>12RFIC</v>
      </c>
      <c r="H410" s="187" t="str">
        <f>+INDEX([1]Detallado!$D:$D,MATCH(C410,[1]Detallado!$B:$B,0))</f>
        <v>SACI Falabella</v>
      </c>
      <c r="I410" s="28"/>
      <c r="J410" s="184" t="str">
        <f t="shared" si="13"/>
        <v>RFIBU</v>
      </c>
      <c r="O410" s="28" t="s">
        <v>4942</v>
      </c>
      <c r="P410" s="28" t="s">
        <v>1324</v>
      </c>
    </row>
    <row r="411" spans="3:16" x14ac:dyDescent="0.25">
      <c r="C411" s="28" t="s">
        <v>3082</v>
      </c>
      <c r="D411" s="188" t="str">
        <f>+INDEX([1]Detallado!$F:$F,MATCH($C411,[1]Detallado!$B:$B,0))</f>
        <v>Renta Fija</v>
      </c>
      <c r="E411" s="31" t="str">
        <f>+INDEX([1]Detallado!$Q:$Q,MATCH($C411,[1]Detallado!$B:$B,0))</f>
        <v>RFIC</v>
      </c>
      <c r="F411" s="185" t="s">
        <v>4357</v>
      </c>
      <c r="G411" s="186" t="str">
        <f t="shared" si="12"/>
        <v>12RFIC</v>
      </c>
      <c r="H411" s="187" t="str">
        <f>+INDEX([1]Detallado!$D:$D,MATCH(C411,[1]Detallado!$B:$B,0))</f>
        <v>GGBRBZ 7 1/4 10/20/17</v>
      </c>
      <c r="I411" s="28"/>
      <c r="J411" s="184" t="str">
        <f t="shared" si="13"/>
        <v>RFIBU</v>
      </c>
      <c r="O411" s="28" t="s">
        <v>4942</v>
      </c>
      <c r="P411" s="28" t="s">
        <v>1324</v>
      </c>
    </row>
    <row r="412" spans="3:16" x14ac:dyDescent="0.25">
      <c r="C412" s="28" t="s">
        <v>3083</v>
      </c>
      <c r="D412" s="188" t="str">
        <f>+INDEX([1]Detallado!$F:$F,MATCH($C412,[1]Detallado!$B:$B,0))</f>
        <v>Renta Fija</v>
      </c>
      <c r="E412" s="31" t="str">
        <f>+INDEX([1]Detallado!$Q:$Q,MATCH($C412,[1]Detallado!$B:$B,0))</f>
        <v>RFIC</v>
      </c>
      <c r="F412" s="185" t="s">
        <v>4357</v>
      </c>
      <c r="G412" s="186" t="str">
        <f t="shared" si="12"/>
        <v>12RFIC</v>
      </c>
      <c r="H412" s="187" t="str">
        <f>+INDEX([1]Detallado!$D:$D,MATCH(C412,[1]Detallado!$B:$B,0))</f>
        <v>Telemar</v>
      </c>
      <c r="I412" s="28"/>
      <c r="J412" s="184" t="str">
        <f t="shared" si="13"/>
        <v>RFIBU</v>
      </c>
      <c r="O412" s="28" t="s">
        <v>4943</v>
      </c>
      <c r="P412" s="28" t="s">
        <v>1324</v>
      </c>
    </row>
    <row r="413" spans="3:16" x14ac:dyDescent="0.25">
      <c r="C413" s="28" t="s">
        <v>3084</v>
      </c>
      <c r="D413" s="188" t="str">
        <f>+INDEX([1]Detallado!$F:$F,MATCH($C413,[1]Detallado!$B:$B,0))</f>
        <v>Renta Fija</v>
      </c>
      <c r="E413" s="31" t="str">
        <f>+INDEX([1]Detallado!$Q:$Q,MATCH($C413,[1]Detallado!$B:$B,0))</f>
        <v>RFIC</v>
      </c>
      <c r="F413" s="185" t="s">
        <v>4357</v>
      </c>
      <c r="G413" s="186" t="str">
        <f t="shared" si="12"/>
        <v>12RFIC</v>
      </c>
      <c r="H413" s="187" t="str">
        <f>+INDEX([1]Detallado!$D:$D,MATCH(C413,[1]Detallado!$B:$B,0))</f>
        <v>Banco Santander México</v>
      </c>
      <c r="I413" s="28"/>
      <c r="J413" s="184" t="str">
        <f t="shared" si="13"/>
        <v>RFIBU</v>
      </c>
      <c r="O413" s="28" t="s">
        <v>4944</v>
      </c>
      <c r="P413" s="28" t="s">
        <v>1324</v>
      </c>
    </row>
    <row r="414" spans="3:16" x14ac:dyDescent="0.25">
      <c r="C414" s="28" t="s">
        <v>3085</v>
      </c>
      <c r="D414" s="188" t="str">
        <f>+INDEX([1]Detallado!$F:$F,MATCH($C414,[1]Detallado!$B:$B,0))</f>
        <v>Renta Fija</v>
      </c>
      <c r="E414" s="31" t="str">
        <f>+INDEX([1]Detallado!$Q:$Q,MATCH($C414,[1]Detallado!$B:$B,0))</f>
        <v>RFIC</v>
      </c>
      <c r="F414" s="185" t="s">
        <v>4357</v>
      </c>
      <c r="G414" s="186" t="str">
        <f t="shared" si="12"/>
        <v>12RFIC</v>
      </c>
      <c r="H414" s="187" t="str">
        <f>+INDEX([1]Detallado!$D:$D,MATCH(C414,[1]Detallado!$B:$B,0))</f>
        <v>Constructora Norberto Odebretch S.A.</v>
      </c>
      <c r="I414" s="28"/>
      <c r="J414" s="184" t="str">
        <f t="shared" si="13"/>
        <v>RFIBU</v>
      </c>
      <c r="O414" s="28" t="s">
        <v>4944</v>
      </c>
      <c r="P414" s="28" t="s">
        <v>1324</v>
      </c>
    </row>
    <row r="415" spans="3:16" x14ac:dyDescent="0.25">
      <c r="C415" s="28" t="s">
        <v>3086</v>
      </c>
      <c r="D415" s="188" t="str">
        <f>+INDEX([1]Detallado!$F:$F,MATCH($C415,[1]Detallado!$B:$B,0))</f>
        <v>Renta Fija</v>
      </c>
      <c r="E415" s="31" t="str">
        <f>+INDEX([1]Detallado!$Q:$Q,MATCH($C415,[1]Detallado!$B:$B,0))</f>
        <v>RFIC</v>
      </c>
      <c r="F415" s="185" t="s">
        <v>4357</v>
      </c>
      <c r="G415" s="186" t="str">
        <f t="shared" si="12"/>
        <v>12RFIC</v>
      </c>
      <c r="H415" s="187" t="str">
        <f>+INDEX([1]Detallado!$D:$D,MATCH(C415,[1]Detallado!$B:$B,0))</f>
        <v>Constructora Norberto Odebretch S.A.</v>
      </c>
      <c r="I415" s="28"/>
      <c r="J415" s="184" t="str">
        <f t="shared" si="13"/>
        <v>RFIBU</v>
      </c>
      <c r="O415" s="28" t="s">
        <v>4944</v>
      </c>
      <c r="P415" s="28" t="s">
        <v>1324</v>
      </c>
    </row>
    <row r="416" spans="3:16" x14ac:dyDescent="0.25">
      <c r="C416" s="28" t="s">
        <v>3087</v>
      </c>
      <c r="D416" s="188" t="str">
        <f>+INDEX([1]Detallado!$F:$F,MATCH($C416,[1]Detallado!$B:$B,0))</f>
        <v>Renta Fija</v>
      </c>
      <c r="E416" s="31" t="str">
        <f>+INDEX([1]Detallado!$Q:$Q,MATCH($C416,[1]Detallado!$B:$B,0))</f>
        <v>RFIC</v>
      </c>
      <c r="F416" s="185" t="s">
        <v>4357</v>
      </c>
      <c r="G416" s="186" t="str">
        <f t="shared" si="12"/>
        <v>12RFIC</v>
      </c>
      <c r="H416" s="187" t="str">
        <f>+INDEX([1]Detallado!$D:$D,MATCH(C416,[1]Detallado!$B:$B,0))</f>
        <v>Odebretch</v>
      </c>
      <c r="I416" s="28"/>
      <c r="J416" s="184" t="str">
        <f t="shared" si="13"/>
        <v>RFIBU</v>
      </c>
      <c r="O416" s="28" t="s">
        <v>4944</v>
      </c>
      <c r="P416" s="28" t="s">
        <v>1324</v>
      </c>
    </row>
    <row r="417" spans="3:16" x14ac:dyDescent="0.25">
      <c r="C417" s="28" t="s">
        <v>3088</v>
      </c>
      <c r="D417" s="188" t="str">
        <f>+INDEX([1]Detallado!$F:$F,MATCH($C417,[1]Detallado!$B:$B,0))</f>
        <v>Renta Fija</v>
      </c>
      <c r="E417" s="31" t="str">
        <f>+INDEX([1]Detallado!$Q:$Q,MATCH($C417,[1]Detallado!$B:$B,0))</f>
        <v>RFIC</v>
      </c>
      <c r="F417" s="185" t="s">
        <v>4357</v>
      </c>
      <c r="G417" s="186" t="str">
        <f t="shared" si="12"/>
        <v>12RFIC</v>
      </c>
      <c r="H417" s="187" t="str">
        <f>+INDEX([1]Detallado!$D:$D,MATCH(C417,[1]Detallado!$B:$B,0))</f>
        <v>Southern Copper Corporation</v>
      </c>
      <c r="I417" s="28"/>
      <c r="J417" s="184" t="str">
        <f t="shared" si="13"/>
        <v>RFIBU</v>
      </c>
      <c r="O417" s="28" t="s">
        <v>4945</v>
      </c>
      <c r="P417" s="28" t="s">
        <v>4898</v>
      </c>
    </row>
    <row r="418" spans="3:16" x14ac:dyDescent="0.25">
      <c r="C418" s="28" t="s">
        <v>3089</v>
      </c>
      <c r="D418" s="188" t="str">
        <f>+INDEX([1]Detallado!$F:$F,MATCH($C418,[1]Detallado!$B:$B,0))</f>
        <v>Renta Fija</v>
      </c>
      <c r="E418" s="31" t="str">
        <f>+INDEX([1]Detallado!$Q:$Q,MATCH($C418,[1]Detallado!$B:$B,0))</f>
        <v>RFIC</v>
      </c>
      <c r="F418" s="185" t="s">
        <v>4357</v>
      </c>
      <c r="G418" s="186" t="str">
        <f t="shared" si="12"/>
        <v>12RFIC</v>
      </c>
      <c r="H418" s="187" t="str">
        <f>+INDEX([1]Detallado!$D:$D,MATCH(C418,[1]Detallado!$B:$B,0))</f>
        <v>SCCO 6 3/8 07/27/15</v>
      </c>
      <c r="I418" s="28"/>
      <c r="J418" s="184" t="str">
        <f t="shared" si="13"/>
        <v>RFIBU</v>
      </c>
      <c r="O418" s="28" t="s">
        <v>4533</v>
      </c>
      <c r="P418" s="28" t="s">
        <v>1324</v>
      </c>
    </row>
    <row r="419" spans="3:16" x14ac:dyDescent="0.25">
      <c r="C419" s="28" t="s">
        <v>850</v>
      </c>
      <c r="D419" s="188" t="str">
        <f>+INDEX([1]Detallado!$F:$F,MATCH($C419,[1]Detallado!$B:$B,0))</f>
        <v>Renta Fija</v>
      </c>
      <c r="E419" s="31" t="str">
        <f>+INDEX([1]Detallado!$Q:$Q,MATCH($C419,[1]Detallado!$B:$B,0))</f>
        <v>RFIC</v>
      </c>
      <c r="F419" s="185" t="s">
        <v>4357</v>
      </c>
      <c r="G419" s="186" t="str">
        <f t="shared" si="12"/>
        <v>12RFIC</v>
      </c>
      <c r="H419" s="187" t="str">
        <f>+INDEX([1]Detallado!$D:$D,MATCH(C419,[1]Detallado!$B:$B,0))</f>
        <v>Southern Copper Corporation</v>
      </c>
      <c r="I419" s="28"/>
      <c r="J419" s="184" t="str">
        <f t="shared" si="13"/>
        <v>RFIBU</v>
      </c>
      <c r="O419" s="28" t="s">
        <v>4617</v>
      </c>
      <c r="P419" s="28" t="s">
        <v>4897</v>
      </c>
    </row>
    <row r="420" spans="3:16" x14ac:dyDescent="0.25">
      <c r="C420" s="28" t="s">
        <v>3090</v>
      </c>
      <c r="D420" s="188" t="str">
        <f>+INDEX([1]Detallado!$F:$F,MATCH($C420,[1]Detallado!$B:$B,0))</f>
        <v>Renta Fija</v>
      </c>
      <c r="E420" s="31" t="str">
        <f>+INDEX([1]Detallado!$Q:$Q,MATCH($C420,[1]Detallado!$B:$B,0))</f>
        <v>RFIC</v>
      </c>
      <c r="F420" s="185" t="s">
        <v>4357</v>
      </c>
      <c r="G420" s="186" t="str">
        <f t="shared" si="12"/>
        <v>12RFIC</v>
      </c>
      <c r="H420" s="187" t="str">
        <f>+INDEX([1]Detallado!$D:$D,MATCH(C420,[1]Detallado!$B:$B,0))</f>
        <v>Southern Copper Corporation</v>
      </c>
      <c r="I420" s="28"/>
      <c r="J420" s="184" t="str">
        <f t="shared" si="13"/>
        <v>RFIBU</v>
      </c>
      <c r="O420" s="28" t="s">
        <v>4551</v>
      </c>
      <c r="P420" s="28" t="s">
        <v>4902</v>
      </c>
    </row>
    <row r="421" spans="3:16" x14ac:dyDescent="0.25">
      <c r="C421" s="28" t="s">
        <v>3091</v>
      </c>
      <c r="D421" s="188" t="str">
        <f>+INDEX([1]Detallado!$F:$F,MATCH($C421,[1]Detallado!$B:$B,0))</f>
        <v>Renta Fija</v>
      </c>
      <c r="E421" s="31" t="str">
        <f>+INDEX([1]Detallado!$Q:$Q,MATCH($C421,[1]Detallado!$B:$B,0))</f>
        <v>RFIC</v>
      </c>
      <c r="F421" s="185" t="s">
        <v>4357</v>
      </c>
      <c r="G421" s="186" t="str">
        <f t="shared" si="12"/>
        <v>12RFIC</v>
      </c>
      <c r="H421" s="187" t="str">
        <f>+INDEX([1]Detallado!$D:$D,MATCH(C421,[1]Detallado!$B:$B,0))</f>
        <v>SCCO 6 3/8 07/27/15</v>
      </c>
      <c r="I421" s="28"/>
      <c r="J421" s="184" t="str">
        <f t="shared" si="13"/>
        <v>RFIBU</v>
      </c>
      <c r="O421" s="28" t="s">
        <v>4551</v>
      </c>
      <c r="P421" s="28" t="s">
        <v>4902</v>
      </c>
    </row>
    <row r="422" spans="3:16" x14ac:dyDescent="0.25">
      <c r="C422" s="28" t="s">
        <v>848</v>
      </c>
      <c r="D422" s="188" t="str">
        <f>+INDEX([1]Detallado!$F:$F,MATCH($C422,[1]Detallado!$B:$B,0))</f>
        <v>Renta Fija</v>
      </c>
      <c r="E422" s="31" t="str">
        <f>+INDEX([1]Detallado!$Q:$Q,MATCH($C422,[1]Detallado!$B:$B,0))</f>
        <v>RFIC</v>
      </c>
      <c r="F422" s="185" t="s">
        <v>4357</v>
      </c>
      <c r="G422" s="186" t="str">
        <f t="shared" si="12"/>
        <v>12RFIC</v>
      </c>
      <c r="H422" s="187" t="str">
        <f>+INDEX([1]Detallado!$D:$D,MATCH(C422,[1]Detallado!$B:$B,0))</f>
        <v>Southern Copper Corporation</v>
      </c>
      <c r="I422" s="28"/>
      <c r="J422" s="184" t="str">
        <f t="shared" si="13"/>
        <v>RFIBU</v>
      </c>
      <c r="O422" s="28" t="s">
        <v>4551</v>
      </c>
      <c r="P422" s="28" t="s">
        <v>4902</v>
      </c>
    </row>
    <row r="423" spans="3:16" x14ac:dyDescent="0.25">
      <c r="C423" s="28" t="s">
        <v>3092</v>
      </c>
      <c r="D423" s="188" t="str">
        <f>+INDEX([1]Detallado!$F:$F,MATCH($C423,[1]Detallado!$B:$B,0))</f>
        <v>Renta Fija</v>
      </c>
      <c r="E423" s="31" t="str">
        <f>+INDEX([1]Detallado!$Q:$Q,MATCH($C423,[1]Detallado!$B:$B,0))</f>
        <v>RFIC</v>
      </c>
      <c r="F423" s="185" t="s">
        <v>4357</v>
      </c>
      <c r="G423" s="186" t="str">
        <f t="shared" si="12"/>
        <v>12RFIC</v>
      </c>
      <c r="H423" s="187" t="str">
        <f>+INDEX([1]Detallado!$D:$D,MATCH(C423,[1]Detallado!$B:$B,0))</f>
        <v>Minera México, S.A. de C.V.</v>
      </c>
      <c r="I423" s="28"/>
      <c r="J423" s="184" t="str">
        <f t="shared" si="13"/>
        <v>RFIBU</v>
      </c>
      <c r="O423" s="28" t="s">
        <v>4551</v>
      </c>
      <c r="P423" s="28" t="s">
        <v>4902</v>
      </c>
    </row>
    <row r="424" spans="3:16" x14ac:dyDescent="0.25">
      <c r="C424" s="28" t="s">
        <v>3093</v>
      </c>
      <c r="D424" s="188" t="str">
        <f>+INDEX([1]Detallado!$F:$F,MATCH($C424,[1]Detallado!$B:$B,0))</f>
        <v>Renta Fija</v>
      </c>
      <c r="E424" s="31" t="str">
        <f>+INDEX([1]Detallado!$Q:$Q,MATCH($C424,[1]Detallado!$B:$B,0))</f>
        <v>RFIC</v>
      </c>
      <c r="F424" s="185" t="s">
        <v>4357</v>
      </c>
      <c r="G424" s="186" t="str">
        <f t="shared" si="12"/>
        <v>12RFIC</v>
      </c>
      <c r="H424" s="187" t="str">
        <f>+INDEX([1]Detallado!$D:$D,MATCH(C424,[1]Detallado!$B:$B,0))</f>
        <v>Industrias Peñoles S.A.B. de C.V.</v>
      </c>
      <c r="I424" s="28"/>
      <c r="J424" s="184" t="str">
        <f t="shared" si="13"/>
        <v>RFIBU</v>
      </c>
      <c r="O424" s="28" t="s">
        <v>4551</v>
      </c>
      <c r="P424" s="28" t="s">
        <v>4902</v>
      </c>
    </row>
    <row r="425" spans="3:16" x14ac:dyDescent="0.25">
      <c r="C425" s="28" t="s">
        <v>3094</v>
      </c>
      <c r="D425" s="188" t="str">
        <f>+INDEX([1]Detallado!$F:$F,MATCH($C425,[1]Detallado!$B:$B,0))</f>
        <v>Renta Fija</v>
      </c>
      <c r="E425" s="31" t="str">
        <f>+INDEX([1]Detallado!$Q:$Q,MATCH($C425,[1]Detallado!$B:$B,0))</f>
        <v>RFIC</v>
      </c>
      <c r="F425" s="185" t="s">
        <v>4357</v>
      </c>
      <c r="G425" s="186" t="str">
        <f t="shared" si="12"/>
        <v>12RFIC</v>
      </c>
      <c r="H425" s="187" t="str">
        <f>+INDEX([1]Detallado!$D:$D,MATCH(C425,[1]Detallado!$B:$B,0))</f>
        <v>Industrias Peñoles S.A.B. de C.V.</v>
      </c>
      <c r="I425" s="28"/>
      <c r="J425" s="184" t="str">
        <f>IF(E425="ALT",LEFT(E425,3),LEFT(E425,3)&amp;F425)</f>
        <v>RFIBU</v>
      </c>
      <c r="O425" s="28" t="s">
        <v>4551</v>
      </c>
      <c r="P425" s="28" t="s">
        <v>4902</v>
      </c>
    </row>
    <row r="426" spans="3:16" x14ac:dyDescent="0.25">
      <c r="C426" s="28" t="s">
        <v>3095</v>
      </c>
      <c r="D426" s="188" t="str">
        <f>+INDEX([1]Detallado!$F:$F,MATCH($C426,[1]Detallado!$B:$B,0))</f>
        <v>Renta Fija</v>
      </c>
      <c r="E426" s="31" t="str">
        <f>+INDEX([1]Detallado!$Q:$Q,MATCH($C426,[1]Detallado!$B:$B,0))</f>
        <v>RFIC</v>
      </c>
      <c r="F426" s="185" t="s">
        <v>4357</v>
      </c>
      <c r="G426" s="186" t="str">
        <f t="shared" si="12"/>
        <v>12RFIC</v>
      </c>
      <c r="H426" s="187" t="str">
        <f>+INDEX([1]Detallado!$D:$D,MATCH(C426,[1]Detallado!$B:$B,0))</f>
        <v>Industrias Peñoles S.A.B. de C.V.</v>
      </c>
      <c r="I426" s="28"/>
      <c r="J426" s="184" t="str">
        <f t="shared" si="13"/>
        <v>RFIBU</v>
      </c>
      <c r="O426" s="28" t="s">
        <v>4946</v>
      </c>
      <c r="P426" s="28" t="s">
        <v>4902</v>
      </c>
    </row>
    <row r="427" spans="3:16" x14ac:dyDescent="0.25">
      <c r="C427" s="28" t="s">
        <v>3096</v>
      </c>
      <c r="D427" s="188" t="str">
        <f>+INDEX([1]Detallado!$F:$F,MATCH($C427,[1]Detallado!$B:$B,0))</f>
        <v>Renta Fija</v>
      </c>
      <c r="E427" s="31" t="str">
        <f>+INDEX([1]Detallado!$Q:$Q,MATCH($C427,[1]Detallado!$B:$B,0))</f>
        <v>RFIC</v>
      </c>
      <c r="F427" s="185" t="s">
        <v>4357</v>
      </c>
      <c r="G427" s="186" t="str">
        <f t="shared" si="12"/>
        <v>12RFIC</v>
      </c>
      <c r="H427" s="187" t="str">
        <f>+INDEX([1]Detallado!$D:$D,MATCH(C427,[1]Detallado!$B:$B,0))</f>
        <v>México Generadora de Energía, S. de R.L.</v>
      </c>
      <c r="I427" s="28"/>
      <c r="J427" s="184" t="str">
        <f t="shared" si="13"/>
        <v>RFIBU</v>
      </c>
      <c r="O427" s="28" t="s">
        <v>4946</v>
      </c>
      <c r="P427" s="28" t="s">
        <v>4902</v>
      </c>
    </row>
    <row r="428" spans="3:16" x14ac:dyDescent="0.25">
      <c r="C428" s="28" t="s">
        <v>3097</v>
      </c>
      <c r="D428" s="188" t="str">
        <f>+INDEX([1]Detallado!$F:$F,MATCH($C428,[1]Detallado!$B:$B,0))</f>
        <v>Renta Fija</v>
      </c>
      <c r="E428" s="31" t="str">
        <f>+INDEX([1]Detallado!$Q:$Q,MATCH($C428,[1]Detallado!$B:$B,0))</f>
        <v>RFIC</v>
      </c>
      <c r="F428" s="185" t="s">
        <v>4357</v>
      </c>
      <c r="G428" s="186" t="str">
        <f t="shared" si="12"/>
        <v>12RFIC</v>
      </c>
      <c r="H428" s="187" t="str">
        <f>+INDEX([1]Detallado!$D:$D,MATCH(C428,[1]Detallado!$B:$B,0))</f>
        <v>Empresa Publica de Liverpool</v>
      </c>
      <c r="I428" s="28"/>
      <c r="J428" s="184" t="str">
        <f t="shared" si="13"/>
        <v>RFIBU</v>
      </c>
      <c r="O428" s="28" t="s">
        <v>4946</v>
      </c>
      <c r="P428" s="28" t="s">
        <v>4902</v>
      </c>
    </row>
    <row r="429" spans="3:16" x14ac:dyDescent="0.25">
      <c r="C429" s="28" t="s">
        <v>3098</v>
      </c>
      <c r="D429" s="188" t="str">
        <f>+INDEX([1]Detallado!$F:$F,MATCH($C429,[1]Detallado!$B:$B,0))</f>
        <v>Renta Fija</v>
      </c>
      <c r="E429" s="31" t="str">
        <f>+INDEX([1]Detallado!$Q:$Q,MATCH($C429,[1]Detallado!$B:$B,0))</f>
        <v>RFIC</v>
      </c>
      <c r="F429" s="185" t="s">
        <v>4357</v>
      </c>
      <c r="G429" s="186" t="str">
        <f t="shared" si="12"/>
        <v>12RFIC</v>
      </c>
      <c r="H429" s="187" t="str">
        <f>+INDEX([1]Detallado!$D:$D,MATCH(C429,[1]Detallado!$B:$B,0))</f>
        <v>Odebretch</v>
      </c>
      <c r="I429" s="28"/>
      <c r="J429" s="184" t="str">
        <f t="shared" si="13"/>
        <v>RFIBU</v>
      </c>
      <c r="O429" s="28" t="s">
        <v>4946</v>
      </c>
      <c r="P429" s="28" t="s">
        <v>4902</v>
      </c>
    </row>
    <row r="430" spans="3:16" x14ac:dyDescent="0.25">
      <c r="C430" s="28" t="s">
        <v>3099</v>
      </c>
      <c r="D430" s="188" t="str">
        <f>+INDEX([1]Detallado!$F:$F,MATCH($C430,[1]Detallado!$B:$B,0))</f>
        <v>Renta Fija</v>
      </c>
      <c r="E430" s="31" t="str">
        <f>+INDEX([1]Detallado!$Q:$Q,MATCH($C430,[1]Detallado!$B:$B,0))</f>
        <v>RFIC</v>
      </c>
      <c r="F430" s="185" t="s">
        <v>4357</v>
      </c>
      <c r="G430" s="186" t="str">
        <f t="shared" si="12"/>
        <v>15RFIC</v>
      </c>
      <c r="H430" s="187" t="str">
        <f>+INDEX([1]Detallado!$D:$D,MATCH(C430,[1]Detallado!$B:$B,0))</f>
        <v>BBVA Bancomer</v>
      </c>
      <c r="I430" s="28"/>
      <c r="J430" s="184" t="str">
        <f t="shared" si="13"/>
        <v>RFIBU</v>
      </c>
      <c r="O430" s="28" t="s">
        <v>4946</v>
      </c>
      <c r="P430" s="28" t="s">
        <v>4902</v>
      </c>
    </row>
    <row r="431" spans="3:16" x14ac:dyDescent="0.25">
      <c r="C431" s="28" t="s">
        <v>3100</v>
      </c>
      <c r="D431" s="188" t="str">
        <f>+INDEX([1]Detallado!$F:$F,MATCH($C431,[1]Detallado!$B:$B,0))</f>
        <v>Renta Fija</v>
      </c>
      <c r="E431" s="31" t="str">
        <f>+INDEX([1]Detallado!$Q:$Q,MATCH($C431,[1]Detallado!$B:$B,0))</f>
        <v>RFIC</v>
      </c>
      <c r="F431" s="185" t="s">
        <v>4357</v>
      </c>
      <c r="G431" s="186" t="str">
        <f t="shared" si="12"/>
        <v>15RFIC</v>
      </c>
      <c r="H431" s="187" t="str">
        <f>+INDEX([1]Detallado!$D:$D,MATCH(C431,[1]Detallado!$B:$B,0))</f>
        <v>SCCO 6 3/8 07/27/15</v>
      </c>
      <c r="I431" s="28"/>
      <c r="J431" s="184" t="str">
        <f t="shared" si="13"/>
        <v>RFIBU</v>
      </c>
      <c r="O431" s="28" t="s">
        <v>4536</v>
      </c>
      <c r="P431" s="28" t="s">
        <v>1324</v>
      </c>
    </row>
    <row r="432" spans="3:16" x14ac:dyDescent="0.25">
      <c r="C432" s="28" t="s">
        <v>3101</v>
      </c>
      <c r="D432" s="188" t="str">
        <f>+INDEX([1]Detallado!$F:$F,MATCH($C432,[1]Detallado!$B:$B,0))</f>
        <v>Renta Fija</v>
      </c>
      <c r="E432" s="31" t="str">
        <f>+INDEX([1]Detallado!$Q:$Q,MATCH($C432,[1]Detallado!$B:$B,0))</f>
        <v>RFIC</v>
      </c>
      <c r="F432" s="185" t="s">
        <v>4357</v>
      </c>
      <c r="G432" s="186" t="str">
        <f t="shared" si="12"/>
        <v>15RFIC</v>
      </c>
      <c r="H432" s="187" t="str">
        <f>+INDEX([1]Detallado!$D:$D,MATCH(C432,[1]Detallado!$B:$B,0))</f>
        <v>Banco Davivienda S.A.</v>
      </c>
      <c r="I432" s="28"/>
      <c r="J432" s="184" t="str">
        <f t="shared" si="13"/>
        <v>RFIBU</v>
      </c>
      <c r="O432" s="28" t="s">
        <v>4536</v>
      </c>
      <c r="P432" s="28" t="s">
        <v>1324</v>
      </c>
    </row>
    <row r="433" spans="3:16" x14ac:dyDescent="0.25">
      <c r="C433" s="28" t="s">
        <v>3102</v>
      </c>
      <c r="D433" s="188" t="str">
        <f>+INDEX([1]Detallado!$F:$F,MATCH($C433,[1]Detallado!$B:$B,0))</f>
        <v>Renta Fija</v>
      </c>
      <c r="E433" s="31" t="str">
        <f>+INDEX([1]Detallado!$Q:$Q,MATCH($C433,[1]Detallado!$B:$B,0))</f>
        <v>RFIC</v>
      </c>
      <c r="F433" s="185" t="s">
        <v>4357</v>
      </c>
      <c r="G433" s="186" t="str">
        <f t="shared" si="12"/>
        <v>15RFIC</v>
      </c>
      <c r="H433" s="187" t="str">
        <f>+INDEX([1]Detallado!$D:$D,MATCH(C433,[1]Detallado!$B:$B,0))</f>
        <v>Banco BTG Pactual S.A.</v>
      </c>
      <c r="I433" s="28"/>
      <c r="J433" s="184" t="str">
        <f t="shared" si="13"/>
        <v>RFIBU</v>
      </c>
      <c r="O433" s="28" t="s">
        <v>4536</v>
      </c>
      <c r="P433" s="28" t="s">
        <v>1324</v>
      </c>
    </row>
    <row r="434" spans="3:16" x14ac:dyDescent="0.25">
      <c r="C434" s="28" t="s">
        <v>3103</v>
      </c>
      <c r="D434" s="188" t="str">
        <f>+INDEX([1]Detallado!$F:$F,MATCH($C434,[1]Detallado!$B:$B,0))</f>
        <v>Renta Fija</v>
      </c>
      <c r="E434" s="31" t="str">
        <f>+INDEX([1]Detallado!$Q:$Q,MATCH($C434,[1]Detallado!$B:$B,0))</f>
        <v>RFIC</v>
      </c>
      <c r="F434" s="185" t="s">
        <v>4357</v>
      </c>
      <c r="G434" s="186" t="str">
        <f t="shared" si="12"/>
        <v>15RFIC</v>
      </c>
      <c r="H434" s="187" t="str">
        <f>+INDEX([1]Detallado!$D:$D,MATCH(C434,[1]Detallado!$B:$B,0))</f>
        <v>Banco Santander México</v>
      </c>
      <c r="I434" s="28"/>
      <c r="J434" s="184" t="str">
        <f t="shared" si="13"/>
        <v>RFIBU</v>
      </c>
      <c r="O434" s="28" t="s">
        <v>4536</v>
      </c>
      <c r="P434" s="28" t="s">
        <v>1324</v>
      </c>
    </row>
    <row r="435" spans="3:16" x14ac:dyDescent="0.25">
      <c r="C435" s="28" t="s">
        <v>3104</v>
      </c>
      <c r="D435" s="188" t="str">
        <f>+INDEX([1]Detallado!$F:$F,MATCH($C435,[1]Detallado!$B:$B,0))</f>
        <v>Renta Fija</v>
      </c>
      <c r="E435" s="31" t="str">
        <f>+INDEX([1]Detallado!$Q:$Q,MATCH($C435,[1]Detallado!$B:$B,0))</f>
        <v>RFIC</v>
      </c>
      <c r="F435" s="185" t="s">
        <v>4357</v>
      </c>
      <c r="G435" s="186" t="str">
        <f t="shared" si="12"/>
        <v>15RFIC</v>
      </c>
      <c r="H435" s="187" t="str">
        <f>+INDEX([1]Detallado!$D:$D,MATCH(C435,[1]Detallado!$B:$B,0))</f>
        <v>Banco Santander México</v>
      </c>
      <c r="I435" s="28"/>
      <c r="J435" s="184" t="str">
        <f t="shared" si="13"/>
        <v>RFIBU</v>
      </c>
      <c r="O435" s="28" t="s">
        <v>4536</v>
      </c>
      <c r="P435" s="28" t="s">
        <v>1324</v>
      </c>
    </row>
    <row r="436" spans="3:16" x14ac:dyDescent="0.25">
      <c r="C436" s="28" t="s">
        <v>3105</v>
      </c>
      <c r="D436" s="188" t="str">
        <f>+INDEX([1]Detallado!$F:$F,MATCH($C436,[1]Detallado!$B:$B,0))</f>
        <v>Renta Fija</v>
      </c>
      <c r="E436" s="31" t="str">
        <f>+INDEX([1]Detallado!$Q:$Q,MATCH($C436,[1]Detallado!$B:$B,0))</f>
        <v>RFIC</v>
      </c>
      <c r="F436" s="185" t="s">
        <v>4357</v>
      </c>
      <c r="G436" s="186" t="str">
        <f t="shared" si="12"/>
        <v>59RFIC</v>
      </c>
      <c r="H436" s="187" t="str">
        <f>+INDEX([1]Detallado!$D:$D,MATCH(C436,[1]Detallado!$B:$B,0))</f>
        <v>Comisión Federal de Electricidad</v>
      </c>
      <c r="I436" s="28"/>
      <c r="J436" s="184" t="str">
        <f t="shared" si="13"/>
        <v>RFIBU</v>
      </c>
      <c r="O436" s="28" t="s">
        <v>4536</v>
      </c>
      <c r="P436" s="28" t="s">
        <v>1324</v>
      </c>
    </row>
    <row r="437" spans="3:16" x14ac:dyDescent="0.25">
      <c r="C437" s="28" t="s">
        <v>3106</v>
      </c>
      <c r="D437" s="188" t="str">
        <f>+INDEX([1]Detallado!$F:$F,MATCH($C437,[1]Detallado!$B:$B,0))</f>
        <v>Renta Fija</v>
      </c>
      <c r="E437" s="31" t="str">
        <f>+INDEX([1]Detallado!$Q:$Q,MATCH($C437,[1]Detallado!$B:$B,0))</f>
        <v>RFIC</v>
      </c>
      <c r="F437" s="185" t="s">
        <v>4357</v>
      </c>
      <c r="G437" s="186" t="str">
        <f t="shared" si="12"/>
        <v>59RFIC</v>
      </c>
      <c r="H437" s="187" t="str">
        <f>+INDEX([1]Detallado!$D:$D,MATCH(C437,[1]Detallado!$B:$B,0))</f>
        <v>Comisión Federal de Electricidad</v>
      </c>
      <c r="I437" s="28"/>
      <c r="J437" s="184" t="str">
        <f t="shared" si="13"/>
        <v>RFIBU</v>
      </c>
      <c r="O437" s="28" t="s">
        <v>4536</v>
      </c>
      <c r="P437" s="28" t="s">
        <v>1324</v>
      </c>
    </row>
    <row r="438" spans="3:16" x14ac:dyDescent="0.25">
      <c r="C438" s="28" t="s">
        <v>3107</v>
      </c>
      <c r="D438" s="188" t="str">
        <f>+INDEX([1]Detallado!$F:$F,MATCH($C438,[1]Detallado!$B:$B,0))</f>
        <v>Renta Fija</v>
      </c>
      <c r="E438" s="31" t="str">
        <f>+INDEX([1]Detallado!$Q:$Q,MATCH($C438,[1]Detallado!$B:$B,0))</f>
        <v>RFIC</v>
      </c>
      <c r="F438" s="185" t="s">
        <v>4357</v>
      </c>
      <c r="G438" s="186" t="str">
        <f t="shared" si="12"/>
        <v>12RFIC</v>
      </c>
      <c r="H438" s="187" t="str">
        <f>+INDEX([1]Detallado!$D:$D,MATCH(C438,[1]Detallado!$B:$B,0))</f>
        <v>Fresnillo PLC</v>
      </c>
      <c r="I438" s="28"/>
      <c r="J438" s="184" t="str">
        <f t="shared" si="13"/>
        <v>RFIBU</v>
      </c>
      <c r="O438" s="28" t="s">
        <v>4536</v>
      </c>
      <c r="P438" s="28" t="s">
        <v>1324</v>
      </c>
    </row>
    <row r="439" spans="3:16" x14ac:dyDescent="0.25">
      <c r="C439" s="28" t="s">
        <v>3109</v>
      </c>
      <c r="D439" s="188" t="str">
        <f>+INDEX([1]Detallado!$F:$F,MATCH($C439,[1]Detallado!$B:$B,0))</f>
        <v>Renta Fija</v>
      </c>
      <c r="E439" s="31" t="str">
        <f>+INDEX([1]Detallado!$Q:$Q,MATCH($C439,[1]Detallado!$B:$B,0))</f>
        <v>RFIC</v>
      </c>
      <c r="F439" s="185" t="s">
        <v>4357</v>
      </c>
      <c r="G439" s="186" t="str">
        <f t="shared" si="12"/>
        <v>12RFIC</v>
      </c>
      <c r="H439" s="187" t="str">
        <f>+INDEX([1]Detallado!$D:$D,MATCH(C439,[1]Detallado!$B:$B,0))</f>
        <v>Fresnillo PLC</v>
      </c>
      <c r="I439" s="28"/>
      <c r="J439" s="184" t="str">
        <f t="shared" si="13"/>
        <v>RFIBU</v>
      </c>
      <c r="O439" s="28" t="s">
        <v>4536</v>
      </c>
      <c r="P439" s="28" t="s">
        <v>1324</v>
      </c>
    </row>
    <row r="440" spans="3:16" x14ac:dyDescent="0.25">
      <c r="C440" s="28" t="s">
        <v>3110</v>
      </c>
      <c r="D440" s="188" t="str">
        <f>+INDEX([1]Detallado!$F:$F,MATCH($C440,[1]Detallado!$B:$B,0))</f>
        <v>Renta Fija</v>
      </c>
      <c r="E440" s="31" t="str">
        <f>+INDEX([1]Detallado!$Q:$Q,MATCH($C440,[1]Detallado!$B:$B,0))</f>
        <v>RFIC</v>
      </c>
      <c r="F440" s="185" t="s">
        <v>4357</v>
      </c>
      <c r="G440" s="186" t="str">
        <f t="shared" si="12"/>
        <v>12RFIC</v>
      </c>
      <c r="H440" s="187" t="str">
        <f>+INDEX([1]Detallado!$D:$D,MATCH(C440,[1]Detallado!$B:$B,0))</f>
        <v>Vale Overseas Limited Brazil</v>
      </c>
      <c r="I440" s="28"/>
      <c r="J440" s="184" t="str">
        <f t="shared" si="13"/>
        <v>RFIBU</v>
      </c>
      <c r="O440" s="28" t="s">
        <v>4536</v>
      </c>
      <c r="P440" s="28" t="s">
        <v>1324</v>
      </c>
    </row>
    <row r="441" spans="3:16" x14ac:dyDescent="0.25">
      <c r="C441" s="28" t="s">
        <v>3111</v>
      </c>
      <c r="D441" s="188" t="str">
        <f>+INDEX([1]Detallado!$F:$F,MATCH($C441,[1]Detallado!$B:$B,0))</f>
        <v>Renta Fija</v>
      </c>
      <c r="E441" s="31" t="str">
        <f>+INDEX([1]Detallado!$Q:$Q,MATCH($C441,[1]Detallado!$B:$B,0))</f>
        <v>RFIC</v>
      </c>
      <c r="F441" s="185" t="s">
        <v>4357</v>
      </c>
      <c r="G441" s="186" t="str">
        <f t="shared" si="12"/>
        <v>12RFIC</v>
      </c>
      <c r="H441" s="187" t="str">
        <f>+INDEX([1]Detallado!$D:$D,MATCH(C441,[1]Detallado!$B:$B,0))</f>
        <v>Inversiones CMPC</v>
      </c>
      <c r="I441" s="28"/>
      <c r="J441" s="184" t="str">
        <f t="shared" si="13"/>
        <v>RFIBU</v>
      </c>
      <c r="O441" s="28" t="s">
        <v>4536</v>
      </c>
      <c r="P441" s="28" t="s">
        <v>1324</v>
      </c>
    </row>
    <row r="442" spans="3:16" x14ac:dyDescent="0.25">
      <c r="C442" s="28" t="s">
        <v>3112</v>
      </c>
      <c r="D442" s="188" t="str">
        <f>+INDEX([1]Detallado!$F:$F,MATCH($C442,[1]Detallado!$B:$B,0))</f>
        <v>Renta Fija</v>
      </c>
      <c r="E442" s="31" t="str">
        <f>+INDEX([1]Detallado!$Q:$Q,MATCH($C442,[1]Detallado!$B:$B,0))</f>
        <v>RFIC</v>
      </c>
      <c r="F442" s="185" t="s">
        <v>4357</v>
      </c>
      <c r="G442" s="186" t="str">
        <f t="shared" si="12"/>
        <v>15RFIC</v>
      </c>
      <c r="H442" s="187" t="str">
        <f>+INDEX([1]Detallado!$D:$D,MATCH(C442,[1]Detallado!$B:$B,0))</f>
        <v>Banco de Bogotá</v>
      </c>
      <c r="I442" s="28"/>
      <c r="J442" s="184" t="str">
        <f t="shared" si="13"/>
        <v>RFIBU</v>
      </c>
      <c r="O442" s="28" t="s">
        <v>4536</v>
      </c>
      <c r="P442" s="28" t="s">
        <v>1324</v>
      </c>
    </row>
    <row r="443" spans="3:16" x14ac:dyDescent="0.25">
      <c r="C443" s="28" t="s">
        <v>3113</v>
      </c>
      <c r="D443" s="188" t="str">
        <f>+INDEX([1]Detallado!$F:$F,MATCH($C443,[1]Detallado!$B:$B,0))</f>
        <v>Renta Fija</v>
      </c>
      <c r="E443" s="31" t="str">
        <f>+INDEX([1]Detallado!$Q:$Q,MATCH($C443,[1]Detallado!$B:$B,0))</f>
        <v>RFIC</v>
      </c>
      <c r="F443" s="185" t="s">
        <v>4357</v>
      </c>
      <c r="G443" s="186" t="str">
        <f t="shared" si="12"/>
        <v>12RFIC</v>
      </c>
      <c r="H443" s="187" t="str">
        <f>+INDEX([1]Detallado!$D:$D,MATCH(C443,[1]Detallado!$B:$B,0))</f>
        <v>Suzano Austria</v>
      </c>
      <c r="I443" s="28"/>
      <c r="J443" s="184" t="str">
        <f t="shared" si="13"/>
        <v>RFIBU</v>
      </c>
      <c r="O443" s="28" t="s">
        <v>4536</v>
      </c>
      <c r="P443" s="28" t="s">
        <v>1324</v>
      </c>
    </row>
    <row r="444" spans="3:16" x14ac:dyDescent="0.25">
      <c r="C444" s="28" t="s">
        <v>3114</v>
      </c>
      <c r="D444" s="188" t="str">
        <f>+INDEX([1]Detallado!$F:$F,MATCH($C444,[1]Detallado!$B:$B,0))</f>
        <v>Renta Fija</v>
      </c>
      <c r="E444" s="31" t="str">
        <f>+INDEX([1]Detallado!$Q:$Q,MATCH($C444,[1]Detallado!$B:$B,0))</f>
        <v>RFIC</v>
      </c>
      <c r="F444" s="185" t="s">
        <v>4357</v>
      </c>
      <c r="G444" s="186" t="str">
        <f t="shared" si="12"/>
        <v>12RFIC</v>
      </c>
      <c r="H444" s="187" t="str">
        <f>+INDEX([1]Detallado!$D:$D,MATCH(C444,[1]Detallado!$B:$B,0))</f>
        <v>Suzano Austria</v>
      </c>
      <c r="I444" s="28"/>
      <c r="J444" s="184" t="str">
        <f t="shared" si="13"/>
        <v>RFIBU</v>
      </c>
      <c r="O444" s="28" t="s">
        <v>4536</v>
      </c>
      <c r="P444" s="28" t="s">
        <v>1324</v>
      </c>
    </row>
    <row r="445" spans="3:16" x14ac:dyDescent="0.25">
      <c r="C445" s="28" t="s">
        <v>3115</v>
      </c>
      <c r="D445" s="188" t="str">
        <f>+INDEX([1]Detallado!$F:$F,MATCH($C445,[1]Detallado!$B:$B,0))</f>
        <v>Renta Fija</v>
      </c>
      <c r="E445" s="31" t="str">
        <f>+INDEX([1]Detallado!$Q:$Q,MATCH($C445,[1]Detallado!$B:$B,0))</f>
        <v>RFIC</v>
      </c>
      <c r="F445" s="185" t="s">
        <v>4357</v>
      </c>
      <c r="G445" s="186" t="str">
        <f t="shared" si="12"/>
        <v>12RFIC</v>
      </c>
      <c r="H445" s="187" t="str">
        <f>+INDEX([1]Detallado!$D:$D,MATCH(C445,[1]Detallado!$B:$B,0))</f>
        <v>Suzano Austria</v>
      </c>
      <c r="I445" s="28"/>
      <c r="J445" s="184" t="str">
        <f t="shared" si="13"/>
        <v>RFIBU</v>
      </c>
      <c r="O445" s="28" t="s">
        <v>4536</v>
      </c>
      <c r="P445" s="28" t="s">
        <v>1324</v>
      </c>
    </row>
    <row r="446" spans="3:16" x14ac:dyDescent="0.25">
      <c r="C446" s="28" t="s">
        <v>3116</v>
      </c>
      <c r="D446" s="188" t="str">
        <f>+INDEX([1]Detallado!$F:$F,MATCH($C446,[1]Detallado!$B:$B,0))</f>
        <v>Renta Fija</v>
      </c>
      <c r="E446" s="31" t="str">
        <f>+INDEX([1]Detallado!$Q:$Q,MATCH($C446,[1]Detallado!$B:$B,0))</f>
        <v>RFIC</v>
      </c>
      <c r="F446" s="185" t="s">
        <v>4357</v>
      </c>
      <c r="G446" s="186" t="str">
        <f t="shared" si="12"/>
        <v>12RFIC</v>
      </c>
      <c r="H446" s="187" t="str">
        <f>+INDEX([1]Detallado!$D:$D,MATCH(C446,[1]Detallado!$B:$B,0))</f>
        <v>Suzano Austria</v>
      </c>
      <c r="I446" s="28"/>
      <c r="J446" s="184" t="str">
        <f t="shared" si="13"/>
        <v>RFIBU</v>
      </c>
      <c r="O446" s="28" t="s">
        <v>4536</v>
      </c>
      <c r="P446" s="28" t="s">
        <v>1324</v>
      </c>
    </row>
    <row r="447" spans="3:16" x14ac:dyDescent="0.25">
      <c r="C447" s="28" t="s">
        <v>3117</v>
      </c>
      <c r="D447" s="188" t="str">
        <f>+INDEX([1]Detallado!$F:$F,MATCH($C447,[1]Detallado!$B:$B,0))</f>
        <v>Renta Fija</v>
      </c>
      <c r="E447" s="31" t="str">
        <f>+INDEX([1]Detallado!$Q:$Q,MATCH($C447,[1]Detallado!$B:$B,0))</f>
        <v>RFIC</v>
      </c>
      <c r="F447" s="185" t="s">
        <v>4357</v>
      </c>
      <c r="G447" s="186" t="str">
        <f t="shared" si="12"/>
        <v>12RFIC</v>
      </c>
      <c r="H447" s="187" t="str">
        <f>+INDEX([1]Detallado!$D:$D,MATCH(C447,[1]Detallado!$B:$B,0))</f>
        <v>Southern Copper Corporation</v>
      </c>
      <c r="I447" s="28"/>
      <c r="J447" s="184" t="str">
        <f t="shared" si="13"/>
        <v>RFIBU</v>
      </c>
      <c r="O447" s="28" t="s">
        <v>4536</v>
      </c>
      <c r="P447" s="28" t="s">
        <v>1324</v>
      </c>
    </row>
    <row r="448" spans="3:16" x14ac:dyDescent="0.25">
      <c r="C448" s="28" t="s">
        <v>3118</v>
      </c>
      <c r="D448" s="188" t="str">
        <f>+INDEX([1]Detallado!$F:$F,MATCH($C448,[1]Detallado!$B:$B,0))</f>
        <v>Renta Fija</v>
      </c>
      <c r="E448" s="31" t="str">
        <f>+INDEX([1]Detallado!$Q:$Q,MATCH($C448,[1]Detallado!$B:$B,0))</f>
        <v>RFIC</v>
      </c>
      <c r="F448" s="185" t="s">
        <v>4357</v>
      </c>
      <c r="G448" s="186" t="str">
        <f t="shared" si="12"/>
        <v>15RFIC</v>
      </c>
      <c r="H448" s="187" t="str">
        <f>+INDEX([1]Detallado!$D:$D,MATCH(C448,[1]Detallado!$B:$B,0))</f>
        <v>Sura Asset Management S.A.</v>
      </c>
      <c r="I448" s="28"/>
      <c r="J448" s="184" t="str">
        <f t="shared" si="13"/>
        <v>RFIBU</v>
      </c>
      <c r="O448" s="28" t="s">
        <v>4536</v>
      </c>
      <c r="P448" s="28" t="s">
        <v>1324</v>
      </c>
    </row>
    <row r="449" spans="3:16" x14ac:dyDescent="0.25">
      <c r="C449" s="28" t="s">
        <v>3119</v>
      </c>
      <c r="D449" s="188" t="str">
        <f>+INDEX([1]Detallado!$F:$F,MATCH($C449,[1]Detallado!$B:$B,0))</f>
        <v>Renta Fija</v>
      </c>
      <c r="E449" s="31" t="str">
        <f>+INDEX([1]Detallado!$Q:$Q,MATCH($C449,[1]Detallado!$B:$B,0))</f>
        <v>RFIC</v>
      </c>
      <c r="F449" s="185" t="s">
        <v>4357</v>
      </c>
      <c r="G449" s="186" t="str">
        <f t="shared" si="12"/>
        <v>12RFIC</v>
      </c>
      <c r="H449" s="187" t="str">
        <f>+INDEX([1]Detallado!$D:$D,MATCH(C449,[1]Detallado!$B:$B,0))</f>
        <v>Vale Overseas Limited Brazil</v>
      </c>
      <c r="I449" s="28"/>
      <c r="J449" s="184" t="str">
        <f t="shared" si="13"/>
        <v>RFIBU</v>
      </c>
      <c r="O449" s="28" t="s">
        <v>4536</v>
      </c>
      <c r="P449" s="28" t="s">
        <v>1324</v>
      </c>
    </row>
    <row r="450" spans="3:16" x14ac:dyDescent="0.25">
      <c r="C450" s="28" t="s">
        <v>3120</v>
      </c>
      <c r="D450" s="188" t="str">
        <f>+INDEX([1]Detallado!$F:$F,MATCH($C450,[1]Detallado!$B:$B,0))</f>
        <v>Renta Fija</v>
      </c>
      <c r="E450" s="31" t="str">
        <f>+INDEX([1]Detallado!$Q:$Q,MATCH($C450,[1]Detallado!$B:$B,0))</f>
        <v>RFIG</v>
      </c>
      <c r="F450" s="185" t="s">
        <v>4356</v>
      </c>
      <c r="G450" s="186" t="str">
        <f t="shared" si="12"/>
        <v>08RFIG</v>
      </c>
      <c r="H450" s="187" t="str">
        <f>+INDEX([1]Detallado!$D:$D,MATCH(C450,[1]Detallado!$B:$B,0))</f>
        <v>Gobierno de Brasil</v>
      </c>
      <c r="I450" s="28"/>
      <c r="J450" s="184" t="str">
        <f t="shared" si="13"/>
        <v>RFIGOB</v>
      </c>
      <c r="O450" s="28" t="s">
        <v>4536</v>
      </c>
      <c r="P450" s="28" t="s">
        <v>1324</v>
      </c>
    </row>
    <row r="451" spans="3:16" x14ac:dyDescent="0.25">
      <c r="C451" s="28" t="s">
        <v>3121</v>
      </c>
      <c r="D451" s="188" t="str">
        <f>+INDEX([1]Detallado!$F:$F,MATCH($C451,[1]Detallado!$B:$B,0))</f>
        <v>Renta Fija</v>
      </c>
      <c r="E451" s="31" t="str">
        <f>+INDEX([1]Detallado!$Q:$Q,MATCH($C451,[1]Detallado!$B:$B,0))</f>
        <v>RFIG</v>
      </c>
      <c r="F451" s="185" t="s">
        <v>4356</v>
      </c>
      <c r="G451" s="186" t="str">
        <f t="shared" si="12"/>
        <v>08RFIG</v>
      </c>
      <c r="H451" s="187" t="str">
        <f>+INDEX([1]Detallado!$D:$D,MATCH(C451,[1]Detallado!$B:$B,0))</f>
        <v>Gobierno de Brasil</v>
      </c>
      <c r="I451" s="28"/>
      <c r="J451" s="184" t="str">
        <f t="shared" si="13"/>
        <v>RFIGOB</v>
      </c>
      <c r="O451" s="28" t="s">
        <v>4536</v>
      </c>
      <c r="P451" s="28" t="s">
        <v>1324</v>
      </c>
    </row>
    <row r="452" spans="3:16" x14ac:dyDescent="0.25">
      <c r="C452" s="28" t="s">
        <v>3122</v>
      </c>
      <c r="D452" s="188" t="str">
        <f>+INDEX([1]Detallado!$F:$F,MATCH($C452,[1]Detallado!$B:$B,0))</f>
        <v>Renta Fija</v>
      </c>
      <c r="E452" s="31" t="str">
        <f>+INDEX([1]Detallado!$Q:$Q,MATCH($C452,[1]Detallado!$B:$B,0))</f>
        <v>RFIG</v>
      </c>
      <c r="F452" s="185" t="s">
        <v>4356</v>
      </c>
      <c r="G452" s="186" t="str">
        <f t="shared" si="12"/>
        <v>08RFIG</v>
      </c>
      <c r="H452" s="187" t="str">
        <f>+INDEX([1]Detallado!$D:$D,MATCH(C452,[1]Detallado!$B:$B,0))</f>
        <v>Gobierno de Brasil</v>
      </c>
      <c r="I452" s="28"/>
      <c r="J452" s="184" t="str">
        <f t="shared" si="13"/>
        <v>RFIGOB</v>
      </c>
      <c r="O452" s="28" t="s">
        <v>4536</v>
      </c>
      <c r="P452" s="28" t="s">
        <v>1324</v>
      </c>
    </row>
    <row r="453" spans="3:16" x14ac:dyDescent="0.25">
      <c r="C453" s="28" t="s">
        <v>3123</v>
      </c>
      <c r="D453" s="188" t="str">
        <f>+INDEX([1]Detallado!$F:$F,MATCH($C453,[1]Detallado!$B:$B,0))</f>
        <v>Renta Fija</v>
      </c>
      <c r="E453" s="31" t="str">
        <f>+INDEX([1]Detallado!$Q:$Q,MATCH($C453,[1]Detallado!$B:$B,0))</f>
        <v>RFIG</v>
      </c>
      <c r="F453" s="185" t="s">
        <v>4356</v>
      </c>
      <c r="G453" s="186" t="str">
        <f t="shared" si="12"/>
        <v>08RFIG</v>
      </c>
      <c r="H453" s="187" t="str">
        <f>+INDEX([1]Detallado!$D:$D,MATCH(C453,[1]Detallado!$B:$B,0))</f>
        <v>Gobierno de Brasil</v>
      </c>
      <c r="I453" s="28"/>
      <c r="J453" s="184" t="str">
        <f t="shared" si="13"/>
        <v>RFIGOB</v>
      </c>
      <c r="O453" s="28" t="s">
        <v>4463</v>
      </c>
      <c r="P453" s="28" t="s">
        <v>1324</v>
      </c>
    </row>
    <row r="454" spans="3:16" x14ac:dyDescent="0.25">
      <c r="C454" s="28" t="s">
        <v>3124</v>
      </c>
      <c r="D454" s="188" t="str">
        <f>+INDEX([1]Detallado!$F:$F,MATCH($C454,[1]Detallado!$B:$B,0))</f>
        <v>Renta Fija</v>
      </c>
      <c r="E454" s="31" t="str">
        <f>+INDEX([1]Detallado!$Q:$Q,MATCH($C454,[1]Detallado!$B:$B,0))</f>
        <v>RFIG</v>
      </c>
      <c r="F454" s="185" t="s">
        <v>4356</v>
      </c>
      <c r="G454" s="186" t="str">
        <f t="shared" si="12"/>
        <v>08RFIG</v>
      </c>
      <c r="H454" s="187" t="str">
        <f>+INDEX([1]Detallado!$D:$D,MATCH(C454,[1]Detallado!$B:$B,0))</f>
        <v>Gobierno de Brasil</v>
      </c>
      <c r="I454" s="28"/>
      <c r="J454" s="184" t="str">
        <f t="shared" si="13"/>
        <v>RFIGOB</v>
      </c>
      <c r="O454" s="28" t="s">
        <v>4463</v>
      </c>
      <c r="P454" s="28" t="s">
        <v>1324</v>
      </c>
    </row>
    <row r="455" spans="3:16" x14ac:dyDescent="0.25">
      <c r="C455" s="28" t="s">
        <v>3125</v>
      </c>
      <c r="D455" s="188" t="str">
        <f>+INDEX([1]Detallado!$F:$F,MATCH($C455,[1]Detallado!$B:$B,0))</f>
        <v>Renta Fija</v>
      </c>
      <c r="E455" s="31" t="str">
        <f>+INDEX([1]Detallado!$Q:$Q,MATCH($C455,[1]Detallado!$B:$B,0))</f>
        <v>RFIG</v>
      </c>
      <c r="F455" s="185" t="s">
        <v>4356</v>
      </c>
      <c r="G455" s="186" t="str">
        <f t="shared" si="12"/>
        <v>08RFIG</v>
      </c>
      <c r="H455" s="187" t="str">
        <f>+INDEX([1]Detallado!$D:$D,MATCH(C455,[1]Detallado!$B:$B,0))</f>
        <v>Gobierno de Brasil</v>
      </c>
      <c r="I455" s="28"/>
      <c r="J455" s="184" t="str">
        <f t="shared" si="13"/>
        <v>RFIGOB</v>
      </c>
      <c r="O455" s="28" t="s">
        <v>4463</v>
      </c>
      <c r="P455" s="28" t="s">
        <v>1324</v>
      </c>
    </row>
    <row r="456" spans="3:16" x14ac:dyDescent="0.25">
      <c r="C456" s="28" t="s">
        <v>3126</v>
      </c>
      <c r="D456" s="188" t="str">
        <f>+INDEX([1]Detallado!$F:$F,MATCH($C456,[1]Detallado!$B:$B,0))</f>
        <v>Renta Fija</v>
      </c>
      <c r="E456" s="31" t="str">
        <f>+INDEX([1]Detallado!$Q:$Q,MATCH($C456,[1]Detallado!$B:$B,0))</f>
        <v>RFIG</v>
      </c>
      <c r="F456" s="185" t="s">
        <v>4356</v>
      </c>
      <c r="G456" s="186" t="str">
        <f t="shared" si="12"/>
        <v>08RFIG</v>
      </c>
      <c r="H456" s="187" t="str">
        <f>+INDEX([1]Detallado!$D:$D,MATCH(C456,[1]Detallado!$B:$B,0))</f>
        <v>Gobierno de Brasil</v>
      </c>
      <c r="I456" s="28"/>
      <c r="J456" s="184" t="str">
        <f t="shared" si="13"/>
        <v>RFIGOB</v>
      </c>
      <c r="O456" s="28" t="s">
        <v>4463</v>
      </c>
      <c r="P456" s="28" t="s">
        <v>1324</v>
      </c>
    </row>
    <row r="457" spans="3:16" x14ac:dyDescent="0.25">
      <c r="C457" s="28" t="s">
        <v>3127</v>
      </c>
      <c r="D457" s="188" t="str">
        <f>+INDEX([1]Detallado!$F:$F,MATCH($C457,[1]Detallado!$B:$B,0))</f>
        <v>Renta Fija</v>
      </c>
      <c r="E457" s="31" t="str">
        <f>+INDEX([1]Detallado!$Q:$Q,MATCH($C457,[1]Detallado!$B:$B,0))</f>
        <v>RFIG</v>
      </c>
      <c r="F457" s="185" t="s">
        <v>4356</v>
      </c>
      <c r="G457" s="186" t="str">
        <f t="shared" si="12"/>
        <v>08RFIG</v>
      </c>
      <c r="H457" s="187" t="str">
        <f>+INDEX([1]Detallado!$D:$D,MATCH(C457,[1]Detallado!$B:$B,0))</f>
        <v>Gobierno de Brasil</v>
      </c>
      <c r="I457" s="28"/>
      <c r="J457" s="184" t="str">
        <f t="shared" si="13"/>
        <v>RFIGOB</v>
      </c>
      <c r="O457" s="28" t="s">
        <v>4463</v>
      </c>
      <c r="P457" s="28" t="s">
        <v>1324</v>
      </c>
    </row>
    <row r="458" spans="3:16" x14ac:dyDescent="0.25">
      <c r="C458" s="28" t="s">
        <v>3128</v>
      </c>
      <c r="D458" s="188" t="str">
        <f>+INDEX([1]Detallado!$F:$F,MATCH($C458,[1]Detallado!$B:$B,0))</f>
        <v>Renta Fija</v>
      </c>
      <c r="E458" s="31" t="str">
        <f>+INDEX([1]Detallado!$Q:$Q,MATCH($C458,[1]Detallado!$B:$B,0))</f>
        <v>RFIG</v>
      </c>
      <c r="F458" s="185" t="s">
        <v>4356</v>
      </c>
      <c r="G458" s="186" t="str">
        <f t="shared" ref="G458:G521" si="14">LEFT(C458,2)&amp;E458</f>
        <v>08RFIG</v>
      </c>
      <c r="H458" s="187" t="str">
        <f>+INDEX([1]Detallado!$D:$D,MATCH(C458,[1]Detallado!$B:$B,0))</f>
        <v>Gobierno de Brasil</v>
      </c>
      <c r="I458" s="28"/>
      <c r="J458" s="184" t="str">
        <f t="shared" ref="J458:J521" si="15">IF(E458="ALT",LEFT(E458,3),LEFT(E458,3)&amp;F458)</f>
        <v>RFIGOB</v>
      </c>
      <c r="O458" s="28" t="s">
        <v>4463</v>
      </c>
      <c r="P458" s="28" t="s">
        <v>1324</v>
      </c>
    </row>
    <row r="459" spans="3:16" x14ac:dyDescent="0.25">
      <c r="C459" s="28" t="s">
        <v>3129</v>
      </c>
      <c r="D459" s="188" t="str">
        <f>+INDEX([1]Detallado!$F:$F,MATCH($C459,[1]Detallado!$B:$B,0))</f>
        <v>Renta Fija</v>
      </c>
      <c r="E459" s="31" t="str">
        <f>+INDEX([1]Detallado!$Q:$Q,MATCH($C459,[1]Detallado!$B:$B,0))</f>
        <v>RFIG</v>
      </c>
      <c r="F459" s="185" t="s">
        <v>4356</v>
      </c>
      <c r="G459" s="186" t="str">
        <f t="shared" si="14"/>
        <v>08RFIG</v>
      </c>
      <c r="H459" s="187" t="str">
        <f>+INDEX([1]Detallado!$D:$D,MATCH(C459,[1]Detallado!$B:$B,0))</f>
        <v>Gobierno de Brasil</v>
      </c>
      <c r="I459" s="28"/>
      <c r="J459" s="184" t="str">
        <f t="shared" si="15"/>
        <v>RFIGOB</v>
      </c>
      <c r="O459" s="28" t="s">
        <v>4463</v>
      </c>
      <c r="P459" s="28" t="s">
        <v>1324</v>
      </c>
    </row>
    <row r="460" spans="3:16" x14ac:dyDescent="0.25">
      <c r="C460" s="28" t="s">
        <v>3130</v>
      </c>
      <c r="D460" s="188" t="str">
        <f>+INDEX([1]Detallado!$F:$F,MATCH($C460,[1]Detallado!$B:$B,0))</f>
        <v>Renta Fija</v>
      </c>
      <c r="E460" s="31" t="str">
        <f>+INDEX([1]Detallado!$Q:$Q,MATCH($C460,[1]Detallado!$B:$B,0))</f>
        <v>RFIG</v>
      </c>
      <c r="F460" s="185" t="s">
        <v>4356</v>
      </c>
      <c r="G460" s="186" t="str">
        <f t="shared" si="14"/>
        <v>08RFIG</v>
      </c>
      <c r="H460" s="187" t="str">
        <f>+INDEX([1]Detallado!$D:$D,MATCH(C460,[1]Detallado!$B:$B,0))</f>
        <v>Gobierno de Brasil</v>
      </c>
      <c r="I460" s="28"/>
      <c r="J460" s="184" t="str">
        <f t="shared" si="15"/>
        <v>RFIGOB</v>
      </c>
      <c r="O460" s="28" t="s">
        <v>4463</v>
      </c>
      <c r="P460" s="28" t="s">
        <v>1324</v>
      </c>
    </row>
    <row r="461" spans="3:16" x14ac:dyDescent="0.25">
      <c r="C461" s="28" t="s">
        <v>3131</v>
      </c>
      <c r="D461" s="188" t="str">
        <f>+INDEX([1]Detallado!$F:$F,MATCH($C461,[1]Detallado!$B:$B,0))</f>
        <v>Renta Fija</v>
      </c>
      <c r="E461" s="31" t="str">
        <f>+INDEX([1]Detallado!$Q:$Q,MATCH($C461,[1]Detallado!$B:$B,0))</f>
        <v>RFIG</v>
      </c>
      <c r="F461" s="185" t="s">
        <v>4356</v>
      </c>
      <c r="G461" s="186" t="str">
        <f t="shared" si="14"/>
        <v>08RFIG</v>
      </c>
      <c r="H461" s="187" t="str">
        <f>+INDEX([1]Detallado!$D:$D,MATCH(C461,[1]Detallado!$B:$B,0))</f>
        <v>Gobierno de Brasil</v>
      </c>
      <c r="I461" s="28"/>
      <c r="J461" s="184" t="str">
        <f t="shared" si="15"/>
        <v>RFIGOB</v>
      </c>
      <c r="O461" s="28" t="s">
        <v>4463</v>
      </c>
      <c r="P461" s="28" t="s">
        <v>1324</v>
      </c>
    </row>
    <row r="462" spans="3:16" x14ac:dyDescent="0.25">
      <c r="C462" s="28" t="s">
        <v>3132</v>
      </c>
      <c r="D462" s="188" t="str">
        <f>+INDEX([1]Detallado!$F:$F,MATCH($C462,[1]Detallado!$B:$B,0))</f>
        <v>Renta Fija</v>
      </c>
      <c r="E462" s="31" t="str">
        <f>+INDEX([1]Detallado!$Q:$Q,MATCH($C462,[1]Detallado!$B:$B,0))</f>
        <v>RFIG</v>
      </c>
      <c r="F462" s="185" t="s">
        <v>4356</v>
      </c>
      <c r="G462" s="186" t="str">
        <f t="shared" si="14"/>
        <v>08RFIG</v>
      </c>
      <c r="H462" s="187" t="str">
        <f>+INDEX([1]Detallado!$D:$D,MATCH(C462,[1]Detallado!$B:$B,0))</f>
        <v>Gobierno de Brasil</v>
      </c>
      <c r="I462" s="28"/>
      <c r="J462" s="184" t="str">
        <f t="shared" si="15"/>
        <v>RFIGOB</v>
      </c>
      <c r="O462" s="28" t="s">
        <v>4477</v>
      </c>
      <c r="P462" s="28" t="s">
        <v>1324</v>
      </c>
    </row>
    <row r="463" spans="3:16" x14ac:dyDescent="0.25">
      <c r="C463" s="28" t="s">
        <v>3133</v>
      </c>
      <c r="D463" s="188" t="str">
        <f>+INDEX([1]Detallado!$F:$F,MATCH($C463,[1]Detallado!$B:$B,0))</f>
        <v>Renta Fija</v>
      </c>
      <c r="E463" s="31" t="str">
        <f>+INDEX([1]Detallado!$Q:$Q,MATCH($C463,[1]Detallado!$B:$B,0))</f>
        <v>RFIG</v>
      </c>
      <c r="F463" s="185" t="s">
        <v>4356</v>
      </c>
      <c r="G463" s="186" t="str">
        <f t="shared" si="14"/>
        <v>08RFIG</v>
      </c>
      <c r="H463" s="187" t="str">
        <f>+INDEX([1]Detallado!$D:$D,MATCH(C463,[1]Detallado!$B:$B,0))</f>
        <v>Gobierno de Chile</v>
      </c>
      <c r="I463" s="28"/>
      <c r="J463" s="184" t="str">
        <f t="shared" si="15"/>
        <v>RFIGOB</v>
      </c>
      <c r="O463" s="28" t="s">
        <v>4431</v>
      </c>
      <c r="P463" s="28" t="s">
        <v>4895</v>
      </c>
    </row>
    <row r="464" spans="3:16" x14ac:dyDescent="0.25">
      <c r="C464" s="28" t="s">
        <v>3134</v>
      </c>
      <c r="D464" s="188" t="str">
        <f>+INDEX([1]Detallado!$F:$F,MATCH($C464,[1]Detallado!$B:$B,0))</f>
        <v>Renta Fija</v>
      </c>
      <c r="E464" s="31" t="str">
        <f>+INDEX([1]Detallado!$Q:$Q,MATCH($C464,[1]Detallado!$B:$B,0))</f>
        <v>RFIG</v>
      </c>
      <c r="F464" s="185" t="s">
        <v>4356</v>
      </c>
      <c r="G464" s="186" t="str">
        <f t="shared" si="14"/>
        <v>08RFIG</v>
      </c>
      <c r="H464" s="187" t="str">
        <f>+INDEX([1]Detallado!$D:$D,MATCH(C464,[1]Detallado!$B:$B,0))</f>
        <v>Gobierno de Chile</v>
      </c>
      <c r="I464" s="28"/>
      <c r="J464" s="184" t="str">
        <f t="shared" si="15"/>
        <v>RFIGOB</v>
      </c>
      <c r="O464" s="28" t="s">
        <v>4431</v>
      </c>
      <c r="P464" s="28" t="s">
        <v>4895</v>
      </c>
    </row>
    <row r="465" spans="3:16" x14ac:dyDescent="0.25">
      <c r="C465" s="28" t="s">
        <v>3135</v>
      </c>
      <c r="D465" s="188" t="str">
        <f>+INDEX([1]Detallado!$F:$F,MATCH($C465,[1]Detallado!$B:$B,0))</f>
        <v>Renta Fija</v>
      </c>
      <c r="E465" s="31" t="str">
        <f>+INDEX([1]Detallado!$Q:$Q,MATCH($C465,[1]Detallado!$B:$B,0))</f>
        <v>RFIG</v>
      </c>
      <c r="F465" s="185" t="s">
        <v>4356</v>
      </c>
      <c r="G465" s="186" t="str">
        <f t="shared" si="14"/>
        <v>08RFIG</v>
      </c>
      <c r="H465" s="187" t="str">
        <f>+INDEX([1]Detallado!$D:$D,MATCH(C465,[1]Detallado!$B:$B,0))</f>
        <v>Gobierno de Chile</v>
      </c>
      <c r="I465" s="28"/>
      <c r="J465" s="184" t="str">
        <f t="shared" si="15"/>
        <v>RFIGOB</v>
      </c>
      <c r="O465" s="28" t="s">
        <v>4431</v>
      </c>
      <c r="P465" s="28" t="s">
        <v>4895</v>
      </c>
    </row>
    <row r="466" spans="3:16" x14ac:dyDescent="0.25">
      <c r="C466" s="28" t="s">
        <v>3136</v>
      </c>
      <c r="D466" s="188" t="str">
        <f>+INDEX([1]Detallado!$F:$F,MATCH($C466,[1]Detallado!$B:$B,0))</f>
        <v>Renta Fija</v>
      </c>
      <c r="E466" s="31" t="str">
        <f>+INDEX([1]Detallado!$Q:$Q,MATCH($C466,[1]Detallado!$B:$B,0))</f>
        <v>RFIG</v>
      </c>
      <c r="F466" s="185" t="s">
        <v>4356</v>
      </c>
      <c r="G466" s="186" t="str">
        <f t="shared" si="14"/>
        <v>08RFIG</v>
      </c>
      <c r="H466" s="187" t="str">
        <f>+INDEX([1]Detallado!$D:$D,MATCH(C466,[1]Detallado!$B:$B,0))</f>
        <v>Gobierno de Chile</v>
      </c>
      <c r="I466" s="28"/>
      <c r="J466" s="184" t="str">
        <f t="shared" si="15"/>
        <v>RFIGOB</v>
      </c>
      <c r="O466" s="28" t="s">
        <v>4431</v>
      </c>
      <c r="P466" s="28" t="s">
        <v>4895</v>
      </c>
    </row>
    <row r="467" spans="3:16" x14ac:dyDescent="0.25">
      <c r="C467" s="28" t="s">
        <v>3137</v>
      </c>
      <c r="D467" s="188" t="str">
        <f>+INDEX([1]Detallado!$F:$F,MATCH($C467,[1]Detallado!$B:$B,0))</f>
        <v>Renta Fija</v>
      </c>
      <c r="E467" s="31" t="str">
        <f>+INDEX([1]Detallado!$Q:$Q,MATCH($C467,[1]Detallado!$B:$B,0))</f>
        <v>RFIG</v>
      </c>
      <c r="F467" s="185" t="s">
        <v>4356</v>
      </c>
      <c r="G467" s="186" t="str">
        <f t="shared" si="14"/>
        <v>08RFIG</v>
      </c>
      <c r="H467" s="187" t="str">
        <f>+INDEX([1]Detallado!$D:$D,MATCH(C467,[1]Detallado!$B:$B,0))</f>
        <v>Gobierno de Chile</v>
      </c>
      <c r="I467" s="28"/>
      <c r="J467" s="184" t="str">
        <f t="shared" si="15"/>
        <v>RFIGOB</v>
      </c>
      <c r="O467" s="28" t="s">
        <v>4431</v>
      </c>
      <c r="P467" s="28" t="s">
        <v>4895</v>
      </c>
    </row>
    <row r="468" spans="3:16" x14ac:dyDescent="0.25">
      <c r="C468" s="28" t="s">
        <v>3138</v>
      </c>
      <c r="D468" s="188" t="str">
        <f>+INDEX([1]Detallado!$F:$F,MATCH($C468,[1]Detallado!$B:$B,0))</f>
        <v>Renta Fija</v>
      </c>
      <c r="E468" s="31" t="str">
        <f>+INDEX([1]Detallado!$Q:$Q,MATCH($C468,[1]Detallado!$B:$B,0))</f>
        <v>RFIG</v>
      </c>
      <c r="F468" s="185" t="s">
        <v>4356</v>
      </c>
      <c r="G468" s="186" t="str">
        <f t="shared" si="14"/>
        <v>08RFIG</v>
      </c>
      <c r="H468" s="187" t="str">
        <f>+INDEX([1]Detallado!$D:$D,MATCH(C468,[1]Detallado!$B:$B,0))</f>
        <v>Gobierno de Chile</v>
      </c>
      <c r="I468" s="28"/>
      <c r="J468" s="184" t="str">
        <f t="shared" si="15"/>
        <v>RFIGOB</v>
      </c>
      <c r="O468" s="28" t="s">
        <v>4431</v>
      </c>
      <c r="P468" s="28" t="s">
        <v>4895</v>
      </c>
    </row>
    <row r="469" spans="3:16" x14ac:dyDescent="0.25">
      <c r="C469" s="28" t="s">
        <v>3139</v>
      </c>
      <c r="D469" s="188" t="str">
        <f>+INDEX([1]Detallado!$F:$F,MATCH($C469,[1]Detallado!$B:$B,0))</f>
        <v>Renta Fija</v>
      </c>
      <c r="E469" s="31" t="str">
        <f>+INDEX([1]Detallado!$Q:$Q,MATCH($C469,[1]Detallado!$B:$B,0))</f>
        <v>RFIG</v>
      </c>
      <c r="F469" s="185" t="s">
        <v>4356</v>
      </c>
      <c r="G469" s="186" t="str">
        <f t="shared" si="14"/>
        <v>08RFIG</v>
      </c>
      <c r="H469" s="187" t="str">
        <f>+INDEX([1]Detallado!$D:$D,MATCH(C469,[1]Detallado!$B:$B,0))</f>
        <v>Gobierno de Chile</v>
      </c>
      <c r="I469" s="28"/>
      <c r="J469" s="184" t="str">
        <f t="shared" si="15"/>
        <v>RFIGOB</v>
      </c>
      <c r="O469" s="28" t="s">
        <v>4431</v>
      </c>
      <c r="P469" s="28" t="s">
        <v>4895</v>
      </c>
    </row>
    <row r="470" spans="3:16" x14ac:dyDescent="0.25">
      <c r="C470" s="28" t="s">
        <v>3141</v>
      </c>
      <c r="D470" s="188" t="str">
        <f>+INDEX([1]Detallado!$F:$F,MATCH($C470,[1]Detallado!$B:$B,0))</f>
        <v>Renta Fija</v>
      </c>
      <c r="E470" s="31" t="str">
        <f>+INDEX([1]Detallado!$Q:$Q,MATCH($C470,[1]Detallado!$B:$B,0))</f>
        <v>RFIG</v>
      </c>
      <c r="F470" s="185" t="s">
        <v>4356</v>
      </c>
      <c r="G470" s="186" t="str">
        <f t="shared" si="14"/>
        <v>08RFIG</v>
      </c>
      <c r="H470" s="187" t="str">
        <f>+INDEX([1]Detallado!$D:$D,MATCH(C470,[1]Detallado!$B:$B,0))</f>
        <v>Gobierno de Colombia</v>
      </c>
      <c r="I470" s="28"/>
      <c r="J470" s="184" t="str">
        <f t="shared" si="15"/>
        <v>RFIGOB</v>
      </c>
      <c r="O470" s="28" t="s">
        <v>4431</v>
      </c>
      <c r="P470" s="28" t="s">
        <v>4895</v>
      </c>
    </row>
    <row r="471" spans="3:16" x14ac:dyDescent="0.25">
      <c r="C471" s="28" t="s">
        <v>3142</v>
      </c>
      <c r="D471" s="188" t="str">
        <f>+INDEX([1]Detallado!$F:$F,MATCH($C471,[1]Detallado!$B:$B,0))</f>
        <v>Renta Fija</v>
      </c>
      <c r="E471" s="31" t="str">
        <f>+INDEX([1]Detallado!$Q:$Q,MATCH($C471,[1]Detallado!$B:$B,0))</f>
        <v>RFIG</v>
      </c>
      <c r="F471" s="185" t="s">
        <v>4356</v>
      </c>
      <c r="G471" s="186" t="str">
        <f t="shared" si="14"/>
        <v>08RFIG</v>
      </c>
      <c r="H471" s="187" t="str">
        <f>+INDEX([1]Detallado!$D:$D,MATCH(C471,[1]Detallado!$B:$B,0))</f>
        <v>Gobierno de Colombia</v>
      </c>
      <c r="I471" s="28"/>
      <c r="J471" s="184" t="str">
        <f t="shared" si="15"/>
        <v>RFIGOB</v>
      </c>
      <c r="O471" s="28" t="s">
        <v>4947</v>
      </c>
      <c r="P471" s="28" t="s">
        <v>1324</v>
      </c>
    </row>
    <row r="472" spans="3:16" x14ac:dyDescent="0.25">
      <c r="C472" s="28" t="s">
        <v>3143</v>
      </c>
      <c r="D472" s="188" t="str">
        <f>+INDEX([1]Detallado!$F:$F,MATCH($C472,[1]Detallado!$B:$B,0))</f>
        <v>Renta Fija</v>
      </c>
      <c r="E472" s="31" t="str">
        <f>+INDEX([1]Detallado!$Q:$Q,MATCH($C472,[1]Detallado!$B:$B,0))</f>
        <v>RFIG</v>
      </c>
      <c r="F472" s="185" t="s">
        <v>4356</v>
      </c>
      <c r="G472" s="186" t="str">
        <f t="shared" si="14"/>
        <v>08RFIG</v>
      </c>
      <c r="H472" s="187" t="str">
        <f>+INDEX([1]Detallado!$D:$D,MATCH(C472,[1]Detallado!$B:$B,0))</f>
        <v>Gobierno de Colombia</v>
      </c>
      <c r="I472" s="28"/>
      <c r="J472" s="184" t="str">
        <f t="shared" si="15"/>
        <v>RFIGOB</v>
      </c>
      <c r="O472" s="28" t="s">
        <v>4947</v>
      </c>
      <c r="P472" s="28" t="s">
        <v>1324</v>
      </c>
    </row>
    <row r="473" spans="3:16" x14ac:dyDescent="0.25">
      <c r="C473" s="28" t="s">
        <v>3144</v>
      </c>
      <c r="D473" s="188" t="str">
        <f>+INDEX([1]Detallado!$F:$F,MATCH($C473,[1]Detallado!$B:$B,0))</f>
        <v>Renta Fija</v>
      </c>
      <c r="E473" s="31" t="str">
        <f>+INDEX([1]Detallado!$Q:$Q,MATCH($C473,[1]Detallado!$B:$B,0))</f>
        <v>RFIG</v>
      </c>
      <c r="F473" s="185" t="s">
        <v>4356</v>
      </c>
      <c r="G473" s="186" t="str">
        <f t="shared" si="14"/>
        <v>08RFIG</v>
      </c>
      <c r="H473" s="187" t="str">
        <f>+INDEX([1]Detallado!$D:$D,MATCH(C473,[1]Detallado!$B:$B,0))</f>
        <v>Gobierno de Colombia</v>
      </c>
      <c r="I473" s="28"/>
      <c r="J473" s="184" t="str">
        <f t="shared" si="15"/>
        <v>RFIGOB</v>
      </c>
      <c r="O473" s="28" t="s">
        <v>4472</v>
      </c>
      <c r="P473" s="28" t="s">
        <v>4902</v>
      </c>
    </row>
    <row r="474" spans="3:16" x14ac:dyDescent="0.25">
      <c r="C474" s="28" t="s">
        <v>3145</v>
      </c>
      <c r="D474" s="188" t="str">
        <f>+INDEX([1]Detallado!$F:$F,MATCH($C474,[1]Detallado!$B:$B,0))</f>
        <v>Renta Fija</v>
      </c>
      <c r="E474" s="31" t="str">
        <f>+INDEX([1]Detallado!$Q:$Q,MATCH($C474,[1]Detallado!$B:$B,0))</f>
        <v>RFIG</v>
      </c>
      <c r="F474" s="185" t="s">
        <v>4356</v>
      </c>
      <c r="G474" s="186" t="str">
        <f t="shared" si="14"/>
        <v>08RFIG</v>
      </c>
      <c r="H474" s="187" t="str">
        <f>+INDEX([1]Detallado!$D:$D,MATCH(C474,[1]Detallado!$B:$B,0))</f>
        <v>Gobierno de Colombia</v>
      </c>
      <c r="I474" s="28"/>
      <c r="J474" s="184" t="str">
        <f t="shared" si="15"/>
        <v>RFIGOB</v>
      </c>
      <c r="O474" s="28" t="s">
        <v>4562</v>
      </c>
      <c r="P474" s="28" t="s">
        <v>4902</v>
      </c>
    </row>
    <row r="475" spans="3:16" x14ac:dyDescent="0.25">
      <c r="C475" s="28" t="s">
        <v>3146</v>
      </c>
      <c r="D475" s="188" t="str">
        <f>+INDEX([1]Detallado!$F:$F,MATCH($C475,[1]Detallado!$B:$B,0))</f>
        <v>Renta Fija</v>
      </c>
      <c r="E475" s="31" t="str">
        <f>+INDEX([1]Detallado!$Q:$Q,MATCH($C475,[1]Detallado!$B:$B,0))</f>
        <v>RFIG</v>
      </c>
      <c r="F475" s="185" t="s">
        <v>4356</v>
      </c>
      <c r="G475" s="186" t="str">
        <f t="shared" si="14"/>
        <v>08RFIG</v>
      </c>
      <c r="H475" s="187" t="str">
        <f>+INDEX([1]Detallado!$D:$D,MATCH(C475,[1]Detallado!$B:$B,0))</f>
        <v>Gobierno de Colombia</v>
      </c>
      <c r="I475" s="28"/>
      <c r="J475" s="184" t="str">
        <f t="shared" si="15"/>
        <v>RFIGOB</v>
      </c>
      <c r="O475" s="28" t="s">
        <v>4561</v>
      </c>
      <c r="P475" s="28" t="s">
        <v>4902</v>
      </c>
    </row>
    <row r="476" spans="3:16" x14ac:dyDescent="0.25">
      <c r="C476" s="28" t="s">
        <v>3147</v>
      </c>
      <c r="D476" s="188" t="str">
        <f>+INDEX([1]Detallado!$F:$F,MATCH($C476,[1]Detallado!$B:$B,0))</f>
        <v>Renta Fija</v>
      </c>
      <c r="E476" s="31" t="str">
        <f>+INDEX([1]Detallado!$Q:$Q,MATCH($C476,[1]Detallado!$B:$B,0))</f>
        <v>RFIG</v>
      </c>
      <c r="F476" s="185" t="s">
        <v>4356</v>
      </c>
      <c r="G476" s="186" t="str">
        <f t="shared" si="14"/>
        <v>08RFIG</v>
      </c>
      <c r="H476" s="187" t="str">
        <f>+INDEX([1]Detallado!$D:$D,MATCH(C476,[1]Detallado!$B:$B,0))</f>
        <v>Gobierno de Colombia</v>
      </c>
      <c r="I476" s="28"/>
      <c r="J476" s="184" t="str">
        <f t="shared" si="15"/>
        <v>RFIGOB</v>
      </c>
      <c r="O476" s="28" t="s">
        <v>4470</v>
      </c>
      <c r="P476" s="28" t="s">
        <v>4896</v>
      </c>
    </row>
    <row r="477" spans="3:16" x14ac:dyDescent="0.25">
      <c r="C477" s="28" t="s">
        <v>3148</v>
      </c>
      <c r="D477" s="188" t="str">
        <f>+INDEX([1]Detallado!$F:$F,MATCH($C477,[1]Detallado!$B:$B,0))</f>
        <v>Renta Fija</v>
      </c>
      <c r="E477" s="31" t="str">
        <f>+INDEX([1]Detallado!$Q:$Q,MATCH($C477,[1]Detallado!$B:$B,0))</f>
        <v>RFIG</v>
      </c>
      <c r="F477" s="185" t="s">
        <v>4356</v>
      </c>
      <c r="G477" s="186" t="str">
        <f t="shared" si="14"/>
        <v>08RFIG</v>
      </c>
      <c r="H477" s="187" t="str">
        <f>+INDEX([1]Detallado!$D:$D,MATCH(C477,[1]Detallado!$B:$B,0))</f>
        <v>Gobierno de Colombia</v>
      </c>
      <c r="I477" s="28"/>
      <c r="J477" s="184" t="str">
        <f t="shared" si="15"/>
        <v>RFIGOB</v>
      </c>
      <c r="O477" s="28" t="s">
        <v>4470</v>
      </c>
      <c r="P477" s="28" t="s">
        <v>4896</v>
      </c>
    </row>
    <row r="478" spans="3:16" x14ac:dyDescent="0.25">
      <c r="C478" s="28" t="s">
        <v>3149</v>
      </c>
      <c r="D478" s="188" t="str">
        <f>+INDEX([1]Detallado!$F:$F,MATCH($C478,[1]Detallado!$B:$B,0))</f>
        <v>Renta Fija</v>
      </c>
      <c r="E478" s="31" t="str">
        <f>+INDEX([1]Detallado!$Q:$Q,MATCH($C478,[1]Detallado!$B:$B,0))</f>
        <v>RFIG</v>
      </c>
      <c r="F478" s="185" t="s">
        <v>4356</v>
      </c>
      <c r="G478" s="186" t="str">
        <f t="shared" si="14"/>
        <v>08RFIG</v>
      </c>
      <c r="H478" s="187" t="str">
        <f>+INDEX([1]Detallado!$D:$D,MATCH(C478,[1]Detallado!$B:$B,0))</f>
        <v>Gobierno de Colombia</v>
      </c>
      <c r="I478" s="28"/>
      <c r="J478" s="184" t="str">
        <f t="shared" si="15"/>
        <v>RFIGOB</v>
      </c>
      <c r="O478" s="28" t="s">
        <v>4470</v>
      </c>
      <c r="P478" s="28" t="s">
        <v>4896</v>
      </c>
    </row>
    <row r="479" spans="3:16" x14ac:dyDescent="0.25">
      <c r="C479" s="28" t="s">
        <v>185</v>
      </c>
      <c r="D479" s="188" t="str">
        <f>+INDEX([1]Detallado!$F:$F,MATCH($C479,[1]Detallado!$B:$B,0))</f>
        <v>Renta Fija</v>
      </c>
      <c r="E479" s="31" t="str">
        <f>+INDEX([1]Detallado!$Q:$Q,MATCH($C479,[1]Detallado!$B:$B,0))</f>
        <v>RFIG</v>
      </c>
      <c r="F479" s="185" t="s">
        <v>4356</v>
      </c>
      <c r="G479" s="186" t="str">
        <f t="shared" si="14"/>
        <v>08RFIG</v>
      </c>
      <c r="H479" s="187" t="str">
        <f>+INDEX([1]Detallado!$D:$D,MATCH(C479,[1]Detallado!$B:$B,0))</f>
        <v>Gobierno de Colombia</v>
      </c>
      <c r="I479" s="28"/>
      <c r="J479" s="184" t="str">
        <f t="shared" si="15"/>
        <v>RFIGOB</v>
      </c>
      <c r="O479" s="28" t="s">
        <v>4470</v>
      </c>
      <c r="P479" s="28" t="s">
        <v>4896</v>
      </c>
    </row>
    <row r="480" spans="3:16" x14ac:dyDescent="0.25">
      <c r="C480" s="28" t="s">
        <v>3150</v>
      </c>
      <c r="D480" s="188" t="str">
        <f>+INDEX([1]Detallado!$F:$F,MATCH($C480,[1]Detallado!$B:$B,0))</f>
        <v>Renta Fija</v>
      </c>
      <c r="E480" s="31" t="str">
        <f>+INDEX([1]Detallado!$Q:$Q,MATCH($C480,[1]Detallado!$B:$B,0))</f>
        <v>RFIG</v>
      </c>
      <c r="F480" s="185" t="s">
        <v>4356</v>
      </c>
      <c r="G480" s="186" t="str">
        <f t="shared" si="14"/>
        <v>08RFIG</v>
      </c>
      <c r="H480" s="187" t="str">
        <f>+INDEX([1]Detallado!$D:$D,MATCH(C480,[1]Detallado!$B:$B,0))</f>
        <v>Gobierno de Colombia</v>
      </c>
      <c r="I480" s="28"/>
      <c r="J480" s="184" t="str">
        <f t="shared" si="15"/>
        <v>RFIGOB</v>
      </c>
      <c r="O480" s="28" t="s">
        <v>4470</v>
      </c>
      <c r="P480" s="28" t="s">
        <v>4896</v>
      </c>
    </row>
    <row r="481" spans="3:16" x14ac:dyDescent="0.25">
      <c r="C481" s="28" t="s">
        <v>3151</v>
      </c>
      <c r="D481" s="188" t="str">
        <f>+INDEX([1]Detallado!$F:$F,MATCH($C481,[1]Detallado!$B:$B,0))</f>
        <v>Renta Fija</v>
      </c>
      <c r="E481" s="31" t="str">
        <f>+INDEX([1]Detallado!$Q:$Q,MATCH($C481,[1]Detallado!$B:$B,0))</f>
        <v>RFIG</v>
      </c>
      <c r="F481" s="185" t="s">
        <v>4356</v>
      </c>
      <c r="G481" s="186" t="str">
        <f t="shared" si="14"/>
        <v>08RFIG</v>
      </c>
      <c r="H481" s="187" t="str">
        <f>+INDEX([1]Detallado!$D:$D,MATCH(C481,[1]Detallado!$B:$B,0))</f>
        <v>Gobierno de Colombia</v>
      </c>
      <c r="I481" s="28"/>
      <c r="J481" s="184" t="str">
        <f t="shared" si="15"/>
        <v>RFIGOB</v>
      </c>
      <c r="O481" s="28" t="s">
        <v>4470</v>
      </c>
      <c r="P481" s="28" t="s">
        <v>4896</v>
      </c>
    </row>
    <row r="482" spans="3:16" x14ac:dyDescent="0.25">
      <c r="C482" s="28" t="s">
        <v>3152</v>
      </c>
      <c r="D482" s="188" t="str">
        <f>+INDEX([1]Detallado!$F:$F,MATCH($C482,[1]Detallado!$B:$B,0))</f>
        <v>Renta Fija</v>
      </c>
      <c r="E482" s="31" t="str">
        <f>+INDEX([1]Detallado!$Q:$Q,MATCH($C482,[1]Detallado!$B:$B,0))</f>
        <v>RFIG</v>
      </c>
      <c r="F482" s="185" t="s">
        <v>4356</v>
      </c>
      <c r="G482" s="186" t="str">
        <f t="shared" si="14"/>
        <v>08RFIG</v>
      </c>
      <c r="H482" s="187" t="str">
        <f>+INDEX([1]Detallado!$D:$D,MATCH(C482,[1]Detallado!$B:$B,0))</f>
        <v>Gobierno de Colombia</v>
      </c>
      <c r="I482" s="28"/>
      <c r="J482" s="184" t="str">
        <f t="shared" si="15"/>
        <v>RFIGOB</v>
      </c>
      <c r="O482" s="28" t="s">
        <v>4470</v>
      </c>
      <c r="P482" s="28" t="s">
        <v>4896</v>
      </c>
    </row>
    <row r="483" spans="3:16" x14ac:dyDescent="0.25">
      <c r="C483" s="28" t="s">
        <v>3153</v>
      </c>
      <c r="D483" s="188" t="str">
        <f>+INDEX([1]Detallado!$F:$F,MATCH($C483,[1]Detallado!$B:$B,0))</f>
        <v>Renta Fija</v>
      </c>
      <c r="E483" s="31" t="str">
        <f>+INDEX([1]Detallado!$Q:$Q,MATCH($C483,[1]Detallado!$B:$B,0))</f>
        <v>RFIG</v>
      </c>
      <c r="F483" s="185" t="s">
        <v>4356</v>
      </c>
      <c r="G483" s="186" t="str">
        <f t="shared" si="14"/>
        <v>08RFIG</v>
      </c>
      <c r="H483" s="187" t="str">
        <f>+INDEX([1]Detallado!$D:$D,MATCH(C483,[1]Detallado!$B:$B,0))</f>
        <v>Gobierno de Colombia</v>
      </c>
      <c r="I483" s="28"/>
      <c r="J483" s="184" t="str">
        <f t="shared" si="15"/>
        <v>RFIGOB</v>
      </c>
      <c r="O483" s="28" t="s">
        <v>4470</v>
      </c>
      <c r="P483" s="28" t="s">
        <v>4896</v>
      </c>
    </row>
    <row r="484" spans="3:16" x14ac:dyDescent="0.25">
      <c r="C484" s="28" t="s">
        <v>3154</v>
      </c>
      <c r="D484" s="188" t="str">
        <f>+INDEX([1]Detallado!$F:$F,MATCH($C484,[1]Detallado!$B:$B,0))</f>
        <v>Renta Fija</v>
      </c>
      <c r="E484" s="31" t="str">
        <f>+INDEX([1]Detallado!$Q:$Q,MATCH($C484,[1]Detallado!$B:$B,0))</f>
        <v>RFIG</v>
      </c>
      <c r="F484" s="185" t="s">
        <v>4356</v>
      </c>
      <c r="G484" s="186" t="str">
        <f t="shared" si="14"/>
        <v>08RFIG</v>
      </c>
      <c r="H484" s="187" t="str">
        <f>+INDEX([1]Detallado!$D:$D,MATCH(C484,[1]Detallado!$B:$B,0))</f>
        <v>Gobierno de Colombia</v>
      </c>
      <c r="I484" s="28"/>
      <c r="J484" s="184" t="str">
        <f t="shared" si="15"/>
        <v>RFIGOB</v>
      </c>
      <c r="O484" s="28" t="s">
        <v>4470</v>
      </c>
      <c r="P484" s="28" t="s">
        <v>4896</v>
      </c>
    </row>
    <row r="485" spans="3:16" x14ac:dyDescent="0.25">
      <c r="C485" s="28" t="s">
        <v>889</v>
      </c>
      <c r="D485" s="188" t="str">
        <f>+INDEX([1]Detallado!$F:$F,MATCH($C485,[1]Detallado!$B:$B,0))</f>
        <v>Renta Fija</v>
      </c>
      <c r="E485" s="31" t="str">
        <f>+INDEX([1]Detallado!$Q:$Q,MATCH($C485,[1]Detallado!$B:$B,0))</f>
        <v>RFIG</v>
      </c>
      <c r="F485" s="185" t="s">
        <v>4356</v>
      </c>
      <c r="G485" s="186" t="str">
        <f t="shared" si="14"/>
        <v>08RFIG</v>
      </c>
      <c r="H485" s="187" t="str">
        <f>+INDEX([1]Detallado!$D:$D,MATCH(C485,[1]Detallado!$B:$B,0))</f>
        <v>Gobierno de Colombia</v>
      </c>
      <c r="I485" s="28"/>
      <c r="J485" s="184" t="str">
        <f t="shared" si="15"/>
        <v>RFIGOB</v>
      </c>
      <c r="O485" s="28" t="s">
        <v>4470</v>
      </c>
      <c r="P485" s="28" t="s">
        <v>4896</v>
      </c>
    </row>
    <row r="486" spans="3:16" x14ac:dyDescent="0.25">
      <c r="C486" s="28" t="s">
        <v>3155</v>
      </c>
      <c r="D486" s="188" t="str">
        <f>+INDEX([1]Detallado!$F:$F,MATCH($C486,[1]Detallado!$B:$B,0))</f>
        <v>Renta Fija</v>
      </c>
      <c r="E486" s="31" t="str">
        <f>+INDEX([1]Detallado!$Q:$Q,MATCH($C486,[1]Detallado!$B:$B,0))</f>
        <v>RFIG</v>
      </c>
      <c r="F486" s="185" t="s">
        <v>4356</v>
      </c>
      <c r="G486" s="186" t="str">
        <f t="shared" si="14"/>
        <v>08RFIG</v>
      </c>
      <c r="H486" s="187" t="str">
        <f>+INDEX([1]Detallado!$D:$D,MATCH(C486,[1]Detallado!$B:$B,0))</f>
        <v>Gobierno de Colombia</v>
      </c>
      <c r="I486" s="28"/>
      <c r="J486" s="184" t="str">
        <f t="shared" si="15"/>
        <v>RFIGOB</v>
      </c>
      <c r="O486" s="28" t="s">
        <v>4470</v>
      </c>
      <c r="P486" s="28" t="s">
        <v>4896</v>
      </c>
    </row>
    <row r="487" spans="3:16" x14ac:dyDescent="0.25">
      <c r="C487" s="28" t="s">
        <v>3156</v>
      </c>
      <c r="D487" s="188" t="str">
        <f>+INDEX([1]Detallado!$F:$F,MATCH($C487,[1]Detallado!$B:$B,0))</f>
        <v>Renta Fija</v>
      </c>
      <c r="E487" s="31" t="str">
        <f>+INDEX([1]Detallado!$Q:$Q,MATCH($C487,[1]Detallado!$B:$B,0))</f>
        <v>RFIG</v>
      </c>
      <c r="F487" s="185" t="s">
        <v>4356</v>
      </c>
      <c r="G487" s="186" t="str">
        <f t="shared" si="14"/>
        <v>08RFIG</v>
      </c>
      <c r="H487" s="187" t="str">
        <f>+INDEX([1]Detallado!$D:$D,MATCH(C487,[1]Detallado!$B:$B,0))</f>
        <v>Gobierno de Colombia</v>
      </c>
      <c r="I487" s="28"/>
      <c r="J487" s="184" t="str">
        <f t="shared" si="15"/>
        <v>RFIGOB</v>
      </c>
      <c r="O487" s="28" t="s">
        <v>2805</v>
      </c>
      <c r="P487" s="28" t="s">
        <v>4902</v>
      </c>
    </row>
    <row r="488" spans="3:16" x14ac:dyDescent="0.25">
      <c r="C488" s="28" t="s">
        <v>3157</v>
      </c>
      <c r="D488" s="188" t="str">
        <f>+INDEX([1]Detallado!$F:$F,MATCH($C488,[1]Detallado!$B:$B,0))</f>
        <v>Renta Fija</v>
      </c>
      <c r="E488" s="31" t="str">
        <f>+INDEX([1]Detallado!$Q:$Q,MATCH($C488,[1]Detallado!$B:$B,0))</f>
        <v>RFIG</v>
      </c>
      <c r="F488" s="185" t="s">
        <v>4356</v>
      </c>
      <c r="G488" s="186" t="str">
        <f t="shared" si="14"/>
        <v>08RFIG</v>
      </c>
      <c r="H488" s="187" t="str">
        <f>+INDEX([1]Detallado!$D:$D,MATCH(C488,[1]Detallado!$B:$B,0))</f>
        <v>Gobierno de Colombia</v>
      </c>
      <c r="I488" s="28"/>
      <c r="J488" s="184" t="str">
        <f t="shared" si="15"/>
        <v>RFIGOB</v>
      </c>
      <c r="O488" s="28" t="s">
        <v>2805</v>
      </c>
      <c r="P488" s="28" t="s">
        <v>4902</v>
      </c>
    </row>
    <row r="489" spans="3:16" x14ac:dyDescent="0.25">
      <c r="C489" s="28" t="s">
        <v>3158</v>
      </c>
      <c r="D489" s="188" t="str">
        <f>+INDEX([1]Detallado!$F:$F,MATCH($C489,[1]Detallado!$B:$B,0))</f>
        <v>Renta Fija</v>
      </c>
      <c r="E489" s="31" t="str">
        <f>+INDEX([1]Detallado!$Q:$Q,MATCH($C489,[1]Detallado!$B:$B,0))</f>
        <v>RFIG</v>
      </c>
      <c r="F489" s="185" t="s">
        <v>4356</v>
      </c>
      <c r="G489" s="186" t="str">
        <f t="shared" si="14"/>
        <v>08RFIG</v>
      </c>
      <c r="H489" s="187" t="str">
        <f>+INDEX([1]Detallado!$D:$D,MATCH(C489,[1]Detallado!$B:$B,0))</f>
        <v>Gobierno de Colombia</v>
      </c>
      <c r="I489" s="28"/>
      <c r="J489" s="184" t="str">
        <f t="shared" si="15"/>
        <v>RFIGOB</v>
      </c>
      <c r="O489" s="28" t="s">
        <v>2805</v>
      </c>
      <c r="P489" s="28" t="s">
        <v>4902</v>
      </c>
    </row>
    <row r="490" spans="3:16" x14ac:dyDescent="0.25">
      <c r="C490" s="28" t="s">
        <v>3159</v>
      </c>
      <c r="D490" s="188" t="str">
        <f>+INDEX([1]Detallado!$F:$F,MATCH($C490,[1]Detallado!$B:$B,0))</f>
        <v>Renta Fija</v>
      </c>
      <c r="E490" s="31" t="str">
        <f>+INDEX([1]Detallado!$Q:$Q,MATCH($C490,[1]Detallado!$B:$B,0))</f>
        <v>RFIG</v>
      </c>
      <c r="F490" s="185" t="s">
        <v>4356</v>
      </c>
      <c r="G490" s="186" t="str">
        <f t="shared" si="14"/>
        <v>08RFIG</v>
      </c>
      <c r="H490" s="187" t="str">
        <f>+INDEX([1]Detallado!$D:$D,MATCH(C490,[1]Detallado!$B:$B,0))</f>
        <v>Gobierno de Colombia</v>
      </c>
      <c r="I490" s="28"/>
      <c r="J490" s="184" t="str">
        <f t="shared" si="15"/>
        <v>RFIGOB</v>
      </c>
      <c r="O490" s="28" t="s">
        <v>4948</v>
      </c>
      <c r="P490" s="28" t="s">
        <v>4902</v>
      </c>
    </row>
    <row r="491" spans="3:16" x14ac:dyDescent="0.25">
      <c r="C491" s="28" t="s">
        <v>3160</v>
      </c>
      <c r="D491" s="188" t="str">
        <f>+INDEX([1]Detallado!$F:$F,MATCH($C491,[1]Detallado!$B:$B,0))</f>
        <v>Renta Fija</v>
      </c>
      <c r="E491" s="31" t="str">
        <f>+INDEX([1]Detallado!$Q:$Q,MATCH($C491,[1]Detallado!$B:$B,0))</f>
        <v>RFIG</v>
      </c>
      <c r="F491" s="185" t="s">
        <v>4356</v>
      </c>
      <c r="G491" s="186" t="str">
        <f t="shared" si="14"/>
        <v>08RFIG</v>
      </c>
      <c r="H491" s="187" t="str">
        <f>+INDEX([1]Detallado!$D:$D,MATCH(C491,[1]Detallado!$B:$B,0))</f>
        <v>Gobierno de Colombia</v>
      </c>
      <c r="I491" s="28"/>
      <c r="J491" s="184" t="str">
        <f t="shared" si="15"/>
        <v>RFIGOB</v>
      </c>
      <c r="O491" s="28" t="s">
        <v>4547</v>
      </c>
      <c r="P491" s="28" t="s">
        <v>4896</v>
      </c>
    </row>
    <row r="492" spans="3:16" x14ac:dyDescent="0.25">
      <c r="C492" s="28" t="s">
        <v>1922</v>
      </c>
      <c r="D492" s="188" t="str">
        <f>+INDEX([1]Detallado!$F:$F,MATCH($C492,[1]Detallado!$B:$B,0))</f>
        <v>Renta Fija</v>
      </c>
      <c r="E492" s="31" t="str">
        <f>+INDEX([1]Detallado!$Q:$Q,MATCH($C492,[1]Detallado!$B:$B,0))</f>
        <v>RFIG</v>
      </c>
      <c r="F492" s="185" t="s">
        <v>4355</v>
      </c>
      <c r="G492" s="186" t="str">
        <f t="shared" si="14"/>
        <v>52RFIG</v>
      </c>
      <c r="H492" s="187" t="str">
        <f>+INDEX([1]Detallado!$D:$D,MATCH(C492,[1]Detallado!$B:$B,0))</f>
        <v>BNY Mellon - Emerging Market Debt Fund</v>
      </c>
      <c r="I492" s="28"/>
      <c r="J492" s="184" t="str">
        <f t="shared" si="15"/>
        <v>RFITD</v>
      </c>
      <c r="O492" s="28" t="s">
        <v>4556</v>
      </c>
      <c r="P492" s="28" t="s">
        <v>4902</v>
      </c>
    </row>
    <row r="493" spans="3:16" x14ac:dyDescent="0.25">
      <c r="C493" s="28" t="s">
        <v>2337</v>
      </c>
      <c r="D493" s="188" t="str">
        <f>+INDEX([1]Detallado!$F:$F,MATCH($C493,[1]Detallado!$B:$B,0))</f>
        <v>Renta Fija</v>
      </c>
      <c r="E493" s="31" t="str">
        <f>+INDEX([1]Detallado!$Q:$Q,MATCH($C493,[1]Detallado!$B:$B,0))</f>
        <v>RFIG</v>
      </c>
      <c r="F493" s="185" t="s">
        <v>4355</v>
      </c>
      <c r="G493" s="186" t="str">
        <f t="shared" si="14"/>
        <v>52RFIG</v>
      </c>
      <c r="H493" s="187" t="str">
        <f>+INDEX([1]Detallado!$D:$D,MATCH(C493,[1]Detallado!$B:$B,0))</f>
        <v>NN  - Frontier Markets Debt HC</v>
      </c>
      <c r="I493" s="28"/>
      <c r="J493" s="184" t="str">
        <f t="shared" si="15"/>
        <v>RFITD</v>
      </c>
      <c r="O493" s="28" t="s">
        <v>4949</v>
      </c>
      <c r="P493" s="28" t="s">
        <v>4899</v>
      </c>
    </row>
    <row r="494" spans="3:16" x14ac:dyDescent="0.25">
      <c r="C494" s="28" t="s">
        <v>1815</v>
      </c>
      <c r="D494" s="188" t="str">
        <f>+INDEX([1]Detallado!$F:$F,MATCH($C494,[1]Detallado!$B:$B,0))</f>
        <v>Renta Fija</v>
      </c>
      <c r="E494" s="31" t="str">
        <f>+INDEX([1]Detallado!$Q:$Q,MATCH($C494,[1]Detallado!$B:$B,0))</f>
        <v>RFIG</v>
      </c>
      <c r="F494" s="185" t="s">
        <v>4355</v>
      </c>
      <c r="G494" s="186" t="str">
        <f t="shared" si="14"/>
        <v>52RFIG</v>
      </c>
      <c r="H494" s="187" t="str">
        <f>+INDEX([1]Detallado!$D:$D,MATCH(C494,[1]Detallado!$B:$B,0))</f>
        <v>Aberdeen - Select Emerging Markets Bond</v>
      </c>
      <c r="I494" s="28"/>
      <c r="J494" s="184" t="str">
        <f t="shared" si="15"/>
        <v>RFITD</v>
      </c>
      <c r="O494" s="28" t="s">
        <v>4949</v>
      </c>
      <c r="P494" s="28" t="s">
        <v>4899</v>
      </c>
    </row>
    <row r="495" spans="3:16" x14ac:dyDescent="0.25">
      <c r="C495" s="28" t="s">
        <v>2034</v>
      </c>
      <c r="D495" s="188" t="str">
        <f>+INDEX([1]Detallado!$F:$F,MATCH($C495,[1]Detallado!$B:$B,0))</f>
        <v>Renta Fija</v>
      </c>
      <c r="E495" s="31" t="str">
        <f>+INDEX([1]Detallado!$Q:$Q,MATCH($C495,[1]Detallado!$B:$B,0))</f>
        <v>RFIG</v>
      </c>
      <c r="F495" s="185" t="s">
        <v>4355</v>
      </c>
      <c r="G495" s="186" t="str">
        <f t="shared" si="14"/>
        <v>52RFIG</v>
      </c>
      <c r="H495" s="187" t="str">
        <f>+INDEX([1]Detallado!$D:$D,MATCH(C495,[1]Detallado!$B:$B,0))</f>
        <v>Aberdeen - Select Emerging Markets Bond</v>
      </c>
      <c r="I495" s="28"/>
      <c r="J495" s="184" t="str">
        <f t="shared" si="15"/>
        <v>RFITD</v>
      </c>
      <c r="O495" s="28" t="s">
        <v>4950</v>
      </c>
      <c r="P495" s="28" t="s">
        <v>4902</v>
      </c>
    </row>
    <row r="496" spans="3:16" x14ac:dyDescent="0.25">
      <c r="C496" s="28" t="s">
        <v>596</v>
      </c>
      <c r="D496" s="188" t="str">
        <f>+INDEX([1]Detallado!$F:$F,MATCH($C496,[1]Detallado!$B:$B,0))</f>
        <v>Renta Fija</v>
      </c>
      <c r="E496" s="31" t="str">
        <f>+INDEX([1]Detallado!$Q:$Q,MATCH($C496,[1]Detallado!$B:$B,0))</f>
        <v>RFIG</v>
      </c>
      <c r="F496" s="185" t="s">
        <v>4355</v>
      </c>
      <c r="G496" s="186" t="str">
        <f t="shared" si="14"/>
        <v>52RFIG</v>
      </c>
      <c r="H496" s="187" t="str">
        <f>+INDEX([1]Detallado!$D:$D,MATCH(C496,[1]Detallado!$B:$B,0))</f>
        <v>Barings - Emerging Markets Sovereign Debt Fund</v>
      </c>
      <c r="I496" s="28"/>
      <c r="J496" s="184" t="str">
        <f t="shared" si="15"/>
        <v>RFITD</v>
      </c>
      <c r="O496" s="28" t="s">
        <v>4509</v>
      </c>
      <c r="P496" s="28" t="s">
        <v>4902</v>
      </c>
    </row>
    <row r="497" spans="3:16" x14ac:dyDescent="0.25">
      <c r="C497" s="28" t="s">
        <v>2127</v>
      </c>
      <c r="D497" s="188" t="str">
        <f>+INDEX([1]Detallado!$F:$F,MATCH($C497,[1]Detallado!$B:$B,0))</f>
        <v>Renta Fija</v>
      </c>
      <c r="E497" s="31" t="str">
        <f>+INDEX([1]Detallado!$Q:$Q,MATCH($C497,[1]Detallado!$B:$B,0))</f>
        <v>RFIG</v>
      </c>
      <c r="F497" s="185" t="s">
        <v>4355</v>
      </c>
      <c r="G497" s="186" t="str">
        <f t="shared" si="14"/>
        <v>52RFIG</v>
      </c>
      <c r="H497" s="187" t="str">
        <f>+INDEX([1]Detallado!$D:$D,MATCH(C497,[1]Detallado!$B:$B,0))</f>
        <v>Goldman Sachs - Emerging Markets Debt</v>
      </c>
      <c r="I497" s="28"/>
      <c r="J497" s="184" t="str">
        <f t="shared" si="15"/>
        <v>RFITD</v>
      </c>
      <c r="O497" s="28" t="s">
        <v>4508</v>
      </c>
      <c r="P497" s="28" t="s">
        <v>4902</v>
      </c>
    </row>
    <row r="498" spans="3:16" x14ac:dyDescent="0.25">
      <c r="C498" s="28" t="s">
        <v>1940</v>
      </c>
      <c r="D498" s="188" t="str">
        <f>+INDEX([1]Detallado!$F:$F,MATCH($C498,[1]Detallado!$B:$B,0))</f>
        <v>Renta Fija</v>
      </c>
      <c r="E498" s="31" t="str">
        <f>+INDEX([1]Detallado!$Q:$Q,MATCH($C498,[1]Detallado!$B:$B,0))</f>
        <v>RFIG</v>
      </c>
      <c r="F498" s="185" t="s">
        <v>4355</v>
      </c>
      <c r="G498" s="186" t="str">
        <f t="shared" si="14"/>
        <v>52RFIG</v>
      </c>
      <c r="H498" s="187" t="str">
        <f>+INDEX([1]Detallado!$D:$D,MATCH(C498,[1]Detallado!$B:$B,0))</f>
        <v>MFS - Emerging Markets Debt Fund</v>
      </c>
      <c r="I498" s="28"/>
      <c r="J498" s="184" t="str">
        <f t="shared" si="15"/>
        <v>RFITD</v>
      </c>
      <c r="O498" s="28" t="s">
        <v>4489</v>
      </c>
      <c r="P498" s="28" t="s">
        <v>1324</v>
      </c>
    </row>
    <row r="499" spans="3:16" x14ac:dyDescent="0.25">
      <c r="C499" s="28" t="s">
        <v>1824</v>
      </c>
      <c r="D499" s="188" t="str">
        <f>+INDEX([1]Detallado!$F:$F,MATCH($C499,[1]Detallado!$B:$B,0))</f>
        <v>Renta Fija</v>
      </c>
      <c r="E499" s="31" t="str">
        <f>+INDEX([1]Detallado!$Q:$Q,MATCH($C499,[1]Detallado!$B:$B,0))</f>
        <v>RFIG</v>
      </c>
      <c r="F499" s="185" t="s">
        <v>4355</v>
      </c>
      <c r="G499" s="186" t="str">
        <f t="shared" si="14"/>
        <v>52RFIG</v>
      </c>
      <c r="H499" s="187" t="str">
        <f>+INDEX([1]Detallado!$D:$D,MATCH(C499,[1]Detallado!$B:$B,0))</f>
        <v>Pictet - Global Emerging Debt</v>
      </c>
      <c r="I499" s="28"/>
      <c r="J499" s="184" t="str">
        <f t="shared" si="15"/>
        <v>RFITD</v>
      </c>
      <c r="O499" s="28" t="s">
        <v>4489</v>
      </c>
      <c r="P499" s="28" t="s">
        <v>1324</v>
      </c>
    </row>
    <row r="500" spans="3:16" x14ac:dyDescent="0.25">
      <c r="C500" s="28" t="s">
        <v>2331</v>
      </c>
      <c r="D500" s="188" t="str">
        <f>+INDEX([1]Detallado!$F:$F,MATCH($C500,[1]Detallado!$B:$B,0))</f>
        <v>Renta Fija</v>
      </c>
      <c r="E500" s="31" t="str">
        <f>+INDEX([1]Detallado!$Q:$Q,MATCH($C500,[1]Detallado!$B:$B,0))</f>
        <v>RFIG</v>
      </c>
      <c r="F500" s="185" t="s">
        <v>4355</v>
      </c>
      <c r="G500" s="186" t="str">
        <f t="shared" si="14"/>
        <v>52RFIG</v>
      </c>
      <c r="H500" s="187" t="str">
        <f>+INDEX([1]Detallado!$D:$D,MATCH(C500,[1]Detallado!$B:$B,0))</f>
        <v>JP Morgan - Emerging Markets Debt Fund</v>
      </c>
      <c r="I500" s="28"/>
      <c r="J500" s="184" t="str">
        <f t="shared" si="15"/>
        <v>RFITD</v>
      </c>
      <c r="O500" s="28" t="s">
        <v>4489</v>
      </c>
      <c r="P500" s="28" t="s">
        <v>1324</v>
      </c>
    </row>
    <row r="501" spans="3:16" x14ac:dyDescent="0.25">
      <c r="C501" s="28" t="s">
        <v>614</v>
      </c>
      <c r="D501" s="188" t="str">
        <f>+INDEX([1]Detallado!$F:$F,MATCH($C501,[1]Detallado!$B:$B,0))</f>
        <v>Renta Fija</v>
      </c>
      <c r="E501" s="31" t="str">
        <f>+INDEX([1]Detallado!$Q:$Q,MATCH($C501,[1]Detallado!$B:$B,0))</f>
        <v>RFIG</v>
      </c>
      <c r="F501" s="185" t="s">
        <v>4355</v>
      </c>
      <c r="G501" s="186" t="str">
        <f t="shared" si="14"/>
        <v>52RFIG</v>
      </c>
      <c r="H501" s="187" t="str">
        <f>+INDEX([1]Detallado!$D:$D,MATCH(C501,[1]Detallado!$B:$B,0))</f>
        <v>BlackRock - iShares JP Morgan USD EM Bond ETF</v>
      </c>
      <c r="I501" s="28"/>
      <c r="J501" s="184" t="str">
        <f t="shared" si="15"/>
        <v>RFITD</v>
      </c>
      <c r="O501" s="28" t="s">
        <v>4951</v>
      </c>
      <c r="P501" s="28" t="s">
        <v>4896</v>
      </c>
    </row>
    <row r="502" spans="3:16" x14ac:dyDescent="0.25">
      <c r="C502" s="28" t="s">
        <v>2041</v>
      </c>
      <c r="D502" s="188" t="str">
        <f>+INDEX([1]Detallado!$F:$F,MATCH($C502,[1]Detallado!$B:$B,0))</f>
        <v>Renta Fija</v>
      </c>
      <c r="E502" s="31" t="str">
        <f>+INDEX([1]Detallado!$Q:$Q,MATCH($C502,[1]Detallado!$B:$B,0))</f>
        <v>RFIG</v>
      </c>
      <c r="F502" s="185" t="s">
        <v>4355</v>
      </c>
      <c r="G502" s="186" t="str">
        <f t="shared" si="14"/>
        <v>52RFIG</v>
      </c>
      <c r="H502" s="187" t="str">
        <f>+INDEX([1]Detallado!$D:$D,MATCH(C502,[1]Detallado!$B:$B,0))</f>
        <v>Blackrock - iShares JPM USD BND USD D</v>
      </c>
      <c r="I502" s="28"/>
      <c r="J502" s="184" t="str">
        <f t="shared" si="15"/>
        <v>RFITD</v>
      </c>
      <c r="O502" s="28" t="s">
        <v>4951</v>
      </c>
      <c r="P502" s="28" t="s">
        <v>4896</v>
      </c>
    </row>
    <row r="503" spans="3:16" x14ac:dyDescent="0.25">
      <c r="C503" s="28" t="s">
        <v>955</v>
      </c>
      <c r="D503" s="188" t="str">
        <f>+INDEX([1]Detallado!$F:$F,MATCH($C503,[1]Detallado!$B:$B,0))</f>
        <v>Renta Fija</v>
      </c>
      <c r="E503" s="31" t="str">
        <f>+INDEX([1]Detallado!$Q:$Q,MATCH($C503,[1]Detallado!$B:$B,0))</f>
        <v>RFIG</v>
      </c>
      <c r="F503" s="185" t="s">
        <v>4355</v>
      </c>
      <c r="G503" s="186" t="str">
        <f t="shared" si="14"/>
        <v>52RFIG</v>
      </c>
      <c r="H503" s="187" t="str">
        <f>+INDEX([1]Detallado!$D:$D,MATCH(C503,[1]Detallado!$B:$B,0))</f>
        <v>Vanguard - Emerging Markets Bond Fund - I Retail</v>
      </c>
      <c r="I503" s="28"/>
      <c r="J503" s="184" t="str">
        <f t="shared" si="15"/>
        <v>RFITD</v>
      </c>
      <c r="O503" s="28" t="s">
        <v>4951</v>
      </c>
      <c r="P503" s="28" t="s">
        <v>4896</v>
      </c>
    </row>
    <row r="504" spans="3:16" x14ac:dyDescent="0.25">
      <c r="C504" s="28" t="s">
        <v>953</v>
      </c>
      <c r="D504" s="188" t="str">
        <f>+INDEX([1]Detallado!$F:$F,MATCH($C504,[1]Detallado!$B:$B,0))</f>
        <v>Renta Fija</v>
      </c>
      <c r="E504" s="31" t="str">
        <f>+INDEX([1]Detallado!$Q:$Q,MATCH($C504,[1]Detallado!$B:$B,0))</f>
        <v>RFIG</v>
      </c>
      <c r="F504" s="185" t="s">
        <v>4355</v>
      </c>
      <c r="G504" s="186" t="str">
        <f t="shared" si="14"/>
        <v>52RFIG</v>
      </c>
      <c r="H504" s="187" t="str">
        <f>+INDEX([1]Detallado!$D:$D,MATCH(C504,[1]Detallado!$B:$B,0))</f>
        <v>Vanguard - Emerging Markets Bond Fund - II Institutional</v>
      </c>
      <c r="I504" s="28"/>
      <c r="J504" s="184" t="str">
        <f t="shared" si="15"/>
        <v>RFITD</v>
      </c>
      <c r="O504" s="28" t="s">
        <v>4951</v>
      </c>
      <c r="P504" s="28" t="s">
        <v>4896</v>
      </c>
    </row>
    <row r="505" spans="3:16" x14ac:dyDescent="0.25">
      <c r="C505" s="28" t="s">
        <v>1875</v>
      </c>
      <c r="D505" s="188" t="str">
        <f>+INDEX([1]Detallado!$F:$F,MATCH($C505,[1]Detallado!$B:$B,0))</f>
        <v>Renta Fija</v>
      </c>
      <c r="E505" s="31" t="str">
        <f>+INDEX([1]Detallado!$Q:$Q,MATCH($C505,[1]Detallado!$B:$B,0))</f>
        <v>RFIG</v>
      </c>
      <c r="F505" s="185" t="s">
        <v>4355</v>
      </c>
      <c r="G505" s="186" t="str">
        <f t="shared" si="14"/>
        <v>52RFIG</v>
      </c>
      <c r="H505" s="187" t="str">
        <f>+INDEX([1]Detallado!$D:$D,MATCH(C505,[1]Detallado!$B:$B,0))</f>
        <v>Aviva - Emerging Markets Bond Fund</v>
      </c>
      <c r="I505" s="28"/>
      <c r="J505" s="184" t="str">
        <f t="shared" si="15"/>
        <v>RFITD</v>
      </c>
      <c r="O505" s="28" t="s">
        <v>4952</v>
      </c>
      <c r="P505" s="28" t="s">
        <v>4902</v>
      </c>
    </row>
    <row r="506" spans="3:16" x14ac:dyDescent="0.25">
      <c r="C506" s="28" t="s">
        <v>2024</v>
      </c>
      <c r="D506" s="188" t="str">
        <f>+INDEX([1]Detallado!$F:$F,MATCH($C506,[1]Detallado!$B:$B,0))</f>
        <v>Renta Fija</v>
      </c>
      <c r="E506" s="31" t="str">
        <f>+INDEX([1]Detallado!$Q:$Q,MATCH($C506,[1]Detallado!$B:$B,0))</f>
        <v>RFIG</v>
      </c>
      <c r="F506" s="185" t="s">
        <v>4355</v>
      </c>
      <c r="G506" s="186" t="str">
        <f t="shared" si="14"/>
        <v>52RFIG</v>
      </c>
      <c r="H506" s="187" t="str">
        <f>+INDEX([1]Detallado!$D:$D,MATCH(C506,[1]Detallado!$B:$B,0))</f>
        <v>BlackRock - Emerging Markets Bond Fund</v>
      </c>
      <c r="I506" s="28"/>
      <c r="J506" s="184" t="str">
        <f t="shared" si="15"/>
        <v>RFITD</v>
      </c>
      <c r="O506" s="28" t="s">
        <v>4952</v>
      </c>
      <c r="P506" s="28" t="s">
        <v>4902</v>
      </c>
    </row>
    <row r="507" spans="3:16" x14ac:dyDescent="0.25">
      <c r="C507" s="28" t="s">
        <v>1818</v>
      </c>
      <c r="D507" s="188" t="str">
        <f>+INDEX([1]Detallado!$F:$F,MATCH($C507,[1]Detallado!$B:$B,0))</f>
        <v>Renta Fija</v>
      </c>
      <c r="E507" s="31" t="str">
        <f>+INDEX([1]Detallado!$Q:$Q,MATCH($C507,[1]Detallado!$B:$B,0))</f>
        <v>RFIG</v>
      </c>
      <c r="F507" s="185" t="s">
        <v>4355</v>
      </c>
      <c r="G507" s="186" t="str">
        <f t="shared" si="14"/>
        <v>52RFIG</v>
      </c>
      <c r="H507" s="187" t="str">
        <f>+INDEX([1]Detallado!$D:$D,MATCH(C507,[1]Detallado!$B:$B,0))</f>
        <v>Goldman Sachs - Emerging Markets Debt Portfolio</v>
      </c>
      <c r="I507" s="28"/>
      <c r="J507" s="184" t="str">
        <f t="shared" si="15"/>
        <v>RFITD</v>
      </c>
      <c r="O507" s="28" t="s">
        <v>4952</v>
      </c>
      <c r="P507" s="28" t="s">
        <v>4902</v>
      </c>
    </row>
    <row r="508" spans="3:16" x14ac:dyDescent="0.25">
      <c r="C508" s="28" t="s">
        <v>2487</v>
      </c>
      <c r="D508" s="188" t="e">
        <f>+INDEX([1]Detallado!$F:$F,MATCH($C508,[1]Detallado!$B:$B,0))</f>
        <v>#N/A</v>
      </c>
      <c r="E508" s="31" t="e">
        <f>+INDEX([1]Detallado!$Q:$Q,MATCH($C508,[1]Detallado!$B:$B,0))</f>
        <v>#N/A</v>
      </c>
      <c r="F508" s="185" t="s">
        <v>4355</v>
      </c>
      <c r="G508" s="186" t="e">
        <f t="shared" si="14"/>
        <v>#N/A</v>
      </c>
      <c r="H508" s="187" t="e">
        <f>+INDEX([1]Detallado!$D:$D,MATCH(C508,[1]Detallado!$B:$B,0))</f>
        <v>#N/A</v>
      </c>
      <c r="I508" s="28"/>
      <c r="J508" s="184" t="e">
        <f t="shared" si="15"/>
        <v>#N/A</v>
      </c>
      <c r="O508" s="28" t="s">
        <v>4952</v>
      </c>
      <c r="P508" s="28" t="s">
        <v>4902</v>
      </c>
    </row>
    <row r="509" spans="3:16" x14ac:dyDescent="0.25">
      <c r="C509" s="28" t="s">
        <v>591</v>
      </c>
      <c r="D509" s="188" t="str">
        <f>+INDEX([1]Detallado!$F:$F,MATCH($C509,[1]Detallado!$B:$B,0))</f>
        <v>Renta Fija</v>
      </c>
      <c r="E509" s="31" t="str">
        <f>+INDEX([1]Detallado!$Q:$Q,MATCH($C509,[1]Detallado!$B:$B,0))</f>
        <v>RFIG</v>
      </c>
      <c r="F509" s="185" t="s">
        <v>4355</v>
      </c>
      <c r="G509" s="186" t="str">
        <f t="shared" si="14"/>
        <v>52RFIG</v>
      </c>
      <c r="H509" s="187" t="str">
        <f>+INDEX([1]Detallado!$D:$D,MATCH(C509,[1]Detallado!$B:$B,0))</f>
        <v>Vontobel - Emerging Markets Debt</v>
      </c>
      <c r="I509" s="28"/>
      <c r="J509" s="184" t="str">
        <f t="shared" si="15"/>
        <v>RFITD</v>
      </c>
      <c r="O509" s="28" t="s">
        <v>4952</v>
      </c>
      <c r="P509" s="28" t="s">
        <v>4902</v>
      </c>
    </row>
    <row r="510" spans="3:16" x14ac:dyDescent="0.25">
      <c r="C510" s="28" t="s">
        <v>1882</v>
      </c>
      <c r="D510" s="188" t="str">
        <f>+INDEX([1]Detallado!$F:$F,MATCH($C510,[1]Detallado!$B:$B,0))</f>
        <v>Renta Fija</v>
      </c>
      <c r="E510" s="31" t="str">
        <f>+INDEX([1]Detallado!$Q:$Q,MATCH($C510,[1]Detallado!$B:$B,0))</f>
        <v>RFIG</v>
      </c>
      <c r="F510" s="185" t="s">
        <v>4355</v>
      </c>
      <c r="G510" s="186" t="str">
        <f t="shared" si="14"/>
        <v>52RFIG</v>
      </c>
      <c r="H510" s="187" t="str">
        <f>+INDEX([1]Detallado!$D:$D,MATCH(C510,[1]Detallado!$B:$B,0))</f>
        <v>Pimco - Emerging Markets Bond Fund</v>
      </c>
      <c r="I510" s="28"/>
      <c r="J510" s="184" t="str">
        <f t="shared" si="15"/>
        <v>RFITD</v>
      </c>
      <c r="O510" s="28" t="s">
        <v>4952</v>
      </c>
      <c r="P510" s="28" t="s">
        <v>4902</v>
      </c>
    </row>
    <row r="511" spans="3:16" x14ac:dyDescent="0.25">
      <c r="C511" s="28" t="s">
        <v>2328</v>
      </c>
      <c r="D511" s="188" t="e">
        <f>+INDEX([1]Detallado!$F:$F,MATCH($C511,[1]Detallado!$B:$B,0))</f>
        <v>#N/A</v>
      </c>
      <c r="E511" s="31" t="e">
        <f>+INDEX([1]Detallado!$Q:$Q,MATCH($C511,[1]Detallado!$B:$B,0))</f>
        <v>#N/A</v>
      </c>
      <c r="F511" s="185" t="s">
        <v>4355</v>
      </c>
      <c r="G511" s="186" t="e">
        <f t="shared" si="14"/>
        <v>#N/A</v>
      </c>
      <c r="H511" s="187" t="e">
        <f>+INDEX([1]Detallado!$D:$D,MATCH(C511,[1]Detallado!$B:$B,0))</f>
        <v>#N/A</v>
      </c>
      <c r="I511" s="28"/>
      <c r="J511" s="184" t="e">
        <f t="shared" si="15"/>
        <v>#N/A</v>
      </c>
      <c r="O511" s="28" t="s">
        <v>4952</v>
      </c>
      <c r="P511" s="28" t="s">
        <v>4902</v>
      </c>
    </row>
    <row r="512" spans="3:16" x14ac:dyDescent="0.25">
      <c r="C512" s="28" t="s">
        <v>2290</v>
      </c>
      <c r="D512" s="188" t="e">
        <f>+INDEX([1]Detallado!$F:$F,MATCH($C512,[1]Detallado!$B:$B,0))</f>
        <v>#N/A</v>
      </c>
      <c r="E512" s="31" t="e">
        <f>+INDEX([1]Detallado!$Q:$Q,MATCH($C512,[1]Detallado!$B:$B,0))</f>
        <v>#N/A</v>
      </c>
      <c r="F512" s="185" t="s">
        <v>4355</v>
      </c>
      <c r="G512" s="186" t="e">
        <f t="shared" si="14"/>
        <v>#N/A</v>
      </c>
      <c r="H512" s="187" t="e">
        <f>+INDEX([1]Detallado!$D:$D,MATCH(C512,[1]Detallado!$B:$B,0))</f>
        <v>#N/A</v>
      </c>
      <c r="I512" s="28"/>
      <c r="J512" s="184" t="e">
        <f t="shared" si="15"/>
        <v>#N/A</v>
      </c>
      <c r="O512" s="28" t="s">
        <v>4952</v>
      </c>
      <c r="P512" s="28" t="s">
        <v>4902</v>
      </c>
    </row>
    <row r="513" spans="3:16" x14ac:dyDescent="0.25">
      <c r="C513" s="28" t="s">
        <v>2567</v>
      </c>
      <c r="D513" s="188" t="str">
        <f>+INDEX([1]Detallado!$F:$F,MATCH($C513,[1]Detallado!$B:$B,0))</f>
        <v>Renta Fija</v>
      </c>
      <c r="E513" s="31" t="str">
        <f>+INDEX([1]Detallado!$Q:$Q,MATCH($C513,[1]Detallado!$B:$B,0))</f>
        <v>RFIG</v>
      </c>
      <c r="F513" s="185" t="s">
        <v>4355</v>
      </c>
      <c r="G513" s="186" t="str">
        <f t="shared" si="14"/>
        <v>52RFIG</v>
      </c>
      <c r="H513" s="187" t="str">
        <f>+INDEX([1]Detallado!$D:$D,MATCH(C513,[1]Detallado!$B:$B,0))</f>
        <v>Nordea - Emerging Hard Currency Bond Fund</v>
      </c>
      <c r="I513" s="28"/>
      <c r="J513" s="184" t="str">
        <f t="shared" si="15"/>
        <v>RFITD</v>
      </c>
      <c r="O513" s="28" t="s">
        <v>4952</v>
      </c>
      <c r="P513" s="28" t="s">
        <v>4902</v>
      </c>
    </row>
    <row r="514" spans="3:16" x14ac:dyDescent="0.25">
      <c r="C514" s="28" t="s">
        <v>2535</v>
      </c>
      <c r="D514" s="188" t="str">
        <f>+INDEX([1]Detallado!$F:$F,MATCH($C514,[1]Detallado!$B:$B,0))</f>
        <v>Renta Fija</v>
      </c>
      <c r="E514" s="31" t="str">
        <f>+INDEX([1]Detallado!$Q:$Q,MATCH($C514,[1]Detallado!$B:$B,0))</f>
        <v>RFIG</v>
      </c>
      <c r="F514" s="185" t="s">
        <v>4355</v>
      </c>
      <c r="G514" s="186" t="str">
        <f t="shared" si="14"/>
        <v>52RFIG</v>
      </c>
      <c r="H514" s="187" t="str">
        <f>+INDEX([1]Detallado!$D:$D,MATCH(C514,[1]Detallado!$B:$B,0))</f>
        <v>M&amp;G - Global Floating Rate High Yield Fund</v>
      </c>
      <c r="I514" s="28"/>
      <c r="J514" s="184" t="str">
        <f t="shared" si="15"/>
        <v>RFITD</v>
      </c>
      <c r="O514" s="28" t="s">
        <v>4528</v>
      </c>
      <c r="P514" s="28" t="s">
        <v>4899</v>
      </c>
    </row>
    <row r="515" spans="3:16" x14ac:dyDescent="0.25">
      <c r="C515" s="28" t="s">
        <v>2224</v>
      </c>
      <c r="D515" s="188" t="str">
        <f>+INDEX([1]Detallado!$F:$F,MATCH($C515,[1]Detallado!$B:$B,0))</f>
        <v>Renta Fija</v>
      </c>
      <c r="E515" s="31" t="str">
        <f>+INDEX([1]Detallado!$Q:$Q,MATCH($C515,[1]Detallado!$B:$B,0))</f>
        <v>RFIG</v>
      </c>
      <c r="F515" s="185" t="s">
        <v>4355</v>
      </c>
      <c r="G515" s="186" t="str">
        <f t="shared" si="14"/>
        <v>52RFIG</v>
      </c>
      <c r="H515" s="187" t="str">
        <f>+INDEX([1]Detallado!$D:$D,MATCH(C515,[1]Detallado!$B:$B,0))</f>
        <v>Nordea - Emerging Bond Fund</v>
      </c>
      <c r="I515" s="28"/>
      <c r="J515" s="184" t="str">
        <f t="shared" si="15"/>
        <v>RFITD</v>
      </c>
      <c r="O515" s="28" t="s">
        <v>4442</v>
      </c>
      <c r="P515" s="28" t="s">
        <v>1324</v>
      </c>
    </row>
    <row r="516" spans="3:16" x14ac:dyDescent="0.25">
      <c r="C516" s="28" t="s">
        <v>188</v>
      </c>
      <c r="D516" s="188" t="str">
        <f>+INDEX([1]Detallado!$F:$F,MATCH($C516,[1]Detallado!$B:$B,0))</f>
        <v>Renta Fija</v>
      </c>
      <c r="E516" s="31" t="str">
        <f>+INDEX([1]Detallado!$Q:$Q,MATCH($C516,[1]Detallado!$B:$B,0))</f>
        <v>RFIG</v>
      </c>
      <c r="F516" s="185" t="s">
        <v>4356</v>
      </c>
      <c r="G516" s="186" t="str">
        <f t="shared" si="14"/>
        <v>08RFIG</v>
      </c>
      <c r="H516" s="187" t="str">
        <f>+INDEX([1]Detallado!$D:$D,MATCH(C516,[1]Detallado!$B:$B,0))</f>
        <v>Gobierno de Mexico</v>
      </c>
      <c r="I516" s="28"/>
      <c r="J516" s="184" t="str">
        <f t="shared" si="15"/>
        <v>RFIGOB</v>
      </c>
      <c r="O516" s="28" t="s">
        <v>4442</v>
      </c>
      <c r="P516" s="28" t="s">
        <v>1324</v>
      </c>
    </row>
    <row r="517" spans="3:16" x14ac:dyDescent="0.25">
      <c r="C517" s="28" t="s">
        <v>3163</v>
      </c>
      <c r="D517" s="188" t="str">
        <f>+INDEX([1]Detallado!$F:$F,MATCH($C517,[1]Detallado!$B:$B,0))</f>
        <v>Renta Fija</v>
      </c>
      <c r="E517" s="31" t="str">
        <f>+INDEX([1]Detallado!$Q:$Q,MATCH($C517,[1]Detallado!$B:$B,0))</f>
        <v>RFIG</v>
      </c>
      <c r="F517" s="185" t="s">
        <v>4356</v>
      </c>
      <c r="G517" s="186" t="str">
        <f t="shared" si="14"/>
        <v>08RFIG</v>
      </c>
      <c r="H517" s="187" t="str">
        <f>+INDEX([1]Detallado!$D:$D,MATCH(C517,[1]Detallado!$B:$B,0))</f>
        <v>Gobierno de México</v>
      </c>
      <c r="I517" s="28"/>
      <c r="J517" s="184" t="str">
        <f t="shared" si="15"/>
        <v>RFIGOB</v>
      </c>
      <c r="O517" s="28" t="s">
        <v>4442</v>
      </c>
      <c r="P517" s="28" t="s">
        <v>1324</v>
      </c>
    </row>
    <row r="518" spans="3:16" x14ac:dyDescent="0.25">
      <c r="C518" s="28" t="s">
        <v>3164</v>
      </c>
      <c r="D518" s="188" t="str">
        <f>+INDEX([1]Detallado!$F:$F,MATCH($C518,[1]Detallado!$B:$B,0))</f>
        <v>Renta Fija</v>
      </c>
      <c r="E518" s="31" t="str">
        <f>+INDEX([1]Detallado!$Q:$Q,MATCH($C518,[1]Detallado!$B:$B,0))</f>
        <v>RFIG</v>
      </c>
      <c r="F518" s="185" t="s">
        <v>4356</v>
      </c>
      <c r="G518" s="186" t="str">
        <f t="shared" si="14"/>
        <v>08RFIG</v>
      </c>
      <c r="H518" s="187" t="str">
        <f>+INDEX([1]Detallado!$D:$D,MATCH(C518,[1]Detallado!$B:$B,0))</f>
        <v>Gobierno de México</v>
      </c>
      <c r="I518" s="28"/>
      <c r="J518" s="184" t="str">
        <f t="shared" si="15"/>
        <v>RFIGOB</v>
      </c>
      <c r="O518" s="28" t="s">
        <v>4442</v>
      </c>
      <c r="P518" s="28" t="s">
        <v>1324</v>
      </c>
    </row>
    <row r="519" spans="3:16" x14ac:dyDescent="0.25">
      <c r="C519" s="28" t="s">
        <v>3165</v>
      </c>
      <c r="D519" s="188" t="str">
        <f>+INDEX([1]Detallado!$F:$F,MATCH($C519,[1]Detallado!$B:$B,0))</f>
        <v>Renta Fija</v>
      </c>
      <c r="E519" s="31" t="str">
        <f>+INDEX([1]Detallado!$Q:$Q,MATCH($C519,[1]Detallado!$B:$B,0))</f>
        <v>RFIG</v>
      </c>
      <c r="F519" s="185" t="s">
        <v>4356</v>
      </c>
      <c r="G519" s="186" t="str">
        <f t="shared" si="14"/>
        <v>08RFIG</v>
      </c>
      <c r="H519" s="187" t="str">
        <f>+INDEX([1]Detallado!$D:$D,MATCH(C519,[1]Detallado!$B:$B,0))</f>
        <v>Gobierno de México</v>
      </c>
      <c r="I519" s="28"/>
      <c r="J519" s="184" t="str">
        <f t="shared" si="15"/>
        <v>RFIGOB</v>
      </c>
      <c r="O519" s="28" t="s">
        <v>4953</v>
      </c>
      <c r="P519" s="28" t="s">
        <v>1324</v>
      </c>
    </row>
    <row r="520" spans="3:16" x14ac:dyDescent="0.25">
      <c r="C520" s="28" t="s">
        <v>3166</v>
      </c>
      <c r="D520" s="188" t="str">
        <f>+INDEX([1]Detallado!$F:$F,MATCH($C520,[1]Detallado!$B:$B,0))</f>
        <v>Renta Fija</v>
      </c>
      <c r="E520" s="31" t="str">
        <f>+INDEX([1]Detallado!$Q:$Q,MATCH($C520,[1]Detallado!$B:$B,0))</f>
        <v>RFIG</v>
      </c>
      <c r="F520" s="185" t="s">
        <v>4356</v>
      </c>
      <c r="G520" s="186" t="str">
        <f t="shared" si="14"/>
        <v>08RFIG</v>
      </c>
      <c r="H520" s="187" t="str">
        <f>+INDEX([1]Detallado!$D:$D,MATCH(C520,[1]Detallado!$B:$B,0))</f>
        <v>Gobierno de México</v>
      </c>
      <c r="I520" s="28"/>
      <c r="J520" s="184" t="str">
        <f t="shared" si="15"/>
        <v>RFIGOB</v>
      </c>
      <c r="O520" s="28" t="s">
        <v>4954</v>
      </c>
      <c r="P520" s="28" t="s">
        <v>4902</v>
      </c>
    </row>
    <row r="521" spans="3:16" x14ac:dyDescent="0.25">
      <c r="C521" s="28" t="s">
        <v>3167</v>
      </c>
      <c r="D521" s="188" t="str">
        <f>+INDEX([1]Detallado!$F:$F,MATCH($C521,[1]Detallado!$B:$B,0))</f>
        <v>Renta Fija</v>
      </c>
      <c r="E521" s="31" t="str">
        <f>+INDEX([1]Detallado!$Q:$Q,MATCH($C521,[1]Detallado!$B:$B,0))</f>
        <v>RFIG</v>
      </c>
      <c r="F521" s="185" t="s">
        <v>4356</v>
      </c>
      <c r="G521" s="186" t="str">
        <f t="shared" si="14"/>
        <v>08RFIG</v>
      </c>
      <c r="H521" s="187" t="str">
        <f>+INDEX([1]Detallado!$D:$D,MATCH(C521,[1]Detallado!$B:$B,0))</f>
        <v>Gobierno de México</v>
      </c>
      <c r="I521" s="28"/>
      <c r="J521" s="184" t="str">
        <f t="shared" si="15"/>
        <v>RFIGOB</v>
      </c>
      <c r="O521" s="28" t="s">
        <v>4954</v>
      </c>
      <c r="P521" s="28" t="s">
        <v>4902</v>
      </c>
    </row>
    <row r="522" spans="3:16" x14ac:dyDescent="0.25">
      <c r="C522" s="28" t="s">
        <v>3168</v>
      </c>
      <c r="D522" s="188" t="str">
        <f>+INDEX([1]Detallado!$F:$F,MATCH($C522,[1]Detallado!$B:$B,0))</f>
        <v>Renta Fija</v>
      </c>
      <c r="E522" s="31" t="str">
        <f>+INDEX([1]Detallado!$Q:$Q,MATCH($C522,[1]Detallado!$B:$B,0))</f>
        <v>RFIG</v>
      </c>
      <c r="F522" s="185" t="s">
        <v>4356</v>
      </c>
      <c r="G522" s="186" t="str">
        <f t="shared" ref="G522:G585" si="16">LEFT(C522,2)&amp;E522</f>
        <v>08RFIG</v>
      </c>
      <c r="H522" s="187" t="str">
        <f>+INDEX([1]Detallado!$D:$D,MATCH(C522,[1]Detallado!$B:$B,0))</f>
        <v>Gobierno de México</v>
      </c>
      <c r="I522" s="28"/>
      <c r="J522" s="184" t="str">
        <f t="shared" ref="J522:J585" si="17">IF(E522="ALT",LEFT(E522,3),LEFT(E522,3)&amp;F522)</f>
        <v>RFIGOB</v>
      </c>
      <c r="O522" s="28" t="s">
        <v>4954</v>
      </c>
      <c r="P522" s="28" t="s">
        <v>4902</v>
      </c>
    </row>
    <row r="523" spans="3:16" x14ac:dyDescent="0.25">
      <c r="C523" s="28" t="s">
        <v>3169</v>
      </c>
      <c r="D523" s="188" t="str">
        <f>+INDEX([1]Detallado!$F:$F,MATCH($C523,[1]Detallado!$B:$B,0))</f>
        <v>Renta Fija</v>
      </c>
      <c r="E523" s="31" t="str">
        <f>+INDEX([1]Detallado!$Q:$Q,MATCH($C523,[1]Detallado!$B:$B,0))</f>
        <v>RFIG</v>
      </c>
      <c r="F523" s="185" t="s">
        <v>4356</v>
      </c>
      <c r="G523" s="186" t="str">
        <f t="shared" si="16"/>
        <v>08RFIG</v>
      </c>
      <c r="H523" s="187" t="str">
        <f>+INDEX([1]Detallado!$D:$D,MATCH(C523,[1]Detallado!$B:$B,0))</f>
        <v>Gobierno de México</v>
      </c>
      <c r="I523" s="28"/>
      <c r="J523" s="184" t="str">
        <f t="shared" si="17"/>
        <v>RFIGOB</v>
      </c>
      <c r="O523" s="28" t="s">
        <v>4954</v>
      </c>
      <c r="P523" s="28" t="s">
        <v>4902</v>
      </c>
    </row>
    <row r="524" spans="3:16" x14ac:dyDescent="0.25">
      <c r="C524" s="28" t="s">
        <v>3170</v>
      </c>
      <c r="D524" s="188" t="str">
        <f>+INDEX([1]Detallado!$F:$F,MATCH($C524,[1]Detallado!$B:$B,0))</f>
        <v>Renta Fija</v>
      </c>
      <c r="E524" s="31" t="str">
        <f>+INDEX([1]Detallado!$Q:$Q,MATCH($C524,[1]Detallado!$B:$B,0))</f>
        <v>RFIG</v>
      </c>
      <c r="F524" s="185" t="s">
        <v>4356</v>
      </c>
      <c r="G524" s="186" t="str">
        <f t="shared" si="16"/>
        <v>08RFIG</v>
      </c>
      <c r="H524" s="187" t="str">
        <f>+INDEX([1]Detallado!$D:$D,MATCH(C524,[1]Detallado!$B:$B,0))</f>
        <v>Gobierno de México</v>
      </c>
      <c r="I524" s="28"/>
      <c r="J524" s="184" t="str">
        <f t="shared" si="17"/>
        <v>RFIGOB</v>
      </c>
      <c r="O524" s="28" t="s">
        <v>4954</v>
      </c>
      <c r="P524" s="28" t="s">
        <v>4902</v>
      </c>
    </row>
    <row r="525" spans="3:16" x14ac:dyDescent="0.25">
      <c r="C525" s="28" t="s">
        <v>3171</v>
      </c>
      <c r="D525" s="188" t="str">
        <f>+INDEX([1]Detallado!$F:$F,MATCH($C525,[1]Detallado!$B:$B,0))</f>
        <v>Renta Fija</v>
      </c>
      <c r="E525" s="31" t="str">
        <f>+INDEX([1]Detallado!$Q:$Q,MATCH($C525,[1]Detallado!$B:$B,0))</f>
        <v>RFIG</v>
      </c>
      <c r="F525" s="185" t="s">
        <v>4356</v>
      </c>
      <c r="G525" s="186" t="str">
        <f t="shared" si="16"/>
        <v>08RFIG</v>
      </c>
      <c r="H525" s="187" t="str">
        <f>+INDEX([1]Detallado!$D:$D,MATCH(C525,[1]Detallado!$B:$B,0))</f>
        <v>Gobierno de México</v>
      </c>
      <c r="I525" s="28"/>
      <c r="J525" s="184" t="str">
        <f t="shared" si="17"/>
        <v>RFIGOB</v>
      </c>
      <c r="O525" s="28" t="s">
        <v>4954</v>
      </c>
      <c r="P525" s="28" t="s">
        <v>4902</v>
      </c>
    </row>
    <row r="526" spans="3:16" x14ac:dyDescent="0.25">
      <c r="C526" s="28" t="s">
        <v>3172</v>
      </c>
      <c r="D526" s="188" t="str">
        <f>+INDEX([1]Detallado!$F:$F,MATCH($C526,[1]Detallado!$B:$B,0))</f>
        <v>Renta Fija</v>
      </c>
      <c r="E526" s="31" t="str">
        <f>+INDEX([1]Detallado!$Q:$Q,MATCH($C526,[1]Detallado!$B:$B,0))</f>
        <v>RFIG</v>
      </c>
      <c r="F526" s="185" t="s">
        <v>4356</v>
      </c>
      <c r="G526" s="186" t="str">
        <f t="shared" si="16"/>
        <v>08RFIG</v>
      </c>
      <c r="H526" s="187" t="str">
        <f>+INDEX([1]Detallado!$D:$D,MATCH(C526,[1]Detallado!$B:$B,0))</f>
        <v>Gobierno de México</v>
      </c>
      <c r="I526" s="28"/>
      <c r="J526" s="184" t="str">
        <f t="shared" si="17"/>
        <v>RFIGOB</v>
      </c>
      <c r="O526" s="28" t="s">
        <v>4954</v>
      </c>
      <c r="P526" s="28" t="s">
        <v>4902</v>
      </c>
    </row>
    <row r="527" spans="3:16" x14ac:dyDescent="0.25">
      <c r="C527" s="28" t="s">
        <v>3173</v>
      </c>
      <c r="D527" s="188" t="str">
        <f>+INDEX([1]Detallado!$F:$F,MATCH($C527,[1]Detallado!$B:$B,0))</f>
        <v>Renta Fija</v>
      </c>
      <c r="E527" s="31" t="str">
        <f>+INDEX([1]Detallado!$Q:$Q,MATCH($C527,[1]Detallado!$B:$B,0))</f>
        <v>RFIG</v>
      </c>
      <c r="F527" s="185" t="s">
        <v>4356</v>
      </c>
      <c r="G527" s="186" t="str">
        <f t="shared" si="16"/>
        <v>08RFIG</v>
      </c>
      <c r="H527" s="187" t="str">
        <f>+INDEX([1]Detallado!$D:$D,MATCH(C527,[1]Detallado!$B:$B,0))</f>
        <v>Gobierno de México</v>
      </c>
      <c r="I527" s="28"/>
      <c r="J527" s="184" t="str">
        <f t="shared" si="17"/>
        <v>RFIGOB</v>
      </c>
      <c r="O527" s="28" t="s">
        <v>4954</v>
      </c>
      <c r="P527" s="28" t="s">
        <v>4902</v>
      </c>
    </row>
    <row r="528" spans="3:16" x14ac:dyDescent="0.25">
      <c r="C528" s="28" t="s">
        <v>3174</v>
      </c>
      <c r="D528" s="188" t="str">
        <f>+INDEX([1]Detallado!$F:$F,MATCH($C528,[1]Detallado!$B:$B,0))</f>
        <v>Renta Fija</v>
      </c>
      <c r="E528" s="31" t="str">
        <f>+INDEX([1]Detallado!$Q:$Q,MATCH($C528,[1]Detallado!$B:$B,0))</f>
        <v>RFIG</v>
      </c>
      <c r="F528" s="185" t="s">
        <v>4356</v>
      </c>
      <c r="G528" s="186" t="str">
        <f t="shared" si="16"/>
        <v>08RFIG</v>
      </c>
      <c r="H528" s="187" t="str">
        <f>+INDEX([1]Detallado!$D:$D,MATCH(C528,[1]Detallado!$B:$B,0))</f>
        <v>Gobierno de México</v>
      </c>
      <c r="I528" s="28"/>
      <c r="J528" s="184" t="str">
        <f t="shared" si="17"/>
        <v>RFIGOB</v>
      </c>
      <c r="O528" s="28" t="s">
        <v>4954</v>
      </c>
      <c r="P528" s="28" t="s">
        <v>4902</v>
      </c>
    </row>
    <row r="529" spans="3:16" x14ac:dyDescent="0.25">
      <c r="C529" s="28" t="s">
        <v>3175</v>
      </c>
      <c r="D529" s="188" t="str">
        <f>+INDEX([1]Detallado!$F:$F,MATCH($C529,[1]Detallado!$B:$B,0))</f>
        <v>Renta Fija</v>
      </c>
      <c r="E529" s="31" t="str">
        <f>+INDEX([1]Detallado!$Q:$Q,MATCH($C529,[1]Detallado!$B:$B,0))</f>
        <v>RFIG</v>
      </c>
      <c r="F529" s="185" t="s">
        <v>4356</v>
      </c>
      <c r="G529" s="186" t="str">
        <f t="shared" si="16"/>
        <v>08RFIG</v>
      </c>
      <c r="H529" s="187" t="str">
        <f>+INDEX([1]Detallado!$D:$D,MATCH(C529,[1]Detallado!$B:$B,0))</f>
        <v>Gobierno de México</v>
      </c>
      <c r="I529" s="28"/>
      <c r="J529" s="184" t="str">
        <f t="shared" si="17"/>
        <v>RFIGOB</v>
      </c>
      <c r="O529" s="28" t="s">
        <v>4954</v>
      </c>
      <c r="P529" s="28" t="s">
        <v>4902</v>
      </c>
    </row>
    <row r="530" spans="3:16" x14ac:dyDescent="0.25">
      <c r="C530" s="28" t="s">
        <v>3176</v>
      </c>
      <c r="D530" s="188" t="str">
        <f>+INDEX([1]Detallado!$F:$F,MATCH($C530,[1]Detallado!$B:$B,0))</f>
        <v>Renta Fija</v>
      </c>
      <c r="E530" s="31" t="str">
        <f>+INDEX([1]Detallado!$Q:$Q,MATCH($C530,[1]Detallado!$B:$B,0))</f>
        <v>RFIG</v>
      </c>
      <c r="F530" s="185" t="s">
        <v>4356</v>
      </c>
      <c r="G530" s="186" t="str">
        <f t="shared" si="16"/>
        <v>08RFIG</v>
      </c>
      <c r="H530" s="187" t="str">
        <f>+INDEX([1]Detallado!$D:$D,MATCH(C530,[1]Detallado!$B:$B,0))</f>
        <v>Gobierno de México</v>
      </c>
      <c r="I530" s="28"/>
      <c r="J530" s="184" t="str">
        <f t="shared" si="17"/>
        <v>RFIGOB</v>
      </c>
      <c r="O530" s="28" t="s">
        <v>4954</v>
      </c>
      <c r="P530" s="28" t="s">
        <v>4902</v>
      </c>
    </row>
    <row r="531" spans="3:16" x14ac:dyDescent="0.25">
      <c r="C531" s="28" t="s">
        <v>3177</v>
      </c>
      <c r="D531" s="188" t="str">
        <f>+INDEX([1]Detallado!$F:$F,MATCH($C531,[1]Detallado!$B:$B,0))</f>
        <v>Renta Fija</v>
      </c>
      <c r="E531" s="31" t="str">
        <f>+INDEX([1]Detallado!$Q:$Q,MATCH($C531,[1]Detallado!$B:$B,0))</f>
        <v>RFIG</v>
      </c>
      <c r="F531" s="185" t="s">
        <v>4356</v>
      </c>
      <c r="G531" s="186" t="str">
        <f t="shared" si="16"/>
        <v>08RFIG</v>
      </c>
      <c r="H531" s="187" t="str">
        <f>+INDEX([1]Detallado!$D:$D,MATCH(C531,[1]Detallado!$B:$B,0))</f>
        <v>Gobierno de México</v>
      </c>
      <c r="I531" s="28"/>
      <c r="J531" s="184" t="str">
        <f t="shared" si="17"/>
        <v>RFIGOB</v>
      </c>
      <c r="O531" s="28" t="s">
        <v>4954</v>
      </c>
      <c r="P531" s="28" t="s">
        <v>4902</v>
      </c>
    </row>
    <row r="532" spans="3:16" x14ac:dyDescent="0.25">
      <c r="C532" s="28" t="s">
        <v>3178</v>
      </c>
      <c r="D532" s="188" t="str">
        <f>+INDEX([1]Detallado!$F:$F,MATCH($C532,[1]Detallado!$B:$B,0))</f>
        <v>Renta Fija</v>
      </c>
      <c r="E532" s="31" t="str">
        <f>+INDEX([1]Detallado!$Q:$Q,MATCH($C532,[1]Detallado!$B:$B,0))</f>
        <v>RFIG</v>
      </c>
      <c r="F532" s="185" t="s">
        <v>4356</v>
      </c>
      <c r="G532" s="186" t="str">
        <f t="shared" si="16"/>
        <v>08RFIG</v>
      </c>
      <c r="H532" s="187" t="str">
        <f>+INDEX([1]Detallado!$D:$D,MATCH(C532,[1]Detallado!$B:$B,0))</f>
        <v>Gobierno de México</v>
      </c>
      <c r="I532" s="28"/>
      <c r="J532" s="184" t="str">
        <f t="shared" si="17"/>
        <v>RFIGOB</v>
      </c>
      <c r="O532" s="28" t="s">
        <v>4954</v>
      </c>
      <c r="P532" s="28" t="s">
        <v>4902</v>
      </c>
    </row>
    <row r="533" spans="3:16" x14ac:dyDescent="0.25">
      <c r="C533" s="28" t="s">
        <v>3179</v>
      </c>
      <c r="D533" s="188" t="str">
        <f>+INDEX([1]Detallado!$F:$F,MATCH($C533,[1]Detallado!$B:$B,0))</f>
        <v>Renta Fija</v>
      </c>
      <c r="E533" s="31" t="str">
        <f>+INDEX([1]Detallado!$Q:$Q,MATCH($C533,[1]Detallado!$B:$B,0))</f>
        <v>RFIG</v>
      </c>
      <c r="F533" s="185" t="s">
        <v>4356</v>
      </c>
      <c r="G533" s="186" t="str">
        <f t="shared" si="16"/>
        <v>08RFIG</v>
      </c>
      <c r="H533" s="187" t="str">
        <f>+INDEX([1]Detallado!$D:$D,MATCH(C533,[1]Detallado!$B:$B,0))</f>
        <v>Gobierno de México</v>
      </c>
      <c r="I533" s="28"/>
      <c r="J533" s="184" t="str">
        <f t="shared" si="17"/>
        <v>RFIGOB</v>
      </c>
      <c r="O533" s="28" t="s">
        <v>4954</v>
      </c>
      <c r="P533" s="28" t="s">
        <v>4902</v>
      </c>
    </row>
    <row r="534" spans="3:16" x14ac:dyDescent="0.25">
      <c r="C534" s="28" t="s">
        <v>3180</v>
      </c>
      <c r="D534" s="188" t="str">
        <f>+INDEX([1]Detallado!$F:$F,MATCH($C534,[1]Detallado!$B:$B,0))</f>
        <v>Renta Fija</v>
      </c>
      <c r="E534" s="31" t="str">
        <f>+INDEX([1]Detallado!$Q:$Q,MATCH($C534,[1]Detallado!$B:$B,0))</f>
        <v>RFIG</v>
      </c>
      <c r="F534" s="185" t="s">
        <v>4356</v>
      </c>
      <c r="G534" s="186" t="str">
        <f t="shared" si="16"/>
        <v>08RFIG</v>
      </c>
      <c r="H534" s="187" t="str">
        <f>+INDEX([1]Detallado!$D:$D,MATCH(C534,[1]Detallado!$B:$B,0))</f>
        <v>Gobierno de México</v>
      </c>
      <c r="I534" s="28"/>
      <c r="J534" s="184" t="str">
        <f t="shared" si="17"/>
        <v>RFIGOB</v>
      </c>
      <c r="O534" s="28" t="s">
        <v>4954</v>
      </c>
      <c r="P534" s="28" t="s">
        <v>4902</v>
      </c>
    </row>
    <row r="535" spans="3:16" x14ac:dyDescent="0.25">
      <c r="C535" s="28" t="s">
        <v>3181</v>
      </c>
      <c r="D535" s="188" t="str">
        <f>+INDEX([1]Detallado!$F:$F,MATCH($C535,[1]Detallado!$B:$B,0))</f>
        <v>Renta Fija</v>
      </c>
      <c r="E535" s="31" t="str">
        <f>+INDEX([1]Detallado!$Q:$Q,MATCH($C535,[1]Detallado!$B:$B,0))</f>
        <v>RFIG</v>
      </c>
      <c r="F535" s="185" t="s">
        <v>4356</v>
      </c>
      <c r="G535" s="186" t="str">
        <f t="shared" si="16"/>
        <v>08RFIG</v>
      </c>
      <c r="H535" s="187" t="str">
        <f>+INDEX([1]Detallado!$D:$D,MATCH(C535,[1]Detallado!$B:$B,0))</f>
        <v>Gobierno de México</v>
      </c>
      <c r="I535" s="28"/>
      <c r="J535" s="184" t="str">
        <f t="shared" si="17"/>
        <v>RFIGOB</v>
      </c>
      <c r="O535" s="28" t="s">
        <v>4954</v>
      </c>
      <c r="P535" s="28" t="s">
        <v>4902</v>
      </c>
    </row>
    <row r="536" spans="3:16" x14ac:dyDescent="0.25">
      <c r="C536" s="28" t="s">
        <v>3182</v>
      </c>
      <c r="D536" s="188" t="str">
        <f>+INDEX([1]Detallado!$F:$F,MATCH($C536,[1]Detallado!$B:$B,0))</f>
        <v>Renta Fija</v>
      </c>
      <c r="E536" s="31" t="str">
        <f>+INDEX([1]Detallado!$Q:$Q,MATCH($C536,[1]Detallado!$B:$B,0))</f>
        <v>RFIG</v>
      </c>
      <c r="F536" s="185" t="s">
        <v>4356</v>
      </c>
      <c r="G536" s="186" t="str">
        <f t="shared" si="16"/>
        <v>08RFIG</v>
      </c>
      <c r="H536" s="187" t="str">
        <f>+INDEX([1]Detallado!$D:$D,MATCH(C536,[1]Detallado!$B:$B,0))</f>
        <v>Gobierno de México</v>
      </c>
      <c r="I536" s="28"/>
      <c r="J536" s="184" t="str">
        <f t="shared" si="17"/>
        <v>RFIGOB</v>
      </c>
      <c r="O536" s="28" t="s">
        <v>4954</v>
      </c>
      <c r="P536" s="28" t="s">
        <v>4902</v>
      </c>
    </row>
    <row r="537" spans="3:16" x14ac:dyDescent="0.25">
      <c r="C537" s="28" t="s">
        <v>3183</v>
      </c>
      <c r="D537" s="188" t="str">
        <f>+INDEX([1]Detallado!$F:$F,MATCH($C537,[1]Detallado!$B:$B,0))</f>
        <v>Renta Fija</v>
      </c>
      <c r="E537" s="31" t="str">
        <f>+INDEX([1]Detallado!$Q:$Q,MATCH($C537,[1]Detallado!$B:$B,0))</f>
        <v>RFIG</v>
      </c>
      <c r="F537" s="185" t="s">
        <v>4356</v>
      </c>
      <c r="G537" s="186" t="str">
        <f t="shared" si="16"/>
        <v>08RFIG</v>
      </c>
      <c r="H537" s="187" t="str">
        <f>+INDEX([1]Detallado!$D:$D,MATCH(C537,[1]Detallado!$B:$B,0))</f>
        <v>Gobierno de México</v>
      </c>
      <c r="I537" s="28"/>
      <c r="J537" s="184" t="str">
        <f t="shared" si="17"/>
        <v>RFIGOB</v>
      </c>
      <c r="O537" s="28" t="s">
        <v>4954</v>
      </c>
      <c r="P537" s="28" t="s">
        <v>4902</v>
      </c>
    </row>
    <row r="538" spans="3:16" x14ac:dyDescent="0.25">
      <c r="C538" s="28" t="s">
        <v>3184</v>
      </c>
      <c r="D538" s="188" t="str">
        <f>+INDEX([1]Detallado!$F:$F,MATCH($C538,[1]Detallado!$B:$B,0))</f>
        <v>Renta Fija</v>
      </c>
      <c r="E538" s="31" t="str">
        <f>+INDEX([1]Detallado!$Q:$Q,MATCH($C538,[1]Detallado!$B:$B,0))</f>
        <v>RFIG</v>
      </c>
      <c r="F538" s="185" t="s">
        <v>4356</v>
      </c>
      <c r="G538" s="186" t="str">
        <f t="shared" si="16"/>
        <v>08RFIG</v>
      </c>
      <c r="H538" s="187" t="str">
        <f>+INDEX([1]Detallado!$D:$D,MATCH(C538,[1]Detallado!$B:$B,0))</f>
        <v>Gobierno de México</v>
      </c>
      <c r="I538" s="28"/>
      <c r="J538" s="184" t="str">
        <f t="shared" si="17"/>
        <v>RFIGOB</v>
      </c>
      <c r="O538" s="28" t="s">
        <v>4954</v>
      </c>
      <c r="P538" s="28" t="s">
        <v>4902</v>
      </c>
    </row>
    <row r="539" spans="3:16" x14ac:dyDescent="0.25">
      <c r="C539" s="28" t="s">
        <v>3185</v>
      </c>
      <c r="D539" s="188" t="str">
        <f>+INDEX([1]Detallado!$F:$F,MATCH($C539,[1]Detallado!$B:$B,0))</f>
        <v>Renta Fija</v>
      </c>
      <c r="E539" s="31" t="str">
        <f>+INDEX([1]Detallado!$Q:$Q,MATCH($C539,[1]Detallado!$B:$B,0))</f>
        <v>RFIG</v>
      </c>
      <c r="F539" s="185" t="s">
        <v>4356</v>
      </c>
      <c r="G539" s="186" t="str">
        <f t="shared" si="16"/>
        <v>08RFIG</v>
      </c>
      <c r="H539" s="187" t="str">
        <f>+INDEX([1]Detallado!$D:$D,MATCH(C539,[1]Detallado!$B:$B,0))</f>
        <v>Gobierno de México</v>
      </c>
      <c r="I539" s="28"/>
      <c r="J539" s="184" t="str">
        <f t="shared" si="17"/>
        <v>RFIGOB</v>
      </c>
      <c r="O539" s="28" t="s">
        <v>4954</v>
      </c>
      <c r="P539" s="28" t="s">
        <v>4902</v>
      </c>
    </row>
    <row r="540" spans="3:16" x14ac:dyDescent="0.25">
      <c r="C540" s="28" t="s">
        <v>3186</v>
      </c>
      <c r="D540" s="188" t="str">
        <f>+INDEX([1]Detallado!$F:$F,MATCH($C540,[1]Detallado!$B:$B,0))</f>
        <v>Renta Fija</v>
      </c>
      <c r="E540" s="31" t="str">
        <f>+INDEX([1]Detallado!$Q:$Q,MATCH($C540,[1]Detallado!$B:$B,0))</f>
        <v>RFIG</v>
      </c>
      <c r="F540" s="185" t="s">
        <v>4356</v>
      </c>
      <c r="G540" s="186" t="str">
        <f t="shared" si="16"/>
        <v>08RFIG</v>
      </c>
      <c r="H540" s="187" t="str">
        <f>+INDEX([1]Detallado!$D:$D,MATCH(C540,[1]Detallado!$B:$B,0))</f>
        <v>Gobierno de México</v>
      </c>
      <c r="I540" s="28"/>
      <c r="J540" s="184" t="str">
        <f t="shared" si="17"/>
        <v>RFIGOB</v>
      </c>
      <c r="O540" s="28" t="s">
        <v>4544</v>
      </c>
      <c r="P540" s="28" t="s">
        <v>4898</v>
      </c>
    </row>
    <row r="541" spans="3:16" x14ac:dyDescent="0.25">
      <c r="C541" s="28" t="s">
        <v>3187</v>
      </c>
      <c r="D541" s="188" t="str">
        <f>+INDEX([1]Detallado!$F:$F,MATCH($C541,[1]Detallado!$B:$B,0))</f>
        <v>Renta Fija</v>
      </c>
      <c r="E541" s="31" t="str">
        <f>+INDEX([1]Detallado!$Q:$Q,MATCH($C541,[1]Detallado!$B:$B,0))</f>
        <v>RFIG</v>
      </c>
      <c r="F541" s="185" t="s">
        <v>4356</v>
      </c>
      <c r="G541" s="186" t="str">
        <f t="shared" si="16"/>
        <v>08RFIG</v>
      </c>
      <c r="H541" s="187" t="str">
        <f>+INDEX([1]Detallado!$D:$D,MATCH(C541,[1]Detallado!$B:$B,0))</f>
        <v>Gobierno de México</v>
      </c>
      <c r="I541" s="28"/>
      <c r="J541" s="184" t="str">
        <f t="shared" si="17"/>
        <v>RFIGOB</v>
      </c>
      <c r="O541" s="28" t="s">
        <v>4544</v>
      </c>
      <c r="P541" s="28" t="s">
        <v>4898</v>
      </c>
    </row>
    <row r="542" spans="3:16" x14ac:dyDescent="0.25">
      <c r="C542" s="28" t="s">
        <v>3188</v>
      </c>
      <c r="D542" s="188" t="str">
        <f>+INDEX([1]Detallado!$F:$F,MATCH($C542,[1]Detallado!$B:$B,0))</f>
        <v>Renta Fija</v>
      </c>
      <c r="E542" s="31" t="str">
        <f>+INDEX([1]Detallado!$Q:$Q,MATCH($C542,[1]Detallado!$B:$B,0))</f>
        <v>RFIG</v>
      </c>
      <c r="F542" s="185" t="s">
        <v>4356</v>
      </c>
      <c r="G542" s="186" t="str">
        <f t="shared" si="16"/>
        <v>08RFIG</v>
      </c>
      <c r="H542" s="187" t="str">
        <f>+INDEX([1]Detallado!$D:$D,MATCH(C542,[1]Detallado!$B:$B,0))</f>
        <v>Gobierno de México</v>
      </c>
      <c r="I542" s="28"/>
      <c r="J542" s="184" t="str">
        <f t="shared" si="17"/>
        <v>RFIGOB</v>
      </c>
      <c r="O542" s="28" t="s">
        <v>4495</v>
      </c>
      <c r="P542" s="28" t="s">
        <v>4894</v>
      </c>
    </row>
    <row r="543" spans="3:16" x14ac:dyDescent="0.25">
      <c r="C543" s="28" t="s">
        <v>3189</v>
      </c>
      <c r="D543" s="188" t="str">
        <f>+INDEX([1]Detallado!$F:$F,MATCH($C543,[1]Detallado!$B:$B,0))</f>
        <v>Renta Fija</v>
      </c>
      <c r="E543" s="31" t="str">
        <f>+INDEX([1]Detallado!$Q:$Q,MATCH($C543,[1]Detallado!$B:$B,0))</f>
        <v>RFIG</v>
      </c>
      <c r="F543" s="185" t="s">
        <v>4356</v>
      </c>
      <c r="G543" s="186" t="str">
        <f t="shared" si="16"/>
        <v>08RFIG</v>
      </c>
      <c r="H543" s="187" t="str">
        <f>+INDEX([1]Detallado!$D:$D,MATCH(C543,[1]Detallado!$B:$B,0))</f>
        <v>Gobierno de México</v>
      </c>
      <c r="I543" s="28"/>
      <c r="J543" s="184" t="str">
        <f t="shared" si="17"/>
        <v>RFIGOB</v>
      </c>
      <c r="O543" s="28" t="s">
        <v>4955</v>
      </c>
      <c r="P543" s="28" t="s">
        <v>4894</v>
      </c>
    </row>
    <row r="544" spans="3:16" x14ac:dyDescent="0.25">
      <c r="C544" s="28" t="s">
        <v>3190</v>
      </c>
      <c r="D544" s="188" t="str">
        <f>+INDEX([1]Detallado!$F:$F,MATCH($C544,[1]Detallado!$B:$B,0))</f>
        <v>Renta Fija</v>
      </c>
      <c r="E544" s="31" t="str">
        <f>+INDEX([1]Detallado!$Q:$Q,MATCH($C544,[1]Detallado!$B:$B,0))</f>
        <v>RFIG</v>
      </c>
      <c r="F544" s="185" t="s">
        <v>4356</v>
      </c>
      <c r="G544" s="186" t="str">
        <f t="shared" si="16"/>
        <v>08RFIG</v>
      </c>
      <c r="H544" s="187" t="str">
        <f>+INDEX([1]Detallado!$D:$D,MATCH(C544,[1]Detallado!$B:$B,0))</f>
        <v>Gobierno de México</v>
      </c>
      <c r="I544" s="28"/>
      <c r="J544" s="184" t="str">
        <f t="shared" si="17"/>
        <v>RFIGOB</v>
      </c>
      <c r="O544" s="28" t="s">
        <v>4525</v>
      </c>
      <c r="P544" s="28" t="s">
        <v>4902</v>
      </c>
    </row>
    <row r="545" spans="3:16" x14ac:dyDescent="0.25">
      <c r="C545" s="28" t="s">
        <v>3191</v>
      </c>
      <c r="D545" s="188" t="str">
        <f>+INDEX([1]Detallado!$F:$F,MATCH($C545,[1]Detallado!$B:$B,0))</f>
        <v>Renta Fija</v>
      </c>
      <c r="E545" s="31" t="str">
        <f>+INDEX([1]Detallado!$Q:$Q,MATCH($C545,[1]Detallado!$B:$B,0))</f>
        <v>RFIG</v>
      </c>
      <c r="F545" s="185" t="s">
        <v>4356</v>
      </c>
      <c r="G545" s="186" t="str">
        <f t="shared" si="16"/>
        <v>08RFIG</v>
      </c>
      <c r="H545" s="187" t="str">
        <f>+INDEX([1]Detallado!$D:$D,MATCH(C545,[1]Detallado!$B:$B,0))</f>
        <v>Gobierno de México</v>
      </c>
      <c r="I545" s="28"/>
      <c r="J545" s="184" t="str">
        <f t="shared" si="17"/>
        <v>RFIGOB</v>
      </c>
      <c r="O545" s="28" t="s">
        <v>4527</v>
      </c>
      <c r="P545" s="28" t="s">
        <v>4899</v>
      </c>
    </row>
    <row r="546" spans="3:16" x14ac:dyDescent="0.25">
      <c r="C546" s="28" t="s">
        <v>544</v>
      </c>
      <c r="D546" s="188" t="str">
        <f>+INDEX([1]Detallado!$F:$F,MATCH($C546,[1]Detallado!$B:$B,0))</f>
        <v>Renta Fija</v>
      </c>
      <c r="E546" s="31" t="str">
        <f>+INDEX([1]Detallado!$Q:$Q,MATCH($C546,[1]Detallado!$B:$B,0))</f>
        <v>RFLG</v>
      </c>
      <c r="F546" s="185" t="s">
        <v>4357</v>
      </c>
      <c r="G546" s="186" t="str">
        <f t="shared" si="16"/>
        <v>49RFLG</v>
      </c>
      <c r="H546" s="187" t="str">
        <f>+INDEX([1]Detallado!$D:$D,MATCH(C546,[1]Detallado!$B:$B,0))</f>
        <v>Sigma - Leasing Operativo</v>
      </c>
      <c r="I546" s="28"/>
      <c r="J546" s="184" t="str">
        <f t="shared" si="17"/>
        <v>RFLBU</v>
      </c>
      <c r="O546" s="28" t="s">
        <v>4527</v>
      </c>
      <c r="P546" s="28" t="s">
        <v>4899</v>
      </c>
    </row>
    <row r="547" spans="3:16" x14ac:dyDescent="0.25">
      <c r="C547" s="28" t="s">
        <v>3192</v>
      </c>
      <c r="D547" s="188" t="str">
        <f>+INDEX([1]Detallado!$F:$F,MATCH($C547,[1]Detallado!$B:$B,0))</f>
        <v>Renta Fija</v>
      </c>
      <c r="E547" s="31" t="str">
        <f>+INDEX([1]Detallado!$Q:$Q,MATCH($C547,[1]Detallado!$B:$B,0))</f>
        <v>RFLG</v>
      </c>
      <c r="F547" s="185" t="s">
        <v>4357</v>
      </c>
      <c r="G547" s="186" t="str">
        <f t="shared" si="16"/>
        <v>49RFLG</v>
      </c>
      <c r="H547" s="187" t="str">
        <f>+INDEX([1]Detallado!$D:$D,MATCH(C547,[1]Detallado!$B:$B,0))</f>
        <v>Sigma - Leasing Operativo 2</v>
      </c>
      <c r="I547" s="28"/>
      <c r="J547" s="184" t="str">
        <f t="shared" si="17"/>
        <v>RFLBU</v>
      </c>
      <c r="O547" s="28" t="s">
        <v>4439</v>
      </c>
      <c r="P547" s="28" t="s">
        <v>4899</v>
      </c>
    </row>
    <row r="548" spans="3:16" x14ac:dyDescent="0.25">
      <c r="C548" s="28" t="s">
        <v>3193</v>
      </c>
      <c r="D548" s="188" t="str">
        <f>+INDEX([1]Detallado!$F:$F,MATCH($C548,[1]Detallado!$B:$B,0))</f>
        <v>Renta Fija</v>
      </c>
      <c r="E548" s="31" t="str">
        <f>+INDEX([1]Detallado!$Q:$Q,MATCH($C548,[1]Detallado!$B:$B,0))</f>
        <v>RFLG</v>
      </c>
      <c r="F548" s="185" t="s">
        <v>4357</v>
      </c>
      <c r="G548" s="186" t="str">
        <f t="shared" si="16"/>
        <v>49RFLG</v>
      </c>
      <c r="H548" s="187" t="str">
        <f>+INDEX([1]Detallado!$D:$D,MATCH(C548,[1]Detallado!$B:$B,0))</f>
        <v>BD Capital - Senior Loans 2</v>
      </c>
      <c r="I548" s="28"/>
      <c r="J548" s="184" t="str">
        <f t="shared" si="17"/>
        <v>RFLBU</v>
      </c>
      <c r="O548" s="28" t="s">
        <v>4478</v>
      </c>
      <c r="P548" s="28" t="s">
        <v>4894</v>
      </c>
    </row>
    <row r="549" spans="3:16" x14ac:dyDescent="0.25">
      <c r="C549" s="28" t="s">
        <v>3194</v>
      </c>
      <c r="D549" s="188" t="str">
        <f>+INDEX([1]Detallado!$F:$F,MATCH($C549,[1]Detallado!$B:$B,0))</f>
        <v>Renta Fija</v>
      </c>
      <c r="E549" s="31" t="str">
        <f>+INDEX([1]Detallado!$Q:$Q,MATCH($C549,[1]Detallado!$B:$B,0))</f>
        <v>RFLG</v>
      </c>
      <c r="F549" s="185" t="s">
        <v>4357</v>
      </c>
      <c r="G549" s="186" t="str">
        <f t="shared" si="16"/>
        <v>49RFLG</v>
      </c>
      <c r="H549" s="187" t="str">
        <f>+INDEX([1]Detallado!$D:$D,MATCH(C549,[1]Detallado!$B:$B,0))</f>
        <v>BD Capital - Senior Loans A</v>
      </c>
      <c r="I549" s="28"/>
      <c r="J549" s="184" t="str">
        <f t="shared" si="17"/>
        <v>RFLBU</v>
      </c>
      <c r="O549" s="28" t="s">
        <v>4462</v>
      </c>
      <c r="P549" s="28" t="s">
        <v>4894</v>
      </c>
    </row>
    <row r="550" spans="3:16" x14ac:dyDescent="0.25">
      <c r="C550" s="28" t="s">
        <v>3195</v>
      </c>
      <c r="D550" s="188" t="str">
        <f>+INDEX([1]Detallado!$F:$F,MATCH($C550,[1]Detallado!$B:$B,0))</f>
        <v>Renta Fija</v>
      </c>
      <c r="E550" s="31" t="str">
        <f>+INDEX([1]Detallado!$Q:$Q,MATCH($C550,[1]Detallado!$B:$B,0))</f>
        <v>RFLG</v>
      </c>
      <c r="F550" s="185" t="s">
        <v>4357</v>
      </c>
      <c r="G550" s="186" t="str">
        <f t="shared" si="16"/>
        <v>49RFLG</v>
      </c>
      <c r="H550" s="187" t="str">
        <f>+INDEX([1]Detallado!$D:$D,MATCH(C550,[1]Detallado!$B:$B,0))</f>
        <v>BD Capital - Senior Loans B</v>
      </c>
      <c r="I550" s="28"/>
      <c r="J550" s="184" t="str">
        <f t="shared" si="17"/>
        <v>RFLBU</v>
      </c>
      <c r="O550" s="28" t="s">
        <v>4512</v>
      </c>
      <c r="P550" s="28" t="s">
        <v>4902</v>
      </c>
    </row>
    <row r="551" spans="3:16" x14ac:dyDescent="0.25">
      <c r="C551" s="28" t="s">
        <v>541</v>
      </c>
      <c r="D551" s="188" t="str">
        <f>+INDEX([1]Detallado!$F:$F,MATCH($C551,[1]Detallado!$B:$B,0))</f>
        <v>Renta Fija</v>
      </c>
      <c r="E551" s="31" t="str">
        <f>+INDEX([1]Detallado!$Q:$Q,MATCH($C551,[1]Detallado!$B:$B,0))</f>
        <v>RFLG</v>
      </c>
      <c r="F551" s="185" t="s">
        <v>4357</v>
      </c>
      <c r="G551" s="186" t="str">
        <f t="shared" si="16"/>
        <v>49RFLG</v>
      </c>
      <c r="H551" s="187" t="str">
        <f>+INDEX([1]Detallado!$D:$D,MATCH(C551,[1]Detallado!$B:$B,0))</f>
        <v>BD Capital - Senior Loans C</v>
      </c>
      <c r="I551" s="28"/>
      <c r="J551" s="184" t="str">
        <f t="shared" si="17"/>
        <v>RFLBU</v>
      </c>
      <c r="O551" s="28" t="s">
        <v>4512</v>
      </c>
      <c r="P551" s="28" t="s">
        <v>4902</v>
      </c>
    </row>
    <row r="552" spans="3:16" x14ac:dyDescent="0.25">
      <c r="C552" s="28" t="s">
        <v>3197</v>
      </c>
      <c r="D552" s="188" t="str">
        <f>+INDEX([1]Detallado!$F:$F,MATCH($C552,[1]Detallado!$B:$B,0))</f>
        <v>Renta Fija</v>
      </c>
      <c r="E552" s="31" t="str">
        <f>+INDEX([1]Detallado!$Q:$Q,MATCH($C552,[1]Detallado!$B:$B,0))</f>
        <v>RFLG</v>
      </c>
      <c r="F552" s="185" t="s">
        <v>4357</v>
      </c>
      <c r="G552" s="186" t="str">
        <f t="shared" si="16"/>
        <v>49RFLG</v>
      </c>
      <c r="H552" s="187" t="str">
        <f>+INDEX([1]Detallado!$D:$D,MATCH(C552,[1]Detallado!$B:$B,0))</f>
        <v>Compass - Fondo de Inversión Acreencias High Yield</v>
      </c>
      <c r="I552" s="28"/>
      <c r="J552" s="184" t="str">
        <f t="shared" si="17"/>
        <v>RFLBU</v>
      </c>
      <c r="O552" s="28" t="s">
        <v>4956</v>
      </c>
      <c r="P552" s="28" t="s">
        <v>4894</v>
      </c>
    </row>
    <row r="553" spans="3:16" x14ac:dyDescent="0.25">
      <c r="C553" s="28" t="s">
        <v>3198</v>
      </c>
      <c r="D553" s="188" t="str">
        <f>+INDEX([1]Detallado!$F:$F,MATCH($C553,[1]Detallado!$B:$B,0))</f>
        <v>Renta Fija</v>
      </c>
      <c r="E553" s="31" t="str">
        <f>+INDEX([1]Detallado!$Q:$Q,MATCH($C553,[1]Detallado!$B:$B,0))</f>
        <v>RFLG</v>
      </c>
      <c r="F553" s="185" t="s">
        <v>4357</v>
      </c>
      <c r="G553" s="186" t="str">
        <f t="shared" si="16"/>
        <v>49RFLG</v>
      </c>
      <c r="H553" s="187" t="str">
        <f>+INDEX([1]Detallado!$D:$D,MATCH(C553,[1]Detallado!$B:$B,0))</f>
        <v>Fond. de Inversión Activa Financiamiento Estructurado Peru II</v>
      </c>
      <c r="I553" s="28"/>
      <c r="J553" s="184" t="str">
        <f t="shared" si="17"/>
        <v>RFLBU</v>
      </c>
      <c r="O553" s="28" t="s">
        <v>4957</v>
      </c>
      <c r="P553" s="28" t="s">
        <v>4898</v>
      </c>
    </row>
    <row r="554" spans="3:16" x14ac:dyDescent="0.25">
      <c r="C554" s="28" t="s">
        <v>3199</v>
      </c>
      <c r="D554" s="188" t="str">
        <f>+INDEX([1]Detallado!$F:$F,MATCH($C554,[1]Detallado!$B:$B,0))</f>
        <v>Renta Fija</v>
      </c>
      <c r="E554" s="31" t="str">
        <f>+INDEX([1]Detallado!$Q:$Q,MATCH($C554,[1]Detallado!$B:$B,0))</f>
        <v>RFLG</v>
      </c>
      <c r="F554" s="185" t="s">
        <v>4357</v>
      </c>
      <c r="G554" s="186" t="str">
        <f t="shared" si="16"/>
        <v>49RFLG</v>
      </c>
      <c r="H554" s="187" t="str">
        <f>+INDEX([1]Detallado!$D:$D,MATCH(C554,[1]Detallado!$B:$B,0))</f>
        <v>Fondo HMC  II (PEN)</v>
      </c>
      <c r="I554" s="28"/>
      <c r="J554" s="184" t="str">
        <f t="shared" si="17"/>
        <v>RFLBU</v>
      </c>
      <c r="O554" s="28" t="s">
        <v>4958</v>
      </c>
      <c r="P554" s="28" t="s">
        <v>4899</v>
      </c>
    </row>
    <row r="555" spans="3:16" x14ac:dyDescent="0.25">
      <c r="C555" s="28" t="s">
        <v>3200</v>
      </c>
      <c r="D555" s="188" t="str">
        <f>+INDEX([1]Detallado!$F:$F,MATCH($C555,[1]Detallado!$B:$B,0))</f>
        <v>Renta Fija</v>
      </c>
      <c r="E555" s="31" t="str">
        <f>+INDEX([1]Detallado!$Q:$Q,MATCH($C555,[1]Detallado!$B:$B,0))</f>
        <v>RFLG</v>
      </c>
      <c r="F555" s="185" t="s">
        <v>4357</v>
      </c>
      <c r="G555" s="186" t="str">
        <f t="shared" si="16"/>
        <v>49RFLG</v>
      </c>
      <c r="H555" s="187" t="str">
        <f>+INDEX([1]Detallado!$D:$D,MATCH(C555,[1]Detallado!$B:$B,0))</f>
        <v>Fondo HMC II (USD)</v>
      </c>
      <c r="I555" s="28"/>
      <c r="J555" s="184" t="str">
        <f t="shared" si="17"/>
        <v>RFLBU</v>
      </c>
      <c r="O555" s="28" t="s">
        <v>4958</v>
      </c>
      <c r="P555" s="28" t="s">
        <v>4899</v>
      </c>
    </row>
    <row r="556" spans="3:16" x14ac:dyDescent="0.25">
      <c r="C556" s="28" t="s">
        <v>3201</v>
      </c>
      <c r="D556" s="188" t="str">
        <f>+INDEX([1]Detallado!$F:$F,MATCH($C556,[1]Detallado!$B:$B,0))</f>
        <v>Renta Fija</v>
      </c>
      <c r="E556" s="31" t="str">
        <f>+INDEX([1]Detallado!$Q:$Q,MATCH($C556,[1]Detallado!$B:$B,0))</f>
        <v>RFLG</v>
      </c>
      <c r="F556" s="185" t="s">
        <v>4357</v>
      </c>
      <c r="G556" s="186" t="str">
        <f t="shared" si="16"/>
        <v>49RFLG</v>
      </c>
      <c r="H556" s="187" t="str">
        <f>+INDEX([1]Detallado!$D:$D,MATCH(C556,[1]Detallado!$B:$B,0))</f>
        <v>Fondo HMC USD</v>
      </c>
      <c r="I556" s="28"/>
      <c r="J556" s="184" t="str">
        <f t="shared" si="17"/>
        <v>RFLBU</v>
      </c>
      <c r="O556" s="28" t="s">
        <v>4958</v>
      </c>
      <c r="P556" s="28" t="s">
        <v>4899</v>
      </c>
    </row>
    <row r="557" spans="3:16" x14ac:dyDescent="0.25">
      <c r="C557" s="28" t="s">
        <v>3202</v>
      </c>
      <c r="D557" s="188" t="str">
        <f>+INDEX([1]Detallado!$F:$F,MATCH($C557,[1]Detallado!$B:$B,0))</f>
        <v>Renta Fija</v>
      </c>
      <c r="E557" s="31" t="str">
        <f>+INDEX([1]Detallado!$Q:$Q,MATCH($C557,[1]Detallado!$B:$B,0))</f>
        <v>RFLG</v>
      </c>
      <c r="F557" s="185" t="s">
        <v>4357</v>
      </c>
      <c r="G557" s="186" t="str">
        <f t="shared" si="16"/>
        <v>49RFLG</v>
      </c>
      <c r="H557" s="187" t="str">
        <f>+INDEX([1]Detallado!$D:$D,MATCH(C557,[1]Detallado!$B:$B,0))</f>
        <v>Fondo HMC USD</v>
      </c>
      <c r="I557" s="28"/>
      <c r="J557" s="184" t="str">
        <f t="shared" si="17"/>
        <v>RFLBU</v>
      </c>
      <c r="O557" s="28" t="s">
        <v>4958</v>
      </c>
      <c r="P557" s="28" t="s">
        <v>4899</v>
      </c>
    </row>
    <row r="558" spans="3:16" x14ac:dyDescent="0.25">
      <c r="C558" s="28" t="s">
        <v>3203</v>
      </c>
      <c r="D558" s="188" t="str">
        <f>+INDEX([1]Detallado!$F:$F,MATCH($C558,[1]Detallado!$B:$B,0))</f>
        <v>Renta Fija</v>
      </c>
      <c r="E558" s="31" t="str">
        <f>+INDEX([1]Detallado!$Q:$Q,MATCH($C558,[1]Detallado!$B:$B,0))</f>
        <v>RFLC</v>
      </c>
      <c r="F558" s="185" t="s">
        <v>4357</v>
      </c>
      <c r="G558" s="186" t="str">
        <f t="shared" si="16"/>
        <v>18RFLC</v>
      </c>
      <c r="H558" s="187" t="str">
        <f>+INDEX([1]Detallado!$D:$D,MATCH(C558,[1]Detallado!$B:$B,0))</f>
        <v xml:space="preserve">Perú LNG </v>
      </c>
      <c r="I558" s="28"/>
      <c r="J558" s="184" t="str">
        <f t="shared" si="17"/>
        <v>RFLBU</v>
      </c>
      <c r="O558" s="28" t="s">
        <v>4959</v>
      </c>
      <c r="P558" s="28" t="s">
        <v>4895</v>
      </c>
    </row>
    <row r="559" spans="3:16" x14ac:dyDescent="0.25">
      <c r="C559" s="28" t="s">
        <v>3204</v>
      </c>
      <c r="D559" s="188" t="str">
        <f>+INDEX([1]Detallado!$F:$F,MATCH($C559,[1]Detallado!$B:$B,0))</f>
        <v>Renta Fija</v>
      </c>
      <c r="E559" s="31" t="str">
        <f>+INDEX([1]Detallado!$Q:$Q,MATCH($C559,[1]Detallado!$B:$B,0))</f>
        <v>RFLC</v>
      </c>
      <c r="F559" s="185" t="s">
        <v>4357</v>
      </c>
      <c r="G559" s="186" t="str">
        <f t="shared" si="16"/>
        <v>18RFLC</v>
      </c>
      <c r="H559" s="187" t="str">
        <f>+INDEX([1]Detallado!$D:$D,MATCH(C559,[1]Detallado!$B:$B,0))</f>
        <v xml:space="preserve">Perú LNG </v>
      </c>
      <c r="I559" s="28"/>
      <c r="J559" s="184" t="str">
        <f t="shared" si="17"/>
        <v>RFLBU</v>
      </c>
      <c r="O559" s="28" t="s">
        <v>4959</v>
      </c>
      <c r="P559" s="28" t="s">
        <v>4895</v>
      </c>
    </row>
    <row r="560" spans="3:16" x14ac:dyDescent="0.25">
      <c r="C560" s="28" t="s">
        <v>3205</v>
      </c>
      <c r="D560" s="188" t="str">
        <f>+INDEX([1]Detallado!$F:$F,MATCH($C560,[1]Detallado!$B:$B,0))</f>
        <v>Renta Fija</v>
      </c>
      <c r="E560" s="31" t="str">
        <f>+INDEX([1]Detallado!$Q:$Q,MATCH($C560,[1]Detallado!$B:$B,0))</f>
        <v>RFLC</v>
      </c>
      <c r="F560" s="185" t="s">
        <v>4357</v>
      </c>
      <c r="G560" s="186" t="str">
        <f t="shared" si="16"/>
        <v>18RFLC</v>
      </c>
      <c r="H560" s="187" t="str">
        <f>+INDEX([1]Detallado!$D:$D,MATCH(C560,[1]Detallado!$B:$B,0))</f>
        <v xml:space="preserve">Perú LNG </v>
      </c>
      <c r="I560" s="28"/>
      <c r="J560" s="184" t="str">
        <f t="shared" si="17"/>
        <v>RFLBU</v>
      </c>
      <c r="O560" s="28" t="s">
        <v>4959</v>
      </c>
      <c r="P560" s="28" t="s">
        <v>4895</v>
      </c>
    </row>
    <row r="561" spans="3:16" x14ac:dyDescent="0.25">
      <c r="C561" s="28" t="s">
        <v>3206</v>
      </c>
      <c r="D561" s="188" t="str">
        <f>+INDEX([1]Detallado!$F:$F,MATCH($C561,[1]Detallado!$B:$B,0))</f>
        <v>Renta Fija</v>
      </c>
      <c r="E561" s="31" t="str">
        <f>+INDEX([1]Detallado!$Q:$Q,MATCH($C561,[1]Detallado!$B:$B,0))</f>
        <v>RFLC</v>
      </c>
      <c r="F561" s="185" t="s">
        <v>4357</v>
      </c>
      <c r="G561" s="186" t="str">
        <f t="shared" si="16"/>
        <v>20RFLC</v>
      </c>
      <c r="H561" s="187" t="str">
        <f>+INDEX([1]Detallado!$D:$D,MATCH(C561,[1]Detallado!$B:$B,0))</f>
        <v>Banco Continental</v>
      </c>
      <c r="I561" s="28"/>
      <c r="J561" s="184" t="str">
        <f t="shared" si="17"/>
        <v>RFLBU</v>
      </c>
      <c r="O561" s="28" t="s">
        <v>4960</v>
      </c>
      <c r="P561" s="28" t="s">
        <v>4894</v>
      </c>
    </row>
    <row r="562" spans="3:16" x14ac:dyDescent="0.25">
      <c r="C562" s="28" t="s">
        <v>3207</v>
      </c>
      <c r="D562" s="188" t="str">
        <f>+INDEX([1]Detallado!$F:$F,MATCH($C562,[1]Detallado!$B:$B,0))</f>
        <v>Renta Fija</v>
      </c>
      <c r="E562" s="31" t="str">
        <f>+INDEX([1]Detallado!$Q:$Q,MATCH($C562,[1]Detallado!$B:$B,0))</f>
        <v>RFLC</v>
      </c>
      <c r="F562" s="185" t="s">
        <v>4357</v>
      </c>
      <c r="G562" s="186" t="str">
        <f t="shared" si="16"/>
        <v>20RFLC</v>
      </c>
      <c r="H562" s="187" t="str">
        <f>+INDEX([1]Detallado!$D:$D,MATCH(C562,[1]Detallado!$B:$B,0))</f>
        <v>Banco Santander</v>
      </c>
      <c r="I562" s="28"/>
      <c r="J562" s="184" t="str">
        <f t="shared" si="17"/>
        <v>RFLBU</v>
      </c>
      <c r="O562" s="28" t="s">
        <v>4960</v>
      </c>
      <c r="P562" s="28" t="s">
        <v>4894</v>
      </c>
    </row>
    <row r="563" spans="3:16" x14ac:dyDescent="0.25">
      <c r="C563" s="28" t="s">
        <v>3208</v>
      </c>
      <c r="D563" s="188" t="str">
        <f>+INDEX([1]Detallado!$F:$F,MATCH($C563,[1]Detallado!$B:$B,0))</f>
        <v>Renta Fija</v>
      </c>
      <c r="E563" s="31" t="str">
        <f>+INDEX([1]Detallado!$Q:$Q,MATCH($C563,[1]Detallado!$B:$B,0))</f>
        <v>RFLC</v>
      </c>
      <c r="F563" s="185" t="s">
        <v>4357</v>
      </c>
      <c r="G563" s="186" t="str">
        <f t="shared" si="16"/>
        <v>20RFLC</v>
      </c>
      <c r="H563" s="187" t="str">
        <f>+INDEX([1]Detallado!$D:$D,MATCH(C563,[1]Detallado!$B:$B,0))</f>
        <v>Leasing Total</v>
      </c>
      <c r="I563" s="28"/>
      <c r="J563" s="184" t="str">
        <f t="shared" si="17"/>
        <v>RFLBU</v>
      </c>
      <c r="O563" s="28" t="s">
        <v>4960</v>
      </c>
      <c r="P563" s="28" t="s">
        <v>4894</v>
      </c>
    </row>
    <row r="564" spans="3:16" x14ac:dyDescent="0.25">
      <c r="C564" s="28" t="s">
        <v>3209</v>
      </c>
      <c r="D564" s="188" t="str">
        <f>+INDEX([1]Detallado!$F:$F,MATCH($C564,[1]Detallado!$B:$B,0))</f>
        <v>Renta Fija</v>
      </c>
      <c r="E564" s="31" t="str">
        <f>+INDEX([1]Detallado!$Q:$Q,MATCH($C564,[1]Detallado!$B:$B,0))</f>
        <v>RFLC</v>
      </c>
      <c r="F564" s="185" t="s">
        <v>4357</v>
      </c>
      <c r="G564" s="186" t="str">
        <f t="shared" si="16"/>
        <v>20RFLC</v>
      </c>
      <c r="H564" s="187" t="str">
        <f>+INDEX([1]Detallado!$D:$D,MATCH(C564,[1]Detallado!$B:$B,0))</f>
        <v>Leasing Total</v>
      </c>
      <c r="I564" s="28"/>
      <c r="J564" s="184" t="str">
        <f t="shared" si="17"/>
        <v>RFLBU</v>
      </c>
      <c r="O564" s="28" t="s">
        <v>4619</v>
      </c>
      <c r="P564" s="28" t="s">
        <v>4894</v>
      </c>
    </row>
    <row r="565" spans="3:16" x14ac:dyDescent="0.25">
      <c r="C565" s="28" t="s">
        <v>3210</v>
      </c>
      <c r="D565" s="188" t="str">
        <f>+INDEX([1]Detallado!$F:$F,MATCH($C565,[1]Detallado!$B:$B,0))</f>
        <v>Renta Fija</v>
      </c>
      <c r="E565" s="31" t="str">
        <f>+INDEX([1]Detallado!$Q:$Q,MATCH($C565,[1]Detallado!$B:$B,0))</f>
        <v>RFLC</v>
      </c>
      <c r="F565" s="185" t="s">
        <v>4357</v>
      </c>
      <c r="G565" s="186" t="str">
        <f t="shared" si="16"/>
        <v>20RFLC</v>
      </c>
      <c r="H565" s="187" t="str">
        <f>+INDEX([1]Detallado!$D:$D,MATCH(C565,[1]Detallado!$B:$B,0))</f>
        <v>Leasing Total</v>
      </c>
      <c r="I565" s="28"/>
      <c r="J565" s="184" t="str">
        <f t="shared" si="17"/>
        <v>RFLBU</v>
      </c>
      <c r="O565" s="28" t="s">
        <v>4961</v>
      </c>
      <c r="P565" s="28" t="s">
        <v>4962</v>
      </c>
    </row>
    <row r="566" spans="3:16" x14ac:dyDescent="0.25">
      <c r="C566" s="28" t="s">
        <v>3211</v>
      </c>
      <c r="D566" s="188" t="str">
        <f>+INDEX([1]Detallado!$F:$F,MATCH($C566,[1]Detallado!$B:$B,0))</f>
        <v>Renta Fija</v>
      </c>
      <c r="E566" s="31" t="str">
        <f>+INDEX([1]Detallado!$Q:$Q,MATCH($C566,[1]Detallado!$B:$B,0))</f>
        <v>RFLC</v>
      </c>
      <c r="F566" s="185" t="s">
        <v>4357</v>
      </c>
      <c r="G566" s="186" t="str">
        <f t="shared" si="16"/>
        <v>21RFLC</v>
      </c>
      <c r="H566" s="187" t="str">
        <f>+INDEX([1]Detallado!$D:$D,MATCH(C566,[1]Detallado!$B:$B,0))</f>
        <v>Banco de Crédito del Perú</v>
      </c>
      <c r="I566" s="28"/>
      <c r="J566" s="184" t="str">
        <f t="shared" si="17"/>
        <v>RFLBU</v>
      </c>
      <c r="O566" s="28" t="s">
        <v>4963</v>
      </c>
      <c r="P566" s="28" t="s">
        <v>4902</v>
      </c>
    </row>
    <row r="567" spans="3:16" x14ac:dyDescent="0.25">
      <c r="C567" s="28" t="s">
        <v>3212</v>
      </c>
      <c r="D567" s="188" t="str">
        <f>+INDEX([1]Detallado!$F:$F,MATCH($C567,[1]Detallado!$B:$B,0))</f>
        <v>Renta Fija</v>
      </c>
      <c r="E567" s="31" t="str">
        <f>+INDEX([1]Detallado!$Q:$Q,MATCH($C567,[1]Detallado!$B:$B,0))</f>
        <v>RFLC</v>
      </c>
      <c r="F567" s="185" t="s">
        <v>4357</v>
      </c>
      <c r="G567" s="186" t="str">
        <f t="shared" si="16"/>
        <v>21RFLC</v>
      </c>
      <c r="H567" s="187" t="str">
        <f>+INDEX([1]Detallado!$D:$D,MATCH(C567,[1]Detallado!$B:$B,0))</f>
        <v>Banco de Crédito del Perú</v>
      </c>
      <c r="I567" s="28"/>
      <c r="J567" s="184" t="str">
        <f t="shared" si="17"/>
        <v>RFLBU</v>
      </c>
      <c r="O567" s="28" t="s">
        <v>4964</v>
      </c>
      <c r="P567" s="28" t="s">
        <v>4902</v>
      </c>
    </row>
    <row r="568" spans="3:16" x14ac:dyDescent="0.25">
      <c r="C568" s="28" t="s">
        <v>3213</v>
      </c>
      <c r="D568" s="188" t="str">
        <f>+INDEX([1]Detallado!$F:$F,MATCH($C568,[1]Detallado!$B:$B,0))</f>
        <v>Renta Fija</v>
      </c>
      <c r="E568" s="31" t="str">
        <f>+INDEX([1]Detallado!$Q:$Q,MATCH($C568,[1]Detallado!$B:$B,0))</f>
        <v>RFLC</v>
      </c>
      <c r="F568" s="185" t="s">
        <v>4357</v>
      </c>
      <c r="G568" s="186" t="str">
        <f t="shared" si="16"/>
        <v>21RFLC</v>
      </c>
      <c r="H568" s="187" t="str">
        <f>+INDEX([1]Detallado!$D:$D,MATCH(C568,[1]Detallado!$B:$B,0))</f>
        <v>Banco de Crédito del Perú</v>
      </c>
      <c r="I568" s="28"/>
      <c r="J568" s="184" t="str">
        <f t="shared" si="17"/>
        <v>RFLBU</v>
      </c>
      <c r="O568" s="28" t="s">
        <v>4964</v>
      </c>
      <c r="P568" s="28" t="s">
        <v>4902</v>
      </c>
    </row>
    <row r="569" spans="3:16" x14ac:dyDescent="0.25">
      <c r="C569" s="28" t="s">
        <v>3214</v>
      </c>
      <c r="D569" s="188" t="str">
        <f>+INDEX([1]Detallado!$F:$F,MATCH($C569,[1]Detallado!$B:$B,0))</f>
        <v>Renta Fija</v>
      </c>
      <c r="E569" s="31" t="str">
        <f>+INDEX([1]Detallado!$Q:$Q,MATCH($C569,[1]Detallado!$B:$B,0))</f>
        <v>RFLC</v>
      </c>
      <c r="F569" s="185" t="s">
        <v>4357</v>
      </c>
      <c r="G569" s="186" t="str">
        <f t="shared" si="16"/>
        <v>21RFLC</v>
      </c>
      <c r="H569" s="187" t="str">
        <f>+INDEX([1]Detallado!$D:$D,MATCH(C569,[1]Detallado!$B:$B,0))</f>
        <v>Banco de Crédito del Perú</v>
      </c>
      <c r="I569" s="28"/>
      <c r="J569" s="184" t="str">
        <f t="shared" si="17"/>
        <v>RFLBU</v>
      </c>
      <c r="O569" s="28" t="s">
        <v>4964</v>
      </c>
      <c r="P569" s="28" t="s">
        <v>4902</v>
      </c>
    </row>
    <row r="570" spans="3:16" x14ac:dyDescent="0.25">
      <c r="C570" s="28" t="s">
        <v>3215</v>
      </c>
      <c r="D570" s="188" t="str">
        <f>+INDEX([1]Detallado!$F:$F,MATCH($C570,[1]Detallado!$B:$B,0))</f>
        <v>Renta Fija</v>
      </c>
      <c r="E570" s="31" t="str">
        <f>+INDEX([1]Detallado!$Q:$Q,MATCH($C570,[1]Detallado!$B:$B,0))</f>
        <v>RFLC</v>
      </c>
      <c r="F570" s="185" t="s">
        <v>4357</v>
      </c>
      <c r="G570" s="186" t="str">
        <f t="shared" si="16"/>
        <v>21RFLC</v>
      </c>
      <c r="H570" s="187" t="str">
        <f>+INDEX([1]Detallado!$D:$D,MATCH(C570,[1]Detallado!$B:$B,0))</f>
        <v>Banco de Crédito del Perú</v>
      </c>
      <c r="I570" s="28"/>
      <c r="J570" s="184" t="str">
        <f t="shared" si="17"/>
        <v>RFLBU</v>
      </c>
      <c r="O570" s="28" t="s">
        <v>4964</v>
      </c>
      <c r="P570" s="28" t="s">
        <v>4902</v>
      </c>
    </row>
    <row r="571" spans="3:16" x14ac:dyDescent="0.25">
      <c r="C571" s="28" t="s">
        <v>3216</v>
      </c>
      <c r="D571" s="188" t="str">
        <f>+INDEX([1]Detallado!$F:$F,MATCH($C571,[1]Detallado!$B:$B,0))</f>
        <v>Renta Fija</v>
      </c>
      <c r="E571" s="31" t="str">
        <f>+INDEX([1]Detallado!$Q:$Q,MATCH($C571,[1]Detallado!$B:$B,0))</f>
        <v>RFLC</v>
      </c>
      <c r="F571" s="185" t="s">
        <v>4357</v>
      </c>
      <c r="G571" s="186" t="str">
        <f t="shared" si="16"/>
        <v>21RFLC</v>
      </c>
      <c r="H571" s="187" t="str">
        <f>+INDEX([1]Detallado!$D:$D,MATCH(C571,[1]Detallado!$B:$B,0))</f>
        <v>Banco de Crédito del Perú</v>
      </c>
      <c r="I571" s="28"/>
      <c r="J571" s="184" t="str">
        <f t="shared" si="17"/>
        <v>RFLBU</v>
      </c>
      <c r="O571" s="28" t="s">
        <v>4964</v>
      </c>
      <c r="P571" s="28" t="s">
        <v>4902</v>
      </c>
    </row>
    <row r="572" spans="3:16" x14ac:dyDescent="0.25">
      <c r="C572" s="28" t="s">
        <v>3217</v>
      </c>
      <c r="D572" s="188" t="str">
        <f>+INDEX([1]Detallado!$F:$F,MATCH($C572,[1]Detallado!$B:$B,0))</f>
        <v>Renta Fija</v>
      </c>
      <c r="E572" s="31" t="str">
        <f>+INDEX([1]Detallado!$Q:$Q,MATCH($C572,[1]Detallado!$B:$B,0))</f>
        <v>RFLC</v>
      </c>
      <c r="F572" s="185" t="s">
        <v>4357</v>
      </c>
      <c r="G572" s="186" t="str">
        <f t="shared" si="16"/>
        <v>21RFLC</v>
      </c>
      <c r="H572" s="187" t="str">
        <f>+INDEX([1]Detallado!$D:$D,MATCH(C572,[1]Detallado!$B:$B,0))</f>
        <v xml:space="preserve">Banco Internacional del Perú </v>
      </c>
      <c r="I572" s="28"/>
      <c r="J572" s="184" t="str">
        <f t="shared" si="17"/>
        <v>RFLBU</v>
      </c>
      <c r="O572" s="28" t="s">
        <v>4964</v>
      </c>
      <c r="P572" s="28" t="s">
        <v>4902</v>
      </c>
    </row>
    <row r="573" spans="3:16" x14ac:dyDescent="0.25">
      <c r="C573" s="28" t="s">
        <v>3218</v>
      </c>
      <c r="D573" s="188" t="str">
        <f>+INDEX([1]Detallado!$F:$F,MATCH($C573,[1]Detallado!$B:$B,0))</f>
        <v>Renta Fija</v>
      </c>
      <c r="E573" s="31" t="str">
        <f>+INDEX([1]Detallado!$Q:$Q,MATCH($C573,[1]Detallado!$B:$B,0))</f>
        <v>RFLC</v>
      </c>
      <c r="F573" s="185" t="s">
        <v>4357</v>
      </c>
      <c r="G573" s="186" t="str">
        <f t="shared" si="16"/>
        <v>21RFLC</v>
      </c>
      <c r="H573" s="187" t="str">
        <f>+INDEX([1]Detallado!$D:$D,MATCH(C573,[1]Detallado!$B:$B,0))</f>
        <v xml:space="preserve">Banco Internacional del Perú </v>
      </c>
      <c r="I573" s="28"/>
      <c r="J573" s="184" t="str">
        <f t="shared" si="17"/>
        <v>RFLBU</v>
      </c>
      <c r="O573" s="28" t="s">
        <v>4964</v>
      </c>
      <c r="P573" s="28" t="s">
        <v>4902</v>
      </c>
    </row>
    <row r="574" spans="3:16" x14ac:dyDescent="0.25">
      <c r="C574" s="28" t="s">
        <v>3219</v>
      </c>
      <c r="D574" s="188" t="str">
        <f>+INDEX([1]Detallado!$F:$F,MATCH($C574,[1]Detallado!$B:$B,0))</f>
        <v>Renta Fija</v>
      </c>
      <c r="E574" s="31" t="str">
        <f>+INDEX([1]Detallado!$Q:$Q,MATCH($C574,[1]Detallado!$B:$B,0))</f>
        <v>RFLC</v>
      </c>
      <c r="F574" s="185" t="s">
        <v>4357</v>
      </c>
      <c r="G574" s="186" t="str">
        <f t="shared" si="16"/>
        <v>21RFLC</v>
      </c>
      <c r="H574" s="187" t="str">
        <f>+INDEX([1]Detallado!$D:$D,MATCH(C574,[1]Detallado!$B:$B,0))</f>
        <v xml:space="preserve">Banco Internacional del Perú </v>
      </c>
      <c r="I574" s="28"/>
      <c r="J574" s="184" t="str">
        <f t="shared" si="17"/>
        <v>RFLBU</v>
      </c>
      <c r="O574" s="28" t="s">
        <v>4964</v>
      </c>
      <c r="P574" s="28" t="s">
        <v>4902</v>
      </c>
    </row>
    <row r="575" spans="3:16" x14ac:dyDescent="0.25">
      <c r="C575" s="28" t="s">
        <v>3220</v>
      </c>
      <c r="D575" s="188" t="str">
        <f>+INDEX([1]Detallado!$F:$F,MATCH($C575,[1]Detallado!$B:$B,0))</f>
        <v>Renta Fija</v>
      </c>
      <c r="E575" s="31" t="str">
        <f>+INDEX([1]Detallado!$Q:$Q,MATCH($C575,[1]Detallado!$B:$B,0))</f>
        <v>RFLC</v>
      </c>
      <c r="F575" s="185" t="s">
        <v>4357</v>
      </c>
      <c r="G575" s="186" t="str">
        <f t="shared" si="16"/>
        <v>21RFLC</v>
      </c>
      <c r="H575" s="187" t="str">
        <f>+INDEX([1]Detallado!$D:$D,MATCH(C575,[1]Detallado!$B:$B,0))</f>
        <v>Banco Continental</v>
      </c>
      <c r="I575" s="28"/>
      <c r="J575" s="184" t="str">
        <f t="shared" si="17"/>
        <v>RFLBU</v>
      </c>
      <c r="O575" s="28" t="s">
        <v>4964</v>
      </c>
      <c r="P575" s="28" t="s">
        <v>4902</v>
      </c>
    </row>
    <row r="576" spans="3:16" x14ac:dyDescent="0.25">
      <c r="C576" s="28" t="s">
        <v>3221</v>
      </c>
      <c r="D576" s="188" t="str">
        <f>+INDEX([1]Detallado!$F:$F,MATCH($C576,[1]Detallado!$B:$B,0))</f>
        <v>Renta Fija</v>
      </c>
      <c r="E576" s="31" t="str">
        <f>+INDEX([1]Detallado!$Q:$Q,MATCH($C576,[1]Detallado!$B:$B,0))</f>
        <v>RFLC</v>
      </c>
      <c r="F576" s="185" t="s">
        <v>4357</v>
      </c>
      <c r="G576" s="186" t="str">
        <f t="shared" si="16"/>
        <v>21RFLC</v>
      </c>
      <c r="H576" s="187" t="str">
        <f>+INDEX([1]Detallado!$D:$D,MATCH(C576,[1]Detallado!$B:$B,0))</f>
        <v>Banco Continental</v>
      </c>
      <c r="I576" s="28"/>
      <c r="J576" s="184" t="str">
        <f t="shared" si="17"/>
        <v>RFLBU</v>
      </c>
      <c r="O576" s="28" t="s">
        <v>4563</v>
      </c>
      <c r="P576" s="28" t="s">
        <v>4902</v>
      </c>
    </row>
    <row r="577" spans="3:16" x14ac:dyDescent="0.25">
      <c r="C577" s="28" t="s">
        <v>3222</v>
      </c>
      <c r="D577" s="188" t="str">
        <f>+INDEX([1]Detallado!$F:$F,MATCH($C577,[1]Detallado!$B:$B,0))</f>
        <v>Renta Fija</v>
      </c>
      <c r="E577" s="31" t="str">
        <f>+INDEX([1]Detallado!$Q:$Q,MATCH($C577,[1]Detallado!$B:$B,0))</f>
        <v>RFLC</v>
      </c>
      <c r="F577" s="185" t="s">
        <v>4357</v>
      </c>
      <c r="G577" s="186" t="str">
        <f t="shared" si="16"/>
        <v>21RFLC</v>
      </c>
      <c r="H577" s="187" t="str">
        <f>+INDEX([1]Detallado!$D:$D,MATCH(C577,[1]Detallado!$B:$B,0))</f>
        <v>Banco Continental</v>
      </c>
      <c r="I577" s="28"/>
      <c r="J577" s="184" t="str">
        <f t="shared" si="17"/>
        <v>RFLBU</v>
      </c>
      <c r="O577" s="28" t="s">
        <v>4965</v>
      </c>
      <c r="P577" s="28" t="s">
        <v>4902</v>
      </c>
    </row>
    <row r="578" spans="3:16" x14ac:dyDescent="0.25">
      <c r="C578" s="28" t="s">
        <v>3223</v>
      </c>
      <c r="D578" s="188" t="str">
        <f>+INDEX([1]Detallado!$F:$F,MATCH($C578,[1]Detallado!$B:$B,0))</f>
        <v>Renta Fija</v>
      </c>
      <c r="E578" s="31" t="str">
        <f>+INDEX([1]Detallado!$Q:$Q,MATCH($C578,[1]Detallado!$B:$B,0))</f>
        <v>RFLC</v>
      </c>
      <c r="F578" s="185" t="s">
        <v>4357</v>
      </c>
      <c r="G578" s="186" t="str">
        <f t="shared" si="16"/>
        <v>21RFLC</v>
      </c>
      <c r="H578" s="187" t="str">
        <f>+INDEX([1]Detallado!$D:$D,MATCH(C578,[1]Detallado!$B:$B,0))</f>
        <v>Banco Continental</v>
      </c>
      <c r="I578" s="28"/>
      <c r="J578" s="184" t="str">
        <f t="shared" si="17"/>
        <v>RFLBU</v>
      </c>
      <c r="O578" s="28" t="s">
        <v>4965</v>
      </c>
      <c r="P578" s="28" t="s">
        <v>4902</v>
      </c>
    </row>
    <row r="579" spans="3:16" x14ac:dyDescent="0.25">
      <c r="C579" s="28" t="s">
        <v>3224</v>
      </c>
      <c r="D579" s="188" t="str">
        <f>+INDEX([1]Detallado!$F:$F,MATCH($C579,[1]Detallado!$B:$B,0))</f>
        <v>Renta Fija</v>
      </c>
      <c r="E579" s="31" t="str">
        <f>+INDEX([1]Detallado!$Q:$Q,MATCH($C579,[1]Detallado!$B:$B,0))</f>
        <v>RFLC</v>
      </c>
      <c r="F579" s="185" t="s">
        <v>4357</v>
      </c>
      <c r="G579" s="186" t="str">
        <f t="shared" si="16"/>
        <v>21RFLC</v>
      </c>
      <c r="H579" s="187" t="str">
        <f>+INDEX([1]Detallado!$D:$D,MATCH(C579,[1]Detallado!$B:$B,0))</f>
        <v>Banco Financiero</v>
      </c>
      <c r="I579" s="28"/>
      <c r="J579" s="184" t="str">
        <f t="shared" si="17"/>
        <v>RFLBU</v>
      </c>
      <c r="O579" s="28" t="s">
        <v>4965</v>
      </c>
      <c r="P579" s="28" t="s">
        <v>4902</v>
      </c>
    </row>
    <row r="580" spans="3:16" x14ac:dyDescent="0.25">
      <c r="C580" s="28" t="s">
        <v>3225</v>
      </c>
      <c r="D580" s="188" t="str">
        <f>+INDEX([1]Detallado!$F:$F,MATCH($C580,[1]Detallado!$B:$B,0))</f>
        <v>Renta Fija</v>
      </c>
      <c r="E580" s="31" t="str">
        <f>+INDEX([1]Detallado!$Q:$Q,MATCH($C580,[1]Detallado!$B:$B,0))</f>
        <v>RFLC</v>
      </c>
      <c r="F580" s="185" t="s">
        <v>4357</v>
      </c>
      <c r="G580" s="186" t="str">
        <f t="shared" si="16"/>
        <v>21RFLC</v>
      </c>
      <c r="H580" s="187" t="str">
        <f>+INDEX([1]Detallado!$D:$D,MATCH(C580,[1]Detallado!$B:$B,0))</f>
        <v>Banco Interamericano de Finanzas</v>
      </c>
      <c r="I580" s="28"/>
      <c r="J580" s="184" t="str">
        <f t="shared" si="17"/>
        <v>RFLBU</v>
      </c>
      <c r="O580" s="28" t="s">
        <v>4965</v>
      </c>
      <c r="P580" s="28" t="s">
        <v>4902</v>
      </c>
    </row>
    <row r="581" spans="3:16" x14ac:dyDescent="0.25">
      <c r="C581" s="28" t="s">
        <v>3226</v>
      </c>
      <c r="D581" s="188" t="str">
        <f>+INDEX([1]Detallado!$F:$F,MATCH($C581,[1]Detallado!$B:$B,0))</f>
        <v>Renta Fija</v>
      </c>
      <c r="E581" s="31" t="str">
        <f>+INDEX([1]Detallado!$Q:$Q,MATCH($C581,[1]Detallado!$B:$B,0))</f>
        <v>RFLC</v>
      </c>
      <c r="F581" s="185" t="s">
        <v>4357</v>
      </c>
      <c r="G581" s="186" t="str">
        <f t="shared" si="16"/>
        <v>21RFLC</v>
      </c>
      <c r="H581" s="187" t="str">
        <f>+INDEX([1]Detallado!$D:$D,MATCH(C581,[1]Detallado!$B:$B,0))</f>
        <v>Banco Interamericano de Finanzas</v>
      </c>
      <c r="I581" s="28"/>
      <c r="J581" s="184" t="str">
        <f t="shared" si="17"/>
        <v>RFLBU</v>
      </c>
      <c r="O581" s="28" t="s">
        <v>4965</v>
      </c>
      <c r="P581" s="28" t="s">
        <v>4902</v>
      </c>
    </row>
    <row r="582" spans="3:16" x14ac:dyDescent="0.25">
      <c r="C582" s="28" t="s">
        <v>3227</v>
      </c>
      <c r="D582" s="188" t="str">
        <f>+INDEX([1]Detallado!$F:$F,MATCH($C582,[1]Detallado!$B:$B,0))</f>
        <v>Renta Fija</v>
      </c>
      <c r="E582" s="31" t="str">
        <f>+INDEX([1]Detallado!$Q:$Q,MATCH($C582,[1]Detallado!$B:$B,0))</f>
        <v>RFLC</v>
      </c>
      <c r="F582" s="185" t="s">
        <v>4357</v>
      </c>
      <c r="G582" s="186" t="str">
        <f t="shared" si="16"/>
        <v>21RFLC</v>
      </c>
      <c r="H582" s="187" t="str">
        <f>+INDEX([1]Detallado!$D:$D,MATCH(C582,[1]Detallado!$B:$B,0))</f>
        <v>Interseguro</v>
      </c>
      <c r="I582" s="28"/>
      <c r="J582" s="184" t="str">
        <f t="shared" si="17"/>
        <v>RFLBU</v>
      </c>
      <c r="O582" s="28" t="s">
        <v>4965</v>
      </c>
      <c r="P582" s="28" t="s">
        <v>4902</v>
      </c>
    </row>
    <row r="583" spans="3:16" x14ac:dyDescent="0.25">
      <c r="C583" s="28" t="s">
        <v>3228</v>
      </c>
      <c r="D583" s="188" t="str">
        <f>+INDEX([1]Detallado!$F:$F,MATCH($C583,[1]Detallado!$B:$B,0))</f>
        <v>Renta Fija</v>
      </c>
      <c r="E583" s="31" t="str">
        <f>+INDEX([1]Detallado!$Q:$Q,MATCH($C583,[1]Detallado!$B:$B,0))</f>
        <v>RFLC</v>
      </c>
      <c r="F583" s="185" t="s">
        <v>4357</v>
      </c>
      <c r="G583" s="186" t="str">
        <f t="shared" si="16"/>
        <v>21RFLC</v>
      </c>
      <c r="H583" s="187" t="str">
        <f>+INDEX([1]Detallado!$D:$D,MATCH(C583,[1]Detallado!$B:$B,0))</f>
        <v>Interseguro</v>
      </c>
      <c r="I583" s="28"/>
      <c r="J583" s="184" t="str">
        <f t="shared" si="17"/>
        <v>RFLBU</v>
      </c>
      <c r="O583" s="28" t="s">
        <v>4965</v>
      </c>
      <c r="P583" s="28" t="s">
        <v>4902</v>
      </c>
    </row>
    <row r="584" spans="3:16" x14ac:dyDescent="0.25">
      <c r="C584" s="28" t="s">
        <v>3229</v>
      </c>
      <c r="D584" s="188" t="str">
        <f>+INDEX([1]Detallado!$F:$F,MATCH($C584,[1]Detallado!$B:$B,0))</f>
        <v>Renta Fija</v>
      </c>
      <c r="E584" s="31" t="str">
        <f>+INDEX([1]Detallado!$Q:$Q,MATCH($C584,[1]Detallado!$B:$B,0))</f>
        <v>RFLC</v>
      </c>
      <c r="F584" s="185" t="s">
        <v>4357</v>
      </c>
      <c r="G584" s="186" t="str">
        <f t="shared" si="16"/>
        <v>21RFLC</v>
      </c>
      <c r="H584" s="187" t="str">
        <f>+INDEX([1]Detallado!$D:$D,MATCH(C584,[1]Detallado!$B:$B,0))</f>
        <v>Interseguro</v>
      </c>
      <c r="I584" s="28"/>
      <c r="J584" s="184" t="str">
        <f t="shared" si="17"/>
        <v>RFLBU</v>
      </c>
      <c r="O584" s="28" t="s">
        <v>4965</v>
      </c>
      <c r="P584" s="28" t="s">
        <v>4902</v>
      </c>
    </row>
    <row r="585" spans="3:16" x14ac:dyDescent="0.25">
      <c r="C585" s="28" t="s">
        <v>226</v>
      </c>
      <c r="D585" s="188" t="str">
        <f>+INDEX([1]Detallado!$F:$F,MATCH($C585,[1]Detallado!$B:$B,0))</f>
        <v>Renta Fija</v>
      </c>
      <c r="E585" s="31" t="str">
        <f>+INDEX([1]Detallado!$Q:$Q,MATCH($C585,[1]Detallado!$B:$B,0))</f>
        <v>RFLC</v>
      </c>
      <c r="F585" s="185" t="s">
        <v>4357</v>
      </c>
      <c r="G585" s="186" t="str">
        <f t="shared" si="16"/>
        <v>21RFLC</v>
      </c>
      <c r="H585" s="187" t="str">
        <f>+INDEX([1]Detallado!$D:$D,MATCH(C585,[1]Detallado!$B:$B,0))</f>
        <v>Interseguro</v>
      </c>
      <c r="I585" s="28"/>
      <c r="J585" s="184" t="str">
        <f t="shared" si="17"/>
        <v>RFLBU</v>
      </c>
      <c r="O585" s="28" t="s">
        <v>4965</v>
      </c>
      <c r="P585" s="28" t="s">
        <v>4902</v>
      </c>
    </row>
    <row r="586" spans="3:16" x14ac:dyDescent="0.25">
      <c r="C586" s="28" t="s">
        <v>3230</v>
      </c>
      <c r="D586" s="188" t="str">
        <f>+INDEX([1]Detallado!$F:$F,MATCH($C586,[1]Detallado!$B:$B,0))</f>
        <v>Renta Fija</v>
      </c>
      <c r="E586" s="31" t="str">
        <f>+INDEX([1]Detallado!$Q:$Q,MATCH($C586,[1]Detallado!$B:$B,0))</f>
        <v>RFLC</v>
      </c>
      <c r="F586" s="185" t="s">
        <v>4357</v>
      </c>
      <c r="G586" s="186" t="str">
        <f t="shared" ref="G586:G649" si="18">LEFT(C586,2)&amp;E586</f>
        <v>21RFLC</v>
      </c>
      <c r="H586" s="187" t="str">
        <f>+INDEX([1]Detallado!$D:$D,MATCH(C586,[1]Detallado!$B:$B,0))</f>
        <v>Interseguro</v>
      </c>
      <c r="I586" s="28"/>
      <c r="J586" s="184" t="str">
        <f t="shared" ref="J586:J649" si="19">IF(E586="ALT",LEFT(E586,3),LEFT(E586,3)&amp;F586)</f>
        <v>RFLBU</v>
      </c>
      <c r="O586" s="28" t="s">
        <v>4965</v>
      </c>
      <c r="P586" s="28" t="s">
        <v>4902</v>
      </c>
    </row>
    <row r="587" spans="3:16" x14ac:dyDescent="0.25">
      <c r="C587" s="28" t="s">
        <v>2799</v>
      </c>
      <c r="D587" s="188" t="str">
        <f>+INDEX([1]Detallado!$F:$F,MATCH($C587,[1]Detallado!$B:$B,0))</f>
        <v>Renta Fija</v>
      </c>
      <c r="E587" s="31" t="str">
        <f>+INDEX([1]Detallado!$Q:$Q,MATCH($C587,[1]Detallado!$B:$B,0))</f>
        <v>RFLC</v>
      </c>
      <c r="F587" s="185" t="s">
        <v>4357</v>
      </c>
      <c r="G587" s="186" t="str">
        <f t="shared" si="18"/>
        <v>21RFLC</v>
      </c>
      <c r="H587" s="187" t="str">
        <f>+INDEX([1]Detallado!$D:$D,MATCH(C587,[1]Detallado!$B:$B,0))</f>
        <v>Pacífico Peruano Suiza</v>
      </c>
      <c r="I587" s="28"/>
      <c r="J587" s="184" t="str">
        <f t="shared" si="19"/>
        <v>RFLBU</v>
      </c>
      <c r="O587" s="28" t="s">
        <v>4965</v>
      </c>
      <c r="P587" s="28" t="s">
        <v>4902</v>
      </c>
    </row>
    <row r="588" spans="3:16" x14ac:dyDescent="0.25">
      <c r="C588" s="28" t="s">
        <v>3231</v>
      </c>
      <c r="D588" s="188" t="str">
        <f>+INDEX([1]Detallado!$F:$F,MATCH($C588,[1]Detallado!$B:$B,0))</f>
        <v>Renta Fija</v>
      </c>
      <c r="E588" s="31" t="str">
        <f>+INDEX([1]Detallado!$Q:$Q,MATCH($C588,[1]Detallado!$B:$B,0))</f>
        <v>RFLC</v>
      </c>
      <c r="F588" s="185" t="s">
        <v>4357</v>
      </c>
      <c r="G588" s="186" t="str">
        <f t="shared" si="18"/>
        <v>21RFLC</v>
      </c>
      <c r="H588" s="187" t="str">
        <f>+INDEX([1]Detallado!$D:$D,MATCH(C588,[1]Detallado!$B:$B,0))</f>
        <v>Pacífico Peruano Suiza</v>
      </c>
      <c r="I588" s="28"/>
      <c r="J588" s="184" t="str">
        <f t="shared" si="19"/>
        <v>RFLBU</v>
      </c>
      <c r="O588" s="28" t="s">
        <v>4965</v>
      </c>
      <c r="P588" s="28" t="s">
        <v>4902</v>
      </c>
    </row>
    <row r="589" spans="3:16" x14ac:dyDescent="0.25">
      <c r="C589" s="28" t="s">
        <v>3232</v>
      </c>
      <c r="D589" s="188" t="str">
        <f>+INDEX([1]Detallado!$F:$F,MATCH($C589,[1]Detallado!$B:$B,0))</f>
        <v>Renta Fija</v>
      </c>
      <c r="E589" s="31" t="str">
        <f>+INDEX([1]Detallado!$Q:$Q,MATCH($C589,[1]Detallado!$B:$B,0))</f>
        <v>RFLC</v>
      </c>
      <c r="F589" s="185" t="s">
        <v>4357</v>
      </c>
      <c r="G589" s="186" t="str">
        <f t="shared" si="18"/>
        <v>22RFLC</v>
      </c>
      <c r="H589" s="187" t="str">
        <f>+INDEX([1]Detallado!$D:$D,MATCH(C589,[1]Detallado!$B:$B,0))</f>
        <v>Cemento Andino</v>
      </c>
      <c r="I589" s="28"/>
      <c r="J589" s="184" t="str">
        <f t="shared" si="19"/>
        <v>RFLBU</v>
      </c>
      <c r="O589" s="28" t="s">
        <v>4965</v>
      </c>
      <c r="P589" s="28" t="s">
        <v>4902</v>
      </c>
    </row>
    <row r="590" spans="3:16" x14ac:dyDescent="0.25">
      <c r="C590" s="28" t="s">
        <v>3233</v>
      </c>
      <c r="D590" s="188" t="str">
        <f>+INDEX([1]Detallado!$F:$F,MATCH($C590,[1]Detallado!$B:$B,0))</f>
        <v>Renta Fija</v>
      </c>
      <c r="E590" s="31" t="str">
        <f>+INDEX([1]Detallado!$Q:$Q,MATCH($C590,[1]Detallado!$B:$B,0))</f>
        <v>RFLC</v>
      </c>
      <c r="F590" s="185" t="s">
        <v>4357</v>
      </c>
      <c r="G590" s="186" t="str">
        <f t="shared" si="18"/>
        <v>22RFLC</v>
      </c>
      <c r="H590" s="187" t="str">
        <f>+INDEX([1]Detallado!$D:$D,MATCH(C590,[1]Detallado!$B:$B,0))</f>
        <v xml:space="preserve">Edegel </v>
      </c>
      <c r="I590" s="28"/>
      <c r="J590" s="184" t="str">
        <f t="shared" si="19"/>
        <v>RFLBU</v>
      </c>
      <c r="O590" s="28" t="s">
        <v>4965</v>
      </c>
      <c r="P590" s="28" t="s">
        <v>4902</v>
      </c>
    </row>
    <row r="591" spans="3:16" x14ac:dyDescent="0.25">
      <c r="C591" s="28" t="s">
        <v>3234</v>
      </c>
      <c r="D591" s="188" t="str">
        <f>+INDEX([1]Detallado!$F:$F,MATCH($C591,[1]Detallado!$B:$B,0))</f>
        <v>Renta Fija</v>
      </c>
      <c r="E591" s="31" t="str">
        <f>+INDEX([1]Detallado!$Q:$Q,MATCH($C591,[1]Detallado!$B:$B,0))</f>
        <v>RFLC</v>
      </c>
      <c r="F591" s="185" t="s">
        <v>4357</v>
      </c>
      <c r="G591" s="186" t="str">
        <f t="shared" si="18"/>
        <v>22RFLC</v>
      </c>
      <c r="H591" s="187" t="str">
        <f>+INDEX([1]Detallado!$D:$D,MATCH(C591,[1]Detallado!$B:$B,0))</f>
        <v xml:space="preserve">Edegel </v>
      </c>
      <c r="I591" s="28"/>
      <c r="J591" s="184" t="str">
        <f t="shared" si="19"/>
        <v>RFLBU</v>
      </c>
      <c r="O591" s="28" t="s">
        <v>4965</v>
      </c>
      <c r="P591" s="28" t="s">
        <v>4902</v>
      </c>
    </row>
    <row r="592" spans="3:16" x14ac:dyDescent="0.25">
      <c r="C592" s="28" t="s">
        <v>3235</v>
      </c>
      <c r="D592" s="188" t="str">
        <f>+INDEX([1]Detallado!$F:$F,MATCH($C592,[1]Detallado!$B:$B,0))</f>
        <v>Renta Fija</v>
      </c>
      <c r="E592" s="31" t="str">
        <f>+INDEX([1]Detallado!$Q:$Q,MATCH($C592,[1]Detallado!$B:$B,0))</f>
        <v>RFLC</v>
      </c>
      <c r="F592" s="185" t="s">
        <v>4357</v>
      </c>
      <c r="G592" s="186" t="str">
        <f t="shared" si="18"/>
        <v>22RFLC</v>
      </c>
      <c r="H592" s="187" t="str">
        <f>+INDEX([1]Detallado!$D:$D,MATCH(C592,[1]Detallado!$B:$B,0))</f>
        <v xml:space="preserve">Edegel </v>
      </c>
      <c r="I592" s="28"/>
      <c r="J592" s="184" t="str">
        <f t="shared" si="19"/>
        <v>RFLBU</v>
      </c>
      <c r="O592" s="28" t="s">
        <v>4965</v>
      </c>
      <c r="P592" s="28" t="s">
        <v>4902</v>
      </c>
    </row>
    <row r="593" spans="3:16" x14ac:dyDescent="0.25">
      <c r="C593" s="28" t="s">
        <v>3236</v>
      </c>
      <c r="D593" s="188" t="str">
        <f>+INDEX([1]Detallado!$F:$F,MATCH($C593,[1]Detallado!$B:$B,0))</f>
        <v>Renta Fija</v>
      </c>
      <c r="E593" s="31" t="str">
        <f>+INDEX([1]Detallado!$Q:$Q,MATCH($C593,[1]Detallado!$B:$B,0))</f>
        <v>RFLC</v>
      </c>
      <c r="F593" s="185" t="s">
        <v>4357</v>
      </c>
      <c r="G593" s="186" t="str">
        <f t="shared" si="18"/>
        <v>22RFLC</v>
      </c>
      <c r="H593" s="187" t="str">
        <f>+INDEX([1]Detallado!$D:$D,MATCH(C593,[1]Detallado!$B:$B,0))</f>
        <v xml:space="preserve">Edegel </v>
      </c>
      <c r="I593" s="28"/>
      <c r="J593" s="184" t="str">
        <f t="shared" si="19"/>
        <v>RFLBU</v>
      </c>
      <c r="O593" s="28" t="s">
        <v>4965</v>
      </c>
      <c r="P593" s="28" t="s">
        <v>4902</v>
      </c>
    </row>
    <row r="594" spans="3:16" x14ac:dyDescent="0.25">
      <c r="C594" s="28" t="s">
        <v>3237</v>
      </c>
      <c r="D594" s="188" t="str">
        <f>+INDEX([1]Detallado!$F:$F,MATCH($C594,[1]Detallado!$B:$B,0))</f>
        <v>Renta Fija</v>
      </c>
      <c r="E594" s="31" t="str">
        <f>+INDEX([1]Detallado!$Q:$Q,MATCH($C594,[1]Detallado!$B:$B,0))</f>
        <v>RFLC</v>
      </c>
      <c r="F594" s="185" t="s">
        <v>4357</v>
      </c>
      <c r="G594" s="186" t="str">
        <f t="shared" si="18"/>
        <v>22RFLC</v>
      </c>
      <c r="H594" s="187" t="str">
        <f>+INDEX([1]Detallado!$D:$D,MATCH(C594,[1]Detallado!$B:$B,0))</f>
        <v xml:space="preserve">Edegel </v>
      </c>
      <c r="I594" s="28"/>
      <c r="J594" s="184" t="str">
        <f t="shared" si="19"/>
        <v>RFLBU</v>
      </c>
      <c r="O594" s="28" t="s">
        <v>4965</v>
      </c>
      <c r="P594" s="28" t="s">
        <v>4902</v>
      </c>
    </row>
    <row r="595" spans="3:16" x14ac:dyDescent="0.25">
      <c r="C595" s="28" t="s">
        <v>3238</v>
      </c>
      <c r="D595" s="188" t="str">
        <f>+INDEX([1]Detallado!$F:$F,MATCH($C595,[1]Detallado!$B:$B,0))</f>
        <v>Renta Fija</v>
      </c>
      <c r="E595" s="31" t="str">
        <f>+INDEX([1]Detallado!$Q:$Q,MATCH($C595,[1]Detallado!$B:$B,0))</f>
        <v>RFLC</v>
      </c>
      <c r="F595" s="185" t="s">
        <v>4357</v>
      </c>
      <c r="G595" s="186" t="str">
        <f t="shared" si="18"/>
        <v>22RFLC</v>
      </c>
      <c r="H595" s="187" t="str">
        <f>+INDEX([1]Detallado!$D:$D,MATCH(C595,[1]Detallado!$B:$B,0))</f>
        <v xml:space="preserve">Duke Energy International Egenor </v>
      </c>
      <c r="I595" s="28"/>
      <c r="J595" s="184" t="str">
        <f t="shared" si="19"/>
        <v>RFLBU</v>
      </c>
      <c r="O595" s="28" t="s">
        <v>4965</v>
      </c>
      <c r="P595" s="28" t="s">
        <v>4902</v>
      </c>
    </row>
    <row r="596" spans="3:16" x14ac:dyDescent="0.25">
      <c r="C596" s="28" t="s">
        <v>3239</v>
      </c>
      <c r="D596" s="188" t="str">
        <f>+INDEX([1]Detallado!$F:$F,MATCH($C596,[1]Detallado!$B:$B,0))</f>
        <v>Renta Fija</v>
      </c>
      <c r="E596" s="31" t="str">
        <f>+INDEX([1]Detallado!$Q:$Q,MATCH($C596,[1]Detallado!$B:$B,0))</f>
        <v>RFLC</v>
      </c>
      <c r="F596" s="185" t="s">
        <v>4357</v>
      </c>
      <c r="G596" s="186" t="str">
        <f t="shared" si="18"/>
        <v>22RFLC</v>
      </c>
      <c r="H596" s="187" t="str">
        <f>+INDEX([1]Detallado!$D:$D,MATCH(C596,[1]Detallado!$B:$B,0))</f>
        <v xml:space="preserve">Duke Energy International Egenor </v>
      </c>
      <c r="I596" s="28"/>
      <c r="J596" s="184" t="str">
        <f t="shared" si="19"/>
        <v>RFLBU</v>
      </c>
      <c r="O596" s="28" t="s">
        <v>4965</v>
      </c>
      <c r="P596" s="28" t="s">
        <v>4902</v>
      </c>
    </row>
    <row r="597" spans="3:16" x14ac:dyDescent="0.25">
      <c r="C597" s="28" t="s">
        <v>3240</v>
      </c>
      <c r="D597" s="188" t="str">
        <f>+INDEX([1]Detallado!$F:$F,MATCH($C597,[1]Detallado!$B:$B,0))</f>
        <v>Renta Fija</v>
      </c>
      <c r="E597" s="31" t="str">
        <f>+INDEX([1]Detallado!$Q:$Q,MATCH($C597,[1]Detallado!$B:$B,0))</f>
        <v>RFLC</v>
      </c>
      <c r="F597" s="185" t="s">
        <v>4357</v>
      </c>
      <c r="G597" s="186" t="str">
        <f t="shared" si="18"/>
        <v>22RFLC</v>
      </c>
      <c r="H597" s="187" t="str">
        <f>+INDEX([1]Detallado!$D:$D,MATCH(C597,[1]Detallado!$B:$B,0))</f>
        <v xml:space="preserve">Consorcio Agua Azul </v>
      </c>
      <c r="I597" s="28"/>
      <c r="J597" s="184" t="str">
        <f t="shared" si="19"/>
        <v>RFLBU</v>
      </c>
      <c r="O597" s="28" t="s">
        <v>4965</v>
      </c>
      <c r="P597" s="28" t="s">
        <v>4902</v>
      </c>
    </row>
    <row r="598" spans="3:16" x14ac:dyDescent="0.25">
      <c r="C598" s="28" t="s">
        <v>3241</v>
      </c>
      <c r="D598" s="188" t="str">
        <f>+INDEX([1]Detallado!$F:$F,MATCH($C598,[1]Detallado!$B:$B,0))</f>
        <v>Renta Fija</v>
      </c>
      <c r="E598" s="31" t="str">
        <f>+INDEX([1]Detallado!$Q:$Q,MATCH($C598,[1]Detallado!$B:$B,0))</f>
        <v>RFLC</v>
      </c>
      <c r="F598" s="185" t="s">
        <v>4357</v>
      </c>
      <c r="G598" s="186" t="str">
        <f t="shared" si="18"/>
        <v>22RFLC</v>
      </c>
      <c r="H598" s="187" t="str">
        <f>+INDEX([1]Detallado!$D:$D,MATCH(C598,[1]Detallado!$B:$B,0))</f>
        <v xml:space="preserve">Consorcio Agua Azul </v>
      </c>
      <c r="I598" s="28"/>
      <c r="J598" s="184" t="str">
        <f t="shared" si="19"/>
        <v>RFLBU</v>
      </c>
      <c r="O598" s="28" t="s">
        <v>4965</v>
      </c>
      <c r="P598" s="28" t="s">
        <v>4902</v>
      </c>
    </row>
    <row r="599" spans="3:16" x14ac:dyDescent="0.25">
      <c r="C599" s="28" t="s">
        <v>3242</v>
      </c>
      <c r="D599" s="188" t="str">
        <f>+INDEX([1]Detallado!$F:$F,MATCH($C599,[1]Detallado!$B:$B,0))</f>
        <v>Renta Fija</v>
      </c>
      <c r="E599" s="31" t="str">
        <f>+INDEX([1]Detallado!$Q:$Q,MATCH($C599,[1]Detallado!$B:$B,0))</f>
        <v>RFLC</v>
      </c>
      <c r="F599" s="185" t="s">
        <v>4357</v>
      </c>
      <c r="G599" s="186" t="str">
        <f t="shared" si="18"/>
        <v>22RFLC</v>
      </c>
      <c r="H599" s="187" t="str">
        <f>+INDEX([1]Detallado!$D:$D,MATCH(C599,[1]Detallado!$B:$B,0))</f>
        <v xml:space="preserve">Red de Energía del Perú </v>
      </c>
      <c r="I599" s="28"/>
      <c r="J599" s="184" t="str">
        <f t="shared" si="19"/>
        <v>RFLBU</v>
      </c>
      <c r="O599" s="28" t="s">
        <v>4965</v>
      </c>
      <c r="P599" s="28" t="s">
        <v>4902</v>
      </c>
    </row>
    <row r="600" spans="3:16" x14ac:dyDescent="0.25">
      <c r="C600" s="28" t="s">
        <v>3243</v>
      </c>
      <c r="D600" s="188" t="str">
        <f>+INDEX([1]Detallado!$F:$F,MATCH($C600,[1]Detallado!$B:$B,0))</f>
        <v>Renta Fija</v>
      </c>
      <c r="E600" s="31" t="str">
        <f>+INDEX([1]Detallado!$Q:$Q,MATCH($C600,[1]Detallado!$B:$B,0))</f>
        <v>RFLC</v>
      </c>
      <c r="F600" s="185" t="s">
        <v>4357</v>
      </c>
      <c r="G600" s="186" t="str">
        <f t="shared" si="18"/>
        <v>22RFLC</v>
      </c>
      <c r="H600" s="187" t="str">
        <f>+INDEX([1]Detallado!$D:$D,MATCH(C600,[1]Detallado!$B:$B,0))</f>
        <v xml:space="preserve">Red de Energía del Perú </v>
      </c>
      <c r="I600" s="28"/>
      <c r="J600" s="184" t="str">
        <f t="shared" si="19"/>
        <v>RFLBU</v>
      </c>
      <c r="O600" s="28" t="s">
        <v>4965</v>
      </c>
      <c r="P600" s="28" t="s">
        <v>4902</v>
      </c>
    </row>
    <row r="601" spans="3:16" x14ac:dyDescent="0.25">
      <c r="C601" s="28" t="s">
        <v>3244</v>
      </c>
      <c r="D601" s="188" t="str">
        <f>+INDEX([1]Detallado!$F:$F,MATCH($C601,[1]Detallado!$B:$B,0))</f>
        <v>Renta Fija</v>
      </c>
      <c r="E601" s="31" t="str">
        <f>+INDEX([1]Detallado!$Q:$Q,MATCH($C601,[1]Detallado!$B:$B,0))</f>
        <v>RFLC</v>
      </c>
      <c r="F601" s="185" t="s">
        <v>4357</v>
      </c>
      <c r="G601" s="186" t="str">
        <f t="shared" si="18"/>
        <v>22RFLC</v>
      </c>
      <c r="H601" s="187" t="str">
        <f>+INDEX([1]Detallado!$D:$D,MATCH(C601,[1]Detallado!$B:$B,0))</f>
        <v>Leasing Total</v>
      </c>
      <c r="I601" s="28"/>
      <c r="J601" s="184" t="str">
        <f t="shared" si="19"/>
        <v>RFLBU</v>
      </c>
      <c r="O601" s="28" t="s">
        <v>4965</v>
      </c>
      <c r="P601" s="28" t="s">
        <v>4902</v>
      </c>
    </row>
    <row r="602" spans="3:16" x14ac:dyDescent="0.25">
      <c r="C602" s="28" t="s">
        <v>3245</v>
      </c>
      <c r="D602" s="188" t="str">
        <f>+INDEX([1]Detallado!$F:$F,MATCH($C602,[1]Detallado!$B:$B,0))</f>
        <v>Renta Fija</v>
      </c>
      <c r="E602" s="31" t="str">
        <f>+INDEX([1]Detallado!$Q:$Q,MATCH($C602,[1]Detallado!$B:$B,0))</f>
        <v>RFLC</v>
      </c>
      <c r="F602" s="185" t="s">
        <v>4357</v>
      </c>
      <c r="G602" s="186" t="str">
        <f t="shared" si="18"/>
        <v>22RFLC</v>
      </c>
      <c r="H602" s="187" t="str">
        <f>+INDEX([1]Detallado!$D:$D,MATCH(C602,[1]Detallado!$B:$B,0))</f>
        <v xml:space="preserve">Red de Energía del Perú </v>
      </c>
      <c r="I602" s="28"/>
      <c r="J602" s="184" t="str">
        <f t="shared" si="19"/>
        <v>RFLBU</v>
      </c>
      <c r="O602" s="28" t="s">
        <v>4965</v>
      </c>
      <c r="P602" s="28" t="s">
        <v>4902</v>
      </c>
    </row>
    <row r="603" spans="3:16" x14ac:dyDescent="0.25">
      <c r="C603" s="28" t="s">
        <v>3246</v>
      </c>
      <c r="D603" s="188" t="str">
        <f>+INDEX([1]Detallado!$F:$F,MATCH($C603,[1]Detallado!$B:$B,0))</f>
        <v>Renta Fija</v>
      </c>
      <c r="E603" s="31" t="str">
        <f>+INDEX([1]Detallado!$Q:$Q,MATCH($C603,[1]Detallado!$B:$B,0))</f>
        <v>RFLC</v>
      </c>
      <c r="F603" s="185" t="s">
        <v>4357</v>
      </c>
      <c r="G603" s="186" t="str">
        <f t="shared" si="18"/>
        <v>22RFLC</v>
      </c>
      <c r="H603" s="187" t="str">
        <f>+INDEX([1]Detallado!$D:$D,MATCH(C603,[1]Detallado!$B:$B,0))</f>
        <v xml:space="preserve">Red de Energía del Perú </v>
      </c>
      <c r="I603" s="28"/>
      <c r="J603" s="184" t="str">
        <f t="shared" si="19"/>
        <v>RFLBU</v>
      </c>
      <c r="O603" s="28" t="s">
        <v>4965</v>
      </c>
      <c r="P603" s="28" t="s">
        <v>4902</v>
      </c>
    </row>
    <row r="604" spans="3:16" x14ac:dyDescent="0.25">
      <c r="C604" s="28" t="s">
        <v>3247</v>
      </c>
      <c r="D604" s="188" t="str">
        <f>+INDEX([1]Detallado!$F:$F,MATCH($C604,[1]Detallado!$B:$B,0))</f>
        <v>Renta Fija</v>
      </c>
      <c r="E604" s="31" t="str">
        <f>+INDEX([1]Detallado!$Q:$Q,MATCH($C604,[1]Detallado!$B:$B,0))</f>
        <v>RFLC</v>
      </c>
      <c r="F604" s="185" t="s">
        <v>4357</v>
      </c>
      <c r="G604" s="186" t="str">
        <f t="shared" si="18"/>
        <v>22RFLC</v>
      </c>
      <c r="H604" s="187" t="str">
        <f>+INDEX([1]Detallado!$D:$D,MATCH(C604,[1]Detallado!$B:$B,0))</f>
        <v xml:space="preserve">Red de Energía del Perú </v>
      </c>
      <c r="I604" s="28"/>
      <c r="J604" s="184" t="str">
        <f t="shared" si="19"/>
        <v>RFLBU</v>
      </c>
      <c r="O604" s="28" t="s">
        <v>4965</v>
      </c>
      <c r="P604" s="28" t="s">
        <v>4902</v>
      </c>
    </row>
    <row r="605" spans="3:16" x14ac:dyDescent="0.25">
      <c r="C605" s="28" t="s">
        <v>3248</v>
      </c>
      <c r="D605" s="188" t="str">
        <f>+INDEX([1]Detallado!$F:$F,MATCH($C605,[1]Detallado!$B:$B,0))</f>
        <v>Renta Fija</v>
      </c>
      <c r="E605" s="31" t="str">
        <f>+INDEX([1]Detallado!$Q:$Q,MATCH($C605,[1]Detallado!$B:$B,0))</f>
        <v>RFLC</v>
      </c>
      <c r="F605" s="185" t="s">
        <v>4357</v>
      </c>
      <c r="G605" s="186" t="str">
        <f t="shared" si="18"/>
        <v>22RFLC</v>
      </c>
      <c r="H605" s="187" t="str">
        <f>+INDEX([1]Detallado!$D:$D,MATCH(C605,[1]Detallado!$B:$B,0))</f>
        <v xml:space="preserve">Red de Energía del Perú </v>
      </c>
      <c r="I605" s="28"/>
      <c r="J605" s="184" t="str">
        <f t="shared" si="19"/>
        <v>RFLBU</v>
      </c>
      <c r="O605" s="28" t="s">
        <v>4965</v>
      </c>
      <c r="P605" s="28" t="s">
        <v>4902</v>
      </c>
    </row>
    <row r="606" spans="3:16" x14ac:dyDescent="0.25">
      <c r="C606" s="28" t="s">
        <v>3249</v>
      </c>
      <c r="D606" s="188" t="str">
        <f>+INDEX([1]Detallado!$F:$F,MATCH($C606,[1]Detallado!$B:$B,0))</f>
        <v>Renta Fija</v>
      </c>
      <c r="E606" s="31" t="str">
        <f>+INDEX([1]Detallado!$Q:$Q,MATCH($C606,[1]Detallado!$B:$B,0))</f>
        <v>RFLC</v>
      </c>
      <c r="F606" s="185" t="s">
        <v>4357</v>
      </c>
      <c r="G606" s="186" t="str">
        <f t="shared" si="18"/>
        <v>22RFLC</v>
      </c>
      <c r="H606" s="187" t="str">
        <f>+INDEX([1]Detallado!$D:$D,MATCH(C606,[1]Detallado!$B:$B,0))</f>
        <v xml:space="preserve">Red de Energía del Perú </v>
      </c>
      <c r="I606" s="28"/>
      <c r="J606" s="184" t="str">
        <f t="shared" si="19"/>
        <v>RFLBU</v>
      </c>
      <c r="O606" s="28" t="s">
        <v>4965</v>
      </c>
      <c r="P606" s="28" t="s">
        <v>4902</v>
      </c>
    </row>
    <row r="607" spans="3:16" x14ac:dyDescent="0.25">
      <c r="C607" s="28" t="s">
        <v>3250</v>
      </c>
      <c r="D607" s="188" t="str">
        <f>+INDEX([1]Detallado!$F:$F,MATCH($C607,[1]Detallado!$B:$B,0))</f>
        <v>Renta Fija</v>
      </c>
      <c r="E607" s="31" t="str">
        <f>+INDEX([1]Detallado!$Q:$Q,MATCH($C607,[1]Detallado!$B:$B,0))</f>
        <v>RFLC</v>
      </c>
      <c r="F607" s="185" t="s">
        <v>4357</v>
      </c>
      <c r="G607" s="186" t="str">
        <f t="shared" si="18"/>
        <v>22RFLC</v>
      </c>
      <c r="H607" s="187" t="str">
        <f>+INDEX([1]Detallado!$D:$D,MATCH(C607,[1]Detallado!$B:$B,0))</f>
        <v xml:space="preserve">Energía del Sur </v>
      </c>
      <c r="I607" s="28"/>
      <c r="J607" s="184" t="str">
        <f t="shared" si="19"/>
        <v>RFLBU</v>
      </c>
      <c r="O607" s="28" t="s">
        <v>4965</v>
      </c>
      <c r="P607" s="28" t="s">
        <v>4902</v>
      </c>
    </row>
    <row r="608" spans="3:16" x14ac:dyDescent="0.25">
      <c r="C608" s="28" t="s">
        <v>3251</v>
      </c>
      <c r="D608" s="188" t="str">
        <f>+INDEX([1]Detallado!$F:$F,MATCH($C608,[1]Detallado!$B:$B,0))</f>
        <v>Renta Fija</v>
      </c>
      <c r="E608" s="31" t="str">
        <f>+INDEX([1]Detallado!$Q:$Q,MATCH($C608,[1]Detallado!$B:$B,0))</f>
        <v>RFLC</v>
      </c>
      <c r="F608" s="185" t="s">
        <v>4357</v>
      </c>
      <c r="G608" s="186" t="str">
        <f t="shared" si="18"/>
        <v>22RFLC</v>
      </c>
      <c r="H608" s="187" t="str">
        <f>+INDEX([1]Detallado!$D:$D,MATCH(C608,[1]Detallado!$B:$B,0))</f>
        <v xml:space="preserve">Energía del Sur </v>
      </c>
      <c r="I608" s="28"/>
      <c r="J608" s="184" t="str">
        <f t="shared" si="19"/>
        <v>RFLBU</v>
      </c>
      <c r="O608" s="28" t="s">
        <v>4965</v>
      </c>
      <c r="P608" s="28" t="s">
        <v>4902</v>
      </c>
    </row>
    <row r="609" spans="3:16" x14ac:dyDescent="0.25">
      <c r="C609" s="28" t="s">
        <v>3252</v>
      </c>
      <c r="D609" s="188" t="str">
        <f>+INDEX([1]Detallado!$F:$F,MATCH($C609,[1]Detallado!$B:$B,0))</f>
        <v>Renta Fija</v>
      </c>
      <c r="E609" s="31" t="str">
        <f>+INDEX([1]Detallado!$Q:$Q,MATCH($C609,[1]Detallado!$B:$B,0))</f>
        <v>RFLC</v>
      </c>
      <c r="F609" s="185" t="s">
        <v>4357</v>
      </c>
      <c r="G609" s="186" t="str">
        <f t="shared" si="18"/>
        <v>22RFLC</v>
      </c>
      <c r="H609" s="187" t="str">
        <f>+INDEX([1]Detallado!$D:$D,MATCH(C609,[1]Detallado!$B:$B,0))</f>
        <v xml:space="preserve">Concesionario Trasvase Olmos </v>
      </c>
      <c r="I609" s="28"/>
      <c r="J609" s="184" t="str">
        <f t="shared" si="19"/>
        <v>RFLBU</v>
      </c>
      <c r="O609" s="28" t="s">
        <v>4966</v>
      </c>
      <c r="P609" s="28" t="s">
        <v>4897</v>
      </c>
    </row>
    <row r="610" spans="3:16" x14ac:dyDescent="0.25">
      <c r="C610" s="28" t="s">
        <v>3253</v>
      </c>
      <c r="D610" s="188" t="str">
        <f>+INDEX([1]Detallado!$F:$F,MATCH($C610,[1]Detallado!$B:$B,0))</f>
        <v>Renta Fija</v>
      </c>
      <c r="E610" s="31" t="str">
        <f>+INDEX([1]Detallado!$Q:$Q,MATCH($C610,[1]Detallado!$B:$B,0))</f>
        <v>RFLC</v>
      </c>
      <c r="F610" s="185" t="s">
        <v>4357</v>
      </c>
      <c r="G610" s="186" t="str">
        <f t="shared" si="18"/>
        <v>22RFLC</v>
      </c>
      <c r="H610" s="187" t="str">
        <f>+INDEX([1]Detallado!$D:$D,MATCH(C610,[1]Detallado!$B:$B,0))</f>
        <v xml:space="preserve">Concesionario Trasvase Olmos </v>
      </c>
      <c r="I610" s="28"/>
      <c r="J610" s="184" t="str">
        <f t="shared" si="19"/>
        <v>RFLBU</v>
      </c>
      <c r="O610" s="28" t="s">
        <v>4966</v>
      </c>
      <c r="P610" s="28" t="s">
        <v>4897</v>
      </c>
    </row>
    <row r="611" spans="3:16" x14ac:dyDescent="0.25">
      <c r="C611" s="28" t="s">
        <v>3254</v>
      </c>
      <c r="D611" s="188" t="str">
        <f>+INDEX([1]Detallado!$F:$F,MATCH($C611,[1]Detallado!$B:$B,0))</f>
        <v>Renta Fija</v>
      </c>
      <c r="E611" s="31" t="str">
        <f>+INDEX([1]Detallado!$Q:$Q,MATCH($C611,[1]Detallado!$B:$B,0))</f>
        <v>RFLC</v>
      </c>
      <c r="F611" s="185" t="s">
        <v>4357</v>
      </c>
      <c r="G611" s="186" t="str">
        <f t="shared" si="18"/>
        <v>22RFLC</v>
      </c>
      <c r="H611" s="187" t="str">
        <f>+INDEX([1]Detallado!$D:$D,MATCH(C611,[1]Detallado!$B:$B,0))</f>
        <v xml:space="preserve">Pluspetrol Camisea </v>
      </c>
      <c r="I611" s="28"/>
      <c r="J611" s="184" t="str">
        <f t="shared" si="19"/>
        <v>RFLBU</v>
      </c>
      <c r="O611" s="28" t="s">
        <v>4966</v>
      </c>
      <c r="P611" s="28" t="s">
        <v>4897</v>
      </c>
    </row>
    <row r="612" spans="3:16" x14ac:dyDescent="0.25">
      <c r="C612" s="28" t="s">
        <v>3255</v>
      </c>
      <c r="D612" s="188" t="str">
        <f>+INDEX([1]Detallado!$F:$F,MATCH($C612,[1]Detallado!$B:$B,0))</f>
        <v>Renta Fija</v>
      </c>
      <c r="E612" s="31" t="str">
        <f>+INDEX([1]Detallado!$Q:$Q,MATCH($C612,[1]Detallado!$B:$B,0))</f>
        <v>RFLC</v>
      </c>
      <c r="F612" s="185" t="s">
        <v>4357</v>
      </c>
      <c r="G612" s="186" t="str">
        <f t="shared" si="18"/>
        <v>22RFLC</v>
      </c>
      <c r="H612" s="187" t="str">
        <f>+INDEX([1]Detallado!$D:$D,MATCH(C612,[1]Detallado!$B:$B,0))</f>
        <v xml:space="preserve">Pluspetrol Camisea </v>
      </c>
      <c r="I612" s="28"/>
      <c r="J612" s="184" t="str">
        <f t="shared" si="19"/>
        <v>RFLBU</v>
      </c>
      <c r="O612" s="28" t="s">
        <v>4966</v>
      </c>
      <c r="P612" s="28" t="s">
        <v>4897</v>
      </c>
    </row>
    <row r="613" spans="3:16" x14ac:dyDescent="0.25">
      <c r="C613" s="28" t="s">
        <v>3256</v>
      </c>
      <c r="D613" s="188" t="str">
        <f>+INDEX([1]Detallado!$F:$F,MATCH($C613,[1]Detallado!$B:$B,0))</f>
        <v>Renta Fija</v>
      </c>
      <c r="E613" s="31" t="str">
        <f>+INDEX([1]Detallado!$Q:$Q,MATCH($C613,[1]Detallado!$B:$B,0))</f>
        <v>RFLC</v>
      </c>
      <c r="F613" s="185" t="s">
        <v>4357</v>
      </c>
      <c r="G613" s="186" t="str">
        <f t="shared" si="18"/>
        <v>22RFLC</v>
      </c>
      <c r="H613" s="187" t="str">
        <f>+INDEX([1]Detallado!$D:$D,MATCH(C613,[1]Detallado!$B:$B,0))</f>
        <v>Kallpa Generación S.A</v>
      </c>
      <c r="I613" s="28"/>
      <c r="J613" s="184" t="str">
        <f t="shared" si="19"/>
        <v>RFLBU</v>
      </c>
      <c r="O613" s="28" t="s">
        <v>4966</v>
      </c>
      <c r="P613" s="28" t="s">
        <v>4897</v>
      </c>
    </row>
    <row r="614" spans="3:16" x14ac:dyDescent="0.25">
      <c r="C614" s="28" t="s">
        <v>3257</v>
      </c>
      <c r="D614" s="188" t="str">
        <f>+INDEX([1]Detallado!$F:$F,MATCH($C614,[1]Detallado!$B:$B,0))</f>
        <v>Renta Fija</v>
      </c>
      <c r="E614" s="31" t="str">
        <f>+INDEX([1]Detallado!$Q:$Q,MATCH($C614,[1]Detallado!$B:$B,0))</f>
        <v>RFLC</v>
      </c>
      <c r="F614" s="185" t="s">
        <v>4357</v>
      </c>
      <c r="G614" s="186" t="str">
        <f t="shared" si="18"/>
        <v>22RFLC</v>
      </c>
      <c r="H614" s="187" t="str">
        <f>+INDEX([1]Detallado!$D:$D,MATCH(C614,[1]Detallado!$B:$B,0))</f>
        <v>Pluspetrol Lote 56</v>
      </c>
      <c r="I614" s="28"/>
      <c r="J614" s="184" t="str">
        <f t="shared" si="19"/>
        <v>RFLBU</v>
      </c>
      <c r="O614" s="28" t="s">
        <v>4436</v>
      </c>
      <c r="P614" s="28" t="s">
        <v>4902</v>
      </c>
    </row>
    <row r="615" spans="3:16" x14ac:dyDescent="0.25">
      <c r="C615" s="28" t="s">
        <v>3258</v>
      </c>
      <c r="D615" s="188" t="str">
        <f>+INDEX([1]Detallado!$F:$F,MATCH($C615,[1]Detallado!$B:$B,0))</f>
        <v>Renta Fija</v>
      </c>
      <c r="E615" s="31" t="str">
        <f>+INDEX([1]Detallado!$Q:$Q,MATCH($C615,[1]Detallado!$B:$B,0))</f>
        <v>RFLC</v>
      </c>
      <c r="F615" s="185" t="s">
        <v>4357</v>
      </c>
      <c r="G615" s="186" t="str">
        <f t="shared" si="18"/>
        <v>22RFLC</v>
      </c>
      <c r="H615" s="187" t="str">
        <f>+INDEX([1]Detallado!$D:$D,MATCH(C615,[1]Detallado!$B:$B,0))</f>
        <v>Pluspetrol Lote 56</v>
      </c>
      <c r="I615" s="28"/>
      <c r="J615" s="184" t="str">
        <f t="shared" si="19"/>
        <v>RFLBU</v>
      </c>
      <c r="O615" s="28" t="s">
        <v>4436</v>
      </c>
      <c r="P615" s="28" t="s">
        <v>4902</v>
      </c>
    </row>
    <row r="616" spans="3:16" x14ac:dyDescent="0.25">
      <c r="C616" s="28" t="s">
        <v>3259</v>
      </c>
      <c r="D616" s="188" t="str">
        <f>+INDEX([1]Detallado!$F:$F,MATCH($C616,[1]Detallado!$B:$B,0))</f>
        <v>Renta Fija</v>
      </c>
      <c r="E616" s="31" t="str">
        <f>+INDEX([1]Detallado!$Q:$Q,MATCH($C616,[1]Detallado!$B:$B,0))</f>
        <v>RFLC</v>
      </c>
      <c r="F616" s="185" t="s">
        <v>4357</v>
      </c>
      <c r="G616" s="186" t="str">
        <f t="shared" si="18"/>
        <v>22RFLC</v>
      </c>
      <c r="H616" s="187" t="str">
        <f>+INDEX([1]Detallado!$D:$D,MATCH(C616,[1]Detallado!$B:$B,0))</f>
        <v>Ferreycorp S.A.A.</v>
      </c>
      <c r="I616" s="28"/>
      <c r="J616" s="184" t="str">
        <f t="shared" si="19"/>
        <v>RFLBU</v>
      </c>
      <c r="O616" s="28" t="s">
        <v>4436</v>
      </c>
      <c r="P616" s="28" t="s">
        <v>4902</v>
      </c>
    </row>
    <row r="617" spans="3:16" x14ac:dyDescent="0.25">
      <c r="C617" s="28" t="s">
        <v>3260</v>
      </c>
      <c r="D617" s="188" t="str">
        <f>+INDEX([1]Detallado!$F:$F,MATCH($C617,[1]Detallado!$B:$B,0))</f>
        <v>Renta Fija</v>
      </c>
      <c r="E617" s="31" t="str">
        <f>+INDEX([1]Detallado!$Q:$Q,MATCH($C617,[1]Detallado!$B:$B,0))</f>
        <v>RFLC</v>
      </c>
      <c r="F617" s="185" t="s">
        <v>4357</v>
      </c>
      <c r="G617" s="186" t="str">
        <f t="shared" si="18"/>
        <v>22RFLC</v>
      </c>
      <c r="H617" s="187" t="str">
        <f>+INDEX([1]Detallado!$D:$D,MATCH(C617,[1]Detallado!$B:$B,0))</f>
        <v>Ferreycorp S.A.A.</v>
      </c>
      <c r="I617" s="28"/>
      <c r="J617" s="184" t="str">
        <f t="shared" si="19"/>
        <v>RFLBU</v>
      </c>
      <c r="O617" s="28" t="s">
        <v>4436</v>
      </c>
      <c r="P617" s="28" t="s">
        <v>4902</v>
      </c>
    </row>
    <row r="618" spans="3:16" x14ac:dyDescent="0.25">
      <c r="C618" s="28" t="s">
        <v>269</v>
      </c>
      <c r="D618" s="188" t="str">
        <f>+INDEX([1]Detallado!$F:$F,MATCH($C618,[1]Detallado!$B:$B,0))</f>
        <v>Renta Fija</v>
      </c>
      <c r="E618" s="31" t="str">
        <f>+INDEX([1]Detallado!$Q:$Q,MATCH($C618,[1]Detallado!$B:$B,0))</f>
        <v>RFLC</v>
      </c>
      <c r="F618" s="185" t="s">
        <v>4357</v>
      </c>
      <c r="G618" s="186" t="str">
        <f t="shared" si="18"/>
        <v>22RFLC</v>
      </c>
      <c r="H618" s="187" t="str">
        <f>+INDEX([1]Detallado!$D:$D,MATCH(C618,[1]Detallado!$B:$B,0))</f>
        <v>Jockey Plaza</v>
      </c>
      <c r="I618" s="28"/>
      <c r="J618" s="184" t="str">
        <f t="shared" si="19"/>
        <v>RFLBU</v>
      </c>
      <c r="O618" s="28" t="s">
        <v>4436</v>
      </c>
      <c r="P618" s="28" t="s">
        <v>4902</v>
      </c>
    </row>
    <row r="619" spans="3:16" x14ac:dyDescent="0.25">
      <c r="C619" s="28" t="s">
        <v>3261</v>
      </c>
      <c r="D619" s="188" t="str">
        <f>+INDEX([1]Detallado!$F:$F,MATCH($C619,[1]Detallado!$B:$B,0))</f>
        <v>Renta Fija</v>
      </c>
      <c r="E619" s="31" t="str">
        <f>+INDEX([1]Detallado!$Q:$Q,MATCH($C619,[1]Detallado!$B:$B,0))</f>
        <v>RFLC</v>
      </c>
      <c r="F619" s="185" t="s">
        <v>4357</v>
      </c>
      <c r="G619" s="186" t="str">
        <f t="shared" si="18"/>
        <v>22RFLC</v>
      </c>
      <c r="H619" s="187" t="str">
        <f>+INDEX([1]Detallado!$D:$D,MATCH(C619,[1]Detallado!$B:$B,0))</f>
        <v>Jockey Plaza</v>
      </c>
      <c r="I619" s="28"/>
      <c r="J619" s="184" t="str">
        <f t="shared" si="19"/>
        <v>RFLBU</v>
      </c>
      <c r="O619" s="28" t="s">
        <v>4436</v>
      </c>
      <c r="P619" s="28" t="s">
        <v>4902</v>
      </c>
    </row>
    <row r="620" spans="3:16" x14ac:dyDescent="0.25">
      <c r="C620" s="28" t="s">
        <v>3262</v>
      </c>
      <c r="D620" s="188" t="str">
        <f>+INDEX([1]Detallado!$F:$F,MATCH($C620,[1]Detallado!$B:$B,0))</f>
        <v>Renta Fija</v>
      </c>
      <c r="E620" s="31" t="str">
        <f>+INDEX([1]Detallado!$Q:$Q,MATCH($C620,[1]Detallado!$B:$B,0))</f>
        <v>RFLC</v>
      </c>
      <c r="F620" s="185" t="s">
        <v>4357</v>
      </c>
      <c r="G620" s="186" t="str">
        <f t="shared" si="18"/>
        <v>22RFLC</v>
      </c>
      <c r="H620" s="187" t="str">
        <f>+INDEX([1]Detallado!$D:$D,MATCH(C620,[1]Detallado!$B:$B,0))</f>
        <v xml:space="preserve">Telefónica del Perú </v>
      </c>
      <c r="I620" s="28"/>
      <c r="J620" s="184" t="str">
        <f t="shared" si="19"/>
        <v>RFLBU</v>
      </c>
      <c r="O620" s="28" t="s">
        <v>4436</v>
      </c>
      <c r="P620" s="28" t="s">
        <v>4902</v>
      </c>
    </row>
    <row r="621" spans="3:16" x14ac:dyDescent="0.25">
      <c r="C621" s="28" t="s">
        <v>284</v>
      </c>
      <c r="D621" s="188" t="str">
        <f>+INDEX([1]Detallado!$F:$F,MATCH($C621,[1]Detallado!$B:$B,0))</f>
        <v>Renta Fija</v>
      </c>
      <c r="E621" s="31" t="str">
        <f>+INDEX([1]Detallado!$Q:$Q,MATCH($C621,[1]Detallado!$B:$B,0))</f>
        <v>RFLC</v>
      </c>
      <c r="F621" s="185" t="s">
        <v>4357</v>
      </c>
      <c r="G621" s="186" t="str">
        <f t="shared" si="18"/>
        <v>22RFLC</v>
      </c>
      <c r="H621" s="187" t="str">
        <f>+INDEX([1]Detallado!$D:$D,MATCH(C621,[1]Detallado!$B:$B,0))</f>
        <v>Inca Rail</v>
      </c>
      <c r="I621" s="28"/>
      <c r="J621" s="184" t="str">
        <f t="shared" si="19"/>
        <v>RFLBU</v>
      </c>
      <c r="O621" s="28" t="s">
        <v>4436</v>
      </c>
      <c r="P621" s="28" t="s">
        <v>4902</v>
      </c>
    </row>
    <row r="622" spans="3:16" x14ac:dyDescent="0.25">
      <c r="C622" s="28" t="s">
        <v>3263</v>
      </c>
      <c r="D622" s="188" t="str">
        <f>+INDEX([1]Detallado!$F:$F,MATCH($C622,[1]Detallado!$B:$B,0))</f>
        <v>Renta Fija</v>
      </c>
      <c r="E622" s="31" t="str">
        <f>+INDEX([1]Detallado!$Q:$Q,MATCH($C622,[1]Detallado!$B:$B,0))</f>
        <v>RFLC</v>
      </c>
      <c r="F622" s="185" t="s">
        <v>4357</v>
      </c>
      <c r="G622" s="186" t="str">
        <f t="shared" si="18"/>
        <v>25RFLC</v>
      </c>
      <c r="H622" s="187" t="str">
        <f>+INDEX([1]Detallado!$D:$D,MATCH(C622,[1]Detallado!$B:$B,0))</f>
        <v>Banco Continental</v>
      </c>
      <c r="I622" s="28"/>
      <c r="J622" s="184" t="str">
        <f t="shared" si="19"/>
        <v>RFLBU</v>
      </c>
      <c r="O622" s="28" t="s">
        <v>4436</v>
      </c>
      <c r="P622" s="28" t="s">
        <v>4902</v>
      </c>
    </row>
    <row r="623" spans="3:16" x14ac:dyDescent="0.25">
      <c r="C623" s="28" t="s">
        <v>3264</v>
      </c>
      <c r="D623" s="188" t="str">
        <f>+INDEX([1]Detallado!$F:$F,MATCH($C623,[1]Detallado!$B:$B,0))</f>
        <v>Renta Fija</v>
      </c>
      <c r="E623" s="31" t="str">
        <f>+INDEX([1]Detallado!$Q:$Q,MATCH($C623,[1]Detallado!$B:$B,0))</f>
        <v>RFLC</v>
      </c>
      <c r="F623" s="185" t="s">
        <v>4357</v>
      </c>
      <c r="G623" s="186" t="str">
        <f t="shared" si="18"/>
        <v>25RFLC</v>
      </c>
      <c r="H623" s="187" t="str">
        <f>+INDEX([1]Detallado!$D:$D,MATCH(C623,[1]Detallado!$B:$B,0))</f>
        <v>Banco Falabella</v>
      </c>
      <c r="I623" s="28"/>
      <c r="J623" s="184" t="str">
        <f t="shared" si="19"/>
        <v>RFLBU</v>
      </c>
      <c r="O623" s="28" t="s">
        <v>4436</v>
      </c>
      <c r="P623" s="28" t="s">
        <v>4902</v>
      </c>
    </row>
    <row r="624" spans="3:16" x14ac:dyDescent="0.25">
      <c r="C624" s="28" t="s">
        <v>3265</v>
      </c>
      <c r="D624" s="188" t="str">
        <f>+INDEX([1]Detallado!$F:$F,MATCH($C624,[1]Detallado!$B:$B,0))</f>
        <v>Renta Fija</v>
      </c>
      <c r="E624" s="31" t="str">
        <f>+INDEX([1]Detallado!$Q:$Q,MATCH($C624,[1]Detallado!$B:$B,0))</f>
        <v>RFLC</v>
      </c>
      <c r="F624" s="185" t="s">
        <v>4357</v>
      </c>
      <c r="G624" s="186" t="str">
        <f t="shared" si="18"/>
        <v>27RFLC</v>
      </c>
      <c r="H624" s="187" t="str">
        <f>+INDEX([1]Detallado!$D:$D,MATCH(C624,[1]Detallado!$B:$B,0))</f>
        <v>Leasing Total</v>
      </c>
      <c r="I624" s="28"/>
      <c r="J624" s="184" t="str">
        <f t="shared" si="19"/>
        <v>RFLBU</v>
      </c>
      <c r="O624" s="28" t="s">
        <v>4436</v>
      </c>
      <c r="P624" s="28" t="s">
        <v>4902</v>
      </c>
    </row>
    <row r="625" spans="3:16" x14ac:dyDescent="0.25">
      <c r="C625" s="28" t="s">
        <v>3266</v>
      </c>
      <c r="D625" s="188" t="str">
        <f>+INDEX([1]Detallado!$F:$F,MATCH($C625,[1]Detallado!$B:$B,0))</f>
        <v>Renta Fija</v>
      </c>
      <c r="E625" s="31" t="str">
        <f>+INDEX([1]Detallado!$Q:$Q,MATCH($C625,[1]Detallado!$B:$B,0))</f>
        <v>RFLC</v>
      </c>
      <c r="F625" s="185" t="s">
        <v>4357</v>
      </c>
      <c r="G625" s="186" t="str">
        <f t="shared" si="18"/>
        <v>27RFLC</v>
      </c>
      <c r="H625" s="187" t="str">
        <f>+INDEX([1]Detallado!$D:$D,MATCH(C625,[1]Detallado!$B:$B,0))</f>
        <v xml:space="preserve">Creditítulos Sociedad Titulizadora </v>
      </c>
      <c r="I625" s="28"/>
      <c r="J625" s="184" t="str">
        <f t="shared" si="19"/>
        <v>RFLBU</v>
      </c>
      <c r="O625" s="28" t="s">
        <v>4436</v>
      </c>
      <c r="P625" s="28" t="s">
        <v>4902</v>
      </c>
    </row>
    <row r="626" spans="3:16" x14ac:dyDescent="0.25">
      <c r="C626" s="28" t="s">
        <v>3267</v>
      </c>
      <c r="D626" s="188" t="str">
        <f>+INDEX([1]Detallado!$F:$F,MATCH($C626,[1]Detallado!$B:$B,0))</f>
        <v>Renta Fija</v>
      </c>
      <c r="E626" s="31" t="str">
        <f>+INDEX([1]Detallado!$Q:$Q,MATCH($C626,[1]Detallado!$B:$B,0))</f>
        <v>RFLC</v>
      </c>
      <c r="F626" s="185" t="s">
        <v>4357</v>
      </c>
      <c r="G626" s="186" t="str">
        <f t="shared" si="18"/>
        <v>27RFLC</v>
      </c>
      <c r="H626" s="187" t="str">
        <f>+INDEX([1]Detallado!$D:$D,MATCH(C626,[1]Detallado!$B:$B,0))</f>
        <v xml:space="preserve">Creditítulos Sociedad Titulizadora </v>
      </c>
      <c r="I626" s="28"/>
      <c r="J626" s="184" t="str">
        <f t="shared" si="19"/>
        <v>RFLBU</v>
      </c>
      <c r="O626" s="28" t="s">
        <v>4436</v>
      </c>
      <c r="P626" s="28" t="s">
        <v>4902</v>
      </c>
    </row>
    <row r="627" spans="3:16" x14ac:dyDescent="0.25">
      <c r="C627" s="28" t="s">
        <v>3268</v>
      </c>
      <c r="D627" s="188" t="str">
        <f>+INDEX([1]Detallado!$F:$F,MATCH($C627,[1]Detallado!$B:$B,0))</f>
        <v>Renta Fija</v>
      </c>
      <c r="E627" s="31" t="str">
        <f>+INDEX([1]Detallado!$Q:$Q,MATCH($C627,[1]Detallado!$B:$B,0))</f>
        <v>RFLC</v>
      </c>
      <c r="F627" s="185" t="s">
        <v>4357</v>
      </c>
      <c r="G627" s="186" t="str">
        <f t="shared" si="18"/>
        <v>27RFLC</v>
      </c>
      <c r="H627" s="187" t="str">
        <f>+INDEX([1]Detallado!$D:$D,MATCH(C627,[1]Detallado!$B:$B,0))</f>
        <v xml:space="preserve">Creditítulos Sociedad Titulizadora </v>
      </c>
      <c r="I627" s="28"/>
      <c r="J627" s="184" t="str">
        <f t="shared" si="19"/>
        <v>RFLBU</v>
      </c>
      <c r="O627" s="28" t="s">
        <v>4967</v>
      </c>
      <c r="P627" s="28" t="s">
        <v>4902</v>
      </c>
    </row>
    <row r="628" spans="3:16" x14ac:dyDescent="0.25">
      <c r="C628" s="28" t="s">
        <v>3269</v>
      </c>
      <c r="D628" s="188" t="str">
        <f>+INDEX([1]Detallado!$F:$F,MATCH($C628,[1]Detallado!$B:$B,0))</f>
        <v>Renta Fija</v>
      </c>
      <c r="E628" s="31" t="str">
        <f>+INDEX([1]Detallado!$Q:$Q,MATCH($C628,[1]Detallado!$B:$B,0))</f>
        <v>RFLC</v>
      </c>
      <c r="F628" s="185" t="s">
        <v>4357</v>
      </c>
      <c r="G628" s="186" t="str">
        <f t="shared" si="18"/>
        <v>27RFLC</v>
      </c>
      <c r="H628" s="187" t="str">
        <f>+INDEX([1]Detallado!$D:$D,MATCH(C628,[1]Detallado!$B:$B,0))</f>
        <v xml:space="preserve">Creditítulos Sociedad Titulizadora </v>
      </c>
      <c r="I628" s="28"/>
      <c r="J628" s="184" t="str">
        <f t="shared" si="19"/>
        <v>RFLBU</v>
      </c>
      <c r="O628" s="28" t="s">
        <v>4967</v>
      </c>
      <c r="P628" s="28" t="s">
        <v>4902</v>
      </c>
    </row>
    <row r="629" spans="3:16" x14ac:dyDescent="0.25">
      <c r="C629" s="28" t="s">
        <v>3270</v>
      </c>
      <c r="D629" s="188" t="str">
        <f>+INDEX([1]Detallado!$F:$F,MATCH($C629,[1]Detallado!$B:$B,0))</f>
        <v>Renta Fija</v>
      </c>
      <c r="E629" s="31" t="str">
        <f>+INDEX([1]Detallado!$Q:$Q,MATCH($C629,[1]Detallado!$B:$B,0))</f>
        <v>RFLC</v>
      </c>
      <c r="F629" s="185" t="s">
        <v>4357</v>
      </c>
      <c r="G629" s="186" t="str">
        <f t="shared" si="18"/>
        <v>27RFLC</v>
      </c>
      <c r="H629" s="187" t="str">
        <f>+INDEX([1]Detallado!$D:$D,MATCH(C629,[1]Detallado!$B:$B,0))</f>
        <v xml:space="preserve">Creditítulos Sociedad Titulizadora </v>
      </c>
      <c r="I629" s="28"/>
      <c r="J629" s="184" t="str">
        <f t="shared" si="19"/>
        <v>RFLBU</v>
      </c>
      <c r="O629" s="28" t="s">
        <v>4967</v>
      </c>
      <c r="P629" s="28" t="s">
        <v>4902</v>
      </c>
    </row>
    <row r="630" spans="3:16" x14ac:dyDescent="0.25">
      <c r="C630" s="28" t="s">
        <v>3271</v>
      </c>
      <c r="D630" s="188" t="str">
        <f>+INDEX([1]Detallado!$F:$F,MATCH($C630,[1]Detallado!$B:$B,0))</f>
        <v>Renta Fija</v>
      </c>
      <c r="E630" s="31" t="str">
        <f>+INDEX([1]Detallado!$Q:$Q,MATCH($C630,[1]Detallado!$B:$B,0))</f>
        <v>RFLC</v>
      </c>
      <c r="F630" s="185" t="s">
        <v>4357</v>
      </c>
      <c r="G630" s="186" t="str">
        <f t="shared" si="18"/>
        <v>27RFLC</v>
      </c>
      <c r="H630" s="187" t="str">
        <f>+INDEX([1]Detallado!$D:$D,MATCH(C630,[1]Detallado!$B:$B,0))</f>
        <v xml:space="preserve">Creditítulos Sociedad Titulizadora </v>
      </c>
      <c r="I630" s="28"/>
      <c r="J630" s="184" t="str">
        <f t="shared" si="19"/>
        <v>RFLBU</v>
      </c>
      <c r="O630" s="28" t="s">
        <v>4967</v>
      </c>
      <c r="P630" s="28" t="s">
        <v>4902</v>
      </c>
    </row>
    <row r="631" spans="3:16" x14ac:dyDescent="0.25">
      <c r="C631" s="28" t="s">
        <v>3272</v>
      </c>
      <c r="D631" s="188" t="str">
        <f>+INDEX([1]Detallado!$F:$F,MATCH($C631,[1]Detallado!$B:$B,0))</f>
        <v>Renta Fija</v>
      </c>
      <c r="E631" s="31" t="str">
        <f>+INDEX([1]Detallado!$Q:$Q,MATCH($C631,[1]Detallado!$B:$B,0))</f>
        <v>RFLC</v>
      </c>
      <c r="F631" s="185" t="s">
        <v>4357</v>
      </c>
      <c r="G631" s="186" t="str">
        <f t="shared" si="18"/>
        <v>27RFLC</v>
      </c>
      <c r="H631" s="187" t="str">
        <f>+INDEX([1]Detallado!$D:$D,MATCH(C631,[1]Detallado!$B:$B,0))</f>
        <v xml:space="preserve">Creditítulos Sociedad Titulizadora </v>
      </c>
      <c r="I631" s="28"/>
      <c r="J631" s="184" t="str">
        <f t="shared" si="19"/>
        <v>RFLBU</v>
      </c>
      <c r="O631" s="28" t="s">
        <v>4967</v>
      </c>
      <c r="P631" s="28" t="s">
        <v>4902</v>
      </c>
    </row>
    <row r="632" spans="3:16" x14ac:dyDescent="0.25">
      <c r="C632" s="28" t="s">
        <v>3273</v>
      </c>
      <c r="D632" s="188" t="str">
        <f>+INDEX([1]Detallado!$F:$F,MATCH($C632,[1]Detallado!$B:$B,0))</f>
        <v>Renta Fija</v>
      </c>
      <c r="E632" s="31" t="str">
        <f>+INDEX([1]Detallado!$Q:$Q,MATCH($C632,[1]Detallado!$B:$B,0))</f>
        <v>RFLC</v>
      </c>
      <c r="F632" s="185" t="s">
        <v>4357</v>
      </c>
      <c r="G632" s="186" t="str">
        <f t="shared" si="18"/>
        <v>27RFLC</v>
      </c>
      <c r="H632" s="187" t="str">
        <f>+INDEX([1]Detallado!$D:$D,MATCH(C632,[1]Detallado!$B:$B,0))</f>
        <v>Continental Sociedad Titulizadora</v>
      </c>
      <c r="I632" s="28"/>
      <c r="J632" s="184" t="str">
        <f t="shared" si="19"/>
        <v>RFLBU</v>
      </c>
      <c r="O632" s="28" t="s">
        <v>4967</v>
      </c>
      <c r="P632" s="28" t="s">
        <v>4902</v>
      </c>
    </row>
    <row r="633" spans="3:16" x14ac:dyDescent="0.25">
      <c r="C633" s="28" t="s">
        <v>3274</v>
      </c>
      <c r="D633" s="188" t="str">
        <f>+INDEX([1]Detallado!$F:$F,MATCH($C633,[1]Detallado!$B:$B,0))</f>
        <v>Renta Fija</v>
      </c>
      <c r="E633" s="31" t="str">
        <f>+INDEX([1]Detallado!$Q:$Q,MATCH($C633,[1]Detallado!$B:$B,0))</f>
        <v>RFLC</v>
      </c>
      <c r="F633" s="185" t="s">
        <v>4357</v>
      </c>
      <c r="G633" s="186" t="str">
        <f t="shared" si="18"/>
        <v>27RFLC</v>
      </c>
      <c r="H633" s="187" t="str">
        <f>+INDEX([1]Detallado!$D:$D,MATCH(C633,[1]Detallado!$B:$B,0))</f>
        <v xml:space="preserve">Scotia Sociedad Titulizadora </v>
      </c>
      <c r="I633" s="28"/>
      <c r="J633" s="184" t="str">
        <f t="shared" si="19"/>
        <v>RFLBU</v>
      </c>
      <c r="O633" s="28" t="s">
        <v>4967</v>
      </c>
      <c r="P633" s="28" t="s">
        <v>4902</v>
      </c>
    </row>
    <row r="634" spans="3:16" x14ac:dyDescent="0.25">
      <c r="C634" s="28" t="s">
        <v>3275</v>
      </c>
      <c r="D634" s="188" t="str">
        <f>+INDEX([1]Detallado!$F:$F,MATCH($C634,[1]Detallado!$B:$B,0))</f>
        <v>Renta Fija</v>
      </c>
      <c r="E634" s="31" t="str">
        <f>+INDEX([1]Detallado!$Q:$Q,MATCH($C634,[1]Detallado!$B:$B,0))</f>
        <v>RFLC</v>
      </c>
      <c r="F634" s="185" t="s">
        <v>4357</v>
      </c>
      <c r="G634" s="186" t="str">
        <f t="shared" si="18"/>
        <v>27RFLC</v>
      </c>
      <c r="H634" s="187" t="str">
        <f>+INDEX([1]Detallado!$D:$D,MATCH(C634,[1]Detallado!$B:$B,0))</f>
        <v xml:space="preserve">Scotia Sociedad Titulizadora </v>
      </c>
      <c r="I634" s="28"/>
      <c r="J634" s="184" t="str">
        <f t="shared" si="19"/>
        <v>RFLBU</v>
      </c>
      <c r="O634" s="28" t="s">
        <v>4967</v>
      </c>
      <c r="P634" s="28" t="s">
        <v>4902</v>
      </c>
    </row>
    <row r="635" spans="3:16" x14ac:dyDescent="0.25">
      <c r="C635" s="28" t="s">
        <v>3276</v>
      </c>
      <c r="D635" s="188" t="str">
        <f>+INDEX([1]Detallado!$F:$F,MATCH($C635,[1]Detallado!$B:$B,0))</f>
        <v>Renta Fija</v>
      </c>
      <c r="E635" s="31" t="str">
        <f>+INDEX([1]Detallado!$Q:$Q,MATCH($C635,[1]Detallado!$B:$B,0))</f>
        <v>RFLC</v>
      </c>
      <c r="F635" s="185" t="s">
        <v>4357</v>
      </c>
      <c r="G635" s="186" t="str">
        <f t="shared" si="18"/>
        <v>27RFLC</v>
      </c>
      <c r="H635" s="187" t="str">
        <f>+INDEX([1]Detallado!$D:$D,MATCH(C635,[1]Detallado!$B:$B,0))</f>
        <v xml:space="preserve">Scotia Sociedad Titulizadora </v>
      </c>
      <c r="I635" s="28"/>
      <c r="J635" s="184" t="str">
        <f t="shared" si="19"/>
        <v>RFLBU</v>
      </c>
      <c r="O635" s="28" t="s">
        <v>4967</v>
      </c>
      <c r="P635" s="28" t="s">
        <v>4902</v>
      </c>
    </row>
    <row r="636" spans="3:16" x14ac:dyDescent="0.25">
      <c r="C636" s="28" t="s">
        <v>3277</v>
      </c>
      <c r="D636" s="188" t="str">
        <f>+INDEX([1]Detallado!$F:$F,MATCH($C636,[1]Detallado!$B:$B,0))</f>
        <v>Renta Fija</v>
      </c>
      <c r="E636" s="31" t="str">
        <f>+INDEX([1]Detallado!$Q:$Q,MATCH($C636,[1]Detallado!$B:$B,0))</f>
        <v>RFLC</v>
      </c>
      <c r="F636" s="185" t="s">
        <v>4357</v>
      </c>
      <c r="G636" s="186" t="str">
        <f t="shared" si="18"/>
        <v>27RFLC</v>
      </c>
      <c r="H636" s="187" t="str">
        <f>+INDEX([1]Detallado!$D:$D,MATCH(C636,[1]Detallado!$B:$B,0))</f>
        <v>Hoteles Costa del Sol (Scotia Sociedad Titulizadora)</v>
      </c>
      <c r="I636" s="28"/>
      <c r="J636" s="184" t="str">
        <f t="shared" si="19"/>
        <v>RFLBU</v>
      </c>
      <c r="O636" s="28" t="s">
        <v>4967</v>
      </c>
      <c r="P636" s="28" t="s">
        <v>4902</v>
      </c>
    </row>
    <row r="637" spans="3:16" x14ac:dyDescent="0.25">
      <c r="C637" s="28" t="s">
        <v>418</v>
      </c>
      <c r="D637" s="188" t="str">
        <f>+INDEX([1]Detallado!$F:$F,MATCH($C637,[1]Detallado!$B:$B,0))</f>
        <v>Renta Fija</v>
      </c>
      <c r="E637" s="31" t="str">
        <f>+INDEX([1]Detallado!$Q:$Q,MATCH($C637,[1]Detallado!$B:$B,0))</f>
        <v>RFLC</v>
      </c>
      <c r="F637" s="185" t="s">
        <v>4357</v>
      </c>
      <c r="G637" s="186" t="str">
        <f t="shared" si="18"/>
        <v>27RFLC</v>
      </c>
      <c r="H637" s="187" t="str">
        <f>+INDEX([1]Detallado!$D:$D,MATCH(C637,[1]Detallado!$B:$B,0))</f>
        <v>Casa Andina (Scotia Sociedad Titulizadora)</v>
      </c>
      <c r="I637" s="28"/>
      <c r="J637" s="184" t="str">
        <f t="shared" si="19"/>
        <v>RFLBU</v>
      </c>
      <c r="O637" s="28" t="s">
        <v>4967</v>
      </c>
      <c r="P637" s="28" t="s">
        <v>4902</v>
      </c>
    </row>
    <row r="638" spans="3:16" x14ac:dyDescent="0.25">
      <c r="C638" s="28" t="s">
        <v>3278</v>
      </c>
      <c r="D638" s="188" t="str">
        <f>+INDEX([1]Detallado!$F:$F,MATCH($C638,[1]Detallado!$B:$B,0))</f>
        <v>Renta Fija</v>
      </c>
      <c r="E638" s="31" t="str">
        <f>+INDEX([1]Detallado!$Q:$Q,MATCH($C638,[1]Detallado!$B:$B,0))</f>
        <v>RFLC</v>
      </c>
      <c r="F638" s="185" t="s">
        <v>4357</v>
      </c>
      <c r="G638" s="186" t="str">
        <f t="shared" si="18"/>
        <v>27RFLC</v>
      </c>
      <c r="H638" s="187" t="str">
        <f>+INDEX([1]Detallado!$D:$D,MATCH(C638,[1]Detallado!$B:$B,0))</f>
        <v>Red Dorsal</v>
      </c>
      <c r="I638" s="28"/>
      <c r="J638" s="184" t="str">
        <f t="shared" si="19"/>
        <v>RFLBU</v>
      </c>
      <c r="O638" s="28" t="s">
        <v>4967</v>
      </c>
      <c r="P638" s="28" t="s">
        <v>4902</v>
      </c>
    </row>
    <row r="639" spans="3:16" x14ac:dyDescent="0.25">
      <c r="C639" s="28" t="s">
        <v>3279</v>
      </c>
      <c r="D639" s="188" t="str">
        <f>+INDEX([1]Detallado!$F:$F,MATCH($C639,[1]Detallado!$B:$B,0))</f>
        <v>Renta Fija</v>
      </c>
      <c r="E639" s="31" t="str">
        <f>+INDEX([1]Detallado!$Q:$Q,MATCH($C639,[1]Detallado!$B:$B,0))</f>
        <v>RFLC</v>
      </c>
      <c r="F639" s="185" t="s">
        <v>4357</v>
      </c>
      <c r="G639" s="186" t="str">
        <f t="shared" si="18"/>
        <v>28RFLC</v>
      </c>
      <c r="H639" s="187" t="str">
        <f>+INDEX([1]Detallado!$D:$D,MATCH(C639,[1]Detallado!$B:$B,0))</f>
        <v xml:space="preserve">Banco Internacional del Perú </v>
      </c>
      <c r="I639" s="28"/>
      <c r="J639" s="184" t="str">
        <f t="shared" si="19"/>
        <v>RFLBU</v>
      </c>
      <c r="O639" s="28" t="s">
        <v>4967</v>
      </c>
      <c r="P639" s="28" t="s">
        <v>4902</v>
      </c>
    </row>
    <row r="640" spans="3:16" x14ac:dyDescent="0.25">
      <c r="C640" s="28" t="s">
        <v>3280</v>
      </c>
      <c r="D640" s="188" t="str">
        <f>+INDEX([1]Detallado!$F:$F,MATCH($C640,[1]Detallado!$B:$B,0))</f>
        <v>Renta Fija</v>
      </c>
      <c r="E640" s="31" t="str">
        <f>+INDEX([1]Detallado!$Q:$Q,MATCH($C640,[1]Detallado!$B:$B,0))</f>
        <v>RFLC</v>
      </c>
      <c r="F640" s="185" t="s">
        <v>4357</v>
      </c>
      <c r="G640" s="186" t="str">
        <f t="shared" si="18"/>
        <v>28RFLC</v>
      </c>
      <c r="H640" s="187" t="str">
        <f>+INDEX([1]Detallado!$D:$D,MATCH(C640,[1]Detallado!$B:$B,0))</f>
        <v xml:space="preserve">Banco Internacional del Perú </v>
      </c>
      <c r="I640" s="28"/>
      <c r="J640" s="184" t="str">
        <f t="shared" si="19"/>
        <v>RFLBU</v>
      </c>
      <c r="O640" s="28" t="s">
        <v>4967</v>
      </c>
      <c r="P640" s="28" t="s">
        <v>4902</v>
      </c>
    </row>
    <row r="641" spans="3:16" x14ac:dyDescent="0.25">
      <c r="C641" s="28" t="s">
        <v>3281</v>
      </c>
      <c r="D641" s="188" t="str">
        <f>+INDEX([1]Detallado!$F:$F,MATCH($C641,[1]Detallado!$B:$B,0))</f>
        <v>Renta Fija</v>
      </c>
      <c r="E641" s="31" t="str">
        <f>+INDEX([1]Detallado!$Q:$Q,MATCH($C641,[1]Detallado!$B:$B,0))</f>
        <v>RFLC</v>
      </c>
      <c r="F641" s="185" t="s">
        <v>4357</v>
      </c>
      <c r="G641" s="186" t="str">
        <f t="shared" si="18"/>
        <v>28RFLC</v>
      </c>
      <c r="H641" s="187" t="str">
        <f>+INDEX([1]Detallado!$D:$D,MATCH(C641,[1]Detallado!$B:$B,0))</f>
        <v>Banco Interamericano de Finanzas</v>
      </c>
      <c r="I641" s="28"/>
      <c r="J641" s="184" t="str">
        <f t="shared" si="19"/>
        <v>RFLBU</v>
      </c>
      <c r="O641" s="28" t="s">
        <v>4967</v>
      </c>
      <c r="P641" s="28" t="s">
        <v>4902</v>
      </c>
    </row>
    <row r="642" spans="3:16" x14ac:dyDescent="0.25">
      <c r="C642" s="28" t="s">
        <v>3282</v>
      </c>
      <c r="D642" s="188" t="str">
        <f>+INDEX([1]Detallado!$F:$F,MATCH($C642,[1]Detallado!$B:$B,0))</f>
        <v>Renta Fija</v>
      </c>
      <c r="E642" s="31" t="str">
        <f>+INDEX([1]Detallado!$Q:$Q,MATCH($C642,[1]Detallado!$B:$B,0))</f>
        <v>RFLC</v>
      </c>
      <c r="F642" s="185" t="s">
        <v>4357</v>
      </c>
      <c r="G642" s="186" t="str">
        <f t="shared" si="18"/>
        <v>28RFLC</v>
      </c>
      <c r="H642" s="187" t="str">
        <f>+INDEX([1]Detallado!$D:$D,MATCH(C642,[1]Detallado!$B:$B,0))</f>
        <v>Banco Interamericano de Finanzas</v>
      </c>
      <c r="I642" s="28"/>
      <c r="J642" s="184" t="str">
        <f t="shared" si="19"/>
        <v>RFLBU</v>
      </c>
      <c r="O642" s="28" t="s">
        <v>4967</v>
      </c>
      <c r="P642" s="28" t="s">
        <v>4902</v>
      </c>
    </row>
    <row r="643" spans="3:16" x14ac:dyDescent="0.25">
      <c r="C643" s="28" t="s">
        <v>3283</v>
      </c>
      <c r="D643" s="188" t="str">
        <f>+INDEX([1]Detallado!$F:$F,MATCH($C643,[1]Detallado!$B:$B,0))</f>
        <v>Renta Fija</v>
      </c>
      <c r="E643" s="31" t="str">
        <f>+INDEX([1]Detallado!$Q:$Q,MATCH($C643,[1]Detallado!$B:$B,0))</f>
        <v>RFLC</v>
      </c>
      <c r="F643" s="185" t="s">
        <v>4357</v>
      </c>
      <c r="G643" s="186" t="str">
        <f t="shared" si="18"/>
        <v>37RFLC</v>
      </c>
      <c r="H643" s="187" t="str">
        <f>+INDEX([1]Detallado!$D:$D,MATCH(C643,[1]Detallado!$B:$B,0))</f>
        <v>Scotia - Fideicomiso de Infraestructura</v>
      </c>
      <c r="I643" s="28"/>
      <c r="J643" s="184" t="str">
        <f t="shared" si="19"/>
        <v>RFLBU</v>
      </c>
      <c r="O643" s="28" t="s">
        <v>4967</v>
      </c>
      <c r="P643" s="28" t="s">
        <v>4902</v>
      </c>
    </row>
    <row r="644" spans="3:16" x14ac:dyDescent="0.25">
      <c r="C644" s="28" t="s">
        <v>3284</v>
      </c>
      <c r="D644" s="188" t="str">
        <f>+INDEX([1]Detallado!$F:$F,MATCH($C644,[1]Detallado!$B:$B,0))</f>
        <v>Renta Fija</v>
      </c>
      <c r="E644" s="31" t="str">
        <f>+INDEX([1]Detallado!$Q:$Q,MATCH($C644,[1]Detallado!$B:$B,0))</f>
        <v>RFLC</v>
      </c>
      <c r="F644" s="185" t="s">
        <v>4357</v>
      </c>
      <c r="G644" s="186" t="str">
        <f t="shared" si="18"/>
        <v>47RFLC</v>
      </c>
      <c r="H644" s="187" t="str">
        <f>+INDEX([1]Detallado!$D:$D,MATCH(C644,[1]Detallado!$B:$B,0))</f>
        <v xml:space="preserve">Creditítulos Sociedad Titulizadora </v>
      </c>
      <c r="I644" s="28"/>
      <c r="J644" s="184" t="str">
        <f t="shared" si="19"/>
        <v>RFLBU</v>
      </c>
      <c r="O644" s="28" t="s">
        <v>4967</v>
      </c>
      <c r="P644" s="28" t="s">
        <v>4902</v>
      </c>
    </row>
    <row r="645" spans="3:16" x14ac:dyDescent="0.25">
      <c r="C645" s="28" t="s">
        <v>3285</v>
      </c>
      <c r="D645" s="188" t="str">
        <f>+INDEX([1]Detallado!$F:$F,MATCH($C645,[1]Detallado!$B:$B,0))</f>
        <v>Renta Fija</v>
      </c>
      <c r="E645" s="31" t="str">
        <f>+INDEX([1]Detallado!$Q:$Q,MATCH($C645,[1]Detallado!$B:$B,0))</f>
        <v>RFLC</v>
      </c>
      <c r="F645" s="185" t="s">
        <v>4357</v>
      </c>
      <c r="G645" s="186" t="str">
        <f t="shared" si="18"/>
        <v>47RFLC</v>
      </c>
      <c r="H645" s="187" t="str">
        <f>+INDEX([1]Detallado!$D:$D,MATCH(C645,[1]Detallado!$B:$B,0))</f>
        <v xml:space="preserve">Creditítulos Sociedad Titulizadora </v>
      </c>
      <c r="I645" s="28"/>
      <c r="J645" s="184" t="str">
        <f t="shared" si="19"/>
        <v>RFLBU</v>
      </c>
      <c r="O645" s="28" t="s">
        <v>4967</v>
      </c>
      <c r="P645" s="28" t="s">
        <v>4902</v>
      </c>
    </row>
    <row r="646" spans="3:16" x14ac:dyDescent="0.25">
      <c r="C646" s="28" t="s">
        <v>3286</v>
      </c>
      <c r="D646" s="188" t="str">
        <f>+INDEX([1]Detallado!$F:$F,MATCH($C646,[1]Detallado!$B:$B,0))</f>
        <v>Renta Fija</v>
      </c>
      <c r="E646" s="31" t="str">
        <f>+INDEX([1]Detallado!$Q:$Q,MATCH($C646,[1]Detallado!$B:$B,0))</f>
        <v>RFLC</v>
      </c>
      <c r="F646" s="185" t="s">
        <v>4357</v>
      </c>
      <c r="G646" s="186" t="str">
        <f t="shared" si="18"/>
        <v>47RFLC</v>
      </c>
      <c r="H646" s="187" t="str">
        <f>+INDEX([1]Detallado!$D:$D,MATCH(C646,[1]Detallado!$B:$B,0))</f>
        <v>Continental Sociedad Titulizadora</v>
      </c>
      <c r="I646" s="28"/>
      <c r="J646" s="184" t="str">
        <f t="shared" si="19"/>
        <v>RFLBU</v>
      </c>
      <c r="O646" s="28" t="s">
        <v>4967</v>
      </c>
      <c r="P646" s="28" t="s">
        <v>4902</v>
      </c>
    </row>
    <row r="647" spans="3:16" x14ac:dyDescent="0.25">
      <c r="C647" s="28" t="s">
        <v>3287</v>
      </c>
      <c r="D647" s="188" t="str">
        <f>+INDEX([1]Detallado!$F:$F,MATCH($C647,[1]Detallado!$B:$B,0))</f>
        <v>Renta Fija</v>
      </c>
      <c r="E647" s="31" t="str">
        <f>+INDEX([1]Detallado!$Q:$Q,MATCH($C647,[1]Detallado!$B:$B,0))</f>
        <v>RFLC</v>
      </c>
      <c r="F647" s="185" t="s">
        <v>4357</v>
      </c>
      <c r="G647" s="186" t="str">
        <f t="shared" si="18"/>
        <v>47RFLC</v>
      </c>
      <c r="H647" s="187" t="str">
        <f>+INDEX([1]Detallado!$D:$D,MATCH(C647,[1]Detallado!$B:$B,0))</f>
        <v>Continental Sociedad Titulizadora</v>
      </c>
      <c r="I647" s="28"/>
      <c r="J647" s="184" t="str">
        <f t="shared" si="19"/>
        <v>RFLBU</v>
      </c>
      <c r="O647" s="28" t="s">
        <v>4967</v>
      </c>
      <c r="P647" s="28" t="s">
        <v>4902</v>
      </c>
    </row>
    <row r="648" spans="3:16" x14ac:dyDescent="0.25">
      <c r="C648" s="28" t="s">
        <v>3288</v>
      </c>
      <c r="D648" s="188" t="str">
        <f>+INDEX([1]Detallado!$F:$F,MATCH($C648,[1]Detallado!$B:$B,0))</f>
        <v>Renta Fija</v>
      </c>
      <c r="E648" s="31" t="str">
        <f>+INDEX([1]Detallado!$Q:$Q,MATCH($C648,[1]Detallado!$B:$B,0))</f>
        <v>RFLC</v>
      </c>
      <c r="F648" s="185" t="s">
        <v>4357</v>
      </c>
      <c r="G648" s="186" t="str">
        <f t="shared" si="18"/>
        <v>21RFLC</v>
      </c>
      <c r="H648" s="187" t="str">
        <f>+INDEX([1]Detallado!$D:$D,MATCH(C648,[1]Detallado!$B:$B,0))</f>
        <v>GNB</v>
      </c>
      <c r="I648" s="28"/>
      <c r="J648" s="184" t="str">
        <f t="shared" si="19"/>
        <v>RFLBU</v>
      </c>
      <c r="O648" s="28" t="s">
        <v>4967</v>
      </c>
      <c r="P648" s="28" t="s">
        <v>4902</v>
      </c>
    </row>
    <row r="649" spans="3:16" x14ac:dyDescent="0.25">
      <c r="C649" s="28" t="s">
        <v>3289</v>
      </c>
      <c r="D649" s="188" t="str">
        <f>+INDEX([1]Detallado!$F:$F,MATCH($C649,[1]Detallado!$B:$B,0))</f>
        <v>Renta Fija</v>
      </c>
      <c r="E649" s="31" t="str">
        <f>+INDEX([1]Detallado!$Q:$Q,MATCH($C649,[1]Detallado!$B:$B,0))</f>
        <v>RFLC</v>
      </c>
      <c r="F649" s="185" t="s">
        <v>4357</v>
      </c>
      <c r="G649" s="186" t="str">
        <f t="shared" si="18"/>
        <v>22RFLC</v>
      </c>
      <c r="H649" s="187" t="str">
        <f>+INDEX([1]Detallado!$D:$D,MATCH(C649,[1]Detallado!$B:$B,0))</f>
        <v>Energía del Sur</v>
      </c>
      <c r="I649" s="28"/>
      <c r="J649" s="184" t="str">
        <f t="shared" si="19"/>
        <v>RFLBU</v>
      </c>
      <c r="O649" s="28" t="s">
        <v>4967</v>
      </c>
      <c r="P649" s="28" t="s">
        <v>4902</v>
      </c>
    </row>
    <row r="650" spans="3:16" x14ac:dyDescent="0.25">
      <c r="C650" s="28" t="s">
        <v>3290</v>
      </c>
      <c r="D650" s="188" t="str">
        <f>+INDEX([1]Detallado!$F:$F,MATCH($C650,[1]Detallado!$B:$B,0))</f>
        <v>Renta Fija</v>
      </c>
      <c r="E650" s="31" t="str">
        <f>+INDEX([1]Detallado!$Q:$Q,MATCH($C650,[1]Detallado!$B:$B,0))</f>
        <v>RFLC</v>
      </c>
      <c r="F650" s="185" t="s">
        <v>4357</v>
      </c>
      <c r="G650" s="186" t="str">
        <f t="shared" ref="G650:G713" si="20">LEFT(C650,2)&amp;E650</f>
        <v>22RFLC</v>
      </c>
      <c r="H650" s="187" t="str">
        <f>+INDEX([1]Detallado!$D:$D,MATCH(C650,[1]Detallado!$B:$B,0))</f>
        <v>Edegel</v>
      </c>
      <c r="I650" s="28"/>
      <c r="J650" s="184" t="str">
        <f t="shared" ref="J650:J713" si="21">IF(E650="ALT",LEFT(E650,3),LEFT(E650,3)&amp;F650)</f>
        <v>RFLBU</v>
      </c>
      <c r="O650" s="28" t="s">
        <v>4967</v>
      </c>
      <c r="P650" s="28" t="s">
        <v>4902</v>
      </c>
    </row>
    <row r="651" spans="3:16" x14ac:dyDescent="0.25">
      <c r="C651" s="28" t="s">
        <v>3291</v>
      </c>
      <c r="D651" s="188" t="str">
        <f>+INDEX([1]Detallado!$F:$F,MATCH($C651,[1]Detallado!$B:$B,0))</f>
        <v>Renta Fija</v>
      </c>
      <c r="E651" s="31" t="str">
        <f>+INDEX([1]Detallado!$Q:$Q,MATCH($C651,[1]Detallado!$B:$B,0))</f>
        <v>RFLC</v>
      </c>
      <c r="F651" s="185" t="s">
        <v>4357</v>
      </c>
      <c r="G651" s="186" t="str">
        <f t="shared" si="20"/>
        <v>25RFLC</v>
      </c>
      <c r="H651" s="187" t="str">
        <f>+INDEX([1]Detallado!$D:$D,MATCH(C651,[1]Detallado!$B:$B,0))</f>
        <v>Banco Continental</v>
      </c>
      <c r="I651" s="28"/>
      <c r="J651" s="184" t="str">
        <f t="shared" si="21"/>
        <v>RFLBU</v>
      </c>
      <c r="O651" s="28" t="s">
        <v>4967</v>
      </c>
      <c r="P651" s="28" t="s">
        <v>4902</v>
      </c>
    </row>
    <row r="652" spans="3:16" x14ac:dyDescent="0.25">
      <c r="C652" s="28" t="s">
        <v>3292</v>
      </c>
      <c r="D652" s="188" t="str">
        <f>+INDEX([1]Detallado!$F:$F,MATCH($C652,[1]Detallado!$B:$B,0))</f>
        <v>Renta Fija</v>
      </c>
      <c r="E652" s="31" t="str">
        <f>+INDEX([1]Detallado!$Q:$Q,MATCH($C652,[1]Detallado!$B:$B,0))</f>
        <v>RFLC</v>
      </c>
      <c r="F652" s="185" t="s">
        <v>4357</v>
      </c>
      <c r="G652" s="186" t="str">
        <f t="shared" si="20"/>
        <v>23RFLC</v>
      </c>
      <c r="H652" s="187" t="str">
        <f>+INDEX([1]Detallado!$D:$D,MATCH(C652,[1]Detallado!$B:$B,0))</f>
        <v>Volcan Cia. Minera</v>
      </c>
      <c r="I652" s="28"/>
      <c r="J652" s="184" t="str">
        <f t="shared" si="21"/>
        <v>RFLBU</v>
      </c>
      <c r="O652" s="28" t="s">
        <v>4967</v>
      </c>
      <c r="P652" s="28" t="s">
        <v>4902</v>
      </c>
    </row>
    <row r="653" spans="3:16" x14ac:dyDescent="0.25">
      <c r="C653" s="28" t="s">
        <v>3293</v>
      </c>
      <c r="D653" s="188" t="str">
        <f>+INDEX([1]Detallado!$F:$F,MATCH($C653,[1]Detallado!$B:$B,0))</f>
        <v>Renta Fija</v>
      </c>
      <c r="E653" s="31" t="str">
        <f>+INDEX([1]Detallado!$Q:$Q,MATCH($C653,[1]Detallado!$B:$B,0))</f>
        <v>RFLC</v>
      </c>
      <c r="F653" s="185" t="s">
        <v>4357</v>
      </c>
      <c r="G653" s="186" t="str">
        <f t="shared" si="20"/>
        <v>25RFLC</v>
      </c>
      <c r="H653" s="187" t="str">
        <f>+INDEX([1]Detallado!$D:$D,MATCH(C653,[1]Detallado!$B:$B,0))</f>
        <v>Banco Financiero</v>
      </c>
      <c r="I653" s="28"/>
      <c r="J653" s="184" t="str">
        <f t="shared" si="21"/>
        <v>RFLBU</v>
      </c>
      <c r="O653" s="28" t="s">
        <v>4967</v>
      </c>
      <c r="P653" s="28" t="s">
        <v>4902</v>
      </c>
    </row>
    <row r="654" spans="3:16" x14ac:dyDescent="0.25">
      <c r="C654" s="28" t="s">
        <v>3294</v>
      </c>
      <c r="D654" s="188" t="str">
        <f>+INDEX([1]Detallado!$F:$F,MATCH($C654,[1]Detallado!$B:$B,0))</f>
        <v>Renta Fija</v>
      </c>
      <c r="E654" s="31" t="str">
        <f>+INDEX([1]Detallado!$Q:$Q,MATCH($C654,[1]Detallado!$B:$B,0))</f>
        <v>RFLC</v>
      </c>
      <c r="F654" s="185" t="s">
        <v>4357</v>
      </c>
      <c r="G654" s="186" t="str">
        <f t="shared" si="20"/>
        <v>05RFLC</v>
      </c>
      <c r="H654" s="187" t="str">
        <f>+INDEX([1]Detallado!$D:$D,MATCH(C654,[1]Detallado!$B:$B,0))</f>
        <v>AENZA S.A.A. (antes Graña &amp; Montero S.A.A.)</v>
      </c>
      <c r="I654" s="28"/>
      <c r="J654" s="184" t="str">
        <f t="shared" si="21"/>
        <v>RFLBU</v>
      </c>
      <c r="O654" s="28" t="s">
        <v>4967</v>
      </c>
      <c r="P654" s="28" t="s">
        <v>4902</v>
      </c>
    </row>
    <row r="655" spans="3:16" x14ac:dyDescent="0.25">
      <c r="C655" s="28" t="s">
        <v>290</v>
      </c>
      <c r="D655" s="188" t="str">
        <f>+INDEX([1]Detallado!$F:$F,MATCH($C655,[1]Detallado!$B:$B,0))</f>
        <v>Renta Fija</v>
      </c>
      <c r="E655" s="31" t="str">
        <f>+INDEX([1]Detallado!$Q:$Q,MATCH($C655,[1]Detallado!$B:$B,0))</f>
        <v>RFLC</v>
      </c>
      <c r="F655" s="185" t="s">
        <v>4357</v>
      </c>
      <c r="G655" s="186" t="str">
        <f t="shared" si="20"/>
        <v>22RFLC</v>
      </c>
      <c r="H655" s="187" t="str">
        <f>+INDEX([1]Detallado!$D:$D,MATCH(C655,[1]Detallado!$B:$B,0))</f>
        <v>Inversiones Nacionales de Turismo S.A.</v>
      </c>
      <c r="I655" s="28"/>
      <c r="J655" s="184" t="str">
        <f t="shared" si="21"/>
        <v>RFLBU</v>
      </c>
      <c r="O655" s="28" t="s">
        <v>4967</v>
      </c>
      <c r="P655" s="28" t="s">
        <v>4902</v>
      </c>
    </row>
    <row r="656" spans="3:16" x14ac:dyDescent="0.25">
      <c r="C656" s="28" t="s">
        <v>3295</v>
      </c>
      <c r="D656" s="188" t="str">
        <f>+INDEX([1]Detallado!$F:$F,MATCH($C656,[1]Detallado!$B:$B,0))</f>
        <v>Renta Fija</v>
      </c>
      <c r="E656" s="31" t="str">
        <f>+INDEX([1]Detallado!$Q:$Q,MATCH($C656,[1]Detallado!$B:$B,0))</f>
        <v>RFLC</v>
      </c>
      <c r="F656" s="185" t="s">
        <v>4357</v>
      </c>
      <c r="G656" s="186" t="str">
        <f t="shared" si="20"/>
        <v>12RFLC</v>
      </c>
      <c r="H656" s="187" t="str">
        <f>+INDEX([1]Detallado!$D:$D,MATCH(C656,[1]Detallado!$B:$B,0))</f>
        <v>CEMPRO 7 1/8 11/06/23</v>
      </c>
      <c r="I656" s="28"/>
      <c r="J656" s="184" t="str">
        <f t="shared" si="21"/>
        <v>RFLBU</v>
      </c>
      <c r="O656" s="28" t="s">
        <v>4967</v>
      </c>
      <c r="P656" s="28" t="s">
        <v>4902</v>
      </c>
    </row>
    <row r="657" spans="3:16" x14ac:dyDescent="0.25">
      <c r="C657" s="28" t="s">
        <v>3296</v>
      </c>
      <c r="D657" s="188" t="str">
        <f>+INDEX([1]Detallado!$F:$F,MATCH($C657,[1]Detallado!$B:$B,0))</f>
        <v>Renta Fija</v>
      </c>
      <c r="E657" s="31" t="str">
        <f>+INDEX([1]Detallado!$Q:$Q,MATCH($C657,[1]Detallado!$B:$B,0))</f>
        <v>RFLC</v>
      </c>
      <c r="F657" s="185" t="s">
        <v>4357</v>
      </c>
      <c r="G657" s="186" t="str">
        <f t="shared" si="20"/>
        <v>12RFLC</v>
      </c>
      <c r="H657" s="187" t="str">
        <f>+INDEX([1]Detallado!$D:$D,MATCH(C657,[1]Detallado!$B:$B,0))</f>
        <v>Ocensa</v>
      </c>
      <c r="I657" s="28"/>
      <c r="J657" s="184" t="str">
        <f t="shared" si="21"/>
        <v>RFLBU</v>
      </c>
      <c r="O657" s="28" t="s">
        <v>4967</v>
      </c>
      <c r="P657" s="28" t="s">
        <v>4902</v>
      </c>
    </row>
    <row r="658" spans="3:16" x14ac:dyDescent="0.25">
      <c r="C658" s="28" t="s">
        <v>3297</v>
      </c>
      <c r="D658" s="188" t="str">
        <f>+INDEX([1]Detallado!$F:$F,MATCH($C658,[1]Detallado!$B:$B,0))</f>
        <v>Renta Fija</v>
      </c>
      <c r="E658" s="31" t="str">
        <f>+INDEX([1]Detallado!$Q:$Q,MATCH($C658,[1]Detallado!$B:$B,0))</f>
        <v>RFLC</v>
      </c>
      <c r="F658" s="185" t="s">
        <v>4357</v>
      </c>
      <c r="G658" s="186" t="str">
        <f t="shared" si="20"/>
        <v>12RFLC</v>
      </c>
      <c r="H658" s="187" t="str">
        <f>+INDEX([1]Detallado!$D:$D,MATCH(C658,[1]Detallado!$B:$B,0))</f>
        <v>Ocensa</v>
      </c>
      <c r="I658" s="28"/>
      <c r="J658" s="184" t="str">
        <f t="shared" si="21"/>
        <v>RFLBU</v>
      </c>
      <c r="O658" s="28" t="s">
        <v>4967</v>
      </c>
      <c r="P658" s="28" t="s">
        <v>4902</v>
      </c>
    </row>
    <row r="659" spans="3:16" x14ac:dyDescent="0.25">
      <c r="C659" s="28" t="s">
        <v>3298</v>
      </c>
      <c r="D659" s="188" t="str">
        <f>+INDEX([1]Detallado!$F:$F,MATCH($C659,[1]Detallado!$B:$B,0))</f>
        <v>Renta Fija</v>
      </c>
      <c r="E659" s="31" t="str">
        <f>+INDEX([1]Detallado!$Q:$Q,MATCH($C659,[1]Detallado!$B:$B,0))</f>
        <v>RFLC</v>
      </c>
      <c r="F659" s="185" t="s">
        <v>4357</v>
      </c>
      <c r="G659" s="186" t="str">
        <f t="shared" si="20"/>
        <v>16RFLC</v>
      </c>
      <c r="H659" s="187" t="str">
        <f>+INDEX([1]Detallado!$D:$D,MATCH(C659,[1]Detallado!$B:$B,0))</f>
        <v>IFH Perú Ltd.</v>
      </c>
      <c r="I659" s="28"/>
      <c r="J659" s="184" t="str">
        <f t="shared" si="21"/>
        <v>RFLBU</v>
      </c>
      <c r="O659" s="28" t="s">
        <v>4967</v>
      </c>
      <c r="P659" s="28" t="s">
        <v>4902</v>
      </c>
    </row>
    <row r="660" spans="3:16" x14ac:dyDescent="0.25">
      <c r="C660" s="28" t="s">
        <v>3299</v>
      </c>
      <c r="D660" s="188" t="str">
        <f>+INDEX([1]Detallado!$F:$F,MATCH($C660,[1]Detallado!$B:$B,0))</f>
        <v>Renta Fija</v>
      </c>
      <c r="E660" s="31" t="str">
        <f>+INDEX([1]Detallado!$Q:$Q,MATCH($C660,[1]Detallado!$B:$B,0))</f>
        <v>RFLC</v>
      </c>
      <c r="F660" s="185" t="s">
        <v>4357</v>
      </c>
      <c r="G660" s="186" t="str">
        <f t="shared" si="20"/>
        <v>18RFLC</v>
      </c>
      <c r="H660" s="187" t="str">
        <f>+INDEX([1]Detallado!$D:$D,MATCH(C660,[1]Detallado!$B:$B,0))</f>
        <v>Reserva Fría Etén</v>
      </c>
      <c r="I660" s="28"/>
      <c r="J660" s="184" t="str">
        <f t="shared" si="21"/>
        <v>RFLBU</v>
      </c>
      <c r="O660" s="28" t="s">
        <v>4967</v>
      </c>
      <c r="P660" s="28" t="s">
        <v>4902</v>
      </c>
    </row>
    <row r="661" spans="3:16" x14ac:dyDescent="0.25">
      <c r="C661" s="28" t="s">
        <v>911</v>
      </c>
      <c r="D661" s="188" t="str">
        <f>+INDEX([1]Detallado!$F:$F,MATCH($C661,[1]Detallado!$B:$B,0))</f>
        <v>Renta Fija</v>
      </c>
      <c r="E661" s="31" t="str">
        <f>+INDEX([1]Detallado!$Q:$Q,MATCH($C661,[1]Detallado!$B:$B,0))</f>
        <v>RFLC</v>
      </c>
      <c r="F661" s="185" t="s">
        <v>4357</v>
      </c>
      <c r="G661" s="186" t="str">
        <f t="shared" si="20"/>
        <v>21RFLC</v>
      </c>
      <c r="H661" s="187" t="str">
        <f>+INDEX([1]Detallado!$D:$D,MATCH(C661,[1]Detallado!$B:$B,0))</f>
        <v>Banco de Crédito del Perú</v>
      </c>
      <c r="I661" s="28"/>
      <c r="J661" s="184" t="str">
        <f t="shared" si="21"/>
        <v>RFLBU</v>
      </c>
      <c r="O661" s="28" t="s">
        <v>4967</v>
      </c>
      <c r="P661" s="28" t="s">
        <v>4902</v>
      </c>
    </row>
    <row r="662" spans="3:16" x14ac:dyDescent="0.25">
      <c r="C662" s="28" t="s">
        <v>3300</v>
      </c>
      <c r="D662" s="188" t="str">
        <f>+INDEX([1]Detallado!$F:$F,MATCH($C662,[1]Detallado!$B:$B,0))</f>
        <v>Renta Fija</v>
      </c>
      <c r="E662" s="31" t="str">
        <f>+INDEX([1]Detallado!$Q:$Q,MATCH($C662,[1]Detallado!$B:$B,0))</f>
        <v>RFLC</v>
      </c>
      <c r="F662" s="185" t="s">
        <v>4357</v>
      </c>
      <c r="G662" s="186" t="str">
        <f t="shared" si="20"/>
        <v>21RFLC</v>
      </c>
      <c r="H662" s="187" t="str">
        <f>+INDEX([1]Detallado!$D:$D,MATCH(C662,[1]Detallado!$B:$B,0))</f>
        <v>Banco de Crédito del Perú</v>
      </c>
      <c r="I662" s="28"/>
      <c r="J662" s="184" t="str">
        <f t="shared" si="21"/>
        <v>RFLBU</v>
      </c>
      <c r="O662" s="28" t="s">
        <v>4967</v>
      </c>
      <c r="P662" s="28" t="s">
        <v>4902</v>
      </c>
    </row>
    <row r="663" spans="3:16" x14ac:dyDescent="0.25">
      <c r="C663" s="28" t="s">
        <v>3301</v>
      </c>
      <c r="D663" s="188" t="str">
        <f>+INDEX([1]Detallado!$F:$F,MATCH($C663,[1]Detallado!$B:$B,0))</f>
        <v>Renta Fija</v>
      </c>
      <c r="E663" s="31" t="str">
        <f>+INDEX([1]Detallado!$Q:$Q,MATCH($C663,[1]Detallado!$B:$B,0))</f>
        <v>RFLC</v>
      </c>
      <c r="F663" s="185" t="s">
        <v>4357</v>
      </c>
      <c r="G663" s="186" t="str">
        <f t="shared" si="20"/>
        <v>21RFLC</v>
      </c>
      <c r="H663" s="187" t="str">
        <f>+INDEX([1]Detallado!$D:$D,MATCH(C663,[1]Detallado!$B:$B,0))</f>
        <v>Banco de Crédito del Perú</v>
      </c>
      <c r="I663" s="28"/>
      <c r="J663" s="184" t="str">
        <f t="shared" si="21"/>
        <v>RFLBU</v>
      </c>
      <c r="O663" s="28" t="s">
        <v>4967</v>
      </c>
      <c r="P663" s="28" t="s">
        <v>4902</v>
      </c>
    </row>
    <row r="664" spans="3:16" x14ac:dyDescent="0.25">
      <c r="C664" s="28" t="s">
        <v>3302</v>
      </c>
      <c r="D664" s="188" t="str">
        <f>+INDEX([1]Detallado!$F:$F,MATCH($C664,[1]Detallado!$B:$B,0))</f>
        <v>Renta Fija</v>
      </c>
      <c r="E664" s="31" t="str">
        <f>+INDEX([1]Detallado!$Q:$Q,MATCH($C664,[1]Detallado!$B:$B,0))</f>
        <v>RFLC</v>
      </c>
      <c r="F664" s="185" t="s">
        <v>4357</v>
      </c>
      <c r="G664" s="186" t="str">
        <f t="shared" si="20"/>
        <v>21RFLC</v>
      </c>
      <c r="H664" s="187" t="str">
        <f>+INDEX([1]Detallado!$D:$D,MATCH(C664,[1]Detallado!$B:$B,0))</f>
        <v>Banco de Crédito del Perú</v>
      </c>
      <c r="I664" s="28"/>
      <c r="J664" s="184" t="str">
        <f t="shared" si="21"/>
        <v>RFLBU</v>
      </c>
      <c r="O664" s="28" t="s">
        <v>4967</v>
      </c>
      <c r="P664" s="28" t="s">
        <v>4902</v>
      </c>
    </row>
    <row r="665" spans="3:16" x14ac:dyDescent="0.25">
      <c r="C665" s="28" t="s">
        <v>3303</v>
      </c>
      <c r="D665" s="188" t="str">
        <f>+INDEX([1]Detallado!$F:$F,MATCH($C665,[1]Detallado!$B:$B,0))</f>
        <v>Renta Fija</v>
      </c>
      <c r="E665" s="31" t="str">
        <f>+INDEX([1]Detallado!$Q:$Q,MATCH($C665,[1]Detallado!$B:$B,0))</f>
        <v>RFLC</v>
      </c>
      <c r="F665" s="185" t="s">
        <v>4357</v>
      </c>
      <c r="G665" s="186" t="str">
        <f t="shared" si="20"/>
        <v>21RFLC</v>
      </c>
      <c r="H665" s="187" t="str">
        <f>+INDEX([1]Detallado!$D:$D,MATCH(C665,[1]Detallado!$B:$B,0))</f>
        <v>Banco de Crédito del Perú</v>
      </c>
      <c r="I665" s="28"/>
      <c r="J665" s="184" t="str">
        <f t="shared" si="21"/>
        <v>RFLBU</v>
      </c>
      <c r="O665" s="28" t="s">
        <v>4967</v>
      </c>
      <c r="P665" s="28" t="s">
        <v>4902</v>
      </c>
    </row>
    <row r="666" spans="3:16" x14ac:dyDescent="0.25">
      <c r="C666" s="28" t="s">
        <v>3304</v>
      </c>
      <c r="D666" s="188" t="str">
        <f>+INDEX([1]Detallado!$F:$F,MATCH($C666,[1]Detallado!$B:$B,0))</f>
        <v>Renta Fija</v>
      </c>
      <c r="E666" s="31" t="str">
        <f>+INDEX([1]Detallado!$Q:$Q,MATCH($C666,[1]Detallado!$B:$B,0))</f>
        <v>RFLC</v>
      </c>
      <c r="F666" s="185" t="s">
        <v>4357</v>
      </c>
      <c r="G666" s="186" t="str">
        <f t="shared" si="20"/>
        <v>21RFLC</v>
      </c>
      <c r="H666" s="187" t="str">
        <f>+INDEX([1]Detallado!$D:$D,MATCH(C666,[1]Detallado!$B:$B,0))</f>
        <v>Banco de Crédito del Perú</v>
      </c>
      <c r="I666" s="28"/>
      <c r="J666" s="184" t="str">
        <f t="shared" si="21"/>
        <v>RFLBU</v>
      </c>
      <c r="O666" s="28" t="s">
        <v>4967</v>
      </c>
      <c r="P666" s="28" t="s">
        <v>4902</v>
      </c>
    </row>
    <row r="667" spans="3:16" x14ac:dyDescent="0.25">
      <c r="C667" s="28" t="s">
        <v>3305</v>
      </c>
      <c r="D667" s="188" t="str">
        <f>+INDEX([1]Detallado!$F:$F,MATCH($C667,[1]Detallado!$B:$B,0))</f>
        <v>Renta Fija</v>
      </c>
      <c r="E667" s="31" t="str">
        <f>+INDEX([1]Detallado!$Q:$Q,MATCH($C667,[1]Detallado!$B:$B,0))</f>
        <v>RFLC</v>
      </c>
      <c r="F667" s="185" t="s">
        <v>4357</v>
      </c>
      <c r="G667" s="186" t="str">
        <f t="shared" si="20"/>
        <v>21RFLC</v>
      </c>
      <c r="H667" s="187" t="str">
        <f>+INDEX([1]Detallado!$D:$D,MATCH(C667,[1]Detallado!$B:$B,0))</f>
        <v>Banco de Crédito del Perú</v>
      </c>
      <c r="I667" s="28"/>
      <c r="J667" s="184" t="str">
        <f t="shared" si="21"/>
        <v>RFLBU</v>
      </c>
      <c r="O667" s="28" t="s">
        <v>4967</v>
      </c>
      <c r="P667" s="28" t="s">
        <v>4902</v>
      </c>
    </row>
    <row r="668" spans="3:16" x14ac:dyDescent="0.25">
      <c r="C668" s="28" t="s">
        <v>3306</v>
      </c>
      <c r="D668" s="188" t="str">
        <f>+INDEX([1]Detallado!$F:$F,MATCH($C668,[1]Detallado!$B:$B,0))</f>
        <v>Renta Fija</v>
      </c>
      <c r="E668" s="31" t="str">
        <f>+INDEX([1]Detallado!$Q:$Q,MATCH($C668,[1]Detallado!$B:$B,0))</f>
        <v>RFLC</v>
      </c>
      <c r="F668" s="185" t="s">
        <v>4357</v>
      </c>
      <c r="G668" s="186" t="str">
        <f t="shared" si="20"/>
        <v>21RFLC</v>
      </c>
      <c r="H668" s="187" t="str">
        <f>+INDEX([1]Detallado!$D:$D,MATCH(C668,[1]Detallado!$B:$B,0))</f>
        <v>Banco de Crédito del Perú</v>
      </c>
      <c r="I668" s="28"/>
      <c r="J668" s="184" t="str">
        <f t="shared" si="21"/>
        <v>RFLBU</v>
      </c>
      <c r="O668" s="28" t="s">
        <v>4968</v>
      </c>
      <c r="P668" s="28" t="s">
        <v>4902</v>
      </c>
    </row>
    <row r="669" spans="3:16" x14ac:dyDescent="0.25">
      <c r="C669" s="28" t="s">
        <v>3307</v>
      </c>
      <c r="D669" s="188" t="str">
        <f>+INDEX([1]Detallado!$F:$F,MATCH($C669,[1]Detallado!$B:$B,0))</f>
        <v>Renta Fija</v>
      </c>
      <c r="E669" s="31" t="str">
        <f>+INDEX([1]Detallado!$Q:$Q,MATCH($C669,[1]Detallado!$B:$B,0))</f>
        <v>RFLC</v>
      </c>
      <c r="F669" s="185" t="s">
        <v>4357</v>
      </c>
      <c r="G669" s="186" t="str">
        <f t="shared" si="20"/>
        <v>21RFLC</v>
      </c>
      <c r="H669" s="187" t="str">
        <f>+INDEX([1]Detallado!$D:$D,MATCH(C669,[1]Detallado!$B:$B,0))</f>
        <v>Banco de Crédito del Perú</v>
      </c>
      <c r="I669" s="28"/>
      <c r="J669" s="184" t="str">
        <f t="shared" si="21"/>
        <v>RFLBU</v>
      </c>
      <c r="O669" s="28" t="s">
        <v>4968</v>
      </c>
      <c r="P669" s="28" t="s">
        <v>4902</v>
      </c>
    </row>
    <row r="670" spans="3:16" x14ac:dyDescent="0.25">
      <c r="C670" s="28" t="s">
        <v>3308</v>
      </c>
      <c r="D670" s="188" t="str">
        <f>+INDEX([1]Detallado!$F:$F,MATCH($C670,[1]Detallado!$B:$B,0))</f>
        <v>Renta Fija</v>
      </c>
      <c r="E670" s="31" t="str">
        <f>+INDEX([1]Detallado!$Q:$Q,MATCH($C670,[1]Detallado!$B:$B,0))</f>
        <v>RFLC</v>
      </c>
      <c r="F670" s="185" t="s">
        <v>4357</v>
      </c>
      <c r="G670" s="186" t="str">
        <f t="shared" si="20"/>
        <v>21RFLC</v>
      </c>
      <c r="H670" s="187" t="str">
        <f>+INDEX([1]Detallado!$D:$D,MATCH(C670,[1]Detallado!$B:$B,0))</f>
        <v xml:space="preserve">Banco Internacional del Perú </v>
      </c>
      <c r="I670" s="28"/>
      <c r="J670" s="184" t="str">
        <f t="shared" si="21"/>
        <v>RFLBU</v>
      </c>
      <c r="O670" s="28" t="s">
        <v>4968</v>
      </c>
      <c r="P670" s="28" t="s">
        <v>4902</v>
      </c>
    </row>
    <row r="671" spans="3:16" x14ac:dyDescent="0.25">
      <c r="C671" s="28" t="s">
        <v>3309</v>
      </c>
      <c r="D671" s="188" t="str">
        <f>+INDEX([1]Detallado!$F:$F,MATCH($C671,[1]Detallado!$B:$B,0))</f>
        <v>Renta Fija</v>
      </c>
      <c r="E671" s="31" t="str">
        <f>+INDEX([1]Detallado!$Q:$Q,MATCH($C671,[1]Detallado!$B:$B,0))</f>
        <v>RFLC</v>
      </c>
      <c r="F671" s="185" t="s">
        <v>4357</v>
      </c>
      <c r="G671" s="186" t="str">
        <f t="shared" si="20"/>
        <v>21RFLC</v>
      </c>
      <c r="H671" s="187" t="str">
        <f>+INDEX([1]Detallado!$D:$D,MATCH(C671,[1]Detallado!$B:$B,0))</f>
        <v xml:space="preserve">Banco Internacional del Perú </v>
      </c>
      <c r="I671" s="28"/>
      <c r="J671" s="184" t="str">
        <f t="shared" si="21"/>
        <v>RFLBU</v>
      </c>
      <c r="O671" s="28" t="s">
        <v>4968</v>
      </c>
      <c r="P671" s="28" t="s">
        <v>4902</v>
      </c>
    </row>
    <row r="672" spans="3:16" x14ac:dyDescent="0.25">
      <c r="C672" s="28" t="s">
        <v>3310</v>
      </c>
      <c r="D672" s="188" t="str">
        <f>+INDEX([1]Detallado!$F:$F,MATCH($C672,[1]Detallado!$B:$B,0))</f>
        <v>Renta Fija</v>
      </c>
      <c r="E672" s="31" t="str">
        <f>+INDEX([1]Detallado!$Q:$Q,MATCH($C672,[1]Detallado!$B:$B,0))</f>
        <v>RFLC</v>
      </c>
      <c r="F672" s="185" t="s">
        <v>4357</v>
      </c>
      <c r="G672" s="186" t="str">
        <f t="shared" si="20"/>
        <v>21RFLC</v>
      </c>
      <c r="H672" s="187" t="str">
        <f>+INDEX([1]Detallado!$D:$D,MATCH(C672,[1]Detallado!$B:$B,0))</f>
        <v xml:space="preserve">Banco Internacional del Perú </v>
      </c>
      <c r="I672" s="28"/>
      <c r="J672" s="184" t="str">
        <f t="shared" si="21"/>
        <v>RFLBU</v>
      </c>
      <c r="O672" s="28" t="s">
        <v>4968</v>
      </c>
      <c r="P672" s="28" t="s">
        <v>4902</v>
      </c>
    </row>
    <row r="673" spans="3:16" x14ac:dyDescent="0.25">
      <c r="C673" s="28" t="s">
        <v>3311</v>
      </c>
      <c r="D673" s="188" t="str">
        <f>+INDEX([1]Detallado!$F:$F,MATCH($C673,[1]Detallado!$B:$B,0))</f>
        <v>Renta Fija</v>
      </c>
      <c r="E673" s="31" t="str">
        <f>+INDEX([1]Detallado!$Q:$Q,MATCH($C673,[1]Detallado!$B:$B,0))</f>
        <v>RFLC</v>
      </c>
      <c r="F673" s="185" t="s">
        <v>4357</v>
      </c>
      <c r="G673" s="186" t="str">
        <f t="shared" si="20"/>
        <v>25RFLC</v>
      </c>
      <c r="H673" s="187" t="str">
        <f>+INDEX([1]Detallado!$D:$D,MATCH(C673,[1]Detallado!$B:$B,0))</f>
        <v xml:space="preserve">Banco Internacional del Perú </v>
      </c>
      <c r="I673" s="28"/>
      <c r="J673" s="184" t="str">
        <f t="shared" si="21"/>
        <v>RFLBU</v>
      </c>
      <c r="O673" s="28" t="s">
        <v>4969</v>
      </c>
      <c r="P673" s="28" t="s">
        <v>4902</v>
      </c>
    </row>
    <row r="674" spans="3:16" x14ac:dyDescent="0.25">
      <c r="C674" s="28" t="s">
        <v>3312</v>
      </c>
      <c r="D674" s="188" t="str">
        <f>+INDEX([1]Detallado!$F:$F,MATCH($C674,[1]Detallado!$B:$B,0))</f>
        <v>Renta Fija</v>
      </c>
      <c r="E674" s="31" t="str">
        <f>+INDEX([1]Detallado!$Q:$Q,MATCH($C674,[1]Detallado!$B:$B,0))</f>
        <v>RFLC</v>
      </c>
      <c r="F674" s="185" t="s">
        <v>4357</v>
      </c>
      <c r="G674" s="186" t="str">
        <f t="shared" si="20"/>
        <v>25RFLC</v>
      </c>
      <c r="H674" s="187" t="str">
        <f>+INDEX([1]Detallado!$D:$D,MATCH(C674,[1]Detallado!$B:$B,0))</f>
        <v xml:space="preserve">Banco Internacional del Perú </v>
      </c>
      <c r="I674" s="28"/>
      <c r="J674" s="184" t="str">
        <f t="shared" si="21"/>
        <v>RFLBU</v>
      </c>
      <c r="O674" s="28" t="s">
        <v>4970</v>
      </c>
      <c r="P674" s="28" t="s">
        <v>4902</v>
      </c>
    </row>
    <row r="675" spans="3:16" x14ac:dyDescent="0.25">
      <c r="C675" s="28" t="s">
        <v>3313</v>
      </c>
      <c r="D675" s="188" t="str">
        <f>+INDEX([1]Detallado!$F:$F,MATCH($C675,[1]Detallado!$B:$B,0))</f>
        <v>Renta Fija</v>
      </c>
      <c r="E675" s="31" t="str">
        <f>+INDEX([1]Detallado!$Q:$Q,MATCH($C675,[1]Detallado!$B:$B,0))</f>
        <v>RFLC</v>
      </c>
      <c r="F675" s="185" t="s">
        <v>4357</v>
      </c>
      <c r="G675" s="186" t="str">
        <f t="shared" si="20"/>
        <v>21RFLC</v>
      </c>
      <c r="H675" s="187" t="str">
        <f>+INDEX([1]Detallado!$D:$D,MATCH(C675,[1]Detallado!$B:$B,0))</f>
        <v>Scotiabank Peru</v>
      </c>
      <c r="I675" s="28"/>
      <c r="J675" s="184" t="str">
        <f t="shared" si="21"/>
        <v>RFLBU</v>
      </c>
      <c r="O675" s="28" t="s">
        <v>4970</v>
      </c>
      <c r="P675" s="28" t="s">
        <v>4902</v>
      </c>
    </row>
    <row r="676" spans="3:16" x14ac:dyDescent="0.25">
      <c r="C676" s="28" t="s">
        <v>3314</v>
      </c>
      <c r="D676" s="188" t="str">
        <f>+INDEX([1]Detallado!$F:$F,MATCH($C676,[1]Detallado!$B:$B,0))</f>
        <v>Renta Fija</v>
      </c>
      <c r="E676" s="31" t="str">
        <f>+INDEX([1]Detallado!$Q:$Q,MATCH($C676,[1]Detallado!$B:$B,0))</f>
        <v>RFLC</v>
      </c>
      <c r="F676" s="185" t="s">
        <v>4357</v>
      </c>
      <c r="G676" s="186" t="str">
        <f t="shared" si="20"/>
        <v>21RFLC</v>
      </c>
      <c r="H676" s="187" t="str">
        <f>+INDEX([1]Detallado!$D:$D,MATCH(C676,[1]Detallado!$B:$B,0))</f>
        <v>Banco Continental</v>
      </c>
      <c r="I676" s="28"/>
      <c r="J676" s="184" t="str">
        <f t="shared" si="21"/>
        <v>RFLBU</v>
      </c>
      <c r="O676" s="28" t="s">
        <v>4461</v>
      </c>
      <c r="P676" s="28" t="s">
        <v>4902</v>
      </c>
    </row>
    <row r="677" spans="3:16" x14ac:dyDescent="0.25">
      <c r="C677" s="28" t="s">
        <v>2808</v>
      </c>
      <c r="D677" s="188" t="str">
        <f>+INDEX([1]Detallado!$F:$F,MATCH($C677,[1]Detallado!$B:$B,0))</f>
        <v>Renta Fija</v>
      </c>
      <c r="E677" s="31" t="str">
        <f>+INDEX([1]Detallado!$Q:$Q,MATCH($C677,[1]Detallado!$B:$B,0))</f>
        <v>RFLC</v>
      </c>
      <c r="F677" s="185" t="s">
        <v>4357</v>
      </c>
      <c r="G677" s="186" t="str">
        <f t="shared" si="20"/>
        <v>21RFLC</v>
      </c>
      <c r="H677" s="187" t="str">
        <f>+INDEX([1]Detallado!$D:$D,MATCH(C677,[1]Detallado!$B:$B,0))</f>
        <v>COFIDE</v>
      </c>
      <c r="I677" s="28"/>
      <c r="J677" s="184" t="str">
        <f t="shared" si="21"/>
        <v>RFLBU</v>
      </c>
      <c r="O677" s="28" t="s">
        <v>4461</v>
      </c>
      <c r="P677" s="28" t="s">
        <v>4902</v>
      </c>
    </row>
    <row r="678" spans="3:16" x14ac:dyDescent="0.25">
      <c r="C678" s="28" t="s">
        <v>3315</v>
      </c>
      <c r="D678" s="188" t="str">
        <f>+INDEX([1]Detallado!$F:$F,MATCH($C678,[1]Detallado!$B:$B,0))</f>
        <v>Renta Fija</v>
      </c>
      <c r="E678" s="31" t="str">
        <f>+INDEX([1]Detallado!$Q:$Q,MATCH($C678,[1]Detallado!$B:$B,0))</f>
        <v>RFLC</v>
      </c>
      <c r="F678" s="185" t="s">
        <v>4357</v>
      </c>
      <c r="G678" s="186" t="str">
        <f t="shared" si="20"/>
        <v>12RFLC</v>
      </c>
      <c r="H678" s="187" t="str">
        <f>+INDEX([1]Detallado!$D:$D,MATCH(C678,[1]Detallado!$B:$B,0))</f>
        <v>AUNA</v>
      </c>
      <c r="I678" s="28"/>
      <c r="J678" s="184" t="str">
        <f t="shared" si="21"/>
        <v>RFLBU</v>
      </c>
      <c r="O678" s="28" t="s">
        <v>4461</v>
      </c>
      <c r="P678" s="28" t="s">
        <v>4902</v>
      </c>
    </row>
    <row r="679" spans="3:16" x14ac:dyDescent="0.25">
      <c r="C679" s="28" t="s">
        <v>307</v>
      </c>
      <c r="D679" s="188" t="str">
        <f>+INDEX([1]Detallado!$F:$F,MATCH($C679,[1]Detallado!$B:$B,0))</f>
        <v>Renta Fija</v>
      </c>
      <c r="E679" s="31" t="str">
        <f>+INDEX([1]Detallado!$Q:$Q,MATCH($C679,[1]Detallado!$B:$B,0))</f>
        <v>RFLC</v>
      </c>
      <c r="F679" s="185" t="s">
        <v>4357</v>
      </c>
      <c r="G679" s="186" t="str">
        <f t="shared" si="20"/>
        <v>22RFLC</v>
      </c>
      <c r="H679" s="187" t="str">
        <f>+INDEX([1]Detallado!$D:$D,MATCH(C679,[1]Detallado!$B:$B,0))</f>
        <v>Buenaventura</v>
      </c>
      <c r="I679" s="28"/>
      <c r="J679" s="184" t="str">
        <f t="shared" si="21"/>
        <v>RFLBU</v>
      </c>
      <c r="O679" s="28" t="s">
        <v>4461</v>
      </c>
      <c r="P679" s="28" t="s">
        <v>4902</v>
      </c>
    </row>
    <row r="680" spans="3:16" x14ac:dyDescent="0.25">
      <c r="C680" s="28" t="s">
        <v>3316</v>
      </c>
      <c r="D680" s="188" t="str">
        <f>+INDEX([1]Detallado!$F:$F,MATCH($C680,[1]Detallado!$B:$B,0))</f>
        <v>Renta Fija</v>
      </c>
      <c r="E680" s="31" t="str">
        <f>+INDEX([1]Detallado!$Q:$Q,MATCH($C680,[1]Detallado!$B:$B,0))</f>
        <v>RFLC</v>
      </c>
      <c r="F680" s="185" t="s">
        <v>4357</v>
      </c>
      <c r="G680" s="186" t="str">
        <f t="shared" si="20"/>
        <v>22RFLC</v>
      </c>
      <c r="H680" s="187" t="str">
        <f>+INDEX([1]Detallado!$D:$D,MATCH(C680,[1]Detallado!$B:$B,0))</f>
        <v>Unión Andina de Cementos</v>
      </c>
      <c r="I680" s="28"/>
      <c r="J680" s="184" t="str">
        <f t="shared" si="21"/>
        <v>RFLBU</v>
      </c>
      <c r="O680" s="28" t="s">
        <v>4461</v>
      </c>
      <c r="P680" s="28" t="s">
        <v>4902</v>
      </c>
    </row>
    <row r="681" spans="3:16" x14ac:dyDescent="0.25">
      <c r="C681" s="28" t="s">
        <v>3317</v>
      </c>
      <c r="D681" s="188" t="str">
        <f>+INDEX([1]Detallado!$F:$F,MATCH($C681,[1]Detallado!$B:$B,0))</f>
        <v>Renta Fija</v>
      </c>
      <c r="E681" s="31" t="str">
        <f>+INDEX([1]Detallado!$Q:$Q,MATCH($C681,[1]Detallado!$B:$B,0))</f>
        <v>RFLC</v>
      </c>
      <c r="F681" s="185" t="s">
        <v>4357</v>
      </c>
      <c r="G681" s="186" t="str">
        <f t="shared" si="20"/>
        <v>22RFLC</v>
      </c>
      <c r="H681" s="187" t="str">
        <f>+INDEX([1]Detallado!$D:$D,MATCH(C681,[1]Detallado!$B:$B,0))</f>
        <v xml:space="preserve">Alicorp </v>
      </c>
      <c r="I681" s="28"/>
      <c r="J681" s="184" t="str">
        <f t="shared" si="21"/>
        <v>RFLBU</v>
      </c>
      <c r="O681" s="28" t="s">
        <v>4461</v>
      </c>
      <c r="P681" s="28" t="s">
        <v>4902</v>
      </c>
    </row>
    <row r="682" spans="3:16" x14ac:dyDescent="0.25">
      <c r="C682" s="28" t="s">
        <v>3318</v>
      </c>
      <c r="D682" s="188" t="str">
        <f>+INDEX([1]Detallado!$F:$F,MATCH($C682,[1]Detallado!$B:$B,0))</f>
        <v>Renta Fija</v>
      </c>
      <c r="E682" s="31" t="str">
        <f>+INDEX([1]Detallado!$Q:$Q,MATCH($C682,[1]Detallado!$B:$B,0))</f>
        <v>RFLC</v>
      </c>
      <c r="F682" s="185" t="s">
        <v>4357</v>
      </c>
      <c r="G682" s="186" t="str">
        <f t="shared" si="20"/>
        <v>22RFLC</v>
      </c>
      <c r="H682" s="187" t="str">
        <f>+INDEX([1]Detallado!$D:$D,MATCH(C682,[1]Detallado!$B:$B,0))</f>
        <v>MINSUR</v>
      </c>
      <c r="I682" s="28"/>
      <c r="J682" s="184" t="str">
        <f t="shared" si="21"/>
        <v>RFLBU</v>
      </c>
      <c r="O682" s="28" t="s">
        <v>4461</v>
      </c>
      <c r="P682" s="28" t="s">
        <v>4902</v>
      </c>
    </row>
    <row r="683" spans="3:16" x14ac:dyDescent="0.25">
      <c r="C683" s="28" t="s">
        <v>340</v>
      </c>
      <c r="D683" s="188" t="str">
        <f>+INDEX([1]Detallado!$F:$F,MATCH($C683,[1]Detallado!$B:$B,0))</f>
        <v>Renta Fija</v>
      </c>
      <c r="E683" s="31" t="str">
        <f>+INDEX([1]Detallado!$Q:$Q,MATCH($C683,[1]Detallado!$B:$B,0))</f>
        <v>RFLC</v>
      </c>
      <c r="F683" s="185" t="s">
        <v>4357</v>
      </c>
      <c r="G683" s="186" t="str">
        <f t="shared" si="20"/>
        <v>22RFLC</v>
      </c>
      <c r="H683" s="187" t="str">
        <f>+INDEX([1]Detallado!$D:$D,MATCH(C683,[1]Detallado!$B:$B,0))</f>
        <v>MINSUR</v>
      </c>
      <c r="I683" s="28"/>
      <c r="J683" s="184" t="str">
        <f t="shared" si="21"/>
        <v>RFLBU</v>
      </c>
      <c r="O683" s="28" t="s">
        <v>4461</v>
      </c>
      <c r="P683" s="28" t="s">
        <v>4902</v>
      </c>
    </row>
    <row r="684" spans="3:16" x14ac:dyDescent="0.25">
      <c r="C684" s="28" t="s">
        <v>3319</v>
      </c>
      <c r="D684" s="188" t="str">
        <f>+INDEX([1]Detallado!$F:$F,MATCH($C684,[1]Detallado!$B:$B,0))</f>
        <v>Renta Fija</v>
      </c>
      <c r="E684" s="31" t="str">
        <f>+INDEX([1]Detallado!$Q:$Q,MATCH($C684,[1]Detallado!$B:$B,0))</f>
        <v>RFLC</v>
      </c>
      <c r="F684" s="185" t="s">
        <v>4357</v>
      </c>
      <c r="G684" s="186" t="str">
        <f t="shared" si="20"/>
        <v>22RFLC</v>
      </c>
      <c r="H684" s="187" t="str">
        <f>+INDEX([1]Detallado!$D:$D,MATCH(C684,[1]Detallado!$B:$B,0))</f>
        <v>Volcan Cia. Minera</v>
      </c>
      <c r="I684" s="28"/>
      <c r="J684" s="184" t="str">
        <f t="shared" si="21"/>
        <v>RFLBU</v>
      </c>
      <c r="O684" s="28" t="s">
        <v>4531</v>
      </c>
      <c r="P684" s="28" t="s">
        <v>4902</v>
      </c>
    </row>
    <row r="685" spans="3:16" x14ac:dyDescent="0.25">
      <c r="C685" s="28" t="s">
        <v>3320</v>
      </c>
      <c r="D685" s="188" t="str">
        <f>+INDEX([1]Detallado!$F:$F,MATCH($C685,[1]Detallado!$B:$B,0))</f>
        <v>Renta Fija</v>
      </c>
      <c r="E685" s="31" t="str">
        <f>+INDEX([1]Detallado!$Q:$Q,MATCH($C685,[1]Detallado!$B:$B,0))</f>
        <v>RFLC</v>
      </c>
      <c r="F685" s="185" t="s">
        <v>4357</v>
      </c>
      <c r="G685" s="186" t="str">
        <f t="shared" si="20"/>
        <v>22RFLC</v>
      </c>
      <c r="H685" s="187" t="str">
        <f>+INDEX([1]Detallado!$D:$D,MATCH(C685,[1]Detallado!$B:$B,0))</f>
        <v>Volcan Cia. Minera</v>
      </c>
      <c r="I685" s="28"/>
      <c r="J685" s="184" t="str">
        <f t="shared" si="21"/>
        <v>RFLBU</v>
      </c>
      <c r="O685" s="28" t="s">
        <v>4438</v>
      </c>
      <c r="P685" s="28" t="s">
        <v>4902</v>
      </c>
    </row>
    <row r="686" spans="3:16" x14ac:dyDescent="0.25">
      <c r="C686" s="28" t="s">
        <v>344</v>
      </c>
      <c r="D686" s="188" t="str">
        <f>+INDEX([1]Detallado!$F:$F,MATCH($C686,[1]Detallado!$B:$B,0))</f>
        <v>Renta Fija</v>
      </c>
      <c r="E686" s="31" t="str">
        <f>+INDEX([1]Detallado!$Q:$Q,MATCH($C686,[1]Detallado!$B:$B,0))</f>
        <v>RFLC</v>
      </c>
      <c r="F686" s="185" t="s">
        <v>4357</v>
      </c>
      <c r="G686" s="186" t="str">
        <f t="shared" si="20"/>
        <v>22RFLC</v>
      </c>
      <c r="H686" s="187" t="str">
        <f>+INDEX([1]Detallado!$D:$D,MATCH(C686,[1]Detallado!$B:$B,0))</f>
        <v>Volcan Cia. Minera</v>
      </c>
      <c r="I686" s="28"/>
      <c r="J686" s="184" t="str">
        <f t="shared" si="21"/>
        <v>RFLBU</v>
      </c>
      <c r="O686" s="28" t="s">
        <v>4971</v>
      </c>
      <c r="P686" s="28" t="s">
        <v>4902</v>
      </c>
    </row>
    <row r="687" spans="3:16" x14ac:dyDescent="0.25">
      <c r="C687" s="28" t="s">
        <v>3321</v>
      </c>
      <c r="D687" s="188" t="str">
        <f>+INDEX([1]Detallado!$F:$F,MATCH($C687,[1]Detallado!$B:$B,0))</f>
        <v>Renta Fija</v>
      </c>
      <c r="E687" s="31" t="str">
        <f>+INDEX([1]Detallado!$Q:$Q,MATCH($C687,[1]Detallado!$B:$B,0))</f>
        <v>RFLC</v>
      </c>
      <c r="F687" s="185" t="s">
        <v>4357</v>
      </c>
      <c r="G687" s="186" t="str">
        <f t="shared" si="20"/>
        <v>22RFLC</v>
      </c>
      <c r="H687" s="187" t="str">
        <f>+INDEX([1]Detallado!$D:$D,MATCH(C687,[1]Detallado!$B:$B,0))</f>
        <v>Cementos Pacasmayo</v>
      </c>
      <c r="I687" s="28"/>
      <c r="J687" s="184" t="str">
        <f t="shared" si="21"/>
        <v>RFLBU</v>
      </c>
      <c r="O687" s="28" t="s">
        <v>4972</v>
      </c>
      <c r="P687" s="28" t="s">
        <v>4896</v>
      </c>
    </row>
    <row r="688" spans="3:16" x14ac:dyDescent="0.25">
      <c r="C688" s="28" t="s">
        <v>3322</v>
      </c>
      <c r="D688" s="188" t="str">
        <f>+INDEX([1]Detallado!$F:$F,MATCH($C688,[1]Detallado!$B:$B,0))</f>
        <v>Renta Fija</v>
      </c>
      <c r="E688" s="31" t="str">
        <f>+INDEX([1]Detallado!$Q:$Q,MATCH($C688,[1]Detallado!$B:$B,0))</f>
        <v>RFLC</v>
      </c>
      <c r="F688" s="185" t="s">
        <v>4357</v>
      </c>
      <c r="G688" s="186" t="str">
        <f t="shared" si="20"/>
        <v>22RFLC</v>
      </c>
      <c r="H688" s="187" t="str">
        <f>+INDEX([1]Detallado!$D:$D,MATCH(C688,[1]Detallado!$B:$B,0))</f>
        <v>Consorcio Transmantaro</v>
      </c>
      <c r="I688" s="28"/>
      <c r="J688" s="184" t="str">
        <f t="shared" si="21"/>
        <v>RFLBU</v>
      </c>
      <c r="O688" s="28" t="s">
        <v>4973</v>
      </c>
      <c r="P688" s="28" t="s">
        <v>4902</v>
      </c>
    </row>
    <row r="689" spans="3:16" x14ac:dyDescent="0.25">
      <c r="C689" s="28" t="s">
        <v>3323</v>
      </c>
      <c r="D689" s="188" t="str">
        <f>+INDEX([1]Detallado!$F:$F,MATCH($C689,[1]Detallado!$B:$B,0))</f>
        <v>Renta Fija</v>
      </c>
      <c r="E689" s="31" t="str">
        <f>+INDEX([1]Detallado!$Q:$Q,MATCH($C689,[1]Detallado!$B:$B,0))</f>
        <v>RFLC</v>
      </c>
      <c r="F689" s="185" t="s">
        <v>4357</v>
      </c>
      <c r="G689" s="186" t="str">
        <f t="shared" si="20"/>
        <v>22RFLC</v>
      </c>
      <c r="H689" s="187" t="str">
        <f>+INDEX([1]Detallado!$D:$D,MATCH(C689,[1]Detallado!$B:$B,0))</f>
        <v>Consorcio Transmantaro</v>
      </c>
      <c r="I689" s="28"/>
      <c r="J689" s="184" t="str">
        <f t="shared" si="21"/>
        <v>RFLBU</v>
      </c>
      <c r="O689" s="28" t="s">
        <v>4973</v>
      </c>
      <c r="P689" s="28" t="s">
        <v>4902</v>
      </c>
    </row>
    <row r="690" spans="3:16" x14ac:dyDescent="0.25">
      <c r="C690" s="28" t="s">
        <v>3324</v>
      </c>
      <c r="D690" s="188" t="str">
        <f>+INDEX([1]Detallado!$F:$F,MATCH($C690,[1]Detallado!$B:$B,0))</f>
        <v>Renta Fija</v>
      </c>
      <c r="E690" s="31" t="str">
        <f>+INDEX([1]Detallado!$Q:$Q,MATCH($C690,[1]Detallado!$B:$B,0))</f>
        <v>RFLC</v>
      </c>
      <c r="F690" s="185" t="s">
        <v>4357</v>
      </c>
      <c r="G690" s="186" t="str">
        <f t="shared" si="20"/>
        <v>22RFLC</v>
      </c>
      <c r="H690" s="187" t="str">
        <f>+INDEX([1]Detallado!$D:$D,MATCH(C690,[1]Detallado!$B:$B,0))</f>
        <v>Consorcio Transmantaro</v>
      </c>
      <c r="I690" s="28"/>
      <c r="J690" s="184" t="str">
        <f t="shared" si="21"/>
        <v>RFLBU</v>
      </c>
      <c r="O690" s="28" t="s">
        <v>4974</v>
      </c>
      <c r="P690" s="28" t="s">
        <v>4902</v>
      </c>
    </row>
    <row r="691" spans="3:16" x14ac:dyDescent="0.25">
      <c r="C691" s="28" t="s">
        <v>3325</v>
      </c>
      <c r="D691" s="188" t="str">
        <f>+INDEX([1]Detallado!$F:$F,MATCH($C691,[1]Detallado!$B:$B,0))</f>
        <v>Renta Fija</v>
      </c>
      <c r="E691" s="31" t="str">
        <f>+INDEX([1]Detallado!$Q:$Q,MATCH($C691,[1]Detallado!$B:$B,0))</f>
        <v>RFLC</v>
      </c>
      <c r="F691" s="185" t="s">
        <v>4357</v>
      </c>
      <c r="G691" s="186" t="str">
        <f t="shared" si="20"/>
        <v>22RFLC</v>
      </c>
      <c r="H691" s="187" t="str">
        <f>+INDEX([1]Detallado!$D:$D,MATCH(C691,[1]Detallado!$B:$B,0))</f>
        <v xml:space="preserve">Transportadora de Gas del Perú </v>
      </c>
      <c r="I691" s="28"/>
      <c r="J691" s="184" t="str">
        <f t="shared" si="21"/>
        <v>RFLBU</v>
      </c>
      <c r="O691" s="28" t="s">
        <v>4974</v>
      </c>
      <c r="P691" s="28" t="s">
        <v>4902</v>
      </c>
    </row>
    <row r="692" spans="3:16" x14ac:dyDescent="0.25">
      <c r="C692" s="28" t="s">
        <v>3326</v>
      </c>
      <c r="D692" s="188" t="str">
        <f>+INDEX([1]Detallado!$F:$F,MATCH($C692,[1]Detallado!$B:$B,0))</f>
        <v>Renta Fija</v>
      </c>
      <c r="E692" s="31" t="str">
        <f>+INDEX([1]Detallado!$Q:$Q,MATCH($C692,[1]Detallado!$B:$B,0))</f>
        <v>RFLC</v>
      </c>
      <c r="F692" s="185" t="s">
        <v>4357</v>
      </c>
      <c r="G692" s="186" t="str">
        <f t="shared" si="20"/>
        <v>22RFLC</v>
      </c>
      <c r="H692" s="187" t="str">
        <f>+INDEX([1]Detallado!$D:$D,MATCH(C692,[1]Detallado!$B:$B,0))</f>
        <v>Exalmar</v>
      </c>
      <c r="I692" s="28"/>
      <c r="J692" s="184" t="str">
        <f t="shared" si="21"/>
        <v>RFLBU</v>
      </c>
      <c r="O692" s="28" t="s">
        <v>4974</v>
      </c>
      <c r="P692" s="28" t="s">
        <v>4902</v>
      </c>
    </row>
    <row r="693" spans="3:16" x14ac:dyDescent="0.25">
      <c r="C693" s="28" t="s">
        <v>3327</v>
      </c>
      <c r="D693" s="188" t="str">
        <f>+INDEX([1]Detallado!$F:$F,MATCH($C693,[1]Detallado!$B:$B,0))</f>
        <v>Renta Fija</v>
      </c>
      <c r="E693" s="31" t="str">
        <f>+INDEX([1]Detallado!$Q:$Q,MATCH($C693,[1]Detallado!$B:$B,0))</f>
        <v>RFLC</v>
      </c>
      <c r="F693" s="185" t="s">
        <v>4357</v>
      </c>
      <c r="G693" s="186" t="str">
        <f t="shared" si="20"/>
        <v>22RFLC</v>
      </c>
      <c r="H693" s="187" t="str">
        <f>+INDEX([1]Detallado!$D:$D,MATCH(C693,[1]Detallado!$B:$B,0))</f>
        <v>Petroleos del Peru S.A.</v>
      </c>
      <c r="I693" s="28"/>
      <c r="J693" s="184" t="str">
        <f t="shared" si="21"/>
        <v>RFLBU</v>
      </c>
      <c r="O693" s="28" t="s">
        <v>4974</v>
      </c>
      <c r="P693" s="28" t="s">
        <v>4902</v>
      </c>
    </row>
    <row r="694" spans="3:16" x14ac:dyDescent="0.25">
      <c r="C694" s="28" t="s">
        <v>3328</v>
      </c>
      <c r="D694" s="188" t="str">
        <f>+INDEX([1]Detallado!$F:$F,MATCH($C694,[1]Detallado!$B:$B,0))</f>
        <v>Renta Fija</v>
      </c>
      <c r="E694" s="31" t="str">
        <f>+INDEX([1]Detallado!$Q:$Q,MATCH($C694,[1]Detallado!$B:$B,0))</f>
        <v>RFLC</v>
      </c>
      <c r="F694" s="185" t="s">
        <v>4357</v>
      </c>
      <c r="G694" s="186" t="str">
        <f t="shared" si="20"/>
        <v>22RFLC</v>
      </c>
      <c r="H694" s="187" t="str">
        <f>+INDEX([1]Detallado!$D:$D,MATCH(C694,[1]Detallado!$B:$B,0))</f>
        <v>Petroleos del Peru S.A.</v>
      </c>
      <c r="I694" s="28"/>
      <c r="J694" s="184" t="str">
        <f t="shared" si="21"/>
        <v>RFLBU</v>
      </c>
      <c r="O694" s="28" t="s">
        <v>4974</v>
      </c>
      <c r="P694" s="28" t="s">
        <v>4902</v>
      </c>
    </row>
    <row r="695" spans="3:16" x14ac:dyDescent="0.25">
      <c r="C695" s="28" t="s">
        <v>3329</v>
      </c>
      <c r="D695" s="188" t="str">
        <f>+INDEX([1]Detallado!$F:$F,MATCH($C695,[1]Detallado!$B:$B,0))</f>
        <v>Renta Fija</v>
      </c>
      <c r="E695" s="31" t="str">
        <f>+INDEX([1]Detallado!$Q:$Q,MATCH($C695,[1]Detallado!$B:$B,0))</f>
        <v>RFLC</v>
      </c>
      <c r="F695" s="185" t="s">
        <v>4357</v>
      </c>
      <c r="G695" s="186" t="str">
        <f t="shared" si="20"/>
        <v>22RFLC</v>
      </c>
      <c r="H695" s="187" t="str">
        <f>+INDEX([1]Detallado!$D:$D,MATCH(C695,[1]Detallado!$B:$B,0))</f>
        <v>Peru LNG</v>
      </c>
      <c r="I695" s="28"/>
      <c r="J695" s="184" t="str">
        <f t="shared" si="21"/>
        <v>RFLBU</v>
      </c>
      <c r="O695" s="28" t="s">
        <v>4974</v>
      </c>
      <c r="P695" s="28" t="s">
        <v>4902</v>
      </c>
    </row>
    <row r="696" spans="3:16" x14ac:dyDescent="0.25">
      <c r="C696" s="28" t="s">
        <v>3330</v>
      </c>
      <c r="D696" s="188" t="str">
        <f>+INDEX([1]Detallado!$F:$F,MATCH($C696,[1]Detallado!$B:$B,0))</f>
        <v>Renta Fija</v>
      </c>
      <c r="E696" s="31" t="str">
        <f>+INDEX([1]Detallado!$Q:$Q,MATCH($C696,[1]Detallado!$B:$B,0))</f>
        <v>RFLC</v>
      </c>
      <c r="F696" s="185" t="s">
        <v>4357</v>
      </c>
      <c r="G696" s="186" t="str">
        <f t="shared" si="20"/>
        <v>22RFLC</v>
      </c>
      <c r="H696" s="187" t="str">
        <f>+INDEX([1]Detallado!$D:$D,MATCH(C696,[1]Detallado!$B:$B,0))</f>
        <v>Corporación J.R. Lindley</v>
      </c>
      <c r="I696" s="28"/>
      <c r="J696" s="184" t="str">
        <f t="shared" si="21"/>
        <v>RFLBU</v>
      </c>
      <c r="O696" s="28" t="s">
        <v>4974</v>
      </c>
      <c r="P696" s="28" t="s">
        <v>4902</v>
      </c>
    </row>
    <row r="697" spans="3:16" x14ac:dyDescent="0.25">
      <c r="C697" s="28" t="s">
        <v>3331</v>
      </c>
      <c r="D697" s="188" t="str">
        <f>+INDEX([1]Detallado!$F:$F,MATCH($C697,[1]Detallado!$B:$B,0))</f>
        <v>Renta Fija</v>
      </c>
      <c r="E697" s="31" t="str">
        <f>+INDEX([1]Detallado!$Q:$Q,MATCH($C697,[1]Detallado!$B:$B,0))</f>
        <v>RFLC</v>
      </c>
      <c r="F697" s="185" t="s">
        <v>4357</v>
      </c>
      <c r="G697" s="186" t="str">
        <f t="shared" si="20"/>
        <v>22RFLC</v>
      </c>
      <c r="H697" s="187" t="str">
        <f>+INDEX([1]Detallado!$D:$D,MATCH(C697,[1]Detallado!$B:$B,0))</f>
        <v>Corporación J.R. Lindley</v>
      </c>
      <c r="I697" s="28"/>
      <c r="J697" s="184" t="str">
        <f t="shared" si="21"/>
        <v>RFLBU</v>
      </c>
      <c r="O697" s="28" t="s">
        <v>4974</v>
      </c>
      <c r="P697" s="28" t="s">
        <v>4902</v>
      </c>
    </row>
    <row r="698" spans="3:16" x14ac:dyDescent="0.25">
      <c r="C698" s="28" t="s">
        <v>3332</v>
      </c>
      <c r="D698" s="188" t="str">
        <f>+INDEX([1]Detallado!$F:$F,MATCH($C698,[1]Detallado!$B:$B,0))</f>
        <v>Renta Fija</v>
      </c>
      <c r="E698" s="31" t="str">
        <f>+INDEX([1]Detallado!$Q:$Q,MATCH($C698,[1]Detallado!$B:$B,0))</f>
        <v>RFLC</v>
      </c>
      <c r="F698" s="185" t="s">
        <v>4357</v>
      </c>
      <c r="G698" s="186" t="str">
        <f t="shared" si="20"/>
        <v>22RFLC</v>
      </c>
      <c r="H698" s="187" t="str">
        <f>+INDEX([1]Detallado!$D:$D,MATCH(C698,[1]Detallado!$B:$B,0))</f>
        <v>Lima Airport Partners</v>
      </c>
      <c r="I698" s="28"/>
      <c r="J698" s="184" t="str">
        <f t="shared" si="21"/>
        <v>RFLBU</v>
      </c>
      <c r="O698" s="28" t="s">
        <v>4974</v>
      </c>
      <c r="P698" s="28" t="s">
        <v>4902</v>
      </c>
    </row>
    <row r="699" spans="3:16" x14ac:dyDescent="0.25">
      <c r="C699" s="28" t="s">
        <v>3333</v>
      </c>
      <c r="D699" s="188" t="str">
        <f>+INDEX([1]Detallado!$F:$F,MATCH($C699,[1]Detallado!$B:$B,0))</f>
        <v>Renta Fija</v>
      </c>
      <c r="E699" s="31" t="str">
        <f>+INDEX([1]Detallado!$Q:$Q,MATCH($C699,[1]Detallado!$B:$B,0))</f>
        <v>RFLC</v>
      </c>
      <c r="F699" s="185" t="s">
        <v>4357</v>
      </c>
      <c r="G699" s="186" t="str">
        <f t="shared" si="20"/>
        <v>22RFLC</v>
      </c>
      <c r="H699" s="187" t="str">
        <f>+INDEX([1]Detallado!$D:$D,MATCH(C699,[1]Detallado!$B:$B,0))</f>
        <v>Lima Airport Partners</v>
      </c>
      <c r="I699" s="28"/>
      <c r="J699" s="184" t="str">
        <f t="shared" si="21"/>
        <v>RFLBU</v>
      </c>
      <c r="O699" s="28" t="s">
        <v>4974</v>
      </c>
      <c r="P699" s="28" t="s">
        <v>4902</v>
      </c>
    </row>
    <row r="700" spans="3:16" x14ac:dyDescent="0.25">
      <c r="C700" s="28" t="s">
        <v>3334</v>
      </c>
      <c r="D700" s="188" t="str">
        <f>+INDEX([1]Detallado!$F:$F,MATCH($C700,[1]Detallado!$B:$B,0))</f>
        <v>Renta Fija</v>
      </c>
      <c r="E700" s="31" t="str">
        <f>+INDEX([1]Detallado!$Q:$Q,MATCH($C700,[1]Detallado!$B:$B,0))</f>
        <v>RFLC</v>
      </c>
      <c r="F700" s="185" t="s">
        <v>4357</v>
      </c>
      <c r="G700" s="186" t="str">
        <f t="shared" si="20"/>
        <v>22RFLC</v>
      </c>
      <c r="H700" s="187" t="str">
        <f>+INDEX([1]Detallado!$D:$D,MATCH(C700,[1]Detallado!$B:$B,0))</f>
        <v>Kallpa Generación S.A</v>
      </c>
      <c r="I700" s="28"/>
      <c r="J700" s="184" t="str">
        <f t="shared" si="21"/>
        <v>RFLBU</v>
      </c>
      <c r="O700" s="28" t="s">
        <v>4974</v>
      </c>
      <c r="P700" s="28" t="s">
        <v>4902</v>
      </c>
    </row>
    <row r="701" spans="3:16" x14ac:dyDescent="0.25">
      <c r="C701" s="28" t="s">
        <v>3335</v>
      </c>
      <c r="D701" s="188" t="str">
        <f>+INDEX([1]Detallado!$F:$F,MATCH($C701,[1]Detallado!$B:$B,0))</f>
        <v>Renta Fija</v>
      </c>
      <c r="E701" s="31" t="str">
        <f>+INDEX([1]Detallado!$Q:$Q,MATCH($C701,[1]Detallado!$B:$B,0))</f>
        <v>RFLC</v>
      </c>
      <c r="F701" s="185" t="s">
        <v>4357</v>
      </c>
      <c r="G701" s="186" t="str">
        <f t="shared" si="20"/>
        <v>22RFLC</v>
      </c>
      <c r="H701" s="187" t="str">
        <f>+INDEX([1]Detallado!$D:$D,MATCH(C701,[1]Detallado!$B:$B,0))</f>
        <v>Kallpa Generación S.A</v>
      </c>
      <c r="I701" s="28"/>
      <c r="J701" s="184" t="str">
        <f t="shared" si="21"/>
        <v>RFLBU</v>
      </c>
      <c r="O701" s="28" t="s">
        <v>4974</v>
      </c>
      <c r="P701" s="28" t="s">
        <v>4902</v>
      </c>
    </row>
    <row r="702" spans="3:16" x14ac:dyDescent="0.25">
      <c r="C702" s="28" t="s">
        <v>3336</v>
      </c>
      <c r="D702" s="188" t="str">
        <f>+INDEX([1]Detallado!$F:$F,MATCH($C702,[1]Detallado!$B:$B,0))</f>
        <v>Renta Fija</v>
      </c>
      <c r="E702" s="31" t="str">
        <f>+INDEX([1]Detallado!$Q:$Q,MATCH($C702,[1]Detallado!$B:$B,0))</f>
        <v>RFLC</v>
      </c>
      <c r="F702" s="185" t="s">
        <v>4357</v>
      </c>
      <c r="G702" s="186" t="str">
        <f t="shared" si="20"/>
        <v>22RFLC</v>
      </c>
      <c r="H702" s="187" t="str">
        <f>+INDEX([1]Detallado!$D:$D,MATCH(C702,[1]Detallado!$B:$B,0))</f>
        <v>Fenix Power Peru S.A.</v>
      </c>
      <c r="I702" s="28"/>
      <c r="J702" s="184" t="str">
        <f t="shared" si="21"/>
        <v>RFLBU</v>
      </c>
      <c r="O702" s="28" t="s">
        <v>4974</v>
      </c>
      <c r="P702" s="28" t="s">
        <v>4902</v>
      </c>
    </row>
    <row r="703" spans="3:16" x14ac:dyDescent="0.25">
      <c r="C703" s="28" t="s">
        <v>3337</v>
      </c>
      <c r="D703" s="188" t="str">
        <f>+INDEX([1]Detallado!$F:$F,MATCH($C703,[1]Detallado!$B:$B,0))</f>
        <v>Renta Fija</v>
      </c>
      <c r="E703" s="31" t="str">
        <f>+INDEX([1]Detallado!$Q:$Q,MATCH($C703,[1]Detallado!$B:$B,0))</f>
        <v>RFLC</v>
      </c>
      <c r="F703" s="185" t="s">
        <v>4357</v>
      </c>
      <c r="G703" s="186" t="str">
        <f t="shared" si="20"/>
        <v>22RFLC</v>
      </c>
      <c r="H703" s="187" t="str">
        <f>+INDEX([1]Detallado!$D:$D,MATCH(C703,[1]Detallado!$B:$B,0))</f>
        <v>Copeinca</v>
      </c>
      <c r="I703" s="28"/>
      <c r="J703" s="184" t="str">
        <f t="shared" si="21"/>
        <v>RFLBU</v>
      </c>
      <c r="O703" s="28" t="s">
        <v>4974</v>
      </c>
      <c r="P703" s="28" t="s">
        <v>4902</v>
      </c>
    </row>
    <row r="704" spans="3:16" x14ac:dyDescent="0.25">
      <c r="C704" s="28" t="s">
        <v>3338</v>
      </c>
      <c r="D704" s="188" t="str">
        <f>+INDEX([1]Detallado!$F:$F,MATCH($C704,[1]Detallado!$B:$B,0))</f>
        <v>Renta Fija</v>
      </c>
      <c r="E704" s="31" t="str">
        <f>+INDEX([1]Detallado!$Q:$Q,MATCH($C704,[1]Detallado!$B:$B,0))</f>
        <v>RFLC</v>
      </c>
      <c r="F704" s="185" t="s">
        <v>4357</v>
      </c>
      <c r="G704" s="186" t="str">
        <f t="shared" si="20"/>
        <v>22RFLC</v>
      </c>
      <c r="H704" s="187" t="str">
        <f>+INDEX([1]Detallado!$D:$D,MATCH(C704,[1]Detallado!$B:$B,0))</f>
        <v>Camposol S.A.</v>
      </c>
      <c r="I704" s="28"/>
      <c r="J704" s="184" t="str">
        <f t="shared" si="21"/>
        <v>RFLBU</v>
      </c>
      <c r="O704" s="28" t="s">
        <v>4974</v>
      </c>
      <c r="P704" s="28" t="s">
        <v>4902</v>
      </c>
    </row>
    <row r="705" spans="3:16" x14ac:dyDescent="0.25">
      <c r="C705" s="28" t="s">
        <v>3339</v>
      </c>
      <c r="D705" s="188" t="str">
        <f>+INDEX([1]Detallado!$F:$F,MATCH($C705,[1]Detallado!$B:$B,0))</f>
        <v>Renta Fija</v>
      </c>
      <c r="E705" s="31" t="str">
        <f>+INDEX([1]Detallado!$Q:$Q,MATCH($C705,[1]Detallado!$B:$B,0))</f>
        <v>RFLC</v>
      </c>
      <c r="F705" s="185" t="s">
        <v>4357</v>
      </c>
      <c r="G705" s="186" t="str">
        <f t="shared" si="20"/>
        <v>22RFLC</v>
      </c>
      <c r="H705" s="187" t="str">
        <f>+INDEX([1]Detallado!$D:$D,MATCH(C705,[1]Detallado!$B:$B,0))</f>
        <v>Camposol S.A.</v>
      </c>
      <c r="I705" s="28"/>
      <c r="J705" s="184" t="str">
        <f t="shared" si="21"/>
        <v>RFLBU</v>
      </c>
      <c r="O705" s="28" t="s">
        <v>4974</v>
      </c>
      <c r="P705" s="28" t="s">
        <v>4902</v>
      </c>
    </row>
    <row r="706" spans="3:16" x14ac:dyDescent="0.25">
      <c r="C706" s="28" t="s">
        <v>3340</v>
      </c>
      <c r="D706" s="188" t="str">
        <f>+INDEX([1]Detallado!$F:$F,MATCH($C706,[1]Detallado!$B:$B,0))</f>
        <v>Renta Fija</v>
      </c>
      <c r="E706" s="31" t="str">
        <f>+INDEX([1]Detallado!$Q:$Q,MATCH($C706,[1]Detallado!$B:$B,0))</f>
        <v>RFLC</v>
      </c>
      <c r="F706" s="185" t="s">
        <v>4357</v>
      </c>
      <c r="G706" s="186" t="str">
        <f t="shared" si="20"/>
        <v>22RFLC</v>
      </c>
      <c r="H706" s="187" t="str">
        <f>+INDEX([1]Detallado!$D:$D,MATCH(C706,[1]Detallado!$B:$B,0))</f>
        <v>Camposol S.A.</v>
      </c>
      <c r="I706" s="28"/>
      <c r="J706" s="184" t="str">
        <f t="shared" si="21"/>
        <v>RFLBU</v>
      </c>
      <c r="O706" s="28" t="s">
        <v>4974</v>
      </c>
      <c r="P706" s="28" t="s">
        <v>4902</v>
      </c>
    </row>
    <row r="707" spans="3:16" x14ac:dyDescent="0.25">
      <c r="C707" s="28" t="s">
        <v>3341</v>
      </c>
      <c r="D707" s="188" t="str">
        <f>+INDEX([1]Detallado!$F:$F,MATCH($C707,[1]Detallado!$B:$B,0))</f>
        <v>Renta Fija</v>
      </c>
      <c r="E707" s="31" t="str">
        <f>+INDEX([1]Detallado!$Q:$Q,MATCH($C707,[1]Detallado!$B:$B,0))</f>
        <v>RFLC</v>
      </c>
      <c r="F707" s="185" t="s">
        <v>4357</v>
      </c>
      <c r="G707" s="186" t="str">
        <f t="shared" si="20"/>
        <v>22RFLC</v>
      </c>
      <c r="H707" s="187" t="str">
        <f>+INDEX([1]Detallado!$D:$D,MATCH(C707,[1]Detallado!$B:$B,0))</f>
        <v>Camposol S.A.</v>
      </c>
      <c r="I707" s="28"/>
      <c r="J707" s="184" t="str">
        <f t="shared" si="21"/>
        <v>RFLBU</v>
      </c>
      <c r="O707" s="28" t="s">
        <v>4974</v>
      </c>
      <c r="P707" s="28" t="s">
        <v>4902</v>
      </c>
    </row>
    <row r="708" spans="3:16" x14ac:dyDescent="0.25">
      <c r="C708" s="28" t="s">
        <v>3342</v>
      </c>
      <c r="D708" s="188" t="str">
        <f>+INDEX([1]Detallado!$F:$F,MATCH($C708,[1]Detallado!$B:$B,0))</f>
        <v>Renta Fija</v>
      </c>
      <c r="E708" s="31" t="str">
        <f>+INDEX([1]Detallado!$Q:$Q,MATCH($C708,[1]Detallado!$B:$B,0))</f>
        <v>RFLC</v>
      </c>
      <c r="F708" s="185" t="s">
        <v>4357</v>
      </c>
      <c r="G708" s="186" t="str">
        <f t="shared" si="20"/>
        <v>22RFLC</v>
      </c>
      <c r="H708" s="187" t="str">
        <f>+INDEX([1]Detallado!$D:$D,MATCH(C708,[1]Detallado!$B:$B,0))</f>
        <v>Terminales Portuarios Euroandinos Paita S.A.</v>
      </c>
      <c r="I708" s="28"/>
      <c r="J708" s="184" t="str">
        <f t="shared" si="21"/>
        <v>RFLBU</v>
      </c>
      <c r="O708" s="28" t="s">
        <v>4974</v>
      </c>
      <c r="P708" s="28" t="s">
        <v>4902</v>
      </c>
    </row>
    <row r="709" spans="3:16" x14ac:dyDescent="0.25">
      <c r="C709" s="28" t="s">
        <v>3343</v>
      </c>
      <c r="D709" s="188" t="str">
        <f>+INDEX([1]Detallado!$F:$F,MATCH($C709,[1]Detallado!$B:$B,0))</f>
        <v>Renta Fija</v>
      </c>
      <c r="E709" s="31" t="str">
        <f>+INDEX([1]Detallado!$Q:$Q,MATCH($C709,[1]Detallado!$B:$B,0))</f>
        <v>RFLC</v>
      </c>
      <c r="F709" s="185" t="s">
        <v>4357</v>
      </c>
      <c r="G709" s="186" t="str">
        <f t="shared" si="20"/>
        <v>22RFLC</v>
      </c>
      <c r="H709" s="187" t="str">
        <f>+INDEX([1]Detallado!$D:$D,MATCH(C709,[1]Detallado!$B:$B,0))</f>
        <v>Corporación Azucarera del Perú S.A.</v>
      </c>
      <c r="I709" s="28"/>
      <c r="J709" s="184" t="str">
        <f t="shared" si="21"/>
        <v>RFLBU</v>
      </c>
      <c r="O709" s="28" t="s">
        <v>4974</v>
      </c>
      <c r="P709" s="28" t="s">
        <v>4902</v>
      </c>
    </row>
    <row r="710" spans="3:16" x14ac:dyDescent="0.25">
      <c r="C710" s="28" t="s">
        <v>3344</v>
      </c>
      <c r="D710" s="188" t="str">
        <f>+INDEX([1]Detallado!$F:$F,MATCH($C710,[1]Detallado!$B:$B,0))</f>
        <v>Renta Fija</v>
      </c>
      <c r="E710" s="31" t="str">
        <f>+INDEX([1]Detallado!$Q:$Q,MATCH($C710,[1]Detallado!$B:$B,0))</f>
        <v>RFLC</v>
      </c>
      <c r="F710" s="185" t="s">
        <v>4357</v>
      </c>
      <c r="G710" s="186" t="str">
        <f t="shared" si="20"/>
        <v>22RFLC</v>
      </c>
      <c r="H710" s="187" t="str">
        <f>+INDEX([1]Detallado!$D:$D,MATCH(C710,[1]Detallado!$B:$B,0))</f>
        <v>Maestro Perú</v>
      </c>
      <c r="I710" s="28"/>
      <c r="J710" s="184" t="str">
        <f t="shared" si="21"/>
        <v>RFLBU</v>
      </c>
      <c r="O710" s="28" t="s">
        <v>4974</v>
      </c>
      <c r="P710" s="28" t="s">
        <v>4902</v>
      </c>
    </row>
    <row r="711" spans="3:16" x14ac:dyDescent="0.25">
      <c r="C711" s="28" t="s">
        <v>3345</v>
      </c>
      <c r="D711" s="188" t="str">
        <f>+INDEX([1]Detallado!$F:$F,MATCH($C711,[1]Detallado!$B:$B,0))</f>
        <v>Renta Fija</v>
      </c>
      <c r="E711" s="31" t="str">
        <f>+INDEX([1]Detallado!$Q:$Q,MATCH($C711,[1]Detallado!$B:$B,0))</f>
        <v>RFLC</v>
      </c>
      <c r="F711" s="185" t="s">
        <v>4357</v>
      </c>
      <c r="G711" s="186" t="str">
        <f t="shared" si="20"/>
        <v>22RFLC</v>
      </c>
      <c r="H711" s="187" t="str">
        <f>+INDEX([1]Detallado!$D:$D,MATCH(C711,[1]Detallado!$B:$B,0))</f>
        <v>Callao</v>
      </c>
      <c r="I711" s="28"/>
      <c r="J711" s="184" t="str">
        <f t="shared" si="21"/>
        <v>RFLBU</v>
      </c>
      <c r="O711" s="28" t="s">
        <v>4975</v>
      </c>
      <c r="P711" s="28" t="s">
        <v>4902</v>
      </c>
    </row>
    <row r="712" spans="3:16" x14ac:dyDescent="0.25">
      <c r="C712" s="28" t="s">
        <v>3346</v>
      </c>
      <c r="D712" s="188" t="str">
        <f>+INDEX([1]Detallado!$F:$F,MATCH($C712,[1]Detallado!$B:$B,0))</f>
        <v>Renta Fija</v>
      </c>
      <c r="E712" s="31" t="str">
        <f>+INDEX([1]Detallado!$Q:$Q,MATCH($C712,[1]Detallado!$B:$B,0))</f>
        <v>RFLC</v>
      </c>
      <c r="F712" s="185" t="s">
        <v>4357</v>
      </c>
      <c r="G712" s="186" t="str">
        <f t="shared" si="20"/>
        <v>22RFLC</v>
      </c>
      <c r="H712" s="187" t="str">
        <f>+INDEX([1]Detallado!$D:$D,MATCH(C712,[1]Detallado!$B:$B,0))</f>
        <v>Ferreycorp S.A.A.</v>
      </c>
      <c r="I712" s="28"/>
      <c r="J712" s="184" t="str">
        <f t="shared" si="21"/>
        <v>RFLBU</v>
      </c>
      <c r="O712" s="28" t="s">
        <v>4566</v>
      </c>
      <c r="P712" s="28" t="s">
        <v>4894</v>
      </c>
    </row>
    <row r="713" spans="3:16" x14ac:dyDescent="0.25">
      <c r="C713" s="28" t="s">
        <v>3347</v>
      </c>
      <c r="D713" s="188" t="str">
        <f>+INDEX([1]Detallado!$F:$F,MATCH($C713,[1]Detallado!$B:$B,0))</f>
        <v>Renta Fija</v>
      </c>
      <c r="E713" s="31" t="str">
        <f>+INDEX([1]Detallado!$Q:$Q,MATCH($C713,[1]Detallado!$B:$B,0))</f>
        <v>RFLC</v>
      </c>
      <c r="F713" s="185" t="s">
        <v>4357</v>
      </c>
      <c r="G713" s="186" t="str">
        <f t="shared" si="20"/>
        <v>22RFLC</v>
      </c>
      <c r="H713" s="187" t="str">
        <f>+INDEX([1]Detallado!$D:$D,MATCH(C713,[1]Detallado!$B:$B,0))</f>
        <v>Andino Investment Holding</v>
      </c>
      <c r="I713" s="28"/>
      <c r="J713" s="184" t="str">
        <f t="shared" si="21"/>
        <v>RFLBU</v>
      </c>
      <c r="O713" s="28" t="s">
        <v>4483</v>
      </c>
      <c r="P713" s="28" t="s">
        <v>4976</v>
      </c>
    </row>
    <row r="714" spans="3:16" x14ac:dyDescent="0.25">
      <c r="C714" s="28" t="s">
        <v>3348</v>
      </c>
      <c r="D714" s="188" t="str">
        <f>+INDEX([1]Detallado!$F:$F,MATCH($C714,[1]Detallado!$B:$B,0))</f>
        <v>Renta Fija</v>
      </c>
      <c r="E714" s="31" t="str">
        <f>+INDEX([1]Detallado!$Q:$Q,MATCH($C714,[1]Detallado!$B:$B,0))</f>
        <v>RFLC</v>
      </c>
      <c r="F714" s="185" t="s">
        <v>4357</v>
      </c>
      <c r="G714" s="186" t="str">
        <f t="shared" ref="G714:G777" si="22">LEFT(C714,2)&amp;E714</f>
        <v>22RFLC</v>
      </c>
      <c r="H714" s="187" t="str">
        <f>+INDEX([1]Detallado!$D:$D,MATCH(C714,[1]Detallado!$B:$B,0))</f>
        <v>San Miguel Industrias Pet S.A.</v>
      </c>
      <c r="I714" s="28"/>
      <c r="J714" s="184" t="str">
        <f t="shared" ref="J714:J777" si="23">IF(E714="ALT",LEFT(E714,3),LEFT(E714,3)&amp;F714)</f>
        <v>RFLBU</v>
      </c>
      <c r="O714" s="28" t="s">
        <v>4618</v>
      </c>
      <c r="P714" s="28" t="s">
        <v>4894</v>
      </c>
    </row>
    <row r="715" spans="3:16" x14ac:dyDescent="0.25">
      <c r="C715" s="28" t="s">
        <v>3349</v>
      </c>
      <c r="D715" s="188" t="str">
        <f>+INDEX([1]Detallado!$F:$F,MATCH($C715,[1]Detallado!$B:$B,0))</f>
        <v>Renta Fija</v>
      </c>
      <c r="E715" s="31" t="str">
        <f>+INDEX([1]Detallado!$Q:$Q,MATCH($C715,[1]Detallado!$B:$B,0))</f>
        <v>RFLC</v>
      </c>
      <c r="F715" s="185" t="s">
        <v>4357</v>
      </c>
      <c r="G715" s="186" t="str">
        <f t="shared" si="22"/>
        <v>22RFLC</v>
      </c>
      <c r="H715" s="187" t="str">
        <f>+INDEX([1]Detallado!$D:$D,MATCH(C715,[1]Detallado!$B:$B,0))</f>
        <v>San Miguel Industrias Pet S.A.</v>
      </c>
      <c r="I715" s="28"/>
      <c r="J715" s="184" t="str">
        <f t="shared" si="23"/>
        <v>RFLBU</v>
      </c>
      <c r="O715" s="28" t="s">
        <v>4977</v>
      </c>
      <c r="P715" s="28" t="s">
        <v>4926</v>
      </c>
    </row>
    <row r="716" spans="3:16" x14ac:dyDescent="0.25">
      <c r="C716" s="28" t="s">
        <v>253</v>
      </c>
      <c r="D716" s="188" t="str">
        <f>+INDEX([1]Detallado!$F:$F,MATCH($C716,[1]Detallado!$B:$B,0))</f>
        <v>Renta Fija</v>
      </c>
      <c r="E716" s="31" t="str">
        <f>+INDEX([1]Detallado!$Q:$Q,MATCH($C716,[1]Detallado!$B:$B,0))</f>
        <v>RFLC</v>
      </c>
      <c r="F716" s="185" t="s">
        <v>4357</v>
      </c>
      <c r="G716" s="186" t="str">
        <f t="shared" si="22"/>
        <v>22RFLC</v>
      </c>
      <c r="H716" s="187" t="str">
        <f>+INDEX([1]Detallado!$D:$D,MATCH(C716,[1]Detallado!$B:$B,0))</f>
        <v>San Miguel Industrias Pet S.A.</v>
      </c>
      <c r="I716" s="28"/>
      <c r="J716" s="184" t="str">
        <f t="shared" si="23"/>
        <v>RFLBU</v>
      </c>
      <c r="O716" s="28" t="s">
        <v>4493</v>
      </c>
      <c r="P716" s="28" t="s">
        <v>4902</v>
      </c>
    </row>
    <row r="717" spans="3:16" x14ac:dyDescent="0.25">
      <c r="C717" s="28" t="s">
        <v>3350</v>
      </c>
      <c r="D717" s="188" t="str">
        <f>+INDEX([1]Detallado!$F:$F,MATCH($C717,[1]Detallado!$B:$B,0))</f>
        <v>Renta Fija</v>
      </c>
      <c r="E717" s="31" t="str">
        <f>+INDEX([1]Detallado!$Q:$Q,MATCH($C717,[1]Detallado!$B:$B,0))</f>
        <v>RFLC</v>
      </c>
      <c r="F717" s="185" t="s">
        <v>4357</v>
      </c>
      <c r="G717" s="186" t="str">
        <f t="shared" si="22"/>
        <v>22RFLC</v>
      </c>
      <c r="H717" s="187" t="str">
        <f>+INDEX([1]Detallado!$D:$D,MATCH(C717,[1]Detallado!$B:$B,0))</f>
        <v>San Miguel Industrias Pet S.A.</v>
      </c>
      <c r="I717" s="28"/>
      <c r="J717" s="184" t="str">
        <f t="shared" si="23"/>
        <v>RFLBU</v>
      </c>
      <c r="O717" s="28" t="s">
        <v>4978</v>
      </c>
      <c r="P717" s="28" t="s">
        <v>4898</v>
      </c>
    </row>
    <row r="718" spans="3:16" x14ac:dyDescent="0.25">
      <c r="C718" s="28" t="s">
        <v>3351</v>
      </c>
      <c r="D718" s="188" t="str">
        <f>+INDEX([1]Detallado!$F:$F,MATCH($C718,[1]Detallado!$B:$B,0))</f>
        <v>Renta Fija</v>
      </c>
      <c r="E718" s="31" t="str">
        <f>+INDEX([1]Detallado!$Q:$Q,MATCH($C718,[1]Detallado!$B:$B,0))</f>
        <v>RFLC</v>
      </c>
      <c r="F718" s="185" t="s">
        <v>4357</v>
      </c>
      <c r="G718" s="186" t="str">
        <f t="shared" si="22"/>
        <v>22RFLC</v>
      </c>
      <c r="H718" s="187" t="str">
        <f>+INDEX([1]Detallado!$D:$D,MATCH(C718,[1]Detallado!$B:$B,0))</f>
        <v>Cia. Minera Áres</v>
      </c>
      <c r="I718" s="28"/>
      <c r="J718" s="184" t="str">
        <f t="shared" si="23"/>
        <v>RFLBU</v>
      </c>
      <c r="O718" s="28" t="s">
        <v>4486</v>
      </c>
      <c r="P718" s="28" t="s">
        <v>4899</v>
      </c>
    </row>
    <row r="719" spans="3:16" x14ac:dyDescent="0.25">
      <c r="C719" s="28" t="s">
        <v>3352</v>
      </c>
      <c r="D719" s="188" t="str">
        <f>+INDEX([1]Detallado!$F:$F,MATCH($C719,[1]Detallado!$B:$B,0))</f>
        <v>Renta Fija</v>
      </c>
      <c r="E719" s="31" t="str">
        <f>+INDEX([1]Detallado!$Q:$Q,MATCH($C719,[1]Detallado!$B:$B,0))</f>
        <v>RFLC</v>
      </c>
      <c r="F719" s="185" t="s">
        <v>4357</v>
      </c>
      <c r="G719" s="186" t="str">
        <f t="shared" si="22"/>
        <v>22RFLC</v>
      </c>
      <c r="H719" s="187" t="str">
        <f>+INDEX([1]Detallado!$D:$D,MATCH(C719,[1]Detallado!$B:$B,0))</f>
        <v>Abengoa</v>
      </c>
      <c r="I719" s="28"/>
      <c r="J719" s="184" t="str">
        <f t="shared" si="23"/>
        <v>RFLBU</v>
      </c>
      <c r="O719" s="28" t="s">
        <v>4486</v>
      </c>
      <c r="P719" s="28" t="s">
        <v>4899</v>
      </c>
    </row>
    <row r="720" spans="3:16" x14ac:dyDescent="0.25">
      <c r="C720" s="28" t="s">
        <v>3353</v>
      </c>
      <c r="D720" s="188" t="str">
        <f>+INDEX([1]Detallado!$F:$F,MATCH($C720,[1]Detallado!$B:$B,0))</f>
        <v>Renta Fija</v>
      </c>
      <c r="E720" s="31" t="str">
        <f>+INDEX([1]Detallado!$Q:$Q,MATCH($C720,[1]Detallado!$B:$B,0))</f>
        <v>RFLC</v>
      </c>
      <c r="F720" s="185" t="s">
        <v>4357</v>
      </c>
      <c r="G720" s="186" t="str">
        <f t="shared" si="22"/>
        <v>22RFLC</v>
      </c>
      <c r="H720" s="187" t="str">
        <f>+INDEX([1]Detallado!$D:$D,MATCH(C720,[1]Detallado!$B:$B,0))</f>
        <v>Energía Eólica</v>
      </c>
      <c r="I720" s="28"/>
      <c r="J720" s="184" t="str">
        <f t="shared" si="23"/>
        <v>RFLBU</v>
      </c>
      <c r="O720" s="28" t="s">
        <v>4486</v>
      </c>
      <c r="P720" s="28" t="s">
        <v>4899</v>
      </c>
    </row>
    <row r="721" spans="3:16" x14ac:dyDescent="0.25">
      <c r="C721" s="28" t="s">
        <v>3354</v>
      </c>
      <c r="D721" s="188" t="str">
        <f>+INDEX([1]Detallado!$F:$F,MATCH($C721,[1]Detallado!$B:$B,0))</f>
        <v>Renta Fija</v>
      </c>
      <c r="E721" s="31" t="str">
        <f>+INDEX([1]Detallado!$Q:$Q,MATCH($C721,[1]Detallado!$B:$B,0))</f>
        <v>RFLC</v>
      </c>
      <c r="F721" s="185" t="s">
        <v>4357</v>
      </c>
      <c r="G721" s="186" t="str">
        <f t="shared" si="22"/>
        <v>22RFLC</v>
      </c>
      <c r="H721" s="187" t="str">
        <f>+INDEX([1]Detallado!$D:$D,MATCH(C721,[1]Detallado!$B:$B,0))</f>
        <v>Milpo</v>
      </c>
      <c r="I721" s="28"/>
      <c r="J721" s="184" t="str">
        <f t="shared" si="23"/>
        <v>RFLBU</v>
      </c>
      <c r="O721" s="28" t="s">
        <v>4486</v>
      </c>
      <c r="P721" s="28" t="s">
        <v>4899</v>
      </c>
    </row>
    <row r="722" spans="3:16" x14ac:dyDescent="0.25">
      <c r="C722" s="28" t="s">
        <v>3355</v>
      </c>
      <c r="D722" s="188" t="str">
        <f>+INDEX([1]Detallado!$F:$F,MATCH($C722,[1]Detallado!$B:$B,0))</f>
        <v>Renta Fija</v>
      </c>
      <c r="E722" s="31" t="str">
        <f>+INDEX([1]Detallado!$Q:$Q,MATCH($C722,[1]Detallado!$B:$B,0))</f>
        <v>RFLC</v>
      </c>
      <c r="F722" s="185" t="s">
        <v>4357</v>
      </c>
      <c r="G722" s="186" t="str">
        <f t="shared" si="22"/>
        <v>25RFLC</v>
      </c>
      <c r="H722" s="187" t="str">
        <f>+INDEX([1]Detallado!$D:$D,MATCH(C722,[1]Detallado!$B:$B,0))</f>
        <v>Banco de Crédito del Perú</v>
      </c>
      <c r="I722" s="28"/>
      <c r="J722" s="184" t="str">
        <f t="shared" si="23"/>
        <v>RFLBU</v>
      </c>
      <c r="O722" s="28" t="s">
        <v>4486</v>
      </c>
      <c r="P722" s="28" t="s">
        <v>4899</v>
      </c>
    </row>
    <row r="723" spans="3:16" x14ac:dyDescent="0.25">
      <c r="C723" s="28" t="s">
        <v>3356</v>
      </c>
      <c r="D723" s="188" t="str">
        <f>+INDEX([1]Detallado!$F:$F,MATCH($C723,[1]Detallado!$B:$B,0))</f>
        <v>Renta Fija</v>
      </c>
      <c r="E723" s="31" t="str">
        <f>+INDEX([1]Detallado!$Q:$Q,MATCH($C723,[1]Detallado!$B:$B,0))</f>
        <v>RFLC</v>
      </c>
      <c r="F723" s="185" t="s">
        <v>4357</v>
      </c>
      <c r="G723" s="186" t="str">
        <f t="shared" si="22"/>
        <v>25RFLC</v>
      </c>
      <c r="H723" s="187" t="str">
        <f>+INDEX([1]Detallado!$D:$D,MATCH(C723,[1]Detallado!$B:$B,0))</f>
        <v>Banco de Crédito del Perú</v>
      </c>
      <c r="I723" s="28"/>
      <c r="J723" s="184" t="str">
        <f t="shared" si="23"/>
        <v>RFLBU</v>
      </c>
      <c r="O723" s="28" t="s">
        <v>4486</v>
      </c>
      <c r="P723" s="28" t="s">
        <v>4899</v>
      </c>
    </row>
    <row r="724" spans="3:16" x14ac:dyDescent="0.25">
      <c r="C724" s="28" t="s">
        <v>3357</v>
      </c>
      <c r="D724" s="188" t="str">
        <f>+INDEX([1]Detallado!$F:$F,MATCH($C724,[1]Detallado!$B:$B,0))</f>
        <v>Renta Fija</v>
      </c>
      <c r="E724" s="31" t="str">
        <f>+INDEX([1]Detallado!$Q:$Q,MATCH($C724,[1]Detallado!$B:$B,0))</f>
        <v>RFLC</v>
      </c>
      <c r="F724" s="185" t="s">
        <v>4357</v>
      </c>
      <c r="G724" s="186" t="str">
        <f t="shared" si="22"/>
        <v>25RFLC</v>
      </c>
      <c r="H724" s="187" t="str">
        <f>+INDEX([1]Detallado!$D:$D,MATCH(C724,[1]Detallado!$B:$B,0))</f>
        <v>Banco de Crédito del Perú</v>
      </c>
      <c r="I724" s="28"/>
      <c r="J724" s="184" t="str">
        <f t="shared" si="23"/>
        <v>RFLBU</v>
      </c>
      <c r="O724" s="28" t="s">
        <v>4486</v>
      </c>
      <c r="P724" s="28" t="s">
        <v>4899</v>
      </c>
    </row>
    <row r="725" spans="3:16" x14ac:dyDescent="0.25">
      <c r="C725" s="28" t="s">
        <v>3358</v>
      </c>
      <c r="D725" s="188" t="str">
        <f>+INDEX([1]Detallado!$F:$F,MATCH($C725,[1]Detallado!$B:$B,0))</f>
        <v>Renta Fija</v>
      </c>
      <c r="E725" s="31" t="str">
        <f>+INDEX([1]Detallado!$Q:$Q,MATCH($C725,[1]Detallado!$B:$B,0))</f>
        <v>RFLC</v>
      </c>
      <c r="F725" s="185" t="s">
        <v>4357</v>
      </c>
      <c r="G725" s="186" t="str">
        <f t="shared" si="22"/>
        <v>25RFLC</v>
      </c>
      <c r="H725" s="187" t="str">
        <f>+INDEX([1]Detallado!$D:$D,MATCH(C725,[1]Detallado!$B:$B,0))</f>
        <v>Banco de Crédito del Perú</v>
      </c>
      <c r="I725" s="28"/>
      <c r="J725" s="184" t="str">
        <f t="shared" si="23"/>
        <v>RFLBU</v>
      </c>
      <c r="O725" s="28" t="s">
        <v>4486</v>
      </c>
      <c r="P725" s="28" t="s">
        <v>4899</v>
      </c>
    </row>
    <row r="726" spans="3:16" x14ac:dyDescent="0.25">
      <c r="C726" s="28" t="s">
        <v>3359</v>
      </c>
      <c r="D726" s="188" t="str">
        <f>+INDEX([1]Detallado!$F:$F,MATCH($C726,[1]Detallado!$B:$B,0))</f>
        <v>Renta Fija</v>
      </c>
      <c r="E726" s="31" t="str">
        <f>+INDEX([1]Detallado!$Q:$Q,MATCH($C726,[1]Detallado!$B:$B,0))</f>
        <v>RFLC</v>
      </c>
      <c r="F726" s="185" t="s">
        <v>4357</v>
      </c>
      <c r="G726" s="186" t="str">
        <f t="shared" si="22"/>
        <v>25RFLC</v>
      </c>
      <c r="H726" s="187" t="str">
        <f>+INDEX([1]Detallado!$D:$D,MATCH(C726,[1]Detallado!$B:$B,0))</f>
        <v>Banco de Crédito del Perú</v>
      </c>
      <c r="I726" s="28"/>
      <c r="J726" s="184" t="str">
        <f t="shared" si="23"/>
        <v>RFLBU</v>
      </c>
      <c r="O726" s="28" t="s">
        <v>4486</v>
      </c>
      <c r="P726" s="28" t="s">
        <v>4899</v>
      </c>
    </row>
    <row r="727" spans="3:16" x14ac:dyDescent="0.25">
      <c r="C727" s="28" t="s">
        <v>3360</v>
      </c>
      <c r="D727" s="188" t="str">
        <f>+INDEX([1]Detallado!$F:$F,MATCH($C727,[1]Detallado!$B:$B,0))</f>
        <v>Renta Fija</v>
      </c>
      <c r="E727" s="31" t="str">
        <f>+INDEX([1]Detallado!$Q:$Q,MATCH($C727,[1]Detallado!$B:$B,0))</f>
        <v>RFLC</v>
      </c>
      <c r="F727" s="185" t="s">
        <v>4357</v>
      </c>
      <c r="G727" s="186" t="str">
        <f t="shared" si="22"/>
        <v>25RFLC</v>
      </c>
      <c r="H727" s="187" t="str">
        <f>+INDEX([1]Detallado!$D:$D,MATCH(C727,[1]Detallado!$B:$B,0))</f>
        <v>Banco de Crédito del Perú</v>
      </c>
      <c r="I727" s="28"/>
      <c r="J727" s="184" t="str">
        <f t="shared" si="23"/>
        <v>RFLBU</v>
      </c>
      <c r="O727" s="28" t="s">
        <v>4486</v>
      </c>
      <c r="P727" s="28" t="s">
        <v>4899</v>
      </c>
    </row>
    <row r="728" spans="3:16" x14ac:dyDescent="0.25">
      <c r="C728" s="28" t="s">
        <v>3361</v>
      </c>
      <c r="D728" s="188" t="str">
        <f>+INDEX([1]Detallado!$F:$F,MATCH($C728,[1]Detallado!$B:$B,0))</f>
        <v>Renta Fija</v>
      </c>
      <c r="E728" s="31" t="str">
        <f>+INDEX([1]Detallado!$Q:$Q,MATCH($C728,[1]Detallado!$B:$B,0))</f>
        <v>RFLC</v>
      </c>
      <c r="F728" s="185" t="s">
        <v>4357</v>
      </c>
      <c r="G728" s="186" t="str">
        <f t="shared" si="22"/>
        <v>81RFLC</v>
      </c>
      <c r="H728" s="187" t="str">
        <f>+INDEX([1]Detallado!$D:$D,MATCH(C728,[1]Detallado!$B:$B,0))</f>
        <v>Banco BBVA</v>
      </c>
      <c r="I728" s="28"/>
      <c r="J728" s="184" t="str">
        <f t="shared" si="23"/>
        <v>RFLBU</v>
      </c>
      <c r="O728" s="28" t="s">
        <v>4486</v>
      </c>
      <c r="P728" s="28" t="s">
        <v>4899</v>
      </c>
    </row>
    <row r="729" spans="3:16" x14ac:dyDescent="0.25">
      <c r="C729" s="28" t="s">
        <v>3362</v>
      </c>
      <c r="D729" s="188" t="str">
        <f>+INDEX([1]Detallado!$F:$F,MATCH($C729,[1]Detallado!$B:$B,0))</f>
        <v>Renta Fija</v>
      </c>
      <c r="E729" s="31" t="str">
        <f>+INDEX([1]Detallado!$Q:$Q,MATCH($C729,[1]Detallado!$B:$B,0))</f>
        <v>RFLC</v>
      </c>
      <c r="F729" s="185" t="s">
        <v>4357</v>
      </c>
      <c r="G729" s="186" t="str">
        <f t="shared" si="22"/>
        <v>25RFLC</v>
      </c>
      <c r="H729" s="187" t="str">
        <f>+INDEX([1]Detallado!$D:$D,MATCH(C729,[1]Detallado!$B:$B,0))</f>
        <v xml:space="preserve">Banco Internacional del Perú </v>
      </c>
      <c r="I729" s="28"/>
      <c r="J729" s="184" t="str">
        <f t="shared" si="23"/>
        <v>RFLBU</v>
      </c>
      <c r="O729" s="28" t="s">
        <v>4979</v>
      </c>
      <c r="P729" s="28" t="s">
        <v>1324</v>
      </c>
    </row>
    <row r="730" spans="3:16" x14ac:dyDescent="0.25">
      <c r="C730" s="28" t="s">
        <v>3363</v>
      </c>
      <c r="D730" s="188" t="str">
        <f>+INDEX([1]Detallado!$F:$F,MATCH($C730,[1]Detallado!$B:$B,0))</f>
        <v>Renta Fija</v>
      </c>
      <c r="E730" s="31" t="str">
        <f>+INDEX([1]Detallado!$Q:$Q,MATCH($C730,[1]Detallado!$B:$B,0))</f>
        <v>RFLC</v>
      </c>
      <c r="F730" s="185" t="s">
        <v>4357</v>
      </c>
      <c r="G730" s="186" t="str">
        <f t="shared" si="22"/>
        <v>21RFLC</v>
      </c>
      <c r="H730" s="187" t="str">
        <f>+INDEX([1]Detallado!$D:$D,MATCH(C730,[1]Detallado!$B:$B,0))</f>
        <v>Intercorp Financial Services</v>
      </c>
      <c r="I730" s="28"/>
      <c r="J730" s="184" t="str">
        <f t="shared" si="23"/>
        <v>RFLBU</v>
      </c>
      <c r="O730" s="28" t="s">
        <v>4979</v>
      </c>
      <c r="P730" s="28" t="s">
        <v>1324</v>
      </c>
    </row>
    <row r="731" spans="3:16" x14ac:dyDescent="0.25">
      <c r="C731" s="28" t="s">
        <v>3364</v>
      </c>
      <c r="D731" s="188" t="str">
        <f>+INDEX([1]Detallado!$F:$F,MATCH($C731,[1]Detallado!$B:$B,0))</f>
        <v>Renta Fija</v>
      </c>
      <c r="E731" s="31" t="str">
        <f>+INDEX([1]Detallado!$Q:$Q,MATCH($C731,[1]Detallado!$B:$B,0))</f>
        <v>RFLC</v>
      </c>
      <c r="F731" s="185" t="s">
        <v>4357</v>
      </c>
      <c r="G731" s="186" t="str">
        <f t="shared" si="22"/>
        <v>25RFLC</v>
      </c>
      <c r="H731" s="187" t="str">
        <f>+INDEX([1]Detallado!$D:$D,MATCH(C731,[1]Detallado!$B:$B,0))</f>
        <v>Intercorp Financial Services</v>
      </c>
      <c r="I731" s="28"/>
      <c r="J731" s="184" t="str">
        <f t="shared" si="23"/>
        <v>RFLBU</v>
      </c>
      <c r="O731" s="28" t="s">
        <v>4630</v>
      </c>
      <c r="P731" s="28" t="s">
        <v>4896</v>
      </c>
    </row>
    <row r="732" spans="3:16" x14ac:dyDescent="0.25">
      <c r="C732" s="28" t="s">
        <v>3365</v>
      </c>
      <c r="D732" s="188" t="str">
        <f>+INDEX([1]Detallado!$F:$F,MATCH($C732,[1]Detallado!$B:$B,0))</f>
        <v>Renta Fija</v>
      </c>
      <c r="E732" s="31" t="str">
        <f>+INDEX([1]Detallado!$Q:$Q,MATCH($C732,[1]Detallado!$B:$B,0))</f>
        <v>RFLC</v>
      </c>
      <c r="F732" s="185" t="s">
        <v>4357</v>
      </c>
      <c r="G732" s="186" t="str">
        <f t="shared" si="22"/>
        <v>25RFLC</v>
      </c>
      <c r="H732" s="187" t="str">
        <f>+INDEX([1]Detallado!$D:$D,MATCH(C732,[1]Detallado!$B:$B,0))</f>
        <v>Banco Continental</v>
      </c>
      <c r="I732" s="28"/>
      <c r="J732" s="184" t="str">
        <f t="shared" si="23"/>
        <v>RFLBU</v>
      </c>
      <c r="O732" s="28" t="s">
        <v>4630</v>
      </c>
      <c r="P732" s="28" t="s">
        <v>4896</v>
      </c>
    </row>
    <row r="733" spans="3:16" x14ac:dyDescent="0.25">
      <c r="C733" s="28" t="s">
        <v>3366</v>
      </c>
      <c r="D733" s="188" t="str">
        <f>+INDEX([1]Detallado!$F:$F,MATCH($C733,[1]Detallado!$B:$B,0))</f>
        <v>Renta Fija</v>
      </c>
      <c r="E733" s="31" t="str">
        <f>+INDEX([1]Detallado!$Q:$Q,MATCH($C733,[1]Detallado!$B:$B,0))</f>
        <v>RFLC</v>
      </c>
      <c r="F733" s="185" t="s">
        <v>4357</v>
      </c>
      <c r="G733" s="186" t="str">
        <f t="shared" si="22"/>
        <v>25RFLC</v>
      </c>
      <c r="H733" s="187" t="str">
        <f>+INDEX([1]Detallado!$D:$D,MATCH(C733,[1]Detallado!$B:$B,0))</f>
        <v>Banco Continental</v>
      </c>
      <c r="I733" s="28"/>
      <c r="J733" s="184" t="str">
        <f t="shared" si="23"/>
        <v>RFLBU</v>
      </c>
      <c r="O733" s="28" t="s">
        <v>4630</v>
      </c>
      <c r="P733" s="28" t="s">
        <v>4896</v>
      </c>
    </row>
    <row r="734" spans="3:16" x14ac:dyDescent="0.25">
      <c r="C734" s="28" t="s">
        <v>3367</v>
      </c>
      <c r="D734" s="188" t="str">
        <f>+INDEX([1]Detallado!$F:$F,MATCH($C734,[1]Detallado!$B:$B,0))</f>
        <v>Renta Fija</v>
      </c>
      <c r="E734" s="31" t="str">
        <f>+INDEX([1]Detallado!$Q:$Q,MATCH($C734,[1]Detallado!$B:$B,0))</f>
        <v>RFLC</v>
      </c>
      <c r="F734" s="185" t="s">
        <v>4357</v>
      </c>
      <c r="G734" s="186" t="str">
        <f t="shared" si="22"/>
        <v>25RFLC</v>
      </c>
      <c r="H734" s="187" t="str">
        <f>+INDEX([1]Detallado!$D:$D,MATCH(C734,[1]Detallado!$B:$B,0))</f>
        <v>CORPORACION FINANCIERA DE DESARROLLO</v>
      </c>
      <c r="I734" s="28"/>
      <c r="J734" s="184" t="str">
        <f t="shared" si="23"/>
        <v>RFLBU</v>
      </c>
      <c r="O734" s="28" t="s">
        <v>4630</v>
      </c>
      <c r="P734" s="28" t="s">
        <v>4896</v>
      </c>
    </row>
    <row r="735" spans="3:16" x14ac:dyDescent="0.25">
      <c r="C735" s="28" t="s">
        <v>3368</v>
      </c>
      <c r="D735" s="188" t="str">
        <f>+INDEX([1]Detallado!$F:$F,MATCH($C735,[1]Detallado!$B:$B,0))</f>
        <v>Renta Fija</v>
      </c>
      <c r="E735" s="31" t="str">
        <f>+INDEX([1]Detallado!$Q:$Q,MATCH($C735,[1]Detallado!$B:$B,0))</f>
        <v>RFLC</v>
      </c>
      <c r="F735" s="185" t="s">
        <v>4357</v>
      </c>
      <c r="G735" s="186" t="str">
        <f t="shared" si="22"/>
        <v>25RFLC</v>
      </c>
      <c r="H735" s="187" t="str">
        <f>+INDEX([1]Detallado!$D:$D,MATCH(C735,[1]Detallado!$B:$B,0))</f>
        <v>CORPORACION FINANCIERA DE DESARROLLO</v>
      </c>
      <c r="I735" s="28"/>
      <c r="J735" s="184" t="str">
        <f t="shared" si="23"/>
        <v>RFLBU</v>
      </c>
      <c r="O735" s="28" t="s">
        <v>4630</v>
      </c>
      <c r="P735" s="28" t="s">
        <v>4896</v>
      </c>
    </row>
    <row r="736" spans="3:16" x14ac:dyDescent="0.25">
      <c r="C736" s="28" t="s">
        <v>3369</v>
      </c>
      <c r="D736" s="188" t="str">
        <f>+INDEX([1]Detallado!$F:$F,MATCH($C736,[1]Detallado!$B:$B,0))</f>
        <v>Renta Fija</v>
      </c>
      <c r="E736" s="31" t="str">
        <f>+INDEX([1]Detallado!$Q:$Q,MATCH($C736,[1]Detallado!$B:$B,0))</f>
        <v>RFLC</v>
      </c>
      <c r="F736" s="185" t="s">
        <v>4357</v>
      </c>
      <c r="G736" s="186" t="str">
        <f t="shared" si="22"/>
        <v>25RFLC</v>
      </c>
      <c r="H736" s="187" t="str">
        <f>+INDEX([1]Detallado!$D:$D,MATCH(C736,[1]Detallado!$B:$B,0))</f>
        <v>CORPORACION FINANCIERA DE DESARROLLO</v>
      </c>
      <c r="I736" s="28"/>
      <c r="J736" s="184" t="str">
        <f t="shared" si="23"/>
        <v>RFLBU</v>
      </c>
      <c r="O736" s="28" t="s">
        <v>4630</v>
      </c>
      <c r="P736" s="28" t="s">
        <v>4896</v>
      </c>
    </row>
    <row r="737" spans="3:16" x14ac:dyDescent="0.25">
      <c r="C737" s="28" t="s">
        <v>3370</v>
      </c>
      <c r="D737" s="188" t="str">
        <f>+INDEX([1]Detallado!$F:$F,MATCH($C737,[1]Detallado!$B:$B,0))</f>
        <v>Renta Fija</v>
      </c>
      <c r="E737" s="31" t="str">
        <f>+INDEX([1]Detallado!$Q:$Q,MATCH($C737,[1]Detallado!$B:$B,0))</f>
        <v>RFLC</v>
      </c>
      <c r="F737" s="185" t="s">
        <v>4357</v>
      </c>
      <c r="G737" s="186" t="str">
        <f t="shared" si="22"/>
        <v>25RFLC</v>
      </c>
      <c r="H737" s="187" t="str">
        <f>+INDEX([1]Detallado!$D:$D,MATCH(C737,[1]Detallado!$B:$B,0))</f>
        <v>CORPORACION FINANCIERA DE DESARROLLO</v>
      </c>
      <c r="I737" s="28"/>
      <c r="J737" s="184" t="str">
        <f t="shared" si="23"/>
        <v>RFLBU</v>
      </c>
      <c r="O737" s="28" t="s">
        <v>4630</v>
      </c>
      <c r="P737" s="28" t="s">
        <v>4896</v>
      </c>
    </row>
    <row r="738" spans="3:16" x14ac:dyDescent="0.25">
      <c r="C738" s="28" t="s">
        <v>3371</v>
      </c>
      <c r="D738" s="188" t="str">
        <f>+INDEX([1]Detallado!$F:$F,MATCH($C738,[1]Detallado!$B:$B,0))</f>
        <v>Renta Fija</v>
      </c>
      <c r="E738" s="31" t="str">
        <f>+INDEX([1]Detallado!$Q:$Q,MATCH($C738,[1]Detallado!$B:$B,0))</f>
        <v>RFLC</v>
      </c>
      <c r="F738" s="185" t="s">
        <v>4357</v>
      </c>
      <c r="G738" s="186" t="str">
        <f t="shared" si="22"/>
        <v>25RFLC</v>
      </c>
      <c r="H738" s="187" t="str">
        <f>+INDEX([1]Detallado!$D:$D,MATCH(C738,[1]Detallado!$B:$B,0))</f>
        <v>Grupo ACP Inversiones y Desarrollo</v>
      </c>
      <c r="I738" s="28"/>
      <c r="J738" s="184" t="str">
        <f t="shared" si="23"/>
        <v>RFLBU</v>
      </c>
      <c r="O738" s="28" t="s">
        <v>4630</v>
      </c>
      <c r="P738" s="28" t="s">
        <v>4896</v>
      </c>
    </row>
    <row r="739" spans="3:16" x14ac:dyDescent="0.25">
      <c r="C739" s="28" t="s">
        <v>3372</v>
      </c>
      <c r="D739" s="188" t="str">
        <f>+INDEX([1]Detallado!$F:$F,MATCH($C739,[1]Detallado!$B:$B,0))</f>
        <v>Renta Fija</v>
      </c>
      <c r="E739" s="31" t="str">
        <f>+INDEX([1]Detallado!$Q:$Q,MATCH($C739,[1]Detallado!$B:$B,0))</f>
        <v>RFLC</v>
      </c>
      <c r="F739" s="185" t="s">
        <v>4357</v>
      </c>
      <c r="G739" s="186" t="str">
        <f t="shared" si="22"/>
        <v>25RFLC</v>
      </c>
      <c r="H739" s="187" t="str">
        <f>+INDEX([1]Detallado!$D:$D,MATCH(C739,[1]Detallado!$B:$B,0))</f>
        <v>Fondo Mi Vivienda</v>
      </c>
      <c r="I739" s="28"/>
      <c r="J739" s="184" t="str">
        <f t="shared" si="23"/>
        <v>RFLBU</v>
      </c>
      <c r="O739" s="28" t="s">
        <v>4553</v>
      </c>
      <c r="P739" s="28" t="s">
        <v>4896</v>
      </c>
    </row>
    <row r="740" spans="3:16" x14ac:dyDescent="0.25">
      <c r="C740" s="28" t="s">
        <v>3373</v>
      </c>
      <c r="D740" s="188" t="str">
        <f>+INDEX([1]Detallado!$F:$F,MATCH($C740,[1]Detallado!$B:$B,0))</f>
        <v>Renta Fija</v>
      </c>
      <c r="E740" s="31" t="str">
        <f>+INDEX([1]Detallado!$Q:$Q,MATCH($C740,[1]Detallado!$B:$B,0))</f>
        <v>RFLC</v>
      </c>
      <c r="F740" s="185" t="s">
        <v>4357</v>
      </c>
      <c r="G740" s="186" t="str">
        <f t="shared" si="22"/>
        <v>25RFLC</v>
      </c>
      <c r="H740" s="187" t="str">
        <f>+INDEX([1]Detallado!$D:$D,MATCH(C740,[1]Detallado!$B:$B,0))</f>
        <v>Fondo Mi Vivienda</v>
      </c>
      <c r="I740" s="28"/>
      <c r="J740" s="184" t="str">
        <f t="shared" si="23"/>
        <v>RFLBU</v>
      </c>
      <c r="O740" s="28" t="s">
        <v>4980</v>
      </c>
      <c r="P740" s="28" t="s">
        <v>4984</v>
      </c>
    </row>
    <row r="741" spans="3:16" x14ac:dyDescent="0.25">
      <c r="C741" s="28" t="s">
        <v>3374</v>
      </c>
      <c r="D741" s="188" t="str">
        <f>+INDEX([1]Detallado!$F:$F,MATCH($C741,[1]Detallado!$B:$B,0))</f>
        <v>Renta Fija</v>
      </c>
      <c r="E741" s="31" t="str">
        <f>+INDEX([1]Detallado!$Q:$Q,MATCH($C741,[1]Detallado!$B:$B,0))</f>
        <v>RFLC</v>
      </c>
      <c r="F741" s="185" t="s">
        <v>4357</v>
      </c>
      <c r="G741" s="186" t="str">
        <f t="shared" si="22"/>
        <v>25RFLC</v>
      </c>
      <c r="H741" s="187" t="str">
        <f>+INDEX([1]Detallado!$D:$D,MATCH(C741,[1]Detallado!$B:$B,0))</f>
        <v>Fondo Mi Vivienda</v>
      </c>
      <c r="I741" s="28"/>
      <c r="J741" s="184" t="str">
        <f t="shared" si="23"/>
        <v>RFLBU</v>
      </c>
      <c r="O741" s="28" t="s">
        <v>4496</v>
      </c>
      <c r="P741" s="28" t="s">
        <v>1324</v>
      </c>
    </row>
    <row r="742" spans="3:16" x14ac:dyDescent="0.25">
      <c r="C742" s="28" t="s">
        <v>3375</v>
      </c>
      <c r="D742" s="188" t="str">
        <f>+INDEX([1]Detallado!$F:$F,MATCH($C742,[1]Detallado!$B:$B,0))</f>
        <v>Renta Fija</v>
      </c>
      <c r="E742" s="31" t="str">
        <f>+INDEX([1]Detallado!$Q:$Q,MATCH($C742,[1]Detallado!$B:$B,0))</f>
        <v>RFLC</v>
      </c>
      <c r="F742" s="185" t="s">
        <v>4357</v>
      </c>
      <c r="G742" s="186" t="str">
        <f t="shared" si="22"/>
        <v>25RFLC</v>
      </c>
      <c r="H742" s="187" t="str">
        <f>+INDEX([1]Detallado!$D:$D,MATCH(C742,[1]Detallado!$B:$B,0))</f>
        <v>Fondo Mi Vivienda</v>
      </c>
      <c r="I742" s="28"/>
      <c r="J742" s="184" t="str">
        <f t="shared" si="23"/>
        <v>RFLBU</v>
      </c>
      <c r="O742" s="28" t="s">
        <v>4436</v>
      </c>
      <c r="P742" s="28" t="s">
        <v>4902</v>
      </c>
    </row>
    <row r="743" spans="3:16" x14ac:dyDescent="0.25">
      <c r="C743" s="28" t="s">
        <v>3376</v>
      </c>
      <c r="D743" s="188" t="str">
        <f>+INDEX([1]Detallado!$F:$F,MATCH($C743,[1]Detallado!$B:$B,0))</f>
        <v>Renta Fija</v>
      </c>
      <c r="E743" s="31" t="str">
        <f>+INDEX([1]Detallado!$Q:$Q,MATCH($C743,[1]Detallado!$B:$B,0))</f>
        <v>RFLC</v>
      </c>
      <c r="F743" s="185" t="s">
        <v>4357</v>
      </c>
      <c r="G743" s="186" t="str">
        <f t="shared" si="22"/>
        <v>25RFLC</v>
      </c>
      <c r="H743" s="187" t="str">
        <f>+INDEX([1]Detallado!$D:$D,MATCH(C743,[1]Detallado!$B:$B,0))</f>
        <v>Intercorp Perú</v>
      </c>
      <c r="I743" s="28"/>
      <c r="J743" s="184" t="str">
        <f t="shared" si="23"/>
        <v>RFLBU</v>
      </c>
      <c r="O743" s="28" t="s">
        <v>4436</v>
      </c>
      <c r="P743" s="28" t="s">
        <v>4902</v>
      </c>
    </row>
    <row r="744" spans="3:16" x14ac:dyDescent="0.25">
      <c r="C744" s="28" t="s">
        <v>3377</v>
      </c>
      <c r="D744" s="188" t="str">
        <f>+INDEX([1]Detallado!$F:$F,MATCH($C744,[1]Detallado!$B:$B,0))</f>
        <v>Renta Fija</v>
      </c>
      <c r="E744" s="31" t="str">
        <f>+INDEX([1]Detallado!$Q:$Q,MATCH($C744,[1]Detallado!$B:$B,0))</f>
        <v>RFLC</v>
      </c>
      <c r="F744" s="185" t="s">
        <v>4357</v>
      </c>
      <c r="G744" s="186" t="str">
        <f t="shared" si="22"/>
        <v>25RFLC</v>
      </c>
      <c r="H744" s="187" t="str">
        <f>+INDEX([1]Detallado!$D:$D,MATCH(C744,[1]Detallado!$B:$B,0))</f>
        <v>Intercorp Perú</v>
      </c>
      <c r="I744" s="28"/>
      <c r="J744" s="184" t="str">
        <f t="shared" si="23"/>
        <v>RFLBU</v>
      </c>
      <c r="O744" s="28" t="s">
        <v>4430</v>
      </c>
      <c r="P744" s="28" t="s">
        <v>4895</v>
      </c>
    </row>
    <row r="745" spans="3:16" x14ac:dyDescent="0.25">
      <c r="C745" s="28" t="s">
        <v>3378</v>
      </c>
      <c r="D745" s="188" t="str">
        <f>+INDEX([1]Detallado!$F:$F,MATCH($C745,[1]Detallado!$B:$B,0))</f>
        <v>Renta Fija</v>
      </c>
      <c r="E745" s="31" t="str">
        <f>+INDEX([1]Detallado!$Q:$Q,MATCH($C745,[1]Detallado!$B:$B,0))</f>
        <v>RFLC</v>
      </c>
      <c r="F745" s="185" t="s">
        <v>4357</v>
      </c>
      <c r="G745" s="186" t="str">
        <f t="shared" si="22"/>
        <v>27RFLC</v>
      </c>
      <c r="H745" s="187" t="str">
        <f>+INDEX([1]Detallado!$D:$D,MATCH(C745,[1]Detallado!$B:$B,0))</f>
        <v>InRetail Shopping Malls</v>
      </c>
      <c r="I745" s="28"/>
      <c r="J745" s="184" t="str">
        <f t="shared" si="23"/>
        <v>RFLBU</v>
      </c>
      <c r="O745" s="28" t="s">
        <v>4443</v>
      </c>
      <c r="P745" s="28" t="s">
        <v>4895</v>
      </c>
    </row>
    <row r="746" spans="3:16" x14ac:dyDescent="0.25">
      <c r="C746" s="28" t="s">
        <v>385</v>
      </c>
      <c r="D746" s="188" t="str">
        <f>+INDEX([1]Detallado!$F:$F,MATCH($C746,[1]Detallado!$B:$B,0))</f>
        <v>Renta Fija</v>
      </c>
      <c r="E746" s="31" t="str">
        <f>+INDEX([1]Detallado!$Q:$Q,MATCH($C746,[1]Detallado!$B:$B,0))</f>
        <v>RFLC</v>
      </c>
      <c r="F746" s="185" t="s">
        <v>4357</v>
      </c>
      <c r="G746" s="186" t="str">
        <f t="shared" si="22"/>
        <v>27RFLC</v>
      </c>
      <c r="H746" s="187" t="str">
        <f>+INDEX([1]Detallado!$D:$D,MATCH(C746,[1]Detallado!$B:$B,0))</f>
        <v>InRetail Shopping Malls</v>
      </c>
      <c r="I746" s="28"/>
      <c r="J746" s="184" t="str">
        <f t="shared" si="23"/>
        <v>RFLBU</v>
      </c>
      <c r="O746" s="28" t="s">
        <v>4441</v>
      </c>
      <c r="P746" s="28" t="s">
        <v>4984</v>
      </c>
    </row>
    <row r="747" spans="3:16" x14ac:dyDescent="0.25">
      <c r="C747" s="28" t="s">
        <v>391</v>
      </c>
      <c r="D747" s="188" t="str">
        <f>+INDEX([1]Detallado!$F:$F,MATCH($C747,[1]Detallado!$B:$B,0))</f>
        <v>Renta Fija</v>
      </c>
      <c r="E747" s="31" t="str">
        <f>+INDEX([1]Detallado!$Q:$Q,MATCH($C747,[1]Detallado!$B:$B,0))</f>
        <v>RFLC</v>
      </c>
      <c r="F747" s="185" t="s">
        <v>4357</v>
      </c>
      <c r="G747" s="186" t="str">
        <f t="shared" si="22"/>
        <v>27RFLC</v>
      </c>
      <c r="H747" s="187" t="str">
        <f>+INDEX([1]Detallado!$D:$D,MATCH(C747,[1]Detallado!$B:$B,0))</f>
        <v>InRetail Consumer</v>
      </c>
      <c r="I747" s="28"/>
      <c r="J747" s="184" t="str">
        <f t="shared" si="23"/>
        <v>RFLBU</v>
      </c>
      <c r="O747" s="28" t="s">
        <v>4441</v>
      </c>
      <c r="P747" s="28" t="s">
        <v>4984</v>
      </c>
    </row>
    <row r="748" spans="3:16" x14ac:dyDescent="0.25">
      <c r="C748" s="28" t="s">
        <v>3379</v>
      </c>
      <c r="D748" s="188" t="str">
        <f>+INDEX([1]Detallado!$F:$F,MATCH($C748,[1]Detallado!$B:$B,0))</f>
        <v>Renta Fija</v>
      </c>
      <c r="E748" s="31" t="str">
        <f>+INDEX([1]Detallado!$Q:$Q,MATCH($C748,[1]Detallado!$B:$B,0))</f>
        <v>RFLC</v>
      </c>
      <c r="F748" s="185" t="s">
        <v>4357</v>
      </c>
      <c r="G748" s="186" t="str">
        <f t="shared" si="22"/>
        <v>27RFLC</v>
      </c>
      <c r="H748" s="187" t="str">
        <f>+INDEX([1]Detallado!$D:$D,MATCH(C748,[1]Detallado!$B:$B,0))</f>
        <v>InRetail Consumer</v>
      </c>
      <c r="I748" s="28"/>
      <c r="J748" s="184" t="str">
        <f t="shared" si="23"/>
        <v>RFLBU</v>
      </c>
      <c r="O748" s="28" t="s">
        <v>4431</v>
      </c>
      <c r="P748" s="28" t="s">
        <v>4895</v>
      </c>
    </row>
    <row r="749" spans="3:16" x14ac:dyDescent="0.25">
      <c r="C749" s="28" t="s">
        <v>3380</v>
      </c>
      <c r="D749" s="188" t="str">
        <f>+INDEX([1]Detallado!$F:$F,MATCH($C749,[1]Detallado!$B:$B,0))</f>
        <v>Renta Fija</v>
      </c>
      <c r="E749" s="31" t="str">
        <f>+INDEX([1]Detallado!$Q:$Q,MATCH($C749,[1]Detallado!$B:$B,0))</f>
        <v>RFLC</v>
      </c>
      <c r="F749" s="185" t="s">
        <v>4357</v>
      </c>
      <c r="G749" s="186" t="str">
        <f t="shared" si="22"/>
        <v>27RFLC</v>
      </c>
      <c r="H749" s="187" t="str">
        <f>+INDEX([1]Detallado!$D:$D,MATCH(C749,[1]Detallado!$B:$B,0))</f>
        <v xml:space="preserve">Peru Enhanced Pass Trough SSCN </v>
      </c>
      <c r="I749" s="28"/>
      <c r="J749" s="184" t="str">
        <f t="shared" si="23"/>
        <v>RFLBU</v>
      </c>
      <c r="O749" s="28" t="s">
        <v>4431</v>
      </c>
      <c r="P749" s="28" t="s">
        <v>4895</v>
      </c>
    </row>
    <row r="750" spans="3:16" x14ac:dyDescent="0.25">
      <c r="C750" s="28" t="s">
        <v>3381</v>
      </c>
      <c r="D750" s="188" t="str">
        <f>+INDEX([1]Detallado!$F:$F,MATCH($C750,[1]Detallado!$B:$B,0))</f>
        <v>Renta Fija</v>
      </c>
      <c r="E750" s="31" t="str">
        <f>+INDEX([1]Detallado!$Q:$Q,MATCH($C750,[1]Detallado!$B:$B,0))</f>
        <v>RFLC</v>
      </c>
      <c r="F750" s="185" t="s">
        <v>4357</v>
      </c>
      <c r="G750" s="186" t="str">
        <f t="shared" si="22"/>
        <v>27RFLC</v>
      </c>
      <c r="H750" s="187" t="str">
        <f>+INDEX([1]Detallado!$D:$D,MATCH(C750,[1]Detallado!$B:$B,0))</f>
        <v xml:space="preserve">Peru Enhanced Pass Trough SSCN </v>
      </c>
      <c r="I750" s="28"/>
      <c r="J750" s="184" t="str">
        <f t="shared" si="23"/>
        <v>RFLBU</v>
      </c>
      <c r="O750" s="28" t="s">
        <v>2813</v>
      </c>
      <c r="P750" s="28" t="s">
        <v>1324</v>
      </c>
    </row>
    <row r="751" spans="3:16" x14ac:dyDescent="0.25">
      <c r="C751" s="28" t="s">
        <v>3382</v>
      </c>
      <c r="D751" s="188" t="str">
        <f>+INDEX([1]Detallado!$F:$F,MATCH($C751,[1]Detallado!$B:$B,0))</f>
        <v>Renta Fija</v>
      </c>
      <c r="E751" s="31" t="str">
        <f>+INDEX([1]Detallado!$Q:$Q,MATCH($C751,[1]Detallado!$B:$B,0))</f>
        <v>RFLC</v>
      </c>
      <c r="F751" s="185" t="s">
        <v>4357</v>
      </c>
      <c r="G751" s="186" t="str">
        <f t="shared" si="22"/>
        <v>27RFLC</v>
      </c>
      <c r="H751" s="187" t="str">
        <f>+INDEX([1]Detallado!$D:$D,MATCH(C751,[1]Detallado!$B:$B,0))</f>
        <v xml:space="preserve">Peru Enhanced Pass Trough SSCN </v>
      </c>
      <c r="I751" s="28"/>
      <c r="J751" s="184" t="str">
        <f t="shared" si="23"/>
        <v>RFLBU</v>
      </c>
      <c r="O751" s="28" t="s">
        <v>4431</v>
      </c>
      <c r="P751" s="28" t="s">
        <v>4895</v>
      </c>
    </row>
    <row r="752" spans="3:16" x14ac:dyDescent="0.25">
      <c r="C752" s="28" t="s">
        <v>3383</v>
      </c>
      <c r="D752" s="188" t="str">
        <f>+INDEX([1]Detallado!$F:$F,MATCH($C752,[1]Detallado!$B:$B,0))</f>
        <v>Renta Fija</v>
      </c>
      <c r="E752" s="31" t="str">
        <f>+INDEX([1]Detallado!$Q:$Q,MATCH($C752,[1]Detallado!$B:$B,0))</f>
        <v>RFLC</v>
      </c>
      <c r="F752" s="185" t="s">
        <v>4357</v>
      </c>
      <c r="G752" s="186" t="str">
        <f t="shared" si="22"/>
        <v>27RFLC</v>
      </c>
      <c r="H752" s="187" t="str">
        <f>+INDEX([1]Detallado!$D:$D,MATCH(C752,[1]Detallado!$B:$B,0))</f>
        <v xml:space="preserve">Peru Enhanced Pass Trough SSCN </v>
      </c>
      <c r="I752" s="28"/>
      <c r="J752" s="184" t="str">
        <f t="shared" si="23"/>
        <v>RFLBU</v>
      </c>
      <c r="O752" s="28" t="s">
        <v>4431</v>
      </c>
      <c r="P752" s="28" t="s">
        <v>4895</v>
      </c>
    </row>
    <row r="753" spans="3:16" x14ac:dyDescent="0.25">
      <c r="C753" s="28" t="s">
        <v>3384</v>
      </c>
      <c r="D753" s="188" t="str">
        <f>+INDEX([1]Detallado!$F:$F,MATCH($C753,[1]Detallado!$B:$B,0))</f>
        <v>Renta Fija</v>
      </c>
      <c r="E753" s="31" t="str">
        <f>+INDEX([1]Detallado!$Q:$Q,MATCH($C753,[1]Detallado!$B:$B,0))</f>
        <v>RFLC</v>
      </c>
      <c r="F753" s="185" t="s">
        <v>4357</v>
      </c>
      <c r="G753" s="186" t="str">
        <f t="shared" si="22"/>
        <v>27RFLC</v>
      </c>
      <c r="H753" s="187" t="str">
        <f>+INDEX([1]Detallado!$D:$D,MATCH(C753,[1]Detallado!$B:$B,0))</f>
        <v>Interoceanica IV Finance Limited</v>
      </c>
      <c r="I753" s="28"/>
      <c r="J753" s="184" t="str">
        <f t="shared" si="23"/>
        <v>RFLBU</v>
      </c>
      <c r="O753" s="28" t="s">
        <v>4434</v>
      </c>
      <c r="P753" s="28" t="s">
        <v>4902</v>
      </c>
    </row>
    <row r="754" spans="3:16" x14ac:dyDescent="0.25">
      <c r="C754" s="28" t="s">
        <v>407</v>
      </c>
      <c r="D754" s="188" t="str">
        <f>+INDEX([1]Detallado!$F:$F,MATCH($C754,[1]Detallado!$B:$B,0))</f>
        <v>Renta Fija</v>
      </c>
      <c r="E754" s="31" t="str">
        <f>+INDEX([1]Detallado!$Q:$Q,MATCH($C754,[1]Detallado!$B:$B,0))</f>
        <v>RFLC</v>
      </c>
      <c r="F754" s="185" t="s">
        <v>4357</v>
      </c>
      <c r="G754" s="186" t="str">
        <f t="shared" si="22"/>
        <v>27RFLC</v>
      </c>
      <c r="H754" s="187" t="str">
        <f>+INDEX([1]Detallado!$D:$D,MATCH(C754,[1]Detallado!$B:$B,0))</f>
        <v>Interoceanica IV Finance Limited</v>
      </c>
      <c r="I754" s="28"/>
      <c r="J754" s="184" t="str">
        <f t="shared" si="23"/>
        <v>RFLBU</v>
      </c>
      <c r="O754" s="28" t="s">
        <v>4436</v>
      </c>
      <c r="P754" s="28" t="s">
        <v>4902</v>
      </c>
    </row>
    <row r="755" spans="3:16" x14ac:dyDescent="0.25">
      <c r="C755" s="28" t="s">
        <v>3385</v>
      </c>
      <c r="D755" s="188" t="str">
        <f>+INDEX([1]Detallado!$F:$F,MATCH($C755,[1]Detallado!$B:$B,0))</f>
        <v>Renta Fija</v>
      </c>
      <c r="E755" s="31" t="str">
        <f>+INDEX([1]Detallado!$Q:$Q,MATCH($C755,[1]Detallado!$B:$B,0))</f>
        <v>RFLC</v>
      </c>
      <c r="F755" s="185" t="s">
        <v>4357</v>
      </c>
      <c r="G755" s="186" t="str">
        <f t="shared" si="22"/>
        <v>27RFLC</v>
      </c>
      <c r="H755" s="187" t="str">
        <f>+INDEX([1]Detallado!$D:$D,MATCH(C755,[1]Detallado!$B:$B,0))</f>
        <v>Interoceanica IV Finance Limited</v>
      </c>
      <c r="I755" s="28"/>
      <c r="J755" s="184" t="str">
        <f t="shared" si="23"/>
        <v>RFLBU</v>
      </c>
      <c r="O755" s="28" t="s">
        <v>4548</v>
      </c>
      <c r="P755" s="28" t="s">
        <v>4895</v>
      </c>
    </row>
    <row r="756" spans="3:16" x14ac:dyDescent="0.25">
      <c r="C756" s="28" t="s">
        <v>406</v>
      </c>
      <c r="D756" s="188" t="str">
        <f>+INDEX([1]Detallado!$F:$F,MATCH($C756,[1]Detallado!$B:$B,0))</f>
        <v>Renta Fija</v>
      </c>
      <c r="E756" s="31" t="str">
        <f>+INDEX([1]Detallado!$Q:$Q,MATCH($C756,[1]Detallado!$B:$B,0))</f>
        <v>RFLC</v>
      </c>
      <c r="F756" s="185" t="s">
        <v>4357</v>
      </c>
      <c r="G756" s="186" t="str">
        <f t="shared" si="22"/>
        <v>27RFLC</v>
      </c>
      <c r="H756" s="187" t="str">
        <f>+INDEX([1]Detallado!$D:$D,MATCH(C756,[1]Detallado!$B:$B,0))</f>
        <v>Interoceanica IV Finance Limited</v>
      </c>
      <c r="I756" s="28"/>
      <c r="J756" s="184" t="str">
        <f t="shared" si="23"/>
        <v>RFLBU</v>
      </c>
      <c r="O756" s="28" t="s">
        <v>4610</v>
      </c>
      <c r="P756" s="28" t="s">
        <v>4899</v>
      </c>
    </row>
    <row r="757" spans="3:16" x14ac:dyDescent="0.25">
      <c r="C757" s="28" t="s">
        <v>3386</v>
      </c>
      <c r="D757" s="188" t="str">
        <f>+INDEX([1]Detallado!$F:$F,MATCH($C757,[1]Detallado!$B:$B,0))</f>
        <v>Renta Fija</v>
      </c>
      <c r="E757" s="31" t="str">
        <f>+INDEX([1]Detallado!$Q:$Q,MATCH($C757,[1]Detallado!$B:$B,0))</f>
        <v>RFLC</v>
      </c>
      <c r="F757" s="185" t="s">
        <v>4357</v>
      </c>
      <c r="G757" s="186" t="str">
        <f t="shared" si="22"/>
        <v>27RFLC</v>
      </c>
      <c r="H757" s="187" t="str">
        <f>+INDEX([1]Detallado!$D:$D,MATCH(C757,[1]Detallado!$B:$B,0))</f>
        <v>Interoceanica IV Finance Limited</v>
      </c>
      <c r="I757" s="28"/>
      <c r="J757" s="184" t="str">
        <f t="shared" si="23"/>
        <v>RFLBU</v>
      </c>
      <c r="O757" s="28" t="s">
        <v>4485</v>
      </c>
      <c r="P757" s="28" t="s">
        <v>4894</v>
      </c>
    </row>
    <row r="758" spans="3:16" x14ac:dyDescent="0.25">
      <c r="C758" s="28" t="s">
        <v>3387</v>
      </c>
      <c r="D758" s="188" t="str">
        <f>+INDEX([1]Detallado!$F:$F,MATCH($C758,[1]Detallado!$B:$B,0))</f>
        <v>Renta Fija</v>
      </c>
      <c r="E758" s="31" t="str">
        <f>+INDEX([1]Detallado!$Q:$Q,MATCH($C758,[1]Detallado!$B:$B,0))</f>
        <v>RFLC</v>
      </c>
      <c r="F758" s="185" t="s">
        <v>4357</v>
      </c>
      <c r="G758" s="186" t="str">
        <f t="shared" si="22"/>
        <v>27RFLC</v>
      </c>
      <c r="H758" s="187" t="str">
        <f>+INDEX([1]Detallado!$D:$D,MATCH(C758,[1]Detallado!$B:$B,0))</f>
        <v>Interoceanica V Finance Limited</v>
      </c>
      <c r="I758" s="28"/>
      <c r="J758" s="184" t="str">
        <f t="shared" si="23"/>
        <v>RFLBU</v>
      </c>
      <c r="O758" s="28" t="s">
        <v>4626</v>
      </c>
      <c r="P758" s="28" t="s">
        <v>1324</v>
      </c>
    </row>
    <row r="759" spans="3:16" x14ac:dyDescent="0.25">
      <c r="C759" s="28" t="s">
        <v>3388</v>
      </c>
      <c r="D759" s="188" t="str">
        <f>+INDEX([1]Detallado!$F:$F,MATCH($C759,[1]Detallado!$B:$B,0))</f>
        <v>Renta Fija</v>
      </c>
      <c r="E759" s="31" t="str">
        <f>+INDEX([1]Detallado!$Q:$Q,MATCH($C759,[1]Detallado!$B:$B,0))</f>
        <v>RFLC</v>
      </c>
      <c r="F759" s="185" t="s">
        <v>4357</v>
      </c>
      <c r="G759" s="186" t="str">
        <f t="shared" si="22"/>
        <v>27RFLC</v>
      </c>
      <c r="H759" s="187" t="str">
        <f>+INDEX([1]Detallado!$D:$D,MATCH(C759,[1]Detallado!$B:$B,0))</f>
        <v>IIRSA Norte Finance Limited</v>
      </c>
      <c r="I759" s="28"/>
      <c r="J759" s="184" t="str">
        <f t="shared" si="23"/>
        <v>RFLBU</v>
      </c>
      <c r="O759" s="28" t="s">
        <v>4433</v>
      </c>
      <c r="P759" s="28" t="s">
        <v>1324</v>
      </c>
    </row>
    <row r="760" spans="3:16" x14ac:dyDescent="0.25">
      <c r="C760" s="28" t="s">
        <v>3389</v>
      </c>
      <c r="D760" s="188" t="str">
        <f>+INDEX([1]Detallado!$F:$F,MATCH($C760,[1]Detallado!$B:$B,0))</f>
        <v>Renta Fija</v>
      </c>
      <c r="E760" s="31" t="str">
        <f>+INDEX([1]Detallado!$Q:$Q,MATCH($C760,[1]Detallado!$B:$B,0))</f>
        <v>RFLC</v>
      </c>
      <c r="F760" s="185" t="s">
        <v>4357</v>
      </c>
      <c r="G760" s="186" t="str">
        <f t="shared" si="22"/>
        <v>27RFLC</v>
      </c>
      <c r="H760" s="187" t="str">
        <f>+INDEX([1]Detallado!$D:$D,MATCH(C760,[1]Detallado!$B:$B,0))</f>
        <v>IIRSA Norte Finance Limited</v>
      </c>
      <c r="I760" s="28"/>
      <c r="J760" s="184" t="str">
        <f t="shared" si="23"/>
        <v>RFLBU</v>
      </c>
      <c r="O760" s="28" t="s">
        <v>4616</v>
      </c>
      <c r="P760" s="28" t="s">
        <v>4894</v>
      </c>
    </row>
    <row r="761" spans="3:16" x14ac:dyDescent="0.25">
      <c r="C761" s="28" t="s">
        <v>3390</v>
      </c>
      <c r="D761" s="188" t="str">
        <f>+INDEX([1]Detallado!$F:$F,MATCH($C761,[1]Detallado!$B:$B,0))</f>
        <v>Renta Fija</v>
      </c>
      <c r="E761" s="31" t="str">
        <f>+INDEX([1]Detallado!$Q:$Q,MATCH($C761,[1]Detallado!$B:$B,0))</f>
        <v>RFLC</v>
      </c>
      <c r="F761" s="185" t="s">
        <v>4357</v>
      </c>
      <c r="G761" s="186" t="str">
        <f t="shared" si="22"/>
        <v>27RFLC</v>
      </c>
      <c r="H761" s="187" t="str">
        <f>+INDEX([1]Detallado!$D:$D,MATCH(C761,[1]Detallado!$B:$B,0))</f>
        <v>IBK DPR Securitizadora</v>
      </c>
      <c r="I761" s="28"/>
      <c r="J761" s="184" t="str">
        <f t="shared" si="23"/>
        <v>RFLBU</v>
      </c>
      <c r="O761" s="28" t="s">
        <v>4625</v>
      </c>
      <c r="P761" s="28" t="s">
        <v>1324</v>
      </c>
    </row>
    <row r="762" spans="3:16" x14ac:dyDescent="0.25">
      <c r="C762" s="28" t="s">
        <v>3391</v>
      </c>
      <c r="D762" s="188" t="str">
        <f>+INDEX([1]Detallado!$F:$F,MATCH($C762,[1]Detallado!$B:$B,0))</f>
        <v>Renta Fija</v>
      </c>
      <c r="E762" s="31" t="str">
        <f>+INDEX([1]Detallado!$Q:$Q,MATCH($C762,[1]Detallado!$B:$B,0))</f>
        <v>RFLC</v>
      </c>
      <c r="F762" s="185" t="s">
        <v>4357</v>
      </c>
      <c r="G762" s="186" t="str">
        <f t="shared" si="22"/>
        <v>27RFLC</v>
      </c>
      <c r="H762" s="187" t="str">
        <f>+INDEX([1]Detallado!$D:$D,MATCH(C762,[1]Detallado!$B:$B,0))</f>
        <v>Scotiabank Peru DPR Finance Co.</v>
      </c>
      <c r="I762" s="28"/>
      <c r="J762" s="184" t="str">
        <f t="shared" si="23"/>
        <v>RFLBU</v>
      </c>
      <c r="O762" s="28" t="s">
        <v>4624</v>
      </c>
      <c r="P762" s="28" t="s">
        <v>1324</v>
      </c>
    </row>
    <row r="763" spans="3:16" x14ac:dyDescent="0.25">
      <c r="C763" s="28" t="s">
        <v>397</v>
      </c>
      <c r="D763" s="188" t="str">
        <f>+INDEX([1]Detallado!$F:$F,MATCH($C763,[1]Detallado!$B:$B,0))</f>
        <v>Renta Fija</v>
      </c>
      <c r="E763" s="31" t="str">
        <f>+INDEX([1]Detallado!$Q:$Q,MATCH($C763,[1]Detallado!$B:$B,0))</f>
        <v>RFLC</v>
      </c>
      <c r="F763" s="185" t="s">
        <v>4357</v>
      </c>
      <c r="G763" s="186" t="str">
        <f t="shared" si="22"/>
        <v>27RFLC</v>
      </c>
      <c r="H763" s="187" t="str">
        <f>+INDEX([1]Detallado!$D:$D,MATCH(C763,[1]Detallado!$B:$B,0))</f>
        <v>Huascacocha Finance Limited</v>
      </c>
      <c r="I763" s="28"/>
      <c r="J763" s="184" t="str">
        <f t="shared" si="23"/>
        <v>RFLBU</v>
      </c>
      <c r="O763" s="28" t="s">
        <v>4476</v>
      </c>
      <c r="P763" s="28" t="s">
        <v>1324</v>
      </c>
    </row>
    <row r="764" spans="3:16" x14ac:dyDescent="0.25">
      <c r="C764" s="28" t="s">
        <v>393</v>
      </c>
      <c r="D764" s="188" t="str">
        <f>+INDEX([1]Detallado!$F:$F,MATCH($C764,[1]Detallado!$B:$B,0))</f>
        <v>Renta Fija</v>
      </c>
      <c r="E764" s="31" t="str">
        <f>+INDEX([1]Detallado!$Q:$Q,MATCH($C764,[1]Detallado!$B:$B,0))</f>
        <v>RFLC</v>
      </c>
      <c r="F764" s="185" t="s">
        <v>4357</v>
      </c>
      <c r="G764" s="186" t="str">
        <f t="shared" si="22"/>
        <v>27RFLC</v>
      </c>
      <c r="H764" s="187" t="str">
        <f>+INDEX([1]Detallado!$D:$D,MATCH(C764,[1]Detallado!$B:$B,0))</f>
        <v>Huascacocha Finance Limited</v>
      </c>
      <c r="I764" s="28"/>
      <c r="J764" s="184" t="str">
        <f t="shared" si="23"/>
        <v>RFLBU</v>
      </c>
      <c r="O764" s="28" t="s">
        <v>4488</v>
      </c>
      <c r="P764" s="28" t="s">
        <v>4894</v>
      </c>
    </row>
    <row r="765" spans="3:16" x14ac:dyDescent="0.25">
      <c r="C765" s="28" t="s">
        <v>400</v>
      </c>
      <c r="D765" s="188" t="str">
        <f>+INDEX([1]Detallado!$F:$F,MATCH($C765,[1]Detallado!$B:$B,0))</f>
        <v>Renta Fija</v>
      </c>
      <c r="E765" s="31" t="str">
        <f>+INDEX([1]Detallado!$Q:$Q,MATCH($C765,[1]Detallado!$B:$B,0))</f>
        <v>RFLC</v>
      </c>
      <c r="F765" s="185" t="s">
        <v>4357</v>
      </c>
      <c r="G765" s="186" t="str">
        <f t="shared" si="22"/>
        <v>27RFLC</v>
      </c>
      <c r="H765" s="187" t="str">
        <f>+INDEX([1]Detallado!$D:$D,MATCH(C765,[1]Detallado!$B:$B,0))</f>
        <v>Taboada Finance Limited</v>
      </c>
      <c r="I765" s="28"/>
      <c r="J765" s="184" t="str">
        <f t="shared" si="23"/>
        <v>RFLBU</v>
      </c>
      <c r="O765" s="28" t="s">
        <v>4457</v>
      </c>
      <c r="P765" s="28" t="s">
        <v>4902</v>
      </c>
    </row>
    <row r="766" spans="3:16" x14ac:dyDescent="0.25">
      <c r="C766" s="28" t="s">
        <v>3392</v>
      </c>
      <c r="D766" s="188" t="str">
        <f>+INDEX([1]Detallado!$F:$F,MATCH($C766,[1]Detallado!$B:$B,0))</f>
        <v>Renta Fija</v>
      </c>
      <c r="E766" s="31" t="str">
        <f>+INDEX([1]Detallado!$Q:$Q,MATCH($C766,[1]Detallado!$B:$B,0))</f>
        <v>RFLC</v>
      </c>
      <c r="F766" s="185" t="s">
        <v>4357</v>
      </c>
      <c r="G766" s="186" t="str">
        <f t="shared" si="22"/>
        <v>27RFLC</v>
      </c>
      <c r="H766" s="187" t="str">
        <f>+INDEX([1]Detallado!$D:$D,MATCH(C766,[1]Detallado!$B:$B,0))</f>
        <v>Continental Trust</v>
      </c>
      <c r="I766" s="28"/>
      <c r="J766" s="184" t="str">
        <f t="shared" si="23"/>
        <v>RFLBU</v>
      </c>
      <c r="O766" s="28" t="s">
        <v>4435</v>
      </c>
      <c r="P766" s="28" t="s">
        <v>4902</v>
      </c>
    </row>
    <row r="767" spans="3:16" x14ac:dyDescent="0.25">
      <c r="C767" s="28" t="s">
        <v>3393</v>
      </c>
      <c r="D767" s="188" t="str">
        <f>+INDEX([1]Detallado!$F:$F,MATCH($C767,[1]Detallado!$B:$B,0))</f>
        <v>Renta Fija</v>
      </c>
      <c r="E767" s="31" t="str">
        <f>+INDEX([1]Detallado!$Q:$Q,MATCH($C767,[1]Detallado!$B:$B,0))</f>
        <v>RFLC</v>
      </c>
      <c r="F767" s="185" t="s">
        <v>4357</v>
      </c>
      <c r="G767" s="186" t="str">
        <f t="shared" si="22"/>
        <v>27RFLC</v>
      </c>
      <c r="H767" s="187" t="str">
        <f>+INDEX([1]Detallado!$D:$D,MATCH(C767,[1]Detallado!$B:$B,0))</f>
        <v>Continetal Senior Trust</v>
      </c>
      <c r="I767" s="28"/>
      <c r="J767" s="184" t="str">
        <f t="shared" si="23"/>
        <v>RFLBU</v>
      </c>
      <c r="O767" s="28" t="s">
        <v>4459</v>
      </c>
      <c r="P767" s="28" t="s">
        <v>4902</v>
      </c>
    </row>
    <row r="768" spans="3:16" x14ac:dyDescent="0.25">
      <c r="C768" s="28" t="s">
        <v>3394</v>
      </c>
      <c r="D768" s="188" t="str">
        <f>+INDEX([1]Detallado!$F:$F,MATCH($C768,[1]Detallado!$B:$B,0))</f>
        <v>Renta Fija</v>
      </c>
      <c r="E768" s="31" t="str">
        <f>+INDEX([1]Detallado!$Q:$Q,MATCH($C768,[1]Detallado!$B:$B,0))</f>
        <v>RFLC</v>
      </c>
      <c r="F768" s="185" t="s">
        <v>4357</v>
      </c>
      <c r="G768" s="186" t="str">
        <f t="shared" si="22"/>
        <v>27RFLC</v>
      </c>
      <c r="H768" s="187" t="str">
        <f>+INDEX([1]Detallado!$D:$D,MATCH(C768,[1]Detallado!$B:$B,0))</f>
        <v>Continetal Senior Trust II</v>
      </c>
      <c r="I768" s="28"/>
      <c r="J768" s="184" t="str">
        <f t="shared" si="23"/>
        <v>RFLBU</v>
      </c>
      <c r="O768" s="28" t="s">
        <v>2804</v>
      </c>
      <c r="P768" s="28" t="s">
        <v>4902</v>
      </c>
    </row>
    <row r="769" spans="3:16" x14ac:dyDescent="0.25">
      <c r="C769" s="28" t="s">
        <v>3395</v>
      </c>
      <c r="D769" s="188" t="str">
        <f>+INDEX([1]Detallado!$F:$F,MATCH($C769,[1]Detallado!$B:$B,0))</f>
        <v>Renta Fija</v>
      </c>
      <c r="E769" s="31" t="str">
        <f>+INDEX([1]Detallado!$Q:$Q,MATCH($C769,[1]Detallado!$B:$B,0))</f>
        <v>RFLC</v>
      </c>
      <c r="F769" s="185" t="s">
        <v>4357</v>
      </c>
      <c r="G769" s="186" t="str">
        <f t="shared" si="22"/>
        <v>27RFLC</v>
      </c>
      <c r="H769" s="187" t="str">
        <f>+INDEX([1]Detallado!$D:$D,MATCH(C769,[1]Detallado!$B:$B,0))</f>
        <v>Peru Payroll Deduction Finance Limited</v>
      </c>
      <c r="I769" s="28"/>
      <c r="J769" s="184" t="str">
        <f t="shared" si="23"/>
        <v>RFLBU</v>
      </c>
      <c r="O769" s="28" t="s">
        <v>4460</v>
      </c>
      <c r="P769" s="28" t="s">
        <v>4902</v>
      </c>
    </row>
    <row r="770" spans="3:16" x14ac:dyDescent="0.25">
      <c r="C770" s="28" t="s">
        <v>3396</v>
      </c>
      <c r="D770" s="188" t="str">
        <f>+INDEX([1]Detallado!$F:$F,MATCH($C770,[1]Detallado!$B:$B,0))</f>
        <v>Renta Fija</v>
      </c>
      <c r="E770" s="31" t="str">
        <f>+INDEX([1]Detallado!$Q:$Q,MATCH($C770,[1]Detallado!$B:$B,0))</f>
        <v>RFLC</v>
      </c>
      <c r="F770" s="185" t="s">
        <v>4357</v>
      </c>
      <c r="G770" s="186" t="str">
        <f t="shared" si="22"/>
        <v>27RFLC</v>
      </c>
      <c r="H770" s="187" t="str">
        <f>+INDEX([1]Detallado!$D:$D,MATCH(C770,[1]Detallado!$B:$B,0))</f>
        <v>Interproperties Finance Trust</v>
      </c>
      <c r="I770" s="28"/>
      <c r="J770" s="184" t="str">
        <f t="shared" si="23"/>
        <v>RFLBU</v>
      </c>
      <c r="O770" s="28" t="s">
        <v>4484</v>
      </c>
      <c r="P770" s="28" t="s">
        <v>4984</v>
      </c>
    </row>
    <row r="771" spans="3:16" x14ac:dyDescent="0.25">
      <c r="C771" s="28" t="s">
        <v>3397</v>
      </c>
      <c r="D771" s="188" t="str">
        <f>+INDEX([1]Detallado!$F:$F,MATCH($C771,[1]Detallado!$B:$B,0))</f>
        <v>Renta Fija</v>
      </c>
      <c r="E771" s="31" t="str">
        <f>+INDEX([1]Detallado!$Q:$Q,MATCH($C771,[1]Detallado!$B:$B,0))</f>
        <v>RFLC</v>
      </c>
      <c r="F771" s="185" t="s">
        <v>4357</v>
      </c>
      <c r="G771" s="186" t="str">
        <f t="shared" si="22"/>
        <v>27RFLC</v>
      </c>
      <c r="H771" s="187" t="str">
        <f>+INDEX([1]Detallado!$D:$D,MATCH(C771,[1]Detallado!$B:$B,0))</f>
        <v>Intercorp Retail Trust</v>
      </c>
      <c r="I771" s="28"/>
      <c r="J771" s="184" t="str">
        <f t="shared" si="23"/>
        <v>RFLBU</v>
      </c>
      <c r="O771" s="28" t="s">
        <v>2800</v>
      </c>
      <c r="P771" s="28" t="s">
        <v>4899</v>
      </c>
    </row>
    <row r="772" spans="3:16" x14ac:dyDescent="0.25">
      <c r="C772" s="28" t="s">
        <v>3398</v>
      </c>
      <c r="D772" s="188" t="str">
        <f>+INDEX([1]Detallado!$F:$F,MATCH($C772,[1]Detallado!$B:$B,0))</f>
        <v>Renta Fija</v>
      </c>
      <c r="E772" s="31" t="str">
        <f>+INDEX([1]Detallado!$Q:$Q,MATCH($C772,[1]Detallado!$B:$B,0))</f>
        <v>RFLC</v>
      </c>
      <c r="F772" s="185" t="s">
        <v>4357</v>
      </c>
      <c r="G772" s="186" t="str">
        <f t="shared" si="22"/>
        <v>27RFLC</v>
      </c>
      <c r="H772" s="187" t="str">
        <f>+INDEX([1]Detallado!$D:$D,MATCH(C772,[1]Detallado!$B:$B,0))</f>
        <v>Interproperties Finance Trust</v>
      </c>
      <c r="I772" s="28"/>
      <c r="J772" s="184" t="str">
        <f t="shared" si="23"/>
        <v>RFLBU</v>
      </c>
      <c r="O772" s="28" t="s">
        <v>2807</v>
      </c>
      <c r="P772" s="28" t="s">
        <v>4902</v>
      </c>
    </row>
    <row r="773" spans="3:16" x14ac:dyDescent="0.25">
      <c r="C773" s="28" t="s">
        <v>3399</v>
      </c>
      <c r="D773" s="188" t="str">
        <f>+INDEX([1]Detallado!$F:$F,MATCH($C773,[1]Detallado!$B:$B,0))</f>
        <v>Renta Fija</v>
      </c>
      <c r="E773" s="31" t="str">
        <f>+INDEX([1]Detallado!$Q:$Q,MATCH($C773,[1]Detallado!$B:$B,0))</f>
        <v>RFLC</v>
      </c>
      <c r="F773" s="185" t="s">
        <v>4357</v>
      </c>
      <c r="G773" s="186" t="str">
        <f t="shared" si="22"/>
        <v>27RFLC</v>
      </c>
      <c r="H773" s="187" t="str">
        <f>+INDEX([1]Detallado!$D:$D,MATCH(C773,[1]Detallado!$B:$B,0))</f>
        <v>CCR Inc. MT-100 Payment Rights Master Trust</v>
      </c>
      <c r="I773" s="28"/>
      <c r="J773" s="184" t="str">
        <f t="shared" si="23"/>
        <v>RFLBU</v>
      </c>
      <c r="O773" s="28" t="s">
        <v>4614</v>
      </c>
      <c r="P773" s="28" t="s">
        <v>4902</v>
      </c>
    </row>
    <row r="774" spans="3:16" x14ac:dyDescent="0.25">
      <c r="C774" s="28" t="s">
        <v>3400</v>
      </c>
      <c r="D774" s="188" t="str">
        <f>+INDEX([1]Detallado!$F:$F,MATCH($C774,[1]Detallado!$B:$B,0))</f>
        <v>Renta Fija</v>
      </c>
      <c r="E774" s="31" t="str">
        <f>+INDEX([1]Detallado!$Q:$Q,MATCH($C774,[1]Detallado!$B:$B,0))</f>
        <v>RFLC</v>
      </c>
      <c r="F774" s="185" t="s">
        <v>4357</v>
      </c>
      <c r="G774" s="186" t="str">
        <f t="shared" si="22"/>
        <v>27RFLC</v>
      </c>
      <c r="H774" s="187" t="str">
        <f>+INDEX([1]Detallado!$D:$D,MATCH(C774,[1]Detallado!$B:$B,0))</f>
        <v>CCR Inc. MT-100 Payment Rights Master Trust</v>
      </c>
      <c r="I774" s="28"/>
      <c r="J774" s="184" t="str">
        <f t="shared" si="23"/>
        <v>RFLBU</v>
      </c>
      <c r="O774" s="28" t="s">
        <v>2813</v>
      </c>
      <c r="P774" s="28" t="s">
        <v>1324</v>
      </c>
    </row>
    <row r="775" spans="3:16" x14ac:dyDescent="0.25">
      <c r="C775" s="28" t="s">
        <v>3401</v>
      </c>
      <c r="D775" s="188" t="str">
        <f>+INDEX([1]Detallado!$F:$F,MATCH($C775,[1]Detallado!$B:$B,0))</f>
        <v>Renta Fija</v>
      </c>
      <c r="E775" s="31" t="str">
        <f>+INDEX([1]Detallado!$Q:$Q,MATCH($C775,[1]Detallado!$B:$B,0))</f>
        <v>RFLC</v>
      </c>
      <c r="F775" s="185" t="s">
        <v>4357</v>
      </c>
      <c r="G775" s="186" t="str">
        <f t="shared" si="22"/>
        <v>25RFLC</v>
      </c>
      <c r="H775" s="187" t="str">
        <f>+INDEX([1]Detallado!$D:$D,MATCH(C775,[1]Detallado!$B:$B,0))</f>
        <v>Banco Continental</v>
      </c>
      <c r="I775" s="28"/>
      <c r="J775" s="184" t="str">
        <f t="shared" si="23"/>
        <v>RFLBU</v>
      </c>
      <c r="O775" s="28" t="s">
        <v>2814</v>
      </c>
      <c r="P775" s="28" t="s">
        <v>4894</v>
      </c>
    </row>
    <row r="776" spans="3:16" x14ac:dyDescent="0.25">
      <c r="C776" s="28" t="s">
        <v>334</v>
      </c>
      <c r="D776" s="188" t="str">
        <f>+INDEX([1]Detallado!$F:$F,MATCH($C776,[1]Detallado!$B:$B,0))</f>
        <v>Renta Fija</v>
      </c>
      <c r="E776" s="31" t="str">
        <f>+INDEX([1]Detallado!$Q:$Q,MATCH($C776,[1]Detallado!$B:$B,0))</f>
        <v>RFLC</v>
      </c>
      <c r="F776" s="185" t="s">
        <v>4357</v>
      </c>
      <c r="G776" s="186" t="str">
        <f t="shared" si="22"/>
        <v>22RFLC</v>
      </c>
      <c r="H776" s="187" t="str">
        <f>+INDEX([1]Detallado!$D:$D,MATCH(C776,[1]Detallado!$B:$B,0))</f>
        <v>Orazen</v>
      </c>
      <c r="I776" s="28"/>
      <c r="J776" s="184" t="str">
        <f t="shared" si="23"/>
        <v>RFLBU</v>
      </c>
      <c r="O776" s="28" t="s">
        <v>2803</v>
      </c>
      <c r="P776" s="28" t="s">
        <v>4902</v>
      </c>
    </row>
    <row r="777" spans="3:16" x14ac:dyDescent="0.25">
      <c r="C777" s="28" t="s">
        <v>3402</v>
      </c>
      <c r="D777" s="188" t="str">
        <f>+INDEX([1]Detallado!$F:$F,MATCH($C777,[1]Detallado!$B:$B,0))</f>
        <v>Renta Fija</v>
      </c>
      <c r="E777" s="31" t="str">
        <f>+INDEX([1]Detallado!$Q:$Q,MATCH($C777,[1]Detallado!$B:$B,0))</f>
        <v>RFLC</v>
      </c>
      <c r="F777" s="185" t="s">
        <v>4357</v>
      </c>
      <c r="G777" s="186" t="str">
        <f t="shared" si="22"/>
        <v>22RFLC</v>
      </c>
      <c r="H777" s="187" t="str">
        <f>+INDEX([1]Detallado!$D:$D,MATCH(C777,[1]Detallado!$B:$B,0))</f>
        <v>Petroleos del Peru S.A.</v>
      </c>
      <c r="I777" s="28"/>
      <c r="J777" s="184" t="str">
        <f t="shared" si="23"/>
        <v>RFLBU</v>
      </c>
      <c r="O777" s="28" t="s">
        <v>4498</v>
      </c>
      <c r="P777" s="28" t="s">
        <v>4902</v>
      </c>
    </row>
    <row r="778" spans="3:16" x14ac:dyDescent="0.25">
      <c r="C778" s="28" t="s">
        <v>3403</v>
      </c>
      <c r="D778" s="188" t="str">
        <f>+INDEX([1]Detallado!$F:$F,MATCH($C778,[1]Detallado!$B:$B,0))</f>
        <v>Renta Fija</v>
      </c>
      <c r="E778" s="31" t="str">
        <f>+INDEX([1]Detallado!$Q:$Q,MATCH($C778,[1]Detallado!$B:$B,0))</f>
        <v>RFLC</v>
      </c>
      <c r="F778" s="185" t="s">
        <v>4357</v>
      </c>
      <c r="G778" s="186" t="str">
        <f t="shared" ref="G778:G841" si="24">LEFT(C778,2)&amp;E778</f>
        <v>22RFLC</v>
      </c>
      <c r="H778" s="187" t="str">
        <f>+INDEX([1]Detallado!$D:$D,MATCH(C778,[1]Detallado!$B:$B,0))</f>
        <v>InRetail Pharma</v>
      </c>
      <c r="I778" s="28"/>
      <c r="J778" s="184" t="str">
        <f t="shared" ref="J778:J841" si="25">IF(E778="ALT",LEFT(E778,3),LEFT(E778,3)&amp;F778)</f>
        <v>RFLBU</v>
      </c>
      <c r="O778" s="28" t="s">
        <v>4615</v>
      </c>
      <c r="P778" s="28" t="s">
        <v>4894</v>
      </c>
    </row>
    <row r="779" spans="3:16" x14ac:dyDescent="0.25">
      <c r="C779" s="28" t="s">
        <v>3404</v>
      </c>
      <c r="D779" s="188" t="str">
        <f>+INDEX([1]Detallado!$F:$F,MATCH($C779,[1]Detallado!$B:$B,0))</f>
        <v>Renta Fija</v>
      </c>
      <c r="E779" s="31" t="str">
        <f>+INDEX([1]Detallado!$Q:$Q,MATCH($C779,[1]Detallado!$B:$B,0))</f>
        <v>RFLC</v>
      </c>
      <c r="F779" s="185" t="s">
        <v>4357</v>
      </c>
      <c r="G779" s="186" t="str">
        <f t="shared" si="24"/>
        <v>12RFLC</v>
      </c>
      <c r="H779" s="187" t="str">
        <f>+INDEX([1]Detallado!$D:$D,MATCH(C779,[1]Detallado!$B:$B,0))</f>
        <v>Nexa Resources</v>
      </c>
      <c r="I779" s="28"/>
      <c r="J779" s="184" t="str">
        <f t="shared" si="25"/>
        <v>RFLBU</v>
      </c>
      <c r="O779" s="28" t="s">
        <v>4434</v>
      </c>
      <c r="P779" s="28" t="s">
        <v>4902</v>
      </c>
    </row>
    <row r="780" spans="3:16" x14ac:dyDescent="0.25">
      <c r="C780" s="28" t="s">
        <v>3405</v>
      </c>
      <c r="D780" s="188" t="str">
        <f>+INDEX([1]Detallado!$F:$F,MATCH($C780,[1]Detallado!$B:$B,0))</f>
        <v>Renta Fija</v>
      </c>
      <c r="E780" s="31" t="str">
        <f>+INDEX([1]Detallado!$Q:$Q,MATCH($C780,[1]Detallado!$B:$B,0))</f>
        <v>RFLC</v>
      </c>
      <c r="F780" s="185" t="s">
        <v>4357</v>
      </c>
      <c r="G780" s="186" t="str">
        <f t="shared" si="24"/>
        <v>12RFLC</v>
      </c>
      <c r="H780" s="187" t="str">
        <f>+INDEX([1]Detallado!$D:$D,MATCH(C780,[1]Detallado!$B:$B,0))</f>
        <v>Nexa Resources</v>
      </c>
      <c r="I780" s="28"/>
      <c r="J780" s="184" t="str">
        <f t="shared" si="25"/>
        <v>RFLBU</v>
      </c>
      <c r="O780" s="28" t="s">
        <v>4611</v>
      </c>
      <c r="P780" s="28" t="s">
        <v>4898</v>
      </c>
    </row>
    <row r="781" spans="3:16" x14ac:dyDescent="0.25">
      <c r="C781" s="28" t="s">
        <v>3406</v>
      </c>
      <c r="D781" s="188" t="str">
        <f>+INDEX([1]Detallado!$F:$F,MATCH($C781,[1]Detallado!$B:$B,0))</f>
        <v>Renta Fija</v>
      </c>
      <c r="E781" s="31" t="str">
        <f>+INDEX([1]Detallado!$Q:$Q,MATCH($C781,[1]Detallado!$B:$B,0))</f>
        <v>RFLC</v>
      </c>
      <c r="F781" s="185" t="s">
        <v>4357</v>
      </c>
      <c r="G781" s="186" t="str">
        <f t="shared" si="24"/>
        <v>22RFLC</v>
      </c>
      <c r="H781" s="187" t="str">
        <f>+INDEX([1]Detallado!$D:$D,MATCH(C781,[1]Detallado!$B:$B,0))</f>
        <v>Hunt Oil</v>
      </c>
      <c r="I781" s="28"/>
      <c r="J781" s="184" t="str">
        <f t="shared" si="25"/>
        <v>RFLBU</v>
      </c>
      <c r="O781" s="28" t="s">
        <v>2801</v>
      </c>
      <c r="P781" s="28" t="s">
        <v>4898</v>
      </c>
    </row>
    <row r="782" spans="3:16" x14ac:dyDescent="0.25">
      <c r="C782" s="28" t="s">
        <v>913</v>
      </c>
      <c r="D782" s="188" t="str">
        <f>+INDEX([1]Detallado!$F:$F,MATCH($C782,[1]Detallado!$B:$B,0))</f>
        <v>Renta Fija</v>
      </c>
      <c r="E782" s="31" t="str">
        <f>+INDEX([1]Detallado!$Q:$Q,MATCH($C782,[1]Detallado!$B:$B,0))</f>
        <v>RFLC</v>
      </c>
      <c r="F782" s="185" t="s">
        <v>4357</v>
      </c>
      <c r="G782" s="186" t="str">
        <f t="shared" si="24"/>
        <v>22RFLC</v>
      </c>
      <c r="H782" s="187" t="str">
        <f>+INDEX([1]Detallado!$D:$D,MATCH(C782,[1]Detallado!$B:$B,0))</f>
        <v>Hunt Oil</v>
      </c>
      <c r="I782" s="28"/>
      <c r="J782" s="184" t="str">
        <f t="shared" si="25"/>
        <v>RFLBU</v>
      </c>
      <c r="O782" s="28" t="s">
        <v>4620</v>
      </c>
      <c r="P782" s="28" t="s">
        <v>4984</v>
      </c>
    </row>
    <row r="783" spans="3:16" x14ac:dyDescent="0.25">
      <c r="C783" s="28" t="s">
        <v>3407</v>
      </c>
      <c r="D783" s="188" t="str">
        <f>+INDEX([1]Detallado!$F:$F,MATCH($C783,[1]Detallado!$B:$B,0))</f>
        <v>Renta Fija</v>
      </c>
      <c r="E783" s="31" t="str">
        <f>+INDEX([1]Detallado!$Q:$Q,MATCH($C783,[1]Detallado!$B:$B,0))</f>
        <v>RFLG</v>
      </c>
      <c r="F783" s="185" t="s">
        <v>4356</v>
      </c>
      <c r="G783" s="186" t="str">
        <f t="shared" si="24"/>
        <v>01RFLG</v>
      </c>
      <c r="H783" s="187" t="str">
        <f>+INDEX([1]Detallado!$D:$D,MATCH(C783,[1]Detallado!$B:$B,0))</f>
        <v>Gobierno Central</v>
      </c>
      <c r="I783" s="28"/>
      <c r="J783" s="184" t="str">
        <f t="shared" si="25"/>
        <v>RFLGOB</v>
      </c>
      <c r="O783" s="28" t="s">
        <v>4621</v>
      </c>
      <c r="P783" s="28" t="s">
        <v>4984</v>
      </c>
    </row>
    <row r="784" spans="3:16" x14ac:dyDescent="0.25">
      <c r="C784" s="28" t="s">
        <v>3408</v>
      </c>
      <c r="D784" s="188" t="str">
        <f>+INDEX([1]Detallado!$F:$F,MATCH($C784,[1]Detallado!$B:$B,0))</f>
        <v>Renta Fija</v>
      </c>
      <c r="E784" s="31" t="str">
        <f>+INDEX([1]Detallado!$Q:$Q,MATCH($C784,[1]Detallado!$B:$B,0))</f>
        <v>RFLG</v>
      </c>
      <c r="F784" s="185" t="s">
        <v>4356</v>
      </c>
      <c r="G784" s="186" t="str">
        <f t="shared" si="24"/>
        <v>01RFLG</v>
      </c>
      <c r="H784" s="187" t="str">
        <f>+INDEX([1]Detallado!$D:$D,MATCH(C784,[1]Detallado!$B:$B,0))</f>
        <v>Gobierno Central</v>
      </c>
      <c r="I784" s="28"/>
      <c r="J784" s="184" t="str">
        <f t="shared" si="25"/>
        <v>RFLGOB</v>
      </c>
      <c r="O784" s="28" t="s">
        <v>2815</v>
      </c>
      <c r="P784" s="28" t="s">
        <v>4984</v>
      </c>
    </row>
    <row r="785" spans="3:16" x14ac:dyDescent="0.25">
      <c r="C785" s="28" t="s">
        <v>3409</v>
      </c>
      <c r="D785" s="188" t="str">
        <f>+INDEX([1]Detallado!$F:$F,MATCH($C785,[1]Detallado!$B:$B,0))</f>
        <v>Renta Fija</v>
      </c>
      <c r="E785" s="31" t="str">
        <f>+INDEX([1]Detallado!$Q:$Q,MATCH($C785,[1]Detallado!$B:$B,0))</f>
        <v>RFLG</v>
      </c>
      <c r="F785" s="185" t="s">
        <v>4356</v>
      </c>
      <c r="G785" s="186" t="str">
        <f t="shared" si="24"/>
        <v>01RFLG</v>
      </c>
      <c r="H785" s="187" t="str">
        <f>+INDEX([1]Detallado!$D:$D,MATCH(C785,[1]Detallado!$B:$B,0))</f>
        <v>Gobierno Central</v>
      </c>
      <c r="I785" s="28"/>
      <c r="J785" s="184" t="str">
        <f t="shared" si="25"/>
        <v>RFLGOB</v>
      </c>
      <c r="O785" s="28" t="s">
        <v>2802</v>
      </c>
      <c r="P785" s="28" t="s">
        <v>4984</v>
      </c>
    </row>
    <row r="786" spans="3:16" x14ac:dyDescent="0.25">
      <c r="C786" s="28" t="s">
        <v>3410</v>
      </c>
      <c r="D786" s="188" t="str">
        <f>+INDEX([1]Detallado!$F:$F,MATCH($C786,[1]Detallado!$B:$B,0))</f>
        <v>Renta Fija</v>
      </c>
      <c r="E786" s="31" t="str">
        <f>+INDEX([1]Detallado!$Q:$Q,MATCH($C786,[1]Detallado!$B:$B,0))</f>
        <v>RFLG</v>
      </c>
      <c r="F786" s="185" t="s">
        <v>4356</v>
      </c>
      <c r="G786" s="186" t="str">
        <f t="shared" si="24"/>
        <v>01RFLG</v>
      </c>
      <c r="H786" s="187" t="str">
        <f>+INDEX([1]Detallado!$D:$D,MATCH(C786,[1]Detallado!$B:$B,0))</f>
        <v>Gobierno Central</v>
      </c>
      <c r="I786" s="28"/>
      <c r="J786" s="184" t="str">
        <f t="shared" si="25"/>
        <v>RFLGOB</v>
      </c>
      <c r="O786" s="28" t="s">
        <v>4494</v>
      </c>
      <c r="P786" s="28" t="s">
        <v>4898</v>
      </c>
    </row>
    <row r="787" spans="3:16" x14ac:dyDescent="0.25">
      <c r="C787" s="28" t="s">
        <v>3411</v>
      </c>
      <c r="D787" s="188" t="str">
        <f>+INDEX([1]Detallado!$F:$F,MATCH($C787,[1]Detallado!$B:$B,0))</f>
        <v>Renta Fija</v>
      </c>
      <c r="E787" s="31" t="str">
        <f>+INDEX([1]Detallado!$Q:$Q,MATCH($C787,[1]Detallado!$B:$B,0))</f>
        <v>RFLG</v>
      </c>
      <c r="F787" s="185" t="s">
        <v>4356</v>
      </c>
      <c r="G787" s="186" t="str">
        <f t="shared" si="24"/>
        <v>01RFLG</v>
      </c>
      <c r="H787" s="187" t="str">
        <f>+INDEX([1]Detallado!$D:$D,MATCH(C787,[1]Detallado!$B:$B,0))</f>
        <v>Gobierno Central</v>
      </c>
      <c r="I787" s="28"/>
      <c r="J787" s="184" t="str">
        <f t="shared" si="25"/>
        <v>RFLGOB</v>
      </c>
      <c r="O787" s="28" t="s">
        <v>2816</v>
      </c>
      <c r="P787" s="28" t="s">
        <v>4984</v>
      </c>
    </row>
    <row r="788" spans="3:16" x14ac:dyDescent="0.25">
      <c r="C788" s="28" t="s">
        <v>3412</v>
      </c>
      <c r="D788" s="188" t="str">
        <f>+INDEX([1]Detallado!$F:$F,MATCH($C788,[1]Detallado!$B:$B,0))</f>
        <v>Renta Fija</v>
      </c>
      <c r="E788" s="31" t="str">
        <f>+INDEX([1]Detallado!$Q:$Q,MATCH($C788,[1]Detallado!$B:$B,0))</f>
        <v>RFLG</v>
      </c>
      <c r="F788" s="185" t="s">
        <v>4356</v>
      </c>
      <c r="G788" s="186" t="str">
        <f t="shared" si="24"/>
        <v>01RFLG</v>
      </c>
      <c r="H788" s="187" t="str">
        <f>+INDEX([1]Detallado!$D:$D,MATCH(C788,[1]Detallado!$B:$B,0))</f>
        <v>Gobierno Central</v>
      </c>
      <c r="I788" s="28"/>
      <c r="J788" s="184" t="str">
        <f t="shared" si="25"/>
        <v>RFLGOB</v>
      </c>
      <c r="O788" s="28" t="s">
        <v>2810</v>
      </c>
      <c r="P788" s="28" t="s">
        <v>4898</v>
      </c>
    </row>
    <row r="789" spans="3:16" x14ac:dyDescent="0.25">
      <c r="C789" s="28" t="s">
        <v>3413</v>
      </c>
      <c r="D789" s="188" t="str">
        <f>+INDEX([1]Detallado!$F:$F,MATCH($C789,[1]Detallado!$B:$B,0))</f>
        <v>Renta Fija</v>
      </c>
      <c r="E789" s="31" t="str">
        <f>+INDEX([1]Detallado!$Q:$Q,MATCH($C789,[1]Detallado!$B:$B,0))</f>
        <v>RFLG</v>
      </c>
      <c r="F789" s="185" t="s">
        <v>4356</v>
      </c>
      <c r="G789" s="186" t="str">
        <f t="shared" si="24"/>
        <v>01RFLG</v>
      </c>
      <c r="H789" s="187" t="str">
        <f>+INDEX([1]Detallado!$D:$D,MATCH(C789,[1]Detallado!$B:$B,0))</f>
        <v>Gobierno Central</v>
      </c>
      <c r="I789" s="28"/>
      <c r="J789" s="184" t="str">
        <f t="shared" si="25"/>
        <v>RFLGOB</v>
      </c>
      <c r="O789" s="28" t="s">
        <v>4629</v>
      </c>
      <c r="P789" s="28" t="s">
        <v>4899</v>
      </c>
    </row>
    <row r="790" spans="3:16" x14ac:dyDescent="0.25">
      <c r="C790" s="28" t="s">
        <v>3414</v>
      </c>
      <c r="D790" s="188" t="str">
        <f>+INDEX([1]Detallado!$F:$F,MATCH($C790,[1]Detallado!$B:$B,0))</f>
        <v>Renta Fija</v>
      </c>
      <c r="E790" s="31" t="str">
        <f>+INDEX([1]Detallado!$Q:$Q,MATCH($C790,[1]Detallado!$B:$B,0))</f>
        <v>RFLG</v>
      </c>
      <c r="F790" s="185" t="s">
        <v>4356</v>
      </c>
      <c r="G790" s="186" t="str">
        <f t="shared" si="24"/>
        <v>01RFLG</v>
      </c>
      <c r="H790" s="187" t="str">
        <f>+INDEX([1]Detallado!$D:$D,MATCH(C790,[1]Detallado!$B:$B,0))</f>
        <v>Gobierno Central</v>
      </c>
      <c r="I790" s="28"/>
      <c r="J790" s="184" t="str">
        <f t="shared" si="25"/>
        <v>RFLGOB</v>
      </c>
      <c r="O790" s="28" t="s">
        <v>4981</v>
      </c>
      <c r="P790" s="28" t="s">
        <v>4984</v>
      </c>
    </row>
    <row r="791" spans="3:16" x14ac:dyDescent="0.25">
      <c r="C791" s="28" t="s">
        <v>3415</v>
      </c>
      <c r="D791" s="188" t="str">
        <f>+INDEX([1]Detallado!$F:$F,MATCH($C791,[1]Detallado!$B:$B,0))</f>
        <v>Renta Fija</v>
      </c>
      <c r="E791" s="31" t="str">
        <f>+INDEX([1]Detallado!$Q:$Q,MATCH($C791,[1]Detallado!$B:$B,0))</f>
        <v>RFLG</v>
      </c>
      <c r="F791" s="185" t="s">
        <v>4356</v>
      </c>
      <c r="G791" s="186" t="str">
        <f t="shared" si="24"/>
        <v>01RFLG</v>
      </c>
      <c r="H791" s="187" t="str">
        <f>+INDEX([1]Detallado!$D:$D,MATCH(C791,[1]Detallado!$B:$B,0))</f>
        <v>Gobierno Central</v>
      </c>
      <c r="I791" s="28"/>
      <c r="J791" s="184" t="str">
        <f t="shared" si="25"/>
        <v>RFLGOB</v>
      </c>
      <c r="O791" s="28" t="s">
        <v>5149</v>
      </c>
      <c r="P791" s="28" t="s">
        <v>1324</v>
      </c>
    </row>
    <row r="792" spans="3:16" x14ac:dyDescent="0.25">
      <c r="C792" s="28" t="s">
        <v>3416</v>
      </c>
      <c r="D792" s="188" t="str">
        <f>+INDEX([1]Detallado!$F:$F,MATCH($C792,[1]Detallado!$B:$B,0))</f>
        <v>Renta Fija</v>
      </c>
      <c r="E792" s="31" t="str">
        <f>+INDEX([1]Detallado!$Q:$Q,MATCH($C792,[1]Detallado!$B:$B,0))</f>
        <v>RFLG</v>
      </c>
      <c r="F792" s="185" t="s">
        <v>4356</v>
      </c>
      <c r="G792" s="186" t="str">
        <f t="shared" si="24"/>
        <v>01RFLG</v>
      </c>
      <c r="H792" s="187" t="str">
        <f>+INDEX([1]Detallado!$D:$D,MATCH(C792,[1]Detallado!$B:$B,0))</f>
        <v>Gobierno Central</v>
      </c>
      <c r="I792" s="28"/>
      <c r="J792" s="184" t="str">
        <f t="shared" si="25"/>
        <v>RFLGOB</v>
      </c>
      <c r="O792" s="28" t="s">
        <v>4437</v>
      </c>
      <c r="P792" s="28" t="s">
        <v>4902</v>
      </c>
    </row>
    <row r="793" spans="3:16" x14ac:dyDescent="0.25">
      <c r="C793" s="28" t="s">
        <v>3417</v>
      </c>
      <c r="D793" s="188" t="str">
        <f>+INDEX([1]Detallado!$F:$F,MATCH($C793,[1]Detallado!$B:$B,0))</f>
        <v>Renta Fija</v>
      </c>
      <c r="E793" s="31" t="str">
        <f>+INDEX([1]Detallado!$Q:$Q,MATCH($C793,[1]Detallado!$B:$B,0))</f>
        <v>RFLG</v>
      </c>
      <c r="F793" s="185" t="s">
        <v>4356</v>
      </c>
      <c r="G793" s="186" t="str">
        <f t="shared" si="24"/>
        <v>01RFLG</v>
      </c>
      <c r="H793" s="187" t="str">
        <f>+INDEX([1]Detallado!$D:$D,MATCH(C793,[1]Detallado!$B:$B,0))</f>
        <v>Gobierno Central</v>
      </c>
      <c r="I793" s="28"/>
      <c r="J793" s="184" t="str">
        <f t="shared" si="25"/>
        <v>RFLGOB</v>
      </c>
      <c r="O793" s="28" t="s">
        <v>4607</v>
      </c>
      <c r="P793" s="28" t="s">
        <v>4984</v>
      </c>
    </row>
    <row r="794" spans="3:16" x14ac:dyDescent="0.25">
      <c r="C794" s="28" t="s">
        <v>3418</v>
      </c>
      <c r="D794" s="188" t="str">
        <f>+INDEX([1]Detallado!$F:$F,MATCH($C794,[1]Detallado!$B:$B,0))</f>
        <v>Renta Fija</v>
      </c>
      <c r="E794" s="31" t="str">
        <f>+INDEX([1]Detallado!$Q:$Q,MATCH($C794,[1]Detallado!$B:$B,0))</f>
        <v>RFLG</v>
      </c>
      <c r="F794" s="185" t="s">
        <v>4356</v>
      </c>
      <c r="G794" s="186" t="str">
        <f t="shared" si="24"/>
        <v>01RFLG</v>
      </c>
      <c r="H794" s="187" t="str">
        <f>+INDEX([1]Detallado!$D:$D,MATCH(C794,[1]Detallado!$B:$B,0))</f>
        <v>Gobierno Central</v>
      </c>
      <c r="I794" s="28"/>
      <c r="J794" s="184" t="str">
        <f t="shared" si="25"/>
        <v>RFLGOB</v>
      </c>
      <c r="O794" s="28" t="s">
        <v>4455</v>
      </c>
      <c r="P794" s="28" t="s">
        <v>5663</v>
      </c>
    </row>
    <row r="795" spans="3:16" x14ac:dyDescent="0.25">
      <c r="C795" s="28" t="s">
        <v>3419</v>
      </c>
      <c r="D795" s="188" t="str">
        <f>+INDEX([1]Detallado!$F:$F,MATCH($C795,[1]Detallado!$B:$B,0))</f>
        <v>Renta Fija</v>
      </c>
      <c r="E795" s="31" t="str">
        <f>+INDEX([1]Detallado!$Q:$Q,MATCH($C795,[1]Detallado!$B:$B,0))</f>
        <v>RFLG</v>
      </c>
      <c r="F795" s="185" t="s">
        <v>4356</v>
      </c>
      <c r="G795" s="186" t="str">
        <f t="shared" si="24"/>
        <v>01RFLG</v>
      </c>
      <c r="H795" s="187" t="str">
        <f>+INDEX([1]Detallado!$D:$D,MATCH(C795,[1]Detallado!$B:$B,0))</f>
        <v>Gobierno Central</v>
      </c>
      <c r="I795" s="28"/>
      <c r="J795" s="184" t="str">
        <f t="shared" si="25"/>
        <v>RFLGOB</v>
      </c>
      <c r="O795" s="28" t="s">
        <v>2809</v>
      </c>
      <c r="P795" s="28" t="s">
        <v>4898</v>
      </c>
    </row>
    <row r="796" spans="3:16" x14ac:dyDescent="0.25">
      <c r="C796" s="28" t="s">
        <v>3420</v>
      </c>
      <c r="D796" s="188" t="str">
        <f>+INDEX([1]Detallado!$F:$F,MATCH($C796,[1]Detallado!$B:$B,0))</f>
        <v>Renta Fija</v>
      </c>
      <c r="E796" s="31" t="str">
        <f>+INDEX([1]Detallado!$Q:$Q,MATCH($C796,[1]Detallado!$B:$B,0))</f>
        <v>RFLG</v>
      </c>
      <c r="F796" s="185" t="s">
        <v>4356</v>
      </c>
      <c r="G796" s="186" t="str">
        <f t="shared" si="24"/>
        <v>01RFLG</v>
      </c>
      <c r="H796" s="187" t="str">
        <f>+INDEX([1]Detallado!$D:$D,MATCH(C796,[1]Detallado!$B:$B,0))</f>
        <v>Gobierno Central</v>
      </c>
      <c r="I796" s="28"/>
      <c r="J796" s="184" t="str">
        <f t="shared" si="25"/>
        <v>RFLGOB</v>
      </c>
      <c r="O796" s="28" t="s">
        <v>4465</v>
      </c>
      <c r="P796" s="28" t="s">
        <v>4896</v>
      </c>
    </row>
    <row r="797" spans="3:16" x14ac:dyDescent="0.25">
      <c r="C797" s="28" t="s">
        <v>3421</v>
      </c>
      <c r="D797" s="188" t="str">
        <f>+INDEX([1]Detallado!$F:$F,MATCH($C797,[1]Detallado!$B:$B,0))</f>
        <v>Renta Fija</v>
      </c>
      <c r="E797" s="31" t="str">
        <f>+INDEX([1]Detallado!$Q:$Q,MATCH($C797,[1]Detallado!$B:$B,0))</f>
        <v>RFLG</v>
      </c>
      <c r="F797" s="185" t="s">
        <v>4356</v>
      </c>
      <c r="G797" s="186" t="str">
        <f t="shared" si="24"/>
        <v>01RFLG</v>
      </c>
      <c r="H797" s="187" t="str">
        <f>+INDEX([1]Detallado!$D:$D,MATCH(C797,[1]Detallado!$B:$B,0))</f>
        <v>Gobierno Central</v>
      </c>
      <c r="I797" s="28"/>
      <c r="J797" s="184" t="str">
        <f t="shared" si="25"/>
        <v>RFLGOB</v>
      </c>
      <c r="O797" s="28" t="s">
        <v>4623</v>
      </c>
      <c r="P797" s="28" t="s">
        <v>4984</v>
      </c>
    </row>
    <row r="798" spans="3:16" x14ac:dyDescent="0.25">
      <c r="C798" s="28" t="s">
        <v>3422</v>
      </c>
      <c r="D798" s="188" t="str">
        <f>+INDEX([1]Detallado!$F:$F,MATCH($C798,[1]Detallado!$B:$B,0))</f>
        <v>Renta Fija</v>
      </c>
      <c r="E798" s="31" t="str">
        <f>+INDEX([1]Detallado!$Q:$Q,MATCH($C798,[1]Detallado!$B:$B,0))</f>
        <v>RFLG</v>
      </c>
      <c r="F798" s="185" t="s">
        <v>4356</v>
      </c>
      <c r="G798" s="186" t="str">
        <f t="shared" si="24"/>
        <v>01RFLG</v>
      </c>
      <c r="H798" s="187" t="str">
        <f>+INDEX([1]Detallado!$D:$D,MATCH(C798,[1]Detallado!$B:$B,0))</f>
        <v>Gobierno Central</v>
      </c>
      <c r="I798" s="28"/>
      <c r="J798" s="184" t="str">
        <f t="shared" si="25"/>
        <v>RFLGOB</v>
      </c>
      <c r="O798" s="28" t="s">
        <v>4549</v>
      </c>
      <c r="P798" s="28" t="s">
        <v>4896</v>
      </c>
    </row>
    <row r="799" spans="3:16" x14ac:dyDescent="0.25">
      <c r="C799" s="28" t="s">
        <v>3423</v>
      </c>
      <c r="D799" s="188" t="str">
        <f>+INDEX([1]Detallado!$F:$F,MATCH($C799,[1]Detallado!$B:$B,0))</f>
        <v>Renta Fija</v>
      </c>
      <c r="E799" s="31" t="str">
        <f>+INDEX([1]Detallado!$Q:$Q,MATCH($C799,[1]Detallado!$B:$B,0))</f>
        <v>RFLG</v>
      </c>
      <c r="F799" s="185" t="s">
        <v>4356</v>
      </c>
      <c r="G799" s="186" t="str">
        <f t="shared" si="24"/>
        <v>01RFLG</v>
      </c>
      <c r="H799" s="187" t="str">
        <f>+INDEX([1]Detallado!$D:$D,MATCH(C799,[1]Detallado!$B:$B,0))</f>
        <v>Gobierno Central</v>
      </c>
      <c r="I799" s="28"/>
      <c r="J799" s="184" t="str">
        <f t="shared" si="25"/>
        <v>RFLGOB</v>
      </c>
      <c r="O799" s="28" t="s">
        <v>4526</v>
      </c>
      <c r="P799" s="28" t="s">
        <v>4896</v>
      </c>
    </row>
    <row r="800" spans="3:16" x14ac:dyDescent="0.25">
      <c r="C800" s="28" t="s">
        <v>3424</v>
      </c>
      <c r="D800" s="188" t="str">
        <f>+INDEX([1]Detallado!$F:$F,MATCH($C800,[1]Detallado!$B:$B,0))</f>
        <v>Renta Fija</v>
      </c>
      <c r="E800" s="31" t="str">
        <f>+INDEX([1]Detallado!$Q:$Q,MATCH($C800,[1]Detallado!$B:$B,0))</f>
        <v>RFLG</v>
      </c>
      <c r="F800" s="185" t="s">
        <v>4355</v>
      </c>
      <c r="G800" s="186" t="str">
        <f t="shared" si="24"/>
        <v>52RFLG</v>
      </c>
      <c r="H800" s="187" t="str">
        <f>+INDEX([1]Detallado!$D:$D,MATCH(C800,[1]Detallado!$B:$B,0))</f>
        <v xml:space="preserve">Larrain Vial </v>
      </c>
      <c r="I800" s="28"/>
      <c r="J800" s="184" t="str">
        <f t="shared" si="25"/>
        <v>RFLTD</v>
      </c>
      <c r="O800" s="28" t="s">
        <v>4524</v>
      </c>
      <c r="P800" s="28" t="s">
        <v>5663</v>
      </c>
    </row>
    <row r="801" spans="3:16" x14ac:dyDescent="0.25">
      <c r="C801" s="28" t="s">
        <v>3425</v>
      </c>
      <c r="D801" s="188" t="str">
        <f>+INDEX([1]Detallado!$F:$F,MATCH($C801,[1]Detallado!$B:$B,0))</f>
        <v>Renta Fija</v>
      </c>
      <c r="E801" s="31" t="str">
        <f>+INDEX([1]Detallado!$Q:$Q,MATCH($C801,[1]Detallado!$B:$B,0))</f>
        <v>RFLG</v>
      </c>
      <c r="F801" s="185" t="s">
        <v>4355</v>
      </c>
      <c r="G801" s="186" t="str">
        <f t="shared" si="24"/>
        <v>52RFLG</v>
      </c>
      <c r="H801" s="187" t="str">
        <f>+INDEX([1]Detallado!$D:$D,MATCH(C801,[1]Detallado!$B:$B,0))</f>
        <v>Moneda - Deuda Latinoamericana</v>
      </c>
      <c r="I801" s="28"/>
      <c r="J801" s="184" t="str">
        <f t="shared" si="25"/>
        <v>RFLTD</v>
      </c>
      <c r="O801" s="28" t="s">
        <v>4454</v>
      </c>
      <c r="P801" s="28" t="s">
        <v>5663</v>
      </c>
    </row>
    <row r="802" spans="3:16" x14ac:dyDescent="0.25">
      <c r="C802" s="28" t="s">
        <v>676</v>
      </c>
      <c r="D802" s="188" t="str">
        <f>+INDEX([1]Detallado!$F:$F,MATCH($C802,[1]Detallado!$B:$B,0))</f>
        <v>Renta Fija</v>
      </c>
      <c r="E802" s="31" t="str">
        <f>+INDEX([1]Detallado!$Q:$Q,MATCH($C802,[1]Detallado!$B:$B,0))</f>
        <v>RFLG</v>
      </c>
      <c r="F802" s="185" t="s">
        <v>4355</v>
      </c>
      <c r="G802" s="186" t="str">
        <f t="shared" si="24"/>
        <v>52RFLG</v>
      </c>
      <c r="H802" s="187" t="str">
        <f>+INDEX([1]Detallado!$D:$D,MATCH(C802,[1]Detallado!$B:$B,0))</f>
        <v>Moneda - Deuda Latam LCC</v>
      </c>
      <c r="I802" s="28"/>
      <c r="J802" s="184" t="s">
        <v>6637</v>
      </c>
      <c r="O802" s="28" t="s">
        <v>4555</v>
      </c>
      <c r="P802" s="28" t="s">
        <v>4898</v>
      </c>
    </row>
    <row r="803" spans="3:16" x14ac:dyDescent="0.25">
      <c r="C803" s="28" t="s">
        <v>3425</v>
      </c>
      <c r="D803" s="188" t="str">
        <f>+INDEX([1]Detallado!$F:$F,MATCH($C803,[1]Detallado!$B:$B,0))</f>
        <v>Renta Fija</v>
      </c>
      <c r="E803" s="31" t="str">
        <f>+INDEX([1]Detallado!$Q:$Q,MATCH($C803,[1]Detallado!$B:$B,0))</f>
        <v>RFLG</v>
      </c>
      <c r="F803" s="185" t="s">
        <v>4355</v>
      </c>
      <c r="G803" s="186" t="str">
        <f t="shared" si="24"/>
        <v>52RFLG</v>
      </c>
      <c r="H803" s="187" t="str">
        <f>+INDEX([1]Detallado!$D:$D,MATCH(C803,[1]Detallado!$B:$B,0))</f>
        <v>Moneda - Deuda Latinoamericana</v>
      </c>
      <c r="I803" s="28"/>
      <c r="J803" s="184" t="str">
        <f t="shared" si="25"/>
        <v>RFLTD</v>
      </c>
      <c r="O803" s="28" t="s">
        <v>4559</v>
      </c>
      <c r="P803" s="28" t="s">
        <v>4909</v>
      </c>
    </row>
    <row r="804" spans="3:16" x14ac:dyDescent="0.25">
      <c r="C804" s="28" t="s">
        <v>3426</v>
      </c>
      <c r="D804" s="188" t="str">
        <f>+INDEX([1]Detallado!$F:$F,MATCH($C804,[1]Detallado!$B:$B,0))</f>
        <v>Renta Fija</v>
      </c>
      <c r="E804" s="31" t="str">
        <f>+INDEX([1]Detallado!$Q:$Q,MATCH($C804,[1]Detallado!$B:$B,0))</f>
        <v>RFIC</v>
      </c>
      <c r="F804" s="185" t="s">
        <v>4357</v>
      </c>
      <c r="G804" s="186" t="str">
        <f t="shared" si="24"/>
        <v>12RFIC</v>
      </c>
      <c r="H804" s="187" t="str">
        <f>+INDEX([1]Detallado!$D:$D,MATCH(C804,[1]Detallado!$B:$B,0))</f>
        <v>VALEBZ 6.6252 08/15/22</v>
      </c>
      <c r="I804" s="28"/>
      <c r="J804" s="184" t="str">
        <f t="shared" si="25"/>
        <v>RFIBU</v>
      </c>
      <c r="O804" s="28" t="s">
        <v>4554</v>
      </c>
      <c r="P804" s="28" t="s">
        <v>4898</v>
      </c>
    </row>
    <row r="805" spans="3:16" x14ac:dyDescent="0.25">
      <c r="C805" s="28" t="s">
        <v>3427</v>
      </c>
      <c r="D805" s="188" t="str">
        <f>+INDEX([1]Detallado!$F:$F,MATCH($C805,[1]Detallado!$B:$B,0))</f>
        <v>Renta Fija</v>
      </c>
      <c r="E805" s="31" t="str">
        <f>+INDEX([1]Detallado!$Q:$Q,MATCH($C805,[1]Detallado!$B:$B,0))</f>
        <v>RFIC</v>
      </c>
      <c r="F805" s="185" t="s">
        <v>4357</v>
      </c>
      <c r="G805" s="186" t="str">
        <f t="shared" si="24"/>
        <v>12RFIC</v>
      </c>
      <c r="H805" s="187" t="str">
        <f>+INDEX([1]Detallado!$D:$D,MATCH(C805,[1]Detallado!$B:$B,0))</f>
        <v>Cosan S.A. Industria y Comercio</v>
      </c>
      <c r="I805" s="28"/>
      <c r="J805" s="184" t="str">
        <f t="shared" si="25"/>
        <v>RFIBU</v>
      </c>
      <c r="O805" s="28" t="s">
        <v>4608</v>
      </c>
      <c r="P805" s="28" t="s">
        <v>4984</v>
      </c>
    </row>
    <row r="806" spans="3:16" x14ac:dyDescent="0.25">
      <c r="C806" s="28" t="s">
        <v>3428</v>
      </c>
      <c r="D806" s="188" t="str">
        <f>+INDEX([1]Detallado!$F:$F,MATCH($C806,[1]Detallado!$B:$B,0))</f>
        <v>Renta Fija</v>
      </c>
      <c r="E806" s="31" t="str">
        <f>+INDEX([1]Detallado!$Q:$Q,MATCH($C806,[1]Detallado!$B:$B,0))</f>
        <v>RFIC</v>
      </c>
      <c r="F806" s="185" t="s">
        <v>4357</v>
      </c>
      <c r="G806" s="186" t="str">
        <f t="shared" si="24"/>
        <v>12RFIC</v>
      </c>
      <c r="H806" s="187" t="str">
        <f>+INDEX([1]Detallado!$D:$D,MATCH(C806,[1]Detallado!$B:$B,0))</f>
        <v>Odebretch</v>
      </c>
      <c r="I806" s="28"/>
      <c r="J806" s="184" t="str">
        <f t="shared" si="25"/>
        <v>RFIBU</v>
      </c>
      <c r="O806" s="28" t="s">
        <v>5341</v>
      </c>
      <c r="P806" s="28" t="s">
        <v>4896</v>
      </c>
    </row>
    <row r="807" spans="3:16" x14ac:dyDescent="0.25">
      <c r="C807" s="28" t="s">
        <v>3429</v>
      </c>
      <c r="D807" s="188" t="str">
        <f>+INDEX([1]Detallado!$F:$F,MATCH($C807,[1]Detallado!$B:$B,0))</f>
        <v>Renta Fija</v>
      </c>
      <c r="E807" s="31" t="str">
        <f>+INDEX([1]Detallado!$Q:$Q,MATCH($C807,[1]Detallado!$B:$B,0))</f>
        <v>RFIC</v>
      </c>
      <c r="F807" s="185" t="s">
        <v>4357</v>
      </c>
      <c r="G807" s="186" t="str">
        <f t="shared" si="24"/>
        <v>12RFIC</v>
      </c>
      <c r="H807" s="187" t="str">
        <f>+INDEX([1]Detallado!$D:$D,MATCH(C807,[1]Detallado!$B:$B,0))</f>
        <v xml:space="preserve">Empresa de Telecomunicaciones de Bogotá S.A. </v>
      </c>
      <c r="I807" s="28"/>
      <c r="J807" s="184" t="str">
        <f t="shared" si="25"/>
        <v>RFIBU</v>
      </c>
      <c r="O807" s="28" t="s">
        <v>5342</v>
      </c>
      <c r="P807" s="28" t="s">
        <v>4896</v>
      </c>
    </row>
    <row r="808" spans="3:16" x14ac:dyDescent="0.25">
      <c r="C808" s="28" t="s">
        <v>3430</v>
      </c>
      <c r="D808" s="188" t="str">
        <f>+INDEX([1]Detallado!$F:$F,MATCH($C808,[1]Detallado!$B:$B,0))</f>
        <v>Renta Fija</v>
      </c>
      <c r="E808" s="31" t="str">
        <f>+INDEX([1]Detallado!$Q:$Q,MATCH($C808,[1]Detallado!$B:$B,0))</f>
        <v>RFIC</v>
      </c>
      <c r="F808" s="185" t="s">
        <v>4357</v>
      </c>
      <c r="G808" s="186" t="str">
        <f t="shared" si="24"/>
        <v>15RFIC</v>
      </c>
      <c r="H808" s="187" t="str">
        <f>+INDEX([1]Detallado!$D:$D,MATCH(C808,[1]Detallado!$B:$B,0))</f>
        <v>BBVA Bancomer</v>
      </c>
      <c r="I808" s="28"/>
      <c r="J808" s="184" t="str">
        <f t="shared" si="25"/>
        <v>RFIBU</v>
      </c>
      <c r="O808" s="233" t="s">
        <v>4488</v>
      </c>
      <c r="P808" s="233" t="s">
        <v>4894</v>
      </c>
    </row>
    <row r="809" spans="3:16" x14ac:dyDescent="0.25">
      <c r="C809" s="28" t="s">
        <v>3431</v>
      </c>
      <c r="D809" s="188" t="str">
        <f>+INDEX([1]Detallado!$F:$F,MATCH($C809,[1]Detallado!$B:$B,0))</f>
        <v>Renta Fija</v>
      </c>
      <c r="E809" s="31" t="str">
        <f>+INDEX([1]Detallado!$Q:$Q,MATCH($C809,[1]Detallado!$B:$B,0))</f>
        <v>RFIC</v>
      </c>
      <c r="F809" s="185" t="s">
        <v>4357</v>
      </c>
      <c r="G809" s="186" t="str">
        <f t="shared" si="24"/>
        <v>15RFIC</v>
      </c>
      <c r="H809" s="187" t="str">
        <f>+INDEX([1]Detallado!$D:$D,MATCH(C809,[1]Detallado!$B:$B,0))</f>
        <v>Findeter</v>
      </c>
      <c r="I809" s="28"/>
      <c r="J809" s="184" t="str">
        <f t="shared" si="25"/>
        <v>RFIBU</v>
      </c>
      <c r="O809" s="233" t="s">
        <v>6639</v>
      </c>
      <c r="P809" s="28" t="s">
        <v>4899</v>
      </c>
    </row>
    <row r="810" spans="3:16" x14ac:dyDescent="0.25">
      <c r="C810" s="28" t="s">
        <v>961</v>
      </c>
      <c r="D810" s="188" t="str">
        <f>+INDEX([1]Detallado!$F:$F,MATCH($C810,[1]Detallado!$B:$B,0))</f>
        <v>Renta Fija</v>
      </c>
      <c r="E810" s="31" t="str">
        <f>+INDEX([1]Detallado!$Q:$Q,MATCH($C810,[1]Detallado!$B:$B,0))</f>
        <v>RFIC</v>
      </c>
      <c r="F810" s="185" t="s">
        <v>4357</v>
      </c>
      <c r="G810" s="186" t="str">
        <f t="shared" si="24"/>
        <v>59RFIC</v>
      </c>
      <c r="H810" s="187" t="str">
        <f>+INDEX([1]Detallado!$D:$D,MATCH(C810,[1]Detallado!$B:$B,0))</f>
        <v>Empresas Públicas Medellin</v>
      </c>
      <c r="I810" s="28"/>
      <c r="J810" s="184" t="str">
        <f t="shared" si="25"/>
        <v>RFIBU</v>
      </c>
      <c r="O810" s="233" t="s">
        <v>6640</v>
      </c>
      <c r="P810" s="28" t="s">
        <v>4902</v>
      </c>
    </row>
    <row r="811" spans="3:16" x14ac:dyDescent="0.25">
      <c r="C811" s="28" t="s">
        <v>3432</v>
      </c>
      <c r="D811" s="188" t="str">
        <f>+INDEX([1]Detallado!$F:$F,MATCH($C811,[1]Detallado!$B:$B,0))</f>
        <v>Renta Fija</v>
      </c>
      <c r="E811" s="31" t="str">
        <f>+INDEX([1]Detallado!$Q:$Q,MATCH($C811,[1]Detallado!$B:$B,0))</f>
        <v>RFIC</v>
      </c>
      <c r="F811" s="185" t="s">
        <v>4357</v>
      </c>
      <c r="G811" s="186" t="str">
        <f t="shared" si="24"/>
        <v>59RFIC</v>
      </c>
      <c r="H811" s="187" t="str">
        <f>+INDEX([1]Detallado!$D:$D,MATCH(C811,[1]Detallado!$B:$B,0))</f>
        <v>Empresas Públicas Medellin</v>
      </c>
      <c r="I811" s="28"/>
      <c r="J811" s="184" t="str">
        <f t="shared" si="25"/>
        <v>RFIBU</v>
      </c>
      <c r="O811" s="233" t="s">
        <v>6644</v>
      </c>
      <c r="P811" s="28" t="s">
        <v>4984</v>
      </c>
    </row>
    <row r="812" spans="3:16" x14ac:dyDescent="0.25">
      <c r="C812" s="28" t="s">
        <v>3433</v>
      </c>
      <c r="D812" s="188" t="str">
        <f>+INDEX([1]Detallado!$F:$F,MATCH($C812,[1]Detallado!$B:$B,0))</f>
        <v>Renta Fija</v>
      </c>
      <c r="E812" s="31" t="str">
        <f>+INDEX([1]Detallado!$Q:$Q,MATCH($C812,[1]Detallado!$B:$B,0))</f>
        <v>RFIC</v>
      </c>
      <c r="F812" s="185" t="s">
        <v>4357</v>
      </c>
      <c r="G812" s="186" t="str">
        <f t="shared" si="24"/>
        <v>12RFIC</v>
      </c>
      <c r="H812" s="187" t="str">
        <f>+INDEX([1]Detallado!$D:$D,MATCH(C812,[1]Detallado!$B:$B,0))</f>
        <v>Vale Overseas Limited Brazil</v>
      </c>
      <c r="I812" s="28"/>
      <c r="J812" s="184" t="str">
        <f t="shared" si="25"/>
        <v>RFIBU</v>
      </c>
      <c r="O812" s="233" t="s">
        <v>6627</v>
      </c>
      <c r="P812" s="233" t="s">
        <v>4902</v>
      </c>
    </row>
    <row r="813" spans="3:16" x14ac:dyDescent="0.25">
      <c r="C813" s="28" t="s">
        <v>828</v>
      </c>
      <c r="D813" s="188" t="str">
        <f>+INDEX([1]Detallado!$F:$F,MATCH($C813,[1]Detallado!$B:$B,0))</f>
        <v>Renta Fija</v>
      </c>
      <c r="E813" s="31" t="str">
        <f>+INDEX([1]Detallado!$Q:$Q,MATCH($C813,[1]Detallado!$B:$B,0))</f>
        <v>RFIC</v>
      </c>
      <c r="F813" s="185" t="s">
        <v>4357</v>
      </c>
      <c r="G813" s="186" t="str">
        <f t="shared" si="24"/>
        <v>59RFIC</v>
      </c>
      <c r="H813" s="187" t="str">
        <f>+INDEX([1]Detallado!$D:$D,MATCH(C813,[1]Detallado!$B:$B,0))</f>
        <v>Empresas Públicas Medellin</v>
      </c>
      <c r="I813" s="28"/>
      <c r="J813" s="184" t="str">
        <f t="shared" si="25"/>
        <v>RFIBU</v>
      </c>
      <c r="O813" s="233" t="s">
        <v>6641</v>
      </c>
      <c r="P813" s="233" t="s">
        <v>1324</v>
      </c>
    </row>
    <row r="814" spans="3:16" x14ac:dyDescent="0.25">
      <c r="C814" s="28" t="s">
        <v>3434</v>
      </c>
      <c r="D814" s="188" t="str">
        <f>+INDEX([1]Detallado!$F:$F,MATCH($C814,[1]Detallado!$B:$B,0))</f>
        <v>Renta Fija</v>
      </c>
      <c r="E814" s="31" t="str">
        <f>+INDEX([1]Detallado!$Q:$Q,MATCH($C814,[1]Detallado!$B:$B,0))</f>
        <v>RFIC</v>
      </c>
      <c r="F814" s="185" t="s">
        <v>4357</v>
      </c>
      <c r="G814" s="186" t="str">
        <f t="shared" si="24"/>
        <v>59RFIC</v>
      </c>
      <c r="H814" s="187" t="str">
        <f>+INDEX([1]Detallado!$D:$D,MATCH(C814,[1]Detallado!$B:$B,0))</f>
        <v>Empresas Públicas Medellin</v>
      </c>
      <c r="I814" s="28"/>
      <c r="J814" s="184" t="str">
        <f t="shared" si="25"/>
        <v>RFIBU</v>
      </c>
      <c r="O814" s="233" t="s">
        <v>5555</v>
      </c>
      <c r="P814" s="233" t="s">
        <v>4976</v>
      </c>
    </row>
    <row r="815" spans="3:16" x14ac:dyDescent="0.25">
      <c r="C815" s="28" t="s">
        <v>3435</v>
      </c>
      <c r="D815" s="188" t="str">
        <f>+INDEX([1]Detallado!$F:$F,MATCH($C815,[1]Detallado!$B:$B,0))</f>
        <v>Renta Fija</v>
      </c>
      <c r="E815" s="31" t="str">
        <f>+INDEX([1]Detallado!$Q:$Q,MATCH($C815,[1]Detallado!$B:$B,0))</f>
        <v>RFIC</v>
      </c>
      <c r="F815" s="185" t="s">
        <v>4357</v>
      </c>
      <c r="G815" s="186" t="str">
        <f t="shared" si="24"/>
        <v>12RFIC</v>
      </c>
      <c r="H815" s="187" t="str">
        <f>+INDEX([1]Detallado!$D:$D,MATCH(C815,[1]Detallado!$B:$B,0))</f>
        <v>Brasil Foods</v>
      </c>
      <c r="I815" s="28"/>
      <c r="J815" s="184" t="str">
        <f t="shared" si="25"/>
        <v>RFIBU</v>
      </c>
      <c r="O815" s="233" t="s">
        <v>6656</v>
      </c>
      <c r="P815" s="233" t="s">
        <v>4896</v>
      </c>
    </row>
    <row r="816" spans="3:16" x14ac:dyDescent="0.25">
      <c r="C816" s="28" t="s">
        <v>3436</v>
      </c>
      <c r="D816" s="188" t="str">
        <f>+INDEX([1]Detallado!$F:$F,MATCH($C816,[1]Detallado!$B:$B,0))</f>
        <v>Renta Fija</v>
      </c>
      <c r="E816" s="31" t="str">
        <f>+INDEX([1]Detallado!$Q:$Q,MATCH($C816,[1]Detallado!$B:$B,0))</f>
        <v>RFIC</v>
      </c>
      <c r="F816" s="185" t="s">
        <v>4357</v>
      </c>
      <c r="G816" s="186" t="str">
        <f t="shared" si="24"/>
        <v>12RFIC</v>
      </c>
      <c r="H816" s="187" t="str">
        <f>+INDEX([1]Detallado!$D:$D,MATCH(C816,[1]Detallado!$B:$B,0))</f>
        <v>América Móvil</v>
      </c>
      <c r="I816" s="28"/>
      <c r="J816" s="184" t="str">
        <f t="shared" si="25"/>
        <v>RFIBU</v>
      </c>
      <c r="O816" s="233"/>
      <c r="P816" s="233"/>
    </row>
    <row r="817" spans="3:16" x14ac:dyDescent="0.25">
      <c r="C817" s="28" t="s">
        <v>3437</v>
      </c>
      <c r="D817" s="188" t="str">
        <f>+INDEX([1]Detallado!$F:$F,MATCH($C817,[1]Detallado!$B:$B,0))</f>
        <v>Renta Fija</v>
      </c>
      <c r="E817" s="31" t="str">
        <f>+INDEX([1]Detallado!$Q:$Q,MATCH($C817,[1]Detallado!$B:$B,0))</f>
        <v>RFIC</v>
      </c>
      <c r="F817" s="185" t="s">
        <v>4357</v>
      </c>
      <c r="G817" s="186" t="str">
        <f t="shared" si="24"/>
        <v>12RFIC</v>
      </c>
      <c r="H817" s="187" t="str">
        <f>+INDEX([1]Detallado!$D:$D,MATCH(C817,[1]Detallado!$B:$B,0))</f>
        <v>Televisa</v>
      </c>
      <c r="I817" s="28"/>
      <c r="J817" s="184" t="str">
        <f t="shared" si="25"/>
        <v>RFIBU</v>
      </c>
      <c r="O817" s="233"/>
      <c r="P817" s="233"/>
    </row>
    <row r="818" spans="3:16" x14ac:dyDescent="0.25">
      <c r="C818" s="28" t="s">
        <v>3438</v>
      </c>
      <c r="D818" s="188" t="str">
        <f>+INDEX([1]Detallado!$F:$F,MATCH($C818,[1]Detallado!$B:$B,0))</f>
        <v>Renta Fija</v>
      </c>
      <c r="E818" s="31" t="str">
        <f>+INDEX([1]Detallado!$Q:$Q,MATCH($C818,[1]Detallado!$B:$B,0))</f>
        <v>RFIC</v>
      </c>
      <c r="F818" s="185" t="s">
        <v>4357</v>
      </c>
      <c r="G818" s="186" t="str">
        <f t="shared" si="24"/>
        <v>12RFIC</v>
      </c>
      <c r="H818" s="187" t="str">
        <f>+INDEX([1]Detallado!$D:$D,MATCH(C818,[1]Detallado!$B:$B,0))</f>
        <v>SACI Falabella</v>
      </c>
      <c r="I818" s="28"/>
      <c r="J818" s="184" t="str">
        <f t="shared" si="25"/>
        <v>RFIBU</v>
      </c>
    </row>
    <row r="819" spans="3:16" x14ac:dyDescent="0.25">
      <c r="C819" s="28" t="s">
        <v>3439</v>
      </c>
      <c r="D819" s="188" t="str">
        <f>+INDEX([1]Detallado!$F:$F,MATCH($C819,[1]Detallado!$B:$B,0))</f>
        <v>Renta Fija</v>
      </c>
      <c r="E819" s="31" t="str">
        <f>+INDEX([1]Detallado!$Q:$Q,MATCH($C819,[1]Detallado!$B:$B,0))</f>
        <v>RFIC</v>
      </c>
      <c r="F819" s="185" t="s">
        <v>4357</v>
      </c>
      <c r="G819" s="186" t="str">
        <f t="shared" si="24"/>
        <v>12RFIC</v>
      </c>
      <c r="H819" s="187" t="str">
        <f>+INDEX([1]Detallado!$D:$D,MATCH(C819,[1]Detallado!$B:$B,0))</f>
        <v>Emgesa S.A. E.S.P</v>
      </c>
      <c r="I819" s="28"/>
      <c r="J819" s="184" t="str">
        <f t="shared" si="25"/>
        <v>RFIBU</v>
      </c>
    </row>
    <row r="820" spans="3:16" x14ac:dyDescent="0.25">
      <c r="C820" s="28" t="s">
        <v>3440</v>
      </c>
      <c r="D820" s="188" t="str">
        <f>+INDEX([1]Detallado!$F:$F,MATCH($C820,[1]Detallado!$B:$B,0))</f>
        <v>Renta Fija</v>
      </c>
      <c r="E820" s="31" t="str">
        <f>+INDEX([1]Detallado!$Q:$Q,MATCH($C820,[1]Detallado!$B:$B,0))</f>
        <v>RFIC</v>
      </c>
      <c r="F820" s="185" t="s">
        <v>4357</v>
      </c>
      <c r="G820" s="186" t="str">
        <f t="shared" si="24"/>
        <v>12RFIC</v>
      </c>
      <c r="H820" s="187" t="str">
        <f>+INDEX([1]Detallado!$D:$D,MATCH(C820,[1]Detallado!$B:$B,0))</f>
        <v>Compañía de Electricidad de Estado de Bahía</v>
      </c>
      <c r="I820" s="28"/>
      <c r="J820" s="184" t="str">
        <f t="shared" si="25"/>
        <v>RFIBU</v>
      </c>
    </row>
    <row r="821" spans="3:16" x14ac:dyDescent="0.25">
      <c r="C821" s="28" t="s">
        <v>3441</v>
      </c>
      <c r="D821" s="188" t="str">
        <f>+INDEX([1]Detallado!$F:$F,MATCH($C821,[1]Detallado!$B:$B,0))</f>
        <v>Renta Fija</v>
      </c>
      <c r="E821" s="31" t="str">
        <f>+INDEX([1]Detallado!$Q:$Q,MATCH($C821,[1]Detallado!$B:$B,0))</f>
        <v>RFIC</v>
      </c>
      <c r="F821" s="185" t="s">
        <v>4357</v>
      </c>
      <c r="G821" s="186" t="str">
        <f t="shared" si="24"/>
        <v>15RFIC</v>
      </c>
      <c r="H821" s="187" t="str">
        <f>+INDEX([1]Detallado!$D:$D,MATCH(C821,[1]Detallado!$B:$B,0))</f>
        <v>Merry Lynch &amp; Co</v>
      </c>
      <c r="I821" s="28"/>
      <c r="J821" s="184" t="str">
        <f t="shared" si="25"/>
        <v>RFIBU</v>
      </c>
    </row>
    <row r="822" spans="3:16" x14ac:dyDescent="0.25">
      <c r="C822" s="28" t="s">
        <v>3442</v>
      </c>
      <c r="D822" s="188" t="str">
        <f>+INDEX([1]Detallado!$F:$F,MATCH($C822,[1]Detallado!$B:$B,0))</f>
        <v>Renta Fija</v>
      </c>
      <c r="E822" s="31" t="str">
        <f>+INDEX([1]Detallado!$Q:$Q,MATCH($C822,[1]Detallado!$B:$B,0))</f>
        <v>RFIC</v>
      </c>
      <c r="F822" s="185" t="s">
        <v>4357</v>
      </c>
      <c r="G822" s="186" t="str">
        <f t="shared" si="24"/>
        <v>15RFIC</v>
      </c>
      <c r="H822" s="187" t="str">
        <f>+INDEX([1]Detallado!$D:$D,MATCH(C822,[1]Detallado!$B:$B,0))</f>
        <v>JP Morgan Chase &amp; Co</v>
      </c>
      <c r="I822" s="28"/>
      <c r="J822" s="184" t="str">
        <f t="shared" si="25"/>
        <v>RFIBU</v>
      </c>
    </row>
    <row r="823" spans="3:16" x14ac:dyDescent="0.25">
      <c r="C823" s="28" t="s">
        <v>3443</v>
      </c>
      <c r="D823" s="188" t="str">
        <f>+INDEX([1]Detallado!$F:$F,MATCH($C823,[1]Detallado!$B:$B,0))</f>
        <v>Renta Fija</v>
      </c>
      <c r="E823" s="31" t="str">
        <f>+INDEX([1]Detallado!$Q:$Q,MATCH($C823,[1]Detallado!$B:$B,0))</f>
        <v>RFIC</v>
      </c>
      <c r="F823" s="185" t="s">
        <v>4357</v>
      </c>
      <c r="G823" s="186" t="str">
        <f t="shared" si="24"/>
        <v>15RFIC</v>
      </c>
      <c r="H823" s="187" t="str">
        <f>+INDEX([1]Detallado!$D:$D,MATCH(C823,[1]Detallado!$B:$B,0))</f>
        <v>Morgan Stanley</v>
      </c>
      <c r="I823" s="28"/>
      <c r="J823" s="184" t="str">
        <f t="shared" si="25"/>
        <v>RFIBU</v>
      </c>
    </row>
    <row r="824" spans="3:16" x14ac:dyDescent="0.25">
      <c r="C824" s="28" t="s">
        <v>3444</v>
      </c>
      <c r="D824" s="188" t="str">
        <f>+INDEX([1]Detallado!$F:$F,MATCH($C824,[1]Detallado!$B:$B,0))</f>
        <v>Renta Fija</v>
      </c>
      <c r="E824" s="31" t="str">
        <f>+INDEX([1]Detallado!$Q:$Q,MATCH($C824,[1]Detallado!$B:$B,0))</f>
        <v>RFIC</v>
      </c>
      <c r="F824" s="185" t="s">
        <v>4357</v>
      </c>
      <c r="G824" s="186" t="str">
        <f t="shared" si="24"/>
        <v>15RFIC</v>
      </c>
      <c r="H824" s="187" t="str">
        <f>+INDEX([1]Detallado!$D:$D,MATCH(C824,[1]Detallado!$B:$B,0))</f>
        <v>Banco Santander de Chile</v>
      </c>
      <c r="I824" s="28"/>
      <c r="J824" s="184" t="str">
        <f t="shared" si="25"/>
        <v>RFIBU</v>
      </c>
    </row>
    <row r="825" spans="3:16" x14ac:dyDescent="0.25">
      <c r="C825" s="28" t="s">
        <v>3445</v>
      </c>
      <c r="D825" s="188" t="str">
        <f>+INDEX([1]Detallado!$F:$F,MATCH($C825,[1]Detallado!$B:$B,0))</f>
        <v>Renta Fija</v>
      </c>
      <c r="E825" s="31" t="str">
        <f>+INDEX([1]Detallado!$Q:$Q,MATCH($C825,[1]Detallado!$B:$B,0))</f>
        <v>RFIC</v>
      </c>
      <c r="F825" s="185" t="s">
        <v>4357</v>
      </c>
      <c r="G825" s="186" t="str">
        <f t="shared" si="24"/>
        <v>15RFIC</v>
      </c>
      <c r="H825" s="187" t="str">
        <f>+INDEX([1]Detallado!$D:$D,MATCH(C825,[1]Detallado!$B:$B,0))</f>
        <v>Santander Brasil</v>
      </c>
      <c r="I825" s="28"/>
      <c r="J825" s="184" t="str">
        <f t="shared" si="25"/>
        <v>RFIBU</v>
      </c>
    </row>
    <row r="826" spans="3:16" x14ac:dyDescent="0.25">
      <c r="C826" s="28" t="s">
        <v>3446</v>
      </c>
      <c r="D826" s="188" t="str">
        <f>+INDEX([1]Detallado!$F:$F,MATCH($C826,[1]Detallado!$B:$B,0))</f>
        <v>Renta Fija</v>
      </c>
      <c r="E826" s="31" t="str">
        <f>+INDEX([1]Detallado!$Q:$Q,MATCH($C826,[1]Detallado!$B:$B,0))</f>
        <v>RFIC</v>
      </c>
      <c r="F826" s="185" t="s">
        <v>4357</v>
      </c>
      <c r="G826" s="186" t="str">
        <f t="shared" si="24"/>
        <v>15RFIC</v>
      </c>
      <c r="H826" s="187" t="str">
        <f>+INDEX([1]Detallado!$D:$D,MATCH(C826,[1]Detallado!$B:$B,0))</f>
        <v>Santander Brasil</v>
      </c>
      <c r="I826" s="28"/>
      <c r="J826" s="184" t="str">
        <f t="shared" si="25"/>
        <v>RFIBU</v>
      </c>
    </row>
    <row r="827" spans="3:16" x14ac:dyDescent="0.25">
      <c r="C827" s="28" t="s">
        <v>3447</v>
      </c>
      <c r="D827" s="188" t="str">
        <f>+INDEX([1]Detallado!$F:$F,MATCH($C827,[1]Detallado!$B:$B,0))</f>
        <v>Renta Fija</v>
      </c>
      <c r="E827" s="31" t="str">
        <f>+INDEX([1]Detallado!$Q:$Q,MATCH($C827,[1]Detallado!$B:$B,0))</f>
        <v>RFIC</v>
      </c>
      <c r="F827" s="185" t="s">
        <v>4357</v>
      </c>
      <c r="G827" s="186" t="str">
        <f t="shared" si="24"/>
        <v>15RFIC</v>
      </c>
      <c r="H827" s="187" t="str">
        <f>+INDEX([1]Detallado!$D:$D,MATCH(C827,[1]Detallado!$B:$B,0))</f>
        <v>Export-Import Bank of Korea</v>
      </c>
      <c r="I827" s="28"/>
      <c r="J827" s="184" t="str">
        <f t="shared" si="25"/>
        <v>RFIBU</v>
      </c>
    </row>
    <row r="828" spans="3:16" x14ac:dyDescent="0.25">
      <c r="C828" s="28" t="s">
        <v>3448</v>
      </c>
      <c r="D828" s="188" t="str">
        <f>+INDEX([1]Detallado!$F:$F,MATCH($C828,[1]Detallado!$B:$B,0))</f>
        <v>Renta Fija</v>
      </c>
      <c r="E828" s="31" t="str">
        <f>+INDEX([1]Detallado!$Q:$Q,MATCH($C828,[1]Detallado!$B:$B,0))</f>
        <v>RFIC</v>
      </c>
      <c r="F828" s="185" t="s">
        <v>4357</v>
      </c>
      <c r="G828" s="186" t="str">
        <f t="shared" si="24"/>
        <v>15RFIC</v>
      </c>
      <c r="H828" s="187" t="str">
        <f>+INDEX([1]Detallado!$D:$D,MATCH(C828,[1]Detallado!$B:$B,0))</f>
        <v>Banco Davivienda S.A.</v>
      </c>
      <c r="I828" s="28"/>
      <c r="J828" s="184" t="str">
        <f t="shared" si="25"/>
        <v>RFIBU</v>
      </c>
    </row>
    <row r="829" spans="3:16" x14ac:dyDescent="0.25">
      <c r="C829" s="28" t="s">
        <v>3449</v>
      </c>
      <c r="D829" s="188" t="str">
        <f>+INDEX([1]Detallado!$F:$F,MATCH($C829,[1]Detallado!$B:$B,0))</f>
        <v>Renta Fija</v>
      </c>
      <c r="E829" s="31" t="str">
        <f>+INDEX([1]Detallado!$Q:$Q,MATCH($C829,[1]Detallado!$B:$B,0))</f>
        <v>RFIC</v>
      </c>
      <c r="F829" s="185" t="s">
        <v>4357</v>
      </c>
      <c r="G829" s="186" t="str">
        <f t="shared" si="24"/>
        <v>15RFIC</v>
      </c>
      <c r="H829" s="187" t="str">
        <f>+INDEX([1]Detallado!$D:$D,MATCH(C829,[1]Detallado!$B:$B,0))</f>
        <v>Banco BTG Pactual S.A.</v>
      </c>
      <c r="I829" s="28"/>
      <c r="J829" s="184" t="str">
        <f t="shared" si="25"/>
        <v>RFIBU</v>
      </c>
    </row>
    <row r="830" spans="3:16" x14ac:dyDescent="0.25">
      <c r="C830" s="28" t="s">
        <v>3450</v>
      </c>
      <c r="D830" s="188" t="str">
        <f>+INDEX([1]Detallado!$F:$F,MATCH($C830,[1]Detallado!$B:$B,0))</f>
        <v>Renta Fija</v>
      </c>
      <c r="E830" s="31" t="str">
        <f>+INDEX([1]Detallado!$Q:$Q,MATCH($C830,[1]Detallado!$B:$B,0))</f>
        <v>RFIC</v>
      </c>
      <c r="F830" s="185" t="s">
        <v>4357</v>
      </c>
      <c r="G830" s="186" t="str">
        <f t="shared" si="24"/>
        <v>16RFIC</v>
      </c>
      <c r="H830" s="187" t="str">
        <f>+INDEX([1]Detallado!$D:$D,MATCH(C830,[1]Detallado!$B:$B,0))</f>
        <v xml:space="preserve">Deutsche Bank, London Branch - Perú </v>
      </c>
      <c r="I830" s="28"/>
      <c r="J830" s="184" t="str">
        <f t="shared" si="25"/>
        <v>RFIBU</v>
      </c>
    </row>
    <row r="831" spans="3:16" x14ac:dyDescent="0.25">
      <c r="C831" s="28" t="s">
        <v>3451</v>
      </c>
      <c r="D831" s="188" t="str">
        <f>+INDEX([1]Detallado!$F:$F,MATCH($C831,[1]Detallado!$B:$B,0))</f>
        <v>Renta Fija</v>
      </c>
      <c r="E831" s="31" t="str">
        <f>+INDEX([1]Detallado!$Q:$Q,MATCH($C831,[1]Detallado!$B:$B,0))</f>
        <v>RFIC</v>
      </c>
      <c r="F831" s="185" t="s">
        <v>4357</v>
      </c>
      <c r="G831" s="186" t="str">
        <f t="shared" si="24"/>
        <v>16RFIC</v>
      </c>
      <c r="H831" s="187" t="str">
        <f>+INDEX([1]Detallado!$D:$D,MATCH(C831,[1]Detallado!$B:$B,0))</f>
        <v>JP Morgan Chase &amp; Co - Perú</v>
      </c>
      <c r="I831" s="28"/>
      <c r="J831" s="184" t="str">
        <f t="shared" si="25"/>
        <v>RFIBU</v>
      </c>
    </row>
    <row r="832" spans="3:16" x14ac:dyDescent="0.25">
      <c r="C832" s="28" t="s">
        <v>3452</v>
      </c>
      <c r="D832" s="188" t="str">
        <f>+INDEX([1]Detallado!$F:$F,MATCH($C832,[1]Detallado!$B:$B,0))</f>
        <v>Renta Fija</v>
      </c>
      <c r="E832" s="31" t="str">
        <f>+INDEX([1]Detallado!$Q:$Q,MATCH($C832,[1]Detallado!$B:$B,0))</f>
        <v>RFIC</v>
      </c>
      <c r="F832" s="185" t="s">
        <v>4357</v>
      </c>
      <c r="G832" s="186" t="str">
        <f t="shared" si="24"/>
        <v>27RFIC</v>
      </c>
      <c r="H832" s="187" t="str">
        <f>+INDEX([1]Detallado!$D:$D,MATCH(C832,[1]Detallado!$B:$B,0))</f>
        <v xml:space="preserve">Deutsche Bank, London Branch - Perú </v>
      </c>
      <c r="I832" s="28"/>
      <c r="J832" s="184" t="str">
        <f t="shared" si="25"/>
        <v>RFIBU</v>
      </c>
    </row>
    <row r="833" spans="3:10" x14ac:dyDescent="0.25">
      <c r="C833" s="28" t="s">
        <v>3453</v>
      </c>
      <c r="D833" s="188" t="str">
        <f>+INDEX([1]Detallado!$F:$F,MATCH($C833,[1]Detallado!$B:$B,0))</f>
        <v>Renta Fija</v>
      </c>
      <c r="E833" s="31" t="str">
        <f>+INDEX([1]Detallado!$Q:$Q,MATCH($C833,[1]Detallado!$B:$B,0))</f>
        <v>RFIC</v>
      </c>
      <c r="F833" s="185" t="s">
        <v>4357</v>
      </c>
      <c r="G833" s="186" t="str">
        <f t="shared" si="24"/>
        <v>29RFIC</v>
      </c>
      <c r="H833" s="187" t="str">
        <f>+INDEX([1]Detallado!$D:$D,MATCH(C833,[1]Detallado!$B:$B,0))</f>
        <v>Banco Interamericano de Desarrollo</v>
      </c>
      <c r="I833" s="28"/>
      <c r="J833" s="184" t="str">
        <f t="shared" si="25"/>
        <v>RFIBU</v>
      </c>
    </row>
    <row r="834" spans="3:10" x14ac:dyDescent="0.25">
      <c r="C834" s="28" t="s">
        <v>3454</v>
      </c>
      <c r="D834" s="188" t="str">
        <f>+INDEX([1]Detallado!$F:$F,MATCH($C834,[1]Detallado!$B:$B,0))</f>
        <v>Renta Fija</v>
      </c>
      <c r="E834" s="31" t="str">
        <f>+INDEX([1]Detallado!$Q:$Q,MATCH($C834,[1]Detallado!$B:$B,0))</f>
        <v>RFIC</v>
      </c>
      <c r="F834" s="185" t="s">
        <v>4357</v>
      </c>
      <c r="G834" s="186" t="str">
        <f t="shared" si="24"/>
        <v>59RFIC</v>
      </c>
      <c r="H834" s="187" t="str">
        <f>+INDEX([1]Detallado!$D:$D,MATCH(C834,[1]Detallado!$B:$B,0))</f>
        <v>Empresas Públicas Medellin</v>
      </c>
      <c r="I834" s="28"/>
      <c r="J834" s="184" t="str">
        <f t="shared" si="25"/>
        <v>RFIBU</v>
      </c>
    </row>
    <row r="835" spans="3:10" x14ac:dyDescent="0.25">
      <c r="C835" s="28" t="s">
        <v>3455</v>
      </c>
      <c r="D835" s="188" t="str">
        <f>+INDEX([1]Detallado!$F:$F,MATCH($C835,[1]Detallado!$B:$B,0))</f>
        <v>Renta Fija</v>
      </c>
      <c r="E835" s="31" t="str">
        <f>+INDEX([1]Detallado!$Q:$Q,MATCH($C835,[1]Detallado!$B:$B,0))</f>
        <v>RFIG</v>
      </c>
      <c r="F835" s="185" t="s">
        <v>4356</v>
      </c>
      <c r="G835" s="186" t="str">
        <f t="shared" si="24"/>
        <v>08RFIG</v>
      </c>
      <c r="H835" s="187" t="str">
        <f>+INDEX([1]Detallado!$D:$D,MATCH(C835,[1]Detallado!$B:$B,0))</f>
        <v>Gobierno de Brasil</v>
      </c>
      <c r="I835" s="28"/>
      <c r="J835" s="184" t="str">
        <f t="shared" si="25"/>
        <v>RFIGOB</v>
      </c>
    </row>
    <row r="836" spans="3:10" x14ac:dyDescent="0.25">
      <c r="C836" s="28" t="s">
        <v>3456</v>
      </c>
      <c r="D836" s="188" t="str">
        <f>+INDEX([1]Detallado!$F:$F,MATCH($C836,[1]Detallado!$B:$B,0))</f>
        <v>Renta Fija</v>
      </c>
      <c r="E836" s="31" t="str">
        <f>+INDEX([1]Detallado!$Q:$Q,MATCH($C836,[1]Detallado!$B:$B,0))</f>
        <v>RFIG</v>
      </c>
      <c r="F836" s="185" t="s">
        <v>4356</v>
      </c>
      <c r="G836" s="186" t="str">
        <f t="shared" si="24"/>
        <v>08RFIG</v>
      </c>
      <c r="H836" s="187" t="str">
        <f>+INDEX([1]Detallado!$D:$D,MATCH(C836,[1]Detallado!$B:$B,0))</f>
        <v>Gobierno de Brasil</v>
      </c>
      <c r="I836" s="28"/>
      <c r="J836" s="184" t="str">
        <f t="shared" si="25"/>
        <v>RFIGOB</v>
      </c>
    </row>
    <row r="837" spans="3:10" x14ac:dyDescent="0.25">
      <c r="C837" s="28" t="s">
        <v>3457</v>
      </c>
      <c r="D837" s="188" t="str">
        <f>+INDEX([1]Detallado!$F:$F,MATCH($C837,[1]Detallado!$B:$B,0))</f>
        <v>Renta Fija</v>
      </c>
      <c r="E837" s="31" t="str">
        <f>+INDEX([1]Detallado!$Q:$Q,MATCH($C837,[1]Detallado!$B:$B,0))</f>
        <v>RFIG</v>
      </c>
      <c r="F837" s="185" t="s">
        <v>4356</v>
      </c>
      <c r="G837" s="186" t="str">
        <f t="shared" si="24"/>
        <v>08RFIG</v>
      </c>
      <c r="H837" s="187" t="str">
        <f>+INDEX([1]Detallado!$D:$D,MATCH(C837,[1]Detallado!$B:$B,0))</f>
        <v>Gobierno de Brasil</v>
      </c>
      <c r="I837" s="28"/>
      <c r="J837" s="184" t="str">
        <f t="shared" si="25"/>
        <v>RFIGOB</v>
      </c>
    </row>
    <row r="838" spans="3:10" x14ac:dyDescent="0.25">
      <c r="C838" s="28" t="s">
        <v>879</v>
      </c>
      <c r="D838" s="188" t="str">
        <f>+INDEX([1]Detallado!$F:$F,MATCH($C838,[1]Detallado!$B:$B,0))</f>
        <v>Renta Fija</v>
      </c>
      <c r="E838" s="31" t="str">
        <f>+INDEX([1]Detallado!$Q:$Q,MATCH($C838,[1]Detallado!$B:$B,0))</f>
        <v>RFIG</v>
      </c>
      <c r="F838" s="185" t="s">
        <v>4356</v>
      </c>
      <c r="G838" s="186" t="str">
        <f t="shared" si="24"/>
        <v>08RFIG</v>
      </c>
      <c r="H838" s="187" t="str">
        <f>+INDEX([1]Detallado!$D:$D,MATCH(C838,[1]Detallado!$B:$B,0))</f>
        <v>Gobierno de Brasil</v>
      </c>
      <c r="I838" s="28"/>
      <c r="J838" s="184" t="str">
        <f t="shared" si="25"/>
        <v>RFIGOB</v>
      </c>
    </row>
    <row r="839" spans="3:10" x14ac:dyDescent="0.25">
      <c r="C839" s="28" t="s">
        <v>183</v>
      </c>
      <c r="D839" s="188" t="str">
        <f>+INDEX([1]Detallado!$F:$F,MATCH($C839,[1]Detallado!$B:$B,0))</f>
        <v>Renta Fija</v>
      </c>
      <c r="E839" s="31" t="str">
        <f>+INDEX([1]Detallado!$Q:$Q,MATCH($C839,[1]Detallado!$B:$B,0))</f>
        <v>RFIG</v>
      </c>
      <c r="F839" s="185" t="s">
        <v>4356</v>
      </c>
      <c r="G839" s="186" t="str">
        <f t="shared" si="24"/>
        <v>08RFIG</v>
      </c>
      <c r="H839" s="187" t="str">
        <f>+INDEX([1]Detallado!$D:$D,MATCH(C839,[1]Detallado!$B:$B,0))</f>
        <v>Gobierno de Brasil</v>
      </c>
      <c r="I839" s="28"/>
      <c r="J839" s="184" t="str">
        <f t="shared" si="25"/>
        <v>RFIGOB</v>
      </c>
    </row>
    <row r="840" spans="3:10" x14ac:dyDescent="0.25">
      <c r="C840" s="28" t="s">
        <v>3458</v>
      </c>
      <c r="D840" s="188" t="str">
        <f>+INDEX([1]Detallado!$F:$F,MATCH($C840,[1]Detallado!$B:$B,0))</f>
        <v>Renta Fija</v>
      </c>
      <c r="E840" s="31" t="str">
        <f>+INDEX([1]Detallado!$Q:$Q,MATCH($C840,[1]Detallado!$B:$B,0))</f>
        <v>RFIG</v>
      </c>
      <c r="F840" s="185" t="s">
        <v>4356</v>
      </c>
      <c r="G840" s="186" t="str">
        <f t="shared" si="24"/>
        <v>08RFIG</v>
      </c>
      <c r="H840" s="187" t="str">
        <f>+INDEX([1]Detallado!$D:$D,MATCH(C840,[1]Detallado!$B:$B,0))</f>
        <v>Gobierno de Brasil</v>
      </c>
      <c r="I840" s="28"/>
      <c r="J840" s="184" t="str">
        <f t="shared" si="25"/>
        <v>RFIGOB</v>
      </c>
    </row>
    <row r="841" spans="3:10" x14ac:dyDescent="0.25">
      <c r="C841" s="28" t="s">
        <v>3459</v>
      </c>
      <c r="D841" s="188" t="str">
        <f>+INDEX([1]Detallado!$F:$F,MATCH($C841,[1]Detallado!$B:$B,0))</f>
        <v>Renta Fija</v>
      </c>
      <c r="E841" s="31" t="str">
        <f>+INDEX([1]Detallado!$Q:$Q,MATCH($C841,[1]Detallado!$B:$B,0))</f>
        <v>RFIG</v>
      </c>
      <c r="F841" s="185" t="s">
        <v>4356</v>
      </c>
      <c r="G841" s="186" t="str">
        <f t="shared" si="24"/>
        <v>08RFIG</v>
      </c>
      <c r="H841" s="187" t="str">
        <f>+INDEX([1]Detallado!$D:$D,MATCH(C841,[1]Detallado!$B:$B,0))</f>
        <v>Gobierno de Brasil</v>
      </c>
      <c r="I841" s="28"/>
      <c r="J841" s="184" t="str">
        <f t="shared" si="25"/>
        <v>RFIGOB</v>
      </c>
    </row>
    <row r="842" spans="3:10" x14ac:dyDescent="0.25">
      <c r="C842" s="28" t="s">
        <v>3460</v>
      </c>
      <c r="D842" s="188" t="str">
        <f>+INDEX([1]Detallado!$F:$F,MATCH($C842,[1]Detallado!$B:$B,0))</f>
        <v>Renta Fija</v>
      </c>
      <c r="E842" s="31" t="str">
        <f>+INDEX([1]Detallado!$Q:$Q,MATCH($C842,[1]Detallado!$B:$B,0))</f>
        <v>RFIG</v>
      </c>
      <c r="F842" s="185" t="s">
        <v>4356</v>
      </c>
      <c r="G842" s="186" t="str">
        <f t="shared" ref="G842:G905" si="26">LEFT(C842,2)&amp;E842</f>
        <v>08RFIG</v>
      </c>
      <c r="H842" s="187" t="str">
        <f>+INDEX([1]Detallado!$D:$D,MATCH(C842,[1]Detallado!$B:$B,0))</f>
        <v>Gobierno de Brasil</v>
      </c>
      <c r="I842" s="28"/>
      <c r="J842" s="184" t="str">
        <f t="shared" ref="J842:J905" si="27">IF(E842="ALT",LEFT(E842,3),LEFT(E842,3)&amp;F842)</f>
        <v>RFIGOB</v>
      </c>
    </row>
    <row r="843" spans="3:10" x14ac:dyDescent="0.25">
      <c r="C843" s="28" t="s">
        <v>3461</v>
      </c>
      <c r="D843" s="188" t="str">
        <f>+INDEX([1]Detallado!$F:$F,MATCH($C843,[1]Detallado!$B:$B,0))</f>
        <v>Renta Fija</v>
      </c>
      <c r="E843" s="31" t="str">
        <f>+INDEX([1]Detallado!$Q:$Q,MATCH($C843,[1]Detallado!$B:$B,0))</f>
        <v>RFIG</v>
      </c>
      <c r="F843" s="185" t="s">
        <v>4356</v>
      </c>
      <c r="G843" s="186" t="str">
        <f t="shared" si="26"/>
        <v>08RFIG</v>
      </c>
      <c r="H843" s="187" t="str">
        <f>+INDEX([1]Detallado!$D:$D,MATCH(C843,[1]Detallado!$B:$B,0))</f>
        <v>Gobierno de Brasil</v>
      </c>
      <c r="I843" s="28"/>
      <c r="J843" s="184" t="str">
        <f t="shared" si="27"/>
        <v>RFIGOB</v>
      </c>
    </row>
    <row r="844" spans="3:10" x14ac:dyDescent="0.25">
      <c r="C844" s="28" t="s">
        <v>3462</v>
      </c>
      <c r="D844" s="188" t="str">
        <f>+INDEX([1]Detallado!$F:$F,MATCH($C844,[1]Detallado!$B:$B,0))</f>
        <v>Renta Fija</v>
      </c>
      <c r="E844" s="31" t="str">
        <f>+INDEX([1]Detallado!$Q:$Q,MATCH($C844,[1]Detallado!$B:$B,0))</f>
        <v>RFIG</v>
      </c>
      <c r="F844" s="185" t="s">
        <v>4356</v>
      </c>
      <c r="G844" s="186" t="str">
        <f t="shared" si="26"/>
        <v>08RFIG</v>
      </c>
      <c r="H844" s="187" t="str">
        <f>+INDEX([1]Detallado!$D:$D,MATCH(C844,[1]Detallado!$B:$B,0))</f>
        <v>Gobierno de Brasil</v>
      </c>
      <c r="I844" s="28"/>
      <c r="J844" s="184" t="str">
        <f t="shared" si="27"/>
        <v>RFIGOB</v>
      </c>
    </row>
    <row r="845" spans="3:10" x14ac:dyDescent="0.25">
      <c r="C845" s="28" t="s">
        <v>3463</v>
      </c>
      <c r="D845" s="188" t="str">
        <f>+INDEX([1]Detallado!$F:$F,MATCH($C845,[1]Detallado!$B:$B,0))</f>
        <v>Renta Fija</v>
      </c>
      <c r="E845" s="31" t="str">
        <f>+INDEX([1]Detallado!$Q:$Q,MATCH($C845,[1]Detallado!$B:$B,0))</f>
        <v>RFIG</v>
      </c>
      <c r="F845" s="185" t="s">
        <v>4356</v>
      </c>
      <c r="G845" s="186" t="str">
        <f t="shared" si="26"/>
        <v>08RFIG</v>
      </c>
      <c r="H845" s="187" t="str">
        <f>+INDEX([1]Detallado!$D:$D,MATCH(C845,[1]Detallado!$B:$B,0))</f>
        <v>Gobierno de Brasil</v>
      </c>
      <c r="I845" s="28"/>
      <c r="J845" s="184" t="str">
        <f t="shared" si="27"/>
        <v>RFIGOB</v>
      </c>
    </row>
    <row r="846" spans="3:10" x14ac:dyDescent="0.25">
      <c r="C846" s="28" t="s">
        <v>877</v>
      </c>
      <c r="D846" s="188" t="str">
        <f>+INDEX([1]Detallado!$F:$F,MATCH($C846,[1]Detallado!$B:$B,0))</f>
        <v>Renta Fija</v>
      </c>
      <c r="E846" s="31" t="str">
        <f>+INDEX([1]Detallado!$Q:$Q,MATCH($C846,[1]Detallado!$B:$B,0))</f>
        <v>RFIG</v>
      </c>
      <c r="F846" s="185" t="s">
        <v>4356</v>
      </c>
      <c r="G846" s="186" t="str">
        <f t="shared" si="26"/>
        <v>08RFIG</v>
      </c>
      <c r="H846" s="187" t="str">
        <f>+INDEX([1]Detallado!$D:$D,MATCH(C846,[1]Detallado!$B:$B,0))</f>
        <v>Gobierno de Brasil</v>
      </c>
      <c r="I846" s="28"/>
      <c r="J846" s="184" t="str">
        <f t="shared" si="27"/>
        <v>RFIGOB</v>
      </c>
    </row>
    <row r="847" spans="3:10" x14ac:dyDescent="0.25">
      <c r="C847" s="28" t="s">
        <v>3464</v>
      </c>
      <c r="D847" s="188" t="str">
        <f>+INDEX([1]Detallado!$F:$F,MATCH($C847,[1]Detallado!$B:$B,0))</f>
        <v>Renta Fija</v>
      </c>
      <c r="E847" s="31" t="str">
        <f>+INDEX([1]Detallado!$Q:$Q,MATCH($C847,[1]Detallado!$B:$B,0))</f>
        <v>RFIG</v>
      </c>
      <c r="F847" s="185" t="s">
        <v>4356</v>
      </c>
      <c r="G847" s="186" t="str">
        <f t="shared" si="26"/>
        <v>08RFIG</v>
      </c>
      <c r="H847" s="187" t="str">
        <f>+INDEX([1]Detallado!$D:$D,MATCH(C847,[1]Detallado!$B:$B,0))</f>
        <v>Gobierno de Brasil</v>
      </c>
      <c r="I847" s="28"/>
      <c r="J847" s="184" t="str">
        <f t="shared" si="27"/>
        <v>RFIGOB</v>
      </c>
    </row>
    <row r="848" spans="3:10" x14ac:dyDescent="0.25">
      <c r="C848" s="28" t="s">
        <v>3465</v>
      </c>
      <c r="D848" s="188" t="str">
        <f>+INDEX([1]Detallado!$F:$F,MATCH($C848,[1]Detallado!$B:$B,0))</f>
        <v>Renta Fija</v>
      </c>
      <c r="E848" s="31" t="str">
        <f>+INDEX([1]Detallado!$Q:$Q,MATCH($C848,[1]Detallado!$B:$B,0))</f>
        <v>RFIG</v>
      </c>
      <c r="F848" s="185" t="s">
        <v>4356</v>
      </c>
      <c r="G848" s="186" t="str">
        <f t="shared" si="26"/>
        <v>08RFIG</v>
      </c>
      <c r="H848" s="187" t="str">
        <f>+INDEX([1]Detallado!$D:$D,MATCH(C848,[1]Detallado!$B:$B,0))</f>
        <v>Gobierno de Brasil</v>
      </c>
      <c r="I848" s="28"/>
      <c r="J848" s="184" t="str">
        <f t="shared" si="27"/>
        <v>RFIGOB</v>
      </c>
    </row>
    <row r="849" spans="3:10" x14ac:dyDescent="0.25">
      <c r="C849" s="28" t="s">
        <v>3466</v>
      </c>
      <c r="D849" s="188" t="str">
        <f>+INDEX([1]Detallado!$F:$F,MATCH($C849,[1]Detallado!$B:$B,0))</f>
        <v>Renta Fija</v>
      </c>
      <c r="E849" s="31" t="str">
        <f>+INDEX([1]Detallado!$Q:$Q,MATCH($C849,[1]Detallado!$B:$B,0))</f>
        <v>RFIG</v>
      </c>
      <c r="F849" s="185" t="s">
        <v>4356</v>
      </c>
      <c r="G849" s="186" t="str">
        <f t="shared" si="26"/>
        <v>08RFIG</v>
      </c>
      <c r="H849" s="187" t="str">
        <f>+INDEX([1]Detallado!$D:$D,MATCH(C849,[1]Detallado!$B:$B,0))</f>
        <v>Gobierno de Brasil</v>
      </c>
      <c r="I849" s="28"/>
      <c r="J849" s="184" t="str">
        <f t="shared" si="27"/>
        <v>RFIGOB</v>
      </c>
    </row>
    <row r="850" spans="3:10" x14ac:dyDescent="0.25">
      <c r="C850" s="28" t="s">
        <v>3467</v>
      </c>
      <c r="D850" s="188" t="str">
        <f>+INDEX([1]Detallado!$F:$F,MATCH($C850,[1]Detallado!$B:$B,0))</f>
        <v>Renta Fija</v>
      </c>
      <c r="E850" s="31" t="str">
        <f>+INDEX([1]Detallado!$Q:$Q,MATCH($C850,[1]Detallado!$B:$B,0))</f>
        <v>RFIG</v>
      </c>
      <c r="F850" s="185" t="s">
        <v>4356</v>
      </c>
      <c r="G850" s="186" t="str">
        <f t="shared" si="26"/>
        <v>08RFIG</v>
      </c>
      <c r="H850" s="187" t="str">
        <f>+INDEX([1]Detallado!$D:$D,MATCH(C850,[1]Detallado!$B:$B,0))</f>
        <v>Gobierno de Chile</v>
      </c>
      <c r="I850" s="28"/>
      <c r="J850" s="184" t="str">
        <f t="shared" si="27"/>
        <v>RFIGOB</v>
      </c>
    </row>
    <row r="851" spans="3:10" x14ac:dyDescent="0.25">
      <c r="C851" s="28" t="s">
        <v>3468</v>
      </c>
      <c r="D851" s="188" t="str">
        <f>+INDEX([1]Detallado!$F:$F,MATCH($C851,[1]Detallado!$B:$B,0))</f>
        <v>Renta Fija</v>
      </c>
      <c r="E851" s="31" t="str">
        <f>+INDEX([1]Detallado!$Q:$Q,MATCH($C851,[1]Detallado!$B:$B,0))</f>
        <v>RFIG</v>
      </c>
      <c r="F851" s="185" t="s">
        <v>4356</v>
      </c>
      <c r="G851" s="186" t="str">
        <f t="shared" si="26"/>
        <v>08RFIG</v>
      </c>
      <c r="H851" s="187" t="str">
        <f>+INDEX([1]Detallado!$D:$D,MATCH(C851,[1]Detallado!$B:$B,0))</f>
        <v>Gobierno de Chile</v>
      </c>
      <c r="I851" s="28"/>
      <c r="J851" s="184" t="str">
        <f t="shared" si="27"/>
        <v>RFIGOB</v>
      </c>
    </row>
    <row r="852" spans="3:10" x14ac:dyDescent="0.25">
      <c r="C852" s="28" t="s">
        <v>869</v>
      </c>
      <c r="D852" s="188" t="str">
        <f>+INDEX([1]Detallado!$F:$F,MATCH($C852,[1]Detallado!$B:$B,0))</f>
        <v>Renta Fija</v>
      </c>
      <c r="E852" s="31" t="str">
        <f>+INDEX([1]Detallado!$Q:$Q,MATCH($C852,[1]Detallado!$B:$B,0))</f>
        <v>RFIG</v>
      </c>
      <c r="F852" s="185" t="s">
        <v>4356</v>
      </c>
      <c r="G852" s="186" t="str">
        <f t="shared" si="26"/>
        <v>08RFIG</v>
      </c>
      <c r="H852" s="187" t="str">
        <f>+INDEX([1]Detallado!$D:$D,MATCH(C852,[1]Detallado!$B:$B,0))</f>
        <v>Gobierno de Chile</v>
      </c>
      <c r="I852" s="28"/>
      <c r="J852" s="184" t="str">
        <f t="shared" si="27"/>
        <v>RFIGOB</v>
      </c>
    </row>
    <row r="853" spans="3:10" x14ac:dyDescent="0.25">
      <c r="C853" s="28" t="s">
        <v>3469</v>
      </c>
      <c r="D853" s="188" t="str">
        <f>+INDEX([1]Detallado!$F:$F,MATCH($C853,[1]Detallado!$B:$B,0))</f>
        <v>Renta Fija</v>
      </c>
      <c r="E853" s="31" t="str">
        <f>+INDEX([1]Detallado!$Q:$Q,MATCH($C853,[1]Detallado!$B:$B,0))</f>
        <v>RFIG</v>
      </c>
      <c r="F853" s="185" t="s">
        <v>4356</v>
      </c>
      <c r="G853" s="186" t="str">
        <f t="shared" si="26"/>
        <v>08RFIG</v>
      </c>
      <c r="H853" s="187" t="str">
        <f>+INDEX([1]Detallado!$D:$D,MATCH(C853,[1]Detallado!$B:$B,0))</f>
        <v>Gobierno de Chile</v>
      </c>
      <c r="I853" s="28"/>
      <c r="J853" s="184" t="str">
        <f t="shared" si="27"/>
        <v>RFIGOB</v>
      </c>
    </row>
    <row r="854" spans="3:10" x14ac:dyDescent="0.25">
      <c r="C854" s="28" t="s">
        <v>3470</v>
      </c>
      <c r="D854" s="188" t="str">
        <f>+INDEX([1]Detallado!$F:$F,MATCH($C854,[1]Detallado!$B:$B,0))</f>
        <v>Renta Fija</v>
      </c>
      <c r="E854" s="31" t="str">
        <f>+INDEX([1]Detallado!$Q:$Q,MATCH($C854,[1]Detallado!$B:$B,0))</f>
        <v>RFIG</v>
      </c>
      <c r="F854" s="185" t="s">
        <v>4356</v>
      </c>
      <c r="G854" s="186" t="str">
        <f t="shared" si="26"/>
        <v>08RFIG</v>
      </c>
      <c r="H854" s="187" t="str">
        <f>+INDEX([1]Detallado!$D:$D,MATCH(C854,[1]Detallado!$B:$B,0))</f>
        <v>Gobierno de Chile</v>
      </c>
      <c r="I854" s="28"/>
      <c r="J854" s="184" t="str">
        <f t="shared" si="27"/>
        <v>RFIGOB</v>
      </c>
    </row>
    <row r="855" spans="3:10" x14ac:dyDescent="0.25">
      <c r="C855" s="28" t="s">
        <v>3471</v>
      </c>
      <c r="D855" s="188" t="str">
        <f>+INDEX([1]Detallado!$F:$F,MATCH($C855,[1]Detallado!$B:$B,0))</f>
        <v>Renta Fija</v>
      </c>
      <c r="E855" s="31" t="str">
        <f>+INDEX([1]Detallado!$Q:$Q,MATCH($C855,[1]Detallado!$B:$B,0))</f>
        <v>RFIG</v>
      </c>
      <c r="F855" s="185" t="s">
        <v>4356</v>
      </c>
      <c r="G855" s="186" t="str">
        <f t="shared" si="26"/>
        <v>08RFIG</v>
      </c>
      <c r="H855" s="187" t="str">
        <f>+INDEX([1]Detallado!$D:$D,MATCH(C855,[1]Detallado!$B:$B,0))</f>
        <v>Gobierno de Chile</v>
      </c>
      <c r="I855" s="28"/>
      <c r="J855" s="184" t="str">
        <f t="shared" si="27"/>
        <v>RFIGOB</v>
      </c>
    </row>
    <row r="856" spans="3:10" x14ac:dyDescent="0.25">
      <c r="C856" s="28" t="s">
        <v>3472</v>
      </c>
      <c r="D856" s="188" t="str">
        <f>+INDEX([1]Detallado!$F:$F,MATCH($C856,[1]Detallado!$B:$B,0))</f>
        <v>Renta Fija</v>
      </c>
      <c r="E856" s="31" t="str">
        <f>+INDEX([1]Detallado!$Q:$Q,MATCH($C856,[1]Detallado!$B:$B,0))</f>
        <v>RFIG</v>
      </c>
      <c r="F856" s="185" t="s">
        <v>4356</v>
      </c>
      <c r="G856" s="186" t="str">
        <f t="shared" si="26"/>
        <v>08RFIG</v>
      </c>
      <c r="H856" s="187" t="str">
        <f>+INDEX([1]Detallado!$D:$D,MATCH(C856,[1]Detallado!$B:$B,0))</f>
        <v>Gobierno de Chile</v>
      </c>
      <c r="I856" s="28"/>
      <c r="J856" s="184" t="str">
        <f t="shared" si="27"/>
        <v>RFIGOB</v>
      </c>
    </row>
    <row r="857" spans="3:10" x14ac:dyDescent="0.25">
      <c r="C857" s="28" t="s">
        <v>3473</v>
      </c>
      <c r="D857" s="188" t="str">
        <f>+INDEX([1]Detallado!$F:$F,MATCH($C857,[1]Detallado!$B:$B,0))</f>
        <v>Renta Fija</v>
      </c>
      <c r="E857" s="31" t="str">
        <f>+INDEX([1]Detallado!$Q:$Q,MATCH($C857,[1]Detallado!$B:$B,0))</f>
        <v>RFIG</v>
      </c>
      <c r="F857" s="185" t="s">
        <v>4356</v>
      </c>
      <c r="G857" s="186" t="str">
        <f t="shared" si="26"/>
        <v>08RFIG</v>
      </c>
      <c r="H857" s="187" t="str">
        <f>+INDEX([1]Detallado!$D:$D,MATCH(C857,[1]Detallado!$B:$B,0))</f>
        <v>Gobierno de Chile</v>
      </c>
      <c r="I857" s="28"/>
      <c r="J857" s="184" t="str">
        <f t="shared" si="27"/>
        <v>RFIGOB</v>
      </c>
    </row>
    <row r="858" spans="3:10" x14ac:dyDescent="0.25">
      <c r="C858" s="28" t="s">
        <v>3474</v>
      </c>
      <c r="D858" s="188" t="str">
        <f>+INDEX([1]Detallado!$F:$F,MATCH($C858,[1]Detallado!$B:$B,0))</f>
        <v>Renta Fija</v>
      </c>
      <c r="E858" s="31" t="str">
        <f>+INDEX([1]Detallado!$Q:$Q,MATCH($C858,[1]Detallado!$B:$B,0))</f>
        <v>RFIG</v>
      </c>
      <c r="F858" s="185" t="s">
        <v>4356</v>
      </c>
      <c r="G858" s="186" t="str">
        <f t="shared" si="26"/>
        <v>08RFIG</v>
      </c>
      <c r="H858" s="187" t="str">
        <f>+INDEX([1]Detallado!$D:$D,MATCH(C858,[1]Detallado!$B:$B,0))</f>
        <v>Gobierno de Chile</v>
      </c>
      <c r="I858" s="28"/>
      <c r="J858" s="184" t="str">
        <f t="shared" si="27"/>
        <v>RFIGOB</v>
      </c>
    </row>
    <row r="859" spans="3:10" x14ac:dyDescent="0.25">
      <c r="C859" s="28" t="s">
        <v>3475</v>
      </c>
      <c r="D859" s="188" t="str">
        <f>+INDEX([1]Detallado!$F:$F,MATCH($C859,[1]Detallado!$B:$B,0))</f>
        <v>Renta Fija</v>
      </c>
      <c r="E859" s="31" t="str">
        <f>+INDEX([1]Detallado!$Q:$Q,MATCH($C859,[1]Detallado!$B:$B,0))</f>
        <v>RFIG</v>
      </c>
      <c r="F859" s="185" t="s">
        <v>4356</v>
      </c>
      <c r="G859" s="186" t="str">
        <f t="shared" si="26"/>
        <v>08RFIG</v>
      </c>
      <c r="H859" s="187" t="str">
        <f>+INDEX([1]Detallado!$D:$D,MATCH(C859,[1]Detallado!$B:$B,0))</f>
        <v>Gobierno de Chile</v>
      </c>
      <c r="I859" s="28"/>
      <c r="J859" s="184" t="str">
        <f t="shared" si="27"/>
        <v>RFIGOB</v>
      </c>
    </row>
    <row r="860" spans="3:10" x14ac:dyDescent="0.25">
      <c r="C860" s="28" t="s">
        <v>3476</v>
      </c>
      <c r="D860" s="188" t="str">
        <f>+INDEX([1]Detallado!$F:$F,MATCH($C860,[1]Detallado!$B:$B,0))</f>
        <v>Renta Fija</v>
      </c>
      <c r="E860" s="31" t="str">
        <f>+INDEX([1]Detallado!$Q:$Q,MATCH($C860,[1]Detallado!$B:$B,0))</f>
        <v>RFIG</v>
      </c>
      <c r="F860" s="185" t="s">
        <v>4356</v>
      </c>
      <c r="G860" s="186" t="str">
        <f t="shared" si="26"/>
        <v>08RFIG</v>
      </c>
      <c r="H860" s="187" t="str">
        <f>+INDEX([1]Detallado!$D:$D,MATCH(C860,[1]Detallado!$B:$B,0))</f>
        <v>Gobierno de Chile</v>
      </c>
      <c r="I860" s="28"/>
      <c r="J860" s="184" t="str">
        <f t="shared" si="27"/>
        <v>RFIGOB</v>
      </c>
    </row>
    <row r="861" spans="3:10" x14ac:dyDescent="0.25">
      <c r="C861" s="28" t="s">
        <v>3477</v>
      </c>
      <c r="D861" s="188" t="str">
        <f>+INDEX([1]Detallado!$F:$F,MATCH($C861,[1]Detallado!$B:$B,0))</f>
        <v>Renta Fija</v>
      </c>
      <c r="E861" s="31" t="str">
        <f>+INDEX([1]Detallado!$Q:$Q,MATCH($C861,[1]Detallado!$B:$B,0))</f>
        <v>RFIG</v>
      </c>
      <c r="F861" s="185" t="s">
        <v>4356</v>
      </c>
      <c r="G861" s="186" t="str">
        <f t="shared" si="26"/>
        <v>08RFIG</v>
      </c>
      <c r="H861" s="187" t="str">
        <f>+INDEX([1]Detallado!$D:$D,MATCH(C861,[1]Detallado!$B:$B,0))</f>
        <v>Gobierno de Chile</v>
      </c>
      <c r="I861" s="28"/>
      <c r="J861" s="184" t="str">
        <f t="shared" si="27"/>
        <v>RFIGOB</v>
      </c>
    </row>
    <row r="862" spans="3:10" x14ac:dyDescent="0.25">
      <c r="C862" s="28" t="s">
        <v>3478</v>
      </c>
      <c r="D862" s="188" t="str">
        <f>+INDEX([1]Detallado!$F:$F,MATCH($C862,[1]Detallado!$B:$B,0))</f>
        <v>Renta Fija</v>
      </c>
      <c r="E862" s="31" t="str">
        <f>+INDEX([1]Detallado!$Q:$Q,MATCH($C862,[1]Detallado!$B:$B,0))</f>
        <v>RFIG</v>
      </c>
      <c r="F862" s="185" t="s">
        <v>4356</v>
      </c>
      <c r="G862" s="186" t="str">
        <f t="shared" si="26"/>
        <v>08RFIG</v>
      </c>
      <c r="H862" s="187" t="str">
        <f>+INDEX([1]Detallado!$D:$D,MATCH(C862,[1]Detallado!$B:$B,0))</f>
        <v>Gobierno de Chile</v>
      </c>
      <c r="I862" s="28"/>
      <c r="J862" s="184" t="str">
        <f t="shared" si="27"/>
        <v>RFIGOB</v>
      </c>
    </row>
    <row r="863" spans="3:10" x14ac:dyDescent="0.25">
      <c r="C863" s="28" t="s">
        <v>3479</v>
      </c>
      <c r="D863" s="188" t="str">
        <f>+INDEX([1]Detallado!$F:$F,MATCH($C863,[1]Detallado!$B:$B,0))</f>
        <v>Renta Fija</v>
      </c>
      <c r="E863" s="31" t="str">
        <f>+INDEX([1]Detallado!$Q:$Q,MATCH($C863,[1]Detallado!$B:$B,0))</f>
        <v>RFIG</v>
      </c>
      <c r="F863" s="185" t="s">
        <v>4356</v>
      </c>
      <c r="G863" s="186" t="str">
        <f t="shared" si="26"/>
        <v>08RFIG</v>
      </c>
      <c r="H863" s="187" t="str">
        <f>+INDEX([1]Detallado!$D:$D,MATCH(C863,[1]Detallado!$B:$B,0))</f>
        <v>Gobierno de Chile</v>
      </c>
      <c r="I863" s="28"/>
      <c r="J863" s="184" t="str">
        <f t="shared" si="27"/>
        <v>RFIGOB</v>
      </c>
    </row>
    <row r="864" spans="3:10" x14ac:dyDescent="0.25">
      <c r="C864" s="28" t="s">
        <v>177</v>
      </c>
      <c r="D864" s="188" t="str">
        <f>+INDEX([1]Detallado!$F:$F,MATCH($C864,[1]Detallado!$B:$B,0))</f>
        <v>Renta Fija</v>
      </c>
      <c r="E864" s="31" t="str">
        <f>+INDEX([1]Detallado!$Q:$Q,MATCH($C864,[1]Detallado!$B:$B,0))</f>
        <v>RFIG</v>
      </c>
      <c r="F864" s="185" t="s">
        <v>4356</v>
      </c>
      <c r="G864" s="186" t="str">
        <f t="shared" si="26"/>
        <v>08RFIG</v>
      </c>
      <c r="H864" s="187" t="str">
        <f>+INDEX([1]Detallado!$D:$D,MATCH(C864,[1]Detallado!$B:$B,0))</f>
        <v>Gobierno de Chile</v>
      </c>
      <c r="I864" s="28"/>
      <c r="J864" s="184" t="str">
        <f t="shared" si="27"/>
        <v>RFIGOB</v>
      </c>
    </row>
    <row r="865" spans="3:10" x14ac:dyDescent="0.25">
      <c r="C865" s="28" t="s">
        <v>3480</v>
      </c>
      <c r="D865" s="188" t="str">
        <f>+INDEX([1]Detallado!$F:$F,MATCH($C865,[1]Detallado!$B:$B,0))</f>
        <v>Renta Fija</v>
      </c>
      <c r="E865" s="31" t="str">
        <f>+INDEX([1]Detallado!$Q:$Q,MATCH($C865,[1]Detallado!$B:$B,0))</f>
        <v>RFIG</v>
      </c>
      <c r="F865" s="185" t="s">
        <v>4356</v>
      </c>
      <c r="G865" s="186" t="str">
        <f t="shared" si="26"/>
        <v>08RFIG</v>
      </c>
      <c r="H865" s="187" t="str">
        <f>+INDEX([1]Detallado!$D:$D,MATCH(C865,[1]Detallado!$B:$B,0))</f>
        <v>Gobierno de Chile</v>
      </c>
      <c r="I865" s="28"/>
      <c r="J865" s="184" t="str">
        <f t="shared" si="27"/>
        <v>RFIGOB</v>
      </c>
    </row>
    <row r="866" spans="3:10" x14ac:dyDescent="0.25">
      <c r="C866" s="28" t="s">
        <v>3481</v>
      </c>
      <c r="D866" s="188" t="str">
        <f>+INDEX([1]Detallado!$F:$F,MATCH($C866,[1]Detallado!$B:$B,0))</f>
        <v>Renta Fija</v>
      </c>
      <c r="E866" s="31" t="str">
        <f>+INDEX([1]Detallado!$Q:$Q,MATCH($C866,[1]Detallado!$B:$B,0))</f>
        <v>RFIG</v>
      </c>
      <c r="F866" s="185" t="s">
        <v>4356</v>
      </c>
      <c r="G866" s="186" t="str">
        <f t="shared" si="26"/>
        <v>08RFIG</v>
      </c>
      <c r="H866" s="187" t="str">
        <f>+INDEX([1]Detallado!$D:$D,MATCH(C866,[1]Detallado!$B:$B,0))</f>
        <v>Gobierno de Chile</v>
      </c>
      <c r="I866" s="28"/>
      <c r="J866" s="184" t="str">
        <f t="shared" si="27"/>
        <v>RFIGOB</v>
      </c>
    </row>
    <row r="867" spans="3:10" x14ac:dyDescent="0.25">
      <c r="C867" s="28" t="s">
        <v>3482</v>
      </c>
      <c r="D867" s="188" t="str">
        <f>+INDEX([1]Detallado!$F:$F,MATCH($C867,[1]Detallado!$B:$B,0))</f>
        <v>Renta Fija</v>
      </c>
      <c r="E867" s="31" t="str">
        <f>+INDEX([1]Detallado!$Q:$Q,MATCH($C867,[1]Detallado!$B:$B,0))</f>
        <v>RFIG</v>
      </c>
      <c r="F867" s="185" t="s">
        <v>4356</v>
      </c>
      <c r="G867" s="186" t="str">
        <f t="shared" si="26"/>
        <v>08RFIG</v>
      </c>
      <c r="H867" s="187" t="str">
        <f>+INDEX([1]Detallado!$D:$D,MATCH(C867,[1]Detallado!$B:$B,0))</f>
        <v>Gobierno de Chile</v>
      </c>
      <c r="I867" s="28"/>
      <c r="J867" s="184" t="str">
        <f t="shared" si="27"/>
        <v>RFIGOB</v>
      </c>
    </row>
    <row r="868" spans="3:10" x14ac:dyDescent="0.25">
      <c r="C868" s="28" t="s">
        <v>3483</v>
      </c>
      <c r="D868" s="188" t="str">
        <f>+INDEX([1]Detallado!$F:$F,MATCH($C868,[1]Detallado!$B:$B,0))</f>
        <v>Renta Fija</v>
      </c>
      <c r="E868" s="31" t="str">
        <f>+INDEX([1]Detallado!$Q:$Q,MATCH($C868,[1]Detallado!$B:$B,0))</f>
        <v>RFIG</v>
      </c>
      <c r="F868" s="185" t="s">
        <v>4356</v>
      </c>
      <c r="G868" s="186" t="str">
        <f t="shared" si="26"/>
        <v>08RFIG</v>
      </c>
      <c r="H868" s="187" t="str">
        <f>+INDEX([1]Detallado!$D:$D,MATCH(C868,[1]Detallado!$B:$B,0))</f>
        <v>Gobierno de Chile</v>
      </c>
      <c r="I868" s="28"/>
      <c r="J868" s="184" t="str">
        <f t="shared" si="27"/>
        <v>RFIGOB</v>
      </c>
    </row>
    <row r="869" spans="3:10" x14ac:dyDescent="0.25">
      <c r="C869" s="28" t="s">
        <v>3484</v>
      </c>
      <c r="D869" s="188" t="str">
        <f>+INDEX([1]Detallado!$F:$F,MATCH($C869,[1]Detallado!$B:$B,0))</f>
        <v>Renta Fija</v>
      </c>
      <c r="E869" s="31" t="str">
        <f>+INDEX([1]Detallado!$Q:$Q,MATCH($C869,[1]Detallado!$B:$B,0))</f>
        <v>RFIG</v>
      </c>
      <c r="F869" s="185" t="s">
        <v>4356</v>
      </c>
      <c r="G869" s="186" t="str">
        <f t="shared" si="26"/>
        <v>08RFIG</v>
      </c>
      <c r="H869" s="187" t="str">
        <f>+INDEX([1]Detallado!$D:$D,MATCH(C869,[1]Detallado!$B:$B,0))</f>
        <v>Gobierno de Chile</v>
      </c>
      <c r="I869" s="28"/>
      <c r="J869" s="184" t="str">
        <f t="shared" si="27"/>
        <v>RFIGOB</v>
      </c>
    </row>
    <row r="870" spans="3:10" x14ac:dyDescent="0.25">
      <c r="C870" s="28" t="s">
        <v>3485</v>
      </c>
      <c r="D870" s="188" t="str">
        <f>+INDEX([1]Detallado!$F:$F,MATCH($C870,[1]Detallado!$B:$B,0))</f>
        <v>Renta Fija</v>
      </c>
      <c r="E870" s="31" t="str">
        <f>+INDEX([1]Detallado!$Q:$Q,MATCH($C870,[1]Detallado!$B:$B,0))</f>
        <v>RFIG</v>
      </c>
      <c r="F870" s="185" t="s">
        <v>4356</v>
      </c>
      <c r="G870" s="186" t="str">
        <f t="shared" si="26"/>
        <v>08RFIG</v>
      </c>
      <c r="H870" s="187" t="str">
        <f>+INDEX([1]Detallado!$D:$D,MATCH(C870,[1]Detallado!$B:$B,0))</f>
        <v>Gobierno de Colombia</v>
      </c>
      <c r="I870" s="28"/>
      <c r="J870" s="184" t="str">
        <f t="shared" si="27"/>
        <v>RFIGOB</v>
      </c>
    </row>
    <row r="871" spans="3:10" x14ac:dyDescent="0.25">
      <c r="C871" s="28" t="s">
        <v>3486</v>
      </c>
      <c r="D871" s="188" t="str">
        <f>+INDEX([1]Detallado!$F:$F,MATCH($C871,[1]Detallado!$B:$B,0))</f>
        <v>Renta Fija</v>
      </c>
      <c r="E871" s="31" t="str">
        <f>+INDEX([1]Detallado!$Q:$Q,MATCH($C871,[1]Detallado!$B:$B,0))</f>
        <v>RFIG</v>
      </c>
      <c r="F871" s="185" t="s">
        <v>4356</v>
      </c>
      <c r="G871" s="186" t="str">
        <f t="shared" si="26"/>
        <v>08RFIG</v>
      </c>
      <c r="H871" s="187" t="str">
        <f>+INDEX([1]Detallado!$D:$D,MATCH(C871,[1]Detallado!$B:$B,0))</f>
        <v>Gobierno de Colombia</v>
      </c>
      <c r="I871" s="28"/>
      <c r="J871" s="184" t="str">
        <f t="shared" si="27"/>
        <v>RFIGOB</v>
      </c>
    </row>
    <row r="872" spans="3:10" x14ac:dyDescent="0.25">
      <c r="C872" s="28" t="s">
        <v>887</v>
      </c>
      <c r="D872" s="188" t="str">
        <f>+INDEX([1]Detallado!$F:$F,MATCH($C872,[1]Detallado!$B:$B,0))</f>
        <v>Renta Fija</v>
      </c>
      <c r="E872" s="31" t="str">
        <f>+INDEX([1]Detallado!$Q:$Q,MATCH($C872,[1]Detallado!$B:$B,0))</f>
        <v>RFIG</v>
      </c>
      <c r="F872" s="185" t="s">
        <v>4356</v>
      </c>
      <c r="G872" s="186" t="str">
        <f t="shared" si="26"/>
        <v>08RFIG</v>
      </c>
      <c r="H872" s="187" t="str">
        <f>+INDEX([1]Detallado!$D:$D,MATCH(C872,[1]Detallado!$B:$B,0))</f>
        <v>Gobierno de Colombia</v>
      </c>
      <c r="I872" s="28"/>
      <c r="J872" s="184" t="str">
        <f t="shared" si="27"/>
        <v>RFIGOB</v>
      </c>
    </row>
    <row r="873" spans="3:10" x14ac:dyDescent="0.25">
      <c r="C873" s="28" t="s">
        <v>881</v>
      </c>
      <c r="D873" s="188" t="str">
        <f>+INDEX([1]Detallado!$F:$F,MATCH($C873,[1]Detallado!$B:$B,0))</f>
        <v>Renta Fija</v>
      </c>
      <c r="E873" s="31" t="str">
        <f>+INDEX([1]Detallado!$Q:$Q,MATCH($C873,[1]Detallado!$B:$B,0))</f>
        <v>RFIG</v>
      </c>
      <c r="F873" s="185" t="s">
        <v>4356</v>
      </c>
      <c r="G873" s="186" t="str">
        <f t="shared" si="26"/>
        <v>08RFIG</v>
      </c>
      <c r="H873" s="187" t="str">
        <f>+INDEX([1]Detallado!$D:$D,MATCH(C873,[1]Detallado!$B:$B,0))</f>
        <v>Gobierno de Colombia</v>
      </c>
      <c r="I873" s="28"/>
      <c r="J873" s="184" t="str">
        <f t="shared" si="27"/>
        <v>RFIGOB</v>
      </c>
    </row>
    <row r="874" spans="3:10" x14ac:dyDescent="0.25">
      <c r="C874" s="28" t="s">
        <v>3487</v>
      </c>
      <c r="D874" s="188" t="str">
        <f>+INDEX([1]Detallado!$F:$F,MATCH($C874,[1]Detallado!$B:$B,0))</f>
        <v>Renta Fija</v>
      </c>
      <c r="E874" s="31" t="str">
        <f>+INDEX([1]Detallado!$Q:$Q,MATCH($C874,[1]Detallado!$B:$B,0))</f>
        <v>RFIG</v>
      </c>
      <c r="F874" s="185" t="s">
        <v>4356</v>
      </c>
      <c r="G874" s="186" t="str">
        <f t="shared" si="26"/>
        <v>08RFIG</v>
      </c>
      <c r="H874" s="187" t="str">
        <f>+INDEX([1]Detallado!$D:$D,MATCH(C874,[1]Detallado!$B:$B,0))</f>
        <v>Gobierno de Colombia</v>
      </c>
      <c r="I874" s="28"/>
      <c r="J874" s="184" t="str">
        <f t="shared" si="27"/>
        <v>RFIGOB</v>
      </c>
    </row>
    <row r="875" spans="3:10" x14ac:dyDescent="0.25">
      <c r="C875" s="28" t="s">
        <v>3488</v>
      </c>
      <c r="D875" s="188" t="str">
        <f>+INDEX([1]Detallado!$F:$F,MATCH($C875,[1]Detallado!$B:$B,0))</f>
        <v>Renta Fija</v>
      </c>
      <c r="E875" s="31" t="str">
        <f>+INDEX([1]Detallado!$Q:$Q,MATCH($C875,[1]Detallado!$B:$B,0))</f>
        <v>RFIG</v>
      </c>
      <c r="F875" s="185" t="s">
        <v>4356</v>
      </c>
      <c r="G875" s="186" t="str">
        <f t="shared" si="26"/>
        <v>08RFIG</v>
      </c>
      <c r="H875" s="187" t="str">
        <f>+INDEX([1]Detallado!$D:$D,MATCH(C875,[1]Detallado!$B:$B,0))</f>
        <v>Gobierno de Colombia</v>
      </c>
      <c r="I875" s="28"/>
      <c r="J875" s="184" t="str">
        <f t="shared" si="27"/>
        <v>RFIGOB</v>
      </c>
    </row>
    <row r="876" spans="3:10" x14ac:dyDescent="0.25">
      <c r="C876" s="28" t="s">
        <v>3489</v>
      </c>
      <c r="D876" s="188" t="str">
        <f>+INDEX([1]Detallado!$F:$F,MATCH($C876,[1]Detallado!$B:$B,0))</f>
        <v>Renta Fija</v>
      </c>
      <c r="E876" s="31" t="str">
        <f>+INDEX([1]Detallado!$Q:$Q,MATCH($C876,[1]Detallado!$B:$B,0))</f>
        <v>RFIG</v>
      </c>
      <c r="F876" s="185" t="s">
        <v>4356</v>
      </c>
      <c r="G876" s="186" t="str">
        <f t="shared" si="26"/>
        <v>08RFIG</v>
      </c>
      <c r="H876" s="187" t="str">
        <f>+INDEX([1]Detallado!$D:$D,MATCH(C876,[1]Detallado!$B:$B,0))</f>
        <v>Gobierno de Colombia</v>
      </c>
      <c r="I876" s="28"/>
      <c r="J876" s="184" t="str">
        <f t="shared" si="27"/>
        <v>RFIGOB</v>
      </c>
    </row>
    <row r="877" spans="3:10" x14ac:dyDescent="0.25">
      <c r="C877" s="28" t="s">
        <v>3490</v>
      </c>
      <c r="D877" s="188" t="str">
        <f>+INDEX([1]Detallado!$F:$F,MATCH($C877,[1]Detallado!$B:$B,0))</f>
        <v>Renta Fija</v>
      </c>
      <c r="E877" s="31" t="str">
        <f>+INDEX([1]Detallado!$Q:$Q,MATCH($C877,[1]Detallado!$B:$B,0))</f>
        <v>RFIG</v>
      </c>
      <c r="F877" s="185" t="s">
        <v>4356</v>
      </c>
      <c r="G877" s="186" t="str">
        <f t="shared" si="26"/>
        <v>08RFIG</v>
      </c>
      <c r="H877" s="187" t="str">
        <f>+INDEX([1]Detallado!$D:$D,MATCH(C877,[1]Detallado!$B:$B,0))</f>
        <v>Gobierno de Colombia</v>
      </c>
      <c r="I877" s="28"/>
      <c r="J877" s="184" t="str">
        <f t="shared" si="27"/>
        <v>RFIGOB</v>
      </c>
    </row>
    <row r="878" spans="3:10" x14ac:dyDescent="0.25">
      <c r="C878" s="28" t="s">
        <v>3491</v>
      </c>
      <c r="D878" s="188" t="str">
        <f>+INDEX([1]Detallado!$F:$F,MATCH($C878,[1]Detallado!$B:$B,0))</f>
        <v>Renta Fija</v>
      </c>
      <c r="E878" s="31" t="str">
        <f>+INDEX([1]Detallado!$Q:$Q,MATCH($C878,[1]Detallado!$B:$B,0))</f>
        <v>RFIG</v>
      </c>
      <c r="F878" s="185" t="s">
        <v>4356</v>
      </c>
      <c r="G878" s="186" t="str">
        <f t="shared" si="26"/>
        <v>08RFIG</v>
      </c>
      <c r="H878" s="187" t="str">
        <f>+INDEX([1]Detallado!$D:$D,MATCH(C878,[1]Detallado!$B:$B,0))</f>
        <v>Gobierno de Colombia</v>
      </c>
      <c r="I878" s="28"/>
      <c r="J878" s="184" t="str">
        <f t="shared" si="27"/>
        <v>RFIGOB</v>
      </c>
    </row>
    <row r="879" spans="3:10" x14ac:dyDescent="0.25">
      <c r="C879" s="28" t="s">
        <v>3492</v>
      </c>
      <c r="D879" s="188" t="str">
        <f>+INDEX([1]Detallado!$F:$F,MATCH($C879,[1]Detallado!$B:$B,0))</f>
        <v>Renta Fija</v>
      </c>
      <c r="E879" s="31" t="str">
        <f>+INDEX([1]Detallado!$Q:$Q,MATCH($C879,[1]Detallado!$B:$B,0))</f>
        <v>RFIG</v>
      </c>
      <c r="F879" s="185" t="s">
        <v>4356</v>
      </c>
      <c r="G879" s="186" t="str">
        <f t="shared" si="26"/>
        <v>08RFIG</v>
      </c>
      <c r="H879" s="187" t="str">
        <f>+INDEX([1]Detallado!$D:$D,MATCH(C879,[1]Detallado!$B:$B,0))</f>
        <v>Gobierno de Colombia</v>
      </c>
      <c r="I879" s="28"/>
      <c r="J879" s="184" t="str">
        <f t="shared" si="27"/>
        <v>RFIGOB</v>
      </c>
    </row>
    <row r="880" spans="3:10" x14ac:dyDescent="0.25">
      <c r="C880" s="28" t="s">
        <v>3493</v>
      </c>
      <c r="D880" s="188" t="str">
        <f>+INDEX([1]Detallado!$F:$F,MATCH($C880,[1]Detallado!$B:$B,0))</f>
        <v>Renta Fija</v>
      </c>
      <c r="E880" s="31" t="str">
        <f>+INDEX([1]Detallado!$Q:$Q,MATCH($C880,[1]Detallado!$B:$B,0))</f>
        <v>RFIG</v>
      </c>
      <c r="F880" s="185" t="s">
        <v>4356</v>
      </c>
      <c r="G880" s="186" t="str">
        <f t="shared" si="26"/>
        <v>08RFIG</v>
      </c>
      <c r="H880" s="187" t="str">
        <f>+INDEX([1]Detallado!$D:$D,MATCH(C880,[1]Detallado!$B:$B,0))</f>
        <v>Gobierno de Colombia</v>
      </c>
      <c r="I880" s="28"/>
      <c r="J880" s="184" t="str">
        <f t="shared" si="27"/>
        <v>RFIGOB</v>
      </c>
    </row>
    <row r="881" spans="3:10" x14ac:dyDescent="0.25">
      <c r="C881" s="28" t="s">
        <v>3494</v>
      </c>
      <c r="D881" s="188" t="str">
        <f>+INDEX([1]Detallado!$F:$F,MATCH($C881,[1]Detallado!$B:$B,0))</f>
        <v>Renta Fija</v>
      </c>
      <c r="E881" s="31" t="str">
        <f>+INDEX([1]Detallado!$Q:$Q,MATCH($C881,[1]Detallado!$B:$B,0))</f>
        <v>RFIG</v>
      </c>
      <c r="F881" s="185" t="s">
        <v>4356</v>
      </c>
      <c r="G881" s="186" t="str">
        <f t="shared" si="26"/>
        <v>08RFIG</v>
      </c>
      <c r="H881" s="187" t="str">
        <f>+INDEX([1]Detallado!$D:$D,MATCH(C881,[1]Detallado!$B:$B,0))</f>
        <v>Gobierno de Colombia</v>
      </c>
      <c r="I881" s="28"/>
      <c r="J881" s="184" t="str">
        <f t="shared" si="27"/>
        <v>RFIGOB</v>
      </c>
    </row>
    <row r="882" spans="3:10" x14ac:dyDescent="0.25">
      <c r="C882" s="28" t="s">
        <v>3495</v>
      </c>
      <c r="D882" s="188" t="str">
        <f>+INDEX([1]Detallado!$F:$F,MATCH($C882,[1]Detallado!$B:$B,0))</f>
        <v>Renta Fija</v>
      </c>
      <c r="E882" s="31" t="str">
        <f>+INDEX([1]Detallado!$Q:$Q,MATCH($C882,[1]Detallado!$B:$B,0))</f>
        <v>RFIG</v>
      </c>
      <c r="F882" s="185" t="s">
        <v>4356</v>
      </c>
      <c r="G882" s="186" t="str">
        <f t="shared" si="26"/>
        <v>08RFIG</v>
      </c>
      <c r="H882" s="187" t="str">
        <f>+INDEX([1]Detallado!$D:$D,MATCH(C882,[1]Detallado!$B:$B,0))</f>
        <v>Gobierno de Colombia</v>
      </c>
      <c r="I882" s="28"/>
      <c r="J882" s="184" t="str">
        <f t="shared" si="27"/>
        <v>RFIGOB</v>
      </c>
    </row>
    <row r="883" spans="3:10" x14ac:dyDescent="0.25">
      <c r="C883" s="28" t="s">
        <v>3496</v>
      </c>
      <c r="D883" s="188" t="str">
        <f>+INDEX([1]Detallado!$F:$F,MATCH($C883,[1]Detallado!$B:$B,0))</f>
        <v>Renta Fija</v>
      </c>
      <c r="E883" s="31" t="str">
        <f>+INDEX([1]Detallado!$Q:$Q,MATCH($C883,[1]Detallado!$B:$B,0))</f>
        <v>RFIG</v>
      </c>
      <c r="F883" s="185" t="s">
        <v>4356</v>
      </c>
      <c r="G883" s="186" t="str">
        <f t="shared" si="26"/>
        <v>08RFIG</v>
      </c>
      <c r="H883" s="187" t="str">
        <f>+INDEX([1]Detallado!$D:$D,MATCH(C883,[1]Detallado!$B:$B,0))</f>
        <v>Gobierno de Colombia</v>
      </c>
      <c r="I883" s="28"/>
      <c r="J883" s="184" t="str">
        <f t="shared" si="27"/>
        <v>RFIGOB</v>
      </c>
    </row>
    <row r="884" spans="3:10" x14ac:dyDescent="0.25">
      <c r="C884" s="28" t="s">
        <v>3497</v>
      </c>
      <c r="D884" s="188" t="str">
        <f>+INDEX([1]Detallado!$F:$F,MATCH($C884,[1]Detallado!$B:$B,0))</f>
        <v>Renta Fija</v>
      </c>
      <c r="E884" s="31" t="str">
        <f>+INDEX([1]Detallado!$Q:$Q,MATCH($C884,[1]Detallado!$B:$B,0))</f>
        <v>RFIG</v>
      </c>
      <c r="F884" s="185" t="s">
        <v>4356</v>
      </c>
      <c r="G884" s="186" t="str">
        <f t="shared" si="26"/>
        <v>08RFIG</v>
      </c>
      <c r="H884" s="187" t="str">
        <f>+INDEX([1]Detallado!$D:$D,MATCH(C884,[1]Detallado!$B:$B,0))</f>
        <v>Gobierno de Colombia</v>
      </c>
      <c r="I884" s="28"/>
      <c r="J884" s="184" t="str">
        <f t="shared" si="27"/>
        <v>RFIGOB</v>
      </c>
    </row>
    <row r="885" spans="3:10" x14ac:dyDescent="0.25">
      <c r="C885" s="28" t="s">
        <v>3498</v>
      </c>
      <c r="D885" s="188" t="str">
        <f>+INDEX([1]Detallado!$F:$F,MATCH($C885,[1]Detallado!$B:$B,0))</f>
        <v>Renta Fija</v>
      </c>
      <c r="E885" s="31" t="str">
        <f>+INDEX([1]Detallado!$Q:$Q,MATCH($C885,[1]Detallado!$B:$B,0))</f>
        <v>RFIG</v>
      </c>
      <c r="F885" s="185" t="s">
        <v>4356</v>
      </c>
      <c r="G885" s="186" t="str">
        <f t="shared" si="26"/>
        <v>08RFIG</v>
      </c>
      <c r="H885" s="187" t="str">
        <f>+INDEX([1]Detallado!$D:$D,MATCH(C885,[1]Detallado!$B:$B,0))</f>
        <v>Gobierno de Colombia</v>
      </c>
      <c r="I885" s="28"/>
      <c r="J885" s="184" t="str">
        <f t="shared" si="27"/>
        <v>RFIGOB</v>
      </c>
    </row>
    <row r="886" spans="3:10" x14ac:dyDescent="0.25">
      <c r="C886" s="28" t="s">
        <v>3499</v>
      </c>
      <c r="D886" s="188" t="str">
        <f>+INDEX([1]Detallado!$F:$F,MATCH($C886,[1]Detallado!$B:$B,0))</f>
        <v>Renta Fija</v>
      </c>
      <c r="E886" s="31" t="str">
        <f>+INDEX([1]Detallado!$Q:$Q,MATCH($C886,[1]Detallado!$B:$B,0))</f>
        <v>RFIG</v>
      </c>
      <c r="F886" s="185" t="s">
        <v>4356</v>
      </c>
      <c r="G886" s="186" t="str">
        <f t="shared" si="26"/>
        <v>08RFIG</v>
      </c>
      <c r="H886" s="187" t="str">
        <f>+INDEX([1]Detallado!$D:$D,MATCH(C886,[1]Detallado!$B:$B,0))</f>
        <v>Gobierno de Colombia</v>
      </c>
      <c r="I886" s="28"/>
      <c r="J886" s="184" t="str">
        <f t="shared" si="27"/>
        <v>RFIGOB</v>
      </c>
    </row>
    <row r="887" spans="3:10" x14ac:dyDescent="0.25">
      <c r="C887" s="28" t="s">
        <v>3500</v>
      </c>
      <c r="D887" s="188" t="str">
        <f>+INDEX([1]Detallado!$F:$F,MATCH($C887,[1]Detallado!$B:$B,0))</f>
        <v>Renta Fija</v>
      </c>
      <c r="E887" s="31" t="str">
        <f>+INDEX([1]Detallado!$Q:$Q,MATCH($C887,[1]Detallado!$B:$B,0))</f>
        <v>RFIG</v>
      </c>
      <c r="F887" s="185" t="s">
        <v>4356</v>
      </c>
      <c r="G887" s="186" t="str">
        <f t="shared" si="26"/>
        <v>08RFIG</v>
      </c>
      <c r="H887" s="187" t="str">
        <f>+INDEX([1]Detallado!$D:$D,MATCH(C887,[1]Detallado!$B:$B,0))</f>
        <v>Gobierno de Colombia</v>
      </c>
      <c r="I887" s="28"/>
      <c r="J887" s="184" t="str">
        <f t="shared" si="27"/>
        <v>RFIGOB</v>
      </c>
    </row>
    <row r="888" spans="3:10" x14ac:dyDescent="0.25">
      <c r="C888" s="28" t="s">
        <v>3501</v>
      </c>
      <c r="D888" s="188" t="str">
        <f>+INDEX([1]Detallado!$F:$F,MATCH($C888,[1]Detallado!$B:$B,0))</f>
        <v>Renta Fija</v>
      </c>
      <c r="E888" s="31" t="str">
        <f>+INDEX([1]Detallado!$Q:$Q,MATCH($C888,[1]Detallado!$B:$B,0))</f>
        <v>RFIG</v>
      </c>
      <c r="F888" s="185" t="s">
        <v>4356</v>
      </c>
      <c r="G888" s="186" t="str">
        <f t="shared" si="26"/>
        <v>08RFIG</v>
      </c>
      <c r="H888" s="187" t="str">
        <f>+INDEX([1]Detallado!$D:$D,MATCH(C888,[1]Detallado!$B:$B,0))</f>
        <v>Gobierno de Colombia</v>
      </c>
      <c r="I888" s="28"/>
      <c r="J888" s="184" t="str">
        <f t="shared" si="27"/>
        <v>RFIGOB</v>
      </c>
    </row>
    <row r="889" spans="3:10" x14ac:dyDescent="0.25">
      <c r="C889" s="28" t="s">
        <v>3502</v>
      </c>
      <c r="D889" s="188" t="str">
        <f>+INDEX([1]Detallado!$F:$F,MATCH($C889,[1]Detallado!$B:$B,0))</f>
        <v>Renta Fija</v>
      </c>
      <c r="E889" s="31" t="str">
        <f>+INDEX([1]Detallado!$Q:$Q,MATCH($C889,[1]Detallado!$B:$B,0))</f>
        <v>RFIG</v>
      </c>
      <c r="F889" s="185" t="s">
        <v>4356</v>
      </c>
      <c r="G889" s="186" t="str">
        <f t="shared" si="26"/>
        <v>08RFIG</v>
      </c>
      <c r="H889" s="187" t="str">
        <f>+INDEX([1]Detallado!$D:$D,MATCH(C889,[1]Detallado!$B:$B,0))</f>
        <v>Gobierno de Colombia</v>
      </c>
      <c r="I889" s="28"/>
      <c r="J889" s="184" t="str">
        <f t="shared" si="27"/>
        <v>RFIGOB</v>
      </c>
    </row>
    <row r="890" spans="3:10" x14ac:dyDescent="0.25">
      <c r="C890" s="28" t="s">
        <v>1948</v>
      </c>
      <c r="D890" s="188" t="str">
        <f>+INDEX([1]Detallado!$F:$F,MATCH($C890,[1]Detallado!$B:$B,0))</f>
        <v>Renta Fija</v>
      </c>
      <c r="E890" s="31" t="str">
        <f>+INDEX([1]Detallado!$Q:$Q,MATCH($C890,[1]Detallado!$B:$B,0))</f>
        <v>RFIG</v>
      </c>
      <c r="F890" s="185" t="s">
        <v>4355</v>
      </c>
      <c r="G890" s="186" t="str">
        <f t="shared" si="26"/>
        <v>52RFIG</v>
      </c>
      <c r="H890" s="187" t="str">
        <f>+INDEX([1]Detallado!$D:$D,MATCH(C890,[1]Detallado!$B:$B,0))</f>
        <v>BNY Mellon - Emerging Market Debt LC Fund</v>
      </c>
      <c r="I890" s="28"/>
      <c r="J890" s="184" t="str">
        <f t="shared" si="27"/>
        <v>RFITD</v>
      </c>
    </row>
    <row r="891" spans="3:10" x14ac:dyDescent="0.25">
      <c r="C891" s="28" t="s">
        <v>1952</v>
      </c>
      <c r="D891" s="188" t="str">
        <f>+INDEX([1]Detallado!$F:$F,MATCH($C891,[1]Detallado!$B:$B,0))</f>
        <v>Renta Fija</v>
      </c>
      <c r="E891" s="31" t="str">
        <f>+INDEX([1]Detallado!$Q:$Q,MATCH($C891,[1]Detallado!$B:$B,0))</f>
        <v>RFIG</v>
      </c>
      <c r="F891" s="185" t="s">
        <v>4355</v>
      </c>
      <c r="G891" s="186" t="str">
        <f t="shared" si="26"/>
        <v>52RFIG</v>
      </c>
      <c r="H891" s="187" t="str">
        <f>+INDEX([1]Detallado!$D:$D,MATCH(C891,[1]Detallado!$B:$B,0))</f>
        <v>BNY Mellon - Emerging Market Debt LC Fund</v>
      </c>
      <c r="I891" s="28"/>
      <c r="J891" s="184" t="str">
        <f t="shared" si="27"/>
        <v>RFITD</v>
      </c>
    </row>
    <row r="892" spans="3:10" x14ac:dyDescent="0.25">
      <c r="C892" s="28" t="s">
        <v>1741</v>
      </c>
      <c r="D892" s="188" t="str">
        <f>+INDEX([1]Detallado!$F:$F,MATCH($C892,[1]Detallado!$B:$B,0))</f>
        <v>Renta Fija</v>
      </c>
      <c r="E892" s="31" t="str">
        <f>+INDEX([1]Detallado!$Q:$Q,MATCH($C892,[1]Detallado!$B:$B,0))</f>
        <v>RFIG</v>
      </c>
      <c r="F892" s="185" t="s">
        <v>4355</v>
      </c>
      <c r="G892" s="186" t="str">
        <f t="shared" si="26"/>
        <v>52RFIG</v>
      </c>
      <c r="H892" s="187" t="str">
        <f>+INDEX([1]Detallado!$D:$D,MATCH(C892,[1]Detallado!$B:$B,0))</f>
        <v>GAM - Local Emerging Bond Fund</v>
      </c>
      <c r="I892" s="28"/>
      <c r="J892" s="184" t="str">
        <f t="shared" si="27"/>
        <v>RFITD</v>
      </c>
    </row>
    <row r="893" spans="3:10" x14ac:dyDescent="0.25">
      <c r="C893" s="28" t="s">
        <v>3503</v>
      </c>
      <c r="D893" s="188" t="str">
        <f>+INDEX([1]Detallado!$F:$F,MATCH($C893,[1]Detallado!$B:$B,0))</f>
        <v>Renta Fija</v>
      </c>
      <c r="E893" s="31" t="str">
        <f>+INDEX([1]Detallado!$Q:$Q,MATCH($C893,[1]Detallado!$B:$B,0))</f>
        <v>RFIG</v>
      </c>
      <c r="F893" s="185" t="s">
        <v>4355</v>
      </c>
      <c r="G893" s="186" t="str">
        <f t="shared" si="26"/>
        <v>52RFIG</v>
      </c>
      <c r="H893" s="187" t="str">
        <f>+INDEX([1]Detallado!$D:$D,MATCH(C893,[1]Detallado!$B:$B,0))</f>
        <v>Pictet - Latin America Local Currency Debt</v>
      </c>
      <c r="I893" s="28"/>
      <c r="J893" s="184" t="str">
        <f t="shared" si="27"/>
        <v>RFITD</v>
      </c>
    </row>
    <row r="894" spans="3:10" x14ac:dyDescent="0.25">
      <c r="C894" s="28" t="s">
        <v>3504</v>
      </c>
      <c r="D894" s="188" t="str">
        <f>+INDEX([1]Detallado!$F:$F,MATCH($C894,[1]Detallado!$B:$B,0))</f>
        <v>Renta Fija</v>
      </c>
      <c r="E894" s="31" t="str">
        <f>+INDEX([1]Detallado!$Q:$Q,MATCH($C894,[1]Detallado!$B:$B,0))</f>
        <v>RFIG</v>
      </c>
      <c r="F894" s="185" t="s">
        <v>4355</v>
      </c>
      <c r="G894" s="186" t="str">
        <f t="shared" si="26"/>
        <v>52RFIG</v>
      </c>
      <c r="H894" s="187" t="str">
        <f>+INDEX([1]Detallado!$D:$D,MATCH(C894,[1]Detallado!$B:$B,0))</f>
        <v>Pictet - Latin America Local Currency Debt</v>
      </c>
      <c r="I894" s="28"/>
      <c r="J894" s="184" t="str">
        <f t="shared" si="27"/>
        <v>RFITD</v>
      </c>
    </row>
    <row r="895" spans="3:10" x14ac:dyDescent="0.25">
      <c r="C895" s="28" t="s">
        <v>593</v>
      </c>
      <c r="D895" s="188" t="str">
        <f>+INDEX([1]Detallado!$F:$F,MATCH($C895,[1]Detallado!$B:$B,0))</f>
        <v>Renta Fija</v>
      </c>
      <c r="E895" s="31" t="str">
        <f>+INDEX([1]Detallado!$Q:$Q,MATCH($C895,[1]Detallado!$B:$B,0))</f>
        <v>RFIG</v>
      </c>
      <c r="F895" s="185" t="s">
        <v>4355</v>
      </c>
      <c r="G895" s="186" t="str">
        <f t="shared" si="26"/>
        <v>52RFIG</v>
      </c>
      <c r="H895" s="187" t="str">
        <f>+INDEX([1]Detallado!$D:$D,MATCH(C895,[1]Detallado!$B:$B,0))</f>
        <v>Barings - Emerging Markets Local Debt Fund</v>
      </c>
      <c r="I895" s="28"/>
      <c r="J895" s="184" t="str">
        <f t="shared" si="27"/>
        <v>RFITD</v>
      </c>
    </row>
    <row r="896" spans="3:10" x14ac:dyDescent="0.25">
      <c r="C896" s="28" t="s">
        <v>2013</v>
      </c>
      <c r="D896" s="188" t="str">
        <f>+INDEX([1]Detallado!$F:$F,MATCH($C896,[1]Detallado!$B:$B,0))</f>
        <v>Renta Fija</v>
      </c>
      <c r="E896" s="31" t="str">
        <f>+INDEX([1]Detallado!$Q:$Q,MATCH($C896,[1]Detallado!$B:$B,0))</f>
        <v>RFIG</v>
      </c>
      <c r="F896" s="185" t="s">
        <v>4355</v>
      </c>
      <c r="G896" s="186" t="str">
        <f t="shared" si="26"/>
        <v>52RFIG</v>
      </c>
      <c r="H896" s="187" t="str">
        <f>+INDEX([1]Detallado!$D:$D,MATCH(C896,[1]Detallado!$B:$B,0))</f>
        <v>Investec - Emerging Markets  LC Debt Fund</v>
      </c>
      <c r="I896" s="28"/>
      <c r="J896" s="184" t="str">
        <f t="shared" si="27"/>
        <v>RFITD</v>
      </c>
    </row>
    <row r="897" spans="3:10" x14ac:dyDescent="0.25">
      <c r="C897" s="28" t="s">
        <v>1989</v>
      </c>
      <c r="D897" s="188" t="str">
        <f>+INDEX([1]Detallado!$F:$F,MATCH($C897,[1]Detallado!$B:$B,0))</f>
        <v>Renta Fija</v>
      </c>
      <c r="E897" s="31" t="str">
        <f>+INDEX([1]Detallado!$Q:$Q,MATCH($C897,[1]Detallado!$B:$B,0))</f>
        <v>RFIG</v>
      </c>
      <c r="F897" s="185" t="s">
        <v>4355</v>
      </c>
      <c r="G897" s="186" t="str">
        <f t="shared" si="26"/>
        <v>52RFIG</v>
      </c>
      <c r="H897" s="187" t="str">
        <f>+INDEX([1]Detallado!$D:$D,MATCH(C897,[1]Detallado!$B:$B,0))</f>
        <v>Parvest - Bond World Emerging Local</v>
      </c>
      <c r="I897" s="28"/>
      <c r="J897" s="184" t="str">
        <f t="shared" si="27"/>
        <v>RFITD</v>
      </c>
    </row>
    <row r="898" spans="3:10" x14ac:dyDescent="0.25">
      <c r="C898" s="28" t="s">
        <v>723</v>
      </c>
      <c r="D898" s="188" t="str">
        <f>+INDEX([1]Detallado!$F:$F,MATCH($C898,[1]Detallado!$B:$B,0))</f>
        <v>Renta Fija</v>
      </c>
      <c r="E898" s="31" t="str">
        <f>+INDEX([1]Detallado!$Q:$Q,MATCH($C898,[1]Detallado!$B:$B,0))</f>
        <v>RFIG</v>
      </c>
      <c r="F898" s="185" t="s">
        <v>4355</v>
      </c>
      <c r="G898" s="186" t="str">
        <f t="shared" si="26"/>
        <v>52RFIG</v>
      </c>
      <c r="H898" s="187" t="str">
        <f>+INDEX([1]Detallado!$D:$D,MATCH(C898,[1]Detallado!$B:$B,0))</f>
        <v>VanEck - JPM EM LC Bond ETF</v>
      </c>
      <c r="I898" s="28"/>
      <c r="J898" s="184" t="str">
        <f t="shared" si="27"/>
        <v>RFITD</v>
      </c>
    </row>
    <row r="899" spans="3:10" x14ac:dyDescent="0.25">
      <c r="C899" s="28" t="s">
        <v>1898</v>
      </c>
      <c r="D899" s="188" t="str">
        <f>+INDEX([1]Detallado!$F:$F,MATCH($C899,[1]Detallado!$B:$B,0))</f>
        <v>Renta Fija</v>
      </c>
      <c r="E899" s="31" t="str">
        <f>+INDEX([1]Detallado!$Q:$Q,MATCH($C899,[1]Detallado!$B:$B,0))</f>
        <v>RFIG</v>
      </c>
      <c r="F899" s="185" t="s">
        <v>4355</v>
      </c>
      <c r="G899" s="186" t="str">
        <f t="shared" si="26"/>
        <v>52RFIG</v>
      </c>
      <c r="H899" s="187" t="str">
        <f>+INDEX([1]Detallado!$D:$D,MATCH(C899,[1]Detallado!$B:$B,0))</f>
        <v>Franklin Templeton - Emerging Markets Bond Fund</v>
      </c>
      <c r="I899" s="28"/>
      <c r="J899" s="184" t="str">
        <f t="shared" si="27"/>
        <v>RFITD</v>
      </c>
    </row>
    <row r="900" spans="3:10" x14ac:dyDescent="0.25">
      <c r="C900" s="28" t="s">
        <v>1901</v>
      </c>
      <c r="D900" s="188" t="str">
        <f>+INDEX([1]Detallado!$F:$F,MATCH($C900,[1]Detallado!$B:$B,0))</f>
        <v>Renta Fija</v>
      </c>
      <c r="E900" s="31" t="str">
        <f>+INDEX([1]Detallado!$Q:$Q,MATCH($C900,[1]Detallado!$B:$B,0))</f>
        <v>RFIG</v>
      </c>
      <c r="F900" s="185" t="s">
        <v>4355</v>
      </c>
      <c r="G900" s="186" t="str">
        <f t="shared" si="26"/>
        <v>52RFIG</v>
      </c>
      <c r="H900" s="187" t="str">
        <f>+INDEX([1]Detallado!$D:$D,MATCH(C900,[1]Detallado!$B:$B,0))</f>
        <v>Franklin Templeton - Global Total Return Fund</v>
      </c>
      <c r="I900" s="28"/>
      <c r="J900" s="184" t="str">
        <f t="shared" si="27"/>
        <v>RFITD</v>
      </c>
    </row>
    <row r="901" spans="3:10" x14ac:dyDescent="0.25">
      <c r="C901" s="28" t="s">
        <v>1885</v>
      </c>
      <c r="D901" s="188" t="str">
        <f>+INDEX([1]Detallado!$F:$F,MATCH($C901,[1]Detallado!$B:$B,0))</f>
        <v>Renta Fija</v>
      </c>
      <c r="E901" s="31" t="str">
        <f>+INDEX([1]Detallado!$Q:$Q,MATCH($C901,[1]Detallado!$B:$B,0))</f>
        <v>RFIG</v>
      </c>
      <c r="F901" s="185" t="s">
        <v>4355</v>
      </c>
      <c r="G901" s="186" t="str">
        <f t="shared" si="26"/>
        <v>52RFIG</v>
      </c>
      <c r="H901" s="187" t="str">
        <f>+INDEX([1]Detallado!$D:$D,MATCH(C901,[1]Detallado!$B:$B,0))</f>
        <v>Franklin Templeton - Global Fund</v>
      </c>
      <c r="I901" s="28"/>
      <c r="J901" s="184" t="str">
        <f t="shared" si="27"/>
        <v>RFITD</v>
      </c>
    </row>
    <row r="902" spans="3:10" x14ac:dyDescent="0.25">
      <c r="C902" s="28" t="s">
        <v>707</v>
      </c>
      <c r="D902" s="188" t="str">
        <f>+INDEX([1]Detallado!$F:$F,MATCH($C902,[1]Detallado!$B:$B,0))</f>
        <v>Renta Fija</v>
      </c>
      <c r="E902" s="31" t="str">
        <f>+INDEX([1]Detallado!$Q:$Q,MATCH($C902,[1]Detallado!$B:$B,0))</f>
        <v>RFIG</v>
      </c>
      <c r="F902" s="185" t="s">
        <v>4355</v>
      </c>
      <c r="G902" s="186" t="str">
        <f t="shared" si="26"/>
        <v>52RFIG</v>
      </c>
      <c r="H902" s="187" t="str">
        <f>+INDEX([1]Detallado!$D:$D,MATCH(C902,[1]Detallado!$B:$B,0))</f>
        <v>Pictet Chinese LC Debt</v>
      </c>
      <c r="I902" s="28"/>
      <c r="J902" s="184" t="str">
        <f t="shared" si="27"/>
        <v>RFITD</v>
      </c>
    </row>
    <row r="903" spans="3:10" x14ac:dyDescent="0.25">
      <c r="C903" s="28" t="s">
        <v>1979</v>
      </c>
      <c r="D903" s="188" t="str">
        <f>+INDEX([1]Detallado!$F:$F,MATCH($C903,[1]Detallado!$B:$B,0))</f>
        <v>Renta Fija</v>
      </c>
      <c r="E903" s="31" t="str">
        <f>+INDEX([1]Detallado!$Q:$Q,MATCH($C903,[1]Detallado!$B:$B,0))</f>
        <v>RFIG</v>
      </c>
      <c r="F903" s="185" t="s">
        <v>4355</v>
      </c>
      <c r="G903" s="186" t="str">
        <f t="shared" si="26"/>
        <v>52RFIG</v>
      </c>
      <c r="H903" s="187" t="str">
        <f>+INDEX([1]Detallado!$D:$D,MATCH(C903,[1]Detallado!$B:$B,0))</f>
        <v>Pictet - EM Local Currency</v>
      </c>
      <c r="I903" s="28"/>
      <c r="J903" s="184" t="str">
        <f t="shared" si="27"/>
        <v>RFITD</v>
      </c>
    </row>
    <row r="904" spans="3:10" x14ac:dyDescent="0.25">
      <c r="C904" s="28" t="s">
        <v>2526</v>
      </c>
      <c r="D904" s="188" t="str">
        <f>+INDEX([1]Detallado!$F:$F,MATCH($C904,[1]Detallado!$B:$B,0))</f>
        <v>Renta Fija</v>
      </c>
      <c r="E904" s="31" t="str">
        <f>+INDEX([1]Detallado!$Q:$Q,MATCH($C904,[1]Detallado!$B:$B,0))</f>
        <v>RFIG</v>
      </c>
      <c r="F904" s="185" t="s">
        <v>4355</v>
      </c>
      <c r="G904" s="186" t="str">
        <f t="shared" si="26"/>
        <v>52RFIG</v>
      </c>
      <c r="H904" s="187" t="str">
        <f>+INDEX([1]Detallado!$D:$D,MATCH(C904,[1]Detallado!$B:$B,0))</f>
        <v>BlackRock - iShares China CNY Bond UCITS ETF</v>
      </c>
      <c r="I904" s="28"/>
      <c r="J904" s="184" t="str">
        <f t="shared" si="27"/>
        <v>RFITD</v>
      </c>
    </row>
    <row r="905" spans="3:10" x14ac:dyDescent="0.25">
      <c r="C905" s="28" t="s">
        <v>2163</v>
      </c>
      <c r="D905" s="188" t="str">
        <f>+INDEX([1]Detallado!$F:$F,MATCH($C905,[1]Detallado!$B:$B,0))</f>
        <v>Renta Fija</v>
      </c>
      <c r="E905" s="31" t="str">
        <f>+INDEX([1]Detallado!$Q:$Q,MATCH($C905,[1]Detallado!$B:$B,0))</f>
        <v>RFIG</v>
      </c>
      <c r="F905" s="185" t="s">
        <v>4355</v>
      </c>
      <c r="G905" s="186" t="str">
        <f t="shared" si="26"/>
        <v>52RFIG</v>
      </c>
      <c r="H905" s="187" t="str">
        <f>+INDEX([1]Detallado!$D:$D,MATCH(C905,[1]Detallado!$B:$B,0))</f>
        <v>BlackRock - iShares JPM EM Local Government Bond</v>
      </c>
      <c r="I905" s="28"/>
      <c r="J905" s="184" t="str">
        <f t="shared" si="27"/>
        <v>RFITD</v>
      </c>
    </row>
    <row r="906" spans="3:10" x14ac:dyDescent="0.25">
      <c r="C906" s="28" t="s">
        <v>1541</v>
      </c>
      <c r="D906" s="188" t="str">
        <f>+INDEX([1]Detallado!$F:$F,MATCH($C906,[1]Detallado!$B:$B,0))</f>
        <v>Renta Fija</v>
      </c>
      <c r="E906" s="31" t="str">
        <f>+INDEX([1]Detallado!$Q:$Q,MATCH($C906,[1]Detallado!$B:$B,0))</f>
        <v>RFIG</v>
      </c>
      <c r="F906" s="185" t="s">
        <v>4355</v>
      </c>
      <c r="G906" s="186" t="str">
        <f t="shared" ref="G906:G969" si="28">LEFT(C906,2)&amp;E906</f>
        <v>52RFIG</v>
      </c>
      <c r="H906" s="187" t="str">
        <f>+INDEX([1]Detallado!$D:$D,MATCH(C906,[1]Detallado!$B:$B,0))</f>
        <v>BlackRock - iShares JP Morgan EM Local Currency</v>
      </c>
      <c r="I906" s="28"/>
      <c r="J906" s="184" t="str">
        <f t="shared" ref="J906:J969" si="29">IF(E906="ALT",LEFT(E906,3),LEFT(E906,3)&amp;F906)</f>
        <v>RFITD</v>
      </c>
    </row>
    <row r="907" spans="3:10" x14ac:dyDescent="0.25">
      <c r="C907" s="28" t="s">
        <v>2309</v>
      </c>
      <c r="D907" s="188" t="str">
        <f>+INDEX([1]Detallado!$F:$F,MATCH($C907,[1]Detallado!$B:$B,0))</f>
        <v>Renta Fija</v>
      </c>
      <c r="E907" s="31" t="str">
        <f>+INDEX([1]Detallado!$Q:$Q,MATCH($C907,[1]Detallado!$B:$B,0))</f>
        <v>RFIG</v>
      </c>
      <c r="F907" s="185" t="s">
        <v>4355</v>
      </c>
      <c r="G907" s="186" t="str">
        <f t="shared" si="28"/>
        <v>52RFIG</v>
      </c>
      <c r="H907" s="187" t="str">
        <f>+INDEX([1]Detallado!$D:$D,MATCH(C907,[1]Detallado!$B:$B,0))</f>
        <v>Ashmore - Emerging Markets Local Currency Bond Fund</v>
      </c>
      <c r="I907" s="28"/>
      <c r="J907" s="184" t="str">
        <f t="shared" si="29"/>
        <v>RFITD</v>
      </c>
    </row>
    <row r="908" spans="3:10" x14ac:dyDescent="0.25">
      <c r="C908" s="28" t="s">
        <v>3505</v>
      </c>
      <c r="D908" s="188" t="str">
        <f>+INDEX([1]Detallado!$F:$F,MATCH($C908,[1]Detallado!$B:$B,0))</f>
        <v>Renta Fija</v>
      </c>
      <c r="E908" s="31" t="str">
        <f>+INDEX([1]Detallado!$Q:$Q,MATCH($C908,[1]Detallado!$B:$B,0))</f>
        <v>RFIG</v>
      </c>
      <c r="F908" s="185" t="s">
        <v>4355</v>
      </c>
      <c r="G908" s="186" t="str">
        <f t="shared" si="28"/>
        <v>52RFIG</v>
      </c>
      <c r="H908" s="187" t="str">
        <f>+INDEX([1]Detallado!$D:$D,MATCH(C908,[1]Detallado!$B:$B,0))</f>
        <v>Aviva - Emerging Markets Local Currency Bond Fund</v>
      </c>
      <c r="I908" s="28"/>
      <c r="J908" s="184" t="str">
        <f t="shared" si="29"/>
        <v>RFITD</v>
      </c>
    </row>
    <row r="909" spans="3:10" x14ac:dyDescent="0.25">
      <c r="C909" s="28" t="s">
        <v>2264</v>
      </c>
      <c r="D909" s="188" t="e">
        <f>+INDEX([1]Detallado!$F:$F,MATCH($C909,[1]Detallado!$B:$B,0))</f>
        <v>#N/A</v>
      </c>
      <c r="E909" s="31" t="e">
        <f>+INDEX([1]Detallado!$Q:$Q,MATCH($C909,[1]Detallado!$B:$B,0))</f>
        <v>#N/A</v>
      </c>
      <c r="F909" s="185" t="s">
        <v>4355</v>
      </c>
      <c r="G909" s="186" t="e">
        <f t="shared" si="28"/>
        <v>#N/A</v>
      </c>
      <c r="H909" s="187" t="e">
        <f>+INDEX([1]Detallado!$D:$D,MATCH(C909,[1]Detallado!$B:$B,0))</f>
        <v>#N/A</v>
      </c>
      <c r="I909" s="28"/>
      <c r="J909" s="184" t="e">
        <f t="shared" si="29"/>
        <v>#N/A</v>
      </c>
    </row>
    <row r="910" spans="3:10" x14ac:dyDescent="0.25">
      <c r="C910" s="28" t="s">
        <v>2566</v>
      </c>
      <c r="D910" s="188" t="str">
        <f>+INDEX([1]Detallado!$F:$F,MATCH($C910,[1]Detallado!$B:$B,0))</f>
        <v>Renta Fija</v>
      </c>
      <c r="E910" s="31" t="str">
        <f>+INDEX([1]Detallado!$Q:$Q,MATCH($C910,[1]Detallado!$B:$B,0))</f>
        <v>RFIG</v>
      </c>
      <c r="F910" s="185" t="s">
        <v>4355</v>
      </c>
      <c r="G910" s="186" t="str">
        <f t="shared" si="28"/>
        <v>52RFIG</v>
      </c>
      <c r="H910" s="187" t="str">
        <f>+INDEX([1]Detallado!$D:$D,MATCH(C910,[1]Detallado!$B:$B,0))</f>
        <v>Aktia EM Frontier Bond+ CapCap</v>
      </c>
      <c r="I910" s="28"/>
      <c r="J910" s="184" t="str">
        <f t="shared" si="29"/>
        <v>RFITD</v>
      </c>
    </row>
    <row r="911" spans="3:10" x14ac:dyDescent="0.25">
      <c r="C911" s="28" t="s">
        <v>2359</v>
      </c>
      <c r="D911" s="188" t="e">
        <f>+INDEX([1]Detallado!$F:$F,MATCH($C911,[1]Detallado!$B:$B,0))</f>
        <v>#N/A</v>
      </c>
      <c r="E911" s="31" t="e">
        <f>+INDEX([1]Detallado!$Q:$Q,MATCH($C911,[1]Detallado!$B:$B,0))</f>
        <v>#N/A</v>
      </c>
      <c r="F911" s="185" t="s">
        <v>4355</v>
      </c>
      <c r="G911" s="186" t="e">
        <f t="shared" si="28"/>
        <v>#N/A</v>
      </c>
      <c r="H911" s="187" t="e">
        <f>+INDEX([1]Detallado!$D:$D,MATCH(C911,[1]Detallado!$B:$B,0))</f>
        <v>#N/A</v>
      </c>
      <c r="I911" s="28"/>
      <c r="J911" s="184" t="e">
        <f t="shared" si="29"/>
        <v>#N/A</v>
      </c>
    </row>
    <row r="912" spans="3:10" x14ac:dyDescent="0.25">
      <c r="C912" s="28" t="s">
        <v>2267</v>
      </c>
      <c r="D912" s="188" t="str">
        <f>+INDEX([1]Detallado!$F:$F,MATCH($C912,[1]Detallado!$B:$B,0))</f>
        <v>Renta Fija</v>
      </c>
      <c r="E912" s="31" t="str">
        <f>+INDEX([1]Detallado!$Q:$Q,MATCH($C912,[1]Detallado!$B:$B,0))</f>
        <v>RFIG</v>
      </c>
      <c r="F912" s="185" t="s">
        <v>4355</v>
      </c>
      <c r="G912" s="186" t="str">
        <f t="shared" si="28"/>
        <v>52RFIG</v>
      </c>
      <c r="H912" s="187" t="str">
        <f>+INDEX([1]Detallado!$D:$D,MATCH(C912,[1]Detallado!$B:$B,0))</f>
        <v>Schroder - Selection Fund China Local Currency Bond</v>
      </c>
      <c r="I912" s="28"/>
      <c r="J912" s="184" t="str">
        <f t="shared" si="29"/>
        <v>RFITD</v>
      </c>
    </row>
    <row r="913" spans="3:10" x14ac:dyDescent="0.25">
      <c r="C913" s="28" t="s">
        <v>2563</v>
      </c>
      <c r="D913" s="188" t="str">
        <f>+INDEX([1]Detallado!$F:$F,MATCH($C913,[1]Detallado!$B:$B,0))</f>
        <v>Renta Fija</v>
      </c>
      <c r="E913" s="31" t="str">
        <f>+INDEX([1]Detallado!$Q:$Q,MATCH($C913,[1]Detallado!$B:$B,0))</f>
        <v>RFIG</v>
      </c>
      <c r="F913" s="185" t="s">
        <v>4355</v>
      </c>
      <c r="G913" s="186" t="str">
        <f t="shared" si="28"/>
        <v>52RFIG</v>
      </c>
      <c r="H913" s="187" t="str">
        <f>+INDEX([1]Detallado!$D:$D,MATCH(C913,[1]Detallado!$B:$B,0))</f>
        <v>Invesco - EM Local Debt Fund</v>
      </c>
      <c r="I913" s="28"/>
      <c r="J913" s="184" t="str">
        <f t="shared" si="29"/>
        <v>RFITD</v>
      </c>
    </row>
    <row r="914" spans="3:10" x14ac:dyDescent="0.25">
      <c r="C914" s="28" t="s">
        <v>654</v>
      </c>
      <c r="D914" s="188" t="str">
        <f>+INDEX([1]Detallado!$F:$F,MATCH($C914,[1]Detallado!$B:$B,0))</f>
        <v>Renta Fija</v>
      </c>
      <c r="E914" s="31" t="str">
        <f>+INDEX([1]Detallado!$Q:$Q,MATCH($C914,[1]Detallado!$B:$B,0))</f>
        <v>RFIG</v>
      </c>
      <c r="F914" s="185" t="s">
        <v>4355</v>
      </c>
      <c r="G914" s="186" t="str">
        <f t="shared" si="28"/>
        <v>52RFIG</v>
      </c>
      <c r="H914" s="187" t="str">
        <f>+INDEX([1]Detallado!$D:$D,MATCH(C914,[1]Detallado!$B:$B,0))</f>
        <v>Pimco - Emerging Markets Local Bond Fund</v>
      </c>
      <c r="I914" s="28"/>
      <c r="J914" s="184" t="str">
        <f t="shared" si="29"/>
        <v>RFITD</v>
      </c>
    </row>
    <row r="915" spans="3:10" x14ac:dyDescent="0.25">
      <c r="C915" s="28" t="s">
        <v>2396</v>
      </c>
      <c r="D915" s="188" t="str">
        <f>+INDEX([1]Detallado!$F:$F,MATCH($C915,[1]Detallado!$B:$B,0))</f>
        <v>Renta Fija</v>
      </c>
      <c r="E915" s="31" t="str">
        <f>+INDEX([1]Detallado!$Q:$Q,MATCH($C915,[1]Detallado!$B:$B,0))</f>
        <v>RFIG</v>
      </c>
      <c r="F915" s="185" t="s">
        <v>4355</v>
      </c>
      <c r="G915" s="186" t="str">
        <f t="shared" si="28"/>
        <v>52RFIG</v>
      </c>
      <c r="H915" s="187" t="str">
        <f>+INDEX([1]Detallado!$D:$D,MATCH(C915,[1]Detallado!$B:$B,0))</f>
        <v>Wellington - Emerging Local Debt Fund</v>
      </c>
      <c r="I915" s="28"/>
      <c r="J915" s="184" t="str">
        <f t="shared" si="29"/>
        <v>RFITD</v>
      </c>
    </row>
    <row r="916" spans="3:10" x14ac:dyDescent="0.25">
      <c r="C916" s="28" t="s">
        <v>665</v>
      </c>
      <c r="D916" s="188" t="str">
        <f>+INDEX([1]Detallado!$F:$F,MATCH($C916,[1]Detallado!$B:$B,0))</f>
        <v>Renta Fija</v>
      </c>
      <c r="E916" s="31" t="str">
        <f>+INDEX([1]Detallado!$Q:$Q,MATCH($C916,[1]Detallado!$B:$B,0))</f>
        <v>RFIG</v>
      </c>
      <c r="F916" s="185" t="s">
        <v>4355</v>
      </c>
      <c r="G916" s="186" t="str">
        <f t="shared" si="28"/>
        <v>52RFIG</v>
      </c>
      <c r="H916" s="187" t="str">
        <f>+INDEX([1]Detallado!$D:$D,MATCH(C916,[1]Detallado!$B:$B,0))</f>
        <v>Degroof - EM  Sustainable Debt</v>
      </c>
      <c r="I916" s="28"/>
      <c r="J916" s="184" t="str">
        <f t="shared" si="29"/>
        <v>RFITD</v>
      </c>
    </row>
    <row r="917" spans="3:10" x14ac:dyDescent="0.25">
      <c r="C917" s="28" t="s">
        <v>3506</v>
      </c>
      <c r="D917" s="188" t="str">
        <f>+INDEX([1]Detallado!$F:$F,MATCH($C917,[1]Detallado!$B:$B,0))</f>
        <v>Renta Fija</v>
      </c>
      <c r="E917" s="31" t="str">
        <f>+INDEX([1]Detallado!$Q:$Q,MATCH($C917,[1]Detallado!$B:$B,0))</f>
        <v>RFIG</v>
      </c>
      <c r="F917" s="185" t="s">
        <v>4355</v>
      </c>
      <c r="G917" s="186" t="str">
        <f t="shared" si="28"/>
        <v>52RFIG</v>
      </c>
      <c r="H917" s="187" t="str">
        <f>+INDEX([1]Detallado!$D:$D,MATCH(C917,[1]Detallado!$B:$B,0))</f>
        <v>DMS - EM Local Currency</v>
      </c>
      <c r="I917" s="28"/>
      <c r="J917" s="184" t="str">
        <f t="shared" si="29"/>
        <v>RFITD</v>
      </c>
    </row>
    <row r="918" spans="3:10" x14ac:dyDescent="0.25">
      <c r="C918" s="28" t="s">
        <v>2138</v>
      </c>
      <c r="D918" s="188" t="str">
        <f>+INDEX([1]Detallado!$F:$F,MATCH($C918,[1]Detallado!$B:$B,0))</f>
        <v>Renta Fija</v>
      </c>
      <c r="E918" s="31" t="str">
        <f>+INDEX([1]Detallado!$Q:$Q,MATCH($C918,[1]Detallado!$B:$B,0))</f>
        <v>RFIG</v>
      </c>
      <c r="F918" s="185" t="s">
        <v>4355</v>
      </c>
      <c r="G918" s="186" t="str">
        <f t="shared" si="28"/>
        <v>52RFIG</v>
      </c>
      <c r="H918" s="187" t="str">
        <f>+INDEX([1]Detallado!$D:$D,MATCH(C918,[1]Detallado!$B:$B,0))</f>
        <v>Investec Luxembourg - EM Local Currency</v>
      </c>
      <c r="I918" s="28"/>
      <c r="J918" s="184" t="str">
        <f t="shared" si="29"/>
        <v>RFITD</v>
      </c>
    </row>
    <row r="919" spans="3:10" x14ac:dyDescent="0.25">
      <c r="C919" s="28" t="s">
        <v>3507</v>
      </c>
      <c r="D919" s="188" t="str">
        <f>+INDEX([1]Detallado!$F:$F,MATCH($C919,[1]Detallado!$B:$B,0))</f>
        <v>Renta Fija</v>
      </c>
      <c r="E919" s="31" t="str">
        <f>+INDEX([1]Detallado!$Q:$Q,MATCH($C919,[1]Detallado!$B:$B,0))</f>
        <v>RFIG</v>
      </c>
      <c r="F919" s="185" t="s">
        <v>4356</v>
      </c>
      <c r="G919" s="186" t="str">
        <f t="shared" si="28"/>
        <v>08RFIG</v>
      </c>
      <c r="H919" s="187" t="str">
        <f>+INDEX([1]Detallado!$D:$D,MATCH(C919,[1]Detallado!$B:$B,0))</f>
        <v>Gobierno de México</v>
      </c>
      <c r="I919" s="28"/>
      <c r="J919" s="184" t="str">
        <f t="shared" si="29"/>
        <v>RFIGOB</v>
      </c>
    </row>
    <row r="920" spans="3:10" x14ac:dyDescent="0.25">
      <c r="C920" s="28" t="s">
        <v>3508</v>
      </c>
      <c r="D920" s="188" t="str">
        <f>+INDEX([1]Detallado!$F:$F,MATCH($C920,[1]Detallado!$B:$B,0))</f>
        <v>Renta Fija</v>
      </c>
      <c r="E920" s="31" t="str">
        <f>+INDEX([1]Detallado!$Q:$Q,MATCH($C920,[1]Detallado!$B:$B,0))</f>
        <v>RFIG</v>
      </c>
      <c r="F920" s="185" t="s">
        <v>4356</v>
      </c>
      <c r="G920" s="186" t="str">
        <f t="shared" si="28"/>
        <v>08RFIG</v>
      </c>
      <c r="H920" s="187" t="str">
        <f>+INDEX([1]Detallado!$D:$D,MATCH(C920,[1]Detallado!$B:$B,0))</f>
        <v>Gobierno de México</v>
      </c>
      <c r="I920" s="28"/>
      <c r="J920" s="184" t="str">
        <f t="shared" si="29"/>
        <v>RFIGOB</v>
      </c>
    </row>
    <row r="921" spans="3:10" x14ac:dyDescent="0.25">
      <c r="C921" s="28" t="s">
        <v>3509</v>
      </c>
      <c r="D921" s="188" t="str">
        <f>+INDEX([1]Detallado!$F:$F,MATCH($C921,[1]Detallado!$B:$B,0))</f>
        <v>Renta Fija</v>
      </c>
      <c r="E921" s="31" t="str">
        <f>+INDEX([1]Detallado!$Q:$Q,MATCH($C921,[1]Detallado!$B:$B,0))</f>
        <v>RFIG</v>
      </c>
      <c r="F921" s="185" t="s">
        <v>4356</v>
      </c>
      <c r="G921" s="186" t="str">
        <f t="shared" si="28"/>
        <v>08RFIG</v>
      </c>
      <c r="H921" s="187" t="str">
        <f>+INDEX([1]Detallado!$D:$D,MATCH(C921,[1]Detallado!$B:$B,0))</f>
        <v>Gobierno de México</v>
      </c>
      <c r="I921" s="28"/>
      <c r="J921" s="184" t="str">
        <f t="shared" si="29"/>
        <v>RFIGOB</v>
      </c>
    </row>
    <row r="922" spans="3:10" x14ac:dyDescent="0.25">
      <c r="C922" s="28" t="s">
        <v>3510</v>
      </c>
      <c r="D922" s="188" t="str">
        <f>+INDEX([1]Detallado!$F:$F,MATCH($C922,[1]Detallado!$B:$B,0))</f>
        <v>Renta Fija</v>
      </c>
      <c r="E922" s="31" t="str">
        <f>+INDEX([1]Detallado!$Q:$Q,MATCH($C922,[1]Detallado!$B:$B,0))</f>
        <v>RFIG</v>
      </c>
      <c r="F922" s="185" t="s">
        <v>4356</v>
      </c>
      <c r="G922" s="186" t="str">
        <f t="shared" si="28"/>
        <v>08RFIG</v>
      </c>
      <c r="H922" s="187" t="str">
        <f>+INDEX([1]Detallado!$D:$D,MATCH(C922,[1]Detallado!$B:$B,0))</f>
        <v>Gobierno de México</v>
      </c>
      <c r="I922" s="28"/>
      <c r="J922" s="184" t="str">
        <f t="shared" si="29"/>
        <v>RFIGOB</v>
      </c>
    </row>
    <row r="923" spans="3:10" x14ac:dyDescent="0.25">
      <c r="C923" s="28" t="s">
        <v>3511</v>
      </c>
      <c r="D923" s="188" t="str">
        <f>+INDEX([1]Detallado!$F:$F,MATCH($C923,[1]Detallado!$B:$B,0))</f>
        <v>Renta Fija</v>
      </c>
      <c r="E923" s="31" t="str">
        <f>+INDEX([1]Detallado!$Q:$Q,MATCH($C923,[1]Detallado!$B:$B,0))</f>
        <v>RFIG</v>
      </c>
      <c r="F923" s="185" t="s">
        <v>4356</v>
      </c>
      <c r="G923" s="186" t="str">
        <f t="shared" si="28"/>
        <v>08RFIG</v>
      </c>
      <c r="H923" s="187" t="str">
        <f>+INDEX([1]Detallado!$D:$D,MATCH(C923,[1]Detallado!$B:$B,0))</f>
        <v>Gobierno de México</v>
      </c>
      <c r="I923" s="28"/>
      <c r="J923" s="184" t="str">
        <f t="shared" si="29"/>
        <v>RFIGOB</v>
      </c>
    </row>
    <row r="924" spans="3:10" x14ac:dyDescent="0.25">
      <c r="C924" s="28" t="s">
        <v>3512</v>
      </c>
      <c r="D924" s="188" t="str">
        <f>+INDEX([1]Detallado!$F:$F,MATCH($C924,[1]Detallado!$B:$B,0))</f>
        <v>Renta Fija</v>
      </c>
      <c r="E924" s="31" t="str">
        <f>+INDEX([1]Detallado!$Q:$Q,MATCH($C924,[1]Detallado!$B:$B,0))</f>
        <v>RFIG</v>
      </c>
      <c r="F924" s="185" t="s">
        <v>4356</v>
      </c>
      <c r="G924" s="186" t="str">
        <f t="shared" si="28"/>
        <v>08RFIG</v>
      </c>
      <c r="H924" s="187" t="str">
        <f>+INDEX([1]Detallado!$D:$D,MATCH(C924,[1]Detallado!$B:$B,0))</f>
        <v>Gobierno de México</v>
      </c>
      <c r="I924" s="28"/>
      <c r="J924" s="184" t="str">
        <f t="shared" si="29"/>
        <v>RFIGOB</v>
      </c>
    </row>
    <row r="925" spans="3:10" x14ac:dyDescent="0.25">
      <c r="C925" s="28" t="s">
        <v>3513</v>
      </c>
      <c r="D925" s="188" t="str">
        <f>+INDEX([1]Detallado!$F:$F,MATCH($C925,[1]Detallado!$B:$B,0))</f>
        <v>Renta Fija</v>
      </c>
      <c r="E925" s="31" t="str">
        <f>+INDEX([1]Detallado!$Q:$Q,MATCH($C925,[1]Detallado!$B:$B,0))</f>
        <v>RFIG</v>
      </c>
      <c r="F925" s="185" t="s">
        <v>4356</v>
      </c>
      <c r="G925" s="186" t="str">
        <f t="shared" si="28"/>
        <v>08RFIG</v>
      </c>
      <c r="H925" s="187" t="str">
        <f>+INDEX([1]Detallado!$D:$D,MATCH(C925,[1]Detallado!$B:$B,0))</f>
        <v>Gobierno de México</v>
      </c>
      <c r="I925" s="28"/>
      <c r="J925" s="184" t="str">
        <f t="shared" si="29"/>
        <v>RFIGOB</v>
      </c>
    </row>
    <row r="926" spans="3:10" x14ac:dyDescent="0.25">
      <c r="C926" s="28" t="s">
        <v>3514</v>
      </c>
      <c r="D926" s="188" t="str">
        <f>+INDEX([1]Detallado!$F:$F,MATCH($C926,[1]Detallado!$B:$B,0))</f>
        <v>Renta Fija</v>
      </c>
      <c r="E926" s="31" t="str">
        <f>+INDEX([1]Detallado!$Q:$Q,MATCH($C926,[1]Detallado!$B:$B,0))</f>
        <v>RFIG</v>
      </c>
      <c r="F926" s="185" t="s">
        <v>4356</v>
      </c>
      <c r="G926" s="186" t="str">
        <f t="shared" si="28"/>
        <v>08RFIG</v>
      </c>
      <c r="H926" s="187" t="str">
        <f>+INDEX([1]Detallado!$D:$D,MATCH(C926,[1]Detallado!$B:$B,0))</f>
        <v>Gobierno de México</v>
      </c>
      <c r="I926" s="28"/>
      <c r="J926" s="184" t="str">
        <f t="shared" si="29"/>
        <v>RFIGOB</v>
      </c>
    </row>
    <row r="927" spans="3:10" x14ac:dyDescent="0.25">
      <c r="C927" s="28" t="s">
        <v>3515</v>
      </c>
      <c r="D927" s="188" t="str">
        <f>+INDEX([1]Detallado!$F:$F,MATCH($C927,[1]Detallado!$B:$B,0))</f>
        <v>Renta Fija</v>
      </c>
      <c r="E927" s="31" t="str">
        <f>+INDEX([1]Detallado!$Q:$Q,MATCH($C927,[1]Detallado!$B:$B,0))</f>
        <v>RFIG</v>
      </c>
      <c r="F927" s="185" t="s">
        <v>4356</v>
      </c>
      <c r="G927" s="186" t="str">
        <f t="shared" si="28"/>
        <v>08RFIG</v>
      </c>
      <c r="H927" s="187" t="str">
        <f>+INDEX([1]Detallado!$D:$D,MATCH(C927,[1]Detallado!$B:$B,0))</f>
        <v>Gobierno de México</v>
      </c>
      <c r="I927" s="28"/>
      <c r="J927" s="184" t="str">
        <f t="shared" si="29"/>
        <v>RFIGOB</v>
      </c>
    </row>
    <row r="928" spans="3:10" x14ac:dyDescent="0.25">
      <c r="C928" s="28" t="s">
        <v>3516</v>
      </c>
      <c r="D928" s="188" t="str">
        <f>+INDEX([1]Detallado!$F:$F,MATCH($C928,[1]Detallado!$B:$B,0))</f>
        <v>Renta Fija</v>
      </c>
      <c r="E928" s="31" t="str">
        <f>+INDEX([1]Detallado!$Q:$Q,MATCH($C928,[1]Detallado!$B:$B,0))</f>
        <v>RFIG</v>
      </c>
      <c r="F928" s="185" t="s">
        <v>4356</v>
      </c>
      <c r="G928" s="186" t="str">
        <f t="shared" si="28"/>
        <v>08RFIG</v>
      </c>
      <c r="H928" s="187" t="str">
        <f>+INDEX([1]Detallado!$D:$D,MATCH(C928,[1]Detallado!$B:$B,0))</f>
        <v>Gobierno de México</v>
      </c>
      <c r="I928" s="28"/>
      <c r="J928" s="184" t="str">
        <f t="shared" si="29"/>
        <v>RFIGOB</v>
      </c>
    </row>
    <row r="929" spans="3:10" x14ac:dyDescent="0.25">
      <c r="C929" s="28" t="s">
        <v>3517</v>
      </c>
      <c r="D929" s="188" t="str">
        <f>+INDEX([1]Detallado!$F:$F,MATCH($C929,[1]Detallado!$B:$B,0))</f>
        <v>Renta Fija</v>
      </c>
      <c r="E929" s="31" t="str">
        <f>+INDEX([1]Detallado!$Q:$Q,MATCH($C929,[1]Detallado!$B:$B,0))</f>
        <v>RFIG</v>
      </c>
      <c r="F929" s="185" t="s">
        <v>4356</v>
      </c>
      <c r="G929" s="186" t="str">
        <f t="shared" si="28"/>
        <v>08RFIG</v>
      </c>
      <c r="H929" s="187" t="str">
        <f>+INDEX([1]Detallado!$D:$D,MATCH(C929,[1]Detallado!$B:$B,0))</f>
        <v>Gobierno de México</v>
      </c>
      <c r="I929" s="28"/>
      <c r="J929" s="184" t="str">
        <f t="shared" si="29"/>
        <v>RFIGOB</v>
      </c>
    </row>
    <row r="930" spans="3:10" x14ac:dyDescent="0.25">
      <c r="C930" s="28" t="s">
        <v>3518</v>
      </c>
      <c r="D930" s="188" t="str">
        <f>+INDEX([1]Detallado!$F:$F,MATCH($C930,[1]Detallado!$B:$B,0))</f>
        <v>Renta Fija</v>
      </c>
      <c r="E930" s="31" t="str">
        <f>+INDEX([1]Detallado!$Q:$Q,MATCH($C930,[1]Detallado!$B:$B,0))</f>
        <v>RFIG</v>
      </c>
      <c r="F930" s="185" t="s">
        <v>4356</v>
      </c>
      <c r="G930" s="186" t="str">
        <f t="shared" si="28"/>
        <v>08RFIG</v>
      </c>
      <c r="H930" s="187" t="str">
        <f>+INDEX([1]Detallado!$D:$D,MATCH(C930,[1]Detallado!$B:$B,0))</f>
        <v>Gobierno de México</v>
      </c>
      <c r="I930" s="28"/>
      <c r="J930" s="184" t="str">
        <f t="shared" si="29"/>
        <v>RFIGOB</v>
      </c>
    </row>
    <row r="931" spans="3:10" x14ac:dyDescent="0.25">
      <c r="C931" s="28" t="s">
        <v>3519</v>
      </c>
      <c r="D931" s="188" t="str">
        <f>+INDEX([1]Detallado!$F:$F,MATCH($C931,[1]Detallado!$B:$B,0))</f>
        <v>Renta Fija</v>
      </c>
      <c r="E931" s="31" t="str">
        <f>+INDEX([1]Detallado!$Q:$Q,MATCH($C931,[1]Detallado!$B:$B,0))</f>
        <v>RFIG</v>
      </c>
      <c r="F931" s="185" t="s">
        <v>4356</v>
      </c>
      <c r="G931" s="186" t="str">
        <f t="shared" si="28"/>
        <v>08RFIG</v>
      </c>
      <c r="H931" s="187" t="str">
        <f>+INDEX([1]Detallado!$D:$D,MATCH(C931,[1]Detallado!$B:$B,0))</f>
        <v>Gobierno de México</v>
      </c>
      <c r="I931" s="28"/>
      <c r="J931" s="184" t="str">
        <f t="shared" si="29"/>
        <v>RFIGOB</v>
      </c>
    </row>
    <row r="932" spans="3:10" x14ac:dyDescent="0.25">
      <c r="C932" s="28" t="s">
        <v>3520</v>
      </c>
      <c r="D932" s="188" t="str">
        <f>+INDEX([1]Detallado!$F:$F,MATCH($C932,[1]Detallado!$B:$B,0))</f>
        <v>Renta Fija</v>
      </c>
      <c r="E932" s="31" t="str">
        <f>+INDEX([1]Detallado!$Q:$Q,MATCH($C932,[1]Detallado!$B:$B,0))</f>
        <v>RFIG</v>
      </c>
      <c r="F932" s="185" t="s">
        <v>4356</v>
      </c>
      <c r="G932" s="186" t="str">
        <f t="shared" si="28"/>
        <v>08RFIG</v>
      </c>
      <c r="H932" s="187" t="str">
        <f>+INDEX([1]Detallado!$D:$D,MATCH(C932,[1]Detallado!$B:$B,0))</f>
        <v>Gobierno de México</v>
      </c>
      <c r="I932" s="28"/>
      <c r="J932" s="184" t="str">
        <f t="shared" si="29"/>
        <v>RFIGOB</v>
      </c>
    </row>
    <row r="933" spans="3:10" x14ac:dyDescent="0.25">
      <c r="C933" s="28" t="s">
        <v>891</v>
      </c>
      <c r="D933" s="188" t="str">
        <f>+INDEX([1]Detallado!$F:$F,MATCH($C933,[1]Detallado!$B:$B,0))</f>
        <v>Renta Fija</v>
      </c>
      <c r="E933" s="31" t="str">
        <f>+INDEX([1]Detallado!$Q:$Q,MATCH($C933,[1]Detallado!$B:$B,0))</f>
        <v>RFIG</v>
      </c>
      <c r="F933" s="185" t="s">
        <v>4356</v>
      </c>
      <c r="G933" s="186" t="str">
        <f t="shared" si="28"/>
        <v>08RFIG</v>
      </c>
      <c r="H933" s="187" t="str">
        <f>+INDEX([1]Detallado!$D:$D,MATCH(C933,[1]Detallado!$B:$B,0))</f>
        <v>Gobierno de Mexico</v>
      </c>
      <c r="I933" s="28"/>
      <c r="J933" s="184" t="str">
        <f t="shared" si="29"/>
        <v>RFIGOB</v>
      </c>
    </row>
    <row r="934" spans="3:10" x14ac:dyDescent="0.25">
      <c r="C934" s="28" t="s">
        <v>893</v>
      </c>
      <c r="D934" s="188" t="str">
        <f>+INDEX([1]Detallado!$F:$F,MATCH($C934,[1]Detallado!$B:$B,0))</f>
        <v>Renta Fija</v>
      </c>
      <c r="E934" s="31" t="str">
        <f>+INDEX([1]Detallado!$Q:$Q,MATCH($C934,[1]Detallado!$B:$B,0))</f>
        <v>RFIG</v>
      </c>
      <c r="F934" s="185" t="s">
        <v>4356</v>
      </c>
      <c r="G934" s="186" t="str">
        <f t="shared" si="28"/>
        <v>08RFIG</v>
      </c>
      <c r="H934" s="187" t="str">
        <f>+INDEX([1]Detallado!$D:$D,MATCH(C934,[1]Detallado!$B:$B,0))</f>
        <v>Gobierno de México</v>
      </c>
      <c r="I934" s="28"/>
      <c r="J934" s="184" t="str">
        <f t="shared" si="29"/>
        <v>RFIGOB</v>
      </c>
    </row>
    <row r="935" spans="3:10" x14ac:dyDescent="0.25">
      <c r="C935" s="28" t="s">
        <v>3521</v>
      </c>
      <c r="D935" s="188" t="str">
        <f>+INDEX([1]Detallado!$F:$F,MATCH($C935,[1]Detallado!$B:$B,0))</f>
        <v>Renta Fija</v>
      </c>
      <c r="E935" s="31" t="str">
        <f>+INDEX([1]Detallado!$Q:$Q,MATCH($C935,[1]Detallado!$B:$B,0))</f>
        <v>RFIG</v>
      </c>
      <c r="F935" s="185" t="s">
        <v>4356</v>
      </c>
      <c r="G935" s="186" t="str">
        <f t="shared" si="28"/>
        <v>08RFIG</v>
      </c>
      <c r="H935" s="187" t="str">
        <f>+INDEX([1]Detallado!$D:$D,MATCH(C935,[1]Detallado!$B:$B,0))</f>
        <v>Gobierno de México</v>
      </c>
      <c r="I935" s="28"/>
      <c r="J935" s="184" t="str">
        <f t="shared" si="29"/>
        <v>RFIGOB</v>
      </c>
    </row>
    <row r="936" spans="3:10" x14ac:dyDescent="0.25">
      <c r="C936" s="28" t="s">
        <v>3522</v>
      </c>
      <c r="D936" s="188" t="str">
        <f>+INDEX([1]Detallado!$F:$F,MATCH($C936,[1]Detallado!$B:$B,0))</f>
        <v>Renta Fija</v>
      </c>
      <c r="E936" s="31" t="str">
        <f>+INDEX([1]Detallado!$Q:$Q,MATCH($C936,[1]Detallado!$B:$B,0))</f>
        <v>RFIG</v>
      </c>
      <c r="F936" s="185" t="s">
        <v>4356</v>
      </c>
      <c r="G936" s="186" t="str">
        <f t="shared" si="28"/>
        <v>08RFIG</v>
      </c>
      <c r="H936" s="187" t="str">
        <f>+INDEX([1]Detallado!$D:$D,MATCH(C936,[1]Detallado!$B:$B,0))</f>
        <v>Gobierno de México</v>
      </c>
      <c r="I936" s="28"/>
      <c r="J936" s="184" t="str">
        <f t="shared" si="29"/>
        <v>RFIGOB</v>
      </c>
    </row>
    <row r="937" spans="3:10" x14ac:dyDescent="0.25">
      <c r="C937" s="28" t="s">
        <v>3523</v>
      </c>
      <c r="D937" s="188" t="str">
        <f>+INDEX([1]Detallado!$F:$F,MATCH($C937,[1]Detallado!$B:$B,0))</f>
        <v>Renta Fija</v>
      </c>
      <c r="E937" s="31" t="str">
        <f>+INDEX([1]Detallado!$Q:$Q,MATCH($C937,[1]Detallado!$B:$B,0))</f>
        <v>RFIG</v>
      </c>
      <c r="F937" s="185" t="s">
        <v>4356</v>
      </c>
      <c r="G937" s="186" t="str">
        <f t="shared" si="28"/>
        <v>08RFIG</v>
      </c>
      <c r="H937" s="187" t="str">
        <f>+INDEX([1]Detallado!$D:$D,MATCH(C937,[1]Detallado!$B:$B,0))</f>
        <v>Gobierno de México</v>
      </c>
      <c r="I937" s="28"/>
      <c r="J937" s="184" t="str">
        <f t="shared" si="29"/>
        <v>RFIGOB</v>
      </c>
    </row>
    <row r="938" spans="3:10" x14ac:dyDescent="0.25">
      <c r="C938" s="28" t="s">
        <v>3524</v>
      </c>
      <c r="D938" s="188" t="str">
        <f>+INDEX([1]Detallado!$F:$F,MATCH($C938,[1]Detallado!$B:$B,0))</f>
        <v>Renta Fija</v>
      </c>
      <c r="E938" s="31" t="str">
        <f>+INDEX([1]Detallado!$Q:$Q,MATCH($C938,[1]Detallado!$B:$B,0))</f>
        <v>RFIG</v>
      </c>
      <c r="F938" s="185" t="s">
        <v>4356</v>
      </c>
      <c r="G938" s="186" t="str">
        <f t="shared" si="28"/>
        <v>08RFIG</v>
      </c>
      <c r="H938" s="187" t="str">
        <f>+INDEX([1]Detallado!$D:$D,MATCH(C938,[1]Detallado!$B:$B,0))</f>
        <v>Gobierno de México</v>
      </c>
      <c r="I938" s="28"/>
      <c r="J938" s="184" t="str">
        <f t="shared" si="29"/>
        <v>RFIGOB</v>
      </c>
    </row>
    <row r="939" spans="3:10" x14ac:dyDescent="0.25">
      <c r="C939" s="28" t="s">
        <v>3525</v>
      </c>
      <c r="D939" s="188" t="str">
        <f>+INDEX([1]Detallado!$F:$F,MATCH($C939,[1]Detallado!$B:$B,0))</f>
        <v>Renta Fija</v>
      </c>
      <c r="E939" s="31" t="str">
        <f>+INDEX([1]Detallado!$Q:$Q,MATCH($C939,[1]Detallado!$B:$B,0))</f>
        <v>RFIG</v>
      </c>
      <c r="F939" s="185" t="s">
        <v>4356</v>
      </c>
      <c r="G939" s="186" t="str">
        <f t="shared" si="28"/>
        <v>08RFIG</v>
      </c>
      <c r="H939" s="187" t="str">
        <f>+INDEX([1]Detallado!$D:$D,MATCH(C939,[1]Detallado!$B:$B,0))</f>
        <v>Gobierno de México</v>
      </c>
      <c r="I939" s="28"/>
      <c r="J939" s="184" t="str">
        <f t="shared" si="29"/>
        <v>RFIGOB</v>
      </c>
    </row>
    <row r="940" spans="3:10" x14ac:dyDescent="0.25">
      <c r="C940" s="28" t="s">
        <v>3526</v>
      </c>
      <c r="D940" s="188" t="str">
        <f>+INDEX([1]Detallado!$F:$F,MATCH($C940,[1]Detallado!$B:$B,0))</f>
        <v>Renta Fija</v>
      </c>
      <c r="E940" s="31" t="str">
        <f>+INDEX([1]Detallado!$Q:$Q,MATCH($C940,[1]Detallado!$B:$B,0))</f>
        <v>RFIG</v>
      </c>
      <c r="F940" s="185" t="s">
        <v>4356</v>
      </c>
      <c r="G940" s="186" t="str">
        <f t="shared" si="28"/>
        <v>08RFIG</v>
      </c>
      <c r="H940" s="187" t="str">
        <f>+INDEX([1]Detallado!$D:$D,MATCH(C940,[1]Detallado!$B:$B,0))</f>
        <v>Gobierno de México</v>
      </c>
      <c r="I940" s="28"/>
      <c r="J940" s="184" t="str">
        <f t="shared" si="29"/>
        <v>RFIGOB</v>
      </c>
    </row>
    <row r="941" spans="3:10" x14ac:dyDescent="0.25">
      <c r="C941" s="28" t="s">
        <v>3527</v>
      </c>
      <c r="D941" s="188" t="str">
        <f>+INDEX([1]Detallado!$F:$F,MATCH($C941,[1]Detallado!$B:$B,0))</f>
        <v>Renta Fija</v>
      </c>
      <c r="E941" s="31" t="str">
        <f>+INDEX([1]Detallado!$Q:$Q,MATCH($C941,[1]Detallado!$B:$B,0))</f>
        <v>RFIG</v>
      </c>
      <c r="F941" s="185" t="s">
        <v>4356</v>
      </c>
      <c r="G941" s="186" t="str">
        <f t="shared" si="28"/>
        <v>08RFIG</v>
      </c>
      <c r="H941" s="187" t="str">
        <f>+INDEX([1]Detallado!$D:$D,MATCH(C941,[1]Detallado!$B:$B,0))</f>
        <v>Gobierno de México</v>
      </c>
      <c r="I941" s="28"/>
      <c r="J941" s="184" t="str">
        <f t="shared" si="29"/>
        <v>RFIGOB</v>
      </c>
    </row>
    <row r="942" spans="3:10" x14ac:dyDescent="0.25">
      <c r="C942" s="28" t="s">
        <v>3528</v>
      </c>
      <c r="D942" s="188" t="str">
        <f>+INDEX([1]Detallado!$F:$F,MATCH($C942,[1]Detallado!$B:$B,0))</f>
        <v>Renta Fija</v>
      </c>
      <c r="E942" s="31" t="str">
        <f>+INDEX([1]Detallado!$Q:$Q,MATCH($C942,[1]Detallado!$B:$B,0))</f>
        <v>RFIG</v>
      </c>
      <c r="F942" s="185" t="s">
        <v>4356</v>
      </c>
      <c r="G942" s="186" t="str">
        <f t="shared" si="28"/>
        <v>08RFIG</v>
      </c>
      <c r="H942" s="187" t="str">
        <f>+INDEX([1]Detallado!$D:$D,MATCH(C942,[1]Detallado!$B:$B,0))</f>
        <v>Gobierno de México</v>
      </c>
      <c r="I942" s="28"/>
      <c r="J942" s="184" t="str">
        <f t="shared" si="29"/>
        <v>RFIGOB</v>
      </c>
    </row>
    <row r="943" spans="3:10" x14ac:dyDescent="0.25">
      <c r="C943" s="28" t="s">
        <v>3529</v>
      </c>
      <c r="D943" s="188" t="str">
        <f>+INDEX([1]Detallado!$F:$F,MATCH($C943,[1]Detallado!$B:$B,0))</f>
        <v>Renta Fija</v>
      </c>
      <c r="E943" s="31" t="str">
        <f>+INDEX([1]Detallado!$Q:$Q,MATCH($C943,[1]Detallado!$B:$B,0))</f>
        <v>RFIG</v>
      </c>
      <c r="F943" s="185" t="s">
        <v>4356</v>
      </c>
      <c r="G943" s="186" t="str">
        <f t="shared" si="28"/>
        <v>08RFIG</v>
      </c>
      <c r="H943" s="187" t="str">
        <f>+INDEX([1]Detallado!$D:$D,MATCH(C943,[1]Detallado!$B:$B,0))</f>
        <v>Gobierno de México</v>
      </c>
      <c r="I943" s="28"/>
      <c r="J943" s="184" t="str">
        <f t="shared" si="29"/>
        <v>RFIGOB</v>
      </c>
    </row>
    <row r="944" spans="3:10" x14ac:dyDescent="0.25">
      <c r="C944" s="28" t="s">
        <v>3530</v>
      </c>
      <c r="D944" s="188" t="str">
        <f>+INDEX([1]Detallado!$F:$F,MATCH($C944,[1]Detallado!$B:$B,0))</f>
        <v>Renta Fija</v>
      </c>
      <c r="E944" s="31" t="str">
        <f>+INDEX([1]Detallado!$Q:$Q,MATCH($C944,[1]Detallado!$B:$B,0))</f>
        <v>RFIG</v>
      </c>
      <c r="F944" s="185" t="s">
        <v>4356</v>
      </c>
      <c r="G944" s="186" t="str">
        <f t="shared" si="28"/>
        <v>08RFIG</v>
      </c>
      <c r="H944" s="187" t="str">
        <f>+INDEX([1]Detallado!$D:$D,MATCH(C944,[1]Detallado!$B:$B,0))</f>
        <v>Gobierno de México</v>
      </c>
      <c r="I944" s="28"/>
      <c r="J944" s="184" t="str">
        <f t="shared" si="29"/>
        <v>RFIGOB</v>
      </c>
    </row>
    <row r="945" spans="3:10" x14ac:dyDescent="0.25">
      <c r="C945" s="28" t="s">
        <v>3531</v>
      </c>
      <c r="D945" s="188" t="str">
        <f>+INDEX([1]Detallado!$F:$F,MATCH($C945,[1]Detallado!$B:$B,0))</f>
        <v>Renta Fija</v>
      </c>
      <c r="E945" s="31" t="str">
        <f>+INDEX([1]Detallado!$Q:$Q,MATCH($C945,[1]Detallado!$B:$B,0))</f>
        <v>RFIG</v>
      </c>
      <c r="F945" s="185" t="s">
        <v>4356</v>
      </c>
      <c r="G945" s="186" t="str">
        <f t="shared" si="28"/>
        <v>08RFIG</v>
      </c>
      <c r="H945" s="187" t="str">
        <f>+INDEX([1]Detallado!$D:$D,MATCH(C945,[1]Detallado!$B:$B,0))</f>
        <v>Gobierno de México</v>
      </c>
      <c r="I945" s="28"/>
      <c r="J945" s="184" t="str">
        <f t="shared" si="29"/>
        <v>RFIGOB</v>
      </c>
    </row>
    <row r="946" spans="3:10" x14ac:dyDescent="0.25">
      <c r="C946" s="28" t="s">
        <v>3532</v>
      </c>
      <c r="D946" s="188" t="str">
        <f>+INDEX([1]Detallado!$F:$F,MATCH($C946,[1]Detallado!$B:$B,0))</f>
        <v>Renta Fija</v>
      </c>
      <c r="E946" s="31" t="str">
        <f>+INDEX([1]Detallado!$Q:$Q,MATCH($C946,[1]Detallado!$B:$B,0))</f>
        <v>RFIG</v>
      </c>
      <c r="F946" s="185" t="s">
        <v>4356</v>
      </c>
      <c r="G946" s="186" t="str">
        <f t="shared" si="28"/>
        <v>08RFIG</v>
      </c>
      <c r="H946" s="187" t="str">
        <f>+INDEX([1]Detallado!$D:$D,MATCH(C946,[1]Detallado!$B:$B,0))</f>
        <v>Gobierno de México</v>
      </c>
      <c r="I946" s="28"/>
      <c r="J946" s="184" t="str">
        <f t="shared" si="29"/>
        <v>RFIGOB</v>
      </c>
    </row>
    <row r="947" spans="3:10" x14ac:dyDescent="0.25">
      <c r="C947" s="28" t="s">
        <v>3533</v>
      </c>
      <c r="D947" s="188" t="str">
        <f>+INDEX([1]Detallado!$F:$F,MATCH($C947,[1]Detallado!$B:$B,0))</f>
        <v>Renta Fija</v>
      </c>
      <c r="E947" s="31" t="str">
        <f>+INDEX([1]Detallado!$Q:$Q,MATCH($C947,[1]Detallado!$B:$B,0))</f>
        <v>RFIG</v>
      </c>
      <c r="F947" s="185" t="s">
        <v>4356</v>
      </c>
      <c r="G947" s="186" t="str">
        <f t="shared" si="28"/>
        <v>08RFIG</v>
      </c>
      <c r="H947" s="187" t="str">
        <f>+INDEX([1]Detallado!$D:$D,MATCH(C947,[1]Detallado!$B:$B,0))</f>
        <v>Gobierno de México</v>
      </c>
      <c r="I947" s="28"/>
      <c r="J947" s="184" t="str">
        <f t="shared" si="29"/>
        <v>RFIGOB</v>
      </c>
    </row>
    <row r="948" spans="3:10" x14ac:dyDescent="0.25">
      <c r="C948" s="28" t="s">
        <v>3534</v>
      </c>
      <c r="D948" s="188" t="str">
        <f>+INDEX([1]Detallado!$F:$F,MATCH($C948,[1]Detallado!$B:$B,0))</f>
        <v>Renta Fija</v>
      </c>
      <c r="E948" s="31" t="str">
        <f>+INDEX([1]Detallado!$Q:$Q,MATCH($C948,[1]Detallado!$B:$B,0))</f>
        <v>RFIG</v>
      </c>
      <c r="F948" s="185" t="s">
        <v>4356</v>
      </c>
      <c r="G948" s="186" t="str">
        <f t="shared" si="28"/>
        <v>08RFIG</v>
      </c>
      <c r="H948" s="187" t="str">
        <f>+INDEX([1]Detallado!$D:$D,MATCH(C948,[1]Detallado!$B:$B,0))</f>
        <v>Gobierno de México</v>
      </c>
      <c r="I948" s="28"/>
      <c r="J948" s="184" t="str">
        <f t="shared" si="29"/>
        <v>RFIGOB</v>
      </c>
    </row>
    <row r="949" spans="3:10" x14ac:dyDescent="0.25">
      <c r="C949" s="28" t="s">
        <v>3535</v>
      </c>
      <c r="D949" s="188" t="str">
        <f>+INDEX([1]Detallado!$F:$F,MATCH($C949,[1]Detallado!$B:$B,0))</f>
        <v>Renta Fija</v>
      </c>
      <c r="E949" s="31" t="str">
        <f>+INDEX([1]Detallado!$Q:$Q,MATCH($C949,[1]Detallado!$B:$B,0))</f>
        <v>RFIG</v>
      </c>
      <c r="F949" s="185" t="s">
        <v>4356</v>
      </c>
      <c r="G949" s="186" t="str">
        <f t="shared" si="28"/>
        <v>08RFIG</v>
      </c>
      <c r="H949" s="187" t="str">
        <f>+INDEX([1]Detallado!$D:$D,MATCH(C949,[1]Detallado!$B:$B,0))</f>
        <v>Gobierno de México</v>
      </c>
      <c r="I949" s="28"/>
      <c r="J949" s="184" t="str">
        <f t="shared" si="29"/>
        <v>RFIGOB</v>
      </c>
    </row>
    <row r="950" spans="3:10" x14ac:dyDescent="0.25">
      <c r="C950" s="28" t="s">
        <v>3536</v>
      </c>
      <c r="D950" s="188" t="str">
        <f>+INDEX([1]Detallado!$F:$F,MATCH($C950,[1]Detallado!$B:$B,0))</f>
        <v>Renta Fija</v>
      </c>
      <c r="E950" s="31" t="str">
        <f>+INDEX([1]Detallado!$Q:$Q,MATCH($C950,[1]Detallado!$B:$B,0))</f>
        <v>RFIG</v>
      </c>
      <c r="F950" s="185" t="s">
        <v>4356</v>
      </c>
      <c r="G950" s="186" t="str">
        <f t="shared" si="28"/>
        <v>08RFIG</v>
      </c>
      <c r="H950" s="187" t="str">
        <f>+INDEX([1]Detallado!$D:$D,MATCH(C950,[1]Detallado!$B:$B,0))</f>
        <v>Gobierno de México</v>
      </c>
      <c r="I950" s="28"/>
      <c r="J950" s="184" t="str">
        <f t="shared" si="29"/>
        <v>RFIGOB</v>
      </c>
    </row>
    <row r="951" spans="3:10" x14ac:dyDescent="0.25">
      <c r="C951" s="28" t="s">
        <v>3537</v>
      </c>
      <c r="D951" s="188" t="str">
        <f>+INDEX([1]Detallado!$F:$F,MATCH($C951,[1]Detallado!$B:$B,0))</f>
        <v>Renta Fija</v>
      </c>
      <c r="E951" s="31" t="str">
        <f>+INDEX([1]Detallado!$Q:$Q,MATCH($C951,[1]Detallado!$B:$B,0))</f>
        <v>RFIG</v>
      </c>
      <c r="F951" s="185" t="s">
        <v>4356</v>
      </c>
      <c r="G951" s="186" t="str">
        <f t="shared" si="28"/>
        <v>08RFIG</v>
      </c>
      <c r="H951" s="187" t="str">
        <f>+INDEX([1]Detallado!$D:$D,MATCH(C951,[1]Detallado!$B:$B,0))</f>
        <v>Gobierno de México</v>
      </c>
      <c r="I951" s="28"/>
      <c r="J951" s="184" t="str">
        <f t="shared" si="29"/>
        <v>RFIGOB</v>
      </c>
    </row>
    <row r="952" spans="3:10" x14ac:dyDescent="0.25">
      <c r="C952" s="28" t="s">
        <v>3538</v>
      </c>
      <c r="D952" s="188" t="str">
        <f>+INDEX([1]Detallado!$F:$F,MATCH($C952,[1]Detallado!$B:$B,0))</f>
        <v>Renta Fija</v>
      </c>
      <c r="E952" s="31" t="str">
        <f>+INDEX([1]Detallado!$Q:$Q,MATCH($C952,[1]Detallado!$B:$B,0))</f>
        <v>RFIG</v>
      </c>
      <c r="F952" s="185" t="s">
        <v>4356</v>
      </c>
      <c r="G952" s="186" t="str">
        <f t="shared" si="28"/>
        <v>08RFIG</v>
      </c>
      <c r="H952" s="187" t="str">
        <f>+INDEX([1]Detallado!$D:$D,MATCH(C952,[1]Detallado!$B:$B,0))</f>
        <v>Gobierno de México</v>
      </c>
      <c r="I952" s="28"/>
      <c r="J952" s="184" t="str">
        <f t="shared" si="29"/>
        <v>RFIGOB</v>
      </c>
    </row>
    <row r="953" spans="3:10" x14ac:dyDescent="0.25">
      <c r="C953" s="28" t="s">
        <v>3539</v>
      </c>
      <c r="D953" s="188" t="str">
        <f>+INDEX([1]Detallado!$F:$F,MATCH($C953,[1]Detallado!$B:$B,0))</f>
        <v>Renta Fija</v>
      </c>
      <c r="E953" s="31" t="str">
        <f>+INDEX([1]Detallado!$Q:$Q,MATCH($C953,[1]Detallado!$B:$B,0))</f>
        <v>RFIG</v>
      </c>
      <c r="F953" s="185" t="s">
        <v>4356</v>
      </c>
      <c r="G953" s="186" t="str">
        <f t="shared" si="28"/>
        <v>08RFIG</v>
      </c>
      <c r="H953" s="187" t="str">
        <f>+INDEX([1]Detallado!$D:$D,MATCH(C953,[1]Detallado!$B:$B,0))</f>
        <v>Gobierno de México</v>
      </c>
      <c r="I953" s="28"/>
      <c r="J953" s="184" t="str">
        <f t="shared" si="29"/>
        <v>RFIGOB</v>
      </c>
    </row>
    <row r="954" spans="3:10" x14ac:dyDescent="0.25">
      <c r="C954" s="28" t="s">
        <v>3540</v>
      </c>
      <c r="D954" s="188" t="str">
        <f>+INDEX([1]Detallado!$F:$F,MATCH($C954,[1]Detallado!$B:$B,0))</f>
        <v>Renta Fija</v>
      </c>
      <c r="E954" s="31" t="str">
        <f>+INDEX([1]Detallado!$Q:$Q,MATCH($C954,[1]Detallado!$B:$B,0))</f>
        <v>RFIG</v>
      </c>
      <c r="F954" s="185" t="s">
        <v>4356</v>
      </c>
      <c r="G954" s="186" t="str">
        <f t="shared" si="28"/>
        <v>08RFIG</v>
      </c>
      <c r="H954" s="187" t="str">
        <f>+INDEX([1]Detallado!$D:$D,MATCH(C954,[1]Detallado!$B:$B,0))</f>
        <v>Gobierno de México</v>
      </c>
      <c r="I954" s="28"/>
      <c r="J954" s="184" t="str">
        <f t="shared" si="29"/>
        <v>RFIGOB</v>
      </c>
    </row>
    <row r="955" spans="3:10" x14ac:dyDescent="0.25">
      <c r="C955" s="28" t="s">
        <v>3541</v>
      </c>
      <c r="D955" s="188" t="str">
        <f>+INDEX([1]Detallado!$F:$F,MATCH($C955,[1]Detallado!$B:$B,0))</f>
        <v>Renta Fija</v>
      </c>
      <c r="E955" s="31" t="str">
        <f>+INDEX([1]Detallado!$Q:$Q,MATCH($C955,[1]Detallado!$B:$B,0))</f>
        <v>RFIG</v>
      </c>
      <c r="F955" s="185" t="s">
        <v>4356</v>
      </c>
      <c r="G955" s="186" t="str">
        <f t="shared" si="28"/>
        <v>08RFIG</v>
      </c>
      <c r="H955" s="187" t="str">
        <f>+INDEX([1]Detallado!$D:$D,MATCH(C955,[1]Detallado!$B:$B,0))</f>
        <v>Gobierno de México</v>
      </c>
      <c r="I955" s="28"/>
      <c r="J955" s="184" t="str">
        <f t="shared" si="29"/>
        <v>RFIGOB</v>
      </c>
    </row>
    <row r="956" spans="3:10" x14ac:dyDescent="0.25">
      <c r="C956" s="28" t="s">
        <v>3542</v>
      </c>
      <c r="D956" s="188" t="str">
        <f>+INDEX([1]Detallado!$F:$F,MATCH($C956,[1]Detallado!$B:$B,0))</f>
        <v>Renta Fija</v>
      </c>
      <c r="E956" s="31" t="str">
        <f>+INDEX([1]Detallado!$Q:$Q,MATCH($C956,[1]Detallado!$B:$B,0))</f>
        <v>RFIG</v>
      </c>
      <c r="F956" s="185" t="s">
        <v>4356</v>
      </c>
      <c r="G956" s="186" t="str">
        <f t="shared" si="28"/>
        <v>08RFIG</v>
      </c>
      <c r="H956" s="187" t="str">
        <f>+INDEX([1]Detallado!$D:$D,MATCH(C956,[1]Detallado!$B:$B,0))</f>
        <v>Gobierno de México</v>
      </c>
      <c r="I956" s="28"/>
      <c r="J956" s="184" t="str">
        <f t="shared" si="29"/>
        <v>RFIGOB</v>
      </c>
    </row>
    <row r="957" spans="3:10" x14ac:dyDescent="0.25">
      <c r="C957" s="28" t="s">
        <v>3543</v>
      </c>
      <c r="D957" s="188" t="str">
        <f>+INDEX([1]Detallado!$F:$F,MATCH($C957,[1]Detallado!$B:$B,0))</f>
        <v>Renta Fija</v>
      </c>
      <c r="E957" s="31" t="str">
        <f>+INDEX([1]Detallado!$Q:$Q,MATCH($C957,[1]Detallado!$B:$B,0))</f>
        <v>RFIG</v>
      </c>
      <c r="F957" s="185" t="s">
        <v>4356</v>
      </c>
      <c r="G957" s="186" t="str">
        <f t="shared" si="28"/>
        <v>08RFIG</v>
      </c>
      <c r="H957" s="187" t="str">
        <f>+INDEX([1]Detallado!$D:$D,MATCH(C957,[1]Detallado!$B:$B,0))</f>
        <v>Gobierno de México</v>
      </c>
      <c r="I957" s="28"/>
      <c r="J957" s="184" t="str">
        <f t="shared" si="29"/>
        <v>RFIGOB</v>
      </c>
    </row>
    <row r="958" spans="3:10" x14ac:dyDescent="0.25">
      <c r="C958" s="28" t="s">
        <v>3544</v>
      </c>
      <c r="D958" s="188" t="str">
        <f>+INDEX([1]Detallado!$F:$F,MATCH($C958,[1]Detallado!$B:$B,0))</f>
        <v>Renta Fija</v>
      </c>
      <c r="E958" s="31" t="str">
        <f>+INDEX([1]Detallado!$Q:$Q,MATCH($C958,[1]Detallado!$B:$B,0))</f>
        <v>RFIG</v>
      </c>
      <c r="F958" s="185" t="s">
        <v>4356</v>
      </c>
      <c r="G958" s="186" t="str">
        <f t="shared" si="28"/>
        <v>08RFIG</v>
      </c>
      <c r="H958" s="187" t="str">
        <f>+INDEX([1]Detallado!$D:$D,MATCH(C958,[1]Detallado!$B:$B,0))</f>
        <v>Gobierno de México</v>
      </c>
      <c r="I958" s="28"/>
      <c r="J958" s="184" t="str">
        <f t="shared" si="29"/>
        <v>RFIGOB</v>
      </c>
    </row>
    <row r="959" spans="3:10" x14ac:dyDescent="0.25">
      <c r="C959" s="28" t="s">
        <v>3545</v>
      </c>
      <c r="D959" s="188" t="str">
        <f>+INDEX([1]Detallado!$F:$F,MATCH($C959,[1]Detallado!$B:$B,0))</f>
        <v>Renta Fija</v>
      </c>
      <c r="E959" s="31" t="str">
        <f>+INDEX([1]Detallado!$Q:$Q,MATCH($C959,[1]Detallado!$B:$B,0))</f>
        <v>RFIG</v>
      </c>
      <c r="F959" s="185" t="s">
        <v>4356</v>
      </c>
      <c r="G959" s="186" t="str">
        <f t="shared" si="28"/>
        <v>08RFIG</v>
      </c>
      <c r="H959" s="187" t="str">
        <f>+INDEX([1]Detallado!$D:$D,MATCH(C959,[1]Detallado!$B:$B,0))</f>
        <v>Gobierno de México</v>
      </c>
      <c r="I959" s="28"/>
      <c r="J959" s="184" t="str">
        <f t="shared" si="29"/>
        <v>RFIGOB</v>
      </c>
    </row>
    <row r="960" spans="3:10" x14ac:dyDescent="0.25">
      <c r="C960" s="28" t="s">
        <v>3546</v>
      </c>
      <c r="D960" s="188" t="str">
        <f>+INDEX([1]Detallado!$F:$F,MATCH($C960,[1]Detallado!$B:$B,0))</f>
        <v>Renta Fija</v>
      </c>
      <c r="E960" s="31" t="str">
        <f>+INDEX([1]Detallado!$Q:$Q,MATCH($C960,[1]Detallado!$B:$B,0))</f>
        <v>RFIG</v>
      </c>
      <c r="F960" s="185" t="s">
        <v>4356</v>
      </c>
      <c r="G960" s="186" t="str">
        <f t="shared" si="28"/>
        <v>08RFIG</v>
      </c>
      <c r="H960" s="187" t="str">
        <f>+INDEX([1]Detallado!$D:$D,MATCH(C960,[1]Detallado!$B:$B,0))</f>
        <v>Gobierno de México</v>
      </c>
      <c r="I960" s="28"/>
      <c r="J960" s="184" t="str">
        <f t="shared" si="29"/>
        <v>RFIGOB</v>
      </c>
    </row>
    <row r="961" spans="3:10" x14ac:dyDescent="0.25">
      <c r="C961" s="28" t="s">
        <v>3547</v>
      </c>
      <c r="D961" s="188" t="str">
        <f>+INDEX([1]Detallado!$F:$F,MATCH($C961,[1]Detallado!$B:$B,0))</f>
        <v>Renta Fija</v>
      </c>
      <c r="E961" s="31" t="str">
        <f>+INDEX([1]Detallado!$Q:$Q,MATCH($C961,[1]Detallado!$B:$B,0))</f>
        <v>RFIG</v>
      </c>
      <c r="F961" s="185" t="s">
        <v>4356</v>
      </c>
      <c r="G961" s="186" t="str">
        <f t="shared" si="28"/>
        <v>08RFIG</v>
      </c>
      <c r="H961" s="187" t="str">
        <f>+INDEX([1]Detallado!$D:$D,MATCH(C961,[1]Detallado!$B:$B,0))</f>
        <v>Gobierno de México</v>
      </c>
      <c r="I961" s="28"/>
      <c r="J961" s="184" t="str">
        <f t="shared" si="29"/>
        <v>RFIGOB</v>
      </c>
    </row>
    <row r="962" spans="3:10" x14ac:dyDescent="0.25">
      <c r="C962" s="28" t="s">
        <v>3548</v>
      </c>
      <c r="D962" s="188" t="str">
        <f>+INDEX([1]Detallado!$F:$F,MATCH($C962,[1]Detallado!$B:$B,0))</f>
        <v>Renta Fija</v>
      </c>
      <c r="E962" s="31" t="str">
        <f>+INDEX([1]Detallado!$Q:$Q,MATCH($C962,[1]Detallado!$B:$B,0))</f>
        <v>RFIG</v>
      </c>
      <c r="F962" s="185" t="s">
        <v>4356</v>
      </c>
      <c r="G962" s="186" t="str">
        <f t="shared" si="28"/>
        <v>08RFIG</v>
      </c>
      <c r="H962" s="187" t="str">
        <f>+INDEX([1]Detallado!$D:$D,MATCH(C962,[1]Detallado!$B:$B,0))</f>
        <v>RFLB 7 01/25/23</v>
      </c>
      <c r="I962" s="28"/>
      <c r="J962" s="184" t="str">
        <f t="shared" si="29"/>
        <v>RFIGOB</v>
      </c>
    </row>
    <row r="963" spans="3:10" x14ac:dyDescent="0.25">
      <c r="C963" s="28" t="s">
        <v>538</v>
      </c>
      <c r="D963" s="188" t="str">
        <f>+INDEX([1]Detallado!$F:$F,MATCH($C963,[1]Detallado!$B:$B,0))</f>
        <v>Renta Fija</v>
      </c>
      <c r="E963" s="31" t="str">
        <f>+INDEX([1]Detallado!$Q:$Q,MATCH($C963,[1]Detallado!$B:$B,0))</f>
        <v>RFLG</v>
      </c>
      <c r="F963" s="185" t="s">
        <v>4357</v>
      </c>
      <c r="G963" s="186" t="str">
        <f t="shared" si="28"/>
        <v>49RFLG</v>
      </c>
      <c r="H963" s="187" t="str">
        <f>+INDEX([1]Detallado!$D:$D,MATCH(C963,[1]Detallado!$B:$B,0))</f>
        <v>Macrocapitales SAFI S.A.</v>
      </c>
      <c r="I963" s="28"/>
      <c r="J963" s="184" t="str">
        <f t="shared" si="29"/>
        <v>RFLBU</v>
      </c>
    </row>
    <row r="964" spans="3:10" x14ac:dyDescent="0.25">
      <c r="C964" s="28" t="s">
        <v>3549</v>
      </c>
      <c r="D964" s="188" t="str">
        <f>+INDEX([1]Detallado!$F:$F,MATCH($C964,[1]Detallado!$B:$B,0))</f>
        <v>Renta Fija</v>
      </c>
      <c r="E964" s="31" t="str">
        <f>+INDEX([1]Detallado!$Q:$Q,MATCH($C964,[1]Detallado!$B:$B,0))</f>
        <v>RFLG</v>
      </c>
      <c r="F964" s="185" t="s">
        <v>4357</v>
      </c>
      <c r="G964" s="186" t="str">
        <f t="shared" si="28"/>
        <v>49RFLG</v>
      </c>
      <c r="H964" s="187" t="str">
        <f>+INDEX([1]Detallado!$D:$D,MATCH(C964,[1]Detallado!$B:$B,0))</f>
        <v>Compass - Pymes</v>
      </c>
      <c r="I964" s="28"/>
      <c r="J964" s="184" t="str">
        <f t="shared" si="29"/>
        <v>RFLBU</v>
      </c>
    </row>
    <row r="965" spans="3:10" x14ac:dyDescent="0.25">
      <c r="C965" s="28" t="s">
        <v>3550</v>
      </c>
      <c r="D965" s="188" t="str">
        <f>+INDEX([1]Detallado!$F:$F,MATCH($C965,[1]Detallado!$B:$B,0))</f>
        <v>Renta Fija</v>
      </c>
      <c r="E965" s="31" t="str">
        <f>+INDEX([1]Detallado!$Q:$Q,MATCH($C965,[1]Detallado!$B:$B,0))</f>
        <v>RFLG</v>
      </c>
      <c r="F965" s="185" t="s">
        <v>4357</v>
      </c>
      <c r="G965" s="186" t="str">
        <f t="shared" si="28"/>
        <v>49RFLG</v>
      </c>
      <c r="H965" s="187" t="str">
        <f>+INDEX([1]Detallado!$D:$D,MATCH(C965,[1]Detallado!$B:$B,0))</f>
        <v>Compass - Pymes 2</v>
      </c>
      <c r="I965" s="28"/>
      <c r="J965" s="184" t="str">
        <f t="shared" si="29"/>
        <v>RFLBU</v>
      </c>
    </row>
    <row r="966" spans="3:10" x14ac:dyDescent="0.25">
      <c r="C966" s="28" t="s">
        <v>3551</v>
      </c>
      <c r="D966" s="188" t="str">
        <f>+INDEX([1]Detallado!$F:$F,MATCH($C966,[1]Detallado!$B:$B,0))</f>
        <v>Renta Fija</v>
      </c>
      <c r="E966" s="31" t="str">
        <f>+INDEX([1]Detallado!$Q:$Q,MATCH($C966,[1]Detallado!$B:$B,0))</f>
        <v>RFLG</v>
      </c>
      <c r="F966" s="185" t="s">
        <v>4357</v>
      </c>
      <c r="G966" s="186" t="str">
        <f t="shared" si="28"/>
        <v>49RFLG</v>
      </c>
      <c r="H966" s="187" t="str">
        <f>+INDEX([1]Detallado!$D:$D,MATCH(C966,[1]Detallado!$B:$B,0))</f>
        <v>Compass - Pymes 3</v>
      </c>
      <c r="I966" s="28"/>
      <c r="J966" s="184" t="str">
        <f t="shared" si="29"/>
        <v>RFLBU</v>
      </c>
    </row>
    <row r="967" spans="3:10" x14ac:dyDescent="0.25">
      <c r="C967" s="28" t="s">
        <v>3552</v>
      </c>
      <c r="D967" s="188" t="str">
        <f>+INDEX([1]Detallado!$F:$F,MATCH($C967,[1]Detallado!$B:$B,0))</f>
        <v>Renta Fija</v>
      </c>
      <c r="E967" s="31" t="str">
        <f>+INDEX([1]Detallado!$Q:$Q,MATCH($C967,[1]Detallado!$B:$B,0))</f>
        <v>RFLG</v>
      </c>
      <c r="F967" s="185" t="s">
        <v>4357</v>
      </c>
      <c r="G967" s="186" t="str">
        <f t="shared" si="28"/>
        <v>49RFLG</v>
      </c>
      <c r="H967" s="187" t="str">
        <f>+INDEX([1]Detallado!$D:$D,MATCH(C967,[1]Detallado!$B:$B,0))</f>
        <v>Fondo Credicorp Deuda Soles</v>
      </c>
      <c r="I967" s="28"/>
      <c r="J967" s="184" t="str">
        <f t="shared" si="29"/>
        <v>RFLBU</v>
      </c>
    </row>
    <row r="968" spans="3:10" x14ac:dyDescent="0.25">
      <c r="C968" s="28" t="s">
        <v>3553</v>
      </c>
      <c r="D968" s="188" t="str">
        <f>+INDEX([1]Detallado!$F:$F,MATCH($C968,[1]Detallado!$B:$B,0))</f>
        <v>Renta Fija</v>
      </c>
      <c r="E968" s="31" t="str">
        <f>+INDEX([1]Detallado!$Q:$Q,MATCH($C968,[1]Detallado!$B:$B,0))</f>
        <v>RFLG</v>
      </c>
      <c r="F968" s="185" t="s">
        <v>4357</v>
      </c>
      <c r="G968" s="186" t="str">
        <f t="shared" si="28"/>
        <v>49RFLG</v>
      </c>
      <c r="H968" s="187" t="str">
        <f>+INDEX([1]Detallado!$D:$D,MATCH(C968,[1]Detallado!$B:$B,0))</f>
        <v>Fondo HMC II (USD)</v>
      </c>
      <c r="I968" s="28"/>
      <c r="J968" s="184" t="str">
        <f t="shared" si="29"/>
        <v>RFLBU</v>
      </c>
    </row>
    <row r="969" spans="3:10" x14ac:dyDescent="0.25">
      <c r="C969" s="28" t="s">
        <v>3554</v>
      </c>
      <c r="D969" s="188" t="str">
        <f>+INDEX([1]Detallado!$F:$F,MATCH($C969,[1]Detallado!$B:$B,0))</f>
        <v>Renta Fija</v>
      </c>
      <c r="E969" s="31" t="str">
        <f>+INDEX([1]Detallado!$Q:$Q,MATCH($C969,[1]Detallado!$B:$B,0))</f>
        <v>RFLG</v>
      </c>
      <c r="F969" s="185" t="s">
        <v>4357</v>
      </c>
      <c r="G969" s="186" t="str">
        <f t="shared" si="28"/>
        <v>49RFLG</v>
      </c>
      <c r="H969" s="187" t="str">
        <f>+INDEX([1]Detallado!$D:$D,MATCH(C969,[1]Detallado!$B:$B,0))</f>
        <v xml:space="preserve"> Fondo HMC II (PEN)</v>
      </c>
      <c r="I969" s="28"/>
      <c r="J969" s="184" t="str">
        <f t="shared" si="29"/>
        <v>RFLBU</v>
      </c>
    </row>
    <row r="970" spans="3:10" x14ac:dyDescent="0.25">
      <c r="C970" s="28" t="s">
        <v>3555</v>
      </c>
      <c r="D970" s="188" t="str">
        <f>+INDEX([1]Detallado!$F:$F,MATCH($C970,[1]Detallado!$B:$B,0))</f>
        <v>Renta Fija</v>
      </c>
      <c r="E970" s="31" t="str">
        <f>+INDEX([1]Detallado!$Q:$Q,MATCH($C970,[1]Detallado!$B:$B,0))</f>
        <v>RFLG</v>
      </c>
      <c r="F970" s="185" t="s">
        <v>4357</v>
      </c>
      <c r="G970" s="186" t="str">
        <f t="shared" ref="G970:G1033" si="30">LEFT(C970,2)&amp;E970</f>
        <v>49RFLG</v>
      </c>
      <c r="H970" s="187" t="str">
        <f>+INDEX([1]Detallado!$D:$D,MATCH(C970,[1]Detallado!$B:$B,0))</f>
        <v>Fondo HMC PEN</v>
      </c>
      <c r="I970" s="28"/>
      <c r="J970" s="184" t="str">
        <f t="shared" ref="J970:J1033" si="31">IF(E970="ALT",LEFT(E970,3),LEFT(E970,3)&amp;F970)</f>
        <v>RFLBU</v>
      </c>
    </row>
    <row r="971" spans="3:10" x14ac:dyDescent="0.25">
      <c r="C971" s="28" t="s">
        <v>3556</v>
      </c>
      <c r="D971" s="188" t="str">
        <f>+INDEX([1]Detallado!$F:$F,MATCH($C971,[1]Detallado!$B:$B,0))</f>
        <v>Renta Fija</v>
      </c>
      <c r="E971" s="31" t="str">
        <f>+INDEX([1]Detallado!$Q:$Q,MATCH($C971,[1]Detallado!$B:$B,0))</f>
        <v>RFLG</v>
      </c>
      <c r="F971" s="185" t="s">
        <v>4357</v>
      </c>
      <c r="G971" s="186" t="str">
        <f t="shared" si="30"/>
        <v>49RFLG</v>
      </c>
      <c r="H971" s="187" t="str">
        <f>+INDEX([1]Detallado!$D:$D,MATCH(C971,[1]Detallado!$B:$B,0))</f>
        <v>Fondo HMC PEN</v>
      </c>
      <c r="I971" s="28"/>
      <c r="J971" s="184" t="str">
        <f t="shared" si="31"/>
        <v>RFLBU</v>
      </c>
    </row>
    <row r="972" spans="3:10" x14ac:dyDescent="0.25">
      <c r="C972" s="28" t="s">
        <v>352</v>
      </c>
      <c r="D972" s="188" t="str">
        <f>+INDEX([1]Detallado!$F:$F,MATCH($C972,[1]Detallado!$B:$B,0))</f>
        <v>Renta Fija</v>
      </c>
      <c r="E972" s="31" t="str">
        <f>+INDEX([1]Detallado!$Q:$Q,MATCH($C972,[1]Detallado!$B:$B,0))</f>
        <v>RFLC</v>
      </c>
      <c r="F972" s="185" t="s">
        <v>4357</v>
      </c>
      <c r="G972" s="186" t="str">
        <f t="shared" si="30"/>
        <v>25RFLC</v>
      </c>
      <c r="H972" s="187" t="str">
        <f>+INDEX([1]Detallado!$D:$D,MATCH(C972,[1]Detallado!$B:$B,0))</f>
        <v>Financiera Oh! S.A.</v>
      </c>
      <c r="I972" s="28"/>
      <c r="J972" s="184" t="str">
        <f t="shared" si="31"/>
        <v>RFLBU</v>
      </c>
    </row>
    <row r="973" spans="3:10" x14ac:dyDescent="0.25">
      <c r="C973" s="28" t="s">
        <v>3557</v>
      </c>
      <c r="D973" s="188" t="str">
        <f>+INDEX([1]Detallado!$F:$F,MATCH($C973,[1]Detallado!$B:$B,0))</f>
        <v>Renta Fija</v>
      </c>
      <c r="E973" s="31" t="str">
        <f>+INDEX([1]Detallado!$Q:$Q,MATCH($C973,[1]Detallado!$B:$B,0))</f>
        <v>RFLC</v>
      </c>
      <c r="F973" s="185" t="s">
        <v>4357</v>
      </c>
      <c r="G973" s="186" t="str">
        <f t="shared" si="30"/>
        <v>09RFLC</v>
      </c>
      <c r="H973" s="187" t="str">
        <f>+INDEX([1]Detallado!$D:$D,MATCH(C973,[1]Detallado!$B:$B,0))</f>
        <v>Central American Bank for Economic IntegratioN</v>
      </c>
      <c r="I973" s="28"/>
      <c r="J973" s="184" t="str">
        <f t="shared" si="31"/>
        <v>RFLBU</v>
      </c>
    </row>
    <row r="974" spans="3:10" x14ac:dyDescent="0.25">
      <c r="C974" s="28" t="s">
        <v>3558</v>
      </c>
      <c r="D974" s="188" t="str">
        <f>+INDEX([1]Detallado!$F:$F,MATCH($C974,[1]Detallado!$B:$B,0))</f>
        <v>Renta Fija</v>
      </c>
      <c r="E974" s="31" t="str">
        <f>+INDEX([1]Detallado!$Q:$Q,MATCH($C974,[1]Detallado!$B:$B,0))</f>
        <v>RFLC</v>
      </c>
      <c r="F974" s="185" t="s">
        <v>4357</v>
      </c>
      <c r="G974" s="186" t="str">
        <f t="shared" si="30"/>
        <v>16RFLC</v>
      </c>
      <c r="H974" s="187" t="str">
        <f>+INDEX([1]Detallado!$D:$D,MATCH(C974,[1]Detallado!$B:$B,0))</f>
        <v>Banco Latinoamericano de Exportaciones</v>
      </c>
      <c r="I974" s="28"/>
      <c r="J974" s="184" t="str">
        <f t="shared" si="31"/>
        <v>RFLBU</v>
      </c>
    </row>
    <row r="975" spans="3:10" x14ac:dyDescent="0.25">
      <c r="C975" s="28" t="s">
        <v>220</v>
      </c>
      <c r="D975" s="188" t="str">
        <f>+INDEX([1]Detallado!$F:$F,MATCH($C975,[1]Detallado!$B:$B,0))</f>
        <v>Renta Fija</v>
      </c>
      <c r="E975" s="31" t="str">
        <f>+INDEX([1]Detallado!$Q:$Q,MATCH($C975,[1]Detallado!$B:$B,0))</f>
        <v>RFLC</v>
      </c>
      <c r="F975" s="185" t="s">
        <v>4357</v>
      </c>
      <c r="G975" s="186" t="str">
        <f t="shared" si="30"/>
        <v>18RFLC</v>
      </c>
      <c r="H975" s="187" t="str">
        <f>+INDEX([1]Detallado!$D:$D,MATCH(C975,[1]Detallado!$B:$B,0))</f>
        <v>Línea Amarilla S.A.C.</v>
      </c>
      <c r="I975" s="28"/>
      <c r="J975" s="184" t="str">
        <f t="shared" si="31"/>
        <v>RFLBU</v>
      </c>
    </row>
    <row r="976" spans="3:10" x14ac:dyDescent="0.25">
      <c r="C976" s="28" t="s">
        <v>3559</v>
      </c>
      <c r="D976" s="188" t="str">
        <f>+INDEX([1]Detallado!$F:$F,MATCH($C976,[1]Detallado!$B:$B,0))</f>
        <v>Renta Fija</v>
      </c>
      <c r="E976" s="31" t="str">
        <f>+INDEX([1]Detallado!$Q:$Q,MATCH($C976,[1]Detallado!$B:$B,0))</f>
        <v>RFLC</v>
      </c>
      <c r="F976" s="185" t="s">
        <v>4357</v>
      </c>
      <c r="G976" s="186" t="str">
        <f t="shared" si="30"/>
        <v>17RFLC</v>
      </c>
      <c r="H976" s="187" t="str">
        <f>+INDEX([1]Detallado!$D:$D,MATCH(C976,[1]Detallado!$B:$B,0))</f>
        <v>Cencosud Perú</v>
      </c>
      <c r="I976" s="28"/>
      <c r="J976" s="184" t="str">
        <f t="shared" si="31"/>
        <v>RFLBU</v>
      </c>
    </row>
    <row r="977" spans="3:10" x14ac:dyDescent="0.25">
      <c r="C977" s="28" t="s">
        <v>3560</v>
      </c>
      <c r="D977" s="188" t="str">
        <f>+INDEX([1]Detallado!$F:$F,MATCH($C977,[1]Detallado!$B:$B,0))</f>
        <v>Renta Fija</v>
      </c>
      <c r="E977" s="31" t="str">
        <f>+INDEX([1]Detallado!$Q:$Q,MATCH($C977,[1]Detallado!$B:$B,0))</f>
        <v>RFLC</v>
      </c>
      <c r="F977" s="185" t="s">
        <v>4357</v>
      </c>
      <c r="G977" s="186" t="str">
        <f t="shared" si="30"/>
        <v>17RFLC</v>
      </c>
      <c r="H977" s="187" t="str">
        <f>+INDEX([1]Detallado!$D:$D,MATCH(C977,[1]Detallado!$B:$B,0))</f>
        <v>Cencosud Perú</v>
      </c>
      <c r="I977" s="28"/>
      <c r="J977" s="184" t="str">
        <f t="shared" si="31"/>
        <v>RFLBU</v>
      </c>
    </row>
    <row r="978" spans="3:10" x14ac:dyDescent="0.25">
      <c r="C978" s="28" t="s">
        <v>3561</v>
      </c>
      <c r="D978" s="188" t="str">
        <f>+INDEX([1]Detallado!$F:$F,MATCH($C978,[1]Detallado!$B:$B,0))</f>
        <v>Renta Fija</v>
      </c>
      <c r="E978" s="31" t="str">
        <f>+INDEX([1]Detallado!$Q:$Q,MATCH($C978,[1]Detallado!$B:$B,0))</f>
        <v>RFLC</v>
      </c>
      <c r="F978" s="185" t="s">
        <v>4357</v>
      </c>
      <c r="G978" s="186" t="str">
        <f t="shared" si="30"/>
        <v>17RFLC</v>
      </c>
      <c r="H978" s="187" t="str">
        <f>+INDEX([1]Detallado!$D:$D,MATCH(C978,[1]Detallado!$B:$B,0))</f>
        <v>Compañía Nacional de Chocolates</v>
      </c>
      <c r="I978" s="28"/>
      <c r="J978" s="184" t="str">
        <f t="shared" si="31"/>
        <v>RFLBU</v>
      </c>
    </row>
    <row r="979" spans="3:10" x14ac:dyDescent="0.25">
      <c r="C979" s="28" t="s">
        <v>3562</v>
      </c>
      <c r="D979" s="188" t="str">
        <f>+INDEX([1]Detallado!$F:$F,MATCH($C979,[1]Detallado!$B:$B,0))</f>
        <v>Renta Fija</v>
      </c>
      <c r="E979" s="31" t="str">
        <f>+INDEX([1]Detallado!$Q:$Q,MATCH($C979,[1]Detallado!$B:$B,0))</f>
        <v>RFLC</v>
      </c>
      <c r="F979" s="185" t="s">
        <v>4357</v>
      </c>
      <c r="G979" s="186" t="str">
        <f t="shared" si="30"/>
        <v>17RFLC</v>
      </c>
      <c r="H979" s="187" t="str">
        <f>+INDEX([1]Detallado!$D:$D,MATCH(C979,[1]Detallado!$B:$B,0))</f>
        <v>Ripley Corp</v>
      </c>
      <c r="I979" s="28"/>
      <c r="J979" s="184" t="str">
        <f t="shared" si="31"/>
        <v>RFLBU</v>
      </c>
    </row>
    <row r="980" spans="3:10" x14ac:dyDescent="0.25">
      <c r="C980" s="28" t="s">
        <v>3563</v>
      </c>
      <c r="D980" s="188" t="str">
        <f>+INDEX([1]Detallado!$F:$F,MATCH($C980,[1]Detallado!$B:$B,0))</f>
        <v>Renta Fija</v>
      </c>
      <c r="E980" s="31" t="str">
        <f>+INDEX([1]Detallado!$Q:$Q,MATCH($C980,[1]Detallado!$B:$B,0))</f>
        <v>RFLC</v>
      </c>
      <c r="F980" s="185" t="s">
        <v>4357</v>
      </c>
      <c r="G980" s="186" t="str">
        <f t="shared" si="30"/>
        <v>17RFLC</v>
      </c>
      <c r="H980" s="187" t="str">
        <f>+INDEX([1]Detallado!$D:$D,MATCH(C980,[1]Detallado!$B:$B,0))</f>
        <v>Sab Miller PLC-Perú</v>
      </c>
      <c r="I980" s="28"/>
      <c r="J980" s="184" t="str">
        <f t="shared" si="31"/>
        <v>RFLBU</v>
      </c>
    </row>
    <row r="981" spans="3:10" x14ac:dyDescent="0.25">
      <c r="C981" s="28" t="s">
        <v>3564</v>
      </c>
      <c r="D981" s="188" t="str">
        <f>+INDEX([1]Detallado!$F:$F,MATCH($C981,[1]Detallado!$B:$B,0))</f>
        <v>Renta Fija</v>
      </c>
      <c r="E981" s="31" t="str">
        <f>+INDEX([1]Detallado!$Q:$Q,MATCH($C981,[1]Detallado!$B:$B,0))</f>
        <v>RFLC</v>
      </c>
      <c r="F981" s="185" t="s">
        <v>4357</v>
      </c>
      <c r="G981" s="186" t="str">
        <f t="shared" si="30"/>
        <v>18RFLC</v>
      </c>
      <c r="H981" s="187" t="str">
        <f>+INDEX([1]Detallado!$D:$D,MATCH(C981,[1]Detallado!$B:$B,0))</f>
        <v>H2Olmos S.A.</v>
      </c>
      <c r="I981" s="28"/>
      <c r="J981" s="184" t="str">
        <f t="shared" si="31"/>
        <v>RFLBU</v>
      </c>
    </row>
    <row r="982" spans="3:10" x14ac:dyDescent="0.25">
      <c r="C982" s="28" t="s">
        <v>3565</v>
      </c>
      <c r="D982" s="188" t="str">
        <f>+INDEX([1]Detallado!$F:$F,MATCH($C982,[1]Detallado!$B:$B,0))</f>
        <v>Renta Fija</v>
      </c>
      <c r="E982" s="31" t="str">
        <f>+INDEX([1]Detallado!$Q:$Q,MATCH($C982,[1]Detallado!$B:$B,0))</f>
        <v>RFLC</v>
      </c>
      <c r="F982" s="185" t="s">
        <v>4357</v>
      </c>
      <c r="G982" s="186" t="str">
        <f t="shared" si="30"/>
        <v>20RFLC</v>
      </c>
      <c r="H982" s="187" t="str">
        <f>+INDEX([1]Detallado!$D:$D,MATCH(C982,[1]Detallado!$B:$B,0))</f>
        <v>Banco de Crédito del Perú</v>
      </c>
      <c r="I982" s="28"/>
      <c r="J982" s="184" t="str">
        <f t="shared" si="31"/>
        <v>RFLBU</v>
      </c>
    </row>
    <row r="983" spans="3:10" x14ac:dyDescent="0.25">
      <c r="C983" s="28" t="s">
        <v>3566</v>
      </c>
      <c r="D983" s="188" t="str">
        <f>+INDEX([1]Detallado!$F:$F,MATCH($C983,[1]Detallado!$B:$B,0))</f>
        <v>Renta Fija</v>
      </c>
      <c r="E983" s="31" t="str">
        <f>+INDEX([1]Detallado!$Q:$Q,MATCH($C983,[1]Detallado!$B:$B,0))</f>
        <v>RFLC</v>
      </c>
      <c r="F983" s="185" t="s">
        <v>4357</v>
      </c>
      <c r="G983" s="186" t="str">
        <f t="shared" si="30"/>
        <v>20RFLC</v>
      </c>
      <c r="H983" s="187" t="str">
        <f>+INDEX([1]Detallado!$D:$D,MATCH(C983,[1]Detallado!$B:$B,0))</f>
        <v>Banco Continental</v>
      </c>
      <c r="I983" s="28"/>
      <c r="J983" s="184" t="str">
        <f t="shared" si="31"/>
        <v>RFLBU</v>
      </c>
    </row>
    <row r="984" spans="3:10" x14ac:dyDescent="0.25">
      <c r="C984" s="28" t="s">
        <v>3567</v>
      </c>
      <c r="D984" s="188" t="str">
        <f>+INDEX([1]Detallado!$F:$F,MATCH($C984,[1]Detallado!$B:$B,0))</f>
        <v>Renta Fija</v>
      </c>
      <c r="E984" s="31" t="str">
        <f>+INDEX([1]Detallado!$Q:$Q,MATCH($C984,[1]Detallado!$B:$B,0))</f>
        <v>RFLC</v>
      </c>
      <c r="F984" s="185" t="s">
        <v>4357</v>
      </c>
      <c r="G984" s="186" t="str">
        <f t="shared" si="30"/>
        <v>20RFLC</v>
      </c>
      <c r="H984" s="187" t="str">
        <f>+INDEX([1]Detallado!$D:$D,MATCH(C984,[1]Detallado!$B:$B,0))</f>
        <v>Banco Continental</v>
      </c>
      <c r="I984" s="28"/>
      <c r="J984" s="184" t="str">
        <f t="shared" si="31"/>
        <v>RFLBU</v>
      </c>
    </row>
    <row r="985" spans="3:10" x14ac:dyDescent="0.25">
      <c r="C985" s="28" t="s">
        <v>3568</v>
      </c>
      <c r="D985" s="188" t="str">
        <f>+INDEX([1]Detallado!$F:$F,MATCH($C985,[1]Detallado!$B:$B,0))</f>
        <v>Renta Fija</v>
      </c>
      <c r="E985" s="31" t="str">
        <f>+INDEX([1]Detallado!$Q:$Q,MATCH($C985,[1]Detallado!$B:$B,0))</f>
        <v>RFLC</v>
      </c>
      <c r="F985" s="185" t="s">
        <v>4357</v>
      </c>
      <c r="G985" s="186" t="str">
        <f t="shared" si="30"/>
        <v>20RFLC</v>
      </c>
      <c r="H985" s="187" t="str">
        <f>+INDEX([1]Detallado!$D:$D,MATCH(C985,[1]Detallado!$B:$B,0))</f>
        <v>Banco Continental</v>
      </c>
      <c r="I985" s="28"/>
      <c r="J985" s="184" t="str">
        <f t="shared" si="31"/>
        <v>RFLBU</v>
      </c>
    </row>
    <row r="986" spans="3:10" x14ac:dyDescent="0.25">
      <c r="C986" s="28" t="s">
        <v>3569</v>
      </c>
      <c r="D986" s="188" t="str">
        <f>+INDEX([1]Detallado!$F:$F,MATCH($C986,[1]Detallado!$B:$B,0))</f>
        <v>Renta Fija</v>
      </c>
      <c r="E986" s="31" t="str">
        <f>+INDEX([1]Detallado!$Q:$Q,MATCH($C986,[1]Detallado!$B:$B,0))</f>
        <v>RFLC</v>
      </c>
      <c r="F986" s="185" t="s">
        <v>4357</v>
      </c>
      <c r="G986" s="186" t="str">
        <f t="shared" si="30"/>
        <v>20RFLC</v>
      </c>
      <c r="H986" s="187" t="str">
        <f>+INDEX([1]Detallado!$D:$D,MATCH(C986,[1]Detallado!$B:$B,0))</f>
        <v>Banco Continental</v>
      </c>
      <c r="I986" s="28"/>
      <c r="J986" s="184" t="str">
        <f t="shared" si="31"/>
        <v>RFLBU</v>
      </c>
    </row>
    <row r="987" spans="3:10" x14ac:dyDescent="0.25">
      <c r="C987" s="28" t="s">
        <v>3570</v>
      </c>
      <c r="D987" s="188" t="str">
        <f>+INDEX([1]Detallado!$F:$F,MATCH($C987,[1]Detallado!$B:$B,0))</f>
        <v>Renta Fija</v>
      </c>
      <c r="E987" s="31" t="str">
        <f>+INDEX([1]Detallado!$Q:$Q,MATCH($C987,[1]Detallado!$B:$B,0))</f>
        <v>RFLC</v>
      </c>
      <c r="F987" s="185" t="s">
        <v>4357</v>
      </c>
      <c r="G987" s="186" t="str">
        <f t="shared" si="30"/>
        <v>20RFLC</v>
      </c>
      <c r="H987" s="187" t="str">
        <f>+INDEX([1]Detallado!$D:$D,MATCH(C987,[1]Detallado!$B:$B,0))</f>
        <v>Banco Continental</v>
      </c>
      <c r="I987" s="28"/>
      <c r="J987" s="184" t="str">
        <f t="shared" si="31"/>
        <v>RFLBU</v>
      </c>
    </row>
    <row r="988" spans="3:10" x14ac:dyDescent="0.25">
      <c r="C988" s="28" t="s">
        <v>3571</v>
      </c>
      <c r="D988" s="188" t="str">
        <f>+INDEX([1]Detallado!$F:$F,MATCH($C988,[1]Detallado!$B:$B,0))</f>
        <v>Renta Fija</v>
      </c>
      <c r="E988" s="31" t="str">
        <f>+INDEX([1]Detallado!$Q:$Q,MATCH($C988,[1]Detallado!$B:$B,0))</f>
        <v>RFLC</v>
      </c>
      <c r="F988" s="185" t="s">
        <v>4357</v>
      </c>
      <c r="G988" s="186" t="str">
        <f t="shared" si="30"/>
        <v>20RFLC</v>
      </c>
      <c r="H988" s="187" t="str">
        <f>+INDEX([1]Detallado!$D:$D,MATCH(C988,[1]Detallado!$B:$B,0))</f>
        <v>Banco Continental</v>
      </c>
      <c r="I988" s="28"/>
      <c r="J988" s="184" t="str">
        <f t="shared" si="31"/>
        <v>RFLBU</v>
      </c>
    </row>
    <row r="989" spans="3:10" x14ac:dyDescent="0.25">
      <c r="C989" s="28" t="s">
        <v>3572</v>
      </c>
      <c r="D989" s="188" t="str">
        <f>+INDEX([1]Detallado!$F:$F,MATCH($C989,[1]Detallado!$B:$B,0))</f>
        <v>Renta Fija</v>
      </c>
      <c r="E989" s="31" t="str">
        <f>+INDEX([1]Detallado!$Q:$Q,MATCH($C989,[1]Detallado!$B:$B,0))</f>
        <v>RFLC</v>
      </c>
      <c r="F989" s="185" t="s">
        <v>4357</v>
      </c>
      <c r="G989" s="186" t="str">
        <f t="shared" si="30"/>
        <v>25RFLC</v>
      </c>
      <c r="H989" s="187" t="str">
        <f>+INDEX([1]Detallado!$D:$D,MATCH(C989,[1]Detallado!$B:$B,0))</f>
        <v>Banco Continental</v>
      </c>
      <c r="I989" s="28"/>
      <c r="J989" s="184" t="str">
        <f t="shared" si="31"/>
        <v>RFLBU</v>
      </c>
    </row>
    <row r="990" spans="3:10" x14ac:dyDescent="0.25">
      <c r="C990" s="28" t="s">
        <v>3573</v>
      </c>
      <c r="D990" s="188" t="str">
        <f>+INDEX([1]Detallado!$F:$F,MATCH($C990,[1]Detallado!$B:$B,0))</f>
        <v>Renta Fija</v>
      </c>
      <c r="E990" s="31" t="str">
        <f>+INDEX([1]Detallado!$Q:$Q,MATCH($C990,[1]Detallado!$B:$B,0))</f>
        <v>RFLC</v>
      </c>
      <c r="F990" s="185" t="s">
        <v>4357</v>
      </c>
      <c r="G990" s="186" t="str">
        <f t="shared" si="30"/>
        <v>20RFLC</v>
      </c>
      <c r="H990" s="187" t="str">
        <f>+INDEX([1]Detallado!$D:$D,MATCH(C990,[1]Detallado!$B:$B,0))</f>
        <v>Banco Financiero</v>
      </c>
      <c r="I990" s="28"/>
      <c r="J990" s="184" t="str">
        <f t="shared" si="31"/>
        <v>RFLBU</v>
      </c>
    </row>
    <row r="991" spans="3:10" x14ac:dyDescent="0.25">
      <c r="C991" s="28" t="s">
        <v>3574</v>
      </c>
      <c r="D991" s="188" t="str">
        <f>+INDEX([1]Detallado!$F:$F,MATCH($C991,[1]Detallado!$B:$B,0))</f>
        <v>Renta Fija</v>
      </c>
      <c r="E991" s="31" t="str">
        <f>+INDEX([1]Detallado!$Q:$Q,MATCH($C991,[1]Detallado!$B:$B,0))</f>
        <v>RFLC</v>
      </c>
      <c r="F991" s="185" t="s">
        <v>4357</v>
      </c>
      <c r="G991" s="186" t="str">
        <f t="shared" si="30"/>
        <v>20RFLC</v>
      </c>
      <c r="H991" s="187" t="str">
        <f>+INDEX([1]Detallado!$D:$D,MATCH(C991,[1]Detallado!$B:$B,0))</f>
        <v>Banco Financiero</v>
      </c>
      <c r="I991" s="28"/>
      <c r="J991" s="184" t="str">
        <f t="shared" si="31"/>
        <v>RFLBU</v>
      </c>
    </row>
    <row r="992" spans="3:10" x14ac:dyDescent="0.25">
      <c r="C992" s="28" t="s">
        <v>3575</v>
      </c>
      <c r="D992" s="188" t="str">
        <f>+INDEX([1]Detallado!$F:$F,MATCH($C992,[1]Detallado!$B:$B,0))</f>
        <v>Renta Fija</v>
      </c>
      <c r="E992" s="31" t="str">
        <f>+INDEX([1]Detallado!$Q:$Q,MATCH($C992,[1]Detallado!$B:$B,0))</f>
        <v>RFLC</v>
      </c>
      <c r="F992" s="185" t="s">
        <v>4357</v>
      </c>
      <c r="G992" s="186" t="str">
        <f t="shared" si="30"/>
        <v>21RFLC</v>
      </c>
      <c r="H992" s="187" t="str">
        <f>+INDEX([1]Detallado!$D:$D,MATCH(C992,[1]Detallado!$B:$B,0))</f>
        <v>Banco de Crédito del Perú</v>
      </c>
      <c r="I992" s="28"/>
      <c r="J992" s="184" t="str">
        <f t="shared" si="31"/>
        <v>RFLBU</v>
      </c>
    </row>
    <row r="993" spans="3:10" x14ac:dyDescent="0.25">
      <c r="C993" s="28" t="s">
        <v>3576</v>
      </c>
      <c r="D993" s="188" t="str">
        <f>+INDEX([1]Detallado!$F:$F,MATCH($C993,[1]Detallado!$B:$B,0))</f>
        <v>Renta Fija</v>
      </c>
      <c r="E993" s="31" t="str">
        <f>+INDEX([1]Detallado!$Q:$Q,MATCH($C993,[1]Detallado!$B:$B,0))</f>
        <v>RFLC</v>
      </c>
      <c r="F993" s="185" t="s">
        <v>4357</v>
      </c>
      <c r="G993" s="186" t="str">
        <f t="shared" si="30"/>
        <v>21RFLC</v>
      </c>
      <c r="H993" s="187" t="str">
        <f>+INDEX([1]Detallado!$D:$D,MATCH(C993,[1]Detallado!$B:$B,0))</f>
        <v xml:space="preserve">Banco Internacional del Perú </v>
      </c>
      <c r="I993" s="28"/>
      <c r="J993" s="184" t="str">
        <f t="shared" si="31"/>
        <v>RFLBU</v>
      </c>
    </row>
    <row r="994" spans="3:10" x14ac:dyDescent="0.25">
      <c r="C994" s="28" t="s">
        <v>3577</v>
      </c>
      <c r="D994" s="188" t="str">
        <f>+INDEX([1]Detallado!$F:$F,MATCH($C994,[1]Detallado!$B:$B,0))</f>
        <v>Renta Fija</v>
      </c>
      <c r="E994" s="31" t="str">
        <f>+INDEX([1]Detallado!$Q:$Q,MATCH($C994,[1]Detallado!$B:$B,0))</f>
        <v>RFLC</v>
      </c>
      <c r="F994" s="185" t="s">
        <v>4357</v>
      </c>
      <c r="G994" s="186" t="str">
        <f t="shared" si="30"/>
        <v>21RFLC</v>
      </c>
      <c r="H994" s="187" t="str">
        <f>+INDEX([1]Detallado!$D:$D,MATCH(C994,[1]Detallado!$B:$B,0))</f>
        <v xml:space="preserve">Banco Internacional del Perú </v>
      </c>
      <c r="I994" s="28"/>
      <c r="J994" s="184" t="str">
        <f t="shared" si="31"/>
        <v>RFLBU</v>
      </c>
    </row>
    <row r="995" spans="3:10" x14ac:dyDescent="0.25">
      <c r="C995" s="28" t="s">
        <v>3578</v>
      </c>
      <c r="D995" s="188" t="str">
        <f>+INDEX([1]Detallado!$F:$F,MATCH($C995,[1]Detallado!$B:$B,0))</f>
        <v>Renta Fija</v>
      </c>
      <c r="E995" s="31" t="str">
        <f>+INDEX([1]Detallado!$Q:$Q,MATCH($C995,[1]Detallado!$B:$B,0))</f>
        <v>RFLC</v>
      </c>
      <c r="F995" s="185" t="s">
        <v>4357</v>
      </c>
      <c r="G995" s="186" t="str">
        <f t="shared" si="30"/>
        <v>21RFLC</v>
      </c>
      <c r="H995" s="187" t="str">
        <f>+INDEX([1]Detallado!$D:$D,MATCH(C995,[1]Detallado!$B:$B,0))</f>
        <v xml:space="preserve">Banco Internacional del Perú </v>
      </c>
      <c r="I995" s="28"/>
      <c r="J995" s="184" t="str">
        <f t="shared" si="31"/>
        <v>RFLBU</v>
      </c>
    </row>
    <row r="996" spans="3:10" x14ac:dyDescent="0.25">
      <c r="C996" s="28" t="s">
        <v>376</v>
      </c>
      <c r="D996" s="188" t="str">
        <f>+INDEX([1]Detallado!$F:$F,MATCH($C996,[1]Detallado!$B:$B,0))</f>
        <v>Renta Fija</v>
      </c>
      <c r="E996" s="31" t="str">
        <f>+INDEX([1]Detallado!$Q:$Q,MATCH($C996,[1]Detallado!$B:$B,0))</f>
        <v>RFLC</v>
      </c>
      <c r="F996" s="185" t="s">
        <v>4357</v>
      </c>
      <c r="G996" s="186" t="str">
        <f t="shared" si="30"/>
        <v>25RFLC</v>
      </c>
      <c r="H996" s="187" t="str">
        <f>+INDEX([1]Detallado!$D:$D,MATCH(C996,[1]Detallado!$B:$B,0))</f>
        <v xml:space="preserve">Banco Internacional del Perú </v>
      </c>
      <c r="I996" s="28"/>
      <c r="J996" s="184" t="str">
        <f t="shared" si="31"/>
        <v>RFLBU</v>
      </c>
    </row>
    <row r="997" spans="3:10" x14ac:dyDescent="0.25">
      <c r="C997" s="28" t="s">
        <v>3579</v>
      </c>
      <c r="D997" s="188" t="str">
        <f>+INDEX([1]Detallado!$F:$F,MATCH($C997,[1]Detallado!$B:$B,0))</f>
        <v>Renta Fija</v>
      </c>
      <c r="E997" s="31" t="str">
        <f>+INDEX([1]Detallado!$Q:$Q,MATCH($C997,[1]Detallado!$B:$B,0))</f>
        <v>RFLC</v>
      </c>
      <c r="F997" s="185" t="s">
        <v>4357</v>
      </c>
      <c r="G997" s="186" t="str">
        <f t="shared" si="30"/>
        <v>63RFLC</v>
      </c>
      <c r="H997" s="187" t="str">
        <f>+INDEX([1]Detallado!$D:$D,MATCH(C997,[1]Detallado!$B:$B,0))</f>
        <v xml:space="preserve">Banco Internacional del Perú </v>
      </c>
      <c r="I997" s="28"/>
      <c r="J997" s="184" t="str">
        <f t="shared" si="31"/>
        <v>RFLBU</v>
      </c>
    </row>
    <row r="998" spans="3:10" x14ac:dyDescent="0.25">
      <c r="C998" s="28" t="s">
        <v>247</v>
      </c>
      <c r="D998" s="188" t="str">
        <f>+INDEX([1]Detallado!$F:$F,MATCH($C998,[1]Detallado!$B:$B,0))</f>
        <v>Renta Fija</v>
      </c>
      <c r="E998" s="31" t="str">
        <f>+INDEX([1]Detallado!$Q:$Q,MATCH($C998,[1]Detallado!$B:$B,0))</f>
        <v>RFLC</v>
      </c>
      <c r="F998" s="185" t="s">
        <v>4357</v>
      </c>
      <c r="G998" s="186" t="str">
        <f t="shared" si="30"/>
        <v>21RFLC</v>
      </c>
      <c r="H998" s="187" t="str">
        <f>+INDEX([1]Detallado!$D:$D,MATCH(C998,[1]Detallado!$B:$B,0))</f>
        <v>Scotiabank Peru</v>
      </c>
      <c r="I998" s="28"/>
      <c r="J998" s="184" t="str">
        <f t="shared" si="31"/>
        <v>RFLBU</v>
      </c>
    </row>
    <row r="999" spans="3:10" x14ac:dyDescent="0.25">
      <c r="C999" s="28" t="s">
        <v>3580</v>
      </c>
      <c r="D999" s="188" t="str">
        <f>+INDEX([1]Detallado!$F:$F,MATCH($C999,[1]Detallado!$B:$B,0))</f>
        <v>Renta Fija</v>
      </c>
      <c r="E999" s="31" t="str">
        <f>+INDEX([1]Detallado!$Q:$Q,MATCH($C999,[1]Detallado!$B:$B,0))</f>
        <v>RFLC</v>
      </c>
      <c r="F999" s="185" t="s">
        <v>4357</v>
      </c>
      <c r="G999" s="186" t="str">
        <f t="shared" si="30"/>
        <v>25RFLC</v>
      </c>
      <c r="H999" s="187" t="str">
        <f>+INDEX([1]Detallado!$D:$D,MATCH(C999,[1]Detallado!$B:$B,0))</f>
        <v>Banco Continental</v>
      </c>
      <c r="I999" s="28"/>
      <c r="J999" s="184" t="str">
        <f t="shared" si="31"/>
        <v>RFLBU</v>
      </c>
    </row>
    <row r="1000" spans="3:10" x14ac:dyDescent="0.25">
      <c r="C1000" s="28" t="s">
        <v>3581</v>
      </c>
      <c r="D1000" s="188" t="str">
        <f>+INDEX([1]Detallado!$F:$F,MATCH($C1000,[1]Detallado!$B:$B,0))</f>
        <v>Renta Fija</v>
      </c>
      <c r="E1000" s="31" t="str">
        <f>+INDEX([1]Detallado!$Q:$Q,MATCH($C1000,[1]Detallado!$B:$B,0))</f>
        <v>RFLC</v>
      </c>
      <c r="F1000" s="185" t="s">
        <v>4357</v>
      </c>
      <c r="G1000" s="186" t="str">
        <f t="shared" si="30"/>
        <v>21RFLC</v>
      </c>
      <c r="H1000" s="187" t="str">
        <f>+INDEX([1]Detallado!$D:$D,MATCH(C1000,[1]Detallado!$B:$B,0))</f>
        <v>Banco Continental</v>
      </c>
      <c r="I1000" s="28"/>
      <c r="J1000" s="184" t="str">
        <f t="shared" si="31"/>
        <v>RFLBU</v>
      </c>
    </row>
    <row r="1001" spans="3:10" x14ac:dyDescent="0.25">
      <c r="C1001" s="28" t="s">
        <v>3582</v>
      </c>
      <c r="D1001" s="188" t="str">
        <f>+INDEX([1]Detallado!$F:$F,MATCH($C1001,[1]Detallado!$B:$B,0))</f>
        <v>Renta Fija</v>
      </c>
      <c r="E1001" s="31" t="str">
        <f>+INDEX([1]Detallado!$Q:$Q,MATCH($C1001,[1]Detallado!$B:$B,0))</f>
        <v>RFLC</v>
      </c>
      <c r="F1001" s="185" t="s">
        <v>4357</v>
      </c>
      <c r="G1001" s="186" t="str">
        <f t="shared" si="30"/>
        <v>25RFLC</v>
      </c>
      <c r="H1001" s="187" t="str">
        <f>+INDEX([1]Detallado!$D:$D,MATCH(C1001,[1]Detallado!$B:$B,0))</f>
        <v>Banco Continental</v>
      </c>
      <c r="I1001" s="28"/>
      <c r="J1001" s="184" t="str">
        <f t="shared" si="31"/>
        <v>RFLBU</v>
      </c>
    </row>
    <row r="1002" spans="3:10" x14ac:dyDescent="0.25">
      <c r="C1002" s="28" t="s">
        <v>3583</v>
      </c>
      <c r="D1002" s="188" t="str">
        <f>+INDEX([1]Detallado!$F:$F,MATCH($C1002,[1]Detallado!$B:$B,0))</f>
        <v>Renta Fija</v>
      </c>
      <c r="E1002" s="31" t="str">
        <f>+INDEX([1]Detallado!$Q:$Q,MATCH($C1002,[1]Detallado!$B:$B,0))</f>
        <v>RFLC</v>
      </c>
      <c r="F1002" s="185" t="s">
        <v>4357</v>
      </c>
      <c r="G1002" s="186" t="str">
        <f t="shared" si="30"/>
        <v>25RFLC</v>
      </c>
      <c r="H1002" s="187" t="str">
        <f>+INDEX([1]Detallado!$D:$D,MATCH(C1002,[1]Detallado!$B:$B,0))</f>
        <v>Banco Continental</v>
      </c>
      <c r="I1002" s="28"/>
      <c r="J1002" s="184" t="str">
        <f t="shared" si="31"/>
        <v>RFLBU</v>
      </c>
    </row>
    <row r="1003" spans="3:10" x14ac:dyDescent="0.25">
      <c r="C1003" s="28" t="s">
        <v>3584</v>
      </c>
      <c r="D1003" s="188" t="str">
        <f>+INDEX([1]Detallado!$F:$F,MATCH($C1003,[1]Detallado!$B:$B,0))</f>
        <v>Renta Fija</v>
      </c>
      <c r="E1003" s="31" t="str">
        <f>+INDEX([1]Detallado!$Q:$Q,MATCH($C1003,[1]Detallado!$B:$B,0))</f>
        <v>RFLC</v>
      </c>
      <c r="F1003" s="185" t="s">
        <v>4357</v>
      </c>
      <c r="G1003" s="186" t="str">
        <f t="shared" si="30"/>
        <v>25RFLC</v>
      </c>
      <c r="H1003" s="187" t="str">
        <f>+INDEX([1]Detallado!$D:$D,MATCH(C1003,[1]Detallado!$B:$B,0))</f>
        <v>Banco Continental</v>
      </c>
      <c r="I1003" s="28"/>
      <c r="J1003" s="184" t="str">
        <f t="shared" si="31"/>
        <v>RFLBU</v>
      </c>
    </row>
    <row r="1004" spans="3:10" x14ac:dyDescent="0.25">
      <c r="C1004" s="28" t="s">
        <v>234</v>
      </c>
      <c r="D1004" s="188" t="str">
        <f>+INDEX([1]Detallado!$F:$F,MATCH($C1004,[1]Detallado!$B:$B,0))</f>
        <v>Renta Fija</v>
      </c>
      <c r="E1004" s="31" t="str">
        <f>+INDEX([1]Detallado!$Q:$Q,MATCH($C1004,[1]Detallado!$B:$B,0))</f>
        <v>RFLC</v>
      </c>
      <c r="F1004" s="185" t="s">
        <v>4357</v>
      </c>
      <c r="G1004" s="186" t="str">
        <f t="shared" si="30"/>
        <v>21RFLC</v>
      </c>
      <c r="H1004" s="187" t="str">
        <f>+INDEX([1]Detallado!$D:$D,MATCH(C1004,[1]Detallado!$B:$B,0))</f>
        <v>Banco de la Nación</v>
      </c>
      <c r="I1004" s="28"/>
      <c r="J1004" s="184" t="str">
        <f t="shared" si="31"/>
        <v>RFLBU</v>
      </c>
    </row>
    <row r="1005" spans="3:10" x14ac:dyDescent="0.25">
      <c r="C1005" s="28" t="s">
        <v>3585</v>
      </c>
      <c r="D1005" s="188" t="str">
        <f>+INDEX([1]Detallado!$F:$F,MATCH($C1005,[1]Detallado!$B:$B,0))</f>
        <v>Renta Fija</v>
      </c>
      <c r="E1005" s="31" t="str">
        <f>+INDEX([1]Detallado!$Q:$Q,MATCH($C1005,[1]Detallado!$B:$B,0))</f>
        <v>RFLC</v>
      </c>
      <c r="F1005" s="185" t="s">
        <v>4357</v>
      </c>
      <c r="G1005" s="186" t="str">
        <f t="shared" si="30"/>
        <v>21RFLC</v>
      </c>
      <c r="H1005" s="187" t="str">
        <f>+INDEX([1]Detallado!$D:$D,MATCH(C1005,[1]Detallado!$B:$B,0))</f>
        <v>Banco Financiero</v>
      </c>
      <c r="I1005" s="28"/>
      <c r="J1005" s="184" t="str">
        <f t="shared" si="31"/>
        <v>RFLBU</v>
      </c>
    </row>
    <row r="1006" spans="3:10" x14ac:dyDescent="0.25">
      <c r="C1006" s="28" t="s">
        <v>3586</v>
      </c>
      <c r="D1006" s="188" t="str">
        <f>+INDEX([1]Detallado!$F:$F,MATCH($C1006,[1]Detallado!$B:$B,0))</f>
        <v>Renta Fija</v>
      </c>
      <c r="E1006" s="31" t="str">
        <f>+INDEX([1]Detallado!$Q:$Q,MATCH($C1006,[1]Detallado!$B:$B,0))</f>
        <v>RFLC</v>
      </c>
      <c r="F1006" s="185" t="s">
        <v>4357</v>
      </c>
      <c r="G1006" s="186" t="str">
        <f t="shared" si="30"/>
        <v>63RFLC</v>
      </c>
      <c r="H1006" s="187" t="str">
        <f>+INDEX([1]Detallado!$D:$D,MATCH(C1006,[1]Detallado!$B:$B,0))</f>
        <v>Banco Financiero</v>
      </c>
      <c r="I1006" s="28"/>
      <c r="J1006" s="184" t="str">
        <f t="shared" si="31"/>
        <v>RFLBU</v>
      </c>
    </row>
    <row r="1007" spans="3:10" x14ac:dyDescent="0.25">
      <c r="C1007" s="28" t="s">
        <v>229</v>
      </c>
      <c r="D1007" s="188" t="str">
        <f>+INDEX([1]Detallado!$F:$F,MATCH($C1007,[1]Detallado!$B:$B,0))</f>
        <v>Renta Fija</v>
      </c>
      <c r="E1007" s="31" t="str">
        <f>+INDEX([1]Detallado!$Q:$Q,MATCH($C1007,[1]Detallado!$B:$B,0))</f>
        <v>RFLC</v>
      </c>
      <c r="F1007" s="185" t="s">
        <v>4357</v>
      </c>
      <c r="G1007" s="186" t="str">
        <f t="shared" si="30"/>
        <v>21RFLC</v>
      </c>
      <c r="H1007" s="187" t="str">
        <f>+INDEX([1]Detallado!$D:$D,MATCH(C1007,[1]Detallado!$B:$B,0))</f>
        <v>Banco Interamericano de Finanzas</v>
      </c>
      <c r="I1007" s="28"/>
      <c r="J1007" s="184" t="str">
        <f t="shared" si="31"/>
        <v>RFLBU</v>
      </c>
    </row>
    <row r="1008" spans="3:10" x14ac:dyDescent="0.25">
      <c r="C1008" s="28" t="s">
        <v>3587</v>
      </c>
      <c r="D1008" s="188" t="str">
        <f>+INDEX([1]Detallado!$F:$F,MATCH($C1008,[1]Detallado!$B:$B,0))</f>
        <v>Renta Fija</v>
      </c>
      <c r="E1008" s="31" t="str">
        <f>+INDEX([1]Detallado!$Q:$Q,MATCH($C1008,[1]Detallado!$B:$B,0))</f>
        <v>RFLC</v>
      </c>
      <c r="F1008" s="185" t="s">
        <v>4357</v>
      </c>
      <c r="G1008" s="186" t="str">
        <f t="shared" si="30"/>
        <v>21RFLC</v>
      </c>
      <c r="H1008" s="187" t="str">
        <f>+INDEX([1]Detallado!$D:$D,MATCH(C1008,[1]Detallado!$B:$B,0))</f>
        <v>Banco Interamericano de Finanzas</v>
      </c>
      <c r="I1008" s="28"/>
      <c r="J1008" s="184" t="str">
        <f t="shared" si="31"/>
        <v>RFLBU</v>
      </c>
    </row>
    <row r="1009" spans="3:10" x14ac:dyDescent="0.25">
      <c r="C1009" s="28" t="s">
        <v>238</v>
      </c>
      <c r="D1009" s="188" t="str">
        <f>+INDEX([1]Detallado!$F:$F,MATCH($C1009,[1]Detallado!$B:$B,0))</f>
        <v>Renta Fija</v>
      </c>
      <c r="E1009" s="31" t="str">
        <f>+INDEX([1]Detallado!$Q:$Q,MATCH($C1009,[1]Detallado!$B:$B,0))</f>
        <v>RFLC</v>
      </c>
      <c r="F1009" s="185" t="s">
        <v>4357</v>
      </c>
      <c r="G1009" s="186" t="str">
        <f t="shared" si="30"/>
        <v>21RFLC</v>
      </c>
      <c r="H1009" s="187" t="str">
        <f>+INDEX([1]Detallado!$D:$D,MATCH(C1009,[1]Detallado!$B:$B,0))</f>
        <v>Crediscotia</v>
      </c>
      <c r="I1009" s="28"/>
      <c r="J1009" s="184" t="str">
        <f t="shared" si="31"/>
        <v>RFLBU</v>
      </c>
    </row>
    <row r="1010" spans="3:10" x14ac:dyDescent="0.25">
      <c r="C1010" s="28" t="s">
        <v>3588</v>
      </c>
      <c r="D1010" s="188" t="str">
        <f>+INDEX([1]Detallado!$F:$F,MATCH($C1010,[1]Detallado!$B:$B,0))</f>
        <v>Renta Fija</v>
      </c>
      <c r="E1010" s="31" t="str">
        <f>+INDEX([1]Detallado!$Q:$Q,MATCH($C1010,[1]Detallado!$B:$B,0))</f>
        <v>RFLC</v>
      </c>
      <c r="F1010" s="185" t="s">
        <v>4357</v>
      </c>
      <c r="G1010" s="186" t="str">
        <f t="shared" si="30"/>
        <v>21RFLC</v>
      </c>
      <c r="H1010" s="187" t="str">
        <f>+INDEX([1]Detallado!$D:$D,MATCH(C1010,[1]Detallado!$B:$B,0))</f>
        <v>Mibanco</v>
      </c>
      <c r="I1010" s="28"/>
      <c r="J1010" s="184" t="str">
        <f t="shared" si="31"/>
        <v>RFLBU</v>
      </c>
    </row>
    <row r="1011" spans="3:10" x14ac:dyDescent="0.25">
      <c r="C1011" s="28" t="s">
        <v>3589</v>
      </c>
      <c r="D1011" s="188" t="str">
        <f>+INDEX([1]Detallado!$F:$F,MATCH($C1011,[1]Detallado!$B:$B,0))</f>
        <v>Renta Fija</v>
      </c>
      <c r="E1011" s="31" t="str">
        <f>+INDEX([1]Detallado!$Q:$Q,MATCH($C1011,[1]Detallado!$B:$B,0))</f>
        <v>RFLC</v>
      </c>
      <c r="F1011" s="185" t="s">
        <v>4357</v>
      </c>
      <c r="G1011" s="186" t="str">
        <f t="shared" si="30"/>
        <v>22RFLC</v>
      </c>
      <c r="H1011" s="187" t="str">
        <f>+INDEX([1]Detallado!$D:$D,MATCH(C1011,[1]Detallado!$B:$B,0))</f>
        <v>Electro Dunas s.a.a</v>
      </c>
      <c r="I1011" s="28"/>
      <c r="J1011" s="184" t="str">
        <f t="shared" si="31"/>
        <v>RFLBU</v>
      </c>
    </row>
    <row r="1012" spans="3:10" x14ac:dyDescent="0.25">
      <c r="C1012" s="28" t="s">
        <v>3590</v>
      </c>
      <c r="D1012" s="188" t="str">
        <f>+INDEX([1]Detallado!$F:$F,MATCH($C1012,[1]Detallado!$B:$B,0))</f>
        <v>Renta Fija</v>
      </c>
      <c r="E1012" s="31" t="str">
        <f>+INDEX([1]Detallado!$Q:$Q,MATCH($C1012,[1]Detallado!$B:$B,0))</f>
        <v>RFLC</v>
      </c>
      <c r="F1012" s="185" t="s">
        <v>4357</v>
      </c>
      <c r="G1012" s="186" t="str">
        <f t="shared" si="30"/>
        <v>22RFLC</v>
      </c>
      <c r="H1012" s="187" t="str">
        <f>+INDEX([1]Detallado!$D:$D,MATCH(C1012,[1]Detallado!$B:$B,0))</f>
        <v>Unión Andina de Cementos</v>
      </c>
      <c r="I1012" s="28"/>
      <c r="J1012" s="184" t="str">
        <f t="shared" si="31"/>
        <v>RFLBU</v>
      </c>
    </row>
    <row r="1013" spans="3:10" x14ac:dyDescent="0.25">
      <c r="C1013" s="28" t="s">
        <v>3591</v>
      </c>
      <c r="D1013" s="188" t="str">
        <f>+INDEX([1]Detallado!$F:$F,MATCH($C1013,[1]Detallado!$B:$B,0))</f>
        <v>Renta Fija</v>
      </c>
      <c r="E1013" s="31" t="str">
        <f>+INDEX([1]Detallado!$Q:$Q,MATCH($C1013,[1]Detallado!$B:$B,0))</f>
        <v>RFLC</v>
      </c>
      <c r="F1013" s="185" t="s">
        <v>4357</v>
      </c>
      <c r="G1013" s="186" t="str">
        <f t="shared" si="30"/>
        <v>22RFLC</v>
      </c>
      <c r="H1013" s="187" t="str">
        <f>+INDEX([1]Detallado!$D:$D,MATCH(C1013,[1]Detallado!$B:$B,0))</f>
        <v>Unión Andina de Cementos</v>
      </c>
      <c r="I1013" s="28"/>
      <c r="J1013" s="184" t="str">
        <f t="shared" si="31"/>
        <v>RFLBU</v>
      </c>
    </row>
    <row r="1014" spans="3:10" x14ac:dyDescent="0.25">
      <c r="C1014" s="28" t="s">
        <v>3592</v>
      </c>
      <c r="D1014" s="188" t="str">
        <f>+INDEX([1]Detallado!$F:$F,MATCH($C1014,[1]Detallado!$B:$B,0))</f>
        <v>Renta Fija</v>
      </c>
      <c r="E1014" s="31" t="str">
        <f>+INDEX([1]Detallado!$Q:$Q,MATCH($C1014,[1]Detallado!$B:$B,0))</f>
        <v>RFLC</v>
      </c>
      <c r="F1014" s="185" t="s">
        <v>4357</v>
      </c>
      <c r="G1014" s="186" t="str">
        <f t="shared" si="30"/>
        <v>22RFLC</v>
      </c>
      <c r="H1014" s="187" t="str">
        <f>+INDEX([1]Detallado!$D:$D,MATCH(C1014,[1]Detallado!$B:$B,0))</f>
        <v>Unión Andina de Cementos</v>
      </c>
      <c r="I1014" s="28"/>
      <c r="J1014" s="184" t="str">
        <f t="shared" si="31"/>
        <v>RFLBU</v>
      </c>
    </row>
    <row r="1015" spans="3:10" x14ac:dyDescent="0.25">
      <c r="C1015" s="28" t="s">
        <v>3593</v>
      </c>
      <c r="D1015" s="188" t="str">
        <f>+INDEX([1]Detallado!$F:$F,MATCH($C1015,[1]Detallado!$B:$B,0))</f>
        <v>Renta Fija</v>
      </c>
      <c r="E1015" s="31" t="str">
        <f>+INDEX([1]Detallado!$Q:$Q,MATCH($C1015,[1]Detallado!$B:$B,0))</f>
        <v>RFLC</v>
      </c>
      <c r="F1015" s="185" t="s">
        <v>4357</v>
      </c>
      <c r="G1015" s="186" t="str">
        <f t="shared" si="30"/>
        <v>22RFLC</v>
      </c>
      <c r="H1015" s="187" t="str">
        <f>+INDEX([1]Detallado!$D:$D,MATCH(C1015,[1]Detallado!$B:$B,0))</f>
        <v>Unión Andina de Cementos</v>
      </c>
      <c r="I1015" s="28"/>
      <c r="J1015" s="184" t="str">
        <f t="shared" si="31"/>
        <v>RFLBU</v>
      </c>
    </row>
    <row r="1016" spans="3:10" x14ac:dyDescent="0.25">
      <c r="C1016" s="28" t="s">
        <v>3594</v>
      </c>
      <c r="D1016" s="188" t="str">
        <f>+INDEX([1]Detallado!$F:$F,MATCH($C1016,[1]Detallado!$B:$B,0))</f>
        <v>Renta Fija</v>
      </c>
      <c r="E1016" s="31" t="str">
        <f>+INDEX([1]Detallado!$Q:$Q,MATCH($C1016,[1]Detallado!$B:$B,0))</f>
        <v>RFLC</v>
      </c>
      <c r="F1016" s="185" t="s">
        <v>4357</v>
      </c>
      <c r="G1016" s="186" t="str">
        <f t="shared" si="30"/>
        <v>22RFLC</v>
      </c>
      <c r="H1016" s="187" t="str">
        <f>+INDEX([1]Detallado!$D:$D,MATCH(C1016,[1]Detallado!$B:$B,0))</f>
        <v>Unión Andina de Cementos</v>
      </c>
      <c r="I1016" s="28"/>
      <c r="J1016" s="184" t="str">
        <f t="shared" si="31"/>
        <v>RFLBU</v>
      </c>
    </row>
    <row r="1017" spans="3:10" x14ac:dyDescent="0.25">
      <c r="C1017" s="28" t="s">
        <v>3595</v>
      </c>
      <c r="D1017" s="188" t="str">
        <f>+INDEX([1]Detallado!$F:$F,MATCH($C1017,[1]Detallado!$B:$B,0))</f>
        <v>Renta Fija</v>
      </c>
      <c r="E1017" s="31" t="str">
        <f>+INDEX([1]Detallado!$Q:$Q,MATCH($C1017,[1]Detallado!$B:$B,0))</f>
        <v>RFLC</v>
      </c>
      <c r="F1017" s="185" t="s">
        <v>4357</v>
      </c>
      <c r="G1017" s="186" t="str">
        <f t="shared" si="30"/>
        <v>22RFLC</v>
      </c>
      <c r="H1017" s="187" t="str">
        <f>+INDEX([1]Detallado!$D:$D,MATCH(C1017,[1]Detallado!$B:$B,0))</f>
        <v>Unión Andina de Cementos</v>
      </c>
      <c r="I1017" s="28"/>
      <c r="J1017" s="184" t="str">
        <f t="shared" si="31"/>
        <v>RFLBU</v>
      </c>
    </row>
    <row r="1018" spans="3:10" x14ac:dyDescent="0.25">
      <c r="C1018" s="28" t="s">
        <v>3596</v>
      </c>
      <c r="D1018" s="188" t="str">
        <f>+INDEX([1]Detallado!$F:$F,MATCH($C1018,[1]Detallado!$B:$B,0))</f>
        <v>Renta Fija</v>
      </c>
      <c r="E1018" s="31" t="str">
        <f>+INDEX([1]Detallado!$Q:$Q,MATCH($C1018,[1]Detallado!$B:$B,0))</f>
        <v>RFLC</v>
      </c>
      <c r="F1018" s="185" t="s">
        <v>4357</v>
      </c>
      <c r="G1018" s="186" t="str">
        <f t="shared" si="30"/>
        <v>22RFLC</v>
      </c>
      <c r="H1018" s="187" t="str">
        <f>+INDEX([1]Detallado!$D:$D,MATCH(C1018,[1]Detallado!$B:$B,0))</f>
        <v>Unión Andina de Cementos</v>
      </c>
      <c r="I1018" s="28"/>
      <c r="J1018" s="184" t="str">
        <f t="shared" si="31"/>
        <v>RFLBU</v>
      </c>
    </row>
    <row r="1019" spans="3:10" x14ac:dyDescent="0.25">
      <c r="C1019" s="28" t="s">
        <v>3597</v>
      </c>
      <c r="D1019" s="188" t="str">
        <f>+INDEX([1]Detallado!$F:$F,MATCH($C1019,[1]Detallado!$B:$B,0))</f>
        <v>Renta Fija</v>
      </c>
      <c r="E1019" s="31" t="str">
        <f>+INDEX([1]Detallado!$Q:$Q,MATCH($C1019,[1]Detallado!$B:$B,0))</f>
        <v>RFLC</v>
      </c>
      <c r="F1019" s="185" t="s">
        <v>4357</v>
      </c>
      <c r="G1019" s="186" t="str">
        <f t="shared" si="30"/>
        <v>22RFLC</v>
      </c>
      <c r="H1019" s="187" t="str">
        <f>+INDEX([1]Detallado!$D:$D,MATCH(C1019,[1]Detallado!$B:$B,0))</f>
        <v>Unión Andina de Cementos</v>
      </c>
      <c r="I1019" s="28"/>
      <c r="J1019" s="184" t="str">
        <f t="shared" si="31"/>
        <v>RFLBU</v>
      </c>
    </row>
    <row r="1020" spans="3:10" x14ac:dyDescent="0.25">
      <c r="C1020" s="28" t="s">
        <v>3598</v>
      </c>
      <c r="D1020" s="188" t="str">
        <f>+INDEX([1]Detallado!$F:$F,MATCH($C1020,[1]Detallado!$B:$B,0))</f>
        <v>Renta Fija</v>
      </c>
      <c r="E1020" s="31" t="str">
        <f>+INDEX([1]Detallado!$Q:$Q,MATCH($C1020,[1]Detallado!$B:$B,0))</f>
        <v>RFLC</v>
      </c>
      <c r="F1020" s="185" t="s">
        <v>4357</v>
      </c>
      <c r="G1020" s="186" t="str">
        <f t="shared" si="30"/>
        <v>22RFLC</v>
      </c>
      <c r="H1020" s="187" t="str">
        <f>+INDEX([1]Detallado!$D:$D,MATCH(C1020,[1]Detallado!$B:$B,0))</f>
        <v xml:space="preserve">Luz del Sur </v>
      </c>
      <c r="I1020" s="28"/>
      <c r="J1020" s="184" t="str">
        <f t="shared" si="31"/>
        <v>RFLBU</v>
      </c>
    </row>
    <row r="1021" spans="3:10" x14ac:dyDescent="0.25">
      <c r="C1021" s="28" t="s">
        <v>3599</v>
      </c>
      <c r="D1021" s="188" t="str">
        <f>+INDEX([1]Detallado!$F:$F,MATCH($C1021,[1]Detallado!$B:$B,0))</f>
        <v>Renta Fija</v>
      </c>
      <c r="E1021" s="31" t="str">
        <f>+INDEX([1]Detallado!$Q:$Q,MATCH($C1021,[1]Detallado!$B:$B,0))</f>
        <v>RFLC</v>
      </c>
      <c r="F1021" s="185" t="s">
        <v>4357</v>
      </c>
      <c r="G1021" s="186" t="str">
        <f t="shared" si="30"/>
        <v>22RFLC</v>
      </c>
      <c r="H1021" s="187" t="str">
        <f>+INDEX([1]Detallado!$D:$D,MATCH(C1021,[1]Detallado!$B:$B,0))</f>
        <v xml:space="preserve">Luz del Sur </v>
      </c>
      <c r="I1021" s="28"/>
      <c r="J1021" s="184" t="str">
        <f t="shared" si="31"/>
        <v>RFLBU</v>
      </c>
    </row>
    <row r="1022" spans="3:10" x14ac:dyDescent="0.25">
      <c r="C1022" s="28" t="s">
        <v>3600</v>
      </c>
      <c r="D1022" s="188" t="str">
        <f>+INDEX([1]Detallado!$F:$F,MATCH($C1022,[1]Detallado!$B:$B,0))</f>
        <v>Renta Fija</v>
      </c>
      <c r="E1022" s="31" t="str">
        <f>+INDEX([1]Detallado!$Q:$Q,MATCH($C1022,[1]Detallado!$B:$B,0))</f>
        <v>RFLC</v>
      </c>
      <c r="F1022" s="185" t="s">
        <v>4357</v>
      </c>
      <c r="G1022" s="186" t="str">
        <f t="shared" si="30"/>
        <v>22RFLC</v>
      </c>
      <c r="H1022" s="187" t="str">
        <f>+INDEX([1]Detallado!$D:$D,MATCH(C1022,[1]Detallado!$B:$B,0))</f>
        <v xml:space="preserve">Luz del Sur </v>
      </c>
      <c r="I1022" s="28"/>
      <c r="J1022" s="184" t="str">
        <f t="shared" si="31"/>
        <v>RFLBU</v>
      </c>
    </row>
    <row r="1023" spans="3:10" x14ac:dyDescent="0.25">
      <c r="C1023" s="28" t="s">
        <v>3601</v>
      </c>
      <c r="D1023" s="188" t="str">
        <f>+INDEX([1]Detallado!$F:$F,MATCH($C1023,[1]Detallado!$B:$B,0))</f>
        <v>Renta Fija</v>
      </c>
      <c r="E1023" s="31" t="str">
        <f>+INDEX([1]Detallado!$Q:$Q,MATCH($C1023,[1]Detallado!$B:$B,0))</f>
        <v>RFLC</v>
      </c>
      <c r="F1023" s="185" t="s">
        <v>4357</v>
      </c>
      <c r="G1023" s="186" t="str">
        <f t="shared" si="30"/>
        <v>22RFLC</v>
      </c>
      <c r="H1023" s="187" t="str">
        <f>+INDEX([1]Detallado!$D:$D,MATCH(C1023,[1]Detallado!$B:$B,0))</f>
        <v xml:space="preserve">Luz del Sur </v>
      </c>
      <c r="I1023" s="28"/>
      <c r="J1023" s="184" t="str">
        <f t="shared" si="31"/>
        <v>RFLBU</v>
      </c>
    </row>
    <row r="1024" spans="3:10" x14ac:dyDescent="0.25">
      <c r="C1024" s="28" t="s">
        <v>3602</v>
      </c>
      <c r="D1024" s="188" t="str">
        <f>+INDEX([1]Detallado!$F:$F,MATCH($C1024,[1]Detallado!$B:$B,0))</f>
        <v>Renta Fija</v>
      </c>
      <c r="E1024" s="31" t="str">
        <f>+INDEX([1]Detallado!$Q:$Q,MATCH($C1024,[1]Detallado!$B:$B,0))</f>
        <v>RFLC</v>
      </c>
      <c r="F1024" s="185" t="s">
        <v>4357</v>
      </c>
      <c r="G1024" s="186" t="str">
        <f t="shared" si="30"/>
        <v>22RFLC</v>
      </c>
      <c r="H1024" s="187" t="str">
        <f>+INDEX([1]Detallado!$D:$D,MATCH(C1024,[1]Detallado!$B:$B,0))</f>
        <v xml:space="preserve">Luz del Sur </v>
      </c>
      <c r="I1024" s="28"/>
      <c r="J1024" s="184" t="str">
        <f t="shared" si="31"/>
        <v>RFLBU</v>
      </c>
    </row>
    <row r="1025" spans="3:10" x14ac:dyDescent="0.25">
      <c r="C1025" s="28" t="s">
        <v>3603</v>
      </c>
      <c r="D1025" s="188" t="str">
        <f>+INDEX([1]Detallado!$F:$F,MATCH($C1025,[1]Detallado!$B:$B,0))</f>
        <v>Renta Fija</v>
      </c>
      <c r="E1025" s="31" t="str">
        <f>+INDEX([1]Detallado!$Q:$Q,MATCH($C1025,[1]Detallado!$B:$B,0))</f>
        <v>RFLC</v>
      </c>
      <c r="F1025" s="185" t="s">
        <v>4357</v>
      </c>
      <c r="G1025" s="186" t="str">
        <f t="shared" si="30"/>
        <v>22RFLC</v>
      </c>
      <c r="H1025" s="187" t="str">
        <f>+INDEX([1]Detallado!$D:$D,MATCH(C1025,[1]Detallado!$B:$B,0))</f>
        <v xml:space="preserve">Luz del Sur </v>
      </c>
      <c r="I1025" s="28"/>
      <c r="J1025" s="184" t="str">
        <f t="shared" si="31"/>
        <v>RFLBU</v>
      </c>
    </row>
    <row r="1026" spans="3:10" x14ac:dyDescent="0.25">
      <c r="C1026" s="28" t="s">
        <v>3604</v>
      </c>
      <c r="D1026" s="188" t="str">
        <f>+INDEX([1]Detallado!$F:$F,MATCH($C1026,[1]Detallado!$B:$B,0))</f>
        <v>Renta Fija</v>
      </c>
      <c r="E1026" s="31" t="str">
        <f>+INDEX([1]Detallado!$Q:$Q,MATCH($C1026,[1]Detallado!$B:$B,0))</f>
        <v>RFLC</v>
      </c>
      <c r="F1026" s="185" t="s">
        <v>4357</v>
      </c>
      <c r="G1026" s="186" t="str">
        <f t="shared" si="30"/>
        <v>22RFLC</v>
      </c>
      <c r="H1026" s="187" t="str">
        <f>+INDEX([1]Detallado!$D:$D,MATCH(C1026,[1]Detallado!$B:$B,0))</f>
        <v xml:space="preserve">Luz del Sur </v>
      </c>
      <c r="I1026" s="28"/>
      <c r="J1026" s="184" t="str">
        <f t="shared" si="31"/>
        <v>RFLBU</v>
      </c>
    </row>
    <row r="1027" spans="3:10" x14ac:dyDescent="0.25">
      <c r="C1027" s="28" t="s">
        <v>3605</v>
      </c>
      <c r="D1027" s="188" t="str">
        <f>+INDEX([1]Detallado!$F:$F,MATCH($C1027,[1]Detallado!$B:$B,0))</f>
        <v>Renta Fija</v>
      </c>
      <c r="E1027" s="31" t="str">
        <f>+INDEX([1]Detallado!$Q:$Q,MATCH($C1027,[1]Detallado!$B:$B,0))</f>
        <v>RFLC</v>
      </c>
      <c r="F1027" s="185" t="s">
        <v>4357</v>
      </c>
      <c r="G1027" s="186" t="str">
        <f t="shared" si="30"/>
        <v>22RFLC</v>
      </c>
      <c r="H1027" s="187" t="str">
        <f>+INDEX([1]Detallado!$D:$D,MATCH(C1027,[1]Detallado!$B:$B,0))</f>
        <v xml:space="preserve">Luz del Sur </v>
      </c>
      <c r="I1027" s="28"/>
      <c r="J1027" s="184" t="str">
        <f t="shared" si="31"/>
        <v>RFLBU</v>
      </c>
    </row>
    <row r="1028" spans="3:10" x14ac:dyDescent="0.25">
      <c r="C1028" s="28" t="s">
        <v>3606</v>
      </c>
      <c r="D1028" s="188" t="str">
        <f>+INDEX([1]Detallado!$F:$F,MATCH($C1028,[1]Detallado!$B:$B,0))</f>
        <v>Renta Fija</v>
      </c>
      <c r="E1028" s="31" t="str">
        <f>+INDEX([1]Detallado!$Q:$Q,MATCH($C1028,[1]Detallado!$B:$B,0))</f>
        <v>RFLC</v>
      </c>
      <c r="F1028" s="185" t="s">
        <v>4357</v>
      </c>
      <c r="G1028" s="186" t="str">
        <f t="shared" si="30"/>
        <v>22RFLC</v>
      </c>
      <c r="H1028" s="187" t="str">
        <f>+INDEX([1]Detallado!$D:$D,MATCH(C1028,[1]Detallado!$B:$B,0))</f>
        <v xml:space="preserve">Luz del Sur </v>
      </c>
      <c r="I1028" s="28"/>
      <c r="J1028" s="184" t="str">
        <f t="shared" si="31"/>
        <v>RFLBU</v>
      </c>
    </row>
    <row r="1029" spans="3:10" x14ac:dyDescent="0.25">
      <c r="C1029" s="28" t="s">
        <v>3607</v>
      </c>
      <c r="D1029" s="188" t="str">
        <f>+INDEX([1]Detallado!$F:$F,MATCH($C1029,[1]Detallado!$B:$B,0))</f>
        <v>Renta Fija</v>
      </c>
      <c r="E1029" s="31" t="str">
        <f>+INDEX([1]Detallado!$Q:$Q,MATCH($C1029,[1]Detallado!$B:$B,0))</f>
        <v>RFLC</v>
      </c>
      <c r="F1029" s="185" t="s">
        <v>4357</v>
      </c>
      <c r="G1029" s="186" t="str">
        <f t="shared" si="30"/>
        <v>22RFLC</v>
      </c>
      <c r="H1029" s="187" t="str">
        <f>+INDEX([1]Detallado!$D:$D,MATCH(C1029,[1]Detallado!$B:$B,0))</f>
        <v xml:space="preserve">Luz del Sur </v>
      </c>
      <c r="I1029" s="28"/>
      <c r="J1029" s="184" t="str">
        <f t="shared" si="31"/>
        <v>RFLBU</v>
      </c>
    </row>
    <row r="1030" spans="3:10" x14ac:dyDescent="0.25">
      <c r="C1030" s="28" t="s">
        <v>3608</v>
      </c>
      <c r="D1030" s="188" t="str">
        <f>+INDEX([1]Detallado!$F:$F,MATCH($C1030,[1]Detallado!$B:$B,0))</f>
        <v>Renta Fija</v>
      </c>
      <c r="E1030" s="31" t="str">
        <f>+INDEX([1]Detallado!$Q:$Q,MATCH($C1030,[1]Detallado!$B:$B,0))</f>
        <v>RFLC</v>
      </c>
      <c r="F1030" s="185" t="s">
        <v>4357</v>
      </c>
      <c r="G1030" s="186" t="str">
        <f t="shared" si="30"/>
        <v>22RFLC</v>
      </c>
      <c r="H1030" s="187" t="str">
        <f>+INDEX([1]Detallado!$D:$D,MATCH(C1030,[1]Detallado!$B:$B,0))</f>
        <v xml:space="preserve">Luz del Sur </v>
      </c>
      <c r="I1030" s="28"/>
      <c r="J1030" s="184" t="str">
        <f t="shared" si="31"/>
        <v>RFLBU</v>
      </c>
    </row>
    <row r="1031" spans="3:10" x14ac:dyDescent="0.25">
      <c r="C1031" s="28" t="s">
        <v>3609</v>
      </c>
      <c r="D1031" s="188" t="str">
        <f>+INDEX([1]Detallado!$F:$F,MATCH($C1031,[1]Detallado!$B:$B,0))</f>
        <v>Renta Fija</v>
      </c>
      <c r="E1031" s="31" t="str">
        <f>+INDEX([1]Detallado!$Q:$Q,MATCH($C1031,[1]Detallado!$B:$B,0))</f>
        <v>RFLC</v>
      </c>
      <c r="F1031" s="185" t="s">
        <v>4357</v>
      </c>
      <c r="G1031" s="186" t="str">
        <f t="shared" si="30"/>
        <v>22RFLC</v>
      </c>
      <c r="H1031" s="187" t="str">
        <f>+INDEX([1]Detallado!$D:$D,MATCH(C1031,[1]Detallado!$B:$B,0))</f>
        <v xml:space="preserve">Luz del Sur </v>
      </c>
      <c r="I1031" s="28"/>
      <c r="J1031" s="184" t="str">
        <f t="shared" si="31"/>
        <v>RFLBU</v>
      </c>
    </row>
    <row r="1032" spans="3:10" x14ac:dyDescent="0.25">
      <c r="C1032" s="28" t="s">
        <v>3610</v>
      </c>
      <c r="D1032" s="188" t="str">
        <f>+INDEX([1]Detallado!$F:$F,MATCH($C1032,[1]Detallado!$B:$B,0))</f>
        <v>Renta Fija</v>
      </c>
      <c r="E1032" s="31" t="str">
        <f>+INDEX([1]Detallado!$Q:$Q,MATCH($C1032,[1]Detallado!$B:$B,0))</f>
        <v>RFLC</v>
      </c>
      <c r="F1032" s="185" t="s">
        <v>4357</v>
      </c>
      <c r="G1032" s="186" t="str">
        <f t="shared" si="30"/>
        <v>22RFLC</v>
      </c>
      <c r="H1032" s="187" t="str">
        <f>+INDEX([1]Detallado!$D:$D,MATCH(C1032,[1]Detallado!$B:$B,0))</f>
        <v xml:space="preserve">Luz del Sur </v>
      </c>
      <c r="I1032" s="28"/>
      <c r="J1032" s="184" t="str">
        <f t="shared" si="31"/>
        <v>RFLBU</v>
      </c>
    </row>
    <row r="1033" spans="3:10" x14ac:dyDescent="0.25">
      <c r="C1033" s="28" t="s">
        <v>3611</v>
      </c>
      <c r="D1033" s="188" t="str">
        <f>+INDEX([1]Detallado!$F:$F,MATCH($C1033,[1]Detallado!$B:$B,0))</f>
        <v>Renta Fija</v>
      </c>
      <c r="E1033" s="31" t="str">
        <f>+INDEX([1]Detallado!$Q:$Q,MATCH($C1033,[1]Detallado!$B:$B,0))</f>
        <v>RFLC</v>
      </c>
      <c r="F1033" s="185" t="s">
        <v>4357</v>
      </c>
      <c r="G1033" s="186" t="str">
        <f t="shared" si="30"/>
        <v>22RFLC</v>
      </c>
      <c r="H1033" s="187" t="str">
        <f>+INDEX([1]Detallado!$D:$D,MATCH(C1033,[1]Detallado!$B:$B,0))</f>
        <v xml:space="preserve">Luz del Sur </v>
      </c>
      <c r="I1033" s="28"/>
      <c r="J1033" s="184" t="str">
        <f t="shared" si="31"/>
        <v>RFLBU</v>
      </c>
    </row>
    <row r="1034" spans="3:10" x14ac:dyDescent="0.25">
      <c r="C1034" s="28" t="s">
        <v>3612</v>
      </c>
      <c r="D1034" s="188" t="str">
        <f>+INDEX([1]Detallado!$F:$F,MATCH($C1034,[1]Detallado!$B:$B,0))</f>
        <v>Renta Fija</v>
      </c>
      <c r="E1034" s="31" t="str">
        <f>+INDEX([1]Detallado!$Q:$Q,MATCH($C1034,[1]Detallado!$B:$B,0))</f>
        <v>RFLC</v>
      </c>
      <c r="F1034" s="185" t="s">
        <v>4357</v>
      </c>
      <c r="G1034" s="186" t="str">
        <f t="shared" ref="G1034:G1097" si="32">LEFT(C1034,2)&amp;E1034</f>
        <v>22RFLC</v>
      </c>
      <c r="H1034" s="187" t="str">
        <f>+INDEX([1]Detallado!$D:$D,MATCH(C1034,[1]Detallado!$B:$B,0))</f>
        <v xml:space="preserve">Luz del Sur </v>
      </c>
      <c r="I1034" s="28"/>
      <c r="J1034" s="184" t="str">
        <f t="shared" ref="J1034:J1097" si="33">IF(E1034="ALT",LEFT(E1034,3),LEFT(E1034,3)&amp;F1034)</f>
        <v>RFLBU</v>
      </c>
    </row>
    <row r="1035" spans="3:10" x14ac:dyDescent="0.25">
      <c r="C1035" s="28" t="s">
        <v>3613</v>
      </c>
      <c r="D1035" s="188" t="str">
        <f>+INDEX([1]Detallado!$F:$F,MATCH($C1035,[1]Detallado!$B:$B,0))</f>
        <v>Renta Fija</v>
      </c>
      <c r="E1035" s="31" t="str">
        <f>+INDEX([1]Detallado!$Q:$Q,MATCH($C1035,[1]Detallado!$B:$B,0))</f>
        <v>RFLC</v>
      </c>
      <c r="F1035" s="185" t="s">
        <v>4357</v>
      </c>
      <c r="G1035" s="186" t="str">
        <f t="shared" si="32"/>
        <v>22RFLC</v>
      </c>
      <c r="H1035" s="187" t="str">
        <f>+INDEX([1]Detallado!$D:$D,MATCH(C1035,[1]Detallado!$B:$B,0))</f>
        <v xml:space="preserve">Luz del Sur </v>
      </c>
      <c r="I1035" s="28"/>
      <c r="J1035" s="184" t="str">
        <f t="shared" si="33"/>
        <v>RFLBU</v>
      </c>
    </row>
    <row r="1036" spans="3:10" x14ac:dyDescent="0.25">
      <c r="C1036" s="28" t="s">
        <v>3614</v>
      </c>
      <c r="D1036" s="188" t="str">
        <f>+INDEX([1]Detallado!$F:$F,MATCH($C1036,[1]Detallado!$B:$B,0))</f>
        <v>Renta Fija</v>
      </c>
      <c r="E1036" s="31" t="str">
        <f>+INDEX([1]Detallado!$Q:$Q,MATCH($C1036,[1]Detallado!$B:$B,0))</f>
        <v>RFLC</v>
      </c>
      <c r="F1036" s="185" t="s">
        <v>4357</v>
      </c>
      <c r="G1036" s="186" t="str">
        <f t="shared" si="32"/>
        <v>22RFLC</v>
      </c>
      <c r="H1036" s="187" t="str">
        <f>+INDEX([1]Detallado!$D:$D,MATCH(C1036,[1]Detallado!$B:$B,0))</f>
        <v xml:space="preserve">Luz del Sur </v>
      </c>
      <c r="I1036" s="28"/>
      <c r="J1036" s="184" t="str">
        <f t="shared" si="33"/>
        <v>RFLBU</v>
      </c>
    </row>
    <row r="1037" spans="3:10" x14ac:dyDescent="0.25">
      <c r="C1037" s="28" t="s">
        <v>3615</v>
      </c>
      <c r="D1037" s="188" t="str">
        <f>+INDEX([1]Detallado!$F:$F,MATCH($C1037,[1]Detallado!$B:$B,0))</f>
        <v>Renta Fija</v>
      </c>
      <c r="E1037" s="31" t="str">
        <f>+INDEX([1]Detallado!$Q:$Q,MATCH($C1037,[1]Detallado!$B:$B,0))</f>
        <v>RFLC</v>
      </c>
      <c r="F1037" s="185" t="s">
        <v>4357</v>
      </c>
      <c r="G1037" s="186" t="str">
        <f t="shared" si="32"/>
        <v>22RFLC</v>
      </c>
      <c r="H1037" s="187" t="str">
        <f>+INDEX([1]Detallado!$D:$D,MATCH(C1037,[1]Detallado!$B:$B,0))</f>
        <v xml:space="preserve">Luz del Sur </v>
      </c>
      <c r="I1037" s="28"/>
      <c r="J1037" s="184" t="str">
        <f t="shared" si="33"/>
        <v>RFLBU</v>
      </c>
    </row>
    <row r="1038" spans="3:10" x14ac:dyDescent="0.25">
      <c r="C1038" s="28" t="s">
        <v>3616</v>
      </c>
      <c r="D1038" s="188" t="str">
        <f>+INDEX([1]Detallado!$F:$F,MATCH($C1038,[1]Detallado!$B:$B,0))</f>
        <v>Renta Fija</v>
      </c>
      <c r="E1038" s="31" t="str">
        <f>+INDEX([1]Detallado!$Q:$Q,MATCH($C1038,[1]Detallado!$B:$B,0))</f>
        <v>RFLC</v>
      </c>
      <c r="F1038" s="185" t="s">
        <v>4357</v>
      </c>
      <c r="G1038" s="186" t="str">
        <f t="shared" si="32"/>
        <v>22RFLC</v>
      </c>
      <c r="H1038" s="187" t="str">
        <f>+INDEX([1]Detallado!$D:$D,MATCH(C1038,[1]Detallado!$B:$B,0))</f>
        <v xml:space="preserve">Luz del Sur </v>
      </c>
      <c r="I1038" s="28"/>
      <c r="J1038" s="184" t="str">
        <f t="shared" si="33"/>
        <v>RFLBU</v>
      </c>
    </row>
    <row r="1039" spans="3:10" x14ac:dyDescent="0.25">
      <c r="C1039" s="28" t="s">
        <v>3617</v>
      </c>
      <c r="D1039" s="188" t="str">
        <f>+INDEX([1]Detallado!$F:$F,MATCH($C1039,[1]Detallado!$B:$B,0))</f>
        <v>Renta Fija</v>
      </c>
      <c r="E1039" s="31" t="str">
        <f>+INDEX([1]Detallado!$Q:$Q,MATCH($C1039,[1]Detallado!$B:$B,0))</f>
        <v>RFLC</v>
      </c>
      <c r="F1039" s="185" t="s">
        <v>4357</v>
      </c>
      <c r="G1039" s="186" t="str">
        <f t="shared" si="32"/>
        <v>22RFLC</v>
      </c>
      <c r="H1039" s="187" t="str">
        <f>+INDEX([1]Detallado!$D:$D,MATCH(C1039,[1]Detallado!$B:$B,0))</f>
        <v xml:space="preserve">Luz del Sur </v>
      </c>
      <c r="I1039" s="28"/>
      <c r="J1039" s="184" t="str">
        <f t="shared" si="33"/>
        <v>RFLBU</v>
      </c>
    </row>
    <row r="1040" spans="3:10" x14ac:dyDescent="0.25">
      <c r="C1040" s="28" t="s">
        <v>3618</v>
      </c>
      <c r="D1040" s="188" t="str">
        <f>+INDEX([1]Detallado!$F:$F,MATCH($C1040,[1]Detallado!$B:$B,0))</f>
        <v>Renta Fija</v>
      </c>
      <c r="E1040" s="31" t="str">
        <f>+INDEX([1]Detallado!$Q:$Q,MATCH($C1040,[1]Detallado!$B:$B,0))</f>
        <v>RFLC</v>
      </c>
      <c r="F1040" s="185" t="s">
        <v>4357</v>
      </c>
      <c r="G1040" s="186" t="str">
        <f t="shared" si="32"/>
        <v>22RFLC</v>
      </c>
      <c r="H1040" s="187" t="str">
        <f>+INDEX([1]Detallado!$D:$D,MATCH(C1040,[1]Detallado!$B:$B,0))</f>
        <v xml:space="preserve">Luz del Sur </v>
      </c>
      <c r="I1040" s="28"/>
      <c r="J1040" s="184" t="str">
        <f t="shared" si="33"/>
        <v>RFLBU</v>
      </c>
    </row>
    <row r="1041" spans="3:10" x14ac:dyDescent="0.25">
      <c r="C1041" s="28" t="s">
        <v>3619</v>
      </c>
      <c r="D1041" s="188" t="str">
        <f>+INDEX([1]Detallado!$F:$F,MATCH($C1041,[1]Detallado!$B:$B,0))</f>
        <v>Renta Fija</v>
      </c>
      <c r="E1041" s="31" t="str">
        <f>+INDEX([1]Detallado!$Q:$Q,MATCH($C1041,[1]Detallado!$B:$B,0))</f>
        <v>RFLC</v>
      </c>
      <c r="F1041" s="185" t="s">
        <v>4357</v>
      </c>
      <c r="G1041" s="186" t="str">
        <f t="shared" si="32"/>
        <v>22RFLC</v>
      </c>
      <c r="H1041" s="187" t="str">
        <f>+INDEX([1]Detallado!$D:$D,MATCH(C1041,[1]Detallado!$B:$B,0))</f>
        <v xml:space="preserve">Luz del Sur </v>
      </c>
      <c r="I1041" s="28"/>
      <c r="J1041" s="184" t="str">
        <f t="shared" si="33"/>
        <v>RFLBU</v>
      </c>
    </row>
    <row r="1042" spans="3:10" x14ac:dyDescent="0.25">
      <c r="C1042" s="28" t="s">
        <v>3620</v>
      </c>
      <c r="D1042" s="188" t="str">
        <f>+INDEX([1]Detallado!$F:$F,MATCH($C1042,[1]Detallado!$B:$B,0))</f>
        <v>Renta Fija</v>
      </c>
      <c r="E1042" s="31" t="str">
        <f>+INDEX([1]Detallado!$Q:$Q,MATCH($C1042,[1]Detallado!$B:$B,0))</f>
        <v>RFLC</v>
      </c>
      <c r="F1042" s="185" t="s">
        <v>4357</v>
      </c>
      <c r="G1042" s="186" t="str">
        <f t="shared" si="32"/>
        <v>22RFLC</v>
      </c>
      <c r="H1042" s="187" t="str">
        <f>+INDEX([1]Detallado!$D:$D,MATCH(C1042,[1]Detallado!$B:$B,0))</f>
        <v xml:space="preserve">Luz del Sur </v>
      </c>
      <c r="I1042" s="28"/>
      <c r="J1042" s="184" t="str">
        <f t="shared" si="33"/>
        <v>RFLBU</v>
      </c>
    </row>
    <row r="1043" spans="3:10" x14ac:dyDescent="0.25">
      <c r="C1043" s="28" t="s">
        <v>3621</v>
      </c>
      <c r="D1043" s="188" t="str">
        <f>+INDEX([1]Detallado!$F:$F,MATCH($C1043,[1]Detallado!$B:$B,0))</f>
        <v>Renta Fija</v>
      </c>
      <c r="E1043" s="31" t="str">
        <f>+INDEX([1]Detallado!$Q:$Q,MATCH($C1043,[1]Detallado!$B:$B,0))</f>
        <v>RFLC</v>
      </c>
      <c r="F1043" s="185" t="s">
        <v>4357</v>
      </c>
      <c r="G1043" s="186" t="str">
        <f t="shared" si="32"/>
        <v>22RFLC</v>
      </c>
      <c r="H1043" s="187" t="str">
        <f>+INDEX([1]Detallado!$D:$D,MATCH(C1043,[1]Detallado!$B:$B,0))</f>
        <v xml:space="preserve">Luz del Sur </v>
      </c>
      <c r="I1043" s="28"/>
      <c r="J1043" s="184" t="str">
        <f t="shared" si="33"/>
        <v>RFLBU</v>
      </c>
    </row>
    <row r="1044" spans="3:10" x14ac:dyDescent="0.25">
      <c r="C1044" s="28" t="s">
        <v>3622</v>
      </c>
      <c r="D1044" s="188" t="str">
        <f>+INDEX([1]Detallado!$F:$F,MATCH($C1044,[1]Detallado!$B:$B,0))</f>
        <v>Renta Fija</v>
      </c>
      <c r="E1044" s="31" t="str">
        <f>+INDEX([1]Detallado!$Q:$Q,MATCH($C1044,[1]Detallado!$B:$B,0))</f>
        <v>RFLC</v>
      </c>
      <c r="F1044" s="185" t="s">
        <v>4357</v>
      </c>
      <c r="G1044" s="186" t="str">
        <f t="shared" si="32"/>
        <v>22RFLC</v>
      </c>
      <c r="H1044" s="187" t="str">
        <f>+INDEX([1]Detallado!$D:$D,MATCH(C1044,[1]Detallado!$B:$B,0))</f>
        <v xml:space="preserve">Alicorp </v>
      </c>
      <c r="I1044" s="28"/>
      <c r="J1044" s="184" t="str">
        <f t="shared" si="33"/>
        <v>RFLBU</v>
      </c>
    </row>
    <row r="1045" spans="3:10" x14ac:dyDescent="0.25">
      <c r="C1045" s="28" t="s">
        <v>3623</v>
      </c>
      <c r="D1045" s="188" t="str">
        <f>+INDEX([1]Detallado!$F:$F,MATCH($C1045,[1]Detallado!$B:$B,0))</f>
        <v>Renta Fija</v>
      </c>
      <c r="E1045" s="31" t="str">
        <f>+INDEX([1]Detallado!$Q:$Q,MATCH($C1045,[1]Detallado!$B:$B,0))</f>
        <v>RFLC</v>
      </c>
      <c r="F1045" s="185" t="s">
        <v>4357</v>
      </c>
      <c r="G1045" s="186" t="str">
        <f t="shared" si="32"/>
        <v>22RFLC</v>
      </c>
      <c r="H1045" s="187" t="str">
        <f>+INDEX([1]Detallado!$D:$D,MATCH(C1045,[1]Detallado!$B:$B,0))</f>
        <v xml:space="preserve">Alicorp </v>
      </c>
      <c r="I1045" s="28"/>
      <c r="J1045" s="184" t="str">
        <f t="shared" si="33"/>
        <v>RFLBU</v>
      </c>
    </row>
    <row r="1046" spans="3:10" x14ac:dyDescent="0.25">
      <c r="C1046" s="28" t="s">
        <v>3624</v>
      </c>
      <c r="D1046" s="188" t="str">
        <f>+INDEX([1]Detallado!$F:$F,MATCH($C1046,[1]Detallado!$B:$B,0))</f>
        <v>Renta Fija</v>
      </c>
      <c r="E1046" s="31" t="str">
        <f>+INDEX([1]Detallado!$Q:$Q,MATCH($C1046,[1]Detallado!$B:$B,0))</f>
        <v>RFLC</v>
      </c>
      <c r="F1046" s="185" t="s">
        <v>4357</v>
      </c>
      <c r="G1046" s="186" t="str">
        <f t="shared" si="32"/>
        <v>22RFLC</v>
      </c>
      <c r="H1046" s="187" t="str">
        <f>+INDEX([1]Detallado!$D:$D,MATCH(C1046,[1]Detallado!$B:$B,0))</f>
        <v xml:space="preserve">Alicorp </v>
      </c>
      <c r="I1046" s="28"/>
      <c r="J1046" s="184" t="str">
        <f t="shared" si="33"/>
        <v>RFLBU</v>
      </c>
    </row>
    <row r="1047" spans="3:10" x14ac:dyDescent="0.25">
      <c r="C1047" s="28" t="s">
        <v>303</v>
      </c>
      <c r="D1047" s="188" t="str">
        <f>+INDEX([1]Detallado!$F:$F,MATCH($C1047,[1]Detallado!$B:$B,0))</f>
        <v>Renta Fija</v>
      </c>
      <c r="E1047" s="31" t="str">
        <f>+INDEX([1]Detallado!$Q:$Q,MATCH($C1047,[1]Detallado!$B:$B,0))</f>
        <v>RFLC</v>
      </c>
      <c r="F1047" s="185" t="s">
        <v>4357</v>
      </c>
      <c r="G1047" s="186" t="str">
        <f t="shared" si="32"/>
        <v>22RFLC</v>
      </c>
      <c r="H1047" s="187" t="str">
        <f>+INDEX([1]Detallado!$D:$D,MATCH(C1047,[1]Detallado!$B:$B,0))</f>
        <v xml:space="preserve">Alicorp </v>
      </c>
      <c r="I1047" s="28"/>
      <c r="J1047" s="184" t="str">
        <f t="shared" si="33"/>
        <v>RFLBU</v>
      </c>
    </row>
    <row r="1048" spans="3:10" x14ac:dyDescent="0.25">
      <c r="C1048" s="28" t="s">
        <v>3625</v>
      </c>
      <c r="D1048" s="188" t="str">
        <f>+INDEX([1]Detallado!$F:$F,MATCH($C1048,[1]Detallado!$B:$B,0))</f>
        <v>Renta Fija</v>
      </c>
      <c r="E1048" s="31" t="str">
        <f>+INDEX([1]Detallado!$Q:$Q,MATCH($C1048,[1]Detallado!$B:$B,0))</f>
        <v>RFLC</v>
      </c>
      <c r="F1048" s="185" t="s">
        <v>4357</v>
      </c>
      <c r="G1048" s="186" t="str">
        <f t="shared" si="32"/>
        <v>22RFLC</v>
      </c>
      <c r="H1048" s="187" t="str">
        <f>+INDEX([1]Detallado!$D:$D,MATCH(C1048,[1]Detallado!$B:$B,0))</f>
        <v xml:space="preserve">Alicorp </v>
      </c>
      <c r="I1048" s="28"/>
      <c r="J1048" s="184" t="str">
        <f t="shared" si="33"/>
        <v>RFLBU</v>
      </c>
    </row>
    <row r="1049" spans="3:10" x14ac:dyDescent="0.25">
      <c r="C1049" s="28" t="s">
        <v>3626</v>
      </c>
      <c r="D1049" s="188" t="str">
        <f>+INDEX([1]Detallado!$F:$F,MATCH($C1049,[1]Detallado!$B:$B,0))</f>
        <v>Renta Fija</v>
      </c>
      <c r="E1049" s="31" t="str">
        <f>+INDEX([1]Detallado!$Q:$Q,MATCH($C1049,[1]Detallado!$B:$B,0))</f>
        <v>RFLC</v>
      </c>
      <c r="F1049" s="185" t="s">
        <v>4357</v>
      </c>
      <c r="G1049" s="186" t="str">
        <f t="shared" si="32"/>
        <v>22RFLC</v>
      </c>
      <c r="H1049" s="187" t="str">
        <f>+INDEX([1]Detallado!$D:$D,MATCH(C1049,[1]Detallado!$B:$B,0))</f>
        <v xml:space="preserve">Alicorp </v>
      </c>
      <c r="I1049" s="28"/>
      <c r="J1049" s="184" t="str">
        <f t="shared" si="33"/>
        <v>RFLBU</v>
      </c>
    </row>
    <row r="1050" spans="3:10" x14ac:dyDescent="0.25">
      <c r="C1050" s="28" t="s">
        <v>3627</v>
      </c>
      <c r="D1050" s="188" t="str">
        <f>+INDEX([1]Detallado!$F:$F,MATCH($C1050,[1]Detallado!$B:$B,0))</f>
        <v>Renta Fija</v>
      </c>
      <c r="E1050" s="31" t="str">
        <f>+INDEX([1]Detallado!$Q:$Q,MATCH($C1050,[1]Detallado!$B:$B,0))</f>
        <v>RFLC</v>
      </c>
      <c r="F1050" s="185" t="s">
        <v>4357</v>
      </c>
      <c r="G1050" s="186" t="str">
        <f t="shared" si="32"/>
        <v>22RFLC</v>
      </c>
      <c r="H1050" s="187" t="str">
        <f>+INDEX([1]Detallado!$D:$D,MATCH(C1050,[1]Detallado!$B:$B,0))</f>
        <v xml:space="preserve">Alicorp </v>
      </c>
      <c r="I1050" s="28"/>
      <c r="J1050" s="184" t="str">
        <f t="shared" si="33"/>
        <v>RFLBU</v>
      </c>
    </row>
    <row r="1051" spans="3:10" x14ac:dyDescent="0.25">
      <c r="C1051" s="28" t="s">
        <v>3628</v>
      </c>
      <c r="D1051" s="188" t="str">
        <f>+INDEX([1]Detallado!$F:$F,MATCH($C1051,[1]Detallado!$B:$B,0))</f>
        <v>Renta Fija</v>
      </c>
      <c r="E1051" s="31" t="str">
        <f>+INDEX([1]Detallado!$Q:$Q,MATCH($C1051,[1]Detallado!$B:$B,0))</f>
        <v>RFLC</v>
      </c>
      <c r="F1051" s="185" t="s">
        <v>4357</v>
      </c>
      <c r="G1051" s="186" t="str">
        <f t="shared" si="32"/>
        <v>22RFLC</v>
      </c>
      <c r="H1051" s="187" t="str">
        <f>+INDEX([1]Detallado!$D:$D,MATCH(C1051,[1]Detallado!$B:$B,0))</f>
        <v>Gloria</v>
      </c>
      <c r="I1051" s="28"/>
      <c r="J1051" s="184" t="str">
        <f t="shared" si="33"/>
        <v>RFLBU</v>
      </c>
    </row>
    <row r="1052" spans="3:10" x14ac:dyDescent="0.25">
      <c r="C1052" s="28" t="s">
        <v>3629</v>
      </c>
      <c r="D1052" s="188" t="str">
        <f>+INDEX([1]Detallado!$F:$F,MATCH($C1052,[1]Detallado!$B:$B,0))</f>
        <v>Renta Fija</v>
      </c>
      <c r="E1052" s="31" t="str">
        <f>+INDEX([1]Detallado!$Q:$Q,MATCH($C1052,[1]Detallado!$B:$B,0))</f>
        <v>RFLC</v>
      </c>
      <c r="F1052" s="185" t="s">
        <v>4357</v>
      </c>
      <c r="G1052" s="186" t="str">
        <f t="shared" si="32"/>
        <v>22RFLC</v>
      </c>
      <c r="H1052" s="187" t="str">
        <f>+INDEX([1]Detallado!$D:$D,MATCH(C1052,[1]Detallado!$B:$B,0))</f>
        <v>Gloria</v>
      </c>
      <c r="I1052" s="28"/>
      <c r="J1052" s="184" t="str">
        <f t="shared" si="33"/>
        <v>RFLBU</v>
      </c>
    </row>
    <row r="1053" spans="3:10" x14ac:dyDescent="0.25">
      <c r="C1053" s="28" t="s">
        <v>3630</v>
      </c>
      <c r="D1053" s="188" t="str">
        <f>+INDEX([1]Detallado!$F:$F,MATCH($C1053,[1]Detallado!$B:$B,0))</f>
        <v>Renta Fija</v>
      </c>
      <c r="E1053" s="31" t="str">
        <f>+INDEX([1]Detallado!$Q:$Q,MATCH($C1053,[1]Detallado!$B:$B,0))</f>
        <v>RFLC</v>
      </c>
      <c r="F1053" s="185" t="s">
        <v>4357</v>
      </c>
      <c r="G1053" s="186" t="str">
        <f t="shared" si="32"/>
        <v>22RFLC</v>
      </c>
      <c r="H1053" s="187" t="str">
        <f>+INDEX([1]Detallado!$D:$D,MATCH(C1053,[1]Detallado!$B:$B,0))</f>
        <v>Gloria</v>
      </c>
      <c r="I1053" s="28"/>
      <c r="J1053" s="184" t="str">
        <f t="shared" si="33"/>
        <v>RFLBU</v>
      </c>
    </row>
    <row r="1054" spans="3:10" x14ac:dyDescent="0.25">
      <c r="C1054" s="28" t="s">
        <v>3631</v>
      </c>
      <c r="D1054" s="188" t="str">
        <f>+INDEX([1]Detallado!$F:$F,MATCH($C1054,[1]Detallado!$B:$B,0))</f>
        <v>Renta Fija</v>
      </c>
      <c r="E1054" s="31" t="str">
        <f>+INDEX([1]Detallado!$Q:$Q,MATCH($C1054,[1]Detallado!$B:$B,0))</f>
        <v>RFLC</v>
      </c>
      <c r="F1054" s="185" t="s">
        <v>4357</v>
      </c>
      <c r="G1054" s="186" t="str">
        <f t="shared" si="32"/>
        <v>22RFLC</v>
      </c>
      <c r="H1054" s="187" t="str">
        <f>+INDEX([1]Detallado!$D:$D,MATCH(C1054,[1]Detallado!$B:$B,0))</f>
        <v>Gloria</v>
      </c>
      <c r="I1054" s="28"/>
      <c r="J1054" s="184" t="str">
        <f t="shared" si="33"/>
        <v>RFLBU</v>
      </c>
    </row>
    <row r="1055" spans="3:10" x14ac:dyDescent="0.25">
      <c r="C1055" s="28" t="s">
        <v>3632</v>
      </c>
      <c r="D1055" s="188" t="str">
        <f>+INDEX([1]Detallado!$F:$F,MATCH($C1055,[1]Detallado!$B:$B,0))</f>
        <v>Renta Fija</v>
      </c>
      <c r="E1055" s="31" t="str">
        <f>+INDEX([1]Detallado!$Q:$Q,MATCH($C1055,[1]Detallado!$B:$B,0))</f>
        <v>RFLC</v>
      </c>
      <c r="F1055" s="185" t="s">
        <v>4357</v>
      </c>
      <c r="G1055" s="186" t="str">
        <f t="shared" si="32"/>
        <v>22RFLC</v>
      </c>
      <c r="H1055" s="187" t="str">
        <f>+INDEX([1]Detallado!$D:$D,MATCH(C1055,[1]Detallado!$B:$B,0))</f>
        <v>Gloria</v>
      </c>
      <c r="I1055" s="28"/>
      <c r="J1055" s="184" t="str">
        <f t="shared" si="33"/>
        <v>RFLBU</v>
      </c>
    </row>
    <row r="1056" spans="3:10" x14ac:dyDescent="0.25">
      <c r="C1056" s="28" t="s">
        <v>3633</v>
      </c>
      <c r="D1056" s="188" t="str">
        <f>+INDEX([1]Detallado!$F:$F,MATCH($C1056,[1]Detallado!$B:$B,0))</f>
        <v>Renta Fija</v>
      </c>
      <c r="E1056" s="31" t="str">
        <f>+INDEX([1]Detallado!$Q:$Q,MATCH($C1056,[1]Detallado!$B:$B,0))</f>
        <v>RFLC</v>
      </c>
      <c r="F1056" s="185" t="s">
        <v>4357</v>
      </c>
      <c r="G1056" s="186" t="str">
        <f t="shared" si="32"/>
        <v>22RFLC</v>
      </c>
      <c r="H1056" s="187" t="str">
        <f>+INDEX([1]Detallado!$D:$D,MATCH(C1056,[1]Detallado!$B:$B,0))</f>
        <v>Gloria</v>
      </c>
      <c r="I1056" s="28"/>
      <c r="J1056" s="184" t="str">
        <f t="shared" si="33"/>
        <v>RFLBU</v>
      </c>
    </row>
    <row r="1057" spans="3:10" x14ac:dyDescent="0.25">
      <c r="C1057" s="28" t="s">
        <v>3634</v>
      </c>
      <c r="D1057" s="188" t="str">
        <f>+INDEX([1]Detallado!$F:$F,MATCH($C1057,[1]Detallado!$B:$B,0))</f>
        <v>Renta Fija</v>
      </c>
      <c r="E1057" s="31" t="str">
        <f>+INDEX([1]Detallado!$Q:$Q,MATCH($C1057,[1]Detallado!$B:$B,0))</f>
        <v>RFLC</v>
      </c>
      <c r="F1057" s="185" t="s">
        <v>4357</v>
      </c>
      <c r="G1057" s="186" t="str">
        <f t="shared" si="32"/>
        <v>22RFLC</v>
      </c>
      <c r="H1057" s="187" t="str">
        <f>+INDEX([1]Detallado!$D:$D,MATCH(C1057,[1]Detallado!$B:$B,0))</f>
        <v>Gloria</v>
      </c>
      <c r="I1057" s="28"/>
      <c r="J1057" s="184" t="str">
        <f t="shared" si="33"/>
        <v>RFLBU</v>
      </c>
    </row>
    <row r="1058" spans="3:10" x14ac:dyDescent="0.25">
      <c r="C1058" s="28" t="s">
        <v>3635</v>
      </c>
      <c r="D1058" s="188" t="str">
        <f>+INDEX([1]Detallado!$F:$F,MATCH($C1058,[1]Detallado!$B:$B,0))</f>
        <v>Renta Fija</v>
      </c>
      <c r="E1058" s="31" t="str">
        <f>+INDEX([1]Detallado!$Q:$Q,MATCH($C1058,[1]Detallado!$B:$B,0))</f>
        <v>RFLC</v>
      </c>
      <c r="F1058" s="185" t="s">
        <v>4357</v>
      </c>
      <c r="G1058" s="186" t="str">
        <f t="shared" si="32"/>
        <v>22RFLC</v>
      </c>
      <c r="H1058" s="187" t="str">
        <f>+INDEX([1]Detallado!$D:$D,MATCH(C1058,[1]Detallado!$B:$B,0))</f>
        <v>Gloria</v>
      </c>
      <c r="I1058" s="28"/>
      <c r="J1058" s="184" t="str">
        <f t="shared" si="33"/>
        <v>RFLBU</v>
      </c>
    </row>
    <row r="1059" spans="3:10" x14ac:dyDescent="0.25">
      <c r="C1059" s="28" t="s">
        <v>3636</v>
      </c>
      <c r="D1059" s="188" t="str">
        <f>+INDEX([1]Detallado!$F:$F,MATCH($C1059,[1]Detallado!$B:$B,0))</f>
        <v>Renta Fija</v>
      </c>
      <c r="E1059" s="31" t="str">
        <f>+INDEX([1]Detallado!$Q:$Q,MATCH($C1059,[1]Detallado!$B:$B,0))</f>
        <v>RFLC</v>
      </c>
      <c r="F1059" s="185" t="s">
        <v>4357</v>
      </c>
      <c r="G1059" s="186" t="str">
        <f t="shared" si="32"/>
        <v>22RFLC</v>
      </c>
      <c r="H1059" s="187" t="str">
        <f>+INDEX([1]Detallado!$D:$D,MATCH(C1059,[1]Detallado!$B:$B,0))</f>
        <v>Edelnor</v>
      </c>
      <c r="I1059" s="28"/>
      <c r="J1059" s="184" t="str">
        <f t="shared" si="33"/>
        <v>RFLBU</v>
      </c>
    </row>
    <row r="1060" spans="3:10" x14ac:dyDescent="0.25">
      <c r="C1060" s="28" t="s">
        <v>3637</v>
      </c>
      <c r="D1060" s="188" t="str">
        <f>+INDEX([1]Detallado!$F:$F,MATCH($C1060,[1]Detallado!$B:$B,0))</f>
        <v>Renta Fija</v>
      </c>
      <c r="E1060" s="31" t="str">
        <f>+INDEX([1]Detallado!$Q:$Q,MATCH($C1060,[1]Detallado!$B:$B,0))</f>
        <v>RFLC</v>
      </c>
      <c r="F1060" s="185" t="s">
        <v>4357</v>
      </c>
      <c r="G1060" s="186" t="str">
        <f t="shared" si="32"/>
        <v>22RFLC</v>
      </c>
      <c r="H1060" s="187" t="str">
        <f>+INDEX([1]Detallado!$D:$D,MATCH(C1060,[1]Detallado!$B:$B,0))</f>
        <v>Edelnor</v>
      </c>
      <c r="I1060" s="28"/>
      <c r="J1060" s="184" t="str">
        <f t="shared" si="33"/>
        <v>RFLBU</v>
      </c>
    </row>
    <row r="1061" spans="3:10" x14ac:dyDescent="0.25">
      <c r="C1061" s="28" t="s">
        <v>3638</v>
      </c>
      <c r="D1061" s="188" t="str">
        <f>+INDEX([1]Detallado!$F:$F,MATCH($C1061,[1]Detallado!$B:$B,0))</f>
        <v>Renta Fija</v>
      </c>
      <c r="E1061" s="31" t="str">
        <f>+INDEX([1]Detallado!$Q:$Q,MATCH($C1061,[1]Detallado!$B:$B,0))</f>
        <v>RFLC</v>
      </c>
      <c r="F1061" s="185" t="s">
        <v>4357</v>
      </c>
      <c r="G1061" s="186" t="str">
        <f t="shared" si="32"/>
        <v>22RFLC</v>
      </c>
      <c r="H1061" s="187" t="str">
        <f>+INDEX([1]Detallado!$D:$D,MATCH(C1061,[1]Detallado!$B:$B,0))</f>
        <v>Edelnor</v>
      </c>
      <c r="I1061" s="28"/>
      <c r="J1061" s="184" t="str">
        <f t="shared" si="33"/>
        <v>RFLBU</v>
      </c>
    </row>
    <row r="1062" spans="3:10" x14ac:dyDescent="0.25">
      <c r="C1062" s="28" t="s">
        <v>3639</v>
      </c>
      <c r="D1062" s="188" t="str">
        <f>+INDEX([1]Detallado!$F:$F,MATCH($C1062,[1]Detallado!$B:$B,0))</f>
        <v>Renta Fija</v>
      </c>
      <c r="E1062" s="31" t="str">
        <f>+INDEX([1]Detallado!$Q:$Q,MATCH($C1062,[1]Detallado!$B:$B,0))</f>
        <v>RFLC</v>
      </c>
      <c r="F1062" s="185" t="s">
        <v>4357</v>
      </c>
      <c r="G1062" s="186" t="str">
        <f t="shared" si="32"/>
        <v>22RFLC</v>
      </c>
      <c r="H1062" s="187" t="str">
        <f>+INDEX([1]Detallado!$D:$D,MATCH(C1062,[1]Detallado!$B:$B,0))</f>
        <v>Edelnor</v>
      </c>
      <c r="I1062" s="28"/>
      <c r="J1062" s="184" t="str">
        <f t="shared" si="33"/>
        <v>RFLBU</v>
      </c>
    </row>
    <row r="1063" spans="3:10" x14ac:dyDescent="0.25">
      <c r="C1063" s="28" t="s">
        <v>3640</v>
      </c>
      <c r="D1063" s="188" t="str">
        <f>+INDEX([1]Detallado!$F:$F,MATCH($C1063,[1]Detallado!$B:$B,0))</f>
        <v>Renta Fija</v>
      </c>
      <c r="E1063" s="31" t="str">
        <f>+INDEX([1]Detallado!$Q:$Q,MATCH($C1063,[1]Detallado!$B:$B,0))</f>
        <v>RFLC</v>
      </c>
      <c r="F1063" s="185" t="s">
        <v>4357</v>
      </c>
      <c r="G1063" s="186" t="str">
        <f t="shared" si="32"/>
        <v>22RFLC</v>
      </c>
      <c r="H1063" s="187" t="str">
        <f>+INDEX([1]Detallado!$D:$D,MATCH(C1063,[1]Detallado!$B:$B,0))</f>
        <v>Edelnor</v>
      </c>
      <c r="I1063" s="28"/>
      <c r="J1063" s="184" t="str">
        <f t="shared" si="33"/>
        <v>RFLBU</v>
      </c>
    </row>
    <row r="1064" spans="3:10" x14ac:dyDescent="0.25">
      <c r="C1064" s="28" t="s">
        <v>3641</v>
      </c>
      <c r="D1064" s="188" t="str">
        <f>+INDEX([1]Detallado!$F:$F,MATCH($C1064,[1]Detallado!$B:$B,0))</f>
        <v>Renta Fija</v>
      </c>
      <c r="E1064" s="31" t="str">
        <f>+INDEX([1]Detallado!$Q:$Q,MATCH($C1064,[1]Detallado!$B:$B,0))</f>
        <v>RFLC</v>
      </c>
      <c r="F1064" s="185" t="s">
        <v>4357</v>
      </c>
      <c r="G1064" s="186" t="str">
        <f t="shared" si="32"/>
        <v>22RFLC</v>
      </c>
      <c r="H1064" s="187" t="str">
        <f>+INDEX([1]Detallado!$D:$D,MATCH(C1064,[1]Detallado!$B:$B,0))</f>
        <v>Edelnor</v>
      </c>
      <c r="I1064" s="28"/>
      <c r="J1064" s="184" t="str">
        <f t="shared" si="33"/>
        <v>RFLBU</v>
      </c>
    </row>
    <row r="1065" spans="3:10" x14ac:dyDescent="0.25">
      <c r="C1065" s="28" t="s">
        <v>3642</v>
      </c>
      <c r="D1065" s="188" t="str">
        <f>+INDEX([1]Detallado!$F:$F,MATCH($C1065,[1]Detallado!$B:$B,0))</f>
        <v>Renta Fija</v>
      </c>
      <c r="E1065" s="31" t="str">
        <f>+INDEX([1]Detallado!$Q:$Q,MATCH($C1065,[1]Detallado!$B:$B,0))</f>
        <v>RFLC</v>
      </c>
      <c r="F1065" s="185" t="s">
        <v>4357</v>
      </c>
      <c r="G1065" s="186" t="str">
        <f t="shared" si="32"/>
        <v>22RFLC</v>
      </c>
      <c r="H1065" s="187" t="str">
        <f>+INDEX([1]Detallado!$D:$D,MATCH(C1065,[1]Detallado!$B:$B,0))</f>
        <v>Edelnor</v>
      </c>
      <c r="I1065" s="28"/>
      <c r="J1065" s="184" t="str">
        <f t="shared" si="33"/>
        <v>RFLBU</v>
      </c>
    </row>
    <row r="1066" spans="3:10" x14ac:dyDescent="0.25">
      <c r="C1066" s="28" t="s">
        <v>3643</v>
      </c>
      <c r="D1066" s="188" t="str">
        <f>+INDEX([1]Detallado!$F:$F,MATCH($C1066,[1]Detallado!$B:$B,0))</f>
        <v>Renta Fija</v>
      </c>
      <c r="E1066" s="31" t="str">
        <f>+INDEX([1]Detallado!$Q:$Q,MATCH($C1066,[1]Detallado!$B:$B,0))</f>
        <v>RFLC</v>
      </c>
      <c r="F1066" s="185" t="s">
        <v>4357</v>
      </c>
      <c r="G1066" s="186" t="str">
        <f t="shared" si="32"/>
        <v>22RFLC</v>
      </c>
      <c r="H1066" s="187" t="str">
        <f>+INDEX([1]Detallado!$D:$D,MATCH(C1066,[1]Detallado!$B:$B,0))</f>
        <v>Edelnor</v>
      </c>
      <c r="I1066" s="28"/>
      <c r="J1066" s="184" t="str">
        <f t="shared" si="33"/>
        <v>RFLBU</v>
      </c>
    </row>
    <row r="1067" spans="3:10" x14ac:dyDescent="0.25">
      <c r="C1067" s="28" t="s">
        <v>3644</v>
      </c>
      <c r="D1067" s="188" t="str">
        <f>+INDEX([1]Detallado!$F:$F,MATCH($C1067,[1]Detallado!$B:$B,0))</f>
        <v>Renta Fija</v>
      </c>
      <c r="E1067" s="31" t="str">
        <f>+INDEX([1]Detallado!$Q:$Q,MATCH($C1067,[1]Detallado!$B:$B,0))</f>
        <v>RFLC</v>
      </c>
      <c r="F1067" s="185" t="s">
        <v>4357</v>
      </c>
      <c r="G1067" s="186" t="str">
        <f t="shared" si="32"/>
        <v>22RFLC</v>
      </c>
      <c r="H1067" s="187" t="str">
        <f>+INDEX([1]Detallado!$D:$D,MATCH(C1067,[1]Detallado!$B:$B,0))</f>
        <v>Edelnor</v>
      </c>
      <c r="I1067" s="28"/>
      <c r="J1067" s="184" t="str">
        <f t="shared" si="33"/>
        <v>RFLBU</v>
      </c>
    </row>
    <row r="1068" spans="3:10" x14ac:dyDescent="0.25">
      <c r="C1068" s="28" t="s">
        <v>3645</v>
      </c>
      <c r="D1068" s="188" t="str">
        <f>+INDEX([1]Detallado!$F:$F,MATCH($C1068,[1]Detallado!$B:$B,0))</f>
        <v>Renta Fija</v>
      </c>
      <c r="E1068" s="31" t="str">
        <f>+INDEX([1]Detallado!$Q:$Q,MATCH($C1068,[1]Detallado!$B:$B,0))</f>
        <v>RFLC</v>
      </c>
      <c r="F1068" s="185" t="s">
        <v>4357</v>
      </c>
      <c r="G1068" s="186" t="str">
        <f t="shared" si="32"/>
        <v>22RFLC</v>
      </c>
      <c r="H1068" s="187" t="str">
        <f>+INDEX([1]Detallado!$D:$D,MATCH(C1068,[1]Detallado!$B:$B,0))</f>
        <v>Edelnor</v>
      </c>
      <c r="I1068" s="28"/>
      <c r="J1068" s="184" t="str">
        <f t="shared" si="33"/>
        <v>RFLBU</v>
      </c>
    </row>
    <row r="1069" spans="3:10" x14ac:dyDescent="0.25">
      <c r="C1069" s="28" t="s">
        <v>3646</v>
      </c>
      <c r="D1069" s="188" t="str">
        <f>+INDEX([1]Detallado!$F:$F,MATCH($C1069,[1]Detallado!$B:$B,0))</f>
        <v>Renta Fija</v>
      </c>
      <c r="E1069" s="31" t="str">
        <f>+INDEX([1]Detallado!$Q:$Q,MATCH($C1069,[1]Detallado!$B:$B,0))</f>
        <v>RFLC</v>
      </c>
      <c r="F1069" s="185" t="s">
        <v>4357</v>
      </c>
      <c r="G1069" s="186" t="str">
        <f t="shared" si="32"/>
        <v>22RFLC</v>
      </c>
      <c r="H1069" s="187" t="str">
        <f>+INDEX([1]Detallado!$D:$D,MATCH(C1069,[1]Detallado!$B:$B,0))</f>
        <v>Edelnor</v>
      </c>
      <c r="I1069" s="28"/>
      <c r="J1069" s="184" t="str">
        <f t="shared" si="33"/>
        <v>RFLBU</v>
      </c>
    </row>
    <row r="1070" spans="3:10" x14ac:dyDescent="0.25">
      <c r="C1070" s="28" t="s">
        <v>3647</v>
      </c>
      <c r="D1070" s="188" t="str">
        <f>+INDEX([1]Detallado!$F:$F,MATCH($C1070,[1]Detallado!$B:$B,0))</f>
        <v>Renta Fija</v>
      </c>
      <c r="E1070" s="31" t="str">
        <f>+INDEX([1]Detallado!$Q:$Q,MATCH($C1070,[1]Detallado!$B:$B,0))</f>
        <v>RFLC</v>
      </c>
      <c r="F1070" s="185" t="s">
        <v>4357</v>
      </c>
      <c r="G1070" s="186" t="str">
        <f t="shared" si="32"/>
        <v>22RFLC</v>
      </c>
      <c r="H1070" s="187" t="str">
        <f>+INDEX([1]Detallado!$D:$D,MATCH(C1070,[1]Detallado!$B:$B,0))</f>
        <v>Edelnor</v>
      </c>
      <c r="I1070" s="28"/>
      <c r="J1070" s="184" t="str">
        <f t="shared" si="33"/>
        <v>RFLBU</v>
      </c>
    </row>
    <row r="1071" spans="3:10" x14ac:dyDescent="0.25">
      <c r="C1071" s="28" t="s">
        <v>3648</v>
      </c>
      <c r="D1071" s="188" t="str">
        <f>+INDEX([1]Detallado!$F:$F,MATCH($C1071,[1]Detallado!$B:$B,0))</f>
        <v>Renta Fija</v>
      </c>
      <c r="E1071" s="31" t="str">
        <f>+INDEX([1]Detallado!$Q:$Q,MATCH($C1071,[1]Detallado!$B:$B,0))</f>
        <v>RFLC</v>
      </c>
      <c r="F1071" s="185" t="s">
        <v>4357</v>
      </c>
      <c r="G1071" s="186" t="str">
        <f t="shared" si="32"/>
        <v>22RFLC</v>
      </c>
      <c r="H1071" s="187" t="str">
        <f>+INDEX([1]Detallado!$D:$D,MATCH(C1071,[1]Detallado!$B:$B,0))</f>
        <v>Edelnor</v>
      </c>
      <c r="I1071" s="28"/>
      <c r="J1071" s="184" t="str">
        <f t="shared" si="33"/>
        <v>RFLBU</v>
      </c>
    </row>
    <row r="1072" spans="3:10" x14ac:dyDescent="0.25">
      <c r="C1072" s="28" t="s">
        <v>3649</v>
      </c>
      <c r="D1072" s="188" t="str">
        <f>+INDEX([1]Detallado!$F:$F,MATCH($C1072,[1]Detallado!$B:$B,0))</f>
        <v>Renta Fija</v>
      </c>
      <c r="E1072" s="31" t="str">
        <f>+INDEX([1]Detallado!$Q:$Q,MATCH($C1072,[1]Detallado!$B:$B,0))</f>
        <v>RFLC</v>
      </c>
      <c r="F1072" s="185" t="s">
        <v>4357</v>
      </c>
      <c r="G1072" s="186" t="str">
        <f t="shared" si="32"/>
        <v>22RFLC</v>
      </c>
      <c r="H1072" s="187" t="str">
        <f>+INDEX([1]Detallado!$D:$D,MATCH(C1072,[1]Detallado!$B:$B,0))</f>
        <v>Edelnor</v>
      </c>
      <c r="I1072" s="28"/>
      <c r="J1072" s="184" t="str">
        <f t="shared" si="33"/>
        <v>RFLBU</v>
      </c>
    </row>
    <row r="1073" spans="3:10" x14ac:dyDescent="0.25">
      <c r="C1073" s="28" t="s">
        <v>3650</v>
      </c>
      <c r="D1073" s="188" t="str">
        <f>+INDEX([1]Detallado!$F:$F,MATCH($C1073,[1]Detallado!$B:$B,0))</f>
        <v>Renta Fija</v>
      </c>
      <c r="E1073" s="31" t="str">
        <f>+INDEX([1]Detallado!$Q:$Q,MATCH($C1073,[1]Detallado!$B:$B,0))</f>
        <v>RFLC</v>
      </c>
      <c r="F1073" s="185" t="s">
        <v>4357</v>
      </c>
      <c r="G1073" s="186" t="str">
        <f t="shared" si="32"/>
        <v>22RFLC</v>
      </c>
      <c r="H1073" s="187" t="str">
        <f>+INDEX([1]Detallado!$D:$D,MATCH(C1073,[1]Detallado!$B:$B,0))</f>
        <v>Edelnor</v>
      </c>
      <c r="I1073" s="28"/>
      <c r="J1073" s="184" t="str">
        <f t="shared" si="33"/>
        <v>RFLBU</v>
      </c>
    </row>
    <row r="1074" spans="3:10" x14ac:dyDescent="0.25">
      <c r="C1074" s="28" t="s">
        <v>3651</v>
      </c>
      <c r="D1074" s="188" t="str">
        <f>+INDEX([1]Detallado!$F:$F,MATCH($C1074,[1]Detallado!$B:$B,0))</f>
        <v>Renta Fija</v>
      </c>
      <c r="E1074" s="31" t="str">
        <f>+INDEX([1]Detallado!$Q:$Q,MATCH($C1074,[1]Detallado!$B:$B,0))</f>
        <v>RFLC</v>
      </c>
      <c r="F1074" s="185" t="s">
        <v>4357</v>
      </c>
      <c r="G1074" s="186" t="str">
        <f t="shared" si="32"/>
        <v>22RFLC</v>
      </c>
      <c r="H1074" s="187" t="str">
        <f>+INDEX([1]Detallado!$D:$D,MATCH(C1074,[1]Detallado!$B:$B,0))</f>
        <v>Edelnor</v>
      </c>
      <c r="I1074" s="28"/>
      <c r="J1074" s="184" t="str">
        <f t="shared" si="33"/>
        <v>RFLBU</v>
      </c>
    </row>
    <row r="1075" spans="3:10" x14ac:dyDescent="0.25">
      <c r="C1075" s="28" t="s">
        <v>3652</v>
      </c>
      <c r="D1075" s="188" t="str">
        <f>+INDEX([1]Detallado!$F:$F,MATCH($C1075,[1]Detallado!$B:$B,0))</f>
        <v>Renta Fija</v>
      </c>
      <c r="E1075" s="31" t="str">
        <f>+INDEX([1]Detallado!$Q:$Q,MATCH($C1075,[1]Detallado!$B:$B,0))</f>
        <v>RFLC</v>
      </c>
      <c r="F1075" s="185" t="s">
        <v>4357</v>
      </c>
      <c r="G1075" s="186" t="str">
        <f t="shared" si="32"/>
        <v>22RFLC</v>
      </c>
      <c r="H1075" s="187" t="str">
        <f>+INDEX([1]Detallado!$D:$D,MATCH(C1075,[1]Detallado!$B:$B,0))</f>
        <v>Edelnor</v>
      </c>
      <c r="I1075" s="28"/>
      <c r="J1075" s="184" t="str">
        <f t="shared" si="33"/>
        <v>RFLBU</v>
      </c>
    </row>
    <row r="1076" spans="3:10" x14ac:dyDescent="0.25">
      <c r="C1076" s="28" t="s">
        <v>3653</v>
      </c>
      <c r="D1076" s="188" t="str">
        <f>+INDEX([1]Detallado!$F:$F,MATCH($C1076,[1]Detallado!$B:$B,0))</f>
        <v>Renta Fija</v>
      </c>
      <c r="E1076" s="31" t="str">
        <f>+INDEX([1]Detallado!$Q:$Q,MATCH($C1076,[1]Detallado!$B:$B,0))</f>
        <v>RFLC</v>
      </c>
      <c r="F1076" s="185" t="s">
        <v>4357</v>
      </c>
      <c r="G1076" s="186" t="str">
        <f t="shared" si="32"/>
        <v>22RFLC</v>
      </c>
      <c r="H1076" s="187" t="str">
        <f>+INDEX([1]Detallado!$D:$D,MATCH(C1076,[1]Detallado!$B:$B,0))</f>
        <v>Edelnor</v>
      </c>
      <c r="I1076" s="28"/>
      <c r="J1076" s="184" t="str">
        <f t="shared" si="33"/>
        <v>RFLBU</v>
      </c>
    </row>
    <row r="1077" spans="3:10" x14ac:dyDescent="0.25">
      <c r="C1077" s="28" t="s">
        <v>3654</v>
      </c>
      <c r="D1077" s="188" t="str">
        <f>+INDEX([1]Detallado!$F:$F,MATCH($C1077,[1]Detallado!$B:$B,0))</f>
        <v>Renta Fija</v>
      </c>
      <c r="E1077" s="31" t="str">
        <f>+INDEX([1]Detallado!$Q:$Q,MATCH($C1077,[1]Detallado!$B:$B,0))</f>
        <v>RFLC</v>
      </c>
      <c r="F1077" s="185" t="s">
        <v>4357</v>
      </c>
      <c r="G1077" s="186" t="str">
        <f t="shared" si="32"/>
        <v>22RFLC</v>
      </c>
      <c r="H1077" s="187" t="str">
        <f>+INDEX([1]Detallado!$D:$D,MATCH(C1077,[1]Detallado!$B:$B,0))</f>
        <v>Edelnor</v>
      </c>
      <c r="I1077" s="28"/>
      <c r="J1077" s="184" t="str">
        <f t="shared" si="33"/>
        <v>RFLBU</v>
      </c>
    </row>
    <row r="1078" spans="3:10" x14ac:dyDescent="0.25">
      <c r="C1078" s="28" t="s">
        <v>3655</v>
      </c>
      <c r="D1078" s="188" t="str">
        <f>+INDEX([1]Detallado!$F:$F,MATCH($C1078,[1]Detallado!$B:$B,0))</f>
        <v>Renta Fija</v>
      </c>
      <c r="E1078" s="31" t="str">
        <f>+INDEX([1]Detallado!$Q:$Q,MATCH($C1078,[1]Detallado!$B:$B,0))</f>
        <v>RFLC</v>
      </c>
      <c r="F1078" s="185" t="s">
        <v>4357</v>
      </c>
      <c r="G1078" s="186" t="str">
        <f t="shared" si="32"/>
        <v>22RFLC</v>
      </c>
      <c r="H1078" s="187" t="str">
        <f>+INDEX([1]Detallado!$D:$D,MATCH(C1078,[1]Detallado!$B:$B,0))</f>
        <v>Edelnor</v>
      </c>
      <c r="I1078" s="28"/>
      <c r="J1078" s="184" t="str">
        <f t="shared" si="33"/>
        <v>RFLBU</v>
      </c>
    </row>
    <row r="1079" spans="3:10" x14ac:dyDescent="0.25">
      <c r="C1079" s="28" t="s">
        <v>3656</v>
      </c>
      <c r="D1079" s="188" t="str">
        <f>+INDEX([1]Detallado!$F:$F,MATCH($C1079,[1]Detallado!$B:$B,0))</f>
        <v>Renta Fija</v>
      </c>
      <c r="E1079" s="31" t="str">
        <f>+INDEX([1]Detallado!$Q:$Q,MATCH($C1079,[1]Detallado!$B:$B,0))</f>
        <v>RFLC</v>
      </c>
      <c r="F1079" s="185" t="s">
        <v>4357</v>
      </c>
      <c r="G1079" s="186" t="str">
        <f t="shared" si="32"/>
        <v>22RFLC</v>
      </c>
      <c r="H1079" s="187" t="str">
        <f>+INDEX([1]Detallado!$D:$D,MATCH(C1079,[1]Detallado!$B:$B,0))</f>
        <v>Edelnor</v>
      </c>
      <c r="I1079" s="28"/>
      <c r="J1079" s="184" t="str">
        <f t="shared" si="33"/>
        <v>RFLBU</v>
      </c>
    </row>
    <row r="1080" spans="3:10" x14ac:dyDescent="0.25">
      <c r="C1080" s="28" t="s">
        <v>3657</v>
      </c>
      <c r="D1080" s="188" t="str">
        <f>+INDEX([1]Detallado!$F:$F,MATCH($C1080,[1]Detallado!$B:$B,0))</f>
        <v>Renta Fija</v>
      </c>
      <c r="E1080" s="31" t="str">
        <f>+INDEX([1]Detallado!$Q:$Q,MATCH($C1080,[1]Detallado!$B:$B,0))</f>
        <v>RFLC</v>
      </c>
      <c r="F1080" s="185" t="s">
        <v>4357</v>
      </c>
      <c r="G1080" s="186" t="str">
        <f t="shared" si="32"/>
        <v>22RFLC</v>
      </c>
      <c r="H1080" s="187" t="str">
        <f>+INDEX([1]Detallado!$D:$D,MATCH(C1080,[1]Detallado!$B:$B,0))</f>
        <v>Edelnor</v>
      </c>
      <c r="I1080" s="28"/>
      <c r="J1080" s="184" t="str">
        <f t="shared" si="33"/>
        <v>RFLBU</v>
      </c>
    </row>
    <row r="1081" spans="3:10" x14ac:dyDescent="0.25">
      <c r="C1081" s="28" t="s">
        <v>3658</v>
      </c>
      <c r="D1081" s="188" t="str">
        <f>+INDEX([1]Detallado!$F:$F,MATCH($C1081,[1]Detallado!$B:$B,0))</f>
        <v>Renta Fija</v>
      </c>
      <c r="E1081" s="31" t="str">
        <f>+INDEX([1]Detallado!$Q:$Q,MATCH($C1081,[1]Detallado!$B:$B,0))</f>
        <v>RFLC</v>
      </c>
      <c r="F1081" s="185" t="s">
        <v>4357</v>
      </c>
      <c r="G1081" s="186" t="str">
        <f t="shared" si="32"/>
        <v>22RFLC</v>
      </c>
      <c r="H1081" s="187" t="str">
        <f>+INDEX([1]Detallado!$D:$D,MATCH(C1081,[1]Detallado!$B:$B,0))</f>
        <v xml:space="preserve">Edegel </v>
      </c>
      <c r="I1081" s="28"/>
      <c r="J1081" s="184" t="str">
        <f t="shared" si="33"/>
        <v>RFLBU</v>
      </c>
    </row>
    <row r="1082" spans="3:10" x14ac:dyDescent="0.25">
      <c r="C1082" s="28" t="s">
        <v>3659</v>
      </c>
      <c r="D1082" s="188" t="str">
        <f>+INDEX([1]Detallado!$F:$F,MATCH($C1082,[1]Detallado!$B:$B,0))</f>
        <v>Renta Fija</v>
      </c>
      <c r="E1082" s="31" t="str">
        <f>+INDEX([1]Detallado!$Q:$Q,MATCH($C1082,[1]Detallado!$B:$B,0))</f>
        <v>RFLC</v>
      </c>
      <c r="F1082" s="185" t="s">
        <v>4357</v>
      </c>
      <c r="G1082" s="186" t="str">
        <f t="shared" si="32"/>
        <v>22RFLC</v>
      </c>
      <c r="H1082" s="187" t="str">
        <f>+INDEX([1]Detallado!$D:$D,MATCH(C1082,[1]Detallado!$B:$B,0))</f>
        <v>Edelnor</v>
      </c>
      <c r="I1082" s="28"/>
      <c r="J1082" s="184" t="str">
        <f t="shared" si="33"/>
        <v>RFLBU</v>
      </c>
    </row>
    <row r="1083" spans="3:10" x14ac:dyDescent="0.25">
      <c r="C1083" s="28" t="s">
        <v>3660</v>
      </c>
      <c r="D1083" s="188" t="str">
        <f>+INDEX([1]Detallado!$F:$F,MATCH($C1083,[1]Detallado!$B:$B,0))</f>
        <v>Renta Fija</v>
      </c>
      <c r="E1083" s="31" t="str">
        <f>+INDEX([1]Detallado!$Q:$Q,MATCH($C1083,[1]Detallado!$B:$B,0))</f>
        <v>RFLC</v>
      </c>
      <c r="F1083" s="185" t="s">
        <v>4357</v>
      </c>
      <c r="G1083" s="186" t="str">
        <f t="shared" si="32"/>
        <v>22RFLC</v>
      </c>
      <c r="H1083" s="187" t="str">
        <f>+INDEX([1]Detallado!$D:$D,MATCH(C1083,[1]Detallado!$B:$B,0))</f>
        <v>Edelnor</v>
      </c>
      <c r="I1083" s="28"/>
      <c r="J1083" s="184" t="str">
        <f t="shared" si="33"/>
        <v>RFLBU</v>
      </c>
    </row>
    <row r="1084" spans="3:10" x14ac:dyDescent="0.25">
      <c r="C1084" s="28" t="s">
        <v>3661</v>
      </c>
      <c r="D1084" s="188" t="str">
        <f>+INDEX([1]Detallado!$F:$F,MATCH($C1084,[1]Detallado!$B:$B,0))</f>
        <v>Renta Fija</v>
      </c>
      <c r="E1084" s="31" t="str">
        <f>+INDEX([1]Detallado!$Q:$Q,MATCH($C1084,[1]Detallado!$B:$B,0))</f>
        <v>RFLC</v>
      </c>
      <c r="F1084" s="185" t="s">
        <v>4357</v>
      </c>
      <c r="G1084" s="186" t="str">
        <f t="shared" si="32"/>
        <v>22RFLC</v>
      </c>
      <c r="H1084" s="187" t="str">
        <f>+INDEX([1]Detallado!$D:$D,MATCH(C1084,[1]Detallado!$B:$B,0))</f>
        <v xml:space="preserve">Edegel </v>
      </c>
      <c r="I1084" s="28"/>
      <c r="J1084" s="184" t="str">
        <f t="shared" si="33"/>
        <v>RFLBU</v>
      </c>
    </row>
    <row r="1085" spans="3:10" x14ac:dyDescent="0.25">
      <c r="C1085" s="28" t="s">
        <v>3662</v>
      </c>
      <c r="D1085" s="188" t="str">
        <f>+INDEX([1]Detallado!$F:$F,MATCH($C1085,[1]Detallado!$B:$B,0))</f>
        <v>Renta Fija</v>
      </c>
      <c r="E1085" s="31" t="str">
        <f>+INDEX([1]Detallado!$Q:$Q,MATCH($C1085,[1]Detallado!$B:$B,0))</f>
        <v>RFLC</v>
      </c>
      <c r="F1085" s="185" t="s">
        <v>4357</v>
      </c>
      <c r="G1085" s="186" t="str">
        <f t="shared" si="32"/>
        <v>22RFLC</v>
      </c>
      <c r="H1085" s="187" t="str">
        <f>+INDEX([1]Detallado!$D:$D,MATCH(C1085,[1]Detallado!$B:$B,0))</f>
        <v>Edelnor</v>
      </c>
      <c r="I1085" s="28"/>
      <c r="J1085" s="184" t="str">
        <f t="shared" si="33"/>
        <v>RFLBU</v>
      </c>
    </row>
    <row r="1086" spans="3:10" x14ac:dyDescent="0.25">
      <c r="C1086" s="28" t="s">
        <v>3663</v>
      </c>
      <c r="D1086" s="188" t="str">
        <f>+INDEX([1]Detallado!$F:$F,MATCH($C1086,[1]Detallado!$B:$B,0))</f>
        <v>Renta Fija</v>
      </c>
      <c r="E1086" s="31" t="str">
        <f>+INDEX([1]Detallado!$Q:$Q,MATCH($C1086,[1]Detallado!$B:$B,0))</f>
        <v>RFLC</v>
      </c>
      <c r="F1086" s="185" t="s">
        <v>4357</v>
      </c>
      <c r="G1086" s="186" t="str">
        <f t="shared" si="32"/>
        <v>22RFLC</v>
      </c>
      <c r="H1086" s="187" t="str">
        <f>+INDEX([1]Detallado!$D:$D,MATCH(C1086,[1]Detallado!$B:$B,0))</f>
        <v xml:space="preserve">Edegel </v>
      </c>
      <c r="I1086" s="28"/>
      <c r="J1086" s="184" t="str">
        <f t="shared" si="33"/>
        <v>RFLBU</v>
      </c>
    </row>
    <row r="1087" spans="3:10" x14ac:dyDescent="0.25">
      <c r="C1087" s="28" t="s">
        <v>3664</v>
      </c>
      <c r="D1087" s="188" t="str">
        <f>+INDEX([1]Detallado!$F:$F,MATCH($C1087,[1]Detallado!$B:$B,0))</f>
        <v>Renta Fija</v>
      </c>
      <c r="E1087" s="31" t="str">
        <f>+INDEX([1]Detallado!$Q:$Q,MATCH($C1087,[1]Detallado!$B:$B,0))</f>
        <v>RFLC</v>
      </c>
      <c r="F1087" s="185" t="s">
        <v>4357</v>
      </c>
      <c r="G1087" s="186" t="str">
        <f t="shared" si="32"/>
        <v>22RFLC</v>
      </c>
      <c r="H1087" s="187" t="str">
        <f>+INDEX([1]Detallado!$D:$D,MATCH(C1087,[1]Detallado!$B:$B,0))</f>
        <v>Edelnor</v>
      </c>
      <c r="I1087" s="28"/>
      <c r="J1087" s="184" t="str">
        <f t="shared" si="33"/>
        <v>RFLBU</v>
      </c>
    </row>
    <row r="1088" spans="3:10" x14ac:dyDescent="0.25">
      <c r="C1088" s="28" t="s">
        <v>3665</v>
      </c>
      <c r="D1088" s="188" t="str">
        <f>+INDEX([1]Detallado!$F:$F,MATCH($C1088,[1]Detallado!$B:$B,0))</f>
        <v>Renta Fija</v>
      </c>
      <c r="E1088" s="31" t="str">
        <f>+INDEX([1]Detallado!$Q:$Q,MATCH($C1088,[1]Detallado!$B:$B,0))</f>
        <v>RFLC</v>
      </c>
      <c r="F1088" s="185" t="s">
        <v>4357</v>
      </c>
      <c r="G1088" s="186" t="str">
        <f t="shared" si="32"/>
        <v>22RFLC</v>
      </c>
      <c r="H1088" s="187" t="str">
        <f>+INDEX([1]Detallado!$D:$D,MATCH(C1088,[1]Detallado!$B:$B,0))</f>
        <v>Edelnor</v>
      </c>
      <c r="I1088" s="28"/>
      <c r="J1088" s="184" t="str">
        <f t="shared" si="33"/>
        <v>RFLBU</v>
      </c>
    </row>
    <row r="1089" spans="3:10" x14ac:dyDescent="0.25">
      <c r="C1089" s="28" t="s">
        <v>3666</v>
      </c>
      <c r="D1089" s="188" t="str">
        <f>+INDEX([1]Detallado!$F:$F,MATCH($C1089,[1]Detallado!$B:$B,0))</f>
        <v>Renta Fija</v>
      </c>
      <c r="E1089" s="31" t="str">
        <f>+INDEX([1]Detallado!$Q:$Q,MATCH($C1089,[1]Detallado!$B:$B,0))</f>
        <v>RFLC</v>
      </c>
      <c r="F1089" s="185" t="s">
        <v>4357</v>
      </c>
      <c r="G1089" s="186" t="str">
        <f t="shared" si="32"/>
        <v>22RFLC</v>
      </c>
      <c r="H1089" s="187" t="str">
        <f>+INDEX([1]Detallado!$D:$D,MATCH(C1089,[1]Detallado!$B:$B,0))</f>
        <v>Edelnor</v>
      </c>
      <c r="I1089" s="28"/>
      <c r="J1089" s="184" t="str">
        <f t="shared" si="33"/>
        <v>RFLBU</v>
      </c>
    </row>
    <row r="1090" spans="3:10" x14ac:dyDescent="0.25">
      <c r="C1090" s="28" t="s">
        <v>3667</v>
      </c>
      <c r="D1090" s="188" t="str">
        <f>+INDEX([1]Detallado!$F:$F,MATCH($C1090,[1]Detallado!$B:$B,0))</f>
        <v>Renta Fija</v>
      </c>
      <c r="E1090" s="31" t="str">
        <f>+INDEX([1]Detallado!$Q:$Q,MATCH($C1090,[1]Detallado!$B:$B,0))</f>
        <v>RFLC</v>
      </c>
      <c r="F1090" s="185" t="s">
        <v>4357</v>
      </c>
      <c r="G1090" s="186" t="str">
        <f t="shared" si="32"/>
        <v>22RFLC</v>
      </c>
      <c r="H1090" s="187" t="str">
        <f>+INDEX([1]Detallado!$D:$D,MATCH(C1090,[1]Detallado!$B:$B,0))</f>
        <v>Edelnor</v>
      </c>
      <c r="I1090" s="28"/>
      <c r="J1090" s="184" t="str">
        <f t="shared" si="33"/>
        <v>RFLBU</v>
      </c>
    </row>
    <row r="1091" spans="3:10" x14ac:dyDescent="0.25">
      <c r="C1091" s="28" t="s">
        <v>3668</v>
      </c>
      <c r="D1091" s="188" t="str">
        <f>+INDEX([1]Detallado!$F:$F,MATCH($C1091,[1]Detallado!$B:$B,0))</f>
        <v>Renta Fija</v>
      </c>
      <c r="E1091" s="31" t="str">
        <f>+INDEX([1]Detallado!$Q:$Q,MATCH($C1091,[1]Detallado!$B:$B,0))</f>
        <v>RFLC</v>
      </c>
      <c r="F1091" s="185" t="s">
        <v>4357</v>
      </c>
      <c r="G1091" s="186" t="str">
        <f t="shared" si="32"/>
        <v>22RFLC</v>
      </c>
      <c r="H1091" s="187" t="str">
        <f>+INDEX([1]Detallado!$D:$D,MATCH(C1091,[1]Detallado!$B:$B,0))</f>
        <v xml:space="preserve">Cementos Yura </v>
      </c>
      <c r="I1091" s="28"/>
      <c r="J1091" s="184" t="str">
        <f t="shared" si="33"/>
        <v>RFLBU</v>
      </c>
    </row>
    <row r="1092" spans="3:10" x14ac:dyDescent="0.25">
      <c r="C1092" s="28" t="s">
        <v>3669</v>
      </c>
      <c r="D1092" s="188" t="str">
        <f>+INDEX([1]Detallado!$F:$F,MATCH($C1092,[1]Detallado!$B:$B,0))</f>
        <v>Renta Fija</v>
      </c>
      <c r="E1092" s="31" t="str">
        <f>+INDEX([1]Detallado!$Q:$Q,MATCH($C1092,[1]Detallado!$B:$B,0))</f>
        <v>RFLC</v>
      </c>
      <c r="F1092" s="185" t="s">
        <v>4357</v>
      </c>
      <c r="G1092" s="186" t="str">
        <f t="shared" si="32"/>
        <v>22RFLC</v>
      </c>
      <c r="H1092" s="187" t="str">
        <f>+INDEX([1]Detallado!$D:$D,MATCH(C1092,[1]Detallado!$B:$B,0))</f>
        <v xml:space="preserve">Cementos Yura </v>
      </c>
      <c r="I1092" s="28"/>
      <c r="J1092" s="184" t="str">
        <f t="shared" si="33"/>
        <v>RFLBU</v>
      </c>
    </row>
    <row r="1093" spans="3:10" x14ac:dyDescent="0.25">
      <c r="C1093" s="28" t="s">
        <v>3670</v>
      </c>
      <c r="D1093" s="188" t="str">
        <f>+INDEX([1]Detallado!$F:$F,MATCH($C1093,[1]Detallado!$B:$B,0))</f>
        <v>Renta Fija</v>
      </c>
      <c r="E1093" s="31" t="str">
        <f>+INDEX([1]Detallado!$Q:$Q,MATCH($C1093,[1]Detallado!$B:$B,0))</f>
        <v>RFLC</v>
      </c>
      <c r="F1093" s="185" t="s">
        <v>4357</v>
      </c>
      <c r="G1093" s="186" t="str">
        <f t="shared" si="32"/>
        <v>22RFLC</v>
      </c>
      <c r="H1093" s="187" t="str">
        <f>+INDEX([1]Detallado!$D:$D,MATCH(C1093,[1]Detallado!$B:$B,0))</f>
        <v xml:space="preserve">Cementos Yura </v>
      </c>
      <c r="I1093" s="28"/>
      <c r="J1093" s="184" t="str">
        <f t="shared" si="33"/>
        <v>RFLBU</v>
      </c>
    </row>
    <row r="1094" spans="3:10" x14ac:dyDescent="0.25">
      <c r="C1094" s="28" t="s">
        <v>3671</v>
      </c>
      <c r="D1094" s="188" t="str">
        <f>+INDEX([1]Detallado!$F:$F,MATCH($C1094,[1]Detallado!$B:$B,0))</f>
        <v>Renta Fija</v>
      </c>
      <c r="E1094" s="31" t="str">
        <f>+INDEX([1]Detallado!$Q:$Q,MATCH($C1094,[1]Detallado!$B:$B,0))</f>
        <v>RFLC</v>
      </c>
      <c r="F1094" s="185" t="s">
        <v>4357</v>
      </c>
      <c r="G1094" s="186" t="str">
        <f t="shared" si="32"/>
        <v>22RFLC</v>
      </c>
      <c r="H1094" s="187" t="str">
        <f>+INDEX([1]Detallado!$D:$D,MATCH(C1094,[1]Detallado!$B:$B,0))</f>
        <v xml:space="preserve">Cementos Yura </v>
      </c>
      <c r="I1094" s="28"/>
      <c r="J1094" s="184" t="str">
        <f t="shared" si="33"/>
        <v>RFLBU</v>
      </c>
    </row>
    <row r="1095" spans="3:10" x14ac:dyDescent="0.25">
      <c r="C1095" s="28" t="s">
        <v>3672</v>
      </c>
      <c r="D1095" s="188" t="str">
        <f>+INDEX([1]Detallado!$F:$F,MATCH($C1095,[1]Detallado!$B:$B,0))</f>
        <v>Renta Fija</v>
      </c>
      <c r="E1095" s="31" t="str">
        <f>+INDEX([1]Detallado!$Q:$Q,MATCH($C1095,[1]Detallado!$B:$B,0))</f>
        <v>RFLC</v>
      </c>
      <c r="F1095" s="185" t="s">
        <v>4357</v>
      </c>
      <c r="G1095" s="186" t="str">
        <f t="shared" si="32"/>
        <v>22RFLC</v>
      </c>
      <c r="H1095" s="187" t="str">
        <f>+INDEX([1]Detallado!$D:$D,MATCH(C1095,[1]Detallado!$B:$B,0))</f>
        <v xml:space="preserve">Cementos Yura </v>
      </c>
      <c r="I1095" s="28"/>
      <c r="J1095" s="184" t="str">
        <f t="shared" si="33"/>
        <v>RFLBU</v>
      </c>
    </row>
    <row r="1096" spans="3:10" x14ac:dyDescent="0.25">
      <c r="C1096" s="28" t="s">
        <v>3673</v>
      </c>
      <c r="D1096" s="188" t="str">
        <f>+INDEX([1]Detallado!$F:$F,MATCH($C1096,[1]Detallado!$B:$B,0))</f>
        <v>Renta Fija</v>
      </c>
      <c r="E1096" s="31" t="str">
        <f>+INDEX([1]Detallado!$Q:$Q,MATCH($C1096,[1]Detallado!$B:$B,0))</f>
        <v>RFLC</v>
      </c>
      <c r="F1096" s="185" t="s">
        <v>4357</v>
      </c>
      <c r="G1096" s="186" t="str">
        <f t="shared" si="32"/>
        <v>22RFLC</v>
      </c>
      <c r="H1096" s="187" t="str">
        <f>+INDEX([1]Detallado!$D:$D,MATCH(C1096,[1]Detallado!$B:$B,0))</f>
        <v>Productos Tissue del Perú</v>
      </c>
      <c r="I1096" s="28"/>
      <c r="J1096" s="184" t="str">
        <f t="shared" si="33"/>
        <v>RFLBU</v>
      </c>
    </row>
    <row r="1097" spans="3:10" x14ac:dyDescent="0.25">
      <c r="C1097" s="28" t="s">
        <v>3674</v>
      </c>
      <c r="D1097" s="188" t="str">
        <f>+INDEX([1]Detallado!$F:$F,MATCH($C1097,[1]Detallado!$B:$B,0))</f>
        <v>Renta Fija</v>
      </c>
      <c r="E1097" s="31" t="str">
        <f>+INDEX([1]Detallado!$Q:$Q,MATCH($C1097,[1]Detallado!$B:$B,0))</f>
        <v>RFLC</v>
      </c>
      <c r="F1097" s="185" t="s">
        <v>4357</v>
      </c>
      <c r="G1097" s="186" t="str">
        <f t="shared" si="32"/>
        <v>22RFLC</v>
      </c>
      <c r="H1097" s="187" t="str">
        <f>+INDEX([1]Detallado!$D:$D,MATCH(C1097,[1]Detallado!$B:$B,0))</f>
        <v xml:space="preserve">Edegel </v>
      </c>
      <c r="I1097" s="28"/>
      <c r="J1097" s="184" t="str">
        <f t="shared" si="33"/>
        <v>RFLBU</v>
      </c>
    </row>
    <row r="1098" spans="3:10" x14ac:dyDescent="0.25">
      <c r="C1098" s="28" t="s">
        <v>3675</v>
      </c>
      <c r="D1098" s="188" t="str">
        <f>+INDEX([1]Detallado!$F:$F,MATCH($C1098,[1]Detallado!$B:$B,0))</f>
        <v>Renta Fija</v>
      </c>
      <c r="E1098" s="31" t="str">
        <f>+INDEX([1]Detallado!$Q:$Q,MATCH($C1098,[1]Detallado!$B:$B,0))</f>
        <v>RFLC</v>
      </c>
      <c r="F1098" s="185" t="s">
        <v>4357</v>
      </c>
      <c r="G1098" s="186" t="str">
        <f t="shared" ref="G1098:G1161" si="34">LEFT(C1098,2)&amp;E1098</f>
        <v>22RFLC</v>
      </c>
      <c r="H1098" s="187" t="str">
        <f>+INDEX([1]Detallado!$D:$D,MATCH(C1098,[1]Detallado!$B:$B,0))</f>
        <v xml:space="preserve">Edegel </v>
      </c>
      <c r="I1098" s="28"/>
      <c r="J1098" s="184" t="str">
        <f t="shared" ref="J1098:J1161" si="35">IF(E1098="ALT",LEFT(E1098,3),LEFT(E1098,3)&amp;F1098)</f>
        <v>RFLBU</v>
      </c>
    </row>
    <row r="1099" spans="3:10" x14ac:dyDescent="0.25">
      <c r="C1099" s="28" t="s">
        <v>3676</v>
      </c>
      <c r="D1099" s="188" t="str">
        <f>+INDEX([1]Detallado!$F:$F,MATCH($C1099,[1]Detallado!$B:$B,0))</f>
        <v>Renta Fija</v>
      </c>
      <c r="E1099" s="31" t="str">
        <f>+INDEX([1]Detallado!$Q:$Q,MATCH($C1099,[1]Detallado!$B:$B,0))</f>
        <v>RFLC</v>
      </c>
      <c r="F1099" s="185" t="s">
        <v>4357</v>
      </c>
      <c r="G1099" s="186" t="str">
        <f t="shared" si="34"/>
        <v>22RFLC</v>
      </c>
      <c r="H1099" s="187" t="str">
        <f>+INDEX([1]Detallado!$D:$D,MATCH(C1099,[1]Detallado!$B:$B,0))</f>
        <v xml:space="preserve">Edegel </v>
      </c>
      <c r="I1099" s="28"/>
      <c r="J1099" s="184" t="str">
        <f t="shared" si="35"/>
        <v>RFLBU</v>
      </c>
    </row>
    <row r="1100" spans="3:10" x14ac:dyDescent="0.25">
      <c r="C1100" s="28" t="s">
        <v>3677</v>
      </c>
      <c r="D1100" s="188" t="str">
        <f>+INDEX([1]Detallado!$F:$F,MATCH($C1100,[1]Detallado!$B:$B,0))</f>
        <v>Renta Fija</v>
      </c>
      <c r="E1100" s="31" t="str">
        <f>+INDEX([1]Detallado!$Q:$Q,MATCH($C1100,[1]Detallado!$B:$B,0))</f>
        <v>RFLC</v>
      </c>
      <c r="F1100" s="185" t="s">
        <v>4357</v>
      </c>
      <c r="G1100" s="186" t="str">
        <f t="shared" si="34"/>
        <v>22RFLC</v>
      </c>
      <c r="H1100" s="187" t="str">
        <f>+INDEX([1]Detallado!$D:$D,MATCH(C1100,[1]Detallado!$B:$B,0))</f>
        <v xml:space="preserve">Edegel </v>
      </c>
      <c r="I1100" s="28"/>
      <c r="J1100" s="184" t="str">
        <f t="shared" si="35"/>
        <v>RFLBU</v>
      </c>
    </row>
    <row r="1101" spans="3:10" x14ac:dyDescent="0.25">
      <c r="C1101" s="28" t="s">
        <v>311</v>
      </c>
      <c r="D1101" s="188" t="str">
        <f>+INDEX([1]Detallado!$F:$F,MATCH($C1101,[1]Detallado!$B:$B,0))</f>
        <v>Renta Fija</v>
      </c>
      <c r="E1101" s="31" t="str">
        <f>+INDEX([1]Detallado!$Q:$Q,MATCH($C1101,[1]Detallado!$B:$B,0))</f>
        <v>RFLC</v>
      </c>
      <c r="F1101" s="185" t="s">
        <v>4357</v>
      </c>
      <c r="G1101" s="186" t="str">
        <f t="shared" si="34"/>
        <v>22RFLC</v>
      </c>
      <c r="H1101" s="187" t="str">
        <f>+INDEX([1]Detallado!$D:$D,MATCH(C1101,[1]Detallado!$B:$B,0))</f>
        <v>Cementos Pacasmayo</v>
      </c>
      <c r="I1101" s="28"/>
      <c r="J1101" s="184" t="str">
        <f t="shared" si="35"/>
        <v>RFLBU</v>
      </c>
    </row>
    <row r="1102" spans="3:10" x14ac:dyDescent="0.25">
      <c r="C1102" s="28" t="s">
        <v>3678</v>
      </c>
      <c r="D1102" s="188" t="str">
        <f>+INDEX([1]Detallado!$F:$F,MATCH($C1102,[1]Detallado!$B:$B,0))</f>
        <v>Renta Fija</v>
      </c>
      <c r="E1102" s="31" t="str">
        <f>+INDEX([1]Detallado!$Q:$Q,MATCH($C1102,[1]Detallado!$B:$B,0))</f>
        <v>RFLC</v>
      </c>
      <c r="F1102" s="185" t="s">
        <v>4357</v>
      </c>
      <c r="G1102" s="186" t="str">
        <f t="shared" si="34"/>
        <v>22RFLC</v>
      </c>
      <c r="H1102" s="187" t="str">
        <f>+INDEX([1]Detallado!$D:$D,MATCH(C1102,[1]Detallado!$B:$B,0))</f>
        <v>Cementos Pacasmayo</v>
      </c>
      <c r="I1102" s="28"/>
      <c r="J1102" s="184" t="str">
        <f t="shared" si="35"/>
        <v>RFLBU</v>
      </c>
    </row>
    <row r="1103" spans="3:10" x14ac:dyDescent="0.25">
      <c r="C1103" s="28" t="s">
        <v>297</v>
      </c>
      <c r="D1103" s="188" t="str">
        <f>+INDEX([1]Detallado!$F:$F,MATCH($C1103,[1]Detallado!$B:$B,0))</f>
        <v>Renta Fija</v>
      </c>
      <c r="E1103" s="31" t="str">
        <f>+INDEX([1]Detallado!$Q:$Q,MATCH($C1103,[1]Detallado!$B:$B,0))</f>
        <v>RFLC</v>
      </c>
      <c r="F1103" s="185" t="s">
        <v>4357</v>
      </c>
      <c r="G1103" s="186" t="str">
        <f t="shared" si="34"/>
        <v>22RFLC</v>
      </c>
      <c r="H1103" s="187" t="str">
        <f>+INDEX([1]Detallado!$D:$D,MATCH(C1103,[1]Detallado!$B:$B,0))</f>
        <v>Tecsup</v>
      </c>
      <c r="I1103" s="28"/>
      <c r="J1103" s="184" t="str">
        <f t="shared" si="35"/>
        <v>RFLBU</v>
      </c>
    </row>
    <row r="1104" spans="3:10" x14ac:dyDescent="0.25">
      <c r="C1104" s="28" t="s">
        <v>3679</v>
      </c>
      <c r="D1104" s="188" t="str">
        <f>+INDEX([1]Detallado!$F:$F,MATCH($C1104,[1]Detallado!$B:$B,0))</f>
        <v>Renta Fija</v>
      </c>
      <c r="E1104" s="31" t="str">
        <f>+INDEX([1]Detallado!$Q:$Q,MATCH($C1104,[1]Detallado!$B:$B,0))</f>
        <v>RFLC</v>
      </c>
      <c r="F1104" s="185" t="s">
        <v>4357</v>
      </c>
      <c r="G1104" s="186" t="str">
        <f t="shared" si="34"/>
        <v>22RFLC</v>
      </c>
      <c r="H1104" s="187" t="str">
        <f>+INDEX([1]Detallado!$D:$D,MATCH(C1104,[1]Detallado!$B:$B,0))</f>
        <v xml:space="preserve">Red de Energía del Perú </v>
      </c>
      <c r="I1104" s="28"/>
      <c r="J1104" s="184" t="str">
        <f t="shared" si="35"/>
        <v>RFLBU</v>
      </c>
    </row>
    <row r="1105" spans="3:10" x14ac:dyDescent="0.25">
      <c r="C1105" s="28" t="s">
        <v>3680</v>
      </c>
      <c r="D1105" s="188" t="str">
        <f>+INDEX([1]Detallado!$F:$F,MATCH($C1105,[1]Detallado!$B:$B,0))</f>
        <v>Renta Fija</v>
      </c>
      <c r="E1105" s="31" t="str">
        <f>+INDEX([1]Detallado!$Q:$Q,MATCH($C1105,[1]Detallado!$B:$B,0))</f>
        <v>RFLC</v>
      </c>
      <c r="F1105" s="185" t="s">
        <v>4357</v>
      </c>
      <c r="G1105" s="186" t="str">
        <f t="shared" si="34"/>
        <v>22RFLC</v>
      </c>
      <c r="H1105" s="187" t="str">
        <f>+INDEX([1]Detallado!$D:$D,MATCH(C1105,[1]Detallado!$B:$B,0))</f>
        <v xml:space="preserve">Red de Energía del Perú </v>
      </c>
      <c r="I1105" s="28"/>
      <c r="J1105" s="184" t="str">
        <f t="shared" si="35"/>
        <v>RFLBU</v>
      </c>
    </row>
    <row r="1106" spans="3:10" x14ac:dyDescent="0.25">
      <c r="C1106" s="28" t="s">
        <v>3681</v>
      </c>
      <c r="D1106" s="188" t="str">
        <f>+INDEX([1]Detallado!$F:$F,MATCH($C1106,[1]Detallado!$B:$B,0))</f>
        <v>Renta Fija</v>
      </c>
      <c r="E1106" s="31" t="str">
        <f>+INDEX([1]Detallado!$Q:$Q,MATCH($C1106,[1]Detallado!$B:$B,0))</f>
        <v>RFLC</v>
      </c>
      <c r="F1106" s="185" t="s">
        <v>4357</v>
      </c>
      <c r="G1106" s="186" t="str">
        <f t="shared" si="34"/>
        <v>22RFLC</v>
      </c>
      <c r="H1106" s="187" t="str">
        <f>+INDEX([1]Detallado!$D:$D,MATCH(C1106,[1]Detallado!$B:$B,0))</f>
        <v xml:space="preserve">Energía del Sur </v>
      </c>
      <c r="I1106" s="28"/>
      <c r="J1106" s="184" t="str">
        <f t="shared" si="35"/>
        <v>RFLBU</v>
      </c>
    </row>
    <row r="1107" spans="3:10" x14ac:dyDescent="0.25">
      <c r="C1107" s="28" t="s">
        <v>3682</v>
      </c>
      <c r="D1107" s="188" t="str">
        <f>+INDEX([1]Detallado!$F:$F,MATCH($C1107,[1]Detallado!$B:$B,0))</f>
        <v>Renta Fija</v>
      </c>
      <c r="E1107" s="31" t="str">
        <f>+INDEX([1]Detallado!$Q:$Q,MATCH($C1107,[1]Detallado!$B:$B,0))</f>
        <v>RFLC</v>
      </c>
      <c r="F1107" s="185" t="s">
        <v>4357</v>
      </c>
      <c r="G1107" s="186" t="str">
        <f t="shared" si="34"/>
        <v>22RFLC</v>
      </c>
      <c r="H1107" s="187" t="str">
        <f>+INDEX([1]Detallado!$D:$D,MATCH(C1107,[1]Detallado!$B:$B,0))</f>
        <v xml:space="preserve">Energía del Sur </v>
      </c>
      <c r="I1107" s="28"/>
      <c r="J1107" s="184" t="str">
        <f t="shared" si="35"/>
        <v>RFLBU</v>
      </c>
    </row>
    <row r="1108" spans="3:10" x14ac:dyDescent="0.25">
      <c r="C1108" s="28" t="s">
        <v>3683</v>
      </c>
      <c r="D1108" s="188" t="str">
        <f>+INDEX([1]Detallado!$F:$F,MATCH($C1108,[1]Detallado!$B:$B,0))</f>
        <v>Renta Fija</v>
      </c>
      <c r="E1108" s="31" t="str">
        <f>+INDEX([1]Detallado!$Q:$Q,MATCH($C1108,[1]Detallado!$B:$B,0))</f>
        <v>RFLC</v>
      </c>
      <c r="F1108" s="185" t="s">
        <v>4357</v>
      </c>
      <c r="G1108" s="186" t="str">
        <f t="shared" si="34"/>
        <v>22RFLC</v>
      </c>
      <c r="H1108" s="187" t="str">
        <f>+INDEX([1]Detallado!$D:$D,MATCH(C1108,[1]Detallado!$B:$B,0))</f>
        <v xml:space="preserve">Energía del Sur </v>
      </c>
      <c r="I1108" s="28"/>
      <c r="J1108" s="184" t="str">
        <f t="shared" si="35"/>
        <v>RFLBU</v>
      </c>
    </row>
    <row r="1109" spans="3:10" x14ac:dyDescent="0.25">
      <c r="C1109" s="28" t="s">
        <v>3684</v>
      </c>
      <c r="D1109" s="188" t="str">
        <f>+INDEX([1]Detallado!$F:$F,MATCH($C1109,[1]Detallado!$B:$B,0))</f>
        <v>Renta Fija</v>
      </c>
      <c r="E1109" s="31" t="str">
        <f>+INDEX([1]Detallado!$Q:$Q,MATCH($C1109,[1]Detallado!$B:$B,0))</f>
        <v>RFLC</v>
      </c>
      <c r="F1109" s="185" t="s">
        <v>4357</v>
      </c>
      <c r="G1109" s="186" t="str">
        <f t="shared" si="34"/>
        <v>22RFLC</v>
      </c>
      <c r="H1109" s="187" t="str">
        <f>+INDEX([1]Detallado!$D:$D,MATCH(C1109,[1]Detallado!$B:$B,0))</f>
        <v xml:space="preserve">Energía del Sur </v>
      </c>
      <c r="I1109" s="28"/>
      <c r="J1109" s="184" t="str">
        <f t="shared" si="35"/>
        <v>RFLBU</v>
      </c>
    </row>
    <row r="1110" spans="3:10" x14ac:dyDescent="0.25">
      <c r="C1110" s="28" t="s">
        <v>3685</v>
      </c>
      <c r="D1110" s="188" t="str">
        <f>+INDEX([1]Detallado!$F:$F,MATCH($C1110,[1]Detallado!$B:$B,0))</f>
        <v>Renta Fija</v>
      </c>
      <c r="E1110" s="31" t="str">
        <f>+INDEX([1]Detallado!$Q:$Q,MATCH($C1110,[1]Detallado!$B:$B,0))</f>
        <v>RFLC</v>
      </c>
      <c r="F1110" s="185" t="s">
        <v>4357</v>
      </c>
      <c r="G1110" s="186" t="str">
        <f t="shared" si="34"/>
        <v>22RFLC</v>
      </c>
      <c r="H1110" s="187" t="str">
        <f>+INDEX([1]Detallado!$D:$D,MATCH(C1110,[1]Detallado!$B:$B,0))</f>
        <v xml:space="preserve">Energía del Sur </v>
      </c>
      <c r="I1110" s="28"/>
      <c r="J1110" s="184" t="str">
        <f t="shared" si="35"/>
        <v>RFLBU</v>
      </c>
    </row>
    <row r="1111" spans="3:10" x14ac:dyDescent="0.25">
      <c r="C1111" s="28" t="s">
        <v>339</v>
      </c>
      <c r="D1111" s="188" t="str">
        <f>+INDEX([1]Detallado!$F:$F,MATCH($C1111,[1]Detallado!$B:$B,0))</f>
        <v>Renta Fija</v>
      </c>
      <c r="E1111" s="31" t="str">
        <f>+INDEX([1]Detallado!$Q:$Q,MATCH($C1111,[1]Detallado!$B:$B,0))</f>
        <v>RFLC</v>
      </c>
      <c r="F1111" s="185" t="s">
        <v>4357</v>
      </c>
      <c r="G1111" s="186" t="str">
        <f t="shared" si="34"/>
        <v>22RFLC</v>
      </c>
      <c r="H1111" s="187" t="str">
        <f>+INDEX([1]Detallado!$D:$D,MATCH(C1111,[1]Detallado!$B:$B,0))</f>
        <v xml:space="preserve">Energía del Sur </v>
      </c>
      <c r="I1111" s="28"/>
      <c r="J1111" s="184" t="str">
        <f t="shared" si="35"/>
        <v>RFLBU</v>
      </c>
    </row>
    <row r="1112" spans="3:10" x14ac:dyDescent="0.25">
      <c r="C1112" s="28" t="s">
        <v>3686</v>
      </c>
      <c r="D1112" s="188" t="str">
        <f>+INDEX([1]Detallado!$F:$F,MATCH($C1112,[1]Detallado!$B:$B,0))</f>
        <v>Renta Fija</v>
      </c>
      <c r="E1112" s="31" t="str">
        <f>+INDEX([1]Detallado!$Q:$Q,MATCH($C1112,[1]Detallado!$B:$B,0))</f>
        <v>RFLC</v>
      </c>
      <c r="F1112" s="185" t="s">
        <v>4357</v>
      </c>
      <c r="G1112" s="186" t="str">
        <f t="shared" si="34"/>
        <v>22RFLC</v>
      </c>
      <c r="H1112" s="187" t="str">
        <f>+INDEX([1]Detallado!$D:$D,MATCH(C1112,[1]Detallado!$B:$B,0))</f>
        <v xml:space="preserve">Supermercados Peruanos </v>
      </c>
      <c r="I1112" s="28"/>
      <c r="J1112" s="184" t="str">
        <f t="shared" si="35"/>
        <v>RFLBU</v>
      </c>
    </row>
    <row r="1113" spans="3:10" x14ac:dyDescent="0.25">
      <c r="C1113" s="28" t="s">
        <v>3687</v>
      </c>
      <c r="D1113" s="188" t="str">
        <f>+INDEX([1]Detallado!$F:$F,MATCH($C1113,[1]Detallado!$B:$B,0))</f>
        <v>Renta Fija</v>
      </c>
      <c r="E1113" s="31" t="str">
        <f>+INDEX([1]Detallado!$Q:$Q,MATCH($C1113,[1]Detallado!$B:$B,0))</f>
        <v>RFLC</v>
      </c>
      <c r="F1113" s="185" t="s">
        <v>4357</v>
      </c>
      <c r="G1113" s="186" t="str">
        <f t="shared" si="34"/>
        <v>22RFLC</v>
      </c>
      <c r="H1113" s="187" t="str">
        <f>+INDEX([1]Detallado!$D:$D,MATCH(C1113,[1]Detallado!$B:$B,0))</f>
        <v xml:space="preserve">Supermercados Peruanos </v>
      </c>
      <c r="I1113" s="28"/>
      <c r="J1113" s="184" t="str">
        <f t="shared" si="35"/>
        <v>RFLBU</v>
      </c>
    </row>
    <row r="1114" spans="3:10" x14ac:dyDescent="0.25">
      <c r="C1114" s="28" t="s">
        <v>3688</v>
      </c>
      <c r="D1114" s="188" t="str">
        <f>+INDEX([1]Detallado!$F:$F,MATCH($C1114,[1]Detallado!$B:$B,0))</f>
        <v>Renta Fija</v>
      </c>
      <c r="E1114" s="31" t="str">
        <f>+INDEX([1]Detallado!$Q:$Q,MATCH($C1114,[1]Detallado!$B:$B,0))</f>
        <v>RFLC</v>
      </c>
      <c r="F1114" s="185" t="s">
        <v>4357</v>
      </c>
      <c r="G1114" s="186" t="str">
        <f t="shared" si="34"/>
        <v>22RFLC</v>
      </c>
      <c r="H1114" s="187" t="str">
        <f>+INDEX([1]Detallado!$D:$D,MATCH(C1114,[1]Detallado!$B:$B,0))</f>
        <v xml:space="preserve">Supermercados Peruanos </v>
      </c>
      <c r="I1114" s="28"/>
      <c r="J1114" s="184" t="str">
        <f t="shared" si="35"/>
        <v>RFLBU</v>
      </c>
    </row>
    <row r="1115" spans="3:10" x14ac:dyDescent="0.25">
      <c r="C1115" s="28" t="s">
        <v>3689</v>
      </c>
      <c r="D1115" s="188" t="str">
        <f>+INDEX([1]Detallado!$F:$F,MATCH($C1115,[1]Detallado!$B:$B,0))</f>
        <v>Renta Fija</v>
      </c>
      <c r="E1115" s="31" t="str">
        <f>+INDEX([1]Detallado!$Q:$Q,MATCH($C1115,[1]Detallado!$B:$B,0))</f>
        <v>RFLC</v>
      </c>
      <c r="F1115" s="185" t="s">
        <v>4357</v>
      </c>
      <c r="G1115" s="186" t="str">
        <f t="shared" si="34"/>
        <v>22RFLC</v>
      </c>
      <c r="H1115" s="187" t="str">
        <f>+INDEX([1]Detallado!$D:$D,MATCH(C1115,[1]Detallado!$B:$B,0))</f>
        <v xml:space="preserve">Saga Falabella </v>
      </c>
      <c r="I1115" s="28"/>
      <c r="J1115" s="184" t="str">
        <f t="shared" si="35"/>
        <v>RFLBU</v>
      </c>
    </row>
    <row r="1116" spans="3:10" x14ac:dyDescent="0.25">
      <c r="C1116" s="28" t="s">
        <v>3690</v>
      </c>
      <c r="D1116" s="188" t="str">
        <f>+INDEX([1]Detallado!$F:$F,MATCH($C1116,[1]Detallado!$B:$B,0))</f>
        <v>Renta Fija</v>
      </c>
      <c r="E1116" s="31" t="str">
        <f>+INDEX([1]Detallado!$Q:$Q,MATCH($C1116,[1]Detallado!$B:$B,0))</f>
        <v>RFLC</v>
      </c>
      <c r="F1116" s="185" t="s">
        <v>4357</v>
      </c>
      <c r="G1116" s="186" t="str">
        <f t="shared" si="34"/>
        <v>22RFLC</v>
      </c>
      <c r="H1116" s="187" t="str">
        <f>+INDEX([1]Detallado!$D:$D,MATCH(C1116,[1]Detallado!$B:$B,0))</f>
        <v>Sab Miller PLC-Perú</v>
      </c>
      <c r="I1116" s="28"/>
      <c r="J1116" s="184" t="str">
        <f t="shared" si="35"/>
        <v>RFLBU</v>
      </c>
    </row>
    <row r="1117" spans="3:10" x14ac:dyDescent="0.25">
      <c r="C1117" s="28" t="s">
        <v>3691</v>
      </c>
      <c r="D1117" s="188" t="str">
        <f>+INDEX([1]Detallado!$F:$F,MATCH($C1117,[1]Detallado!$B:$B,0))</f>
        <v>Renta Fija</v>
      </c>
      <c r="E1117" s="31" t="str">
        <f>+INDEX([1]Detallado!$Q:$Q,MATCH($C1117,[1]Detallado!$B:$B,0))</f>
        <v>RFLC</v>
      </c>
      <c r="F1117" s="185" t="s">
        <v>4357</v>
      </c>
      <c r="G1117" s="186" t="str">
        <f t="shared" si="34"/>
        <v>22RFLC</v>
      </c>
      <c r="H1117" s="187" t="str">
        <f>+INDEX([1]Detallado!$D:$D,MATCH(C1117,[1]Detallado!$B:$B,0))</f>
        <v xml:space="preserve">Saga Falabella </v>
      </c>
      <c r="I1117" s="28"/>
      <c r="J1117" s="184" t="str">
        <f t="shared" si="35"/>
        <v>RFLBU</v>
      </c>
    </row>
    <row r="1118" spans="3:10" x14ac:dyDescent="0.25">
      <c r="C1118" s="28" t="s">
        <v>3692</v>
      </c>
      <c r="D1118" s="188" t="str">
        <f>+INDEX([1]Detallado!$F:$F,MATCH($C1118,[1]Detallado!$B:$B,0))</f>
        <v>Renta Fija</v>
      </c>
      <c r="E1118" s="31" t="str">
        <f>+INDEX([1]Detallado!$Q:$Q,MATCH($C1118,[1]Detallado!$B:$B,0))</f>
        <v>RFLC</v>
      </c>
      <c r="F1118" s="185" t="s">
        <v>4357</v>
      </c>
      <c r="G1118" s="186" t="str">
        <f t="shared" si="34"/>
        <v>22RFLC</v>
      </c>
      <c r="H1118" s="187" t="str">
        <f>+INDEX([1]Detallado!$D:$D,MATCH(C1118,[1]Detallado!$B:$B,0))</f>
        <v xml:space="preserve">Saga Falabella </v>
      </c>
      <c r="I1118" s="28"/>
      <c r="J1118" s="184" t="str">
        <f t="shared" si="35"/>
        <v>RFLBU</v>
      </c>
    </row>
    <row r="1119" spans="3:10" x14ac:dyDescent="0.25">
      <c r="C1119" s="28" t="s">
        <v>3693</v>
      </c>
      <c r="D1119" s="188" t="str">
        <f>+INDEX([1]Detallado!$F:$F,MATCH($C1119,[1]Detallado!$B:$B,0))</f>
        <v>Renta Fija</v>
      </c>
      <c r="E1119" s="31" t="str">
        <f>+INDEX([1]Detallado!$Q:$Q,MATCH($C1119,[1]Detallado!$B:$B,0))</f>
        <v>RFLC</v>
      </c>
      <c r="F1119" s="185" t="s">
        <v>4357</v>
      </c>
      <c r="G1119" s="186" t="str">
        <f t="shared" si="34"/>
        <v>22RFLC</v>
      </c>
      <c r="H1119" s="187" t="str">
        <f>+INDEX([1]Detallado!$D:$D,MATCH(C1119,[1]Detallado!$B:$B,0))</f>
        <v xml:space="preserve">Saga Falabella </v>
      </c>
      <c r="I1119" s="28"/>
      <c r="J1119" s="184" t="str">
        <f t="shared" si="35"/>
        <v>RFLBU</v>
      </c>
    </row>
    <row r="1120" spans="3:10" x14ac:dyDescent="0.25">
      <c r="C1120" s="28" t="s">
        <v>3694</v>
      </c>
      <c r="D1120" s="188" t="str">
        <f>+INDEX([1]Detallado!$F:$F,MATCH($C1120,[1]Detallado!$B:$B,0))</f>
        <v>Renta Fija</v>
      </c>
      <c r="E1120" s="31" t="str">
        <f>+INDEX([1]Detallado!$Q:$Q,MATCH($C1120,[1]Detallado!$B:$B,0))</f>
        <v>RFLC</v>
      </c>
      <c r="F1120" s="185" t="s">
        <v>4357</v>
      </c>
      <c r="G1120" s="186" t="str">
        <f t="shared" si="34"/>
        <v>22RFLC</v>
      </c>
      <c r="H1120" s="187" t="str">
        <f>+INDEX([1]Detallado!$D:$D,MATCH(C1120,[1]Detallado!$B:$B,0))</f>
        <v xml:space="preserve">Saga Falabella </v>
      </c>
      <c r="I1120" s="28"/>
      <c r="J1120" s="184" t="str">
        <f t="shared" si="35"/>
        <v>RFLBU</v>
      </c>
    </row>
    <row r="1121" spans="3:10" x14ac:dyDescent="0.25">
      <c r="C1121" s="28" t="s">
        <v>3695</v>
      </c>
      <c r="D1121" s="188" t="str">
        <f>+INDEX([1]Detallado!$F:$F,MATCH($C1121,[1]Detallado!$B:$B,0))</f>
        <v>Renta Fija</v>
      </c>
      <c r="E1121" s="31" t="str">
        <f>+INDEX([1]Detallado!$Q:$Q,MATCH($C1121,[1]Detallado!$B:$B,0))</f>
        <v>RFLC</v>
      </c>
      <c r="F1121" s="185" t="s">
        <v>4357</v>
      </c>
      <c r="G1121" s="186" t="str">
        <f t="shared" si="34"/>
        <v>22RFLC</v>
      </c>
      <c r="H1121" s="187" t="str">
        <f>+INDEX([1]Detallado!$D:$D,MATCH(C1121,[1]Detallado!$B:$B,0))</f>
        <v xml:space="preserve">Palmas del Espino </v>
      </c>
      <c r="I1121" s="28"/>
      <c r="J1121" s="184" t="str">
        <f t="shared" si="35"/>
        <v>RFLBU</v>
      </c>
    </row>
    <row r="1122" spans="3:10" x14ac:dyDescent="0.25">
      <c r="C1122" s="28" t="s">
        <v>3696</v>
      </c>
      <c r="D1122" s="188" t="str">
        <f>+INDEX([1]Detallado!$F:$F,MATCH($C1122,[1]Detallado!$B:$B,0))</f>
        <v>Renta Fija</v>
      </c>
      <c r="E1122" s="31" t="str">
        <f>+INDEX([1]Detallado!$Q:$Q,MATCH($C1122,[1]Detallado!$B:$B,0))</f>
        <v>RFLC</v>
      </c>
      <c r="F1122" s="185" t="s">
        <v>4357</v>
      </c>
      <c r="G1122" s="186" t="str">
        <f t="shared" si="34"/>
        <v>22RFLC</v>
      </c>
      <c r="H1122" s="187" t="str">
        <f>+INDEX([1]Detallado!$D:$D,MATCH(C1122,[1]Detallado!$B:$B,0))</f>
        <v>Pacifico S.A. Entidad Prestadora de Salud</v>
      </c>
      <c r="I1122" s="28"/>
      <c r="J1122" s="184" t="str">
        <f t="shared" si="35"/>
        <v>RFLBU</v>
      </c>
    </row>
    <row r="1123" spans="3:10" x14ac:dyDescent="0.25">
      <c r="C1123" s="28" t="s">
        <v>3697</v>
      </c>
      <c r="D1123" s="188" t="str">
        <f>+INDEX([1]Detallado!$F:$F,MATCH($C1123,[1]Detallado!$B:$B,0))</f>
        <v>Renta Fija</v>
      </c>
      <c r="E1123" s="31" t="str">
        <f>+INDEX([1]Detallado!$Q:$Q,MATCH($C1123,[1]Detallado!$B:$B,0))</f>
        <v>RFLC</v>
      </c>
      <c r="F1123" s="185" t="s">
        <v>4357</v>
      </c>
      <c r="G1123" s="186" t="str">
        <f t="shared" si="34"/>
        <v>22RFLC</v>
      </c>
      <c r="H1123" s="187" t="str">
        <f>+INDEX([1]Detallado!$D:$D,MATCH(C1123,[1]Detallado!$B:$B,0))</f>
        <v xml:space="preserve">Palmas del Espino </v>
      </c>
      <c r="I1123" s="28"/>
      <c r="J1123" s="184" t="str">
        <f t="shared" si="35"/>
        <v>RFLBU</v>
      </c>
    </row>
    <row r="1124" spans="3:10" x14ac:dyDescent="0.25">
      <c r="C1124" s="28" t="s">
        <v>3698</v>
      </c>
      <c r="D1124" s="188" t="str">
        <f>+INDEX([1]Detallado!$F:$F,MATCH($C1124,[1]Detallado!$B:$B,0))</f>
        <v>Renta Fija</v>
      </c>
      <c r="E1124" s="31" t="str">
        <f>+INDEX([1]Detallado!$Q:$Q,MATCH($C1124,[1]Detallado!$B:$B,0))</f>
        <v>RFLC</v>
      </c>
      <c r="F1124" s="185" t="s">
        <v>4357</v>
      </c>
      <c r="G1124" s="186" t="str">
        <f t="shared" si="34"/>
        <v>22RFLC</v>
      </c>
      <c r="H1124" s="187" t="str">
        <f>+INDEX([1]Detallado!$D:$D,MATCH(C1124,[1]Detallado!$B:$B,0))</f>
        <v xml:space="preserve">Palmas del Espino </v>
      </c>
      <c r="I1124" s="28"/>
      <c r="J1124" s="184" t="str">
        <f t="shared" si="35"/>
        <v>RFLBU</v>
      </c>
    </row>
    <row r="1125" spans="3:10" x14ac:dyDescent="0.25">
      <c r="C1125" s="28" t="s">
        <v>3699</v>
      </c>
      <c r="D1125" s="188" t="str">
        <f>+INDEX([1]Detallado!$F:$F,MATCH($C1125,[1]Detallado!$B:$B,0))</f>
        <v>Renta Fija</v>
      </c>
      <c r="E1125" s="31" t="str">
        <f>+INDEX([1]Detallado!$Q:$Q,MATCH($C1125,[1]Detallado!$B:$B,0))</f>
        <v>RFLC</v>
      </c>
      <c r="F1125" s="185" t="s">
        <v>4357</v>
      </c>
      <c r="G1125" s="186" t="str">
        <f t="shared" si="34"/>
        <v>22RFLC</v>
      </c>
      <c r="H1125" s="187" t="str">
        <f>+INDEX([1]Detallado!$D:$D,MATCH(C1125,[1]Detallado!$B:$B,0))</f>
        <v>Corporación J.R. Lindley</v>
      </c>
      <c r="I1125" s="28"/>
      <c r="J1125" s="184" t="str">
        <f t="shared" si="35"/>
        <v>RFLBU</v>
      </c>
    </row>
    <row r="1126" spans="3:10" x14ac:dyDescent="0.25">
      <c r="C1126" s="28" t="s">
        <v>3700</v>
      </c>
      <c r="D1126" s="188" t="str">
        <f>+INDEX([1]Detallado!$F:$F,MATCH($C1126,[1]Detallado!$B:$B,0))</f>
        <v>Renta Fija</v>
      </c>
      <c r="E1126" s="31" t="str">
        <f>+INDEX([1]Detallado!$Q:$Q,MATCH($C1126,[1]Detallado!$B:$B,0))</f>
        <v>RFLC</v>
      </c>
      <c r="F1126" s="185" t="s">
        <v>4357</v>
      </c>
      <c r="G1126" s="186" t="str">
        <f t="shared" si="34"/>
        <v>22RFLC</v>
      </c>
      <c r="H1126" s="187" t="str">
        <f>+INDEX([1]Detallado!$D:$D,MATCH(C1126,[1]Detallado!$B:$B,0))</f>
        <v>Inmuebles</v>
      </c>
      <c r="I1126" s="28"/>
      <c r="J1126" s="184" t="str">
        <f t="shared" si="35"/>
        <v>RFLBU</v>
      </c>
    </row>
    <row r="1127" spans="3:10" x14ac:dyDescent="0.25">
      <c r="C1127" s="28" t="s">
        <v>3701</v>
      </c>
      <c r="D1127" s="188" t="str">
        <f>+INDEX([1]Detallado!$F:$F,MATCH($C1127,[1]Detallado!$B:$B,0))</f>
        <v>Renta Fija</v>
      </c>
      <c r="E1127" s="31" t="str">
        <f>+INDEX([1]Detallado!$Q:$Q,MATCH($C1127,[1]Detallado!$B:$B,0))</f>
        <v>RFLC</v>
      </c>
      <c r="F1127" s="185" t="s">
        <v>4357</v>
      </c>
      <c r="G1127" s="186" t="str">
        <f t="shared" si="34"/>
        <v>22RFLC</v>
      </c>
      <c r="H1127" s="187" t="str">
        <f>+INDEX([1]Detallado!$D:$D,MATCH(C1127,[1]Detallado!$B:$B,0))</f>
        <v>Chinango</v>
      </c>
      <c r="I1127" s="28"/>
      <c r="J1127" s="184" t="str">
        <f t="shared" si="35"/>
        <v>RFLBU</v>
      </c>
    </row>
    <row r="1128" spans="3:10" x14ac:dyDescent="0.25">
      <c r="C1128" s="28" t="s">
        <v>3702</v>
      </c>
      <c r="D1128" s="188" t="str">
        <f>+INDEX([1]Detallado!$F:$F,MATCH($C1128,[1]Detallado!$B:$B,0))</f>
        <v>Renta Fija</v>
      </c>
      <c r="E1128" s="31" t="str">
        <f>+INDEX([1]Detallado!$Q:$Q,MATCH($C1128,[1]Detallado!$B:$B,0))</f>
        <v>RFLC</v>
      </c>
      <c r="F1128" s="185" t="s">
        <v>4357</v>
      </c>
      <c r="G1128" s="186" t="str">
        <f t="shared" si="34"/>
        <v>22RFLC</v>
      </c>
      <c r="H1128" s="187" t="str">
        <f>+INDEX([1]Detallado!$D:$D,MATCH(C1128,[1]Detallado!$B:$B,0))</f>
        <v>Chinango</v>
      </c>
      <c r="I1128" s="28"/>
      <c r="J1128" s="184" t="str">
        <f t="shared" si="35"/>
        <v>RFLBU</v>
      </c>
    </row>
    <row r="1129" spans="3:10" x14ac:dyDescent="0.25">
      <c r="C1129" s="28" t="s">
        <v>3703</v>
      </c>
      <c r="D1129" s="188" t="str">
        <f>+INDEX([1]Detallado!$F:$F,MATCH($C1129,[1]Detallado!$B:$B,0))</f>
        <v>Renta Fija</v>
      </c>
      <c r="E1129" s="31" t="str">
        <f>+INDEX([1]Detallado!$Q:$Q,MATCH($C1129,[1]Detallado!$B:$B,0))</f>
        <v>RFLC</v>
      </c>
      <c r="F1129" s="185" t="s">
        <v>4357</v>
      </c>
      <c r="G1129" s="186" t="str">
        <f t="shared" si="34"/>
        <v>22RFLC</v>
      </c>
      <c r="H1129" s="187" t="str">
        <f>+INDEX([1]Detallado!$D:$D,MATCH(C1129,[1]Detallado!$B:$B,0))</f>
        <v>Corporación Azucarera del Perú S.A.</v>
      </c>
      <c r="I1129" s="28"/>
      <c r="J1129" s="184" t="str">
        <f t="shared" si="35"/>
        <v>RFLBU</v>
      </c>
    </row>
    <row r="1130" spans="3:10" x14ac:dyDescent="0.25">
      <c r="C1130" s="28" t="s">
        <v>3704</v>
      </c>
      <c r="D1130" s="188" t="str">
        <f>+INDEX([1]Detallado!$F:$F,MATCH($C1130,[1]Detallado!$B:$B,0))</f>
        <v>Renta Fija</v>
      </c>
      <c r="E1130" s="31" t="str">
        <f>+INDEX([1]Detallado!$Q:$Q,MATCH($C1130,[1]Detallado!$B:$B,0))</f>
        <v>RFLC</v>
      </c>
      <c r="F1130" s="185" t="s">
        <v>4357</v>
      </c>
      <c r="G1130" s="186" t="str">
        <f t="shared" si="34"/>
        <v>22RFLC</v>
      </c>
      <c r="H1130" s="187" t="str">
        <f>+INDEX([1]Detallado!$D:$D,MATCH(C1130,[1]Detallado!$B:$B,0))</f>
        <v>Cineplex</v>
      </c>
      <c r="I1130" s="28"/>
      <c r="J1130" s="184" t="str">
        <f t="shared" si="35"/>
        <v>RFLBU</v>
      </c>
    </row>
    <row r="1131" spans="3:10" x14ac:dyDescent="0.25">
      <c r="C1131" s="28" t="s">
        <v>3705</v>
      </c>
      <c r="D1131" s="188" t="str">
        <f>+INDEX([1]Detallado!$F:$F,MATCH($C1131,[1]Detallado!$B:$B,0))</f>
        <v>Renta Fija</v>
      </c>
      <c r="E1131" s="31" t="str">
        <f>+INDEX([1]Detallado!$Q:$Q,MATCH($C1131,[1]Detallado!$B:$B,0))</f>
        <v>RFLC</v>
      </c>
      <c r="F1131" s="185" t="s">
        <v>4357</v>
      </c>
      <c r="G1131" s="186" t="str">
        <f t="shared" si="34"/>
        <v>22RFLC</v>
      </c>
      <c r="H1131" s="187" t="str">
        <f>+INDEX([1]Detallado!$D:$D,MATCH(C1131,[1]Detallado!$B:$B,0))</f>
        <v>Cineplex</v>
      </c>
      <c r="I1131" s="28"/>
      <c r="J1131" s="184" t="str">
        <f t="shared" si="35"/>
        <v>RFLBU</v>
      </c>
    </row>
    <row r="1132" spans="3:10" x14ac:dyDescent="0.25">
      <c r="C1132" s="28" t="s">
        <v>3706</v>
      </c>
      <c r="D1132" s="188" t="str">
        <f>+INDEX([1]Detallado!$F:$F,MATCH($C1132,[1]Detallado!$B:$B,0))</f>
        <v>Renta Fija</v>
      </c>
      <c r="E1132" s="31" t="str">
        <f>+INDEX([1]Detallado!$Q:$Q,MATCH($C1132,[1]Detallado!$B:$B,0))</f>
        <v>RFLC</v>
      </c>
      <c r="F1132" s="185" t="s">
        <v>4357</v>
      </c>
      <c r="G1132" s="186" t="str">
        <f t="shared" si="34"/>
        <v>22RFLC</v>
      </c>
      <c r="H1132" s="187" t="str">
        <f>+INDEX([1]Detallado!$D:$D,MATCH(C1132,[1]Detallado!$B:$B,0))</f>
        <v>IICGSA</v>
      </c>
      <c r="I1132" s="28"/>
      <c r="J1132" s="184" t="str">
        <f t="shared" si="35"/>
        <v>RFLBU</v>
      </c>
    </row>
    <row r="1133" spans="3:10" x14ac:dyDescent="0.25">
      <c r="C1133" s="28" t="s">
        <v>3707</v>
      </c>
      <c r="D1133" s="188" t="str">
        <f>+INDEX([1]Detallado!$F:$F,MATCH($C1133,[1]Detallado!$B:$B,0))</f>
        <v>Renta Fija</v>
      </c>
      <c r="E1133" s="31" t="str">
        <f>+INDEX([1]Detallado!$Q:$Q,MATCH($C1133,[1]Detallado!$B:$B,0))</f>
        <v>RFLC</v>
      </c>
      <c r="F1133" s="185" t="s">
        <v>4357</v>
      </c>
      <c r="G1133" s="186" t="str">
        <f t="shared" si="34"/>
        <v>22RFLC</v>
      </c>
      <c r="H1133" s="187" t="str">
        <f>+INDEX([1]Detallado!$D:$D,MATCH(C1133,[1]Detallado!$B:$B,0))</f>
        <v>Norvial</v>
      </c>
      <c r="I1133" s="28"/>
      <c r="J1133" s="184" t="str">
        <f t="shared" si="35"/>
        <v>RFLBU</v>
      </c>
    </row>
    <row r="1134" spans="3:10" x14ac:dyDescent="0.25">
      <c r="C1134" s="28" t="s">
        <v>261</v>
      </c>
      <c r="D1134" s="188" t="str">
        <f>+INDEX([1]Detallado!$F:$F,MATCH($C1134,[1]Detallado!$B:$B,0))</f>
        <v>Renta Fija</v>
      </c>
      <c r="E1134" s="31" t="str">
        <f>+INDEX([1]Detallado!$Q:$Q,MATCH($C1134,[1]Detallado!$B:$B,0))</f>
        <v>RFLC</v>
      </c>
      <c r="F1134" s="185" t="s">
        <v>4357</v>
      </c>
      <c r="G1134" s="186" t="str">
        <f t="shared" si="34"/>
        <v>22RFLC</v>
      </c>
      <c r="H1134" s="187" t="str">
        <f>+INDEX([1]Detallado!$D:$D,MATCH(C1134,[1]Detallado!$B:$B,0))</f>
        <v>Norvial</v>
      </c>
      <c r="I1134" s="28"/>
      <c r="J1134" s="184" t="str">
        <f t="shared" si="35"/>
        <v>RFLBU</v>
      </c>
    </row>
    <row r="1135" spans="3:10" x14ac:dyDescent="0.25">
      <c r="C1135" s="28" t="s">
        <v>3708</v>
      </c>
      <c r="D1135" s="188" t="str">
        <f>+INDEX([1]Detallado!$F:$F,MATCH($C1135,[1]Detallado!$B:$B,0))</f>
        <v>Renta Fija</v>
      </c>
      <c r="E1135" s="31" t="str">
        <f>+INDEX([1]Detallado!$Q:$Q,MATCH($C1135,[1]Detallado!$B:$B,0))</f>
        <v>RFLC</v>
      </c>
      <c r="F1135" s="185" t="s">
        <v>4357</v>
      </c>
      <c r="G1135" s="186" t="str">
        <f t="shared" si="34"/>
        <v>22RFLC</v>
      </c>
      <c r="H1135" s="187" t="str">
        <f>+INDEX([1]Detallado!$D:$D,MATCH(C1135,[1]Detallado!$B:$B,0))</f>
        <v>Falabella Perú</v>
      </c>
      <c r="I1135" s="28"/>
      <c r="J1135" s="184" t="str">
        <f t="shared" si="35"/>
        <v>RFLBU</v>
      </c>
    </row>
    <row r="1136" spans="3:10" x14ac:dyDescent="0.25">
      <c r="C1136" s="28" t="s">
        <v>3709</v>
      </c>
      <c r="D1136" s="188" t="str">
        <f>+INDEX([1]Detallado!$F:$F,MATCH($C1136,[1]Detallado!$B:$B,0))</f>
        <v>Renta Fija</v>
      </c>
      <c r="E1136" s="31" t="str">
        <f>+INDEX([1]Detallado!$Q:$Q,MATCH($C1136,[1]Detallado!$B:$B,0))</f>
        <v>RFLC</v>
      </c>
      <c r="F1136" s="185" t="s">
        <v>4357</v>
      </c>
      <c r="G1136" s="186" t="str">
        <f t="shared" si="34"/>
        <v>22RFLC</v>
      </c>
      <c r="H1136" s="187" t="str">
        <f>+INDEX([1]Detallado!$D:$D,MATCH(C1136,[1]Detallado!$B:$B,0))</f>
        <v>Falabella Perú</v>
      </c>
      <c r="I1136" s="28"/>
      <c r="J1136" s="184" t="str">
        <f t="shared" si="35"/>
        <v>RFLBU</v>
      </c>
    </row>
    <row r="1137" spans="3:10" x14ac:dyDescent="0.25">
      <c r="C1137" s="28" t="s">
        <v>3710</v>
      </c>
      <c r="D1137" s="188" t="str">
        <f>+INDEX([1]Detallado!$F:$F,MATCH($C1137,[1]Detallado!$B:$B,0))</f>
        <v>Renta Fija</v>
      </c>
      <c r="E1137" s="31" t="str">
        <f>+INDEX([1]Detallado!$Q:$Q,MATCH($C1137,[1]Detallado!$B:$B,0))</f>
        <v>RFLC</v>
      </c>
      <c r="F1137" s="185" t="s">
        <v>4357</v>
      </c>
      <c r="G1137" s="186" t="str">
        <f t="shared" si="34"/>
        <v>22RFLC</v>
      </c>
      <c r="H1137" s="187" t="str">
        <f>+INDEX([1]Detallado!$D:$D,MATCH(C1137,[1]Detallado!$B:$B,0))</f>
        <v>Falabella Perú</v>
      </c>
      <c r="I1137" s="28"/>
      <c r="J1137" s="184" t="str">
        <f t="shared" si="35"/>
        <v>RFLBU</v>
      </c>
    </row>
    <row r="1138" spans="3:10" x14ac:dyDescent="0.25">
      <c r="C1138" s="28" t="s">
        <v>3711</v>
      </c>
      <c r="D1138" s="188" t="str">
        <f>+INDEX([1]Detallado!$F:$F,MATCH($C1138,[1]Detallado!$B:$B,0))</f>
        <v>Renta Fija</v>
      </c>
      <c r="E1138" s="31" t="str">
        <f>+INDEX([1]Detallado!$Q:$Q,MATCH($C1138,[1]Detallado!$B:$B,0))</f>
        <v>RFLC</v>
      </c>
      <c r="F1138" s="185" t="s">
        <v>4357</v>
      </c>
      <c r="G1138" s="186" t="str">
        <f t="shared" si="34"/>
        <v>22RFLC</v>
      </c>
      <c r="H1138" s="187" t="str">
        <f>+INDEX([1]Detallado!$D:$D,MATCH(C1138,[1]Detallado!$B:$B,0))</f>
        <v>Cosapi S.A.</v>
      </c>
      <c r="I1138" s="28"/>
      <c r="J1138" s="184" t="str">
        <f t="shared" si="35"/>
        <v>RFLBU</v>
      </c>
    </row>
    <row r="1139" spans="3:10" x14ac:dyDescent="0.25">
      <c r="C1139" s="28" t="s">
        <v>264</v>
      </c>
      <c r="D1139" s="188" t="str">
        <f>+INDEX([1]Detallado!$F:$F,MATCH($C1139,[1]Detallado!$B:$B,0))</f>
        <v>Renta Fija</v>
      </c>
      <c r="E1139" s="31" t="str">
        <f>+INDEX([1]Detallado!$Q:$Q,MATCH($C1139,[1]Detallado!$B:$B,0))</f>
        <v>RFLC</v>
      </c>
      <c r="F1139" s="185" t="s">
        <v>4357</v>
      </c>
      <c r="G1139" s="186" t="str">
        <f t="shared" si="34"/>
        <v>22RFLC</v>
      </c>
      <c r="H1139" s="187" t="str">
        <f>+INDEX([1]Detallado!$D:$D,MATCH(C1139,[1]Detallado!$B:$B,0))</f>
        <v>Jockey Plaza</v>
      </c>
      <c r="I1139" s="28"/>
      <c r="J1139" s="184" t="str">
        <f t="shared" si="35"/>
        <v>RFLBU</v>
      </c>
    </row>
    <row r="1140" spans="3:10" x14ac:dyDescent="0.25">
      <c r="C1140" s="28" t="s">
        <v>3712</v>
      </c>
      <c r="D1140" s="188" t="str">
        <f>+INDEX([1]Detallado!$F:$F,MATCH($C1140,[1]Detallado!$B:$B,0))</f>
        <v>Renta Fija</v>
      </c>
      <c r="E1140" s="31" t="str">
        <f>+INDEX([1]Detallado!$Q:$Q,MATCH($C1140,[1]Detallado!$B:$B,0))</f>
        <v>RFLC</v>
      </c>
      <c r="F1140" s="185" t="s">
        <v>4357</v>
      </c>
      <c r="G1140" s="186" t="str">
        <f t="shared" si="34"/>
        <v>22RFLC</v>
      </c>
      <c r="H1140" s="187" t="str">
        <f>+INDEX([1]Detallado!$D:$D,MATCH(C1140,[1]Detallado!$B:$B,0))</f>
        <v xml:space="preserve">Telefónica del Perú </v>
      </c>
      <c r="I1140" s="28"/>
      <c r="J1140" s="184" t="str">
        <f t="shared" si="35"/>
        <v>RFLBU</v>
      </c>
    </row>
    <row r="1141" spans="3:10" x14ac:dyDescent="0.25">
      <c r="C1141" s="28" t="s">
        <v>327</v>
      </c>
      <c r="D1141" s="188" t="str">
        <f>+INDEX([1]Detallado!$F:$F,MATCH($C1141,[1]Detallado!$B:$B,0))</f>
        <v>Renta Fija</v>
      </c>
      <c r="E1141" s="31" t="str">
        <f>+INDEX([1]Detallado!$Q:$Q,MATCH($C1141,[1]Detallado!$B:$B,0))</f>
        <v>RFLC</v>
      </c>
      <c r="F1141" s="185" t="s">
        <v>4357</v>
      </c>
      <c r="G1141" s="186" t="str">
        <f t="shared" si="34"/>
        <v>22RFLC</v>
      </c>
      <c r="H1141" s="187" t="str">
        <f>+INDEX([1]Detallado!$D:$D,MATCH(C1141,[1]Detallado!$B:$B,0))</f>
        <v xml:space="preserve">Telefónica del Perú </v>
      </c>
      <c r="I1141" s="28"/>
      <c r="J1141" s="184" t="str">
        <f t="shared" si="35"/>
        <v>RFLBU</v>
      </c>
    </row>
    <row r="1142" spans="3:10" x14ac:dyDescent="0.25">
      <c r="C1142" s="28" t="s">
        <v>3713</v>
      </c>
      <c r="D1142" s="188" t="str">
        <f>+INDEX([1]Detallado!$F:$F,MATCH($C1142,[1]Detallado!$B:$B,0))</f>
        <v>Renta Fija</v>
      </c>
      <c r="E1142" s="31" t="str">
        <f>+INDEX([1]Detallado!$Q:$Q,MATCH($C1142,[1]Detallado!$B:$B,0))</f>
        <v>RFLC</v>
      </c>
      <c r="F1142" s="185" t="s">
        <v>4357</v>
      </c>
      <c r="G1142" s="186" t="str">
        <f t="shared" si="34"/>
        <v>22RFLC</v>
      </c>
      <c r="H1142" s="187" t="str">
        <f>+INDEX([1]Detallado!$D:$D,MATCH(C1142,[1]Detallado!$B:$B,0))</f>
        <v xml:space="preserve">Telefónica del Perú </v>
      </c>
      <c r="I1142" s="28"/>
      <c r="J1142" s="184" t="str">
        <f t="shared" si="35"/>
        <v>RFLBU</v>
      </c>
    </row>
    <row r="1143" spans="3:10" x14ac:dyDescent="0.25">
      <c r="C1143" s="28" t="s">
        <v>3714</v>
      </c>
      <c r="D1143" s="188" t="str">
        <f>+INDEX([1]Detallado!$F:$F,MATCH($C1143,[1]Detallado!$B:$B,0))</f>
        <v>Renta Fija</v>
      </c>
      <c r="E1143" s="31" t="str">
        <f>+INDEX([1]Detallado!$Q:$Q,MATCH($C1143,[1]Detallado!$B:$B,0))</f>
        <v>RFLC</v>
      </c>
      <c r="F1143" s="185" t="s">
        <v>4357</v>
      </c>
      <c r="G1143" s="186" t="str">
        <f t="shared" si="34"/>
        <v>22RFLC</v>
      </c>
      <c r="H1143" s="187" t="str">
        <f>+INDEX([1]Detallado!$D:$D,MATCH(C1143,[1]Detallado!$B:$B,0))</f>
        <v xml:space="preserve">Telefónica del Perú </v>
      </c>
      <c r="I1143" s="28"/>
      <c r="J1143" s="184" t="str">
        <f t="shared" si="35"/>
        <v>RFLBU</v>
      </c>
    </row>
    <row r="1144" spans="3:10" x14ac:dyDescent="0.25">
      <c r="C1144" s="28" t="s">
        <v>3715</v>
      </c>
      <c r="D1144" s="188" t="str">
        <f>+INDEX([1]Detallado!$F:$F,MATCH($C1144,[1]Detallado!$B:$B,0))</f>
        <v>Renta Fija</v>
      </c>
      <c r="E1144" s="31" t="str">
        <f>+INDEX([1]Detallado!$Q:$Q,MATCH($C1144,[1]Detallado!$B:$B,0))</f>
        <v>RFLC</v>
      </c>
      <c r="F1144" s="185" t="s">
        <v>4357</v>
      </c>
      <c r="G1144" s="186" t="str">
        <f t="shared" si="34"/>
        <v>22RFLC</v>
      </c>
      <c r="H1144" s="187" t="str">
        <f>+INDEX([1]Detallado!$D:$D,MATCH(C1144,[1]Detallado!$B:$B,0))</f>
        <v xml:space="preserve">Telefónica del Perú </v>
      </c>
      <c r="I1144" s="28"/>
      <c r="J1144" s="184" t="str">
        <f t="shared" si="35"/>
        <v>RFLBU</v>
      </c>
    </row>
    <row r="1145" spans="3:10" x14ac:dyDescent="0.25">
      <c r="C1145" s="28" t="s">
        <v>3716</v>
      </c>
      <c r="D1145" s="188" t="str">
        <f>+INDEX([1]Detallado!$F:$F,MATCH($C1145,[1]Detallado!$B:$B,0))</f>
        <v>Renta Fija</v>
      </c>
      <c r="E1145" s="31" t="str">
        <f>+INDEX([1]Detallado!$Q:$Q,MATCH($C1145,[1]Detallado!$B:$B,0))</f>
        <v>RFLC</v>
      </c>
      <c r="F1145" s="185" t="s">
        <v>4357</v>
      </c>
      <c r="G1145" s="186" t="str">
        <f t="shared" si="34"/>
        <v>22RFLC</v>
      </c>
      <c r="H1145" s="187" t="str">
        <f>+INDEX([1]Detallado!$D:$D,MATCH(C1145,[1]Detallado!$B:$B,0))</f>
        <v xml:space="preserve">Telefónica del Perú </v>
      </c>
      <c r="I1145" s="28"/>
      <c r="J1145" s="184" t="str">
        <f t="shared" si="35"/>
        <v>RFLBU</v>
      </c>
    </row>
    <row r="1146" spans="3:10" x14ac:dyDescent="0.25">
      <c r="C1146" s="28" t="s">
        <v>3717</v>
      </c>
      <c r="D1146" s="188" t="str">
        <f>+INDEX([1]Detallado!$F:$F,MATCH($C1146,[1]Detallado!$B:$B,0))</f>
        <v>Renta Fija</v>
      </c>
      <c r="E1146" s="31" t="str">
        <f>+INDEX([1]Detallado!$Q:$Q,MATCH($C1146,[1]Detallado!$B:$B,0))</f>
        <v>RFLC</v>
      </c>
      <c r="F1146" s="185" t="s">
        <v>4357</v>
      </c>
      <c r="G1146" s="186" t="str">
        <f t="shared" si="34"/>
        <v>22RFLC</v>
      </c>
      <c r="H1146" s="187" t="str">
        <f>+INDEX([1]Detallado!$D:$D,MATCH(C1146,[1]Detallado!$B:$B,0))</f>
        <v xml:space="preserve">Telefónica del Perú </v>
      </c>
      <c r="I1146" s="28"/>
      <c r="J1146" s="184" t="str">
        <f t="shared" si="35"/>
        <v>RFLBU</v>
      </c>
    </row>
    <row r="1147" spans="3:10" x14ac:dyDescent="0.25">
      <c r="C1147" s="28" t="s">
        <v>3718</v>
      </c>
      <c r="D1147" s="188" t="str">
        <f>+INDEX([1]Detallado!$F:$F,MATCH($C1147,[1]Detallado!$B:$B,0))</f>
        <v>Renta Fija</v>
      </c>
      <c r="E1147" s="31" t="str">
        <f>+INDEX([1]Detallado!$Q:$Q,MATCH($C1147,[1]Detallado!$B:$B,0))</f>
        <v>RFLC</v>
      </c>
      <c r="F1147" s="185" t="s">
        <v>4357</v>
      </c>
      <c r="G1147" s="186" t="str">
        <f t="shared" si="34"/>
        <v>22RFLC</v>
      </c>
      <c r="H1147" s="187" t="str">
        <f>+INDEX([1]Detallado!$D:$D,MATCH(C1147,[1]Detallado!$B:$B,0))</f>
        <v xml:space="preserve">Telefónica del Perú </v>
      </c>
      <c r="I1147" s="28"/>
      <c r="J1147" s="184" t="str">
        <f t="shared" si="35"/>
        <v>RFLBU</v>
      </c>
    </row>
    <row r="1148" spans="3:10" x14ac:dyDescent="0.25">
      <c r="C1148" s="28" t="s">
        <v>3719</v>
      </c>
      <c r="D1148" s="188" t="str">
        <f>+INDEX([1]Detallado!$F:$F,MATCH($C1148,[1]Detallado!$B:$B,0))</f>
        <v>Renta Fija</v>
      </c>
      <c r="E1148" s="31" t="str">
        <f>+INDEX([1]Detallado!$Q:$Q,MATCH($C1148,[1]Detallado!$B:$B,0))</f>
        <v>RFLC</v>
      </c>
      <c r="F1148" s="185" t="s">
        <v>4357</v>
      </c>
      <c r="G1148" s="186" t="str">
        <f t="shared" si="34"/>
        <v>22RFLC</v>
      </c>
      <c r="H1148" s="187" t="str">
        <f>+INDEX([1]Detallado!$D:$D,MATCH(C1148,[1]Detallado!$B:$B,0))</f>
        <v xml:space="preserve">Telefónica del Perú </v>
      </c>
      <c r="I1148" s="28"/>
      <c r="J1148" s="184" t="str">
        <f t="shared" si="35"/>
        <v>RFLBU</v>
      </c>
    </row>
    <row r="1149" spans="3:10" x14ac:dyDescent="0.25">
      <c r="C1149" s="28" t="s">
        <v>3720</v>
      </c>
      <c r="D1149" s="188" t="str">
        <f>+INDEX([1]Detallado!$F:$F,MATCH($C1149,[1]Detallado!$B:$B,0))</f>
        <v>Renta Fija</v>
      </c>
      <c r="E1149" s="31" t="str">
        <f>+INDEX([1]Detallado!$Q:$Q,MATCH($C1149,[1]Detallado!$B:$B,0))</f>
        <v>RFLC</v>
      </c>
      <c r="F1149" s="185" t="s">
        <v>4357</v>
      </c>
      <c r="G1149" s="186" t="str">
        <f t="shared" si="34"/>
        <v>22RFLC</v>
      </c>
      <c r="H1149" s="187" t="str">
        <f>+INDEX([1]Detallado!$D:$D,MATCH(C1149,[1]Detallado!$B:$B,0))</f>
        <v xml:space="preserve">Telefónica del Perú </v>
      </c>
      <c r="I1149" s="28"/>
      <c r="J1149" s="184" t="str">
        <f t="shared" si="35"/>
        <v>RFLBU</v>
      </c>
    </row>
    <row r="1150" spans="3:10" x14ac:dyDescent="0.25">
      <c r="C1150" s="28" t="s">
        <v>2811</v>
      </c>
      <c r="D1150" s="188" t="str">
        <f>+INDEX([1]Detallado!$F:$F,MATCH($C1150,[1]Detallado!$B:$B,0))</f>
        <v>Renta Fija</v>
      </c>
      <c r="E1150" s="31" t="str">
        <f>+INDEX([1]Detallado!$Q:$Q,MATCH($C1150,[1]Detallado!$B:$B,0))</f>
        <v>RFLC</v>
      </c>
      <c r="F1150" s="185" t="s">
        <v>4357</v>
      </c>
      <c r="G1150" s="186" t="str">
        <f t="shared" si="34"/>
        <v>22RFLC</v>
      </c>
      <c r="H1150" s="187" t="str">
        <f>+INDEX([1]Detallado!$D:$D,MATCH(C1150,[1]Detallado!$B:$B,0))</f>
        <v xml:space="preserve">Telefónica del Perú </v>
      </c>
      <c r="I1150" s="28"/>
      <c r="J1150" s="184" t="str">
        <f t="shared" si="35"/>
        <v>RFLBU</v>
      </c>
    </row>
    <row r="1151" spans="3:10" x14ac:dyDescent="0.25">
      <c r="C1151" s="28" t="s">
        <v>3721</v>
      </c>
      <c r="D1151" s="188" t="str">
        <f>+INDEX([1]Detallado!$F:$F,MATCH($C1151,[1]Detallado!$B:$B,0))</f>
        <v>Renta Fija</v>
      </c>
      <c r="E1151" s="31" t="str">
        <f>+INDEX([1]Detallado!$Q:$Q,MATCH($C1151,[1]Detallado!$B:$B,0))</f>
        <v>RFLC</v>
      </c>
      <c r="F1151" s="185" t="s">
        <v>4357</v>
      </c>
      <c r="G1151" s="186" t="str">
        <f t="shared" si="34"/>
        <v>22RFLC</v>
      </c>
      <c r="H1151" s="187" t="str">
        <f>+INDEX([1]Detallado!$D:$D,MATCH(C1151,[1]Detallado!$B:$B,0))</f>
        <v xml:space="preserve">Telefónica Móviles </v>
      </c>
      <c r="I1151" s="28"/>
      <c r="J1151" s="184" t="str">
        <f t="shared" si="35"/>
        <v>RFLBU</v>
      </c>
    </row>
    <row r="1152" spans="3:10" x14ac:dyDescent="0.25">
      <c r="C1152" s="28" t="s">
        <v>3722</v>
      </c>
      <c r="D1152" s="188" t="str">
        <f>+INDEX([1]Detallado!$F:$F,MATCH($C1152,[1]Detallado!$B:$B,0))</f>
        <v>Renta Fija</v>
      </c>
      <c r="E1152" s="31" t="str">
        <f>+INDEX([1]Detallado!$Q:$Q,MATCH($C1152,[1]Detallado!$B:$B,0))</f>
        <v>RFLC</v>
      </c>
      <c r="F1152" s="185" t="s">
        <v>4357</v>
      </c>
      <c r="G1152" s="186" t="str">
        <f t="shared" si="34"/>
        <v>22RFLC</v>
      </c>
      <c r="H1152" s="187" t="str">
        <f>+INDEX([1]Detallado!$D:$D,MATCH(C1152,[1]Detallado!$B:$B,0))</f>
        <v xml:space="preserve">Telefónica Móviles </v>
      </c>
      <c r="I1152" s="28"/>
      <c r="J1152" s="184" t="str">
        <f t="shared" si="35"/>
        <v>RFLBU</v>
      </c>
    </row>
    <row r="1153" spans="3:10" x14ac:dyDescent="0.25">
      <c r="C1153" s="28" t="s">
        <v>3723</v>
      </c>
      <c r="D1153" s="188" t="str">
        <f>+INDEX([1]Detallado!$F:$F,MATCH($C1153,[1]Detallado!$B:$B,0))</f>
        <v>Renta Fija</v>
      </c>
      <c r="E1153" s="31" t="str">
        <f>+INDEX([1]Detallado!$Q:$Q,MATCH($C1153,[1]Detallado!$B:$B,0))</f>
        <v>RFLC</v>
      </c>
      <c r="F1153" s="185" t="s">
        <v>4357</v>
      </c>
      <c r="G1153" s="186" t="str">
        <f t="shared" si="34"/>
        <v>22RFLC</v>
      </c>
      <c r="H1153" s="187" t="str">
        <f>+INDEX([1]Detallado!$D:$D,MATCH(C1153,[1]Detallado!$B:$B,0))</f>
        <v xml:space="preserve">Telefónica Móviles </v>
      </c>
      <c r="I1153" s="28"/>
      <c r="J1153" s="184" t="str">
        <f t="shared" si="35"/>
        <v>RFLBU</v>
      </c>
    </row>
    <row r="1154" spans="3:10" x14ac:dyDescent="0.25">
      <c r="C1154" s="28" t="s">
        <v>3724</v>
      </c>
      <c r="D1154" s="188" t="str">
        <f>+INDEX([1]Detallado!$F:$F,MATCH($C1154,[1]Detallado!$B:$B,0))</f>
        <v>Renta Fija</v>
      </c>
      <c r="E1154" s="31" t="str">
        <f>+INDEX([1]Detallado!$Q:$Q,MATCH($C1154,[1]Detallado!$B:$B,0))</f>
        <v>RFLC</v>
      </c>
      <c r="F1154" s="185" t="s">
        <v>4357</v>
      </c>
      <c r="G1154" s="186" t="str">
        <f t="shared" si="34"/>
        <v>22RFLC</v>
      </c>
      <c r="H1154" s="187" t="str">
        <f>+INDEX([1]Detallado!$D:$D,MATCH(C1154,[1]Detallado!$B:$B,0))</f>
        <v xml:space="preserve">Telefónica Móviles </v>
      </c>
      <c r="I1154" s="28"/>
      <c r="J1154" s="184" t="str">
        <f t="shared" si="35"/>
        <v>RFLBU</v>
      </c>
    </row>
    <row r="1155" spans="3:10" x14ac:dyDescent="0.25">
      <c r="C1155" s="28" t="s">
        <v>3725</v>
      </c>
      <c r="D1155" s="188" t="str">
        <f>+INDEX([1]Detallado!$F:$F,MATCH($C1155,[1]Detallado!$B:$B,0))</f>
        <v>Renta Fija</v>
      </c>
      <c r="E1155" s="31" t="str">
        <f>+INDEX([1]Detallado!$Q:$Q,MATCH($C1155,[1]Detallado!$B:$B,0))</f>
        <v>RFLC</v>
      </c>
      <c r="F1155" s="185" t="s">
        <v>4357</v>
      </c>
      <c r="G1155" s="186" t="str">
        <f t="shared" si="34"/>
        <v>22RFLC</v>
      </c>
      <c r="H1155" s="187" t="str">
        <f>+INDEX([1]Detallado!$D:$D,MATCH(C1155,[1]Detallado!$B:$B,0))</f>
        <v xml:space="preserve">Telefónica Móviles </v>
      </c>
      <c r="I1155" s="28"/>
      <c r="J1155" s="184" t="str">
        <f t="shared" si="35"/>
        <v>RFLBU</v>
      </c>
    </row>
    <row r="1156" spans="3:10" x14ac:dyDescent="0.25">
      <c r="C1156" s="28" t="s">
        <v>3726</v>
      </c>
      <c r="D1156" s="188" t="str">
        <f>+INDEX([1]Detallado!$F:$F,MATCH($C1156,[1]Detallado!$B:$B,0))</f>
        <v>Renta Fija</v>
      </c>
      <c r="E1156" s="31" t="str">
        <f>+INDEX([1]Detallado!$Q:$Q,MATCH($C1156,[1]Detallado!$B:$B,0))</f>
        <v>RFLC</v>
      </c>
      <c r="F1156" s="185" t="s">
        <v>4357</v>
      </c>
      <c r="G1156" s="186" t="str">
        <f t="shared" si="34"/>
        <v>22RFLC</v>
      </c>
      <c r="H1156" s="187" t="str">
        <f>+INDEX([1]Detallado!$D:$D,MATCH(C1156,[1]Detallado!$B:$B,0))</f>
        <v xml:space="preserve">Telefónica Móviles </v>
      </c>
      <c r="I1156" s="28"/>
      <c r="J1156" s="184" t="str">
        <f t="shared" si="35"/>
        <v>RFLBU</v>
      </c>
    </row>
    <row r="1157" spans="3:10" x14ac:dyDescent="0.25">
      <c r="C1157" s="28" t="s">
        <v>3727</v>
      </c>
      <c r="D1157" s="188" t="str">
        <f>+INDEX([1]Detallado!$F:$F,MATCH($C1157,[1]Detallado!$B:$B,0))</f>
        <v>Renta Fija</v>
      </c>
      <c r="E1157" s="31" t="str">
        <f>+INDEX([1]Detallado!$Q:$Q,MATCH($C1157,[1]Detallado!$B:$B,0))</f>
        <v>RFLC</v>
      </c>
      <c r="F1157" s="185" t="s">
        <v>4357</v>
      </c>
      <c r="G1157" s="186" t="str">
        <f t="shared" si="34"/>
        <v>22RFLC</v>
      </c>
      <c r="H1157" s="187" t="str">
        <f>+INDEX([1]Detallado!$D:$D,MATCH(C1157,[1]Detallado!$B:$B,0))</f>
        <v xml:space="preserve">Telefónica Móviles </v>
      </c>
      <c r="I1157" s="28"/>
      <c r="J1157" s="184" t="str">
        <f t="shared" si="35"/>
        <v>RFLBU</v>
      </c>
    </row>
    <row r="1158" spans="3:10" x14ac:dyDescent="0.25">
      <c r="C1158" s="28" t="s">
        <v>276</v>
      </c>
      <c r="D1158" s="188" t="str">
        <f>+INDEX([1]Detallado!$F:$F,MATCH($C1158,[1]Detallado!$B:$B,0))</f>
        <v>Renta Fija</v>
      </c>
      <c r="E1158" s="31" t="str">
        <f>+INDEX([1]Detallado!$Q:$Q,MATCH($C1158,[1]Detallado!$B:$B,0))</f>
        <v>RFLC</v>
      </c>
      <c r="F1158" s="185" t="s">
        <v>4357</v>
      </c>
      <c r="G1158" s="186" t="str">
        <f t="shared" si="34"/>
        <v>22RFLC</v>
      </c>
      <c r="H1158" s="187" t="str">
        <f>+INDEX([1]Detallado!$D:$D,MATCH(C1158,[1]Detallado!$B:$B,0))</f>
        <v>Primax</v>
      </c>
      <c r="I1158" s="28"/>
      <c r="J1158" s="184" t="str">
        <f t="shared" si="35"/>
        <v>RFLBU</v>
      </c>
    </row>
    <row r="1159" spans="3:10" x14ac:dyDescent="0.25">
      <c r="C1159" s="28" t="s">
        <v>3728</v>
      </c>
      <c r="D1159" s="188" t="str">
        <f>+INDEX([1]Detallado!$F:$F,MATCH($C1159,[1]Detallado!$B:$B,0))</f>
        <v>Renta Fija</v>
      </c>
      <c r="E1159" s="31" t="str">
        <f>+INDEX([1]Detallado!$Q:$Q,MATCH($C1159,[1]Detallado!$B:$B,0))</f>
        <v>RFLC</v>
      </c>
      <c r="F1159" s="185" t="s">
        <v>4357</v>
      </c>
      <c r="G1159" s="186" t="str">
        <f t="shared" si="34"/>
        <v>22RFLC</v>
      </c>
      <c r="H1159" s="187" t="str">
        <f>+INDEX([1]Detallado!$D:$D,MATCH(C1159,[1]Detallado!$B:$B,0))</f>
        <v>Primax</v>
      </c>
      <c r="I1159" s="28"/>
      <c r="J1159" s="184" t="str">
        <f t="shared" si="35"/>
        <v>RFLBU</v>
      </c>
    </row>
    <row r="1160" spans="3:10" x14ac:dyDescent="0.25">
      <c r="C1160" s="28" t="s">
        <v>3729</v>
      </c>
      <c r="D1160" s="188" t="str">
        <f>+INDEX([1]Detallado!$F:$F,MATCH($C1160,[1]Detallado!$B:$B,0))</f>
        <v>Renta Fija</v>
      </c>
      <c r="E1160" s="31" t="str">
        <f>+INDEX([1]Detallado!$Q:$Q,MATCH($C1160,[1]Detallado!$B:$B,0))</f>
        <v>RFLC</v>
      </c>
      <c r="F1160" s="185" t="s">
        <v>4357</v>
      </c>
      <c r="G1160" s="186" t="str">
        <f t="shared" si="34"/>
        <v>22RFLC</v>
      </c>
      <c r="H1160" s="187" t="str">
        <f>+INDEX([1]Detallado!$D:$D,MATCH(C1160,[1]Detallado!$B:$B,0))</f>
        <v>Primax</v>
      </c>
      <c r="I1160" s="28"/>
      <c r="J1160" s="184" t="str">
        <f t="shared" si="35"/>
        <v>RFLBU</v>
      </c>
    </row>
    <row r="1161" spans="3:10" x14ac:dyDescent="0.25">
      <c r="C1161" s="28" t="s">
        <v>3730</v>
      </c>
      <c r="D1161" s="188" t="str">
        <f>+INDEX([1]Detallado!$F:$F,MATCH($C1161,[1]Detallado!$B:$B,0))</f>
        <v>Renta Fija</v>
      </c>
      <c r="E1161" s="31" t="str">
        <f>+INDEX([1]Detallado!$Q:$Q,MATCH($C1161,[1]Detallado!$B:$B,0))</f>
        <v>RFLC</v>
      </c>
      <c r="F1161" s="185" t="s">
        <v>4357</v>
      </c>
      <c r="G1161" s="186" t="str">
        <f t="shared" si="34"/>
        <v>22RFLC</v>
      </c>
      <c r="H1161" s="187" t="str">
        <f>+INDEX([1]Detallado!$D:$D,MATCH(C1161,[1]Detallado!$B:$B,0))</f>
        <v>Primax</v>
      </c>
      <c r="I1161" s="28"/>
      <c r="J1161" s="184" t="str">
        <f t="shared" si="35"/>
        <v>RFLBU</v>
      </c>
    </row>
    <row r="1162" spans="3:10" x14ac:dyDescent="0.25">
      <c r="C1162" s="28" t="s">
        <v>3731</v>
      </c>
      <c r="D1162" s="188" t="str">
        <f>+INDEX([1]Detallado!$F:$F,MATCH($C1162,[1]Detallado!$B:$B,0))</f>
        <v>Renta Fija</v>
      </c>
      <c r="E1162" s="31" t="str">
        <f>+INDEX([1]Detallado!$Q:$Q,MATCH($C1162,[1]Detallado!$B:$B,0))</f>
        <v>RFLC</v>
      </c>
      <c r="F1162" s="185" t="s">
        <v>4357</v>
      </c>
      <c r="G1162" s="186" t="str">
        <f t="shared" ref="G1162:G1225" si="36">LEFT(C1162,2)&amp;E1162</f>
        <v>22RFLC</v>
      </c>
      <c r="H1162" s="187" t="str">
        <f>+INDEX([1]Detallado!$D:$D,MATCH(C1162,[1]Detallado!$B:$B,0))</f>
        <v>Primax</v>
      </c>
      <c r="I1162" s="28"/>
      <c r="J1162" s="184" t="str">
        <f t="shared" ref="J1162:J1225" si="37">IF(E1162="ALT",LEFT(E1162,3),LEFT(E1162,3)&amp;F1162)</f>
        <v>RFLBU</v>
      </c>
    </row>
    <row r="1163" spans="3:10" x14ac:dyDescent="0.25">
      <c r="C1163" s="28" t="s">
        <v>3732</v>
      </c>
      <c r="D1163" s="188" t="str">
        <f>+INDEX([1]Detallado!$F:$F,MATCH($C1163,[1]Detallado!$B:$B,0))</f>
        <v>Renta Fija</v>
      </c>
      <c r="E1163" s="31" t="str">
        <f>+INDEX([1]Detallado!$Q:$Q,MATCH($C1163,[1]Detallado!$B:$B,0))</f>
        <v>RFLC</v>
      </c>
      <c r="F1163" s="185" t="s">
        <v>4357</v>
      </c>
      <c r="G1163" s="186" t="str">
        <f t="shared" si="36"/>
        <v>22RFLC</v>
      </c>
      <c r="H1163" s="187" t="str">
        <f>+INDEX([1]Detallado!$D:$D,MATCH(C1163,[1]Detallado!$B:$B,0))</f>
        <v>Primax</v>
      </c>
      <c r="I1163" s="28"/>
      <c r="J1163" s="184" t="str">
        <f t="shared" si="37"/>
        <v>RFLBU</v>
      </c>
    </row>
    <row r="1164" spans="3:10" x14ac:dyDescent="0.25">
      <c r="C1164" s="28" t="s">
        <v>280</v>
      </c>
      <c r="D1164" s="188" t="str">
        <f>+INDEX([1]Detallado!$F:$F,MATCH($C1164,[1]Detallado!$B:$B,0))</f>
        <v>Renta Fija</v>
      </c>
      <c r="E1164" s="31" t="str">
        <f>+INDEX([1]Detallado!$Q:$Q,MATCH($C1164,[1]Detallado!$B:$B,0))</f>
        <v>RFLC</v>
      </c>
      <c r="F1164" s="185" t="s">
        <v>4357</v>
      </c>
      <c r="G1164" s="186" t="str">
        <f t="shared" si="36"/>
        <v>22RFLC</v>
      </c>
      <c r="H1164" s="187" t="str">
        <f>+INDEX([1]Detallado!$D:$D,MATCH(C1164,[1]Detallado!$B:$B,0))</f>
        <v>Hermes</v>
      </c>
      <c r="I1164" s="28"/>
      <c r="J1164" s="184" t="str">
        <f t="shared" si="37"/>
        <v>RFLBU</v>
      </c>
    </row>
    <row r="1165" spans="3:10" x14ac:dyDescent="0.25">
      <c r="C1165" s="28" t="s">
        <v>295</v>
      </c>
      <c r="D1165" s="188" t="str">
        <f>+INDEX([1]Detallado!$F:$F,MATCH($C1165,[1]Detallado!$B:$B,0))</f>
        <v>Renta Fija</v>
      </c>
      <c r="E1165" s="31" t="str">
        <f>+INDEX([1]Detallado!$Q:$Q,MATCH($C1165,[1]Detallado!$B:$B,0))</f>
        <v>RFLC</v>
      </c>
      <c r="F1165" s="185" t="s">
        <v>4357</v>
      </c>
      <c r="G1165" s="186" t="str">
        <f t="shared" si="36"/>
        <v>22RFLC</v>
      </c>
      <c r="H1165" s="187" t="str">
        <f>+INDEX([1]Detallado!$D:$D,MATCH(C1165,[1]Detallado!$B:$B,0))</f>
        <v>Palo Alto</v>
      </c>
      <c r="I1165" s="28"/>
      <c r="J1165" s="184" t="str">
        <f t="shared" si="37"/>
        <v>RFLBU</v>
      </c>
    </row>
    <row r="1166" spans="3:10" x14ac:dyDescent="0.25">
      <c r="C1166" s="28" t="s">
        <v>3733</v>
      </c>
      <c r="D1166" s="188" t="str">
        <f>+INDEX([1]Detallado!$F:$F,MATCH($C1166,[1]Detallado!$B:$B,0))</f>
        <v>Renta Fija</v>
      </c>
      <c r="E1166" s="31" t="str">
        <f>+INDEX([1]Detallado!$Q:$Q,MATCH($C1166,[1]Detallado!$B:$B,0))</f>
        <v>RFLC</v>
      </c>
      <c r="F1166" s="185" t="s">
        <v>4357</v>
      </c>
      <c r="G1166" s="186" t="str">
        <f t="shared" si="36"/>
        <v>23RFLC</v>
      </c>
      <c r="H1166" s="187" t="str">
        <f>+INDEX([1]Detallado!$D:$D,MATCH(C1166,[1]Detallado!$B:$B,0))</f>
        <v xml:space="preserve">Telefónica del Perú </v>
      </c>
      <c r="I1166" s="28"/>
      <c r="J1166" s="184" t="str">
        <f t="shared" si="37"/>
        <v>RFLBU</v>
      </c>
    </row>
    <row r="1167" spans="3:10" x14ac:dyDescent="0.25">
      <c r="C1167" s="28" t="s">
        <v>3734</v>
      </c>
      <c r="D1167" s="188" t="str">
        <f>+INDEX([1]Detallado!$F:$F,MATCH($C1167,[1]Detallado!$B:$B,0))</f>
        <v>Renta Fija</v>
      </c>
      <c r="E1167" s="31" t="str">
        <f>+INDEX([1]Detallado!$Q:$Q,MATCH($C1167,[1]Detallado!$B:$B,0))</f>
        <v>RFLC</v>
      </c>
      <c r="F1167" s="185" t="s">
        <v>4357</v>
      </c>
      <c r="G1167" s="186" t="str">
        <f t="shared" si="36"/>
        <v>25RFLC</v>
      </c>
      <c r="H1167" s="187" t="str">
        <f>+INDEX([1]Detallado!$D:$D,MATCH(C1167,[1]Detallado!$B:$B,0))</f>
        <v>Banco Santander Perú</v>
      </c>
      <c r="I1167" s="28"/>
      <c r="J1167" s="184" t="str">
        <f t="shared" si="37"/>
        <v>RFLBU</v>
      </c>
    </row>
    <row r="1168" spans="3:10" x14ac:dyDescent="0.25">
      <c r="C1168" s="28" t="s">
        <v>3735</v>
      </c>
      <c r="D1168" s="188" t="str">
        <f>+INDEX([1]Detallado!$F:$F,MATCH($C1168,[1]Detallado!$B:$B,0))</f>
        <v>Renta Fija</v>
      </c>
      <c r="E1168" s="31" t="str">
        <f>+INDEX([1]Detallado!$Q:$Q,MATCH($C1168,[1]Detallado!$B:$B,0))</f>
        <v>RFLC</v>
      </c>
      <c r="F1168" s="185" t="s">
        <v>4357</v>
      </c>
      <c r="G1168" s="186" t="str">
        <f t="shared" si="36"/>
        <v>25RFLC</v>
      </c>
      <c r="H1168" s="187" t="str">
        <f>+INDEX([1]Detallado!$D:$D,MATCH(C1168,[1]Detallado!$B:$B,0))</f>
        <v>Banco de Crédito del Perú</v>
      </c>
      <c r="I1168" s="28"/>
      <c r="J1168" s="184" t="str">
        <f t="shared" si="37"/>
        <v>RFLBU</v>
      </c>
    </row>
    <row r="1169" spans="3:10" x14ac:dyDescent="0.25">
      <c r="C1169" s="28" t="s">
        <v>3736</v>
      </c>
      <c r="D1169" s="188" t="str">
        <f>+INDEX([1]Detallado!$F:$F,MATCH($C1169,[1]Detallado!$B:$B,0))</f>
        <v>Renta Fija</v>
      </c>
      <c r="E1169" s="31" t="str">
        <f>+INDEX([1]Detallado!$Q:$Q,MATCH($C1169,[1]Detallado!$B:$B,0))</f>
        <v>RFLC</v>
      </c>
      <c r="F1169" s="185" t="s">
        <v>4357</v>
      </c>
      <c r="G1169" s="186" t="str">
        <f t="shared" si="36"/>
        <v>25RFLC</v>
      </c>
      <c r="H1169" s="187" t="str">
        <f>+INDEX([1]Detallado!$D:$D,MATCH(C1169,[1]Detallado!$B:$B,0))</f>
        <v>Banco de Crédito del Perú</v>
      </c>
      <c r="I1169" s="28"/>
      <c r="J1169" s="184" t="str">
        <f t="shared" si="37"/>
        <v>RFLBU</v>
      </c>
    </row>
    <row r="1170" spans="3:10" x14ac:dyDescent="0.25">
      <c r="C1170" s="28" t="s">
        <v>3737</v>
      </c>
      <c r="D1170" s="188" t="str">
        <f>+INDEX([1]Detallado!$F:$F,MATCH($C1170,[1]Detallado!$B:$B,0))</f>
        <v>Renta Fija</v>
      </c>
      <c r="E1170" s="31" t="str">
        <f>+INDEX([1]Detallado!$Q:$Q,MATCH($C1170,[1]Detallado!$B:$B,0))</f>
        <v>RFLC</v>
      </c>
      <c r="F1170" s="185" t="s">
        <v>4357</v>
      </c>
      <c r="G1170" s="186" t="str">
        <f t="shared" si="36"/>
        <v>25RFLC</v>
      </c>
      <c r="H1170" s="187" t="str">
        <f>+INDEX([1]Detallado!$D:$D,MATCH(C1170,[1]Detallado!$B:$B,0))</f>
        <v>Banco de Crédito del Perú</v>
      </c>
      <c r="I1170" s="28"/>
      <c r="J1170" s="184" t="str">
        <f t="shared" si="37"/>
        <v>RFLBU</v>
      </c>
    </row>
    <row r="1171" spans="3:10" x14ac:dyDescent="0.25">
      <c r="C1171" s="28" t="s">
        <v>3738</v>
      </c>
      <c r="D1171" s="188" t="str">
        <f>+INDEX([1]Detallado!$F:$F,MATCH($C1171,[1]Detallado!$B:$B,0))</f>
        <v>Renta Fija</v>
      </c>
      <c r="E1171" s="31" t="str">
        <f>+INDEX([1]Detallado!$Q:$Q,MATCH($C1171,[1]Detallado!$B:$B,0))</f>
        <v>RFLC</v>
      </c>
      <c r="F1171" s="185" t="s">
        <v>4357</v>
      </c>
      <c r="G1171" s="186" t="str">
        <f t="shared" si="36"/>
        <v>25RFLC</v>
      </c>
      <c r="H1171" s="187" t="str">
        <f>+INDEX([1]Detallado!$D:$D,MATCH(C1171,[1]Detallado!$B:$B,0))</f>
        <v>Banco de Crédito del Perú</v>
      </c>
      <c r="I1171" s="28"/>
      <c r="J1171" s="184" t="str">
        <f t="shared" si="37"/>
        <v>RFLBU</v>
      </c>
    </row>
    <row r="1172" spans="3:10" x14ac:dyDescent="0.25">
      <c r="C1172" s="28" t="s">
        <v>3739</v>
      </c>
      <c r="D1172" s="188" t="str">
        <f>+INDEX([1]Detallado!$F:$F,MATCH($C1172,[1]Detallado!$B:$B,0))</f>
        <v>Renta Fija</v>
      </c>
      <c r="E1172" s="31" t="str">
        <f>+INDEX([1]Detallado!$Q:$Q,MATCH($C1172,[1]Detallado!$B:$B,0))</f>
        <v>RFLC</v>
      </c>
      <c r="F1172" s="185" t="s">
        <v>4357</v>
      </c>
      <c r="G1172" s="186" t="str">
        <f t="shared" si="36"/>
        <v>25RFLC</v>
      </c>
      <c r="H1172" s="187" t="str">
        <f>+INDEX([1]Detallado!$D:$D,MATCH(C1172,[1]Detallado!$B:$B,0))</f>
        <v>Banco de Crédito del Perú</v>
      </c>
      <c r="I1172" s="28"/>
      <c r="J1172" s="184" t="str">
        <f t="shared" si="37"/>
        <v>RFLBU</v>
      </c>
    </row>
    <row r="1173" spans="3:10" x14ac:dyDescent="0.25">
      <c r="C1173" s="28" t="s">
        <v>3740</v>
      </c>
      <c r="D1173" s="188" t="str">
        <f>+INDEX([1]Detallado!$F:$F,MATCH($C1173,[1]Detallado!$B:$B,0))</f>
        <v>Renta Fija</v>
      </c>
      <c r="E1173" s="31" t="str">
        <f>+INDEX([1]Detallado!$Q:$Q,MATCH($C1173,[1]Detallado!$B:$B,0))</f>
        <v>RFLC</v>
      </c>
      <c r="F1173" s="185" t="s">
        <v>4357</v>
      </c>
      <c r="G1173" s="186" t="str">
        <f t="shared" si="36"/>
        <v>25RFLC</v>
      </c>
      <c r="H1173" s="187" t="str">
        <f>+INDEX([1]Detallado!$D:$D,MATCH(C1173,[1]Detallado!$B:$B,0))</f>
        <v>Banco de Crédito del Perú</v>
      </c>
      <c r="I1173" s="28"/>
      <c r="J1173" s="184" t="str">
        <f t="shared" si="37"/>
        <v>RFLBU</v>
      </c>
    </row>
    <row r="1174" spans="3:10" x14ac:dyDescent="0.25">
      <c r="C1174" s="28" t="s">
        <v>3741</v>
      </c>
      <c r="D1174" s="188" t="str">
        <f>+INDEX([1]Detallado!$F:$F,MATCH($C1174,[1]Detallado!$B:$B,0))</f>
        <v>Renta Fija</v>
      </c>
      <c r="E1174" s="31" t="str">
        <f>+INDEX([1]Detallado!$Q:$Q,MATCH($C1174,[1]Detallado!$B:$B,0))</f>
        <v>RFLC</v>
      </c>
      <c r="F1174" s="185" t="s">
        <v>4357</v>
      </c>
      <c r="G1174" s="186" t="str">
        <f t="shared" si="36"/>
        <v>25RFLC</v>
      </c>
      <c r="H1174" s="187" t="str">
        <f>+INDEX([1]Detallado!$D:$D,MATCH(C1174,[1]Detallado!$B:$B,0))</f>
        <v>Banco de Crédito del Perú</v>
      </c>
      <c r="I1174" s="28"/>
      <c r="J1174" s="184" t="str">
        <f t="shared" si="37"/>
        <v>RFLBU</v>
      </c>
    </row>
    <row r="1175" spans="3:10" x14ac:dyDescent="0.25">
      <c r="C1175" s="28" t="s">
        <v>3742</v>
      </c>
      <c r="D1175" s="188" t="str">
        <f>+INDEX([1]Detallado!$F:$F,MATCH($C1175,[1]Detallado!$B:$B,0))</f>
        <v>Renta Fija</v>
      </c>
      <c r="E1175" s="31" t="str">
        <f>+INDEX([1]Detallado!$Q:$Q,MATCH($C1175,[1]Detallado!$B:$B,0))</f>
        <v>RFLC</v>
      </c>
      <c r="F1175" s="185" t="s">
        <v>4357</v>
      </c>
      <c r="G1175" s="186" t="str">
        <f t="shared" si="36"/>
        <v>25RFLC</v>
      </c>
      <c r="H1175" s="187" t="str">
        <f>+INDEX([1]Detallado!$D:$D,MATCH(C1175,[1]Detallado!$B:$B,0))</f>
        <v>Banco de Crédito del Perú</v>
      </c>
      <c r="I1175" s="28"/>
      <c r="J1175" s="184" t="str">
        <f t="shared" si="37"/>
        <v>RFLBU</v>
      </c>
    </row>
    <row r="1176" spans="3:10" x14ac:dyDescent="0.25">
      <c r="C1176" s="28" t="s">
        <v>3743</v>
      </c>
      <c r="D1176" s="188" t="str">
        <f>+INDEX([1]Detallado!$F:$F,MATCH($C1176,[1]Detallado!$B:$B,0))</f>
        <v>Renta Fija</v>
      </c>
      <c r="E1176" s="31" t="str">
        <f>+INDEX([1]Detallado!$Q:$Q,MATCH($C1176,[1]Detallado!$B:$B,0))</f>
        <v>RFLC</v>
      </c>
      <c r="F1176" s="185" t="s">
        <v>4357</v>
      </c>
      <c r="G1176" s="186" t="str">
        <f t="shared" si="36"/>
        <v>25RFLC</v>
      </c>
      <c r="H1176" s="187" t="str">
        <f>+INDEX([1]Detallado!$D:$D,MATCH(C1176,[1]Detallado!$B:$B,0))</f>
        <v>Banco de Crédito del Perú</v>
      </c>
      <c r="I1176" s="28"/>
      <c r="J1176" s="184" t="str">
        <f t="shared" si="37"/>
        <v>RFLBU</v>
      </c>
    </row>
    <row r="1177" spans="3:10" x14ac:dyDescent="0.25">
      <c r="C1177" s="28" t="s">
        <v>3744</v>
      </c>
      <c r="D1177" s="188" t="str">
        <f>+INDEX([1]Detallado!$F:$F,MATCH($C1177,[1]Detallado!$B:$B,0))</f>
        <v>Renta Fija</v>
      </c>
      <c r="E1177" s="31" t="str">
        <f>+INDEX([1]Detallado!$Q:$Q,MATCH($C1177,[1]Detallado!$B:$B,0))</f>
        <v>RFLC</v>
      </c>
      <c r="F1177" s="185" t="s">
        <v>4357</v>
      </c>
      <c r="G1177" s="186" t="str">
        <f t="shared" si="36"/>
        <v>25RFLC</v>
      </c>
      <c r="H1177" s="187" t="str">
        <f>+INDEX([1]Detallado!$D:$D,MATCH(C1177,[1]Detallado!$B:$B,0))</f>
        <v>Banco de Crédito del Perú</v>
      </c>
      <c r="I1177" s="28"/>
      <c r="J1177" s="184" t="str">
        <f t="shared" si="37"/>
        <v>RFLBU</v>
      </c>
    </row>
    <row r="1178" spans="3:10" x14ac:dyDescent="0.25">
      <c r="C1178" s="28" t="s">
        <v>3745</v>
      </c>
      <c r="D1178" s="188" t="str">
        <f>+INDEX([1]Detallado!$F:$F,MATCH($C1178,[1]Detallado!$B:$B,0))</f>
        <v>Renta Fija</v>
      </c>
      <c r="E1178" s="31" t="str">
        <f>+INDEX([1]Detallado!$Q:$Q,MATCH($C1178,[1]Detallado!$B:$B,0))</f>
        <v>RFLC</v>
      </c>
      <c r="F1178" s="185" t="s">
        <v>4357</v>
      </c>
      <c r="G1178" s="186" t="str">
        <f t="shared" si="36"/>
        <v>25RFLC</v>
      </c>
      <c r="H1178" s="187" t="str">
        <f>+INDEX([1]Detallado!$D:$D,MATCH(C1178,[1]Detallado!$B:$B,0))</f>
        <v>Banco de Crédito del Perú</v>
      </c>
      <c r="I1178" s="28"/>
      <c r="J1178" s="184" t="str">
        <f t="shared" si="37"/>
        <v>RFLBU</v>
      </c>
    </row>
    <row r="1179" spans="3:10" x14ac:dyDescent="0.25">
      <c r="C1179" s="28" t="s">
        <v>3746</v>
      </c>
      <c r="D1179" s="188" t="str">
        <f>+INDEX([1]Detallado!$F:$F,MATCH($C1179,[1]Detallado!$B:$B,0))</f>
        <v>Renta Fija</v>
      </c>
      <c r="E1179" s="31" t="str">
        <f>+INDEX([1]Detallado!$Q:$Q,MATCH($C1179,[1]Detallado!$B:$B,0))</f>
        <v>RFLC</v>
      </c>
      <c r="F1179" s="185" t="s">
        <v>4357</v>
      </c>
      <c r="G1179" s="186" t="str">
        <f t="shared" si="36"/>
        <v>25RFLC</v>
      </c>
      <c r="H1179" s="187" t="str">
        <f>+INDEX([1]Detallado!$D:$D,MATCH(C1179,[1]Detallado!$B:$B,0))</f>
        <v>Banco de Crédito del Perú</v>
      </c>
      <c r="I1179" s="28"/>
      <c r="J1179" s="184" t="str">
        <f t="shared" si="37"/>
        <v>RFLBU</v>
      </c>
    </row>
    <row r="1180" spans="3:10" x14ac:dyDescent="0.25">
      <c r="C1180" s="28" t="s">
        <v>3747</v>
      </c>
      <c r="D1180" s="188" t="str">
        <f>+INDEX([1]Detallado!$F:$F,MATCH($C1180,[1]Detallado!$B:$B,0))</f>
        <v>Renta Fija</v>
      </c>
      <c r="E1180" s="31" t="str">
        <f>+INDEX([1]Detallado!$Q:$Q,MATCH($C1180,[1]Detallado!$B:$B,0))</f>
        <v>RFLC</v>
      </c>
      <c r="F1180" s="185" t="s">
        <v>4357</v>
      </c>
      <c r="G1180" s="186" t="str">
        <f t="shared" si="36"/>
        <v>25RFLC</v>
      </c>
      <c r="H1180" s="187" t="str">
        <f>+INDEX([1]Detallado!$D:$D,MATCH(C1180,[1]Detallado!$B:$B,0))</f>
        <v>Banco de Crédito del Perú</v>
      </c>
      <c r="I1180" s="28"/>
      <c r="J1180" s="184" t="str">
        <f t="shared" si="37"/>
        <v>RFLBU</v>
      </c>
    </row>
    <row r="1181" spans="3:10" x14ac:dyDescent="0.25">
      <c r="C1181" s="28" t="s">
        <v>3748</v>
      </c>
      <c r="D1181" s="188" t="str">
        <f>+INDEX([1]Detallado!$F:$F,MATCH($C1181,[1]Detallado!$B:$B,0))</f>
        <v>Renta Fija</v>
      </c>
      <c r="E1181" s="31" t="str">
        <f>+INDEX([1]Detallado!$Q:$Q,MATCH($C1181,[1]Detallado!$B:$B,0))</f>
        <v>RFLC</v>
      </c>
      <c r="F1181" s="185" t="s">
        <v>4357</v>
      </c>
      <c r="G1181" s="186" t="str">
        <f t="shared" si="36"/>
        <v>25RFLC</v>
      </c>
      <c r="H1181" s="187" t="str">
        <f>+INDEX([1]Detallado!$D:$D,MATCH(C1181,[1]Detallado!$B:$B,0))</f>
        <v>Banco de Crédito del Perú</v>
      </c>
      <c r="I1181" s="28"/>
      <c r="J1181" s="184" t="str">
        <f t="shared" si="37"/>
        <v>RFLBU</v>
      </c>
    </row>
    <row r="1182" spans="3:10" x14ac:dyDescent="0.25">
      <c r="C1182" s="28" t="s">
        <v>3749</v>
      </c>
      <c r="D1182" s="188" t="str">
        <f>+INDEX([1]Detallado!$F:$F,MATCH($C1182,[1]Detallado!$B:$B,0))</f>
        <v>Renta Fija</v>
      </c>
      <c r="E1182" s="31" t="str">
        <f>+INDEX([1]Detallado!$Q:$Q,MATCH($C1182,[1]Detallado!$B:$B,0))</f>
        <v>RFLC</v>
      </c>
      <c r="F1182" s="185" t="s">
        <v>4357</v>
      </c>
      <c r="G1182" s="186" t="str">
        <f t="shared" si="36"/>
        <v>25RFLC</v>
      </c>
      <c r="H1182" s="187" t="str">
        <f>+INDEX([1]Detallado!$D:$D,MATCH(C1182,[1]Detallado!$B:$B,0))</f>
        <v>Banco de Crédito del Perú</v>
      </c>
      <c r="I1182" s="28"/>
      <c r="J1182" s="184" t="str">
        <f t="shared" si="37"/>
        <v>RFLBU</v>
      </c>
    </row>
    <row r="1183" spans="3:10" x14ac:dyDescent="0.25">
      <c r="C1183" s="28" t="s">
        <v>3750</v>
      </c>
      <c r="D1183" s="188" t="str">
        <f>+INDEX([1]Detallado!$F:$F,MATCH($C1183,[1]Detallado!$B:$B,0))</f>
        <v>Renta Fija</v>
      </c>
      <c r="E1183" s="31" t="str">
        <f>+INDEX([1]Detallado!$Q:$Q,MATCH($C1183,[1]Detallado!$B:$B,0))</f>
        <v>RFLC</v>
      </c>
      <c r="F1183" s="185" t="s">
        <v>4357</v>
      </c>
      <c r="G1183" s="186" t="str">
        <f t="shared" si="36"/>
        <v>25RFLC</v>
      </c>
      <c r="H1183" s="187" t="str">
        <f>+INDEX([1]Detallado!$D:$D,MATCH(C1183,[1]Detallado!$B:$B,0))</f>
        <v>Banco de Crédito del Perú</v>
      </c>
      <c r="I1183" s="28"/>
      <c r="J1183" s="184" t="str">
        <f t="shared" si="37"/>
        <v>RFLBU</v>
      </c>
    </row>
    <row r="1184" spans="3:10" x14ac:dyDescent="0.25">
      <c r="C1184" s="28" t="s">
        <v>3751</v>
      </c>
      <c r="D1184" s="188" t="str">
        <f>+INDEX([1]Detallado!$F:$F,MATCH($C1184,[1]Detallado!$B:$B,0))</f>
        <v>Renta Fija</v>
      </c>
      <c r="E1184" s="31" t="str">
        <f>+INDEX([1]Detallado!$Q:$Q,MATCH($C1184,[1]Detallado!$B:$B,0))</f>
        <v>RFLC</v>
      </c>
      <c r="F1184" s="185" t="s">
        <v>4357</v>
      </c>
      <c r="G1184" s="186" t="str">
        <f t="shared" si="36"/>
        <v>25RFLC</v>
      </c>
      <c r="H1184" s="187" t="str">
        <f>+INDEX([1]Detallado!$D:$D,MATCH(C1184,[1]Detallado!$B:$B,0))</f>
        <v>Scotiabank Peru</v>
      </c>
      <c r="I1184" s="28"/>
      <c r="J1184" s="184" t="str">
        <f t="shared" si="37"/>
        <v>RFLBU</v>
      </c>
    </row>
    <row r="1185" spans="3:10" x14ac:dyDescent="0.25">
      <c r="C1185" s="28" t="s">
        <v>3752</v>
      </c>
      <c r="D1185" s="188" t="str">
        <f>+INDEX([1]Detallado!$F:$F,MATCH($C1185,[1]Detallado!$B:$B,0))</f>
        <v>Renta Fija</v>
      </c>
      <c r="E1185" s="31" t="str">
        <f>+INDEX([1]Detallado!$Q:$Q,MATCH($C1185,[1]Detallado!$B:$B,0))</f>
        <v>RFLC</v>
      </c>
      <c r="F1185" s="185" t="s">
        <v>4357</v>
      </c>
      <c r="G1185" s="186" t="str">
        <f t="shared" si="36"/>
        <v>25RFLC</v>
      </c>
      <c r="H1185" s="187" t="str">
        <f>+INDEX([1]Detallado!$D:$D,MATCH(C1185,[1]Detallado!$B:$B,0))</f>
        <v>Scotiabank Peru</v>
      </c>
      <c r="I1185" s="28"/>
      <c r="J1185" s="184" t="str">
        <f t="shared" si="37"/>
        <v>RFLBU</v>
      </c>
    </row>
    <row r="1186" spans="3:10" x14ac:dyDescent="0.25">
      <c r="C1186" s="28" t="s">
        <v>3753</v>
      </c>
      <c r="D1186" s="188" t="str">
        <f>+INDEX([1]Detallado!$F:$F,MATCH($C1186,[1]Detallado!$B:$B,0))</f>
        <v>Renta Fija</v>
      </c>
      <c r="E1186" s="31" t="str">
        <f>+INDEX([1]Detallado!$Q:$Q,MATCH($C1186,[1]Detallado!$B:$B,0))</f>
        <v>RFLC</v>
      </c>
      <c r="F1186" s="185" t="s">
        <v>4357</v>
      </c>
      <c r="G1186" s="186" t="str">
        <f t="shared" si="36"/>
        <v>25RFLC</v>
      </c>
      <c r="H1186" s="187" t="str">
        <f>+INDEX([1]Detallado!$D:$D,MATCH(C1186,[1]Detallado!$B:$B,0))</f>
        <v>Scotiabank Peru</v>
      </c>
      <c r="I1186" s="28"/>
      <c r="J1186" s="184" t="str">
        <f t="shared" si="37"/>
        <v>RFLBU</v>
      </c>
    </row>
    <row r="1187" spans="3:10" x14ac:dyDescent="0.25">
      <c r="C1187" s="28" t="s">
        <v>3754</v>
      </c>
      <c r="D1187" s="188" t="str">
        <f>+INDEX([1]Detallado!$F:$F,MATCH($C1187,[1]Detallado!$B:$B,0))</f>
        <v>Renta Fija</v>
      </c>
      <c r="E1187" s="31" t="str">
        <f>+INDEX([1]Detallado!$Q:$Q,MATCH($C1187,[1]Detallado!$B:$B,0))</f>
        <v>RFLC</v>
      </c>
      <c r="F1187" s="185" t="s">
        <v>4357</v>
      </c>
      <c r="G1187" s="186" t="str">
        <f t="shared" si="36"/>
        <v>25RFLC</v>
      </c>
      <c r="H1187" s="187" t="str">
        <f>+INDEX([1]Detallado!$D:$D,MATCH(C1187,[1]Detallado!$B:$B,0))</f>
        <v>Scotiabank Peru</v>
      </c>
      <c r="I1187" s="28"/>
      <c r="J1187" s="184" t="str">
        <f t="shared" si="37"/>
        <v>RFLBU</v>
      </c>
    </row>
    <row r="1188" spans="3:10" x14ac:dyDescent="0.25">
      <c r="C1188" s="28" t="s">
        <v>3755</v>
      </c>
      <c r="D1188" s="188" t="str">
        <f>+INDEX([1]Detallado!$F:$F,MATCH($C1188,[1]Detallado!$B:$B,0))</f>
        <v>Renta Fija</v>
      </c>
      <c r="E1188" s="31" t="str">
        <f>+INDEX([1]Detallado!$Q:$Q,MATCH($C1188,[1]Detallado!$B:$B,0))</f>
        <v>RFLC</v>
      </c>
      <c r="F1188" s="185" t="s">
        <v>4357</v>
      </c>
      <c r="G1188" s="186" t="str">
        <f t="shared" si="36"/>
        <v>25RFLC</v>
      </c>
      <c r="H1188" s="187" t="str">
        <f>+INDEX([1]Detallado!$D:$D,MATCH(C1188,[1]Detallado!$B:$B,0))</f>
        <v>Scotiabank Peru</v>
      </c>
      <c r="I1188" s="28"/>
      <c r="J1188" s="184" t="str">
        <f t="shared" si="37"/>
        <v>RFLBU</v>
      </c>
    </row>
    <row r="1189" spans="3:10" x14ac:dyDescent="0.25">
      <c r="C1189" s="28" t="s">
        <v>3756</v>
      </c>
      <c r="D1189" s="188" t="str">
        <f>+INDEX([1]Detallado!$F:$F,MATCH($C1189,[1]Detallado!$B:$B,0))</f>
        <v>Renta Fija</v>
      </c>
      <c r="E1189" s="31" t="str">
        <f>+INDEX([1]Detallado!$Q:$Q,MATCH($C1189,[1]Detallado!$B:$B,0))</f>
        <v>RFLC</v>
      </c>
      <c r="F1189" s="185" t="s">
        <v>4357</v>
      </c>
      <c r="G1189" s="186" t="str">
        <f t="shared" si="36"/>
        <v>25RFLC</v>
      </c>
      <c r="H1189" s="187" t="str">
        <f>+INDEX([1]Detallado!$D:$D,MATCH(C1189,[1]Detallado!$B:$B,0))</f>
        <v>Scotiabank Peru</v>
      </c>
      <c r="I1189" s="28"/>
      <c r="J1189" s="184" t="str">
        <f t="shared" si="37"/>
        <v>RFLBU</v>
      </c>
    </row>
    <row r="1190" spans="3:10" x14ac:dyDescent="0.25">
      <c r="C1190" s="28" t="s">
        <v>3757</v>
      </c>
      <c r="D1190" s="188" t="str">
        <f>+INDEX([1]Detallado!$F:$F,MATCH($C1190,[1]Detallado!$B:$B,0))</f>
        <v>Renta Fija</v>
      </c>
      <c r="E1190" s="31" t="str">
        <f>+INDEX([1]Detallado!$Q:$Q,MATCH($C1190,[1]Detallado!$B:$B,0))</f>
        <v>RFLC</v>
      </c>
      <c r="F1190" s="185" t="s">
        <v>4357</v>
      </c>
      <c r="G1190" s="186" t="str">
        <f t="shared" si="36"/>
        <v>25RFLC</v>
      </c>
      <c r="H1190" s="187" t="str">
        <f>+INDEX([1]Detallado!$D:$D,MATCH(C1190,[1]Detallado!$B:$B,0))</f>
        <v>Scotiabank Peru</v>
      </c>
      <c r="I1190" s="28"/>
      <c r="J1190" s="184" t="str">
        <f t="shared" si="37"/>
        <v>RFLBU</v>
      </c>
    </row>
    <row r="1191" spans="3:10" x14ac:dyDescent="0.25">
      <c r="C1191" s="28" t="s">
        <v>3758</v>
      </c>
      <c r="D1191" s="188" t="str">
        <f>+INDEX([1]Detallado!$F:$F,MATCH($C1191,[1]Detallado!$B:$B,0))</f>
        <v>Renta Fija</v>
      </c>
      <c r="E1191" s="31" t="str">
        <f>+INDEX([1]Detallado!$Q:$Q,MATCH($C1191,[1]Detallado!$B:$B,0))</f>
        <v>RFLC</v>
      </c>
      <c r="F1191" s="185" t="s">
        <v>4357</v>
      </c>
      <c r="G1191" s="186" t="str">
        <f t="shared" si="36"/>
        <v>25RFLC</v>
      </c>
      <c r="H1191" s="187" t="str">
        <f>+INDEX([1]Detallado!$D:$D,MATCH(C1191,[1]Detallado!$B:$B,0))</f>
        <v>Scotiabank Peru</v>
      </c>
      <c r="I1191" s="28"/>
      <c r="J1191" s="184" t="str">
        <f t="shared" si="37"/>
        <v>RFLBU</v>
      </c>
    </row>
    <row r="1192" spans="3:10" x14ac:dyDescent="0.25">
      <c r="C1192" s="28" t="s">
        <v>3759</v>
      </c>
      <c r="D1192" s="188" t="str">
        <f>+INDEX([1]Detallado!$F:$F,MATCH($C1192,[1]Detallado!$B:$B,0))</f>
        <v>Renta Fija</v>
      </c>
      <c r="E1192" s="31" t="str">
        <f>+INDEX([1]Detallado!$Q:$Q,MATCH($C1192,[1]Detallado!$B:$B,0))</f>
        <v>RFLC</v>
      </c>
      <c r="F1192" s="185" t="s">
        <v>4357</v>
      </c>
      <c r="G1192" s="186" t="str">
        <f t="shared" si="36"/>
        <v>25RFLC</v>
      </c>
      <c r="H1192" s="187" t="str">
        <f>+INDEX([1]Detallado!$D:$D,MATCH(C1192,[1]Detallado!$B:$B,0))</f>
        <v>Scotiabank Peru</v>
      </c>
      <c r="I1192" s="28"/>
      <c r="J1192" s="184" t="str">
        <f t="shared" si="37"/>
        <v>RFLBU</v>
      </c>
    </row>
    <row r="1193" spans="3:10" x14ac:dyDescent="0.25">
      <c r="C1193" s="28" t="s">
        <v>3760</v>
      </c>
      <c r="D1193" s="188" t="str">
        <f>+INDEX([1]Detallado!$F:$F,MATCH($C1193,[1]Detallado!$B:$B,0))</f>
        <v>Renta Fija</v>
      </c>
      <c r="E1193" s="31" t="str">
        <f>+INDEX([1]Detallado!$Q:$Q,MATCH($C1193,[1]Detallado!$B:$B,0))</f>
        <v>RFLC</v>
      </c>
      <c r="F1193" s="185" t="s">
        <v>4357</v>
      </c>
      <c r="G1193" s="186" t="str">
        <f t="shared" si="36"/>
        <v>25RFLC</v>
      </c>
      <c r="H1193" s="187" t="str">
        <f>+INDEX([1]Detallado!$D:$D,MATCH(C1193,[1]Detallado!$B:$B,0))</f>
        <v>Scotiabank Peru</v>
      </c>
      <c r="I1193" s="28"/>
      <c r="J1193" s="184" t="str">
        <f t="shared" si="37"/>
        <v>RFLBU</v>
      </c>
    </row>
    <row r="1194" spans="3:10" x14ac:dyDescent="0.25">
      <c r="C1194" s="28" t="s">
        <v>3761</v>
      </c>
      <c r="D1194" s="188" t="str">
        <f>+INDEX([1]Detallado!$F:$F,MATCH($C1194,[1]Detallado!$B:$B,0))</f>
        <v>Renta Fija</v>
      </c>
      <c r="E1194" s="31" t="str">
        <f>+INDEX([1]Detallado!$Q:$Q,MATCH($C1194,[1]Detallado!$B:$B,0))</f>
        <v>RFLC</v>
      </c>
      <c r="F1194" s="185" t="s">
        <v>4357</v>
      </c>
      <c r="G1194" s="186" t="str">
        <f t="shared" si="36"/>
        <v>25RFLC</v>
      </c>
      <c r="H1194" s="187" t="str">
        <f>+INDEX([1]Detallado!$D:$D,MATCH(C1194,[1]Detallado!$B:$B,0))</f>
        <v>Scotiabank Peru</v>
      </c>
      <c r="I1194" s="28"/>
      <c r="J1194" s="184" t="str">
        <f t="shared" si="37"/>
        <v>RFLBU</v>
      </c>
    </row>
    <row r="1195" spans="3:10" x14ac:dyDescent="0.25">
      <c r="C1195" s="28" t="s">
        <v>3762</v>
      </c>
      <c r="D1195" s="188" t="str">
        <f>+INDEX([1]Detallado!$F:$F,MATCH($C1195,[1]Detallado!$B:$B,0))</f>
        <v>Renta Fija</v>
      </c>
      <c r="E1195" s="31" t="str">
        <f>+INDEX([1]Detallado!$Q:$Q,MATCH($C1195,[1]Detallado!$B:$B,0))</f>
        <v>RFLC</v>
      </c>
      <c r="F1195" s="185" t="s">
        <v>4357</v>
      </c>
      <c r="G1195" s="186" t="str">
        <f t="shared" si="36"/>
        <v>25RFLC</v>
      </c>
      <c r="H1195" s="187" t="str">
        <f>+INDEX([1]Detallado!$D:$D,MATCH(C1195,[1]Detallado!$B:$B,0))</f>
        <v>Scotiabank Peru</v>
      </c>
      <c r="I1195" s="28"/>
      <c r="J1195" s="184" t="str">
        <f t="shared" si="37"/>
        <v>RFLBU</v>
      </c>
    </row>
    <row r="1196" spans="3:10" x14ac:dyDescent="0.25">
      <c r="C1196" s="28" t="s">
        <v>3763</v>
      </c>
      <c r="D1196" s="188" t="str">
        <f>+INDEX([1]Detallado!$F:$F,MATCH($C1196,[1]Detallado!$B:$B,0))</f>
        <v>Renta Fija</v>
      </c>
      <c r="E1196" s="31" t="str">
        <f>+INDEX([1]Detallado!$Q:$Q,MATCH($C1196,[1]Detallado!$B:$B,0))</f>
        <v>RFLC</v>
      </c>
      <c r="F1196" s="185" t="s">
        <v>4357</v>
      </c>
      <c r="G1196" s="186" t="str">
        <f t="shared" si="36"/>
        <v>25RFLC</v>
      </c>
      <c r="H1196" s="187" t="str">
        <f>+INDEX([1]Detallado!$D:$D,MATCH(C1196,[1]Detallado!$B:$B,0))</f>
        <v>Scotiabank Peru</v>
      </c>
      <c r="I1196" s="28"/>
      <c r="J1196" s="184" t="str">
        <f t="shared" si="37"/>
        <v>RFLBU</v>
      </c>
    </row>
    <row r="1197" spans="3:10" x14ac:dyDescent="0.25">
      <c r="C1197" s="28" t="s">
        <v>3764</v>
      </c>
      <c r="D1197" s="188" t="str">
        <f>+INDEX([1]Detallado!$F:$F,MATCH($C1197,[1]Detallado!$B:$B,0))</f>
        <v>Renta Fija</v>
      </c>
      <c r="E1197" s="31" t="str">
        <f>+INDEX([1]Detallado!$Q:$Q,MATCH($C1197,[1]Detallado!$B:$B,0))</f>
        <v>RFLC</v>
      </c>
      <c r="F1197" s="185" t="s">
        <v>4357</v>
      </c>
      <c r="G1197" s="186" t="str">
        <f t="shared" si="36"/>
        <v>25RFLC</v>
      </c>
      <c r="H1197" s="187" t="str">
        <f>+INDEX([1]Detallado!$D:$D,MATCH(C1197,[1]Detallado!$B:$B,0))</f>
        <v>Scotiabank Peru</v>
      </c>
      <c r="I1197" s="28"/>
      <c r="J1197" s="184" t="str">
        <f t="shared" si="37"/>
        <v>RFLBU</v>
      </c>
    </row>
    <row r="1198" spans="3:10" x14ac:dyDescent="0.25">
      <c r="C1198" s="28" t="s">
        <v>3765</v>
      </c>
      <c r="D1198" s="188" t="str">
        <f>+INDEX([1]Detallado!$F:$F,MATCH($C1198,[1]Detallado!$B:$B,0))</f>
        <v>Renta Fija</v>
      </c>
      <c r="E1198" s="31" t="str">
        <f>+INDEX([1]Detallado!$Q:$Q,MATCH($C1198,[1]Detallado!$B:$B,0))</f>
        <v>RFLC</v>
      </c>
      <c r="F1198" s="185" t="s">
        <v>4357</v>
      </c>
      <c r="G1198" s="186" t="str">
        <f t="shared" si="36"/>
        <v>25RFLC</v>
      </c>
      <c r="H1198" s="187" t="str">
        <f>+INDEX([1]Detallado!$D:$D,MATCH(C1198,[1]Detallado!$B:$B,0))</f>
        <v>Scotiabank Peru</v>
      </c>
      <c r="I1198" s="28"/>
      <c r="J1198" s="184" t="str">
        <f t="shared" si="37"/>
        <v>RFLBU</v>
      </c>
    </row>
    <row r="1199" spans="3:10" x14ac:dyDescent="0.25">
      <c r="C1199" s="28" t="s">
        <v>3766</v>
      </c>
      <c r="D1199" s="188" t="str">
        <f>+INDEX([1]Detallado!$F:$F,MATCH($C1199,[1]Detallado!$B:$B,0))</f>
        <v>Renta Fija</v>
      </c>
      <c r="E1199" s="31" t="str">
        <f>+INDEX([1]Detallado!$Q:$Q,MATCH($C1199,[1]Detallado!$B:$B,0))</f>
        <v>RFLC</v>
      </c>
      <c r="F1199" s="185" t="s">
        <v>4357</v>
      </c>
      <c r="G1199" s="186" t="str">
        <f t="shared" si="36"/>
        <v>25RFLC</v>
      </c>
      <c r="H1199" s="187" t="str">
        <f>+INDEX([1]Detallado!$D:$D,MATCH(C1199,[1]Detallado!$B:$B,0))</f>
        <v>Banco Continental</v>
      </c>
      <c r="I1199" s="28"/>
      <c r="J1199" s="184" t="str">
        <f t="shared" si="37"/>
        <v>RFLBU</v>
      </c>
    </row>
    <row r="1200" spans="3:10" x14ac:dyDescent="0.25">
      <c r="C1200" s="28" t="s">
        <v>3767</v>
      </c>
      <c r="D1200" s="188" t="str">
        <f>+INDEX([1]Detallado!$F:$F,MATCH($C1200,[1]Detallado!$B:$B,0))</f>
        <v>Renta Fija</v>
      </c>
      <c r="E1200" s="31" t="str">
        <f>+INDEX([1]Detallado!$Q:$Q,MATCH($C1200,[1]Detallado!$B:$B,0))</f>
        <v>RFLC</v>
      </c>
      <c r="F1200" s="185" t="s">
        <v>4357</v>
      </c>
      <c r="G1200" s="186" t="str">
        <f t="shared" si="36"/>
        <v>25RFLC</v>
      </c>
      <c r="H1200" s="187" t="str">
        <f>+INDEX([1]Detallado!$D:$D,MATCH(C1200,[1]Detallado!$B:$B,0))</f>
        <v>Banco Continental</v>
      </c>
      <c r="I1200" s="28"/>
      <c r="J1200" s="184" t="str">
        <f t="shared" si="37"/>
        <v>RFLBU</v>
      </c>
    </row>
    <row r="1201" spans="3:10" x14ac:dyDescent="0.25">
      <c r="C1201" s="28" t="s">
        <v>3768</v>
      </c>
      <c r="D1201" s="188" t="str">
        <f>+INDEX([1]Detallado!$F:$F,MATCH($C1201,[1]Detallado!$B:$B,0))</f>
        <v>Renta Fija</v>
      </c>
      <c r="E1201" s="31" t="str">
        <f>+INDEX([1]Detallado!$Q:$Q,MATCH($C1201,[1]Detallado!$B:$B,0))</f>
        <v>RFLC</v>
      </c>
      <c r="F1201" s="185" t="s">
        <v>4357</v>
      </c>
      <c r="G1201" s="186" t="str">
        <f t="shared" si="36"/>
        <v>25RFLC</v>
      </c>
      <c r="H1201" s="187" t="str">
        <f>+INDEX([1]Detallado!$D:$D,MATCH(C1201,[1]Detallado!$B:$B,0))</f>
        <v>Banco Continental</v>
      </c>
      <c r="I1201" s="28"/>
      <c r="J1201" s="184" t="str">
        <f t="shared" si="37"/>
        <v>RFLBU</v>
      </c>
    </row>
    <row r="1202" spans="3:10" x14ac:dyDescent="0.25">
      <c r="C1202" s="28" t="s">
        <v>3769</v>
      </c>
      <c r="D1202" s="188" t="str">
        <f>+INDEX([1]Detallado!$F:$F,MATCH($C1202,[1]Detallado!$B:$B,0))</f>
        <v>Renta Fija</v>
      </c>
      <c r="E1202" s="31" t="str">
        <f>+INDEX([1]Detallado!$Q:$Q,MATCH($C1202,[1]Detallado!$B:$B,0))</f>
        <v>RFLC</v>
      </c>
      <c r="F1202" s="185" t="s">
        <v>4357</v>
      </c>
      <c r="G1202" s="186" t="str">
        <f t="shared" si="36"/>
        <v>25RFLC</v>
      </c>
      <c r="H1202" s="187" t="str">
        <f>+INDEX([1]Detallado!$D:$D,MATCH(C1202,[1]Detallado!$B:$B,0))</f>
        <v>Banco Continental</v>
      </c>
      <c r="I1202" s="28"/>
      <c r="J1202" s="184" t="str">
        <f t="shared" si="37"/>
        <v>RFLBU</v>
      </c>
    </row>
    <row r="1203" spans="3:10" x14ac:dyDescent="0.25">
      <c r="C1203" s="28" t="s">
        <v>3770</v>
      </c>
      <c r="D1203" s="188" t="str">
        <f>+INDEX([1]Detallado!$F:$F,MATCH($C1203,[1]Detallado!$B:$B,0))</f>
        <v>Renta Fija</v>
      </c>
      <c r="E1203" s="31" t="str">
        <f>+INDEX([1]Detallado!$Q:$Q,MATCH($C1203,[1]Detallado!$B:$B,0))</f>
        <v>RFLC</v>
      </c>
      <c r="F1203" s="185" t="s">
        <v>4357</v>
      </c>
      <c r="G1203" s="186" t="str">
        <f t="shared" si="36"/>
        <v>25RFLC</v>
      </c>
      <c r="H1203" s="187" t="str">
        <f>+INDEX([1]Detallado!$D:$D,MATCH(C1203,[1]Detallado!$B:$B,0))</f>
        <v>Banco Continental</v>
      </c>
      <c r="I1203" s="28"/>
      <c r="J1203" s="184" t="str">
        <f t="shared" si="37"/>
        <v>RFLBU</v>
      </c>
    </row>
    <row r="1204" spans="3:10" x14ac:dyDescent="0.25">
      <c r="C1204" s="28" t="s">
        <v>3771</v>
      </c>
      <c r="D1204" s="188" t="str">
        <f>+INDEX([1]Detallado!$F:$F,MATCH($C1204,[1]Detallado!$B:$B,0))</f>
        <v>Renta Fija</v>
      </c>
      <c r="E1204" s="31" t="str">
        <f>+INDEX([1]Detallado!$Q:$Q,MATCH($C1204,[1]Detallado!$B:$B,0))</f>
        <v>RFLC</v>
      </c>
      <c r="F1204" s="185" t="s">
        <v>4357</v>
      </c>
      <c r="G1204" s="186" t="str">
        <f t="shared" si="36"/>
        <v>25RFLC</v>
      </c>
      <c r="H1204" s="187" t="str">
        <f>+INDEX([1]Detallado!$D:$D,MATCH(C1204,[1]Detallado!$B:$B,0))</f>
        <v>Banco Continental</v>
      </c>
      <c r="I1204" s="28"/>
      <c r="J1204" s="184" t="str">
        <f t="shared" si="37"/>
        <v>RFLBU</v>
      </c>
    </row>
    <row r="1205" spans="3:10" x14ac:dyDescent="0.25">
      <c r="C1205" s="28" t="s">
        <v>3772</v>
      </c>
      <c r="D1205" s="188" t="str">
        <f>+INDEX([1]Detallado!$F:$F,MATCH($C1205,[1]Detallado!$B:$B,0))</f>
        <v>Renta Fija</v>
      </c>
      <c r="E1205" s="31" t="str">
        <f>+INDEX([1]Detallado!$Q:$Q,MATCH($C1205,[1]Detallado!$B:$B,0))</f>
        <v>RFLC</v>
      </c>
      <c r="F1205" s="185" t="s">
        <v>4357</v>
      </c>
      <c r="G1205" s="186" t="str">
        <f t="shared" si="36"/>
        <v>25RFLC</v>
      </c>
      <c r="H1205" s="187" t="str">
        <f>+INDEX([1]Detallado!$D:$D,MATCH(C1205,[1]Detallado!$B:$B,0))</f>
        <v>Banco Continental</v>
      </c>
      <c r="I1205" s="28"/>
      <c r="J1205" s="184" t="str">
        <f t="shared" si="37"/>
        <v>RFLBU</v>
      </c>
    </row>
    <row r="1206" spans="3:10" x14ac:dyDescent="0.25">
      <c r="C1206" s="28" t="s">
        <v>3773</v>
      </c>
      <c r="D1206" s="188" t="str">
        <f>+INDEX([1]Detallado!$F:$F,MATCH($C1206,[1]Detallado!$B:$B,0))</f>
        <v>Renta Fija</v>
      </c>
      <c r="E1206" s="31" t="str">
        <f>+INDEX([1]Detallado!$Q:$Q,MATCH($C1206,[1]Detallado!$B:$B,0))</f>
        <v>RFLC</v>
      </c>
      <c r="F1206" s="185" t="s">
        <v>4357</v>
      </c>
      <c r="G1206" s="186" t="str">
        <f t="shared" si="36"/>
        <v>25RFLC</v>
      </c>
      <c r="H1206" s="187" t="str">
        <f>+INDEX([1]Detallado!$D:$D,MATCH(C1206,[1]Detallado!$B:$B,0))</f>
        <v>Banco Continental</v>
      </c>
      <c r="I1206" s="28"/>
      <c r="J1206" s="184" t="str">
        <f t="shared" si="37"/>
        <v>RFLBU</v>
      </c>
    </row>
    <row r="1207" spans="3:10" x14ac:dyDescent="0.25">
      <c r="C1207" s="28" t="s">
        <v>3774</v>
      </c>
      <c r="D1207" s="188" t="str">
        <f>+INDEX([1]Detallado!$F:$F,MATCH($C1207,[1]Detallado!$B:$B,0))</f>
        <v>Renta Fija</v>
      </c>
      <c r="E1207" s="31" t="str">
        <f>+INDEX([1]Detallado!$Q:$Q,MATCH($C1207,[1]Detallado!$B:$B,0))</f>
        <v>RFLC</v>
      </c>
      <c r="F1207" s="185" t="s">
        <v>4357</v>
      </c>
      <c r="G1207" s="186" t="str">
        <f t="shared" si="36"/>
        <v>25RFLC</v>
      </c>
      <c r="H1207" s="187" t="str">
        <f>+INDEX([1]Detallado!$D:$D,MATCH(C1207,[1]Detallado!$B:$B,0))</f>
        <v>Banco Continental</v>
      </c>
      <c r="I1207" s="28"/>
      <c r="J1207" s="184" t="str">
        <f t="shared" si="37"/>
        <v>RFLBU</v>
      </c>
    </row>
    <row r="1208" spans="3:10" x14ac:dyDescent="0.25">
      <c r="C1208" s="28" t="s">
        <v>3775</v>
      </c>
      <c r="D1208" s="188" t="str">
        <f>+INDEX([1]Detallado!$F:$F,MATCH($C1208,[1]Detallado!$B:$B,0))</f>
        <v>Renta Fija</v>
      </c>
      <c r="E1208" s="31" t="str">
        <f>+INDEX([1]Detallado!$Q:$Q,MATCH($C1208,[1]Detallado!$B:$B,0))</f>
        <v>RFLC</v>
      </c>
      <c r="F1208" s="185" t="s">
        <v>4357</v>
      </c>
      <c r="G1208" s="186" t="str">
        <f t="shared" si="36"/>
        <v>25RFLC</v>
      </c>
      <c r="H1208" s="187" t="str">
        <f>+INDEX([1]Detallado!$D:$D,MATCH(C1208,[1]Detallado!$B:$B,0))</f>
        <v>Banco Continental</v>
      </c>
      <c r="I1208" s="28"/>
      <c r="J1208" s="184" t="str">
        <f t="shared" si="37"/>
        <v>RFLBU</v>
      </c>
    </row>
    <row r="1209" spans="3:10" x14ac:dyDescent="0.25">
      <c r="C1209" s="28" t="s">
        <v>3776</v>
      </c>
      <c r="D1209" s="188" t="str">
        <f>+INDEX([1]Detallado!$F:$F,MATCH($C1209,[1]Detallado!$B:$B,0))</f>
        <v>Renta Fija</v>
      </c>
      <c r="E1209" s="31" t="str">
        <f>+INDEX([1]Detallado!$Q:$Q,MATCH($C1209,[1]Detallado!$B:$B,0))</f>
        <v>RFLC</v>
      </c>
      <c r="F1209" s="185" t="s">
        <v>4357</v>
      </c>
      <c r="G1209" s="186" t="str">
        <f t="shared" si="36"/>
        <v>25RFLC</v>
      </c>
      <c r="H1209" s="187" t="str">
        <f>+INDEX([1]Detallado!$D:$D,MATCH(C1209,[1]Detallado!$B:$B,0))</f>
        <v>Banco Continental</v>
      </c>
      <c r="I1209" s="28"/>
      <c r="J1209" s="184" t="str">
        <f t="shared" si="37"/>
        <v>RFLBU</v>
      </c>
    </row>
    <row r="1210" spans="3:10" x14ac:dyDescent="0.25">
      <c r="C1210" s="28" t="s">
        <v>3777</v>
      </c>
      <c r="D1210" s="188" t="str">
        <f>+INDEX([1]Detallado!$F:$F,MATCH($C1210,[1]Detallado!$B:$B,0))</f>
        <v>Renta Fija</v>
      </c>
      <c r="E1210" s="31" t="str">
        <f>+INDEX([1]Detallado!$Q:$Q,MATCH($C1210,[1]Detallado!$B:$B,0))</f>
        <v>RFLC</v>
      </c>
      <c r="F1210" s="185" t="s">
        <v>4357</v>
      </c>
      <c r="G1210" s="186" t="str">
        <f t="shared" si="36"/>
        <v>25RFLC</v>
      </c>
      <c r="H1210" s="187" t="str">
        <f>+INDEX([1]Detallado!$D:$D,MATCH(C1210,[1]Detallado!$B:$B,0))</f>
        <v>Banco Financiero</v>
      </c>
      <c r="I1210" s="28"/>
      <c r="J1210" s="184" t="str">
        <f t="shared" si="37"/>
        <v>RFLBU</v>
      </c>
    </row>
    <row r="1211" spans="3:10" x14ac:dyDescent="0.25">
      <c r="C1211" s="28" t="s">
        <v>3778</v>
      </c>
      <c r="D1211" s="188" t="str">
        <f>+INDEX([1]Detallado!$F:$F,MATCH($C1211,[1]Detallado!$B:$B,0))</f>
        <v>Renta Fija</v>
      </c>
      <c r="E1211" s="31" t="str">
        <f>+INDEX([1]Detallado!$Q:$Q,MATCH($C1211,[1]Detallado!$B:$B,0))</f>
        <v>RFLC</v>
      </c>
      <c r="F1211" s="185" t="s">
        <v>4357</v>
      </c>
      <c r="G1211" s="186" t="str">
        <f t="shared" si="36"/>
        <v>25RFLC</v>
      </c>
      <c r="H1211" s="187" t="str">
        <f>+INDEX([1]Detallado!$D:$D,MATCH(C1211,[1]Detallado!$B:$B,0))</f>
        <v>Banco Financiero</v>
      </c>
      <c r="I1211" s="28"/>
      <c r="J1211" s="184" t="str">
        <f t="shared" si="37"/>
        <v>RFLBU</v>
      </c>
    </row>
    <row r="1212" spans="3:10" x14ac:dyDescent="0.25">
      <c r="C1212" s="28" t="s">
        <v>3779</v>
      </c>
      <c r="D1212" s="188" t="str">
        <f>+INDEX([1]Detallado!$F:$F,MATCH($C1212,[1]Detallado!$B:$B,0))</f>
        <v>Renta Fija</v>
      </c>
      <c r="E1212" s="31" t="str">
        <f>+INDEX([1]Detallado!$Q:$Q,MATCH($C1212,[1]Detallado!$B:$B,0))</f>
        <v>RFLC</v>
      </c>
      <c r="F1212" s="185" t="s">
        <v>4357</v>
      </c>
      <c r="G1212" s="186" t="str">
        <f t="shared" si="36"/>
        <v>25RFLC</v>
      </c>
      <c r="H1212" s="187" t="str">
        <f>+INDEX([1]Detallado!$D:$D,MATCH(C1212,[1]Detallado!$B:$B,0))</f>
        <v>Crediscotia</v>
      </c>
      <c r="I1212" s="28"/>
      <c r="J1212" s="184" t="str">
        <f t="shared" si="37"/>
        <v>RFLBU</v>
      </c>
    </row>
    <row r="1213" spans="3:10" x14ac:dyDescent="0.25">
      <c r="C1213" s="28" t="s">
        <v>3780</v>
      </c>
      <c r="D1213" s="188" t="str">
        <f>+INDEX([1]Detallado!$F:$F,MATCH($C1213,[1]Detallado!$B:$B,0))</f>
        <v>Renta Fija</v>
      </c>
      <c r="E1213" s="31" t="str">
        <f>+INDEX([1]Detallado!$Q:$Q,MATCH($C1213,[1]Detallado!$B:$B,0))</f>
        <v>RFLC</v>
      </c>
      <c r="F1213" s="185" t="s">
        <v>4357</v>
      </c>
      <c r="G1213" s="186" t="str">
        <f t="shared" si="36"/>
        <v>25RFLC</v>
      </c>
      <c r="H1213" s="187" t="str">
        <f>+INDEX([1]Detallado!$D:$D,MATCH(C1213,[1]Detallado!$B:$B,0))</f>
        <v>Crediscotia</v>
      </c>
      <c r="I1213" s="28"/>
      <c r="J1213" s="184" t="str">
        <f t="shared" si="37"/>
        <v>RFLBU</v>
      </c>
    </row>
    <row r="1214" spans="3:10" x14ac:dyDescent="0.25">
      <c r="C1214" s="28" t="s">
        <v>3781</v>
      </c>
      <c r="D1214" s="188" t="str">
        <f>+INDEX([1]Detallado!$F:$F,MATCH($C1214,[1]Detallado!$B:$B,0))</f>
        <v>Renta Fija</v>
      </c>
      <c r="E1214" s="31" t="str">
        <f>+INDEX([1]Detallado!$Q:$Q,MATCH($C1214,[1]Detallado!$B:$B,0))</f>
        <v>RFLC</v>
      </c>
      <c r="F1214" s="185" t="s">
        <v>4357</v>
      </c>
      <c r="G1214" s="186" t="str">
        <f t="shared" si="36"/>
        <v>25RFLC</v>
      </c>
      <c r="H1214" s="187" t="str">
        <f>+INDEX([1]Detallado!$D:$D,MATCH(C1214,[1]Detallado!$B:$B,0))</f>
        <v>Crediscotia</v>
      </c>
      <c r="I1214" s="28"/>
      <c r="J1214" s="184" t="str">
        <f t="shared" si="37"/>
        <v>RFLBU</v>
      </c>
    </row>
    <row r="1215" spans="3:10" x14ac:dyDescent="0.25">
      <c r="C1215" s="28" t="s">
        <v>3782</v>
      </c>
      <c r="D1215" s="188" t="str">
        <f>+INDEX([1]Detallado!$F:$F,MATCH($C1215,[1]Detallado!$B:$B,0))</f>
        <v>Renta Fija</v>
      </c>
      <c r="E1215" s="31" t="str">
        <f>+INDEX([1]Detallado!$Q:$Q,MATCH($C1215,[1]Detallado!$B:$B,0))</f>
        <v>RFLC</v>
      </c>
      <c r="F1215" s="185" t="s">
        <v>4357</v>
      </c>
      <c r="G1215" s="186" t="str">
        <f t="shared" si="36"/>
        <v>25RFLC</v>
      </c>
      <c r="H1215" s="187" t="str">
        <f>+INDEX([1]Detallado!$D:$D,MATCH(C1215,[1]Detallado!$B:$B,0))</f>
        <v>Crediscotia Financiera</v>
      </c>
      <c r="I1215" s="28"/>
      <c r="J1215" s="184" t="str">
        <f t="shared" si="37"/>
        <v>RFLBU</v>
      </c>
    </row>
    <row r="1216" spans="3:10" x14ac:dyDescent="0.25">
      <c r="C1216" s="28" t="s">
        <v>3783</v>
      </c>
      <c r="D1216" s="188" t="str">
        <f>+INDEX([1]Detallado!$F:$F,MATCH($C1216,[1]Detallado!$B:$B,0))</f>
        <v>Renta Fija</v>
      </c>
      <c r="E1216" s="31" t="str">
        <f>+INDEX([1]Detallado!$Q:$Q,MATCH($C1216,[1]Detallado!$B:$B,0))</f>
        <v>RFLC</v>
      </c>
      <c r="F1216" s="185" t="s">
        <v>4357</v>
      </c>
      <c r="G1216" s="186" t="str">
        <f t="shared" si="36"/>
        <v>25RFLC</v>
      </c>
      <c r="H1216" s="187" t="str">
        <f>+INDEX([1]Detallado!$D:$D,MATCH(C1216,[1]Detallado!$B:$B,0))</f>
        <v>Mibanco</v>
      </c>
      <c r="I1216" s="28"/>
      <c r="J1216" s="184" t="str">
        <f t="shared" si="37"/>
        <v>RFLBU</v>
      </c>
    </row>
    <row r="1217" spans="3:10" x14ac:dyDescent="0.25">
      <c r="C1217" s="28" t="s">
        <v>3784</v>
      </c>
      <c r="D1217" s="188" t="str">
        <f>+INDEX([1]Detallado!$F:$F,MATCH($C1217,[1]Detallado!$B:$B,0))</f>
        <v>Renta Fija</v>
      </c>
      <c r="E1217" s="31" t="str">
        <f>+INDEX([1]Detallado!$Q:$Q,MATCH($C1217,[1]Detallado!$B:$B,0))</f>
        <v>RFLC</v>
      </c>
      <c r="F1217" s="185" t="s">
        <v>4357</v>
      </c>
      <c r="G1217" s="186" t="str">
        <f t="shared" si="36"/>
        <v>25RFLC</v>
      </c>
      <c r="H1217" s="187" t="str">
        <f>+INDEX([1]Detallado!$D:$D,MATCH(C1217,[1]Detallado!$B:$B,0))</f>
        <v>Mibanco</v>
      </c>
      <c r="I1217" s="28"/>
      <c r="J1217" s="184" t="str">
        <f t="shared" si="37"/>
        <v>RFLBU</v>
      </c>
    </row>
    <row r="1218" spans="3:10" x14ac:dyDescent="0.25">
      <c r="C1218" s="28" t="s">
        <v>3785</v>
      </c>
      <c r="D1218" s="188" t="str">
        <f>+INDEX([1]Detallado!$F:$F,MATCH($C1218,[1]Detallado!$B:$B,0))</f>
        <v>Renta Fija</v>
      </c>
      <c r="E1218" s="31" t="str">
        <f>+INDEX([1]Detallado!$Q:$Q,MATCH($C1218,[1]Detallado!$B:$B,0))</f>
        <v>RFLC</v>
      </c>
      <c r="F1218" s="185" t="s">
        <v>4357</v>
      </c>
      <c r="G1218" s="186" t="str">
        <f t="shared" si="36"/>
        <v>25RFLC</v>
      </c>
      <c r="H1218" s="187" t="str">
        <f>+INDEX([1]Detallado!$D:$D,MATCH(C1218,[1]Detallado!$B:$B,0))</f>
        <v>Mibanco</v>
      </c>
      <c r="I1218" s="28"/>
      <c r="J1218" s="184" t="str">
        <f t="shared" si="37"/>
        <v>RFLBU</v>
      </c>
    </row>
    <row r="1219" spans="3:10" x14ac:dyDescent="0.25">
      <c r="C1219" s="28" t="s">
        <v>3786</v>
      </c>
      <c r="D1219" s="188" t="str">
        <f>+INDEX([1]Detallado!$F:$F,MATCH($C1219,[1]Detallado!$B:$B,0))</f>
        <v>Renta Fija</v>
      </c>
      <c r="E1219" s="31" t="str">
        <f>+INDEX([1]Detallado!$Q:$Q,MATCH($C1219,[1]Detallado!$B:$B,0))</f>
        <v>RFLC</v>
      </c>
      <c r="F1219" s="185" t="s">
        <v>4357</v>
      </c>
      <c r="G1219" s="186" t="str">
        <f t="shared" si="36"/>
        <v>25RFLC</v>
      </c>
      <c r="H1219" s="187" t="str">
        <f>+INDEX([1]Detallado!$D:$D,MATCH(C1219,[1]Detallado!$B:$B,0))</f>
        <v>Mibanco</v>
      </c>
      <c r="I1219" s="28"/>
      <c r="J1219" s="184" t="str">
        <f t="shared" si="37"/>
        <v>RFLBU</v>
      </c>
    </row>
    <row r="1220" spans="3:10" x14ac:dyDescent="0.25">
      <c r="C1220" s="28" t="s">
        <v>3787</v>
      </c>
      <c r="D1220" s="188" t="str">
        <f>+INDEX([1]Detallado!$F:$F,MATCH($C1220,[1]Detallado!$B:$B,0))</f>
        <v>Renta Fija</v>
      </c>
      <c r="E1220" s="31" t="str">
        <f>+INDEX([1]Detallado!$Q:$Q,MATCH($C1220,[1]Detallado!$B:$B,0))</f>
        <v>RFLC</v>
      </c>
      <c r="F1220" s="185" t="s">
        <v>4357</v>
      </c>
      <c r="G1220" s="186" t="str">
        <f t="shared" si="36"/>
        <v>25RFLC</v>
      </c>
      <c r="H1220" s="187" t="str">
        <f>+INDEX([1]Detallado!$D:$D,MATCH(C1220,[1]Detallado!$B:$B,0))</f>
        <v>Mibanco</v>
      </c>
      <c r="I1220" s="28"/>
      <c r="J1220" s="184" t="str">
        <f t="shared" si="37"/>
        <v>RFLBU</v>
      </c>
    </row>
    <row r="1221" spans="3:10" x14ac:dyDescent="0.25">
      <c r="C1221" s="28" t="s">
        <v>3788</v>
      </c>
      <c r="D1221" s="188" t="str">
        <f>+INDEX([1]Detallado!$F:$F,MATCH($C1221,[1]Detallado!$B:$B,0))</f>
        <v>Renta Fija</v>
      </c>
      <c r="E1221" s="31" t="str">
        <f>+INDEX([1]Detallado!$Q:$Q,MATCH($C1221,[1]Detallado!$B:$B,0))</f>
        <v>RFLC</v>
      </c>
      <c r="F1221" s="185" t="s">
        <v>4357</v>
      </c>
      <c r="G1221" s="186" t="str">
        <f t="shared" si="36"/>
        <v>25RFLC</v>
      </c>
      <c r="H1221" s="187" t="str">
        <f>+INDEX([1]Detallado!$D:$D,MATCH(C1221,[1]Detallado!$B:$B,0))</f>
        <v>Mibanco</v>
      </c>
      <c r="I1221" s="28"/>
      <c r="J1221" s="184" t="str">
        <f t="shared" si="37"/>
        <v>RFLBU</v>
      </c>
    </row>
    <row r="1222" spans="3:10" x14ac:dyDescent="0.25">
      <c r="C1222" s="28" t="s">
        <v>3789</v>
      </c>
      <c r="D1222" s="188" t="str">
        <f>+INDEX([1]Detallado!$F:$F,MATCH($C1222,[1]Detallado!$B:$B,0))</f>
        <v>Renta Fija</v>
      </c>
      <c r="E1222" s="31" t="str">
        <f>+INDEX([1]Detallado!$Q:$Q,MATCH($C1222,[1]Detallado!$B:$B,0))</f>
        <v>RFLC</v>
      </c>
      <c r="F1222" s="185" t="s">
        <v>4357</v>
      </c>
      <c r="G1222" s="186" t="str">
        <f t="shared" si="36"/>
        <v>25RFLC</v>
      </c>
      <c r="H1222" s="187" t="str">
        <f>+INDEX([1]Detallado!$D:$D,MATCH(C1222,[1]Detallado!$B:$B,0))</f>
        <v>Mibanco</v>
      </c>
      <c r="I1222" s="28"/>
      <c r="J1222" s="184" t="str">
        <f t="shared" si="37"/>
        <v>RFLBU</v>
      </c>
    </row>
    <row r="1223" spans="3:10" x14ac:dyDescent="0.25">
      <c r="C1223" s="28" t="s">
        <v>3790</v>
      </c>
      <c r="D1223" s="188" t="str">
        <f>+INDEX([1]Detallado!$F:$F,MATCH($C1223,[1]Detallado!$B:$B,0))</f>
        <v>Renta Fija</v>
      </c>
      <c r="E1223" s="31" t="str">
        <f>+INDEX([1]Detallado!$Q:$Q,MATCH($C1223,[1]Detallado!$B:$B,0))</f>
        <v>RFLC</v>
      </c>
      <c r="F1223" s="185" t="s">
        <v>4357</v>
      </c>
      <c r="G1223" s="186" t="str">
        <f t="shared" si="36"/>
        <v>25RFLC</v>
      </c>
      <c r="H1223" s="187" t="str">
        <f>+INDEX([1]Detallado!$D:$D,MATCH(C1223,[1]Detallado!$B:$B,0))</f>
        <v>Mibanco</v>
      </c>
      <c r="I1223" s="28"/>
      <c r="J1223" s="184" t="str">
        <f t="shared" si="37"/>
        <v>RFLBU</v>
      </c>
    </row>
    <row r="1224" spans="3:10" x14ac:dyDescent="0.25">
      <c r="C1224" s="28" t="s">
        <v>371</v>
      </c>
      <c r="D1224" s="188" t="str">
        <f>+INDEX([1]Detallado!$F:$F,MATCH($C1224,[1]Detallado!$B:$B,0))</f>
        <v>Renta Fija</v>
      </c>
      <c r="E1224" s="31" t="str">
        <f>+INDEX([1]Detallado!$Q:$Q,MATCH($C1224,[1]Detallado!$B:$B,0))</f>
        <v>RFLC</v>
      </c>
      <c r="F1224" s="185" t="s">
        <v>4357</v>
      </c>
      <c r="G1224" s="186" t="str">
        <f t="shared" si="36"/>
        <v>25RFLC</v>
      </c>
      <c r="H1224" s="187" t="str">
        <f>+INDEX([1]Detallado!$D:$D,MATCH(C1224,[1]Detallado!$B:$B,0))</f>
        <v>COFIDE</v>
      </c>
      <c r="I1224" s="28"/>
      <c r="J1224" s="184" t="str">
        <f t="shared" si="37"/>
        <v>RFLBU</v>
      </c>
    </row>
    <row r="1225" spans="3:10" x14ac:dyDescent="0.25">
      <c r="C1225" s="28" t="s">
        <v>3791</v>
      </c>
      <c r="D1225" s="188" t="str">
        <f>+INDEX([1]Detallado!$F:$F,MATCH($C1225,[1]Detallado!$B:$B,0))</f>
        <v>Renta Fija</v>
      </c>
      <c r="E1225" s="31" t="str">
        <f>+INDEX([1]Detallado!$Q:$Q,MATCH($C1225,[1]Detallado!$B:$B,0))</f>
        <v>RFLC</v>
      </c>
      <c r="F1225" s="185" t="s">
        <v>4357</v>
      </c>
      <c r="G1225" s="186" t="str">
        <f t="shared" si="36"/>
        <v>25RFLC</v>
      </c>
      <c r="H1225" s="187" t="str">
        <f>+INDEX([1]Detallado!$D:$D,MATCH(C1225,[1]Detallado!$B:$B,0))</f>
        <v>COFIDE</v>
      </c>
      <c r="I1225" s="28"/>
      <c r="J1225" s="184" t="str">
        <f t="shared" si="37"/>
        <v>RFLBU</v>
      </c>
    </row>
    <row r="1226" spans="3:10" x14ac:dyDescent="0.25">
      <c r="C1226" s="28" t="s">
        <v>3792</v>
      </c>
      <c r="D1226" s="188" t="str">
        <f>+INDEX([1]Detallado!$F:$F,MATCH($C1226,[1]Detallado!$B:$B,0))</f>
        <v>Renta Fija</v>
      </c>
      <c r="E1226" s="31" t="str">
        <f>+INDEX([1]Detallado!$Q:$Q,MATCH($C1226,[1]Detallado!$B:$B,0))</f>
        <v>RFLC</v>
      </c>
      <c r="F1226" s="185" t="s">
        <v>4357</v>
      </c>
      <c r="G1226" s="186" t="str">
        <f t="shared" ref="G1226:G1289" si="38">LEFT(C1226,2)&amp;E1226</f>
        <v>25RFLC</v>
      </c>
      <c r="H1226" s="187" t="str">
        <f>+INDEX([1]Detallado!$D:$D,MATCH(C1226,[1]Detallado!$B:$B,0))</f>
        <v>COFIDE</v>
      </c>
      <c r="I1226" s="28"/>
      <c r="J1226" s="184" t="str">
        <f t="shared" ref="J1226:J1289" si="39">IF(E1226="ALT",LEFT(E1226,3),LEFT(E1226,3)&amp;F1226)</f>
        <v>RFLBU</v>
      </c>
    </row>
    <row r="1227" spans="3:10" x14ac:dyDescent="0.25">
      <c r="C1227" s="28" t="s">
        <v>3793</v>
      </c>
      <c r="D1227" s="188" t="str">
        <f>+INDEX([1]Detallado!$F:$F,MATCH($C1227,[1]Detallado!$B:$B,0))</f>
        <v>Renta Fija</v>
      </c>
      <c r="E1227" s="31" t="str">
        <f>+INDEX([1]Detallado!$Q:$Q,MATCH($C1227,[1]Detallado!$B:$B,0))</f>
        <v>RFLC</v>
      </c>
      <c r="F1227" s="185" t="s">
        <v>4357</v>
      </c>
      <c r="G1227" s="186" t="str">
        <f t="shared" si="38"/>
        <v>25RFLC</v>
      </c>
      <c r="H1227" s="187" t="str">
        <f>+INDEX([1]Detallado!$D:$D,MATCH(C1227,[1]Detallado!$B:$B,0))</f>
        <v>CORPORACION FINANCIERA DE DESARROLLO</v>
      </c>
      <c r="I1227" s="28"/>
      <c r="J1227" s="184" t="str">
        <f t="shared" si="39"/>
        <v>RFLBU</v>
      </c>
    </row>
    <row r="1228" spans="3:10" x14ac:dyDescent="0.25">
      <c r="C1228" s="28" t="s">
        <v>3794</v>
      </c>
      <c r="D1228" s="188" t="str">
        <f>+INDEX([1]Detallado!$F:$F,MATCH($C1228,[1]Detallado!$B:$B,0))</f>
        <v>Renta Fija</v>
      </c>
      <c r="E1228" s="31" t="str">
        <f>+INDEX([1]Detallado!$Q:$Q,MATCH($C1228,[1]Detallado!$B:$B,0))</f>
        <v>RFLC</v>
      </c>
      <c r="F1228" s="185" t="s">
        <v>4357</v>
      </c>
      <c r="G1228" s="186" t="str">
        <f t="shared" si="38"/>
        <v>25RFLC</v>
      </c>
      <c r="H1228" s="187" t="str">
        <f>+INDEX([1]Detallado!$D:$D,MATCH(C1228,[1]Detallado!$B:$B,0))</f>
        <v>CORPORACION FINANCIERA DE DESARROLLO</v>
      </c>
      <c r="I1228" s="28"/>
      <c r="J1228" s="184" t="str">
        <f t="shared" si="39"/>
        <v>RFLBU</v>
      </c>
    </row>
    <row r="1229" spans="3:10" x14ac:dyDescent="0.25">
      <c r="C1229" s="28" t="s">
        <v>3795</v>
      </c>
      <c r="D1229" s="188" t="str">
        <f>+INDEX([1]Detallado!$F:$F,MATCH($C1229,[1]Detallado!$B:$B,0))</f>
        <v>Renta Fija</v>
      </c>
      <c r="E1229" s="31" t="str">
        <f>+INDEX([1]Detallado!$Q:$Q,MATCH($C1229,[1]Detallado!$B:$B,0))</f>
        <v>RFLC</v>
      </c>
      <c r="F1229" s="185" t="s">
        <v>4357</v>
      </c>
      <c r="G1229" s="186" t="str">
        <f t="shared" si="38"/>
        <v>25RFLC</v>
      </c>
      <c r="H1229" s="187" t="str">
        <f>+INDEX([1]Detallado!$D:$D,MATCH(C1229,[1]Detallado!$B:$B,0))</f>
        <v>COFIDE</v>
      </c>
      <c r="I1229" s="28"/>
      <c r="J1229" s="184" t="str">
        <f t="shared" si="39"/>
        <v>RFLBU</v>
      </c>
    </row>
    <row r="1230" spans="3:10" x14ac:dyDescent="0.25">
      <c r="C1230" s="28" t="s">
        <v>3796</v>
      </c>
      <c r="D1230" s="188" t="str">
        <f>+INDEX([1]Detallado!$F:$F,MATCH($C1230,[1]Detallado!$B:$B,0))</f>
        <v>Renta Fija</v>
      </c>
      <c r="E1230" s="31" t="str">
        <f>+INDEX([1]Detallado!$Q:$Q,MATCH($C1230,[1]Detallado!$B:$B,0))</f>
        <v>RFLC</v>
      </c>
      <c r="F1230" s="185" t="s">
        <v>4357</v>
      </c>
      <c r="G1230" s="186" t="str">
        <f t="shared" si="38"/>
        <v>25RFLC</v>
      </c>
      <c r="H1230" s="187" t="str">
        <f>+INDEX([1]Detallado!$D:$D,MATCH(C1230,[1]Detallado!$B:$B,0))</f>
        <v>COFIDE</v>
      </c>
      <c r="I1230" s="28"/>
      <c r="J1230" s="184" t="str">
        <f t="shared" si="39"/>
        <v>RFLBU</v>
      </c>
    </row>
    <row r="1231" spans="3:10" x14ac:dyDescent="0.25">
      <c r="C1231" s="28" t="s">
        <v>370</v>
      </c>
      <c r="D1231" s="188" t="str">
        <f>+INDEX([1]Detallado!$F:$F,MATCH($C1231,[1]Detallado!$B:$B,0))</f>
        <v>Renta Fija</v>
      </c>
      <c r="E1231" s="31" t="str">
        <f>+INDEX([1]Detallado!$Q:$Q,MATCH($C1231,[1]Detallado!$B:$B,0))</f>
        <v>RFLC</v>
      </c>
      <c r="F1231" s="185" t="s">
        <v>4357</v>
      </c>
      <c r="G1231" s="186" t="str">
        <f t="shared" si="38"/>
        <v>25RFLC</v>
      </c>
      <c r="H1231" s="187" t="str">
        <f>+INDEX([1]Detallado!$D:$D,MATCH(C1231,[1]Detallado!$B:$B,0))</f>
        <v>COFIDE</v>
      </c>
      <c r="I1231" s="28"/>
      <c r="J1231" s="184" t="str">
        <f t="shared" si="39"/>
        <v>RFLBU</v>
      </c>
    </row>
    <row r="1232" spans="3:10" x14ac:dyDescent="0.25">
      <c r="C1232" s="28" t="s">
        <v>3797</v>
      </c>
      <c r="D1232" s="188" t="str">
        <f>+INDEX([1]Detallado!$F:$F,MATCH($C1232,[1]Detallado!$B:$B,0))</f>
        <v>Renta Fija</v>
      </c>
      <c r="E1232" s="31" t="str">
        <f>+INDEX([1]Detallado!$Q:$Q,MATCH($C1232,[1]Detallado!$B:$B,0))</f>
        <v>RFLC</v>
      </c>
      <c r="F1232" s="185" t="s">
        <v>4357</v>
      </c>
      <c r="G1232" s="186" t="str">
        <f t="shared" si="38"/>
        <v>25RFLC</v>
      </c>
      <c r="H1232" s="187" t="str">
        <f>+INDEX([1]Detallado!$D:$D,MATCH(C1232,[1]Detallado!$B:$B,0))</f>
        <v>CORPORACION FINANCIERA DE DESARROLLO</v>
      </c>
      <c r="I1232" s="28"/>
      <c r="J1232" s="184" t="str">
        <f t="shared" si="39"/>
        <v>RFLBU</v>
      </c>
    </row>
    <row r="1233" spans="3:10" x14ac:dyDescent="0.25">
      <c r="C1233" s="28" t="s">
        <v>3798</v>
      </c>
      <c r="D1233" s="188" t="str">
        <f>+INDEX([1]Detallado!$F:$F,MATCH($C1233,[1]Detallado!$B:$B,0))</f>
        <v>Renta Fija</v>
      </c>
      <c r="E1233" s="31" t="str">
        <f>+INDEX([1]Detallado!$Q:$Q,MATCH($C1233,[1]Detallado!$B:$B,0))</f>
        <v>RFLC</v>
      </c>
      <c r="F1233" s="185" t="s">
        <v>4357</v>
      </c>
      <c r="G1233" s="186" t="str">
        <f t="shared" si="38"/>
        <v>25RFLC</v>
      </c>
      <c r="H1233" s="187" t="str">
        <f>+INDEX([1]Detallado!$D:$D,MATCH(C1233,[1]Detallado!$B:$B,0))</f>
        <v>COFIDE</v>
      </c>
      <c r="I1233" s="28"/>
      <c r="J1233" s="184" t="str">
        <f t="shared" si="39"/>
        <v>RFLBU</v>
      </c>
    </row>
    <row r="1234" spans="3:10" x14ac:dyDescent="0.25">
      <c r="C1234" s="28" t="s">
        <v>3799</v>
      </c>
      <c r="D1234" s="188" t="str">
        <f>+INDEX([1]Detallado!$F:$F,MATCH($C1234,[1]Detallado!$B:$B,0))</f>
        <v>Renta Fija</v>
      </c>
      <c r="E1234" s="31" t="str">
        <f>+INDEX([1]Detallado!$Q:$Q,MATCH($C1234,[1]Detallado!$B:$B,0))</f>
        <v>RFLC</v>
      </c>
      <c r="F1234" s="185" t="s">
        <v>4357</v>
      </c>
      <c r="G1234" s="186" t="str">
        <f t="shared" si="38"/>
        <v>25RFLC</v>
      </c>
      <c r="H1234" s="187" t="str">
        <f>+INDEX([1]Detallado!$D:$D,MATCH(C1234,[1]Detallado!$B:$B,0))</f>
        <v>CORPORACION FINANCIERA DE DESARROLLO</v>
      </c>
      <c r="I1234" s="28"/>
      <c r="J1234" s="184" t="str">
        <f t="shared" si="39"/>
        <v>RFLBU</v>
      </c>
    </row>
    <row r="1235" spans="3:10" x14ac:dyDescent="0.25">
      <c r="C1235" s="28" t="s">
        <v>3800</v>
      </c>
      <c r="D1235" s="188" t="str">
        <f>+INDEX([1]Detallado!$F:$F,MATCH($C1235,[1]Detallado!$B:$B,0))</f>
        <v>Renta Fija</v>
      </c>
      <c r="E1235" s="31" t="str">
        <f>+INDEX([1]Detallado!$Q:$Q,MATCH($C1235,[1]Detallado!$B:$B,0))</f>
        <v>RFLC</v>
      </c>
      <c r="F1235" s="185" t="s">
        <v>4357</v>
      </c>
      <c r="G1235" s="186" t="str">
        <f t="shared" si="38"/>
        <v>25RFLC</v>
      </c>
      <c r="H1235" s="187" t="str">
        <f>+INDEX([1]Detallado!$D:$D,MATCH(C1235,[1]Detallado!$B:$B,0))</f>
        <v>CORPORACION FINANCIERA DE DESARROLLO</v>
      </c>
      <c r="I1235" s="28"/>
      <c r="J1235" s="184" t="str">
        <f t="shared" si="39"/>
        <v>RFLBU</v>
      </c>
    </row>
    <row r="1236" spans="3:10" x14ac:dyDescent="0.25">
      <c r="C1236" s="28" t="s">
        <v>3801</v>
      </c>
      <c r="D1236" s="188" t="str">
        <f>+INDEX([1]Detallado!$F:$F,MATCH($C1236,[1]Detallado!$B:$B,0))</f>
        <v>Renta Fija</v>
      </c>
      <c r="E1236" s="31" t="str">
        <f>+INDEX([1]Detallado!$Q:$Q,MATCH($C1236,[1]Detallado!$B:$B,0))</f>
        <v>RFLC</v>
      </c>
      <c r="F1236" s="185" t="s">
        <v>4357</v>
      </c>
      <c r="G1236" s="186" t="str">
        <f t="shared" si="38"/>
        <v>25RFLC</v>
      </c>
      <c r="H1236" s="187" t="str">
        <f>+INDEX([1]Detallado!$D:$D,MATCH(C1236,[1]Detallado!$B:$B,0))</f>
        <v>CORPORACION FINANCIERA DE DESARROLLO</v>
      </c>
      <c r="I1236" s="28"/>
      <c r="J1236" s="184" t="str">
        <f t="shared" si="39"/>
        <v>RFLBU</v>
      </c>
    </row>
    <row r="1237" spans="3:10" x14ac:dyDescent="0.25">
      <c r="C1237" s="28" t="s">
        <v>3802</v>
      </c>
      <c r="D1237" s="188" t="str">
        <f>+INDEX([1]Detallado!$F:$F,MATCH($C1237,[1]Detallado!$B:$B,0))</f>
        <v>Renta Fija</v>
      </c>
      <c r="E1237" s="31" t="str">
        <f>+INDEX([1]Detallado!$Q:$Q,MATCH($C1237,[1]Detallado!$B:$B,0))</f>
        <v>RFLC</v>
      </c>
      <c r="F1237" s="185" t="s">
        <v>4357</v>
      </c>
      <c r="G1237" s="186" t="str">
        <f t="shared" si="38"/>
        <v>25RFLC</v>
      </c>
      <c r="H1237" s="187" t="str">
        <f>+INDEX([1]Detallado!$D:$D,MATCH(C1237,[1]Detallado!$B:$B,0))</f>
        <v>CORPORACION FINANCIERA DE DESARROLLO</v>
      </c>
      <c r="I1237" s="28"/>
      <c r="J1237" s="184" t="str">
        <f t="shared" si="39"/>
        <v>RFLBU</v>
      </c>
    </row>
    <row r="1238" spans="3:10" x14ac:dyDescent="0.25">
      <c r="C1238" s="28" t="s">
        <v>3803</v>
      </c>
      <c r="D1238" s="188" t="str">
        <f>+INDEX([1]Detallado!$F:$F,MATCH($C1238,[1]Detallado!$B:$B,0))</f>
        <v>Renta Fija</v>
      </c>
      <c r="E1238" s="31" t="str">
        <f>+INDEX([1]Detallado!$Q:$Q,MATCH($C1238,[1]Detallado!$B:$B,0))</f>
        <v>RFLC</v>
      </c>
      <c r="F1238" s="185" t="s">
        <v>4357</v>
      </c>
      <c r="G1238" s="186" t="str">
        <f t="shared" si="38"/>
        <v>23RFLC</v>
      </c>
      <c r="H1238" s="187" t="str">
        <f>+INDEX([1]Detallado!$D:$D,MATCH(C1238,[1]Detallado!$B:$B,0))</f>
        <v>CORPORACION FINANCIERA DE DESARROLLO</v>
      </c>
      <c r="I1238" s="28"/>
      <c r="J1238" s="184" t="str">
        <f t="shared" si="39"/>
        <v>RFLBU</v>
      </c>
    </row>
    <row r="1239" spans="3:10" x14ac:dyDescent="0.25">
      <c r="C1239" s="28" t="s">
        <v>3804</v>
      </c>
      <c r="D1239" s="188" t="str">
        <f>+INDEX([1]Detallado!$F:$F,MATCH($C1239,[1]Detallado!$B:$B,0))</f>
        <v>Renta Fija</v>
      </c>
      <c r="E1239" s="31" t="str">
        <f>+INDEX([1]Detallado!$Q:$Q,MATCH($C1239,[1]Detallado!$B:$B,0))</f>
        <v>RFLC</v>
      </c>
      <c r="F1239" s="185" t="s">
        <v>4357</v>
      </c>
      <c r="G1239" s="186" t="str">
        <f t="shared" si="38"/>
        <v>23RFLC</v>
      </c>
      <c r="H1239" s="187" t="str">
        <f>+INDEX([1]Detallado!$D:$D,MATCH(C1239,[1]Detallado!$B:$B,0))</f>
        <v>CORPORACION FINANCIERA DE DESARROLLO</v>
      </c>
      <c r="I1239" s="28"/>
      <c r="J1239" s="184" t="str">
        <f t="shared" si="39"/>
        <v>RFLBU</v>
      </c>
    </row>
    <row r="1240" spans="3:10" x14ac:dyDescent="0.25">
      <c r="C1240" s="28" t="s">
        <v>3805</v>
      </c>
      <c r="D1240" s="188" t="str">
        <f>+INDEX([1]Detallado!$F:$F,MATCH($C1240,[1]Detallado!$B:$B,0))</f>
        <v>Renta Fija</v>
      </c>
      <c r="E1240" s="31" t="str">
        <f>+INDEX([1]Detallado!$Q:$Q,MATCH($C1240,[1]Detallado!$B:$B,0))</f>
        <v>RFLC</v>
      </c>
      <c r="F1240" s="185" t="s">
        <v>4357</v>
      </c>
      <c r="G1240" s="186" t="str">
        <f t="shared" si="38"/>
        <v>23RFLC</v>
      </c>
      <c r="H1240" s="187" t="str">
        <f>+INDEX([1]Detallado!$D:$D,MATCH(C1240,[1]Detallado!$B:$B,0))</f>
        <v>CORPORACION FINANCIERA DE DESARROLLO</v>
      </c>
      <c r="I1240" s="28"/>
      <c r="J1240" s="184" t="str">
        <f t="shared" si="39"/>
        <v>RFLBU</v>
      </c>
    </row>
    <row r="1241" spans="3:10" x14ac:dyDescent="0.25">
      <c r="C1241" s="28" t="s">
        <v>3806</v>
      </c>
      <c r="D1241" s="188" t="str">
        <f>+INDEX([1]Detallado!$F:$F,MATCH($C1241,[1]Detallado!$B:$B,0))</f>
        <v>Renta Fija</v>
      </c>
      <c r="E1241" s="31" t="str">
        <f>+INDEX([1]Detallado!$Q:$Q,MATCH($C1241,[1]Detallado!$B:$B,0))</f>
        <v>RFLC</v>
      </c>
      <c r="F1241" s="185" t="s">
        <v>4357</v>
      </c>
      <c r="G1241" s="186" t="str">
        <f t="shared" si="38"/>
        <v>25RFLC</v>
      </c>
      <c r="H1241" s="187" t="str">
        <f>+INDEX([1]Detallado!$D:$D,MATCH(C1241,[1]Detallado!$B:$B,0))</f>
        <v>CORPORACION FINANCIERA DE DESARROLLO</v>
      </c>
      <c r="I1241" s="28"/>
      <c r="J1241" s="184" t="str">
        <f t="shared" si="39"/>
        <v>RFLBU</v>
      </c>
    </row>
    <row r="1242" spans="3:10" x14ac:dyDescent="0.25">
      <c r="C1242" s="28" t="s">
        <v>3807</v>
      </c>
      <c r="D1242" s="188" t="str">
        <f>+INDEX([1]Detallado!$F:$F,MATCH($C1242,[1]Detallado!$B:$B,0))</f>
        <v>Renta Fija</v>
      </c>
      <c r="E1242" s="31" t="str">
        <f>+INDEX([1]Detallado!$Q:$Q,MATCH($C1242,[1]Detallado!$B:$B,0))</f>
        <v>RFLC</v>
      </c>
      <c r="F1242" s="185" t="s">
        <v>4357</v>
      </c>
      <c r="G1242" s="186" t="str">
        <f t="shared" si="38"/>
        <v>25RFLC</v>
      </c>
      <c r="H1242" s="187" t="str">
        <f>+INDEX([1]Detallado!$D:$D,MATCH(C1242,[1]Detallado!$B:$B,0))</f>
        <v>CORPORACION FINANCIERA DE DESARROLLO</v>
      </c>
      <c r="I1242" s="28"/>
      <c r="J1242" s="184" t="str">
        <f t="shared" si="39"/>
        <v>RFLBU</v>
      </c>
    </row>
    <row r="1243" spans="3:10" x14ac:dyDescent="0.25">
      <c r="C1243" s="28" t="s">
        <v>3808</v>
      </c>
      <c r="D1243" s="188" t="str">
        <f>+INDEX([1]Detallado!$F:$F,MATCH($C1243,[1]Detallado!$B:$B,0))</f>
        <v>Renta Fija</v>
      </c>
      <c r="E1243" s="31" t="str">
        <f>+INDEX([1]Detallado!$Q:$Q,MATCH($C1243,[1]Detallado!$B:$B,0))</f>
        <v>RFLC</v>
      </c>
      <c r="F1243" s="185" t="s">
        <v>4357</v>
      </c>
      <c r="G1243" s="186" t="str">
        <f t="shared" si="38"/>
        <v>25RFLC</v>
      </c>
      <c r="H1243" s="187" t="str">
        <f>+INDEX([1]Detallado!$D:$D,MATCH(C1243,[1]Detallado!$B:$B,0))</f>
        <v>Banco Falabella</v>
      </c>
      <c r="I1243" s="28"/>
      <c r="J1243" s="184" t="str">
        <f t="shared" si="39"/>
        <v>RFLBU</v>
      </c>
    </row>
    <row r="1244" spans="3:10" x14ac:dyDescent="0.25">
      <c r="C1244" s="28" t="s">
        <v>3809</v>
      </c>
      <c r="D1244" s="188" t="str">
        <f>+INDEX([1]Detallado!$F:$F,MATCH($C1244,[1]Detallado!$B:$B,0))</f>
        <v>Renta Fija</v>
      </c>
      <c r="E1244" s="31" t="str">
        <f>+INDEX([1]Detallado!$Q:$Q,MATCH($C1244,[1]Detallado!$B:$B,0))</f>
        <v>RFLC</v>
      </c>
      <c r="F1244" s="185" t="s">
        <v>4357</v>
      </c>
      <c r="G1244" s="186" t="str">
        <f t="shared" si="38"/>
        <v>25RFLC</v>
      </c>
      <c r="H1244" s="187" t="str">
        <f>+INDEX([1]Detallado!$D:$D,MATCH(C1244,[1]Detallado!$B:$B,0))</f>
        <v>Banco Falabella</v>
      </c>
      <c r="I1244" s="28"/>
      <c r="J1244" s="184" t="str">
        <f t="shared" si="39"/>
        <v>RFLBU</v>
      </c>
    </row>
    <row r="1245" spans="3:10" x14ac:dyDescent="0.25">
      <c r="C1245" s="28" t="s">
        <v>3810</v>
      </c>
      <c r="D1245" s="188" t="str">
        <f>+INDEX([1]Detallado!$F:$F,MATCH($C1245,[1]Detallado!$B:$B,0))</f>
        <v>Renta Fija</v>
      </c>
      <c r="E1245" s="31" t="str">
        <f>+INDEX([1]Detallado!$Q:$Q,MATCH($C1245,[1]Detallado!$B:$B,0))</f>
        <v>RFLC</v>
      </c>
      <c r="F1245" s="185" t="s">
        <v>4357</v>
      </c>
      <c r="G1245" s="186" t="str">
        <f t="shared" si="38"/>
        <v>25RFLC</v>
      </c>
      <c r="H1245" s="187" t="str">
        <f>+INDEX([1]Detallado!$D:$D,MATCH(C1245,[1]Detallado!$B:$B,0))</f>
        <v>Banco Falabella</v>
      </c>
      <c r="I1245" s="28"/>
      <c r="J1245" s="184" t="str">
        <f t="shared" si="39"/>
        <v>RFLBU</v>
      </c>
    </row>
    <row r="1246" spans="3:10" x14ac:dyDescent="0.25">
      <c r="C1246" s="28" t="s">
        <v>3811</v>
      </c>
      <c r="D1246" s="188" t="str">
        <f>+INDEX([1]Detallado!$F:$F,MATCH($C1246,[1]Detallado!$B:$B,0))</f>
        <v>Renta Fija</v>
      </c>
      <c r="E1246" s="31" t="str">
        <f>+INDEX([1]Detallado!$Q:$Q,MATCH($C1246,[1]Detallado!$B:$B,0))</f>
        <v>RFLC</v>
      </c>
      <c r="F1246" s="185" t="s">
        <v>4357</v>
      </c>
      <c r="G1246" s="186" t="str">
        <f t="shared" si="38"/>
        <v>25RFLC</v>
      </c>
      <c r="H1246" s="187" t="str">
        <f>+INDEX([1]Detallado!$D:$D,MATCH(C1246,[1]Detallado!$B:$B,0))</f>
        <v>Banco Falabella</v>
      </c>
      <c r="I1246" s="28"/>
      <c r="J1246" s="184" t="str">
        <f t="shared" si="39"/>
        <v>RFLBU</v>
      </c>
    </row>
    <row r="1247" spans="3:10" x14ac:dyDescent="0.25">
      <c r="C1247" s="28" t="s">
        <v>3812</v>
      </c>
      <c r="D1247" s="188" t="str">
        <f>+INDEX([1]Detallado!$F:$F,MATCH($C1247,[1]Detallado!$B:$B,0))</f>
        <v>Renta Fija</v>
      </c>
      <c r="E1247" s="31" t="str">
        <f>+INDEX([1]Detallado!$Q:$Q,MATCH($C1247,[1]Detallado!$B:$B,0))</f>
        <v>RFLC</v>
      </c>
      <c r="F1247" s="185" t="s">
        <v>4357</v>
      </c>
      <c r="G1247" s="186" t="str">
        <f t="shared" si="38"/>
        <v>25RFLC</v>
      </c>
      <c r="H1247" s="187" t="str">
        <f>+INDEX([1]Detallado!$D:$D,MATCH(C1247,[1]Detallado!$B:$B,0))</f>
        <v>Banco Falabella</v>
      </c>
      <c r="I1247" s="28"/>
      <c r="J1247" s="184" t="str">
        <f t="shared" si="39"/>
        <v>RFLBU</v>
      </c>
    </row>
    <row r="1248" spans="3:10" x14ac:dyDescent="0.25">
      <c r="C1248" s="28" t="s">
        <v>3813</v>
      </c>
      <c r="D1248" s="188" t="str">
        <f>+INDEX([1]Detallado!$F:$F,MATCH($C1248,[1]Detallado!$B:$B,0))</f>
        <v>Renta Fija</v>
      </c>
      <c r="E1248" s="31" t="str">
        <f>+INDEX([1]Detallado!$Q:$Q,MATCH($C1248,[1]Detallado!$B:$B,0))</f>
        <v>RFLC</v>
      </c>
      <c r="F1248" s="185" t="s">
        <v>4357</v>
      </c>
      <c r="G1248" s="186" t="str">
        <f t="shared" si="38"/>
        <v>25RFLC</v>
      </c>
      <c r="H1248" s="187" t="str">
        <f>+INDEX([1]Detallado!$D:$D,MATCH(C1248,[1]Detallado!$B:$B,0))</f>
        <v>Banco Ripley</v>
      </c>
      <c r="I1248" s="28"/>
      <c r="J1248" s="184" t="str">
        <f t="shared" si="39"/>
        <v>RFLBU</v>
      </c>
    </row>
    <row r="1249" spans="3:10" x14ac:dyDescent="0.25">
      <c r="C1249" s="28" t="s">
        <v>3814</v>
      </c>
      <c r="D1249" s="188" t="str">
        <f>+INDEX([1]Detallado!$F:$F,MATCH($C1249,[1]Detallado!$B:$B,0))</f>
        <v>Renta Fija</v>
      </c>
      <c r="E1249" s="31" t="str">
        <f>+INDEX([1]Detallado!$Q:$Q,MATCH($C1249,[1]Detallado!$B:$B,0))</f>
        <v>RFLC</v>
      </c>
      <c r="F1249" s="185" t="s">
        <v>4357</v>
      </c>
      <c r="G1249" s="186" t="str">
        <f t="shared" si="38"/>
        <v>25RFLC</v>
      </c>
      <c r="H1249" s="187" t="str">
        <f>+INDEX([1]Detallado!$D:$D,MATCH(C1249,[1]Detallado!$B:$B,0))</f>
        <v>Banco Ripley</v>
      </c>
      <c r="I1249" s="28"/>
      <c r="J1249" s="184" t="str">
        <f t="shared" si="39"/>
        <v>RFLBU</v>
      </c>
    </row>
    <row r="1250" spans="3:10" x14ac:dyDescent="0.25">
      <c r="C1250" s="28" t="s">
        <v>3815</v>
      </c>
      <c r="D1250" s="188" t="str">
        <f>+INDEX([1]Detallado!$F:$F,MATCH($C1250,[1]Detallado!$B:$B,0))</f>
        <v>Renta Fija</v>
      </c>
      <c r="E1250" s="31" t="str">
        <f>+INDEX([1]Detallado!$Q:$Q,MATCH($C1250,[1]Detallado!$B:$B,0))</f>
        <v>RFLC</v>
      </c>
      <c r="F1250" s="185" t="s">
        <v>4357</v>
      </c>
      <c r="G1250" s="186" t="str">
        <f t="shared" si="38"/>
        <v>25RFLC</v>
      </c>
      <c r="H1250" s="187" t="str">
        <f>+INDEX([1]Detallado!$D:$D,MATCH(C1250,[1]Detallado!$B:$B,0))</f>
        <v>Banco Ripley</v>
      </c>
      <c r="I1250" s="28"/>
      <c r="J1250" s="184" t="str">
        <f t="shared" si="39"/>
        <v>RFLBU</v>
      </c>
    </row>
    <row r="1251" spans="3:10" x14ac:dyDescent="0.25">
      <c r="C1251" s="28" t="s">
        <v>3816</v>
      </c>
      <c r="D1251" s="188" t="str">
        <f>+INDEX([1]Detallado!$F:$F,MATCH($C1251,[1]Detallado!$B:$B,0))</f>
        <v>Renta Fija</v>
      </c>
      <c r="E1251" s="31" t="str">
        <f>+INDEX([1]Detallado!$Q:$Q,MATCH($C1251,[1]Detallado!$B:$B,0))</f>
        <v>RFLC</v>
      </c>
      <c r="F1251" s="185" t="s">
        <v>4357</v>
      </c>
      <c r="G1251" s="186" t="str">
        <f t="shared" si="38"/>
        <v>25RFLC</v>
      </c>
      <c r="H1251" s="187" t="str">
        <f>+INDEX([1]Detallado!$D:$D,MATCH(C1251,[1]Detallado!$B:$B,0))</f>
        <v>Banco Ripley</v>
      </c>
      <c r="I1251" s="28"/>
      <c r="J1251" s="184" t="str">
        <f t="shared" si="39"/>
        <v>RFLBU</v>
      </c>
    </row>
    <row r="1252" spans="3:10" x14ac:dyDescent="0.25">
      <c r="C1252" s="28" t="s">
        <v>3817</v>
      </c>
      <c r="D1252" s="188" t="str">
        <f>+INDEX([1]Detallado!$F:$F,MATCH($C1252,[1]Detallado!$B:$B,0))</f>
        <v>Renta Fija</v>
      </c>
      <c r="E1252" s="31" t="str">
        <f>+INDEX([1]Detallado!$Q:$Q,MATCH($C1252,[1]Detallado!$B:$B,0))</f>
        <v>RFLC</v>
      </c>
      <c r="F1252" s="185" t="s">
        <v>4357</v>
      </c>
      <c r="G1252" s="186" t="str">
        <f t="shared" si="38"/>
        <v>25RFLC</v>
      </c>
      <c r="H1252" s="187" t="str">
        <f>+INDEX([1]Detallado!$D:$D,MATCH(C1252,[1]Detallado!$B:$B,0))</f>
        <v>Banco Ripley</v>
      </c>
      <c r="I1252" s="28"/>
      <c r="J1252" s="184" t="str">
        <f t="shared" si="39"/>
        <v>RFLBU</v>
      </c>
    </row>
    <row r="1253" spans="3:10" x14ac:dyDescent="0.25">
      <c r="C1253" s="28" t="s">
        <v>3818</v>
      </c>
      <c r="D1253" s="188" t="str">
        <f>+INDEX([1]Detallado!$F:$F,MATCH($C1253,[1]Detallado!$B:$B,0))</f>
        <v>Renta Fija</v>
      </c>
      <c r="E1253" s="31" t="str">
        <f>+INDEX([1]Detallado!$Q:$Q,MATCH($C1253,[1]Detallado!$B:$B,0))</f>
        <v>RFLC</v>
      </c>
      <c r="F1253" s="185" t="s">
        <v>4357</v>
      </c>
      <c r="G1253" s="186" t="str">
        <f t="shared" si="38"/>
        <v>25RFLC</v>
      </c>
      <c r="H1253" s="187" t="str">
        <f>+INDEX([1]Detallado!$D:$D,MATCH(C1253,[1]Detallado!$B:$B,0))</f>
        <v>Banco Ripley</v>
      </c>
      <c r="I1253" s="28"/>
      <c r="J1253" s="184" t="str">
        <f t="shared" si="39"/>
        <v>RFLBU</v>
      </c>
    </row>
    <row r="1254" spans="3:10" x14ac:dyDescent="0.25">
      <c r="C1254" s="28" t="s">
        <v>3819</v>
      </c>
      <c r="D1254" s="188" t="str">
        <f>+INDEX([1]Detallado!$F:$F,MATCH($C1254,[1]Detallado!$B:$B,0))</f>
        <v>Renta Fija</v>
      </c>
      <c r="E1254" s="31" t="str">
        <f>+INDEX([1]Detallado!$Q:$Q,MATCH($C1254,[1]Detallado!$B:$B,0))</f>
        <v>RFLC</v>
      </c>
      <c r="F1254" s="185" t="s">
        <v>4357</v>
      </c>
      <c r="G1254" s="186" t="str">
        <f t="shared" si="38"/>
        <v>25RFLC</v>
      </c>
      <c r="H1254" s="187" t="str">
        <f>+INDEX([1]Detallado!$D:$D,MATCH(C1254,[1]Detallado!$B:$B,0))</f>
        <v>Banco Ripley</v>
      </c>
      <c r="I1254" s="28"/>
      <c r="J1254" s="184" t="str">
        <f t="shared" si="39"/>
        <v>RFLBU</v>
      </c>
    </row>
    <row r="1255" spans="3:10" x14ac:dyDescent="0.25">
      <c r="C1255" s="28" t="s">
        <v>3820</v>
      </c>
      <c r="D1255" s="188" t="str">
        <f>+INDEX([1]Detallado!$F:$F,MATCH($C1255,[1]Detallado!$B:$B,0))</f>
        <v>Renta Fija</v>
      </c>
      <c r="E1255" s="31" t="str">
        <f>+INDEX([1]Detallado!$Q:$Q,MATCH($C1255,[1]Detallado!$B:$B,0))</f>
        <v>RFLC</v>
      </c>
      <c r="F1255" s="185" t="s">
        <v>4357</v>
      </c>
      <c r="G1255" s="186" t="str">
        <f t="shared" si="38"/>
        <v>25RFLC</v>
      </c>
      <c r="H1255" s="187" t="str">
        <f>+INDEX([1]Detallado!$D:$D,MATCH(C1255,[1]Detallado!$B:$B,0))</f>
        <v>Banco Ripley</v>
      </c>
      <c r="I1255" s="28"/>
      <c r="J1255" s="184" t="str">
        <f t="shared" si="39"/>
        <v>RFLBU</v>
      </c>
    </row>
    <row r="1256" spans="3:10" x14ac:dyDescent="0.25">
      <c r="C1256" s="28" t="s">
        <v>3821</v>
      </c>
      <c r="D1256" s="188" t="str">
        <f>+INDEX([1]Detallado!$F:$F,MATCH($C1256,[1]Detallado!$B:$B,0))</f>
        <v>Renta Fija</v>
      </c>
      <c r="E1256" s="31" t="str">
        <f>+INDEX([1]Detallado!$Q:$Q,MATCH($C1256,[1]Detallado!$B:$B,0))</f>
        <v>RFLC</v>
      </c>
      <c r="F1256" s="185" t="s">
        <v>4357</v>
      </c>
      <c r="G1256" s="186" t="str">
        <f t="shared" si="38"/>
        <v>63RFLC</v>
      </c>
      <c r="H1256" s="187" t="str">
        <f>+INDEX([1]Detallado!$D:$D,MATCH(C1256,[1]Detallado!$B:$B,0))</f>
        <v>Banco Ripley</v>
      </c>
      <c r="I1256" s="28"/>
      <c r="J1256" s="184" t="str">
        <f t="shared" si="39"/>
        <v>RFLBU</v>
      </c>
    </row>
    <row r="1257" spans="3:10" x14ac:dyDescent="0.25">
      <c r="C1257" s="28" t="s">
        <v>3822</v>
      </c>
      <c r="D1257" s="188" t="str">
        <f>+INDEX([1]Detallado!$F:$F,MATCH($C1257,[1]Detallado!$B:$B,0))</f>
        <v>Renta Fija</v>
      </c>
      <c r="E1257" s="31" t="str">
        <f>+INDEX([1]Detallado!$Q:$Q,MATCH($C1257,[1]Detallado!$B:$B,0))</f>
        <v>RFLC</v>
      </c>
      <c r="F1257" s="185" t="s">
        <v>4357</v>
      </c>
      <c r="G1257" s="186" t="str">
        <f t="shared" si="38"/>
        <v>63RFLC</v>
      </c>
      <c r="H1257" s="187" t="str">
        <f>+INDEX([1]Detallado!$D:$D,MATCH(C1257,[1]Detallado!$B:$B,0))</f>
        <v>Banco Ripley</v>
      </c>
      <c r="I1257" s="28"/>
      <c r="J1257" s="184" t="str">
        <f t="shared" si="39"/>
        <v>RFLBU</v>
      </c>
    </row>
    <row r="1258" spans="3:10" x14ac:dyDescent="0.25">
      <c r="C1258" s="28" t="s">
        <v>3823</v>
      </c>
      <c r="D1258" s="188" t="str">
        <f>+INDEX([1]Detallado!$F:$F,MATCH($C1258,[1]Detallado!$B:$B,0))</f>
        <v>Renta Fija</v>
      </c>
      <c r="E1258" s="31" t="str">
        <f>+INDEX([1]Detallado!$Q:$Q,MATCH($C1258,[1]Detallado!$B:$B,0))</f>
        <v>RFLC</v>
      </c>
      <c r="F1258" s="185" t="s">
        <v>4357</v>
      </c>
      <c r="G1258" s="186" t="str">
        <f t="shared" si="38"/>
        <v>63RFLC</v>
      </c>
      <c r="H1258" s="187" t="str">
        <f>+INDEX([1]Detallado!$D:$D,MATCH(C1258,[1]Detallado!$B:$B,0))</f>
        <v>Banco Ripley</v>
      </c>
      <c r="I1258" s="28"/>
      <c r="J1258" s="184" t="str">
        <f t="shared" si="39"/>
        <v>RFLBU</v>
      </c>
    </row>
    <row r="1259" spans="3:10" x14ac:dyDescent="0.25">
      <c r="C1259" s="28" t="s">
        <v>3824</v>
      </c>
      <c r="D1259" s="188" t="str">
        <f>+INDEX([1]Detallado!$F:$F,MATCH($C1259,[1]Detallado!$B:$B,0))</f>
        <v>Renta Fija</v>
      </c>
      <c r="E1259" s="31" t="str">
        <f>+INDEX([1]Detallado!$Q:$Q,MATCH($C1259,[1]Detallado!$B:$B,0))</f>
        <v>RFLC</v>
      </c>
      <c r="F1259" s="185" t="s">
        <v>4357</v>
      </c>
      <c r="G1259" s="186" t="str">
        <f t="shared" si="38"/>
        <v>63RFLC</v>
      </c>
      <c r="H1259" s="187" t="str">
        <f>+INDEX([1]Detallado!$D:$D,MATCH(C1259,[1]Detallado!$B:$B,0))</f>
        <v>Banco Ripley</v>
      </c>
      <c r="I1259" s="28"/>
      <c r="J1259" s="184" t="str">
        <f t="shared" si="39"/>
        <v>RFLBU</v>
      </c>
    </row>
    <row r="1260" spans="3:10" x14ac:dyDescent="0.25">
      <c r="C1260" s="28" t="s">
        <v>3825</v>
      </c>
      <c r="D1260" s="188" t="str">
        <f>+INDEX([1]Detallado!$F:$F,MATCH($C1260,[1]Detallado!$B:$B,0))</f>
        <v>Renta Fija</v>
      </c>
      <c r="E1260" s="31" t="str">
        <f>+INDEX([1]Detallado!$Q:$Q,MATCH($C1260,[1]Detallado!$B:$B,0))</f>
        <v>RFLC</v>
      </c>
      <c r="F1260" s="185" t="s">
        <v>4357</v>
      </c>
      <c r="G1260" s="186" t="str">
        <f t="shared" si="38"/>
        <v>63RFLC</v>
      </c>
      <c r="H1260" s="187" t="str">
        <f>+INDEX([1]Detallado!$D:$D,MATCH(C1260,[1]Detallado!$B:$B,0))</f>
        <v>Banco Ripley</v>
      </c>
      <c r="I1260" s="28"/>
      <c r="J1260" s="184" t="str">
        <f t="shared" si="39"/>
        <v>RFLBU</v>
      </c>
    </row>
    <row r="1261" spans="3:10" x14ac:dyDescent="0.25">
      <c r="C1261" s="28" t="s">
        <v>3826</v>
      </c>
      <c r="D1261" s="188" t="str">
        <f>+INDEX([1]Detallado!$F:$F,MATCH($C1261,[1]Detallado!$B:$B,0))</f>
        <v>Renta Fija</v>
      </c>
      <c r="E1261" s="31" t="str">
        <f>+INDEX([1]Detallado!$Q:$Q,MATCH($C1261,[1]Detallado!$B:$B,0))</f>
        <v>RFLC</v>
      </c>
      <c r="F1261" s="185" t="s">
        <v>4357</v>
      </c>
      <c r="G1261" s="186" t="str">
        <f t="shared" si="38"/>
        <v>63RFLC</v>
      </c>
      <c r="H1261" s="187" t="str">
        <f>+INDEX([1]Detallado!$D:$D,MATCH(C1261,[1]Detallado!$B:$B,0))</f>
        <v>Banco Ripley</v>
      </c>
      <c r="I1261" s="28"/>
      <c r="J1261" s="184" t="str">
        <f t="shared" si="39"/>
        <v>RFLBU</v>
      </c>
    </row>
    <row r="1262" spans="3:10" x14ac:dyDescent="0.25">
      <c r="C1262" s="28" t="s">
        <v>3827</v>
      </c>
      <c r="D1262" s="188" t="str">
        <f>+INDEX([1]Detallado!$F:$F,MATCH($C1262,[1]Detallado!$B:$B,0))</f>
        <v>Renta Fija</v>
      </c>
      <c r="E1262" s="31" t="str">
        <f>+INDEX([1]Detallado!$Q:$Q,MATCH($C1262,[1]Detallado!$B:$B,0))</f>
        <v>RFLC</v>
      </c>
      <c r="F1262" s="185" t="s">
        <v>4357</v>
      </c>
      <c r="G1262" s="186" t="str">
        <f t="shared" si="38"/>
        <v>25RFLC</v>
      </c>
      <c r="H1262" s="187" t="str">
        <f>+INDEX([1]Detallado!$D:$D,MATCH(C1262,[1]Detallado!$B:$B,0))</f>
        <v>Edyficar</v>
      </c>
      <c r="I1262" s="28"/>
      <c r="J1262" s="184" t="str">
        <f t="shared" si="39"/>
        <v>RFLBU</v>
      </c>
    </row>
    <row r="1263" spans="3:10" x14ac:dyDescent="0.25">
      <c r="C1263" s="28" t="s">
        <v>3828</v>
      </c>
      <c r="D1263" s="188" t="str">
        <f>+INDEX([1]Detallado!$F:$F,MATCH($C1263,[1]Detallado!$B:$B,0))</f>
        <v>Renta Fija</v>
      </c>
      <c r="E1263" s="31" t="str">
        <f>+INDEX([1]Detallado!$Q:$Q,MATCH($C1263,[1]Detallado!$B:$B,0))</f>
        <v>RFLC</v>
      </c>
      <c r="F1263" s="185" t="s">
        <v>4357</v>
      </c>
      <c r="G1263" s="186" t="str">
        <f t="shared" si="38"/>
        <v>25RFLC</v>
      </c>
      <c r="H1263" s="187" t="str">
        <f>+INDEX([1]Detallado!$D:$D,MATCH(C1263,[1]Detallado!$B:$B,0))</f>
        <v>Edyficar</v>
      </c>
      <c r="I1263" s="28"/>
      <c r="J1263" s="184" t="str">
        <f t="shared" si="39"/>
        <v>RFLBU</v>
      </c>
    </row>
    <row r="1264" spans="3:10" x14ac:dyDescent="0.25">
      <c r="C1264" s="28" t="s">
        <v>3829</v>
      </c>
      <c r="D1264" s="188" t="str">
        <f>+INDEX([1]Detallado!$F:$F,MATCH($C1264,[1]Detallado!$B:$B,0))</f>
        <v>Renta Fija</v>
      </c>
      <c r="E1264" s="31" t="str">
        <f>+INDEX([1]Detallado!$Q:$Q,MATCH($C1264,[1]Detallado!$B:$B,0))</f>
        <v>RFLC</v>
      </c>
      <c r="F1264" s="185" t="s">
        <v>4357</v>
      </c>
      <c r="G1264" s="186" t="str">
        <f t="shared" si="38"/>
        <v>25RFLC</v>
      </c>
      <c r="H1264" s="187" t="str">
        <f>+INDEX([1]Detallado!$D:$D,MATCH(C1264,[1]Detallado!$B:$B,0))</f>
        <v>Financiera Efectiva</v>
      </c>
      <c r="I1264" s="28"/>
      <c r="J1264" s="184" t="str">
        <f t="shared" si="39"/>
        <v>RFLBU</v>
      </c>
    </row>
    <row r="1265" spans="3:10" x14ac:dyDescent="0.25">
      <c r="C1265" s="28" t="s">
        <v>3830</v>
      </c>
      <c r="D1265" s="188" t="str">
        <f>+INDEX([1]Detallado!$F:$F,MATCH($C1265,[1]Detallado!$B:$B,0))</f>
        <v>Renta Fija</v>
      </c>
      <c r="E1265" s="31" t="str">
        <f>+INDEX([1]Detallado!$Q:$Q,MATCH($C1265,[1]Detallado!$B:$B,0))</f>
        <v>RFLC</v>
      </c>
      <c r="F1265" s="185" t="s">
        <v>4357</v>
      </c>
      <c r="G1265" s="186" t="str">
        <f t="shared" si="38"/>
        <v>25RFLC</v>
      </c>
      <c r="H1265" s="187" t="str">
        <f>+INDEX([1]Detallado!$D:$D,MATCH(C1265,[1]Detallado!$B:$B,0))</f>
        <v>Financiera OH</v>
      </c>
      <c r="I1265" s="28"/>
      <c r="J1265" s="184" t="str">
        <f t="shared" si="39"/>
        <v>RFLBU</v>
      </c>
    </row>
    <row r="1266" spans="3:10" x14ac:dyDescent="0.25">
      <c r="C1266" s="28" t="s">
        <v>3831</v>
      </c>
      <c r="D1266" s="188" t="str">
        <f>+INDEX([1]Detallado!$F:$F,MATCH($C1266,[1]Detallado!$B:$B,0))</f>
        <v>Renta Fija</v>
      </c>
      <c r="E1266" s="31" t="str">
        <f>+INDEX([1]Detallado!$Q:$Q,MATCH($C1266,[1]Detallado!$B:$B,0))</f>
        <v>RFLC</v>
      </c>
      <c r="F1266" s="185" t="s">
        <v>4357</v>
      </c>
      <c r="G1266" s="186" t="str">
        <f t="shared" si="38"/>
        <v>63RFLC</v>
      </c>
      <c r="H1266" s="187" t="str">
        <f>+INDEX([1]Detallado!$D:$D,MATCH(C1266,[1]Detallado!$B:$B,0))</f>
        <v>Financiera OH</v>
      </c>
      <c r="I1266" s="28"/>
      <c r="J1266" s="184" t="str">
        <f t="shared" si="39"/>
        <v>RFLBU</v>
      </c>
    </row>
    <row r="1267" spans="3:10" x14ac:dyDescent="0.25">
      <c r="C1267" s="28" t="s">
        <v>3832</v>
      </c>
      <c r="D1267" s="188" t="str">
        <f>+INDEX([1]Detallado!$F:$F,MATCH($C1267,[1]Detallado!$B:$B,0))</f>
        <v>Renta Fija</v>
      </c>
      <c r="E1267" s="31" t="str">
        <f>+INDEX([1]Detallado!$Q:$Q,MATCH($C1267,[1]Detallado!$B:$B,0))</f>
        <v>RFLC</v>
      </c>
      <c r="F1267" s="185" t="s">
        <v>4357</v>
      </c>
      <c r="G1267" s="186" t="str">
        <f t="shared" si="38"/>
        <v>63RFLC</v>
      </c>
      <c r="H1267" s="187" t="str">
        <f>+INDEX([1]Detallado!$D:$D,MATCH(C1267,[1]Detallado!$B:$B,0))</f>
        <v>Financiera OH</v>
      </c>
      <c r="I1267" s="28"/>
      <c r="J1267" s="184" t="str">
        <f t="shared" si="39"/>
        <v>RFLBU</v>
      </c>
    </row>
    <row r="1268" spans="3:10" x14ac:dyDescent="0.25">
      <c r="C1268" s="28" t="s">
        <v>3833</v>
      </c>
      <c r="D1268" s="188" t="str">
        <f>+INDEX([1]Detallado!$F:$F,MATCH($C1268,[1]Detallado!$B:$B,0))</f>
        <v>Renta Fija</v>
      </c>
      <c r="E1268" s="31" t="str">
        <f>+INDEX([1]Detallado!$Q:$Q,MATCH($C1268,[1]Detallado!$B:$B,0))</f>
        <v>RFLC</v>
      </c>
      <c r="F1268" s="185" t="s">
        <v>4357</v>
      </c>
      <c r="G1268" s="186" t="str">
        <f t="shared" si="38"/>
        <v>63RFLC</v>
      </c>
      <c r="H1268" s="187" t="str">
        <f>+INDEX([1]Detallado!$D:$D,MATCH(C1268,[1]Detallado!$B:$B,0))</f>
        <v>Financiera OH</v>
      </c>
      <c r="I1268" s="28"/>
      <c r="J1268" s="184" t="str">
        <f t="shared" si="39"/>
        <v>RFLBU</v>
      </c>
    </row>
    <row r="1269" spans="3:10" x14ac:dyDescent="0.25">
      <c r="C1269" s="28" t="s">
        <v>3834</v>
      </c>
      <c r="D1269" s="188" t="str">
        <f>+INDEX([1]Detallado!$F:$F,MATCH($C1269,[1]Detallado!$B:$B,0))</f>
        <v>Renta Fija</v>
      </c>
      <c r="E1269" s="31" t="str">
        <f>+INDEX([1]Detallado!$Q:$Q,MATCH($C1269,[1]Detallado!$B:$B,0))</f>
        <v>RFLC</v>
      </c>
      <c r="F1269" s="185" t="s">
        <v>4357</v>
      </c>
      <c r="G1269" s="186" t="str">
        <f t="shared" si="38"/>
        <v>63RFLC</v>
      </c>
      <c r="H1269" s="187" t="str">
        <f>+INDEX([1]Detallado!$D:$D,MATCH(C1269,[1]Detallado!$B:$B,0))</f>
        <v>Financiera OH</v>
      </c>
      <c r="I1269" s="28"/>
      <c r="J1269" s="184" t="str">
        <f t="shared" si="39"/>
        <v>RFLBU</v>
      </c>
    </row>
    <row r="1270" spans="3:10" x14ac:dyDescent="0.25">
      <c r="C1270" s="28" t="s">
        <v>3835</v>
      </c>
      <c r="D1270" s="188" t="str">
        <f>+INDEX([1]Detallado!$F:$F,MATCH($C1270,[1]Detallado!$B:$B,0))</f>
        <v>Renta Fija</v>
      </c>
      <c r="E1270" s="31" t="str">
        <f>+INDEX([1]Detallado!$Q:$Q,MATCH($C1270,[1]Detallado!$B:$B,0))</f>
        <v>RFLC</v>
      </c>
      <c r="F1270" s="185" t="s">
        <v>4357</v>
      </c>
      <c r="G1270" s="186" t="str">
        <f t="shared" si="38"/>
        <v>63RFLC</v>
      </c>
      <c r="H1270" s="187" t="str">
        <f>+INDEX([1]Detallado!$D:$D,MATCH(C1270,[1]Detallado!$B:$B,0))</f>
        <v>Financiera OH</v>
      </c>
      <c r="I1270" s="28"/>
      <c r="J1270" s="184" t="str">
        <f t="shared" si="39"/>
        <v>RFLBU</v>
      </c>
    </row>
    <row r="1271" spans="3:10" x14ac:dyDescent="0.25">
      <c r="C1271" s="28" t="s">
        <v>3836</v>
      </c>
      <c r="D1271" s="188" t="str">
        <f>+INDEX([1]Detallado!$F:$F,MATCH($C1271,[1]Detallado!$B:$B,0))</f>
        <v>Renta Fija</v>
      </c>
      <c r="E1271" s="31" t="str">
        <f>+INDEX([1]Detallado!$Q:$Q,MATCH($C1271,[1]Detallado!$B:$B,0))</f>
        <v>RFLC</v>
      </c>
      <c r="F1271" s="185" t="s">
        <v>4357</v>
      </c>
      <c r="G1271" s="186" t="str">
        <f t="shared" si="38"/>
        <v>63RFLC</v>
      </c>
      <c r="H1271" s="187" t="str">
        <f>+INDEX([1]Detallado!$D:$D,MATCH(C1271,[1]Detallado!$B:$B,0))</f>
        <v>Financiera OH</v>
      </c>
      <c r="I1271" s="28"/>
      <c r="J1271" s="184" t="str">
        <f t="shared" si="39"/>
        <v>RFLBU</v>
      </c>
    </row>
    <row r="1272" spans="3:10" x14ac:dyDescent="0.25">
      <c r="C1272" s="28" t="s">
        <v>3837</v>
      </c>
      <c r="D1272" s="188" t="str">
        <f>+INDEX([1]Detallado!$F:$F,MATCH($C1272,[1]Detallado!$B:$B,0))</f>
        <v>Renta Fija</v>
      </c>
      <c r="E1272" s="31" t="str">
        <f>+INDEX([1]Detallado!$Q:$Q,MATCH($C1272,[1]Detallado!$B:$B,0))</f>
        <v>RFLC</v>
      </c>
      <c r="F1272" s="185" t="s">
        <v>4357</v>
      </c>
      <c r="G1272" s="186" t="str">
        <f t="shared" si="38"/>
        <v>25RFLC</v>
      </c>
      <c r="H1272" s="187" t="str">
        <f>+INDEX([1]Detallado!$D:$D,MATCH(C1272,[1]Detallado!$B:$B,0))</f>
        <v>Fondo Mi Vivienda</v>
      </c>
      <c r="I1272" s="28"/>
      <c r="J1272" s="184" t="str">
        <f t="shared" si="39"/>
        <v>RFLBU</v>
      </c>
    </row>
    <row r="1273" spans="3:10" x14ac:dyDescent="0.25">
      <c r="C1273" s="28" t="s">
        <v>358</v>
      </c>
      <c r="D1273" s="188" t="str">
        <f>+INDEX([1]Detallado!$F:$F,MATCH($C1273,[1]Detallado!$B:$B,0))</f>
        <v>Renta Fija</v>
      </c>
      <c r="E1273" s="31" t="str">
        <f>+INDEX([1]Detallado!$Q:$Q,MATCH($C1273,[1]Detallado!$B:$B,0))</f>
        <v>RFLC</v>
      </c>
      <c r="F1273" s="185" t="s">
        <v>4357</v>
      </c>
      <c r="G1273" s="186" t="str">
        <f t="shared" si="38"/>
        <v>25RFLC</v>
      </c>
      <c r="H1273" s="187" t="str">
        <f>+INDEX([1]Detallado!$D:$D,MATCH(C1273,[1]Detallado!$B:$B,0))</f>
        <v>Fondo Mi Vivienda</v>
      </c>
      <c r="I1273" s="28"/>
      <c r="J1273" s="184" t="str">
        <f t="shared" si="39"/>
        <v>RFLBU</v>
      </c>
    </row>
    <row r="1274" spans="3:10" x14ac:dyDescent="0.25">
      <c r="C1274" s="28" t="s">
        <v>355</v>
      </c>
      <c r="D1274" s="188" t="str">
        <f>+INDEX([1]Detallado!$F:$F,MATCH($C1274,[1]Detallado!$B:$B,0))</f>
        <v>Renta Fija</v>
      </c>
      <c r="E1274" s="31" t="str">
        <f>+INDEX([1]Detallado!$Q:$Q,MATCH($C1274,[1]Detallado!$B:$B,0))</f>
        <v>RFLC</v>
      </c>
      <c r="F1274" s="185" t="s">
        <v>4357</v>
      </c>
      <c r="G1274" s="186" t="str">
        <f t="shared" si="38"/>
        <v>25RFLC</v>
      </c>
      <c r="H1274" s="187" t="str">
        <f>+INDEX([1]Detallado!$D:$D,MATCH(C1274,[1]Detallado!$B:$B,0))</f>
        <v>Fondo Mi Vivienda</v>
      </c>
      <c r="I1274" s="28"/>
      <c r="J1274" s="184" t="str">
        <f t="shared" si="39"/>
        <v>RFLBU</v>
      </c>
    </row>
    <row r="1275" spans="3:10" x14ac:dyDescent="0.25">
      <c r="C1275" s="28" t="s">
        <v>360</v>
      </c>
      <c r="D1275" s="188" t="str">
        <f>+INDEX([1]Detallado!$F:$F,MATCH($C1275,[1]Detallado!$B:$B,0))</f>
        <v>Renta Fija</v>
      </c>
      <c r="E1275" s="31" t="str">
        <f>+INDEX([1]Detallado!$Q:$Q,MATCH($C1275,[1]Detallado!$B:$B,0))</f>
        <v>RFLC</v>
      </c>
      <c r="F1275" s="185" t="s">
        <v>4357</v>
      </c>
      <c r="G1275" s="186" t="str">
        <f t="shared" si="38"/>
        <v>25RFLC</v>
      </c>
      <c r="H1275" s="187" t="str">
        <f>+INDEX([1]Detallado!$D:$D,MATCH(C1275,[1]Detallado!$B:$B,0))</f>
        <v>Fondo Mi Vivienda</v>
      </c>
      <c r="I1275" s="28"/>
      <c r="J1275" s="184" t="str">
        <f t="shared" si="39"/>
        <v>RFLBU</v>
      </c>
    </row>
    <row r="1276" spans="3:10" x14ac:dyDescent="0.25">
      <c r="C1276" s="28" t="s">
        <v>353</v>
      </c>
      <c r="D1276" s="188" t="str">
        <f>+INDEX([1]Detallado!$F:$F,MATCH($C1276,[1]Detallado!$B:$B,0))</f>
        <v>Renta Fija</v>
      </c>
      <c r="E1276" s="31" t="str">
        <f>+INDEX([1]Detallado!$Q:$Q,MATCH($C1276,[1]Detallado!$B:$B,0))</f>
        <v>RFLC</v>
      </c>
      <c r="F1276" s="185" t="s">
        <v>4357</v>
      </c>
      <c r="G1276" s="186" t="str">
        <f t="shared" si="38"/>
        <v>25RFLC</v>
      </c>
      <c r="H1276" s="187" t="str">
        <f>+INDEX([1]Detallado!$D:$D,MATCH(C1276,[1]Detallado!$B:$B,0))</f>
        <v>Fondo Mi Vivienda</v>
      </c>
      <c r="I1276" s="28"/>
      <c r="J1276" s="184" t="str">
        <f t="shared" si="39"/>
        <v>RFLBU</v>
      </c>
    </row>
    <row r="1277" spans="3:10" x14ac:dyDescent="0.25">
      <c r="C1277" s="28" t="s">
        <v>363</v>
      </c>
      <c r="D1277" s="188" t="str">
        <f>+INDEX([1]Detallado!$F:$F,MATCH($C1277,[1]Detallado!$B:$B,0))</f>
        <v>Renta Fija</v>
      </c>
      <c r="E1277" s="31" t="str">
        <f>+INDEX([1]Detallado!$Q:$Q,MATCH($C1277,[1]Detallado!$B:$B,0))</f>
        <v>RFLC</v>
      </c>
      <c r="F1277" s="185" t="s">
        <v>4357</v>
      </c>
      <c r="G1277" s="186" t="str">
        <f t="shared" si="38"/>
        <v>25RFLC</v>
      </c>
      <c r="H1277" s="187" t="str">
        <f>+INDEX([1]Detallado!$D:$D,MATCH(C1277,[1]Detallado!$B:$B,0))</f>
        <v>Intercorp Perú</v>
      </c>
      <c r="I1277" s="28"/>
      <c r="J1277" s="184" t="str">
        <f t="shared" si="39"/>
        <v>RFLBU</v>
      </c>
    </row>
    <row r="1278" spans="3:10" x14ac:dyDescent="0.25">
      <c r="C1278" s="28" t="s">
        <v>367</v>
      </c>
      <c r="D1278" s="188" t="str">
        <f>+INDEX([1]Detallado!$F:$F,MATCH($C1278,[1]Detallado!$B:$B,0))</f>
        <v>Renta Fija</v>
      </c>
      <c r="E1278" s="31" t="str">
        <f>+INDEX([1]Detallado!$Q:$Q,MATCH($C1278,[1]Detallado!$B:$B,0))</f>
        <v>RFLC</v>
      </c>
      <c r="F1278" s="185" t="s">
        <v>4357</v>
      </c>
      <c r="G1278" s="186" t="str">
        <f t="shared" si="38"/>
        <v>25RFLC</v>
      </c>
      <c r="H1278" s="187" t="str">
        <f>+INDEX([1]Detallado!$D:$D,MATCH(C1278,[1]Detallado!$B:$B,0))</f>
        <v>Intercorp Perú</v>
      </c>
      <c r="I1278" s="28"/>
      <c r="J1278" s="184" t="str">
        <f t="shared" si="39"/>
        <v>RFLBU</v>
      </c>
    </row>
    <row r="1279" spans="3:10" x14ac:dyDescent="0.25">
      <c r="C1279" s="28" t="s">
        <v>408</v>
      </c>
      <c r="D1279" s="188" t="str">
        <f>+INDEX([1]Detallado!$F:$F,MATCH($C1279,[1]Detallado!$B:$B,0))</f>
        <v>Renta Fija</v>
      </c>
      <c r="E1279" s="31" t="str">
        <f>+INDEX([1]Detallado!$Q:$Q,MATCH($C1279,[1]Detallado!$B:$B,0))</f>
        <v>RFLC</v>
      </c>
      <c r="F1279" s="185" t="s">
        <v>4357</v>
      </c>
      <c r="G1279" s="186" t="str">
        <f t="shared" si="38"/>
        <v>27RFLC</v>
      </c>
      <c r="H1279" s="187" t="str">
        <f>+INDEX([1]Detallado!$D:$D,MATCH(C1279,[1]Detallado!$B:$B,0))</f>
        <v>Internacional de Titulos Soc. Titulizadora</v>
      </c>
      <c r="I1279" s="28"/>
      <c r="J1279" s="184" t="str">
        <f t="shared" si="39"/>
        <v>RFLBU</v>
      </c>
    </row>
    <row r="1280" spans="3:10" x14ac:dyDescent="0.25">
      <c r="C1280" s="28" t="s">
        <v>3838</v>
      </c>
      <c r="D1280" s="188" t="str">
        <f>+INDEX([1]Detallado!$F:$F,MATCH($C1280,[1]Detallado!$B:$B,0))</f>
        <v>Renta Fija</v>
      </c>
      <c r="E1280" s="31" t="str">
        <f>+INDEX([1]Detallado!$Q:$Q,MATCH($C1280,[1]Detallado!$B:$B,0))</f>
        <v>RFLC</v>
      </c>
      <c r="F1280" s="185" t="s">
        <v>4357</v>
      </c>
      <c r="G1280" s="186" t="str">
        <f t="shared" si="38"/>
        <v>27RFLC</v>
      </c>
      <c r="H1280" s="187" t="str">
        <f>+INDEX([1]Detallado!$D:$D,MATCH(C1280,[1]Detallado!$B:$B,0))</f>
        <v>Internacional de Titulos Soc. Titulizadora</v>
      </c>
      <c r="I1280" s="28"/>
      <c r="J1280" s="184" t="str">
        <f t="shared" si="39"/>
        <v>RFLBU</v>
      </c>
    </row>
    <row r="1281" spans="3:10" x14ac:dyDescent="0.25">
      <c r="C1281" s="28" t="s">
        <v>412</v>
      </c>
      <c r="D1281" s="188" t="str">
        <f>+INDEX([1]Detallado!$F:$F,MATCH($C1281,[1]Detallado!$B:$B,0))</f>
        <v>Renta Fija</v>
      </c>
      <c r="E1281" s="31" t="str">
        <f>+INDEX([1]Detallado!$Q:$Q,MATCH($C1281,[1]Detallado!$B:$B,0))</f>
        <v>RFLC</v>
      </c>
      <c r="F1281" s="185" t="s">
        <v>4357</v>
      </c>
      <c r="G1281" s="186" t="str">
        <f t="shared" si="38"/>
        <v>27RFLC</v>
      </c>
      <c r="H1281" s="187" t="str">
        <f>+INDEX([1]Detallado!$D:$D,MATCH(C1281,[1]Detallado!$B:$B,0))</f>
        <v>Colegios Peruanos - Internacional de Titulos Soc. Titulizadora</v>
      </c>
      <c r="I1281" s="28"/>
      <c r="J1281" s="184" t="str">
        <f t="shared" si="39"/>
        <v>RFLBU</v>
      </c>
    </row>
    <row r="1282" spans="3:10" x14ac:dyDescent="0.25">
      <c r="C1282" s="28" t="s">
        <v>3839</v>
      </c>
      <c r="D1282" s="188" t="str">
        <f>+INDEX([1]Detallado!$F:$F,MATCH($C1282,[1]Detallado!$B:$B,0))</f>
        <v>Renta Fija</v>
      </c>
      <c r="E1282" s="31" t="str">
        <f>+INDEX([1]Detallado!$Q:$Q,MATCH($C1282,[1]Detallado!$B:$B,0))</f>
        <v>RFLC</v>
      </c>
      <c r="F1282" s="185" t="s">
        <v>4357</v>
      </c>
      <c r="G1282" s="186" t="str">
        <f t="shared" si="38"/>
        <v>27RFLC</v>
      </c>
      <c r="H1282" s="187" t="str">
        <f>+INDEX([1]Detallado!$D:$D,MATCH(C1282,[1]Detallado!$B:$B,0))</f>
        <v>Internacional de Titulos Soc. Titulizadora (Promart)</v>
      </c>
      <c r="I1282" s="28"/>
      <c r="J1282" s="184" t="str">
        <f t="shared" si="39"/>
        <v>RFLBU</v>
      </c>
    </row>
    <row r="1283" spans="3:10" x14ac:dyDescent="0.25">
      <c r="C1283" s="28" t="s">
        <v>415</v>
      </c>
      <c r="D1283" s="188" t="str">
        <f>+INDEX([1]Detallado!$F:$F,MATCH($C1283,[1]Detallado!$B:$B,0))</f>
        <v>Renta Fija</v>
      </c>
      <c r="E1283" s="31" t="str">
        <f>+INDEX([1]Detallado!$Q:$Q,MATCH($C1283,[1]Detallado!$B:$B,0))</f>
        <v>RFLC</v>
      </c>
      <c r="F1283" s="185" t="s">
        <v>4357</v>
      </c>
      <c r="G1283" s="186" t="str">
        <f t="shared" si="38"/>
        <v>27RFLC</v>
      </c>
      <c r="H1283" s="187" t="str">
        <f>+INDEX([1]Detallado!$D:$D,MATCH(C1283,[1]Detallado!$B:$B,0))</f>
        <v>Internacional de Titulos Soc. Titulizadora</v>
      </c>
      <c r="I1283" s="28"/>
      <c r="J1283" s="184" t="str">
        <f t="shared" si="39"/>
        <v>RFLBU</v>
      </c>
    </row>
    <row r="1284" spans="3:10" x14ac:dyDescent="0.25">
      <c r="C1284" s="28" t="s">
        <v>402</v>
      </c>
      <c r="D1284" s="188" t="str">
        <f>+INDEX([1]Detallado!$F:$F,MATCH($C1284,[1]Detallado!$B:$B,0))</f>
        <v>Renta Fija</v>
      </c>
      <c r="E1284" s="31" t="str">
        <f>+INDEX([1]Detallado!$Q:$Q,MATCH($C1284,[1]Detallado!$B:$B,0))</f>
        <v>RFLC</v>
      </c>
      <c r="F1284" s="185" t="s">
        <v>4357</v>
      </c>
      <c r="G1284" s="186" t="str">
        <f t="shared" si="38"/>
        <v>27RFLC</v>
      </c>
      <c r="H1284" s="187" t="str">
        <f>+INDEX([1]Detallado!$D:$D,MATCH(C1284,[1]Detallado!$B:$B,0))</f>
        <v>ADP</v>
      </c>
      <c r="I1284" s="28"/>
      <c r="J1284" s="184" t="str">
        <f t="shared" si="39"/>
        <v>RFLBU</v>
      </c>
    </row>
    <row r="1285" spans="3:10" x14ac:dyDescent="0.25">
      <c r="C1285" s="28" t="s">
        <v>3840</v>
      </c>
      <c r="D1285" s="188" t="str">
        <f>+INDEX([1]Detallado!$F:$F,MATCH($C1285,[1]Detallado!$B:$B,0))</f>
        <v>Renta Fija</v>
      </c>
      <c r="E1285" s="31" t="str">
        <f>+INDEX([1]Detallado!$Q:$Q,MATCH($C1285,[1]Detallado!$B:$B,0))</f>
        <v>RFLC</v>
      </c>
      <c r="F1285" s="185" t="s">
        <v>4357</v>
      </c>
      <c r="G1285" s="186" t="str">
        <f t="shared" si="38"/>
        <v>27RFLC</v>
      </c>
      <c r="H1285" s="187" t="str">
        <f>+INDEX([1]Detallado!$D:$D,MATCH(C1285,[1]Detallado!$B:$B,0))</f>
        <v xml:space="preserve">Creditítulos Sociedad Titulizadora </v>
      </c>
      <c r="I1285" s="28"/>
      <c r="J1285" s="184" t="str">
        <f t="shared" si="39"/>
        <v>RFLBU</v>
      </c>
    </row>
    <row r="1286" spans="3:10" x14ac:dyDescent="0.25">
      <c r="C1286" s="28" t="s">
        <v>3841</v>
      </c>
      <c r="D1286" s="188" t="str">
        <f>+INDEX([1]Detallado!$F:$F,MATCH($C1286,[1]Detallado!$B:$B,0))</f>
        <v>Renta Fija</v>
      </c>
      <c r="E1286" s="31" t="str">
        <f>+INDEX([1]Detallado!$Q:$Q,MATCH($C1286,[1]Detallado!$B:$B,0))</f>
        <v>RFLC</v>
      </c>
      <c r="F1286" s="185" t="s">
        <v>4357</v>
      </c>
      <c r="G1286" s="186" t="str">
        <f t="shared" si="38"/>
        <v>27RFLC</v>
      </c>
      <c r="H1286" s="187" t="str">
        <f>+INDEX([1]Detallado!$D:$D,MATCH(C1286,[1]Detallado!$B:$B,0))</f>
        <v xml:space="preserve">Creditítulos Sociedad Titulizadora </v>
      </c>
      <c r="I1286" s="28"/>
      <c r="J1286" s="184" t="str">
        <f t="shared" si="39"/>
        <v>RFLBU</v>
      </c>
    </row>
    <row r="1287" spans="3:10" x14ac:dyDescent="0.25">
      <c r="C1287" s="28" t="s">
        <v>3842</v>
      </c>
      <c r="D1287" s="188" t="str">
        <f>+INDEX([1]Detallado!$F:$F,MATCH($C1287,[1]Detallado!$B:$B,0))</f>
        <v>Renta Fija</v>
      </c>
      <c r="E1287" s="31" t="str">
        <f>+INDEX([1]Detallado!$Q:$Q,MATCH($C1287,[1]Detallado!$B:$B,0))</f>
        <v>RFLC</v>
      </c>
      <c r="F1287" s="185" t="s">
        <v>4357</v>
      </c>
      <c r="G1287" s="186" t="str">
        <f t="shared" si="38"/>
        <v>27RFLC</v>
      </c>
      <c r="H1287" s="187" t="str">
        <f>+INDEX([1]Detallado!$D:$D,MATCH(C1287,[1]Detallado!$B:$B,0))</f>
        <v xml:space="preserve">Creditítulos Sociedad Titulizadora </v>
      </c>
      <c r="I1287" s="28"/>
      <c r="J1287" s="184" t="str">
        <f t="shared" si="39"/>
        <v>RFLBU</v>
      </c>
    </row>
    <row r="1288" spans="3:10" x14ac:dyDescent="0.25">
      <c r="C1288" s="28" t="s">
        <v>3843</v>
      </c>
      <c r="D1288" s="188" t="str">
        <f>+INDEX([1]Detallado!$F:$F,MATCH($C1288,[1]Detallado!$B:$B,0))</f>
        <v>Renta Fija</v>
      </c>
      <c r="E1288" s="31" t="str">
        <f>+INDEX([1]Detallado!$Q:$Q,MATCH($C1288,[1]Detallado!$B:$B,0))</f>
        <v>RFLC</v>
      </c>
      <c r="F1288" s="185" t="s">
        <v>4357</v>
      </c>
      <c r="G1288" s="186" t="str">
        <f t="shared" si="38"/>
        <v>27RFLC</v>
      </c>
      <c r="H1288" s="187" t="str">
        <f>+INDEX([1]Detallado!$D:$D,MATCH(C1288,[1]Detallado!$B:$B,0))</f>
        <v xml:space="preserve">Scotia Sociedad Titulizadora </v>
      </c>
      <c r="I1288" s="28"/>
      <c r="J1288" s="184" t="str">
        <f t="shared" si="39"/>
        <v>RFLBU</v>
      </c>
    </row>
    <row r="1289" spans="3:10" x14ac:dyDescent="0.25">
      <c r="C1289" s="28" t="s">
        <v>3844</v>
      </c>
      <c r="D1289" s="188" t="str">
        <f>+INDEX([1]Detallado!$F:$F,MATCH($C1289,[1]Detallado!$B:$B,0))</f>
        <v>Renta Fija</v>
      </c>
      <c r="E1289" s="31" t="str">
        <f>+INDEX([1]Detallado!$Q:$Q,MATCH($C1289,[1]Detallado!$B:$B,0))</f>
        <v>RFLC</v>
      </c>
      <c r="F1289" s="185" t="s">
        <v>4357</v>
      </c>
      <c r="G1289" s="186" t="str">
        <f t="shared" si="38"/>
        <v>27RFLC</v>
      </c>
      <c r="H1289" s="187" t="str">
        <f>+INDEX([1]Detallado!$D:$D,MATCH(C1289,[1]Detallado!$B:$B,0))</f>
        <v xml:space="preserve">Scotia Sociedad Titulizadora </v>
      </c>
      <c r="I1289" s="28"/>
      <c r="J1289" s="184" t="str">
        <f t="shared" si="39"/>
        <v>RFLBU</v>
      </c>
    </row>
    <row r="1290" spans="3:10" x14ac:dyDescent="0.25">
      <c r="C1290" s="28" t="s">
        <v>3845</v>
      </c>
      <c r="D1290" s="188" t="str">
        <f>+INDEX([1]Detallado!$F:$F,MATCH($C1290,[1]Detallado!$B:$B,0))</f>
        <v>Renta Fija</v>
      </c>
      <c r="E1290" s="31" t="str">
        <f>+INDEX([1]Detallado!$Q:$Q,MATCH($C1290,[1]Detallado!$B:$B,0))</f>
        <v>RFLC</v>
      </c>
      <c r="F1290" s="185" t="s">
        <v>4357</v>
      </c>
      <c r="G1290" s="186" t="str">
        <f t="shared" ref="G1290:G1353" si="40">LEFT(C1290,2)&amp;E1290</f>
        <v>27RFLC</v>
      </c>
      <c r="H1290" s="187" t="str">
        <f>+INDEX([1]Detallado!$D:$D,MATCH(C1290,[1]Detallado!$B:$B,0))</f>
        <v xml:space="preserve">Scotia Sociedad Titulizadora </v>
      </c>
      <c r="I1290" s="28"/>
      <c r="J1290" s="184" t="str">
        <f t="shared" ref="J1290:J1353" si="41">IF(E1290="ALT",LEFT(E1290,3),LEFT(E1290,3)&amp;F1290)</f>
        <v>RFLBU</v>
      </c>
    </row>
    <row r="1291" spans="3:10" x14ac:dyDescent="0.25">
      <c r="C1291" s="28" t="s">
        <v>3846</v>
      </c>
      <c r="D1291" s="188" t="str">
        <f>+INDEX([1]Detallado!$F:$F,MATCH($C1291,[1]Detallado!$B:$B,0))</f>
        <v>Renta Fija</v>
      </c>
      <c r="E1291" s="31" t="str">
        <f>+INDEX([1]Detallado!$Q:$Q,MATCH($C1291,[1]Detallado!$B:$B,0))</f>
        <v>RFLC</v>
      </c>
      <c r="F1291" s="185" t="s">
        <v>4357</v>
      </c>
      <c r="G1291" s="186" t="str">
        <f t="shared" si="40"/>
        <v>27RFLC</v>
      </c>
      <c r="H1291" s="187" t="str">
        <f>+INDEX([1]Detallado!$D:$D,MATCH(C1291,[1]Detallado!$B:$B,0))</f>
        <v xml:space="preserve">Scotia Sociedad Titulizadora </v>
      </c>
      <c r="I1291" s="28"/>
      <c r="J1291" s="184" t="str">
        <f t="shared" si="41"/>
        <v>RFLBU</v>
      </c>
    </row>
    <row r="1292" spans="3:10" x14ac:dyDescent="0.25">
      <c r="C1292" s="28" t="s">
        <v>381</v>
      </c>
      <c r="D1292" s="188" t="str">
        <f>+INDEX([1]Detallado!$F:$F,MATCH($C1292,[1]Detallado!$B:$B,0))</f>
        <v>Renta Fija</v>
      </c>
      <c r="E1292" s="31" t="str">
        <f>+INDEX([1]Detallado!$Q:$Q,MATCH($C1292,[1]Detallado!$B:$B,0))</f>
        <v>RFLC</v>
      </c>
      <c r="F1292" s="185" t="s">
        <v>4357</v>
      </c>
      <c r="G1292" s="186" t="str">
        <f t="shared" si="40"/>
        <v>27RFLC</v>
      </c>
      <c r="H1292" s="187" t="str">
        <f>+INDEX([1]Detallado!$D:$D,MATCH(C1292,[1]Detallado!$B:$B,0))</f>
        <v>TITIRSM1 - InRetail</v>
      </c>
      <c r="I1292" s="28"/>
      <c r="J1292" s="184" t="str">
        <f t="shared" si="41"/>
        <v>RFLBU</v>
      </c>
    </row>
    <row r="1293" spans="3:10" x14ac:dyDescent="0.25">
      <c r="C1293" s="28" t="s">
        <v>3847</v>
      </c>
      <c r="D1293" s="188" t="str">
        <f>+INDEX([1]Detallado!$F:$F,MATCH($C1293,[1]Detallado!$B:$B,0))</f>
        <v>Renta Fija</v>
      </c>
      <c r="E1293" s="31" t="str">
        <f>+INDEX([1]Detallado!$Q:$Q,MATCH($C1293,[1]Detallado!$B:$B,0))</f>
        <v>RFLC</v>
      </c>
      <c r="F1293" s="185" t="s">
        <v>4357</v>
      </c>
      <c r="G1293" s="186" t="str">
        <f t="shared" si="40"/>
        <v>27RFLC</v>
      </c>
      <c r="H1293" s="187" t="str">
        <f>+INDEX([1]Detallado!$D:$D,MATCH(C1293,[1]Detallado!$B:$B,0))</f>
        <v>TITIRSM1 - InRetail</v>
      </c>
      <c r="I1293" s="28"/>
      <c r="J1293" s="184" t="str">
        <f t="shared" si="41"/>
        <v>RFLBU</v>
      </c>
    </row>
    <row r="1294" spans="3:10" x14ac:dyDescent="0.25">
      <c r="C1294" s="28" t="s">
        <v>387</v>
      </c>
      <c r="D1294" s="188" t="str">
        <f>+INDEX([1]Detallado!$F:$F,MATCH($C1294,[1]Detallado!$B:$B,0))</f>
        <v>Renta Fija</v>
      </c>
      <c r="E1294" s="31" t="str">
        <f>+INDEX([1]Detallado!$Q:$Q,MATCH($C1294,[1]Detallado!$B:$B,0))</f>
        <v>RFLC</v>
      </c>
      <c r="F1294" s="185" t="s">
        <v>4357</v>
      </c>
      <c r="G1294" s="186" t="str">
        <f t="shared" si="40"/>
        <v>27RFLC</v>
      </c>
      <c r="H1294" s="187" t="str">
        <f>+INDEX([1]Detallado!$D:$D,MATCH(C1294,[1]Detallado!$B:$B,0))</f>
        <v>SINT1INR1U - InRetail</v>
      </c>
      <c r="I1294" s="28"/>
      <c r="J1294" s="184" t="str">
        <f t="shared" si="41"/>
        <v>RFLBU</v>
      </c>
    </row>
    <row r="1295" spans="3:10" x14ac:dyDescent="0.25">
      <c r="C1295" s="28" t="s">
        <v>3848</v>
      </c>
      <c r="D1295" s="188" t="str">
        <f>+INDEX([1]Detallado!$F:$F,MATCH($C1295,[1]Detallado!$B:$B,0))</f>
        <v>Renta Fija</v>
      </c>
      <c r="E1295" s="31" t="str">
        <f>+INDEX([1]Detallado!$Q:$Q,MATCH($C1295,[1]Detallado!$B:$B,0))</f>
        <v>RFLC</v>
      </c>
      <c r="F1295" s="185" t="s">
        <v>4357</v>
      </c>
      <c r="G1295" s="186" t="str">
        <f t="shared" si="40"/>
        <v>29RFLC</v>
      </c>
      <c r="H1295" s="187" t="str">
        <f>+INDEX([1]Detallado!$D:$D,MATCH(C1295,[1]Detallado!$B:$B,0))</f>
        <v>Corporación Andina de Fomento</v>
      </c>
      <c r="I1295" s="28"/>
      <c r="J1295" s="184" t="str">
        <f t="shared" si="41"/>
        <v>RFLBU</v>
      </c>
    </row>
    <row r="1296" spans="3:10" x14ac:dyDescent="0.25">
      <c r="C1296" s="28" t="s">
        <v>3849</v>
      </c>
      <c r="D1296" s="188" t="str">
        <f>+INDEX([1]Detallado!$F:$F,MATCH($C1296,[1]Detallado!$B:$B,0))</f>
        <v>Renta Fija</v>
      </c>
      <c r="E1296" s="31" t="str">
        <f>+INDEX([1]Detallado!$Q:$Q,MATCH($C1296,[1]Detallado!$B:$B,0))</f>
        <v>RFLC</v>
      </c>
      <c r="F1296" s="185" t="s">
        <v>4357</v>
      </c>
      <c r="G1296" s="186" t="str">
        <f t="shared" si="40"/>
        <v>29RFLC</v>
      </c>
      <c r="H1296" s="187" t="str">
        <f>+INDEX([1]Detallado!$D:$D,MATCH(C1296,[1]Detallado!$B:$B,0))</f>
        <v>Corporación Andina de Fomento</v>
      </c>
      <c r="I1296" s="28"/>
      <c r="J1296" s="184" t="str">
        <f t="shared" si="41"/>
        <v>RFLBU</v>
      </c>
    </row>
    <row r="1297" spans="3:10" x14ac:dyDescent="0.25">
      <c r="C1297" s="28" t="s">
        <v>3850</v>
      </c>
      <c r="D1297" s="188" t="str">
        <f>+INDEX([1]Detallado!$F:$F,MATCH($C1297,[1]Detallado!$B:$B,0))</f>
        <v>Renta Fija</v>
      </c>
      <c r="E1297" s="31" t="str">
        <f>+INDEX([1]Detallado!$Q:$Q,MATCH($C1297,[1]Detallado!$B:$B,0))</f>
        <v>RFLC</v>
      </c>
      <c r="F1297" s="185" t="s">
        <v>4357</v>
      </c>
      <c r="G1297" s="186" t="str">
        <f t="shared" si="40"/>
        <v>63RFLC</v>
      </c>
      <c r="H1297" s="187" t="str">
        <f>+INDEX([1]Detallado!$D:$D,MATCH(C1297,[1]Detallado!$B:$B,0))</f>
        <v>Banco de Crédito del Perú</v>
      </c>
      <c r="I1297" s="28"/>
      <c r="J1297" s="184" t="str">
        <f t="shared" si="41"/>
        <v>RFLBU</v>
      </c>
    </row>
    <row r="1298" spans="3:10" x14ac:dyDescent="0.25">
      <c r="C1298" s="28" t="s">
        <v>3851</v>
      </c>
      <c r="D1298" s="188" t="str">
        <f>+INDEX([1]Detallado!$F:$F,MATCH($C1298,[1]Detallado!$B:$B,0))</f>
        <v>Renta Fija</v>
      </c>
      <c r="E1298" s="31" t="str">
        <f>+INDEX([1]Detallado!$Q:$Q,MATCH($C1298,[1]Detallado!$B:$B,0))</f>
        <v>RFLC</v>
      </c>
      <c r="F1298" s="185" t="s">
        <v>4357</v>
      </c>
      <c r="G1298" s="186" t="str">
        <f t="shared" si="40"/>
        <v>63RFLC</v>
      </c>
      <c r="H1298" s="187" t="str">
        <f>+INDEX([1]Detallado!$D:$D,MATCH(C1298,[1]Detallado!$B:$B,0))</f>
        <v>Banco de Crédito del Perú</v>
      </c>
      <c r="I1298" s="28"/>
      <c r="J1298" s="184" t="str">
        <f t="shared" si="41"/>
        <v>RFLBU</v>
      </c>
    </row>
    <row r="1299" spans="3:10" x14ac:dyDescent="0.25">
      <c r="C1299" s="28" t="s">
        <v>3852</v>
      </c>
      <c r="D1299" s="188" t="str">
        <f>+INDEX([1]Detallado!$F:$F,MATCH($C1299,[1]Detallado!$B:$B,0))</f>
        <v>Renta Fija</v>
      </c>
      <c r="E1299" s="31" t="str">
        <f>+INDEX([1]Detallado!$Q:$Q,MATCH($C1299,[1]Detallado!$B:$B,0))</f>
        <v>RFLC</v>
      </c>
      <c r="F1299" s="185" t="s">
        <v>4357</v>
      </c>
      <c r="G1299" s="186" t="str">
        <f t="shared" si="40"/>
        <v>63RFLC</v>
      </c>
      <c r="H1299" s="187" t="str">
        <f>+INDEX([1]Detallado!$D:$D,MATCH(C1299,[1]Detallado!$B:$B,0))</f>
        <v>Banco de Crédito del Perú</v>
      </c>
      <c r="I1299" s="28"/>
      <c r="J1299" s="184" t="str">
        <f t="shared" si="41"/>
        <v>RFLBU</v>
      </c>
    </row>
    <row r="1300" spans="3:10" x14ac:dyDescent="0.25">
      <c r="C1300" s="28" t="s">
        <v>3853</v>
      </c>
      <c r="D1300" s="188" t="str">
        <f>+INDEX([1]Detallado!$F:$F,MATCH($C1300,[1]Detallado!$B:$B,0))</f>
        <v>Renta Fija</v>
      </c>
      <c r="E1300" s="31" t="str">
        <f>+INDEX([1]Detallado!$Q:$Q,MATCH($C1300,[1]Detallado!$B:$B,0))</f>
        <v>RFLC</v>
      </c>
      <c r="F1300" s="185" t="s">
        <v>4357</v>
      </c>
      <c r="G1300" s="186" t="str">
        <f t="shared" si="40"/>
        <v>63RFLC</v>
      </c>
      <c r="H1300" s="187" t="str">
        <f>+INDEX([1]Detallado!$D:$D,MATCH(C1300,[1]Detallado!$B:$B,0))</f>
        <v>Banco Continental</v>
      </c>
      <c r="I1300" s="28"/>
      <c r="J1300" s="184" t="str">
        <f t="shared" si="41"/>
        <v>RFLBU</v>
      </c>
    </row>
    <row r="1301" spans="3:10" x14ac:dyDescent="0.25">
      <c r="C1301" s="28" t="s">
        <v>3854</v>
      </c>
      <c r="D1301" s="188" t="str">
        <f>+INDEX([1]Detallado!$F:$F,MATCH($C1301,[1]Detallado!$B:$B,0))</f>
        <v>Renta Fija</v>
      </c>
      <c r="E1301" s="31" t="str">
        <f>+INDEX([1]Detallado!$Q:$Q,MATCH($C1301,[1]Detallado!$B:$B,0))</f>
        <v>RFLC</v>
      </c>
      <c r="F1301" s="185" t="s">
        <v>4357</v>
      </c>
      <c r="G1301" s="186" t="str">
        <f t="shared" si="40"/>
        <v>63RFLC</v>
      </c>
      <c r="H1301" s="187" t="str">
        <f>+INDEX([1]Detallado!$D:$D,MATCH(C1301,[1]Detallado!$B:$B,0))</f>
        <v>Banco Continental</v>
      </c>
      <c r="I1301" s="28"/>
      <c r="J1301" s="184" t="str">
        <f t="shared" si="41"/>
        <v>RFLBU</v>
      </c>
    </row>
    <row r="1302" spans="3:10" x14ac:dyDescent="0.25">
      <c r="C1302" s="28" t="s">
        <v>3855</v>
      </c>
      <c r="D1302" s="188" t="str">
        <f>+INDEX([1]Detallado!$F:$F,MATCH($C1302,[1]Detallado!$B:$B,0))</f>
        <v>Renta Fija</v>
      </c>
      <c r="E1302" s="31" t="str">
        <f>+INDEX([1]Detallado!$Q:$Q,MATCH($C1302,[1]Detallado!$B:$B,0))</f>
        <v>RFLC</v>
      </c>
      <c r="F1302" s="185" t="s">
        <v>4357</v>
      </c>
      <c r="G1302" s="186" t="str">
        <f t="shared" si="40"/>
        <v>63RFLC</v>
      </c>
      <c r="H1302" s="187" t="str">
        <f>+INDEX([1]Detallado!$D:$D,MATCH(C1302,[1]Detallado!$B:$B,0))</f>
        <v>Banco Interamericano de Finanzas</v>
      </c>
      <c r="I1302" s="28"/>
      <c r="J1302" s="184" t="str">
        <f t="shared" si="41"/>
        <v>RFLBU</v>
      </c>
    </row>
    <row r="1303" spans="3:10" x14ac:dyDescent="0.25">
      <c r="C1303" s="28" t="s">
        <v>3856</v>
      </c>
      <c r="D1303" s="188" t="str">
        <f>+INDEX([1]Detallado!$F:$F,MATCH($C1303,[1]Detallado!$B:$B,0))</f>
        <v>Renta Fija</v>
      </c>
      <c r="E1303" s="31" t="str">
        <f>+INDEX([1]Detallado!$Q:$Q,MATCH($C1303,[1]Detallado!$B:$B,0))</f>
        <v>RFLC</v>
      </c>
      <c r="F1303" s="185" t="s">
        <v>4357</v>
      </c>
      <c r="G1303" s="186" t="str">
        <f t="shared" si="40"/>
        <v>63RFLC</v>
      </c>
      <c r="H1303" s="187" t="str">
        <f>+INDEX([1]Detallado!$D:$D,MATCH(C1303,[1]Detallado!$B:$B,0))</f>
        <v>Banco Interamericano de Finanzas</v>
      </c>
      <c r="I1303" s="28"/>
      <c r="J1303" s="184" t="str">
        <f t="shared" si="41"/>
        <v>RFLBU</v>
      </c>
    </row>
    <row r="1304" spans="3:10" x14ac:dyDescent="0.25">
      <c r="C1304" s="28" t="s">
        <v>3857</v>
      </c>
      <c r="D1304" s="188" t="str">
        <f>+INDEX([1]Detallado!$F:$F,MATCH($C1304,[1]Detallado!$B:$B,0))</f>
        <v>Renta Fija</v>
      </c>
      <c r="E1304" s="31" t="str">
        <f>+INDEX([1]Detallado!$Q:$Q,MATCH($C1304,[1]Detallado!$B:$B,0))</f>
        <v>RFLC</v>
      </c>
      <c r="F1304" s="185" t="s">
        <v>4357</v>
      </c>
      <c r="G1304" s="186" t="str">
        <f t="shared" si="40"/>
        <v>63RFLC</v>
      </c>
      <c r="H1304" s="187" t="str">
        <f>+INDEX([1]Detallado!$D:$D,MATCH(C1304,[1]Detallado!$B:$B,0))</f>
        <v>Banco Interamericano de Finanzas</v>
      </c>
      <c r="I1304" s="28"/>
      <c r="J1304" s="184" t="str">
        <f t="shared" si="41"/>
        <v>RFLBU</v>
      </c>
    </row>
    <row r="1305" spans="3:10" x14ac:dyDescent="0.25">
      <c r="C1305" s="28" t="s">
        <v>3858</v>
      </c>
      <c r="D1305" s="188" t="str">
        <f>+INDEX([1]Detallado!$F:$F,MATCH($C1305,[1]Detallado!$B:$B,0))</f>
        <v>Renta Fija</v>
      </c>
      <c r="E1305" s="31" t="str">
        <f>+INDEX([1]Detallado!$Q:$Q,MATCH($C1305,[1]Detallado!$B:$B,0))</f>
        <v>RFLC</v>
      </c>
      <c r="F1305" s="185" t="s">
        <v>4357</v>
      </c>
      <c r="G1305" s="186" t="str">
        <f t="shared" si="40"/>
        <v>63RFLC</v>
      </c>
      <c r="H1305" s="187" t="str">
        <f>+INDEX([1]Detallado!$D:$D,MATCH(C1305,[1]Detallado!$B:$B,0))</f>
        <v>Banco Interamericano de Finanzas</v>
      </c>
      <c r="I1305" s="28"/>
      <c r="J1305" s="184" t="str">
        <f t="shared" si="41"/>
        <v>RFLBU</v>
      </c>
    </row>
    <row r="1306" spans="3:10" x14ac:dyDescent="0.25">
      <c r="C1306" s="28" t="s">
        <v>3859</v>
      </c>
      <c r="D1306" s="188" t="str">
        <f>+INDEX([1]Detallado!$F:$F,MATCH($C1306,[1]Detallado!$B:$B,0))</f>
        <v>Renta Fija</v>
      </c>
      <c r="E1306" s="31" t="str">
        <f>+INDEX([1]Detallado!$Q:$Q,MATCH($C1306,[1]Detallado!$B:$B,0))</f>
        <v>RFLC</v>
      </c>
      <c r="F1306" s="185" t="s">
        <v>4357</v>
      </c>
      <c r="G1306" s="186" t="str">
        <f t="shared" si="40"/>
        <v>63RFLC</v>
      </c>
      <c r="H1306" s="187" t="str">
        <f>+INDEX([1]Detallado!$D:$D,MATCH(C1306,[1]Detallado!$B:$B,0))</f>
        <v>Crediscotia Financiera</v>
      </c>
      <c r="I1306" s="28"/>
      <c r="J1306" s="184" t="str">
        <f t="shared" si="41"/>
        <v>RFLBU</v>
      </c>
    </row>
    <row r="1307" spans="3:10" x14ac:dyDescent="0.25">
      <c r="C1307" s="28" t="s">
        <v>3860</v>
      </c>
      <c r="D1307" s="188" t="str">
        <f>+INDEX([1]Detallado!$F:$F,MATCH($C1307,[1]Detallado!$B:$B,0))</f>
        <v>Renta Fija</v>
      </c>
      <c r="E1307" s="31" t="str">
        <f>+INDEX([1]Detallado!$Q:$Q,MATCH($C1307,[1]Detallado!$B:$B,0))</f>
        <v>RFLC</v>
      </c>
      <c r="F1307" s="185" t="s">
        <v>4357</v>
      </c>
      <c r="G1307" s="186" t="str">
        <f t="shared" si="40"/>
        <v>63RFLC</v>
      </c>
      <c r="H1307" s="187" t="str">
        <f>+INDEX([1]Detallado!$D:$D,MATCH(C1307,[1]Detallado!$B:$B,0))</f>
        <v>Crediscotia Financiera</v>
      </c>
      <c r="I1307" s="28"/>
      <c r="J1307" s="184" t="str">
        <f t="shared" si="41"/>
        <v>RFLBU</v>
      </c>
    </row>
    <row r="1308" spans="3:10" x14ac:dyDescent="0.25">
      <c r="C1308" s="28" t="s">
        <v>3861</v>
      </c>
      <c r="D1308" s="188" t="str">
        <f>+INDEX([1]Detallado!$F:$F,MATCH($C1308,[1]Detallado!$B:$B,0))</f>
        <v>Renta Fija</v>
      </c>
      <c r="E1308" s="31" t="str">
        <f>+INDEX([1]Detallado!$Q:$Q,MATCH($C1308,[1]Detallado!$B:$B,0))</f>
        <v>RFLC</v>
      </c>
      <c r="F1308" s="185" t="s">
        <v>4357</v>
      </c>
      <c r="G1308" s="186" t="str">
        <f t="shared" si="40"/>
        <v>63RFLC</v>
      </c>
      <c r="H1308" s="187" t="str">
        <f>+INDEX([1]Detallado!$D:$D,MATCH(C1308,[1]Detallado!$B:$B,0))</f>
        <v>Crediscotia Financiera</v>
      </c>
      <c r="I1308" s="28"/>
      <c r="J1308" s="184" t="str">
        <f t="shared" si="41"/>
        <v>RFLBU</v>
      </c>
    </row>
    <row r="1309" spans="3:10" x14ac:dyDescent="0.25">
      <c r="C1309" s="28" t="s">
        <v>3862</v>
      </c>
      <c r="D1309" s="188" t="str">
        <f>+INDEX([1]Detallado!$F:$F,MATCH($C1309,[1]Detallado!$B:$B,0))</f>
        <v>Renta Fija</v>
      </c>
      <c r="E1309" s="31" t="str">
        <f>+INDEX([1]Detallado!$Q:$Q,MATCH($C1309,[1]Detallado!$B:$B,0))</f>
        <v>RFLC</v>
      </c>
      <c r="F1309" s="185" t="s">
        <v>4357</v>
      </c>
      <c r="G1309" s="186" t="str">
        <f t="shared" si="40"/>
        <v>63RFLC</v>
      </c>
      <c r="H1309" s="187" t="str">
        <f>+INDEX([1]Detallado!$D:$D,MATCH(C1309,[1]Detallado!$B:$B,0))</f>
        <v>GNB</v>
      </c>
      <c r="I1309" s="28"/>
      <c r="J1309" s="184" t="str">
        <f t="shared" si="41"/>
        <v>RFLBU</v>
      </c>
    </row>
    <row r="1310" spans="3:10" x14ac:dyDescent="0.25">
      <c r="C1310" s="28" t="s">
        <v>3863</v>
      </c>
      <c r="D1310" s="188" t="str">
        <f>+INDEX([1]Detallado!$F:$F,MATCH($C1310,[1]Detallado!$B:$B,0))</f>
        <v>Renta Fija</v>
      </c>
      <c r="E1310" s="31" t="str">
        <f>+INDEX([1]Detallado!$Q:$Q,MATCH($C1310,[1]Detallado!$B:$B,0))</f>
        <v>RFLC</v>
      </c>
      <c r="F1310" s="185" t="s">
        <v>4357</v>
      </c>
      <c r="G1310" s="186" t="str">
        <f t="shared" si="40"/>
        <v>63RFLC</v>
      </c>
      <c r="H1310" s="187" t="str">
        <f>+INDEX([1]Detallado!$D:$D,MATCH(C1310,[1]Detallado!$B:$B,0))</f>
        <v>GNB</v>
      </c>
      <c r="I1310" s="28"/>
      <c r="J1310" s="184" t="str">
        <f t="shared" si="41"/>
        <v>RFLBU</v>
      </c>
    </row>
    <row r="1311" spans="3:10" x14ac:dyDescent="0.25">
      <c r="C1311" s="28" t="s">
        <v>3864</v>
      </c>
      <c r="D1311" s="188" t="str">
        <f>+INDEX([1]Detallado!$F:$F,MATCH($C1311,[1]Detallado!$B:$B,0))</f>
        <v>Renta Fija</v>
      </c>
      <c r="E1311" s="31" t="str">
        <f>+INDEX([1]Detallado!$Q:$Q,MATCH($C1311,[1]Detallado!$B:$B,0))</f>
        <v>RFLC</v>
      </c>
      <c r="F1311" s="185" t="s">
        <v>4357</v>
      </c>
      <c r="G1311" s="186" t="str">
        <f t="shared" si="40"/>
        <v>63RFLC</v>
      </c>
      <c r="H1311" s="187" t="str">
        <f>+INDEX([1]Detallado!$D:$D,MATCH(C1311,[1]Detallado!$B:$B,0))</f>
        <v>GNB</v>
      </c>
      <c r="I1311" s="28"/>
      <c r="J1311" s="184" t="str">
        <f t="shared" si="41"/>
        <v>RFLBU</v>
      </c>
    </row>
    <row r="1312" spans="3:10" x14ac:dyDescent="0.25">
      <c r="C1312" s="28" t="s">
        <v>3865</v>
      </c>
      <c r="D1312" s="188" t="str">
        <f>+INDEX([1]Detallado!$F:$F,MATCH($C1312,[1]Detallado!$B:$B,0))</f>
        <v>Renta Fija</v>
      </c>
      <c r="E1312" s="31" t="str">
        <f>+INDEX([1]Detallado!$Q:$Q,MATCH($C1312,[1]Detallado!$B:$B,0))</f>
        <v>RFLC</v>
      </c>
      <c r="F1312" s="185" t="s">
        <v>4357</v>
      </c>
      <c r="G1312" s="186" t="str">
        <f t="shared" si="40"/>
        <v>63RFLC</v>
      </c>
      <c r="H1312" s="187" t="str">
        <f>+INDEX([1]Detallado!$D:$D,MATCH(C1312,[1]Detallado!$B:$B,0))</f>
        <v>GNB</v>
      </c>
      <c r="I1312" s="28"/>
      <c r="J1312" s="184" t="str">
        <f t="shared" si="41"/>
        <v>RFLBU</v>
      </c>
    </row>
    <row r="1313" spans="3:10" x14ac:dyDescent="0.25">
      <c r="C1313" s="28" t="s">
        <v>3866</v>
      </c>
      <c r="D1313" s="188" t="str">
        <f>+INDEX([1]Detallado!$F:$F,MATCH($C1313,[1]Detallado!$B:$B,0))</f>
        <v>Renta Fija</v>
      </c>
      <c r="E1313" s="31" t="str">
        <f>+INDEX([1]Detallado!$Q:$Q,MATCH($C1313,[1]Detallado!$B:$B,0))</f>
        <v>RFLC</v>
      </c>
      <c r="F1313" s="185" t="s">
        <v>4357</v>
      </c>
      <c r="G1313" s="186" t="str">
        <f t="shared" si="40"/>
        <v>25RFLC</v>
      </c>
      <c r="H1313" s="187" t="str">
        <f>+INDEX([1]Detallado!$D:$D,MATCH(C1313,[1]Detallado!$B:$B,0))</f>
        <v>GNB</v>
      </c>
      <c r="I1313" s="28"/>
      <c r="J1313" s="184" t="str">
        <f t="shared" si="41"/>
        <v>RFLBU</v>
      </c>
    </row>
    <row r="1314" spans="3:10" x14ac:dyDescent="0.25">
      <c r="C1314" s="28" t="s">
        <v>3867</v>
      </c>
      <c r="D1314" s="188" t="str">
        <f>+INDEX([1]Detallado!$F:$F,MATCH($C1314,[1]Detallado!$B:$B,0))</f>
        <v>Renta Fija</v>
      </c>
      <c r="E1314" s="31" t="str">
        <f>+INDEX([1]Detallado!$Q:$Q,MATCH($C1314,[1]Detallado!$B:$B,0))</f>
        <v>RFLC</v>
      </c>
      <c r="F1314" s="185" t="s">
        <v>4357</v>
      </c>
      <c r="G1314" s="186" t="str">
        <f t="shared" si="40"/>
        <v>63RFLC</v>
      </c>
      <c r="H1314" s="187" t="str">
        <f>+INDEX([1]Detallado!$D:$D,MATCH(C1314,[1]Detallado!$B:$B,0))</f>
        <v>COFIDE</v>
      </c>
      <c r="I1314" s="28"/>
      <c r="J1314" s="184" t="str">
        <f t="shared" si="41"/>
        <v>RFLBU</v>
      </c>
    </row>
    <row r="1315" spans="3:10" x14ac:dyDescent="0.25">
      <c r="C1315" s="28" t="s">
        <v>3868</v>
      </c>
      <c r="D1315" s="188" t="str">
        <f>+INDEX([1]Detallado!$F:$F,MATCH($C1315,[1]Detallado!$B:$B,0))</f>
        <v>Renta Fija</v>
      </c>
      <c r="E1315" s="31" t="str">
        <f>+INDEX([1]Detallado!$Q:$Q,MATCH($C1315,[1]Detallado!$B:$B,0))</f>
        <v>RFLC</v>
      </c>
      <c r="F1315" s="185" t="s">
        <v>4357</v>
      </c>
      <c r="G1315" s="186" t="str">
        <f t="shared" si="40"/>
        <v>63RFLC</v>
      </c>
      <c r="H1315" s="187" t="str">
        <f>+INDEX([1]Detallado!$D:$D,MATCH(C1315,[1]Detallado!$B:$B,0))</f>
        <v>CORPORACION FINANCIERA DE DESARROLLO</v>
      </c>
      <c r="I1315" s="28"/>
      <c r="J1315" s="184" t="str">
        <f t="shared" si="41"/>
        <v>RFLBU</v>
      </c>
    </row>
    <row r="1316" spans="3:10" x14ac:dyDescent="0.25">
      <c r="C1316" s="28" t="s">
        <v>3869</v>
      </c>
      <c r="D1316" s="188" t="str">
        <f>+INDEX([1]Detallado!$F:$F,MATCH($C1316,[1]Detallado!$B:$B,0))</f>
        <v>Renta Fija</v>
      </c>
      <c r="E1316" s="31" t="str">
        <f>+INDEX([1]Detallado!$Q:$Q,MATCH($C1316,[1]Detallado!$B:$B,0))</f>
        <v>RFLC</v>
      </c>
      <c r="F1316" s="185" t="s">
        <v>4357</v>
      </c>
      <c r="G1316" s="186" t="str">
        <f t="shared" si="40"/>
        <v>63RFLC</v>
      </c>
      <c r="H1316" s="187" t="str">
        <f>+INDEX([1]Detallado!$D:$D,MATCH(C1316,[1]Detallado!$B:$B,0))</f>
        <v>COFIDE</v>
      </c>
      <c r="I1316" s="28"/>
      <c r="J1316" s="184" t="str">
        <f t="shared" si="41"/>
        <v>RFLBU</v>
      </c>
    </row>
    <row r="1317" spans="3:10" x14ac:dyDescent="0.25">
      <c r="C1317" s="28" t="s">
        <v>3870</v>
      </c>
      <c r="D1317" s="188" t="str">
        <f>+INDEX([1]Detallado!$F:$F,MATCH($C1317,[1]Detallado!$B:$B,0))</f>
        <v>Renta Fija</v>
      </c>
      <c r="E1317" s="31" t="str">
        <f>+INDEX([1]Detallado!$Q:$Q,MATCH($C1317,[1]Detallado!$B:$B,0))</f>
        <v>RFLC</v>
      </c>
      <c r="F1317" s="185" t="s">
        <v>4357</v>
      </c>
      <c r="G1317" s="186" t="str">
        <f t="shared" si="40"/>
        <v>63RFLC</v>
      </c>
      <c r="H1317" s="187" t="str">
        <f>+INDEX([1]Detallado!$D:$D,MATCH(C1317,[1]Detallado!$B:$B,0))</f>
        <v>COFIDE</v>
      </c>
      <c r="I1317" s="28"/>
      <c r="J1317" s="184" t="str">
        <f t="shared" si="41"/>
        <v>RFLBU</v>
      </c>
    </row>
    <row r="1318" spans="3:10" x14ac:dyDescent="0.25">
      <c r="C1318" s="28" t="s">
        <v>3871</v>
      </c>
      <c r="D1318" s="188" t="str">
        <f>+INDEX([1]Detallado!$F:$F,MATCH($C1318,[1]Detallado!$B:$B,0))</f>
        <v>Renta Fija</v>
      </c>
      <c r="E1318" s="31" t="str">
        <f>+INDEX([1]Detallado!$Q:$Q,MATCH($C1318,[1]Detallado!$B:$B,0))</f>
        <v>RFLC</v>
      </c>
      <c r="F1318" s="185" t="s">
        <v>4357</v>
      </c>
      <c r="G1318" s="186" t="str">
        <f t="shared" si="40"/>
        <v>63RFLC</v>
      </c>
      <c r="H1318" s="187" t="str">
        <f>+INDEX([1]Detallado!$D:$D,MATCH(C1318,[1]Detallado!$B:$B,0))</f>
        <v>Banco Falabella</v>
      </c>
      <c r="I1318" s="28"/>
      <c r="J1318" s="184" t="str">
        <f t="shared" si="41"/>
        <v>RFLBU</v>
      </c>
    </row>
    <row r="1319" spans="3:10" x14ac:dyDescent="0.25">
      <c r="C1319" s="28" t="s">
        <v>3872</v>
      </c>
      <c r="D1319" s="188" t="str">
        <f>+INDEX([1]Detallado!$F:$F,MATCH($C1319,[1]Detallado!$B:$B,0))</f>
        <v>Renta Fija</v>
      </c>
      <c r="E1319" s="31" t="str">
        <f>+INDEX([1]Detallado!$Q:$Q,MATCH($C1319,[1]Detallado!$B:$B,0))</f>
        <v>RFLC</v>
      </c>
      <c r="F1319" s="185" t="s">
        <v>4357</v>
      </c>
      <c r="G1319" s="186" t="str">
        <f t="shared" si="40"/>
        <v>63RFLC</v>
      </c>
      <c r="H1319" s="187" t="str">
        <f>+INDEX([1]Detallado!$D:$D,MATCH(C1319,[1]Detallado!$B:$B,0))</f>
        <v>Banco Ripley</v>
      </c>
      <c r="I1319" s="28"/>
      <c r="J1319" s="184" t="str">
        <f t="shared" si="41"/>
        <v>RFLBU</v>
      </c>
    </row>
    <row r="1320" spans="3:10" x14ac:dyDescent="0.25">
      <c r="C1320" s="28" t="s">
        <v>3873</v>
      </c>
      <c r="D1320" s="188" t="str">
        <f>+INDEX([1]Detallado!$F:$F,MATCH($C1320,[1]Detallado!$B:$B,0))</f>
        <v>Renta Fija</v>
      </c>
      <c r="E1320" s="31" t="str">
        <f>+INDEX([1]Detallado!$Q:$Q,MATCH($C1320,[1]Detallado!$B:$B,0))</f>
        <v>RFLC</v>
      </c>
      <c r="F1320" s="185" t="s">
        <v>4357</v>
      </c>
      <c r="G1320" s="186" t="str">
        <f t="shared" si="40"/>
        <v>63RFLC</v>
      </c>
      <c r="H1320" s="187" t="str">
        <f>+INDEX([1]Detallado!$D:$D,MATCH(C1320,[1]Detallado!$B:$B,0))</f>
        <v>Banco Ripley</v>
      </c>
      <c r="I1320" s="28"/>
      <c r="J1320" s="184" t="str">
        <f t="shared" si="41"/>
        <v>RFLBU</v>
      </c>
    </row>
    <row r="1321" spans="3:10" x14ac:dyDescent="0.25">
      <c r="C1321" s="28" t="s">
        <v>3874</v>
      </c>
      <c r="D1321" s="188" t="str">
        <f>+INDEX([1]Detallado!$F:$F,MATCH($C1321,[1]Detallado!$B:$B,0))</f>
        <v>Renta Fija</v>
      </c>
      <c r="E1321" s="31" t="str">
        <f>+INDEX([1]Detallado!$Q:$Q,MATCH($C1321,[1]Detallado!$B:$B,0))</f>
        <v>RFLC</v>
      </c>
      <c r="F1321" s="185" t="s">
        <v>4357</v>
      </c>
      <c r="G1321" s="186" t="str">
        <f t="shared" si="40"/>
        <v>63RFLC</v>
      </c>
      <c r="H1321" s="187" t="str">
        <f>+INDEX([1]Detallado!$D:$D,MATCH(C1321,[1]Detallado!$B:$B,0))</f>
        <v>Banco Ripley</v>
      </c>
      <c r="I1321" s="28"/>
      <c r="J1321" s="184" t="str">
        <f t="shared" si="41"/>
        <v>RFLBU</v>
      </c>
    </row>
    <row r="1322" spans="3:10" x14ac:dyDescent="0.25">
      <c r="C1322" s="28" t="s">
        <v>3875</v>
      </c>
      <c r="D1322" s="188" t="str">
        <f>+INDEX([1]Detallado!$F:$F,MATCH($C1322,[1]Detallado!$B:$B,0))</f>
        <v>Renta Fija</v>
      </c>
      <c r="E1322" s="31" t="str">
        <f>+INDEX([1]Detallado!$Q:$Q,MATCH($C1322,[1]Detallado!$B:$B,0))</f>
        <v>RFLC</v>
      </c>
      <c r="F1322" s="185" t="s">
        <v>4357</v>
      </c>
      <c r="G1322" s="186" t="str">
        <f t="shared" si="40"/>
        <v>63RFLC</v>
      </c>
      <c r="H1322" s="187" t="str">
        <f>+INDEX([1]Detallado!$D:$D,MATCH(C1322,[1]Detallado!$B:$B,0))</f>
        <v>Banco Ripley</v>
      </c>
      <c r="I1322" s="28"/>
      <c r="J1322" s="184" t="str">
        <f t="shared" si="41"/>
        <v>RFLBU</v>
      </c>
    </row>
    <row r="1323" spans="3:10" x14ac:dyDescent="0.25">
      <c r="C1323" s="28" t="s">
        <v>3876</v>
      </c>
      <c r="D1323" s="188" t="str">
        <f>+INDEX([1]Detallado!$F:$F,MATCH($C1323,[1]Detallado!$B:$B,0))</f>
        <v>Renta Fija</v>
      </c>
      <c r="E1323" s="31" t="str">
        <f>+INDEX([1]Detallado!$Q:$Q,MATCH($C1323,[1]Detallado!$B:$B,0))</f>
        <v>RFLC</v>
      </c>
      <c r="F1323" s="185" t="s">
        <v>4357</v>
      </c>
      <c r="G1323" s="186" t="str">
        <f t="shared" si="40"/>
        <v>63RFLC</v>
      </c>
      <c r="H1323" s="187" t="str">
        <f>+INDEX([1]Detallado!$D:$D,MATCH(C1323,[1]Detallado!$B:$B,0))</f>
        <v>Banco Ripley</v>
      </c>
      <c r="I1323" s="28"/>
      <c r="J1323" s="184" t="str">
        <f t="shared" si="41"/>
        <v>RFLBU</v>
      </c>
    </row>
    <row r="1324" spans="3:10" x14ac:dyDescent="0.25">
      <c r="C1324" s="28" t="s">
        <v>3877</v>
      </c>
      <c r="D1324" s="188" t="str">
        <f>+INDEX([1]Detallado!$F:$F,MATCH($C1324,[1]Detallado!$B:$B,0))</f>
        <v>Renta Fija</v>
      </c>
      <c r="E1324" s="31" t="str">
        <f>+INDEX([1]Detallado!$Q:$Q,MATCH($C1324,[1]Detallado!$B:$B,0))</f>
        <v>RFLC</v>
      </c>
      <c r="F1324" s="185" t="s">
        <v>4357</v>
      </c>
      <c r="G1324" s="186" t="str">
        <f t="shared" si="40"/>
        <v>63RFLC</v>
      </c>
      <c r="H1324" s="187" t="str">
        <f>+INDEX([1]Detallado!$D:$D,MATCH(C1324,[1]Detallado!$B:$B,0))</f>
        <v>Banco Ripley</v>
      </c>
      <c r="I1324" s="28"/>
      <c r="J1324" s="184" t="str">
        <f t="shared" si="41"/>
        <v>RFLBU</v>
      </c>
    </row>
    <row r="1325" spans="3:10" x14ac:dyDescent="0.25">
      <c r="C1325" s="28" t="s">
        <v>3878</v>
      </c>
      <c r="D1325" s="188" t="str">
        <f>+INDEX([1]Detallado!$F:$F,MATCH($C1325,[1]Detallado!$B:$B,0))</f>
        <v>Renta Fija</v>
      </c>
      <c r="E1325" s="31" t="str">
        <f>+INDEX([1]Detallado!$Q:$Q,MATCH($C1325,[1]Detallado!$B:$B,0))</f>
        <v>RFLC</v>
      </c>
      <c r="F1325" s="185" t="s">
        <v>4357</v>
      </c>
      <c r="G1325" s="186" t="str">
        <f t="shared" si="40"/>
        <v>63RFLC</v>
      </c>
      <c r="H1325" s="187" t="str">
        <f>+INDEX([1]Detallado!$D:$D,MATCH(C1325,[1]Detallado!$B:$B,0))</f>
        <v>Banco Ripley</v>
      </c>
      <c r="I1325" s="28"/>
      <c r="J1325" s="184" t="str">
        <f t="shared" si="41"/>
        <v>RFLBU</v>
      </c>
    </row>
    <row r="1326" spans="3:10" x14ac:dyDescent="0.25">
      <c r="C1326" s="28" t="s">
        <v>3879</v>
      </c>
      <c r="D1326" s="188" t="str">
        <f>+INDEX([1]Detallado!$F:$F,MATCH($C1326,[1]Detallado!$B:$B,0))</f>
        <v>Renta Fija</v>
      </c>
      <c r="E1326" s="31" t="str">
        <f>+INDEX([1]Detallado!$Q:$Q,MATCH($C1326,[1]Detallado!$B:$B,0))</f>
        <v>RFLC</v>
      </c>
      <c r="F1326" s="185" t="s">
        <v>4357</v>
      </c>
      <c r="G1326" s="186" t="str">
        <f t="shared" si="40"/>
        <v>63RFLC</v>
      </c>
      <c r="H1326" s="187" t="str">
        <f>+INDEX([1]Detallado!$D:$D,MATCH(C1326,[1]Detallado!$B:$B,0))</f>
        <v>Caja Municipal de Ahorro y Crédito de Arequipa</v>
      </c>
      <c r="I1326" s="28"/>
      <c r="J1326" s="184" t="str">
        <f t="shared" si="41"/>
        <v>RFLBU</v>
      </c>
    </row>
    <row r="1327" spans="3:10" x14ac:dyDescent="0.25">
      <c r="C1327" s="28" t="s">
        <v>3880</v>
      </c>
      <c r="D1327" s="188" t="str">
        <f>+INDEX([1]Detallado!$F:$F,MATCH($C1327,[1]Detallado!$B:$B,0))</f>
        <v>Renta Fija</v>
      </c>
      <c r="E1327" s="31" t="str">
        <f>+INDEX([1]Detallado!$Q:$Q,MATCH($C1327,[1]Detallado!$B:$B,0))</f>
        <v>RFLC</v>
      </c>
      <c r="F1327" s="185" t="s">
        <v>4357</v>
      </c>
      <c r="G1327" s="186" t="str">
        <f t="shared" si="40"/>
        <v>63RFLC</v>
      </c>
      <c r="H1327" s="187" t="str">
        <f>+INDEX([1]Detallado!$D:$D,MATCH(C1327,[1]Detallado!$B:$B,0))</f>
        <v>Caja Municipal de Sullana</v>
      </c>
      <c r="I1327" s="28"/>
      <c r="J1327" s="184" t="str">
        <f t="shared" si="41"/>
        <v>RFLBU</v>
      </c>
    </row>
    <row r="1328" spans="3:10" x14ac:dyDescent="0.25">
      <c r="C1328" s="28" t="s">
        <v>3881</v>
      </c>
      <c r="D1328" s="188" t="str">
        <f>+INDEX([1]Detallado!$F:$F,MATCH($C1328,[1]Detallado!$B:$B,0))</f>
        <v>Renta Fija</v>
      </c>
      <c r="E1328" s="31" t="str">
        <f>+INDEX([1]Detallado!$Q:$Q,MATCH($C1328,[1]Detallado!$B:$B,0))</f>
        <v>RFLC</v>
      </c>
      <c r="F1328" s="185" t="s">
        <v>4357</v>
      </c>
      <c r="G1328" s="186" t="str">
        <f t="shared" si="40"/>
        <v>63RFLC</v>
      </c>
      <c r="H1328" s="187" t="str">
        <f>+INDEX([1]Detallado!$D:$D,MATCH(C1328,[1]Detallado!$B:$B,0))</f>
        <v>Caja Municipal de Ahorro y Crédito de Huancayo</v>
      </c>
      <c r="I1328" s="28"/>
      <c r="J1328" s="184" t="str">
        <f t="shared" si="41"/>
        <v>RFLBU</v>
      </c>
    </row>
    <row r="1329" spans="3:10" x14ac:dyDescent="0.25">
      <c r="C1329" s="28" t="s">
        <v>3882</v>
      </c>
      <c r="D1329" s="188" t="str">
        <f>+INDEX([1]Detallado!$F:$F,MATCH($C1329,[1]Detallado!$B:$B,0))</f>
        <v>Renta Fija</v>
      </c>
      <c r="E1329" s="31" t="str">
        <f>+INDEX([1]Detallado!$Q:$Q,MATCH($C1329,[1]Detallado!$B:$B,0))</f>
        <v>RFLC</v>
      </c>
      <c r="F1329" s="185" t="s">
        <v>4357</v>
      </c>
      <c r="G1329" s="186" t="str">
        <f t="shared" si="40"/>
        <v>63RFLC</v>
      </c>
      <c r="H1329" s="187" t="str">
        <f>+INDEX([1]Detallado!$D:$D,MATCH(C1329,[1]Detallado!$B:$B,0))</f>
        <v>Compartamos Financiera S.A.</v>
      </c>
      <c r="I1329" s="28"/>
      <c r="J1329" s="184" t="str">
        <f t="shared" si="41"/>
        <v>RFLBU</v>
      </c>
    </row>
    <row r="1330" spans="3:10" x14ac:dyDescent="0.25">
      <c r="C1330" s="28" t="s">
        <v>3883</v>
      </c>
      <c r="D1330" s="188" t="str">
        <f>+INDEX([1]Detallado!$F:$F,MATCH($C1330,[1]Detallado!$B:$B,0))</f>
        <v>Renta Fija</v>
      </c>
      <c r="E1330" s="31" t="str">
        <f>+INDEX([1]Detallado!$Q:$Q,MATCH($C1330,[1]Detallado!$B:$B,0))</f>
        <v>RFLC</v>
      </c>
      <c r="F1330" s="185" t="s">
        <v>4357</v>
      </c>
      <c r="G1330" s="186" t="str">
        <f t="shared" si="40"/>
        <v>63RFLC</v>
      </c>
      <c r="H1330" s="187" t="str">
        <f>+INDEX([1]Detallado!$D:$D,MATCH(C1330,[1]Detallado!$B:$B,0))</f>
        <v>Compartamos Financiera S.A.</v>
      </c>
      <c r="I1330" s="28"/>
      <c r="J1330" s="184" t="str">
        <f t="shared" si="41"/>
        <v>RFLBU</v>
      </c>
    </row>
    <row r="1331" spans="3:10" x14ac:dyDescent="0.25">
      <c r="C1331" s="28" t="s">
        <v>3884</v>
      </c>
      <c r="D1331" s="188" t="str">
        <f>+INDEX([1]Detallado!$F:$F,MATCH($C1331,[1]Detallado!$B:$B,0))</f>
        <v>Renta Fija</v>
      </c>
      <c r="E1331" s="31" t="str">
        <f>+INDEX([1]Detallado!$Q:$Q,MATCH($C1331,[1]Detallado!$B:$B,0))</f>
        <v>RFLC</v>
      </c>
      <c r="F1331" s="185" t="s">
        <v>4357</v>
      </c>
      <c r="G1331" s="186" t="str">
        <f t="shared" si="40"/>
        <v>63RFLC</v>
      </c>
      <c r="H1331" s="187" t="str">
        <f>+INDEX([1]Detallado!$D:$D,MATCH(C1331,[1]Detallado!$B:$B,0))</f>
        <v>Compartamos Financiera S.A.</v>
      </c>
      <c r="I1331" s="28"/>
      <c r="J1331" s="184" t="str">
        <f t="shared" si="41"/>
        <v>RFLBU</v>
      </c>
    </row>
    <row r="1332" spans="3:10" x14ac:dyDescent="0.25">
      <c r="C1332" s="28" t="s">
        <v>3885</v>
      </c>
      <c r="D1332" s="188" t="str">
        <f>+INDEX([1]Detallado!$F:$F,MATCH($C1332,[1]Detallado!$B:$B,0))</f>
        <v>Renta Fija</v>
      </c>
      <c r="E1332" s="31" t="str">
        <f>+INDEX([1]Detallado!$Q:$Q,MATCH($C1332,[1]Detallado!$B:$B,0))</f>
        <v>RFLC</v>
      </c>
      <c r="F1332" s="185" t="s">
        <v>4357</v>
      </c>
      <c r="G1332" s="186" t="str">
        <f t="shared" si="40"/>
        <v>63RFLC</v>
      </c>
      <c r="H1332" s="187" t="str">
        <f>+INDEX([1]Detallado!$D:$D,MATCH(C1332,[1]Detallado!$B:$B,0))</f>
        <v>Compartamos Financiera S.A.</v>
      </c>
      <c r="I1332" s="28"/>
      <c r="J1332" s="184" t="str">
        <f t="shared" si="41"/>
        <v>RFLBU</v>
      </c>
    </row>
    <row r="1333" spans="3:10" x14ac:dyDescent="0.25">
      <c r="C1333" s="28" t="s">
        <v>3886</v>
      </c>
      <c r="D1333" s="188" t="str">
        <f>+INDEX([1]Detallado!$F:$F,MATCH($C1333,[1]Detallado!$B:$B,0))</f>
        <v>Renta Fija</v>
      </c>
      <c r="E1333" s="31" t="str">
        <f>+INDEX([1]Detallado!$Q:$Q,MATCH($C1333,[1]Detallado!$B:$B,0))</f>
        <v>RFLC</v>
      </c>
      <c r="F1333" s="185" t="s">
        <v>4357</v>
      </c>
      <c r="G1333" s="186" t="str">
        <f t="shared" si="40"/>
        <v>63RFLC</v>
      </c>
      <c r="H1333" s="187" t="str">
        <f>+INDEX([1]Detallado!$D:$D,MATCH(C1333,[1]Detallado!$B:$B,0))</f>
        <v>Compartamos Financiera S.A.</v>
      </c>
      <c r="I1333" s="28"/>
      <c r="J1333" s="184" t="str">
        <f t="shared" si="41"/>
        <v>RFLBU</v>
      </c>
    </row>
    <row r="1334" spans="3:10" x14ac:dyDescent="0.25">
      <c r="C1334" s="28" t="s">
        <v>3887</v>
      </c>
      <c r="D1334" s="188" t="str">
        <f>+INDEX([1]Detallado!$F:$F,MATCH($C1334,[1]Detallado!$B:$B,0))</f>
        <v>Renta Fija</v>
      </c>
      <c r="E1334" s="31" t="str">
        <f>+INDEX([1]Detallado!$Q:$Q,MATCH($C1334,[1]Detallado!$B:$B,0))</f>
        <v>RFLC</v>
      </c>
      <c r="F1334" s="185" t="s">
        <v>4357</v>
      </c>
      <c r="G1334" s="186" t="str">
        <f t="shared" si="40"/>
        <v>63RFLC</v>
      </c>
      <c r="H1334" s="187" t="str">
        <f>+INDEX([1]Detallado!$D:$D,MATCH(C1334,[1]Detallado!$B:$B,0))</f>
        <v>Compartamos Financiera S.A.</v>
      </c>
      <c r="I1334" s="28"/>
      <c r="J1334" s="184" t="str">
        <f t="shared" si="41"/>
        <v>RFLBU</v>
      </c>
    </row>
    <row r="1335" spans="3:10" x14ac:dyDescent="0.25">
      <c r="C1335" s="28" t="s">
        <v>3888</v>
      </c>
      <c r="D1335" s="188" t="str">
        <f>+INDEX([1]Detallado!$F:$F,MATCH($C1335,[1]Detallado!$B:$B,0))</f>
        <v>Renta Fija</v>
      </c>
      <c r="E1335" s="31" t="str">
        <f>+INDEX([1]Detallado!$Q:$Q,MATCH($C1335,[1]Detallado!$B:$B,0))</f>
        <v>RFLC</v>
      </c>
      <c r="F1335" s="185" t="s">
        <v>4357</v>
      </c>
      <c r="G1335" s="186" t="str">
        <f t="shared" si="40"/>
        <v>25RFLC</v>
      </c>
      <c r="H1335" s="187" t="str">
        <f>+INDEX([1]Detallado!$D:$D,MATCH(C1335,[1]Detallado!$B:$B,0))</f>
        <v>Compartamos Financiera S.A.</v>
      </c>
      <c r="I1335" s="28"/>
      <c r="J1335" s="184" t="str">
        <f t="shared" si="41"/>
        <v>RFLBU</v>
      </c>
    </row>
    <row r="1336" spans="3:10" x14ac:dyDescent="0.25">
      <c r="C1336" s="28" t="s">
        <v>3889</v>
      </c>
      <c r="D1336" s="188" t="str">
        <f>+INDEX([1]Detallado!$F:$F,MATCH($C1336,[1]Detallado!$B:$B,0))</f>
        <v>Renta Fija</v>
      </c>
      <c r="E1336" s="31" t="str">
        <f>+INDEX([1]Detallado!$Q:$Q,MATCH($C1336,[1]Detallado!$B:$B,0))</f>
        <v>RFLC</v>
      </c>
      <c r="F1336" s="185" t="s">
        <v>4357</v>
      </c>
      <c r="G1336" s="186" t="str">
        <f t="shared" si="40"/>
        <v>25RFLC</v>
      </c>
      <c r="H1336" s="187" t="str">
        <f>+INDEX([1]Detallado!$D:$D,MATCH(C1336,[1]Detallado!$B:$B,0))</f>
        <v>Compartamos Financiera S.A.</v>
      </c>
      <c r="I1336" s="28"/>
      <c r="J1336" s="184" t="str">
        <f t="shared" si="41"/>
        <v>RFLBU</v>
      </c>
    </row>
    <row r="1337" spans="3:10" x14ac:dyDescent="0.25">
      <c r="C1337" s="28" t="s">
        <v>3890</v>
      </c>
      <c r="D1337" s="188" t="str">
        <f>+INDEX([1]Detallado!$F:$F,MATCH($C1337,[1]Detallado!$B:$B,0))</f>
        <v>Renta Fija</v>
      </c>
      <c r="E1337" s="31" t="str">
        <f>+INDEX([1]Detallado!$Q:$Q,MATCH($C1337,[1]Detallado!$B:$B,0))</f>
        <v>RFLC</v>
      </c>
      <c r="F1337" s="185" t="s">
        <v>4357</v>
      </c>
      <c r="G1337" s="186" t="str">
        <f t="shared" si="40"/>
        <v>63RFLC</v>
      </c>
      <c r="H1337" s="187" t="str">
        <f>+INDEX([1]Detallado!$D:$D,MATCH(C1337,[1]Detallado!$B:$B,0))</f>
        <v>Financiera Uno</v>
      </c>
      <c r="I1337" s="28"/>
      <c r="J1337" s="184" t="str">
        <f t="shared" si="41"/>
        <v>RFLBU</v>
      </c>
    </row>
    <row r="1338" spans="3:10" x14ac:dyDescent="0.25">
      <c r="C1338" s="28" t="s">
        <v>3891</v>
      </c>
      <c r="D1338" s="188" t="str">
        <f>+INDEX([1]Detallado!$F:$F,MATCH($C1338,[1]Detallado!$B:$B,0))</f>
        <v>Renta Fija</v>
      </c>
      <c r="E1338" s="31" t="str">
        <f>+INDEX([1]Detallado!$Q:$Q,MATCH($C1338,[1]Detallado!$B:$B,0))</f>
        <v>RFLC</v>
      </c>
      <c r="F1338" s="185" t="s">
        <v>4357</v>
      </c>
      <c r="G1338" s="186" t="str">
        <f t="shared" si="40"/>
        <v>63RFLC</v>
      </c>
      <c r="H1338" s="187" t="str">
        <f>+INDEX([1]Detallado!$D:$D,MATCH(C1338,[1]Detallado!$B:$B,0))</f>
        <v>Financiera Uno</v>
      </c>
      <c r="I1338" s="28"/>
      <c r="J1338" s="184" t="str">
        <f t="shared" si="41"/>
        <v>RFLBU</v>
      </c>
    </row>
    <row r="1339" spans="3:10" x14ac:dyDescent="0.25">
      <c r="C1339" s="28" t="s">
        <v>3892</v>
      </c>
      <c r="D1339" s="188" t="str">
        <f>+INDEX([1]Detallado!$F:$F,MATCH($C1339,[1]Detallado!$B:$B,0))</f>
        <v>Renta Fija</v>
      </c>
      <c r="E1339" s="31" t="str">
        <f>+INDEX([1]Detallado!$Q:$Q,MATCH($C1339,[1]Detallado!$B:$B,0))</f>
        <v>RFLC</v>
      </c>
      <c r="F1339" s="185" t="s">
        <v>4357</v>
      </c>
      <c r="G1339" s="186" t="str">
        <f t="shared" si="40"/>
        <v>63RFLC</v>
      </c>
      <c r="H1339" s="187" t="str">
        <f>+INDEX([1]Detallado!$D:$D,MATCH(C1339,[1]Detallado!$B:$B,0))</f>
        <v>Financiera Uno</v>
      </c>
      <c r="I1339" s="28"/>
      <c r="J1339" s="184" t="str">
        <f t="shared" si="41"/>
        <v>RFLBU</v>
      </c>
    </row>
    <row r="1340" spans="3:10" x14ac:dyDescent="0.25">
      <c r="C1340" s="28" t="s">
        <v>3893</v>
      </c>
      <c r="D1340" s="188" t="str">
        <f>+INDEX([1]Detallado!$F:$F,MATCH($C1340,[1]Detallado!$B:$B,0))</f>
        <v>Renta Fija</v>
      </c>
      <c r="E1340" s="31" t="str">
        <f>+INDEX([1]Detallado!$Q:$Q,MATCH($C1340,[1]Detallado!$B:$B,0))</f>
        <v>RFLC</v>
      </c>
      <c r="F1340" s="185" t="s">
        <v>4357</v>
      </c>
      <c r="G1340" s="186" t="str">
        <f t="shared" si="40"/>
        <v>63RFLC</v>
      </c>
      <c r="H1340" s="187" t="str">
        <f>+INDEX([1]Detallado!$D:$D,MATCH(C1340,[1]Detallado!$B:$B,0))</f>
        <v>Financiera Uno</v>
      </c>
      <c r="I1340" s="28"/>
      <c r="J1340" s="184" t="str">
        <f t="shared" si="41"/>
        <v>RFLBU</v>
      </c>
    </row>
    <row r="1341" spans="3:10" x14ac:dyDescent="0.25">
      <c r="C1341" s="28" t="s">
        <v>3894</v>
      </c>
      <c r="D1341" s="188" t="str">
        <f>+INDEX([1]Detallado!$F:$F,MATCH($C1341,[1]Detallado!$B:$B,0))</f>
        <v>Renta Fija</v>
      </c>
      <c r="E1341" s="31" t="str">
        <f>+INDEX([1]Detallado!$Q:$Q,MATCH($C1341,[1]Detallado!$B:$B,0))</f>
        <v>RFLC</v>
      </c>
      <c r="F1341" s="185" t="s">
        <v>4357</v>
      </c>
      <c r="G1341" s="186" t="str">
        <f t="shared" si="40"/>
        <v>63RFLC</v>
      </c>
      <c r="H1341" s="187" t="str">
        <f>+INDEX([1]Detallado!$D:$D,MATCH(C1341,[1]Detallado!$B:$B,0))</f>
        <v>Financiera Uno</v>
      </c>
      <c r="I1341" s="28"/>
      <c r="J1341" s="184" t="str">
        <f t="shared" si="41"/>
        <v>RFLBU</v>
      </c>
    </row>
    <row r="1342" spans="3:10" x14ac:dyDescent="0.25">
      <c r="C1342" s="28" t="s">
        <v>3895</v>
      </c>
      <c r="D1342" s="188" t="str">
        <f>+INDEX([1]Detallado!$F:$F,MATCH($C1342,[1]Detallado!$B:$B,0))</f>
        <v>Renta Fija</v>
      </c>
      <c r="E1342" s="31" t="str">
        <f>+INDEX([1]Detallado!$Q:$Q,MATCH($C1342,[1]Detallado!$B:$B,0))</f>
        <v>RFLC</v>
      </c>
      <c r="F1342" s="185" t="s">
        <v>4357</v>
      </c>
      <c r="G1342" s="186" t="str">
        <f t="shared" si="40"/>
        <v>63RFLC</v>
      </c>
      <c r="H1342" s="187" t="str">
        <f>+INDEX([1]Detallado!$D:$D,MATCH(C1342,[1]Detallado!$B:$B,0))</f>
        <v>Financiera Uno</v>
      </c>
      <c r="I1342" s="28"/>
      <c r="J1342" s="184" t="str">
        <f t="shared" si="41"/>
        <v>RFLBU</v>
      </c>
    </row>
    <row r="1343" spans="3:10" x14ac:dyDescent="0.25">
      <c r="C1343" s="28" t="s">
        <v>3896</v>
      </c>
      <c r="D1343" s="188" t="str">
        <f>+INDEX([1]Detallado!$F:$F,MATCH($C1343,[1]Detallado!$B:$B,0))</f>
        <v>Renta Fija</v>
      </c>
      <c r="E1343" s="31" t="str">
        <f>+INDEX([1]Detallado!$Q:$Q,MATCH($C1343,[1]Detallado!$B:$B,0))</f>
        <v>RFLC</v>
      </c>
      <c r="F1343" s="185" t="s">
        <v>4357</v>
      </c>
      <c r="G1343" s="186" t="str">
        <f t="shared" si="40"/>
        <v>63RFLC</v>
      </c>
      <c r="H1343" s="187" t="str">
        <f>+INDEX([1]Detallado!$D:$D,MATCH(C1343,[1]Detallado!$B:$B,0))</f>
        <v>Financiera Uno</v>
      </c>
      <c r="I1343" s="28"/>
      <c r="J1343" s="184" t="str">
        <f t="shared" si="41"/>
        <v>RFLBU</v>
      </c>
    </row>
    <row r="1344" spans="3:10" x14ac:dyDescent="0.25">
      <c r="C1344" s="28" t="s">
        <v>3897</v>
      </c>
      <c r="D1344" s="188" t="str">
        <f>+INDEX([1]Detallado!$F:$F,MATCH($C1344,[1]Detallado!$B:$B,0))</f>
        <v>Renta Fija</v>
      </c>
      <c r="E1344" s="31" t="str">
        <f>+INDEX([1]Detallado!$Q:$Q,MATCH($C1344,[1]Detallado!$B:$B,0))</f>
        <v>RFLC</v>
      </c>
      <c r="F1344" s="185" t="s">
        <v>4357</v>
      </c>
      <c r="G1344" s="186" t="str">
        <f t="shared" si="40"/>
        <v>63RFLC</v>
      </c>
      <c r="H1344" s="187" t="str">
        <f>+INDEX([1]Detallado!$D:$D,MATCH(C1344,[1]Detallado!$B:$B,0))</f>
        <v>Financiera Uno</v>
      </c>
      <c r="I1344" s="28"/>
      <c r="J1344" s="184" t="str">
        <f t="shared" si="41"/>
        <v>RFLBU</v>
      </c>
    </row>
    <row r="1345" spans="3:10" x14ac:dyDescent="0.25">
      <c r="C1345" s="28" t="s">
        <v>3898</v>
      </c>
      <c r="D1345" s="188" t="str">
        <f>+INDEX([1]Detallado!$F:$F,MATCH($C1345,[1]Detallado!$B:$B,0))</f>
        <v>Renta Fija</v>
      </c>
      <c r="E1345" s="31" t="str">
        <f>+INDEX([1]Detallado!$Q:$Q,MATCH($C1345,[1]Detallado!$B:$B,0))</f>
        <v>RFLC</v>
      </c>
      <c r="F1345" s="185" t="s">
        <v>4357</v>
      </c>
      <c r="G1345" s="186" t="str">
        <f t="shared" si="40"/>
        <v>63RFLC</v>
      </c>
      <c r="H1345" s="187" t="str">
        <f>+INDEX([1]Detallado!$D:$D,MATCH(C1345,[1]Detallado!$B:$B,0))</f>
        <v>Financiera Uno</v>
      </c>
      <c r="I1345" s="28"/>
      <c r="J1345" s="184" t="str">
        <f t="shared" si="41"/>
        <v>RFLBU</v>
      </c>
    </row>
    <row r="1346" spans="3:10" x14ac:dyDescent="0.25">
      <c r="C1346" s="28" t="s">
        <v>3899</v>
      </c>
      <c r="D1346" s="188" t="str">
        <f>+INDEX([1]Detallado!$F:$F,MATCH($C1346,[1]Detallado!$B:$B,0))</f>
        <v>Renta Fija</v>
      </c>
      <c r="E1346" s="31" t="str">
        <f>+INDEX([1]Detallado!$Q:$Q,MATCH($C1346,[1]Detallado!$B:$B,0))</f>
        <v>RFLC</v>
      </c>
      <c r="F1346" s="185" t="s">
        <v>4357</v>
      </c>
      <c r="G1346" s="186" t="str">
        <f t="shared" si="40"/>
        <v>63RFLC</v>
      </c>
      <c r="H1346" s="187" t="str">
        <f>+INDEX([1]Detallado!$D:$D,MATCH(C1346,[1]Detallado!$B:$B,0))</f>
        <v>Financiera Uno</v>
      </c>
      <c r="I1346" s="28"/>
      <c r="J1346" s="184" t="str">
        <f t="shared" si="41"/>
        <v>RFLBU</v>
      </c>
    </row>
    <row r="1347" spans="3:10" x14ac:dyDescent="0.25">
      <c r="C1347" s="28" t="s">
        <v>3900</v>
      </c>
      <c r="D1347" s="188" t="str">
        <f>+INDEX([1]Detallado!$F:$F,MATCH($C1347,[1]Detallado!$B:$B,0))</f>
        <v>Renta Fija</v>
      </c>
      <c r="E1347" s="31" t="str">
        <f>+INDEX([1]Detallado!$Q:$Q,MATCH($C1347,[1]Detallado!$B:$B,0))</f>
        <v>RFLC</v>
      </c>
      <c r="F1347" s="185" t="s">
        <v>4357</v>
      </c>
      <c r="G1347" s="186" t="str">
        <f t="shared" si="40"/>
        <v>63RFLC</v>
      </c>
      <c r="H1347" s="187" t="str">
        <f>+INDEX([1]Detallado!$D:$D,MATCH(C1347,[1]Detallado!$B:$B,0))</f>
        <v>Financiera Confianza</v>
      </c>
      <c r="I1347" s="28"/>
      <c r="J1347" s="184" t="str">
        <f t="shared" si="41"/>
        <v>RFLBU</v>
      </c>
    </row>
    <row r="1348" spans="3:10" x14ac:dyDescent="0.25">
      <c r="C1348" s="28" t="s">
        <v>3901</v>
      </c>
      <c r="D1348" s="188" t="str">
        <f>+INDEX([1]Detallado!$F:$F,MATCH($C1348,[1]Detallado!$B:$B,0))</f>
        <v>Renta Fija</v>
      </c>
      <c r="E1348" s="31" t="str">
        <f>+INDEX([1]Detallado!$Q:$Q,MATCH($C1348,[1]Detallado!$B:$B,0))</f>
        <v>RFLC</v>
      </c>
      <c r="F1348" s="185" t="s">
        <v>4357</v>
      </c>
      <c r="G1348" s="186" t="str">
        <f t="shared" si="40"/>
        <v>63RFLC</v>
      </c>
      <c r="H1348" s="187" t="str">
        <f>+INDEX([1]Detallado!$D:$D,MATCH(C1348,[1]Detallado!$B:$B,0))</f>
        <v>Financiera Confianza</v>
      </c>
      <c r="I1348" s="28"/>
      <c r="J1348" s="184" t="str">
        <f t="shared" si="41"/>
        <v>RFLBU</v>
      </c>
    </row>
    <row r="1349" spans="3:10" x14ac:dyDescent="0.25">
      <c r="C1349" s="28" t="s">
        <v>3902</v>
      </c>
      <c r="D1349" s="188" t="str">
        <f>+INDEX([1]Detallado!$F:$F,MATCH($C1349,[1]Detallado!$B:$B,0))</f>
        <v>Renta Fija</v>
      </c>
      <c r="E1349" s="31" t="str">
        <f>+INDEX([1]Detallado!$Q:$Q,MATCH($C1349,[1]Detallado!$B:$B,0))</f>
        <v>RFLC</v>
      </c>
      <c r="F1349" s="185" t="s">
        <v>4357</v>
      </c>
      <c r="G1349" s="186" t="str">
        <f t="shared" si="40"/>
        <v>63RFLC</v>
      </c>
      <c r="H1349" s="187" t="str">
        <f>+INDEX([1]Detallado!$D:$D,MATCH(C1349,[1]Detallado!$B:$B,0))</f>
        <v>Financiera Confianza</v>
      </c>
      <c r="I1349" s="28"/>
      <c r="J1349" s="184" t="str">
        <f t="shared" si="41"/>
        <v>RFLBU</v>
      </c>
    </row>
    <row r="1350" spans="3:10" x14ac:dyDescent="0.25">
      <c r="C1350" s="28" t="s">
        <v>3903</v>
      </c>
      <c r="D1350" s="188" t="str">
        <f>+INDEX([1]Detallado!$F:$F,MATCH($C1350,[1]Detallado!$B:$B,0))</f>
        <v>Renta Fija</v>
      </c>
      <c r="E1350" s="31" t="str">
        <f>+INDEX([1]Detallado!$Q:$Q,MATCH($C1350,[1]Detallado!$B:$B,0))</f>
        <v>RFLC</v>
      </c>
      <c r="F1350" s="185" t="s">
        <v>4357</v>
      </c>
      <c r="G1350" s="186" t="str">
        <f t="shared" si="40"/>
        <v>63RFLC</v>
      </c>
      <c r="H1350" s="187" t="str">
        <f>+INDEX([1]Detallado!$D:$D,MATCH(C1350,[1]Detallado!$B:$B,0))</f>
        <v>Financiera Confianza</v>
      </c>
      <c r="I1350" s="28"/>
      <c r="J1350" s="184" t="str">
        <f t="shared" si="41"/>
        <v>RFLBU</v>
      </c>
    </row>
    <row r="1351" spans="3:10" x14ac:dyDescent="0.25">
      <c r="C1351" s="28" t="s">
        <v>3904</v>
      </c>
      <c r="D1351" s="188" t="str">
        <f>+INDEX([1]Detallado!$F:$F,MATCH($C1351,[1]Detallado!$B:$B,0))</f>
        <v>Renta Fija</v>
      </c>
      <c r="E1351" s="31" t="str">
        <f>+INDEX([1]Detallado!$Q:$Q,MATCH($C1351,[1]Detallado!$B:$B,0))</f>
        <v>RFLC</v>
      </c>
      <c r="F1351" s="185" t="s">
        <v>4357</v>
      </c>
      <c r="G1351" s="186" t="str">
        <f t="shared" si="40"/>
        <v>63RFLC</v>
      </c>
      <c r="H1351" s="187" t="str">
        <f>+INDEX([1]Detallado!$D:$D,MATCH(C1351,[1]Detallado!$B:$B,0))</f>
        <v>Financiera Confianza</v>
      </c>
      <c r="I1351" s="28"/>
      <c r="J1351" s="184" t="str">
        <f t="shared" si="41"/>
        <v>RFLBU</v>
      </c>
    </row>
    <row r="1352" spans="3:10" x14ac:dyDescent="0.25">
      <c r="C1352" s="28" t="s">
        <v>3905</v>
      </c>
      <c r="D1352" s="188" t="str">
        <f>+INDEX([1]Detallado!$F:$F,MATCH($C1352,[1]Detallado!$B:$B,0))</f>
        <v>Renta Fija</v>
      </c>
      <c r="E1352" s="31" t="str">
        <f>+INDEX([1]Detallado!$Q:$Q,MATCH($C1352,[1]Detallado!$B:$B,0))</f>
        <v>RFLC</v>
      </c>
      <c r="F1352" s="185" t="s">
        <v>4357</v>
      </c>
      <c r="G1352" s="186" t="str">
        <f t="shared" si="40"/>
        <v>63RFLC</v>
      </c>
      <c r="H1352" s="187" t="str">
        <f>+INDEX([1]Detallado!$D:$D,MATCH(C1352,[1]Detallado!$B:$B,0))</f>
        <v>Financiera Confianza</v>
      </c>
      <c r="I1352" s="28"/>
      <c r="J1352" s="184" t="str">
        <f t="shared" si="41"/>
        <v>RFLBU</v>
      </c>
    </row>
    <row r="1353" spans="3:10" x14ac:dyDescent="0.25">
      <c r="C1353" s="28" t="s">
        <v>3906</v>
      </c>
      <c r="D1353" s="188" t="str">
        <f>+INDEX([1]Detallado!$F:$F,MATCH($C1353,[1]Detallado!$B:$B,0))</f>
        <v>Renta Fija</v>
      </c>
      <c r="E1353" s="31" t="str">
        <f>+INDEX([1]Detallado!$Q:$Q,MATCH($C1353,[1]Detallado!$B:$B,0))</f>
        <v>RFLC</v>
      </c>
      <c r="F1353" s="185" t="s">
        <v>4357</v>
      </c>
      <c r="G1353" s="186" t="str">
        <f t="shared" si="40"/>
        <v>63RFLC</v>
      </c>
      <c r="H1353" s="187" t="str">
        <f>+INDEX([1]Detallado!$D:$D,MATCH(C1353,[1]Detallado!$B:$B,0))</f>
        <v>Financiera Confianza</v>
      </c>
      <c r="I1353" s="28"/>
      <c r="J1353" s="184" t="str">
        <f t="shared" si="41"/>
        <v>RFLBU</v>
      </c>
    </row>
    <row r="1354" spans="3:10" x14ac:dyDescent="0.25">
      <c r="C1354" s="28" t="s">
        <v>3907</v>
      </c>
      <c r="D1354" s="188" t="str">
        <f>+INDEX([1]Detallado!$F:$F,MATCH($C1354,[1]Detallado!$B:$B,0))</f>
        <v>Renta Fija</v>
      </c>
      <c r="E1354" s="31" t="str">
        <f>+INDEX([1]Detallado!$Q:$Q,MATCH($C1354,[1]Detallado!$B:$B,0))</f>
        <v>RFLC</v>
      </c>
      <c r="F1354" s="185" t="s">
        <v>4357</v>
      </c>
      <c r="G1354" s="186" t="str">
        <f t="shared" ref="G1354:G1417" si="42">LEFT(C1354,2)&amp;E1354</f>
        <v>76RFLC</v>
      </c>
      <c r="H1354" s="187" t="str">
        <f>+INDEX([1]Detallado!$D:$D,MATCH(C1354,[1]Detallado!$B:$B,0))</f>
        <v xml:space="preserve">Telefónica del Perú </v>
      </c>
      <c r="I1354" s="28"/>
      <c r="J1354" s="184" t="str">
        <f t="shared" ref="J1354:J1417" si="43">IF(E1354="ALT",LEFT(E1354,3),LEFT(E1354,3)&amp;F1354)</f>
        <v>RFLBU</v>
      </c>
    </row>
    <row r="1355" spans="3:10" x14ac:dyDescent="0.25">
      <c r="C1355" s="28" t="s">
        <v>3908</v>
      </c>
      <c r="D1355" s="188" t="str">
        <f>+INDEX([1]Detallado!$F:$F,MATCH($C1355,[1]Detallado!$B:$B,0))</f>
        <v>Renta Fija</v>
      </c>
      <c r="E1355" s="31" t="str">
        <f>+INDEX([1]Detallado!$Q:$Q,MATCH($C1355,[1]Detallado!$B:$B,0))</f>
        <v>RFLC</v>
      </c>
      <c r="F1355" s="185" t="s">
        <v>4357</v>
      </c>
      <c r="G1355" s="186" t="str">
        <f t="shared" si="42"/>
        <v>76RFLC</v>
      </c>
      <c r="H1355" s="187" t="str">
        <f>+INDEX([1]Detallado!$D:$D,MATCH(C1355,[1]Detallado!$B:$B,0))</f>
        <v xml:space="preserve">Telefónica del Perú </v>
      </c>
      <c r="I1355" s="28"/>
      <c r="J1355" s="184" t="str">
        <f t="shared" si="43"/>
        <v>RFLBU</v>
      </c>
    </row>
    <row r="1356" spans="3:10" x14ac:dyDescent="0.25">
      <c r="C1356" s="28" t="s">
        <v>3909</v>
      </c>
      <c r="D1356" s="188" t="str">
        <f>+INDEX([1]Detallado!$F:$F,MATCH($C1356,[1]Detallado!$B:$B,0))</f>
        <v>Renta Fija</v>
      </c>
      <c r="E1356" s="31" t="str">
        <f>+INDEX([1]Detallado!$Q:$Q,MATCH($C1356,[1]Detallado!$B:$B,0))</f>
        <v>RFLC</v>
      </c>
      <c r="F1356" s="185" t="s">
        <v>4357</v>
      </c>
      <c r="G1356" s="186" t="str">
        <f t="shared" si="42"/>
        <v>22RFLC</v>
      </c>
      <c r="H1356" s="187" t="str">
        <f>+INDEX([1]Detallado!$D:$D,MATCH(C1356,[1]Detallado!$B:$B,0))</f>
        <v xml:space="preserve">Telefónica del Perú </v>
      </c>
      <c r="I1356" s="28"/>
      <c r="J1356" s="184" t="str">
        <f t="shared" si="43"/>
        <v>RFLBU</v>
      </c>
    </row>
    <row r="1357" spans="3:10" x14ac:dyDescent="0.25">
      <c r="C1357" s="28" t="s">
        <v>3910</v>
      </c>
      <c r="D1357" s="188" t="str">
        <f>+INDEX([1]Detallado!$F:$F,MATCH($C1357,[1]Detallado!$B:$B,0))</f>
        <v>Renta Fija</v>
      </c>
      <c r="E1357" s="31" t="str">
        <f>+INDEX([1]Detallado!$Q:$Q,MATCH($C1357,[1]Detallado!$B:$B,0))</f>
        <v>RFLC</v>
      </c>
      <c r="F1357" s="185" t="s">
        <v>4357</v>
      </c>
      <c r="G1357" s="186" t="str">
        <f t="shared" si="42"/>
        <v>25RFLC</v>
      </c>
      <c r="H1357" s="187" t="str">
        <f>+INDEX([1]Detallado!$D:$D,MATCH(C1357,[1]Detallado!$B:$B,0))</f>
        <v>Edyficar</v>
      </c>
      <c r="I1357" s="28"/>
      <c r="J1357" s="184" t="str">
        <f t="shared" si="43"/>
        <v>RFLBU</v>
      </c>
    </row>
    <row r="1358" spans="3:10" x14ac:dyDescent="0.25">
      <c r="C1358" s="28" t="s">
        <v>3911</v>
      </c>
      <c r="D1358" s="188" t="str">
        <f>+INDEX([1]Detallado!$F:$F,MATCH($C1358,[1]Detallado!$B:$B,0))</f>
        <v>Renta Fija</v>
      </c>
      <c r="E1358" s="31" t="str">
        <f>+INDEX([1]Detallado!$Q:$Q,MATCH($C1358,[1]Detallado!$B:$B,0))</f>
        <v>RFLC</v>
      </c>
      <c r="F1358" s="185" t="s">
        <v>4357</v>
      </c>
      <c r="G1358" s="186" t="str">
        <f t="shared" si="42"/>
        <v>63RFLC</v>
      </c>
      <c r="H1358" s="187" t="str">
        <f>+INDEX([1]Detallado!$D:$D,MATCH(C1358,[1]Detallado!$B:$B,0))</f>
        <v>Banco Ripley</v>
      </c>
      <c r="I1358" s="28"/>
      <c r="J1358" s="184" t="str">
        <f t="shared" si="43"/>
        <v>RFLBU</v>
      </c>
    </row>
    <row r="1359" spans="3:10" x14ac:dyDescent="0.25">
      <c r="C1359" s="28" t="s">
        <v>263</v>
      </c>
      <c r="D1359" s="188" t="str">
        <f>+INDEX([1]Detallado!$F:$F,MATCH($C1359,[1]Detallado!$B:$B,0))</f>
        <v>Renta Fija</v>
      </c>
      <c r="E1359" s="31" t="str">
        <f>+INDEX([1]Detallado!$Q:$Q,MATCH($C1359,[1]Detallado!$B:$B,0))</f>
        <v>RFLC</v>
      </c>
      <c r="F1359" s="185" t="s">
        <v>4357</v>
      </c>
      <c r="G1359" s="186" t="str">
        <f t="shared" si="42"/>
        <v>22RFLC</v>
      </c>
      <c r="H1359" s="187" t="str">
        <f>+INDEX([1]Detallado!$D:$D,MATCH(C1359,[1]Detallado!$B:$B,0))</f>
        <v>Falabella Perú</v>
      </c>
      <c r="I1359" s="28"/>
      <c r="J1359" s="184" t="str">
        <f t="shared" si="43"/>
        <v>RFLBU</v>
      </c>
    </row>
    <row r="1360" spans="3:10" x14ac:dyDescent="0.25">
      <c r="C1360" s="28" t="s">
        <v>3912</v>
      </c>
      <c r="D1360" s="188" t="str">
        <f>+INDEX([1]Detallado!$F:$F,MATCH($C1360,[1]Detallado!$B:$B,0))</f>
        <v>Renta Fija</v>
      </c>
      <c r="E1360" s="31" t="str">
        <f>+INDEX([1]Detallado!$Q:$Q,MATCH($C1360,[1]Detallado!$B:$B,0))</f>
        <v>RFLC</v>
      </c>
      <c r="F1360" s="185" t="s">
        <v>4357</v>
      </c>
      <c r="G1360" s="186" t="str">
        <f t="shared" si="42"/>
        <v>21RFLC</v>
      </c>
      <c r="H1360" s="187" t="str">
        <f>+INDEX([1]Detallado!$D:$D,MATCH(C1360,[1]Detallado!$B:$B,0))</f>
        <v>Edyficar</v>
      </c>
      <c r="I1360" s="28"/>
      <c r="J1360" s="184" t="str">
        <f t="shared" si="43"/>
        <v>RFLBU</v>
      </c>
    </row>
    <row r="1361" spans="3:10" x14ac:dyDescent="0.25">
      <c r="C1361" s="28" t="s">
        <v>3913</v>
      </c>
      <c r="D1361" s="188" t="str">
        <f>+INDEX([1]Detallado!$F:$F,MATCH($C1361,[1]Detallado!$B:$B,0))</f>
        <v>Renta Fija</v>
      </c>
      <c r="E1361" s="31" t="str">
        <f>+INDEX([1]Detallado!$Q:$Q,MATCH($C1361,[1]Detallado!$B:$B,0))</f>
        <v>RFLC</v>
      </c>
      <c r="F1361" s="185" t="s">
        <v>4357</v>
      </c>
      <c r="G1361" s="186" t="str">
        <f t="shared" si="42"/>
        <v>21RFLC</v>
      </c>
      <c r="H1361" s="187" t="str">
        <f>+INDEX([1]Detallado!$D:$D,MATCH(C1361,[1]Detallado!$B:$B,0))</f>
        <v>Edyficar</v>
      </c>
      <c r="I1361" s="28"/>
      <c r="J1361" s="184" t="str">
        <f t="shared" si="43"/>
        <v>RFLBU</v>
      </c>
    </row>
    <row r="1362" spans="3:10" x14ac:dyDescent="0.25">
      <c r="C1362" s="28" t="s">
        <v>3914</v>
      </c>
      <c r="D1362" s="188" t="str">
        <f>+INDEX([1]Detallado!$F:$F,MATCH($C1362,[1]Detallado!$B:$B,0))</f>
        <v>Renta Fija</v>
      </c>
      <c r="E1362" s="31" t="str">
        <f>+INDEX([1]Detallado!$Q:$Q,MATCH($C1362,[1]Detallado!$B:$B,0))</f>
        <v>RFLC</v>
      </c>
      <c r="F1362" s="185" t="s">
        <v>4357</v>
      </c>
      <c r="G1362" s="186" t="str">
        <f t="shared" si="42"/>
        <v>21RFLC</v>
      </c>
      <c r="H1362" s="187" t="str">
        <f>+INDEX([1]Detallado!$D:$D,MATCH(C1362,[1]Detallado!$B:$B,0))</f>
        <v>Edyficar</v>
      </c>
      <c r="I1362" s="28"/>
      <c r="J1362" s="184" t="str">
        <f t="shared" si="43"/>
        <v>RFLBU</v>
      </c>
    </row>
    <row r="1363" spans="3:10" x14ac:dyDescent="0.25">
      <c r="C1363" s="28" t="s">
        <v>3915</v>
      </c>
      <c r="D1363" s="188" t="str">
        <f>+INDEX([1]Detallado!$F:$F,MATCH($C1363,[1]Detallado!$B:$B,0))</f>
        <v>Renta Fija</v>
      </c>
      <c r="E1363" s="31" t="str">
        <f>+INDEX([1]Detallado!$Q:$Q,MATCH($C1363,[1]Detallado!$B:$B,0))</f>
        <v>RFLC</v>
      </c>
      <c r="F1363" s="185" t="s">
        <v>4357</v>
      </c>
      <c r="G1363" s="186" t="str">
        <f t="shared" si="42"/>
        <v>21RFLC</v>
      </c>
      <c r="H1363" s="187" t="str">
        <f>+INDEX([1]Detallado!$D:$D,MATCH(C1363,[1]Detallado!$B:$B,0))</f>
        <v>Edyficar</v>
      </c>
      <c r="I1363" s="28"/>
      <c r="J1363" s="184" t="str">
        <f t="shared" si="43"/>
        <v>RFLBU</v>
      </c>
    </row>
    <row r="1364" spans="3:10" x14ac:dyDescent="0.25">
      <c r="C1364" s="28" t="s">
        <v>3916</v>
      </c>
      <c r="D1364" s="188" t="str">
        <f>+INDEX([1]Detallado!$F:$F,MATCH($C1364,[1]Detallado!$B:$B,0))</f>
        <v>Renta Fija</v>
      </c>
      <c r="E1364" s="31" t="str">
        <f>+INDEX([1]Detallado!$Q:$Q,MATCH($C1364,[1]Detallado!$B:$B,0))</f>
        <v>RFLC</v>
      </c>
      <c r="F1364" s="185" t="s">
        <v>4357</v>
      </c>
      <c r="G1364" s="186" t="str">
        <f t="shared" si="42"/>
        <v>22RFLC</v>
      </c>
      <c r="H1364" s="187" t="str">
        <f>+INDEX([1]Detallado!$D:$D,MATCH(C1364,[1]Detallado!$B:$B,0))</f>
        <v>Edelnor</v>
      </c>
      <c r="I1364" s="28"/>
      <c r="J1364" s="184" t="str">
        <f t="shared" si="43"/>
        <v>RFLBU</v>
      </c>
    </row>
    <row r="1365" spans="3:10" x14ac:dyDescent="0.25">
      <c r="C1365" s="28" t="s">
        <v>3917</v>
      </c>
      <c r="D1365" s="188" t="str">
        <f>+INDEX([1]Detallado!$F:$F,MATCH($C1365,[1]Detallado!$B:$B,0))</f>
        <v>Renta Fija</v>
      </c>
      <c r="E1365" s="31" t="str">
        <f>+INDEX([1]Detallado!$Q:$Q,MATCH($C1365,[1]Detallado!$B:$B,0))</f>
        <v>RFLC</v>
      </c>
      <c r="F1365" s="185" t="s">
        <v>4357</v>
      </c>
      <c r="G1365" s="186" t="str">
        <f t="shared" si="42"/>
        <v>22RFLC</v>
      </c>
      <c r="H1365" s="187" t="str">
        <f>+INDEX([1]Detallado!$D:$D,MATCH(C1365,[1]Detallado!$B:$B,0))</f>
        <v>Enel Distribución Peru</v>
      </c>
      <c r="I1365" s="28"/>
      <c r="J1365" s="184" t="str">
        <f t="shared" si="43"/>
        <v>RFLBU</v>
      </c>
    </row>
    <row r="1366" spans="3:10" x14ac:dyDescent="0.25">
      <c r="C1366" s="28" t="s">
        <v>3918</v>
      </c>
      <c r="D1366" s="188" t="str">
        <f>+INDEX([1]Detallado!$F:$F,MATCH($C1366,[1]Detallado!$B:$B,0))</f>
        <v>Renta Fija</v>
      </c>
      <c r="E1366" s="31" t="str">
        <f>+INDEX([1]Detallado!$Q:$Q,MATCH($C1366,[1]Detallado!$B:$B,0))</f>
        <v>RFLC</v>
      </c>
      <c r="F1366" s="185" t="s">
        <v>4357</v>
      </c>
      <c r="G1366" s="186" t="str">
        <f t="shared" si="42"/>
        <v>22RFLC</v>
      </c>
      <c r="H1366" s="187" t="str">
        <f>+INDEX([1]Detallado!$D:$D,MATCH(C1366,[1]Detallado!$B:$B,0))</f>
        <v>Enel Distribución Peru</v>
      </c>
      <c r="I1366" s="28"/>
      <c r="J1366" s="184" t="str">
        <f t="shared" si="43"/>
        <v>RFLBU</v>
      </c>
    </row>
    <row r="1367" spans="3:10" x14ac:dyDescent="0.25">
      <c r="C1367" s="28" t="s">
        <v>3919</v>
      </c>
      <c r="D1367" s="188" t="str">
        <f>+INDEX([1]Detallado!$F:$F,MATCH($C1367,[1]Detallado!$B:$B,0))</f>
        <v>Renta Fija</v>
      </c>
      <c r="E1367" s="31" t="str">
        <f>+INDEX([1]Detallado!$Q:$Q,MATCH($C1367,[1]Detallado!$B:$B,0))</f>
        <v>RFLC</v>
      </c>
      <c r="F1367" s="185" t="s">
        <v>4357</v>
      </c>
      <c r="G1367" s="186" t="str">
        <f t="shared" si="42"/>
        <v>22RFLC</v>
      </c>
      <c r="H1367" s="187" t="str">
        <f>+INDEX([1]Detallado!$D:$D,MATCH(C1367,[1]Detallado!$B:$B,0))</f>
        <v>Enel Distribución Peru</v>
      </c>
      <c r="I1367" s="28"/>
      <c r="J1367" s="184" t="str">
        <f t="shared" si="43"/>
        <v>RFLBU</v>
      </c>
    </row>
    <row r="1368" spans="3:10" x14ac:dyDescent="0.25">
      <c r="C1368" s="28" t="s">
        <v>3920</v>
      </c>
      <c r="D1368" s="188" t="str">
        <f>+INDEX([1]Detallado!$F:$F,MATCH($C1368,[1]Detallado!$B:$B,0))</f>
        <v>Renta Fija</v>
      </c>
      <c r="E1368" s="31" t="str">
        <f>+INDEX([1]Detallado!$Q:$Q,MATCH($C1368,[1]Detallado!$B:$B,0))</f>
        <v>RFLC</v>
      </c>
      <c r="F1368" s="185" t="s">
        <v>4357</v>
      </c>
      <c r="G1368" s="186" t="str">
        <f t="shared" si="42"/>
        <v>22RFLC</v>
      </c>
      <c r="H1368" s="187" t="str">
        <f>+INDEX([1]Detallado!$D:$D,MATCH(C1368,[1]Detallado!$B:$B,0))</f>
        <v>Enel Distribución Peru</v>
      </c>
      <c r="I1368" s="28"/>
      <c r="J1368" s="184" t="str">
        <f t="shared" si="43"/>
        <v>RFLBU</v>
      </c>
    </row>
    <row r="1369" spans="3:10" x14ac:dyDescent="0.25">
      <c r="C1369" s="28" t="s">
        <v>3921</v>
      </c>
      <c r="D1369" s="188" t="str">
        <f>+INDEX([1]Detallado!$F:$F,MATCH($C1369,[1]Detallado!$B:$B,0))</f>
        <v>Renta Fija</v>
      </c>
      <c r="E1369" s="31" t="str">
        <f>+INDEX([1]Detallado!$Q:$Q,MATCH($C1369,[1]Detallado!$B:$B,0))</f>
        <v>RFLC</v>
      </c>
      <c r="F1369" s="185" t="s">
        <v>4357</v>
      </c>
      <c r="G1369" s="186" t="str">
        <f t="shared" si="42"/>
        <v>22RFLC</v>
      </c>
      <c r="H1369" s="187" t="str">
        <f>+INDEX([1]Detallado!$D:$D,MATCH(C1369,[1]Detallado!$B:$B,0))</f>
        <v xml:space="preserve">Telefónica del Perú </v>
      </c>
      <c r="I1369" s="28"/>
      <c r="J1369" s="184" t="str">
        <f t="shared" si="43"/>
        <v>RFLBU</v>
      </c>
    </row>
    <row r="1370" spans="3:10" x14ac:dyDescent="0.25">
      <c r="C1370" s="28" t="s">
        <v>3922</v>
      </c>
      <c r="D1370" s="188" t="str">
        <f>+INDEX([1]Detallado!$F:$F,MATCH($C1370,[1]Detallado!$B:$B,0))</f>
        <v>Renta Fija</v>
      </c>
      <c r="E1370" s="31" t="str">
        <f>+INDEX([1]Detallado!$Q:$Q,MATCH($C1370,[1]Detallado!$B:$B,0))</f>
        <v>RFLC</v>
      </c>
      <c r="F1370" s="185" t="s">
        <v>4357</v>
      </c>
      <c r="G1370" s="186" t="str">
        <f t="shared" si="42"/>
        <v>22RFLC</v>
      </c>
      <c r="H1370" s="187" t="str">
        <f>+INDEX([1]Detallado!$D:$D,MATCH(C1370,[1]Detallado!$B:$B,0))</f>
        <v xml:space="preserve">Telefónica del Perú </v>
      </c>
      <c r="I1370" s="28"/>
      <c r="J1370" s="184" t="str">
        <f t="shared" si="43"/>
        <v>RFLBU</v>
      </c>
    </row>
    <row r="1371" spans="3:10" x14ac:dyDescent="0.25">
      <c r="C1371" s="28" t="s">
        <v>3923</v>
      </c>
      <c r="D1371" s="188" t="str">
        <f>+INDEX([1]Detallado!$F:$F,MATCH($C1371,[1]Detallado!$B:$B,0))</f>
        <v>Renta Fija</v>
      </c>
      <c r="E1371" s="31" t="str">
        <f>+INDEX([1]Detallado!$Q:$Q,MATCH($C1371,[1]Detallado!$B:$B,0))</f>
        <v>RFLC</v>
      </c>
      <c r="F1371" s="185" t="s">
        <v>4357</v>
      </c>
      <c r="G1371" s="186" t="str">
        <f t="shared" si="42"/>
        <v>22RFLC</v>
      </c>
      <c r="H1371" s="187" t="str">
        <f>+INDEX([1]Detallado!$D:$D,MATCH(C1371,[1]Detallado!$B:$B,0))</f>
        <v xml:space="preserve">Telefónica del Perú </v>
      </c>
      <c r="I1371" s="28"/>
      <c r="J1371" s="184" t="str">
        <f t="shared" si="43"/>
        <v>RFLBU</v>
      </c>
    </row>
    <row r="1372" spans="3:10" x14ac:dyDescent="0.25">
      <c r="C1372" s="28" t="s">
        <v>3924</v>
      </c>
      <c r="D1372" s="188" t="str">
        <f>+INDEX([1]Detallado!$F:$F,MATCH($C1372,[1]Detallado!$B:$B,0))</f>
        <v>Renta Fija</v>
      </c>
      <c r="E1372" s="31" t="str">
        <f>+INDEX([1]Detallado!$Q:$Q,MATCH($C1372,[1]Detallado!$B:$B,0))</f>
        <v>RFLC</v>
      </c>
      <c r="F1372" s="185" t="s">
        <v>4357</v>
      </c>
      <c r="G1372" s="186" t="str">
        <f t="shared" si="42"/>
        <v>63RFLC</v>
      </c>
      <c r="H1372" s="187" t="str">
        <f>+INDEX([1]Detallado!$D:$D,MATCH(C1372,[1]Detallado!$B:$B,0))</f>
        <v>Financiera Uno</v>
      </c>
      <c r="I1372" s="28"/>
      <c r="J1372" s="184" t="str">
        <f t="shared" si="43"/>
        <v>RFLBU</v>
      </c>
    </row>
    <row r="1373" spans="3:10" x14ac:dyDescent="0.25">
      <c r="C1373" s="28" t="s">
        <v>3925</v>
      </c>
      <c r="D1373" s="188" t="str">
        <f>+INDEX([1]Detallado!$F:$F,MATCH($C1373,[1]Detallado!$B:$B,0))</f>
        <v>Renta Fija</v>
      </c>
      <c r="E1373" s="31" t="str">
        <f>+INDEX([1]Detallado!$Q:$Q,MATCH($C1373,[1]Detallado!$B:$B,0))</f>
        <v>RFLC</v>
      </c>
      <c r="F1373" s="185" t="s">
        <v>4357</v>
      </c>
      <c r="G1373" s="186" t="str">
        <f t="shared" si="42"/>
        <v>27RFLC</v>
      </c>
      <c r="H1373" s="187" t="str">
        <f>+INDEX([1]Detallado!$D:$D,MATCH(C1373,[1]Detallado!$B:$B,0))</f>
        <v xml:space="preserve">Scotia Sociedad Titulizadora </v>
      </c>
      <c r="I1373" s="28"/>
      <c r="J1373" s="184" t="str">
        <f t="shared" si="43"/>
        <v>RFLBU</v>
      </c>
    </row>
    <row r="1374" spans="3:10" x14ac:dyDescent="0.25">
      <c r="C1374" s="28" t="s">
        <v>3926</v>
      </c>
      <c r="D1374" s="188" t="str">
        <f>+INDEX([1]Detallado!$F:$F,MATCH($C1374,[1]Detallado!$B:$B,0))</f>
        <v>Renta Fija</v>
      </c>
      <c r="E1374" s="31" t="str">
        <f>+INDEX([1]Detallado!$Q:$Q,MATCH($C1374,[1]Detallado!$B:$B,0))</f>
        <v>RFLC</v>
      </c>
      <c r="F1374" s="185" t="s">
        <v>4357</v>
      </c>
      <c r="G1374" s="186" t="str">
        <f t="shared" si="42"/>
        <v>22RFLC</v>
      </c>
      <c r="H1374" s="187" t="str">
        <f>+INDEX([1]Detallado!$D:$D,MATCH(C1374,[1]Detallado!$B:$B,0))</f>
        <v>Gloria</v>
      </c>
      <c r="I1374" s="28"/>
      <c r="J1374" s="184" t="str">
        <f t="shared" si="43"/>
        <v>RFLBU</v>
      </c>
    </row>
    <row r="1375" spans="3:10" x14ac:dyDescent="0.25">
      <c r="C1375" s="28" t="s">
        <v>3927</v>
      </c>
      <c r="D1375" s="188" t="str">
        <f>+INDEX([1]Detallado!$F:$F,MATCH($C1375,[1]Detallado!$B:$B,0))</f>
        <v>Renta Fija</v>
      </c>
      <c r="E1375" s="31" t="str">
        <f>+INDEX([1]Detallado!$Q:$Q,MATCH($C1375,[1]Detallado!$B:$B,0))</f>
        <v>RFLC</v>
      </c>
      <c r="F1375" s="185" t="s">
        <v>4357</v>
      </c>
      <c r="G1375" s="186" t="str">
        <f t="shared" si="42"/>
        <v>22RFLC</v>
      </c>
      <c r="H1375" s="187" t="str">
        <f>+INDEX([1]Detallado!$D:$D,MATCH(C1375,[1]Detallado!$B:$B,0))</f>
        <v xml:space="preserve">Telefónica del Perú </v>
      </c>
      <c r="I1375" s="28"/>
      <c r="J1375" s="184" t="str">
        <f t="shared" si="43"/>
        <v>RFLBU</v>
      </c>
    </row>
    <row r="1376" spans="3:10" x14ac:dyDescent="0.25">
      <c r="C1376" s="28" t="s">
        <v>3928</v>
      </c>
      <c r="D1376" s="188" t="str">
        <f>+INDEX([1]Detallado!$F:$F,MATCH($C1376,[1]Detallado!$B:$B,0))</f>
        <v>Renta Fija</v>
      </c>
      <c r="E1376" s="31" t="str">
        <f>+INDEX([1]Detallado!$Q:$Q,MATCH($C1376,[1]Detallado!$B:$B,0))</f>
        <v>RFLC</v>
      </c>
      <c r="F1376" s="185" t="s">
        <v>4357</v>
      </c>
      <c r="G1376" s="186" t="str">
        <f t="shared" si="42"/>
        <v>25RFLC</v>
      </c>
      <c r="H1376" s="187" t="str">
        <f>+INDEX([1]Detallado!$D:$D,MATCH(C1376,[1]Detallado!$B:$B,0))</f>
        <v>Banco Falabella</v>
      </c>
      <c r="I1376" s="28"/>
      <c r="J1376" s="184" t="str">
        <f t="shared" si="43"/>
        <v>RFLBU</v>
      </c>
    </row>
    <row r="1377" spans="3:10" x14ac:dyDescent="0.25">
      <c r="C1377" s="28" t="s">
        <v>3929</v>
      </c>
      <c r="D1377" s="188" t="str">
        <f>+INDEX([1]Detallado!$F:$F,MATCH($C1377,[1]Detallado!$B:$B,0))</f>
        <v>Renta Fija</v>
      </c>
      <c r="E1377" s="31" t="str">
        <f>+INDEX([1]Detallado!$Q:$Q,MATCH($C1377,[1]Detallado!$B:$B,0))</f>
        <v>RFLC</v>
      </c>
      <c r="F1377" s="185" t="s">
        <v>4357</v>
      </c>
      <c r="G1377" s="186" t="str">
        <f t="shared" si="42"/>
        <v>25RFLC</v>
      </c>
      <c r="H1377" s="187" t="str">
        <f>+INDEX([1]Detallado!$D:$D,MATCH(C1377,[1]Detallado!$B:$B,0))</f>
        <v>Banco de Crédito del Perú</v>
      </c>
      <c r="I1377" s="28"/>
      <c r="J1377" s="184" t="str">
        <f t="shared" si="43"/>
        <v>RFLBU</v>
      </c>
    </row>
    <row r="1378" spans="3:10" x14ac:dyDescent="0.25">
      <c r="C1378" s="28" t="s">
        <v>3930</v>
      </c>
      <c r="D1378" s="188" t="str">
        <f>+INDEX([1]Detallado!$F:$F,MATCH($C1378,[1]Detallado!$B:$B,0))</f>
        <v>Renta Fija</v>
      </c>
      <c r="E1378" s="31" t="str">
        <f>+INDEX([1]Detallado!$Q:$Q,MATCH($C1378,[1]Detallado!$B:$B,0))</f>
        <v>RFLC</v>
      </c>
      <c r="F1378" s="185" t="s">
        <v>4357</v>
      </c>
      <c r="G1378" s="186" t="str">
        <f t="shared" si="42"/>
        <v>63RFLC</v>
      </c>
      <c r="H1378" s="187" t="str">
        <f>+INDEX([1]Detallado!$D:$D,MATCH(C1378,[1]Detallado!$B:$B,0))</f>
        <v>Financiera Confianza</v>
      </c>
      <c r="I1378" s="28"/>
      <c r="J1378" s="184" t="str">
        <f t="shared" si="43"/>
        <v>RFLBU</v>
      </c>
    </row>
    <row r="1379" spans="3:10" x14ac:dyDescent="0.25">
      <c r="C1379" s="28" t="s">
        <v>3931</v>
      </c>
      <c r="D1379" s="188" t="str">
        <f>+INDEX([1]Detallado!$F:$F,MATCH($C1379,[1]Detallado!$B:$B,0))</f>
        <v>Renta Fija</v>
      </c>
      <c r="E1379" s="31" t="str">
        <f>+INDEX([1]Detallado!$Q:$Q,MATCH($C1379,[1]Detallado!$B:$B,0))</f>
        <v>RFLC</v>
      </c>
      <c r="F1379" s="185" t="s">
        <v>4357</v>
      </c>
      <c r="G1379" s="186" t="str">
        <f t="shared" si="42"/>
        <v>63RFLC</v>
      </c>
      <c r="H1379" s="187" t="str">
        <f>+INDEX([1]Detallado!$D:$D,MATCH(C1379,[1]Detallado!$B:$B,0))</f>
        <v>Financiera Confianza</v>
      </c>
      <c r="I1379" s="28"/>
      <c r="J1379" s="184" t="str">
        <f t="shared" si="43"/>
        <v>RFLBU</v>
      </c>
    </row>
    <row r="1380" spans="3:10" x14ac:dyDescent="0.25">
      <c r="C1380" s="28" t="s">
        <v>3932</v>
      </c>
      <c r="D1380" s="188" t="str">
        <f>+INDEX([1]Detallado!$F:$F,MATCH($C1380,[1]Detallado!$B:$B,0))</f>
        <v>Renta Fija</v>
      </c>
      <c r="E1380" s="31" t="str">
        <f>+INDEX([1]Detallado!$Q:$Q,MATCH($C1380,[1]Detallado!$B:$B,0))</f>
        <v>RFLC</v>
      </c>
      <c r="F1380" s="185" t="s">
        <v>4357</v>
      </c>
      <c r="G1380" s="186" t="str">
        <f t="shared" si="42"/>
        <v>63RFLC</v>
      </c>
      <c r="H1380" s="187" t="str">
        <f>+INDEX([1]Detallado!$D:$D,MATCH(C1380,[1]Detallado!$B:$B,0))</f>
        <v>Financiera Confianza</v>
      </c>
      <c r="I1380" s="28"/>
      <c r="J1380" s="184" t="str">
        <f t="shared" si="43"/>
        <v>RFLBU</v>
      </c>
    </row>
    <row r="1381" spans="3:10" x14ac:dyDescent="0.25">
      <c r="C1381" s="28" t="s">
        <v>3933</v>
      </c>
      <c r="D1381" s="188" t="str">
        <f>+INDEX([1]Detallado!$F:$F,MATCH($C1381,[1]Detallado!$B:$B,0))</f>
        <v>Renta Fija</v>
      </c>
      <c r="E1381" s="31" t="str">
        <f>+INDEX([1]Detallado!$Q:$Q,MATCH($C1381,[1]Detallado!$B:$B,0))</f>
        <v>RFLC</v>
      </c>
      <c r="F1381" s="185" t="s">
        <v>4357</v>
      </c>
      <c r="G1381" s="186" t="str">
        <f t="shared" si="42"/>
        <v>63RFLC</v>
      </c>
      <c r="H1381" s="187" t="str">
        <f>+INDEX([1]Detallado!$D:$D,MATCH(C1381,[1]Detallado!$B:$B,0))</f>
        <v>Financiera Confianza</v>
      </c>
      <c r="I1381" s="28"/>
      <c r="J1381" s="184" t="str">
        <f t="shared" si="43"/>
        <v>RFLBU</v>
      </c>
    </row>
    <row r="1382" spans="3:10" x14ac:dyDescent="0.25">
      <c r="C1382" s="28" t="s">
        <v>3934</v>
      </c>
      <c r="D1382" s="188" t="str">
        <f>+INDEX([1]Detallado!$F:$F,MATCH($C1382,[1]Detallado!$B:$B,0))</f>
        <v>Renta Fija</v>
      </c>
      <c r="E1382" s="31" t="str">
        <f>+INDEX([1]Detallado!$Q:$Q,MATCH($C1382,[1]Detallado!$B:$B,0))</f>
        <v>RFLC</v>
      </c>
      <c r="F1382" s="185" t="s">
        <v>4357</v>
      </c>
      <c r="G1382" s="186" t="str">
        <f t="shared" si="42"/>
        <v>63RFLC</v>
      </c>
      <c r="H1382" s="187" t="str">
        <f>+INDEX([1]Detallado!$D:$D,MATCH(C1382,[1]Detallado!$B:$B,0))</f>
        <v>Financiera Confianza</v>
      </c>
      <c r="I1382" s="28"/>
      <c r="J1382" s="184" t="str">
        <f t="shared" si="43"/>
        <v>RFLBU</v>
      </c>
    </row>
    <row r="1383" spans="3:10" x14ac:dyDescent="0.25">
      <c r="C1383" s="28" t="s">
        <v>3935</v>
      </c>
      <c r="D1383" s="188" t="str">
        <f>+INDEX([1]Detallado!$F:$F,MATCH($C1383,[1]Detallado!$B:$B,0))</f>
        <v>Renta Fija</v>
      </c>
      <c r="E1383" s="31" t="str">
        <f>+INDEX([1]Detallado!$Q:$Q,MATCH($C1383,[1]Detallado!$B:$B,0))</f>
        <v>RFLC</v>
      </c>
      <c r="F1383" s="185" t="s">
        <v>4357</v>
      </c>
      <c r="G1383" s="186" t="str">
        <f t="shared" si="42"/>
        <v>63RFLC</v>
      </c>
      <c r="H1383" s="187" t="str">
        <f>+INDEX([1]Detallado!$D:$D,MATCH(C1383,[1]Detallado!$B:$B,0))</f>
        <v>Financiera Uno</v>
      </c>
      <c r="I1383" s="28"/>
      <c r="J1383" s="184" t="str">
        <f t="shared" si="43"/>
        <v>RFLBU</v>
      </c>
    </row>
    <row r="1384" spans="3:10" x14ac:dyDescent="0.25">
      <c r="C1384" s="28" t="s">
        <v>3936</v>
      </c>
      <c r="D1384" s="188" t="str">
        <f>+INDEX([1]Detallado!$F:$F,MATCH($C1384,[1]Detallado!$B:$B,0))</f>
        <v>Renta Fija</v>
      </c>
      <c r="E1384" s="31" t="str">
        <f>+INDEX([1]Detallado!$Q:$Q,MATCH($C1384,[1]Detallado!$B:$B,0))</f>
        <v>RFLC</v>
      </c>
      <c r="F1384" s="185" t="s">
        <v>4357</v>
      </c>
      <c r="G1384" s="186" t="str">
        <f t="shared" si="42"/>
        <v>25RFLC</v>
      </c>
      <c r="H1384" s="187" t="str">
        <f>+INDEX([1]Detallado!$D:$D,MATCH(C1384,[1]Detallado!$B:$B,0))</f>
        <v>Edyficar</v>
      </c>
      <c r="I1384" s="28"/>
      <c r="J1384" s="184" t="str">
        <f t="shared" si="43"/>
        <v>RFLBU</v>
      </c>
    </row>
    <row r="1385" spans="3:10" x14ac:dyDescent="0.25">
      <c r="C1385" s="28" t="s">
        <v>3937</v>
      </c>
      <c r="D1385" s="188" t="str">
        <f>+INDEX([1]Detallado!$F:$F,MATCH($C1385,[1]Detallado!$B:$B,0))</f>
        <v>Renta Fija</v>
      </c>
      <c r="E1385" s="31" t="str">
        <f>+INDEX([1]Detallado!$Q:$Q,MATCH($C1385,[1]Detallado!$B:$B,0))</f>
        <v>RFLC</v>
      </c>
      <c r="F1385" s="185" t="s">
        <v>4357</v>
      </c>
      <c r="G1385" s="186" t="str">
        <f t="shared" si="42"/>
        <v>63RFLC</v>
      </c>
      <c r="H1385" s="187" t="str">
        <f>+INDEX([1]Detallado!$D:$D,MATCH(C1385,[1]Detallado!$B:$B,0))</f>
        <v>Banco Ripley</v>
      </c>
      <c r="I1385" s="28"/>
      <c r="J1385" s="184" t="str">
        <f t="shared" si="43"/>
        <v>RFLBU</v>
      </c>
    </row>
    <row r="1386" spans="3:10" x14ac:dyDescent="0.25">
      <c r="C1386" s="28" t="s">
        <v>3938</v>
      </c>
      <c r="D1386" s="188" t="str">
        <f>+INDEX([1]Detallado!$F:$F,MATCH($C1386,[1]Detallado!$B:$B,0))</f>
        <v>Renta Fija</v>
      </c>
      <c r="E1386" s="31" t="str">
        <f>+INDEX([1]Detallado!$Q:$Q,MATCH($C1386,[1]Detallado!$B:$B,0))</f>
        <v>RFLC</v>
      </c>
      <c r="F1386" s="185" t="s">
        <v>4357</v>
      </c>
      <c r="G1386" s="186" t="str">
        <f t="shared" si="42"/>
        <v>63RFLC</v>
      </c>
      <c r="H1386" s="187" t="str">
        <f>+INDEX([1]Detallado!$D:$D,MATCH(C1386,[1]Detallado!$B:$B,0))</f>
        <v>Banco Ripley</v>
      </c>
      <c r="I1386" s="28"/>
      <c r="J1386" s="184" t="str">
        <f t="shared" si="43"/>
        <v>RFLBU</v>
      </c>
    </row>
    <row r="1387" spans="3:10" x14ac:dyDescent="0.25">
      <c r="C1387" s="28" t="s">
        <v>3939</v>
      </c>
      <c r="D1387" s="188" t="str">
        <f>+INDEX([1]Detallado!$F:$F,MATCH($C1387,[1]Detallado!$B:$B,0))</f>
        <v>Renta Fija</v>
      </c>
      <c r="E1387" s="31" t="str">
        <f>+INDEX([1]Detallado!$Q:$Q,MATCH($C1387,[1]Detallado!$B:$B,0))</f>
        <v>RFLC</v>
      </c>
      <c r="F1387" s="185" t="s">
        <v>4357</v>
      </c>
      <c r="G1387" s="186" t="str">
        <f t="shared" si="42"/>
        <v>63RFLC</v>
      </c>
      <c r="H1387" s="187" t="str">
        <f>+INDEX([1]Detallado!$D:$D,MATCH(C1387,[1]Detallado!$B:$B,0))</f>
        <v>Banco Ripley</v>
      </c>
      <c r="I1387" s="28"/>
      <c r="J1387" s="184" t="str">
        <f t="shared" si="43"/>
        <v>RFLBU</v>
      </c>
    </row>
    <row r="1388" spans="3:10" x14ac:dyDescent="0.25">
      <c r="C1388" s="28" t="s">
        <v>3940</v>
      </c>
      <c r="D1388" s="188" t="str">
        <f>+INDEX([1]Detallado!$F:$F,MATCH($C1388,[1]Detallado!$B:$B,0))</f>
        <v>Renta Fija</v>
      </c>
      <c r="E1388" s="31" t="str">
        <f>+INDEX([1]Detallado!$Q:$Q,MATCH($C1388,[1]Detallado!$B:$B,0))</f>
        <v>RFLC</v>
      </c>
      <c r="F1388" s="185" t="s">
        <v>4357</v>
      </c>
      <c r="G1388" s="186" t="str">
        <f t="shared" si="42"/>
        <v>63RFLC</v>
      </c>
      <c r="H1388" s="187" t="str">
        <f>+INDEX([1]Detallado!$D:$D,MATCH(C1388,[1]Detallado!$B:$B,0))</f>
        <v>Banco Ripley</v>
      </c>
      <c r="I1388" s="28"/>
      <c r="J1388" s="184" t="str">
        <f t="shared" si="43"/>
        <v>RFLBU</v>
      </c>
    </row>
    <row r="1389" spans="3:10" x14ac:dyDescent="0.25">
      <c r="C1389" s="28" t="s">
        <v>3941</v>
      </c>
      <c r="D1389" s="188" t="str">
        <f>+INDEX([1]Detallado!$F:$F,MATCH($C1389,[1]Detallado!$B:$B,0))</f>
        <v>Renta Fija</v>
      </c>
      <c r="E1389" s="31" t="str">
        <f>+INDEX([1]Detallado!$Q:$Q,MATCH($C1389,[1]Detallado!$B:$B,0))</f>
        <v>RFLC</v>
      </c>
      <c r="F1389" s="185" t="s">
        <v>4357</v>
      </c>
      <c r="G1389" s="186" t="str">
        <f t="shared" si="42"/>
        <v>63RFLC</v>
      </c>
      <c r="H1389" s="187" t="str">
        <f>+INDEX([1]Detallado!$D:$D,MATCH(C1389,[1]Detallado!$B:$B,0))</f>
        <v>Banco Ripley</v>
      </c>
      <c r="I1389" s="28"/>
      <c r="J1389" s="184" t="str">
        <f t="shared" si="43"/>
        <v>RFLBU</v>
      </c>
    </row>
    <row r="1390" spans="3:10" x14ac:dyDescent="0.25">
      <c r="C1390" s="28" t="s">
        <v>3942</v>
      </c>
      <c r="D1390" s="188" t="str">
        <f>+INDEX([1]Detallado!$F:$F,MATCH($C1390,[1]Detallado!$B:$B,0))</f>
        <v>Renta Fija</v>
      </c>
      <c r="E1390" s="31" t="str">
        <f>+INDEX([1]Detallado!$Q:$Q,MATCH($C1390,[1]Detallado!$B:$B,0))</f>
        <v>RFLC</v>
      </c>
      <c r="F1390" s="185" t="s">
        <v>4357</v>
      </c>
      <c r="G1390" s="186" t="str">
        <f t="shared" si="42"/>
        <v>63RFLC</v>
      </c>
      <c r="H1390" s="187" t="str">
        <f>+INDEX([1]Detallado!$D:$D,MATCH(C1390,[1]Detallado!$B:$B,0))</f>
        <v>Banco Interamericano de Finanzas</v>
      </c>
      <c r="I1390" s="28"/>
      <c r="J1390" s="184" t="str">
        <f t="shared" si="43"/>
        <v>RFLBU</v>
      </c>
    </row>
    <row r="1391" spans="3:10" x14ac:dyDescent="0.25">
      <c r="C1391" s="28" t="s">
        <v>3943</v>
      </c>
      <c r="D1391" s="188" t="str">
        <f>+INDEX([1]Detallado!$F:$F,MATCH($C1391,[1]Detallado!$B:$B,0))</f>
        <v>Renta Fija</v>
      </c>
      <c r="E1391" s="31" t="str">
        <f>+INDEX([1]Detallado!$Q:$Q,MATCH($C1391,[1]Detallado!$B:$B,0))</f>
        <v>RFLC</v>
      </c>
      <c r="F1391" s="185" t="s">
        <v>4357</v>
      </c>
      <c r="G1391" s="186" t="str">
        <f t="shared" si="42"/>
        <v>63RFLC</v>
      </c>
      <c r="H1391" s="187" t="str">
        <f>+INDEX([1]Detallado!$D:$D,MATCH(C1391,[1]Detallado!$B:$B,0))</f>
        <v>Banco Interamericano de Finanzas</v>
      </c>
      <c r="I1391" s="28"/>
      <c r="J1391" s="184" t="str">
        <f t="shared" si="43"/>
        <v>RFLBU</v>
      </c>
    </row>
    <row r="1392" spans="3:10" x14ac:dyDescent="0.25">
      <c r="C1392" s="28" t="s">
        <v>3944</v>
      </c>
      <c r="D1392" s="188" t="str">
        <f>+INDEX([1]Detallado!$F:$F,MATCH($C1392,[1]Detallado!$B:$B,0))</f>
        <v>Renta Fija</v>
      </c>
      <c r="E1392" s="31" t="str">
        <f>+INDEX([1]Detallado!$Q:$Q,MATCH($C1392,[1]Detallado!$B:$B,0))</f>
        <v>RFLC</v>
      </c>
      <c r="F1392" s="185" t="s">
        <v>4357</v>
      </c>
      <c r="G1392" s="186" t="str">
        <f t="shared" si="42"/>
        <v>63RFLC</v>
      </c>
      <c r="H1392" s="187" t="str">
        <f>+INDEX([1]Detallado!$D:$D,MATCH(C1392,[1]Detallado!$B:$B,0))</f>
        <v>Financiera OH</v>
      </c>
      <c r="I1392" s="28"/>
      <c r="J1392" s="184" t="str">
        <f t="shared" si="43"/>
        <v>RFLBU</v>
      </c>
    </row>
    <row r="1393" spans="3:10" x14ac:dyDescent="0.25">
      <c r="C1393" s="28" t="s">
        <v>3945</v>
      </c>
      <c r="D1393" s="188" t="str">
        <f>+INDEX([1]Detallado!$F:$F,MATCH($C1393,[1]Detallado!$B:$B,0))</f>
        <v>Renta Fija</v>
      </c>
      <c r="E1393" s="31" t="str">
        <f>+INDEX([1]Detallado!$Q:$Q,MATCH($C1393,[1]Detallado!$B:$B,0))</f>
        <v>RFLC</v>
      </c>
      <c r="F1393" s="185" t="s">
        <v>4357</v>
      </c>
      <c r="G1393" s="186" t="str">
        <f t="shared" si="42"/>
        <v>63RFLC</v>
      </c>
      <c r="H1393" s="187" t="str">
        <f>+INDEX([1]Detallado!$D:$D,MATCH(C1393,[1]Detallado!$B:$B,0))</f>
        <v>Financiera OH</v>
      </c>
      <c r="I1393" s="28"/>
      <c r="J1393" s="184" t="str">
        <f t="shared" si="43"/>
        <v>RFLBU</v>
      </c>
    </row>
    <row r="1394" spans="3:10" x14ac:dyDescent="0.25">
      <c r="C1394" s="28" t="s">
        <v>3946</v>
      </c>
      <c r="D1394" s="188" t="str">
        <f>+INDEX([1]Detallado!$F:$F,MATCH($C1394,[1]Detallado!$B:$B,0))</f>
        <v>Renta Fija</v>
      </c>
      <c r="E1394" s="31" t="str">
        <f>+INDEX([1]Detallado!$Q:$Q,MATCH($C1394,[1]Detallado!$B:$B,0))</f>
        <v>RFLC</v>
      </c>
      <c r="F1394" s="185" t="s">
        <v>4357</v>
      </c>
      <c r="G1394" s="186" t="str">
        <f t="shared" si="42"/>
        <v>63RFLC</v>
      </c>
      <c r="H1394" s="187" t="str">
        <f>+INDEX([1]Detallado!$D:$D,MATCH(C1394,[1]Detallado!$B:$B,0))</f>
        <v>Financiera OH</v>
      </c>
      <c r="I1394" s="28"/>
      <c r="J1394" s="184" t="str">
        <f t="shared" si="43"/>
        <v>RFLBU</v>
      </c>
    </row>
    <row r="1395" spans="3:10" x14ac:dyDescent="0.25">
      <c r="C1395" s="28" t="s">
        <v>3947</v>
      </c>
      <c r="D1395" s="188" t="str">
        <f>+INDEX([1]Detallado!$F:$F,MATCH($C1395,[1]Detallado!$B:$B,0))</f>
        <v>Renta Fija</v>
      </c>
      <c r="E1395" s="31" t="str">
        <f>+INDEX([1]Detallado!$Q:$Q,MATCH($C1395,[1]Detallado!$B:$B,0))</f>
        <v>RFLC</v>
      </c>
      <c r="F1395" s="185" t="s">
        <v>4357</v>
      </c>
      <c r="G1395" s="186" t="str">
        <f t="shared" si="42"/>
        <v>25RFLC</v>
      </c>
      <c r="H1395" s="187" t="str">
        <f>+INDEX([1]Detallado!$D:$D,MATCH(C1395,[1]Detallado!$B:$B,0))</f>
        <v>Financiera OH</v>
      </c>
      <c r="I1395" s="28"/>
      <c r="J1395" s="184" t="str">
        <f t="shared" si="43"/>
        <v>RFLBU</v>
      </c>
    </row>
    <row r="1396" spans="3:10" x14ac:dyDescent="0.25">
      <c r="C1396" s="28" t="s">
        <v>3948</v>
      </c>
      <c r="D1396" s="188" t="str">
        <f>+INDEX([1]Detallado!$F:$F,MATCH($C1396,[1]Detallado!$B:$B,0))</f>
        <v>Renta Fija</v>
      </c>
      <c r="E1396" s="31" t="str">
        <f>+INDEX([1]Detallado!$Q:$Q,MATCH($C1396,[1]Detallado!$B:$B,0))</f>
        <v>RFLC</v>
      </c>
      <c r="F1396" s="185" t="s">
        <v>4357</v>
      </c>
      <c r="G1396" s="186" t="str">
        <f t="shared" si="42"/>
        <v>25RFLC</v>
      </c>
      <c r="H1396" s="187" t="str">
        <f>+INDEX([1]Detallado!$D:$D,MATCH(C1396,[1]Detallado!$B:$B,0))</f>
        <v>Financiera OH</v>
      </c>
      <c r="I1396" s="28"/>
      <c r="J1396" s="184" t="str">
        <f t="shared" si="43"/>
        <v>RFLBU</v>
      </c>
    </row>
    <row r="1397" spans="3:10" x14ac:dyDescent="0.25">
      <c r="C1397" s="28" t="s">
        <v>3949</v>
      </c>
      <c r="D1397" s="188" t="str">
        <f>+INDEX([1]Detallado!$F:$F,MATCH($C1397,[1]Detallado!$B:$B,0))</f>
        <v>Renta Fija</v>
      </c>
      <c r="E1397" s="31" t="str">
        <f>+INDEX([1]Detallado!$Q:$Q,MATCH($C1397,[1]Detallado!$B:$B,0))</f>
        <v>RFLC</v>
      </c>
      <c r="F1397" s="185" t="s">
        <v>4357</v>
      </c>
      <c r="G1397" s="186" t="str">
        <f t="shared" si="42"/>
        <v>25RFLC</v>
      </c>
      <c r="H1397" s="187" t="str">
        <f>+INDEX([1]Detallado!$D:$D,MATCH(C1397,[1]Detallado!$B:$B,0))</f>
        <v>Financiera OH</v>
      </c>
      <c r="I1397" s="28"/>
      <c r="J1397" s="184" t="str">
        <f t="shared" si="43"/>
        <v>RFLBU</v>
      </c>
    </row>
    <row r="1398" spans="3:10" x14ac:dyDescent="0.25">
      <c r="C1398" s="28" t="s">
        <v>3950</v>
      </c>
      <c r="D1398" s="188" t="str">
        <f>+INDEX([1]Detallado!$F:$F,MATCH($C1398,[1]Detallado!$B:$B,0))</f>
        <v>Renta Fija</v>
      </c>
      <c r="E1398" s="31" t="str">
        <f>+INDEX([1]Detallado!$Q:$Q,MATCH($C1398,[1]Detallado!$B:$B,0))</f>
        <v>RFLC</v>
      </c>
      <c r="F1398" s="185" t="s">
        <v>4357</v>
      </c>
      <c r="G1398" s="186" t="str">
        <f t="shared" si="42"/>
        <v>25RFLC</v>
      </c>
      <c r="H1398" s="187" t="str">
        <f>+INDEX([1]Detallado!$D:$D,MATCH(C1398,[1]Detallado!$B:$B,0))</f>
        <v>Financiera OH</v>
      </c>
      <c r="I1398" s="28"/>
      <c r="J1398" s="184" t="str">
        <f t="shared" si="43"/>
        <v>RFLBU</v>
      </c>
    </row>
    <row r="1399" spans="3:10" x14ac:dyDescent="0.25">
      <c r="C1399" s="28" t="s">
        <v>3951</v>
      </c>
      <c r="D1399" s="188" t="str">
        <f>+INDEX([1]Detallado!$F:$F,MATCH($C1399,[1]Detallado!$B:$B,0))</f>
        <v>Renta Fija</v>
      </c>
      <c r="E1399" s="31" t="str">
        <f>+INDEX([1]Detallado!$Q:$Q,MATCH($C1399,[1]Detallado!$B:$B,0))</f>
        <v>RFLC</v>
      </c>
      <c r="F1399" s="185" t="s">
        <v>4357</v>
      </c>
      <c r="G1399" s="186" t="str">
        <f t="shared" si="42"/>
        <v>63RFLC</v>
      </c>
      <c r="H1399" s="187" t="str">
        <f>+INDEX([1]Detallado!$D:$D,MATCH(C1399,[1]Detallado!$B:$B,0))</f>
        <v>Financiera OH</v>
      </c>
      <c r="I1399" s="28"/>
      <c r="J1399" s="184" t="str">
        <f t="shared" si="43"/>
        <v>RFLBU</v>
      </c>
    </row>
    <row r="1400" spans="3:10" x14ac:dyDescent="0.25">
      <c r="C1400" s="28" t="s">
        <v>3952</v>
      </c>
      <c r="D1400" s="188" t="str">
        <f>+INDEX([1]Detallado!$F:$F,MATCH($C1400,[1]Detallado!$B:$B,0))</f>
        <v>Renta Fija</v>
      </c>
      <c r="E1400" s="31" t="str">
        <f>+INDEX([1]Detallado!$Q:$Q,MATCH($C1400,[1]Detallado!$B:$B,0))</f>
        <v>RFLC</v>
      </c>
      <c r="F1400" s="185" t="s">
        <v>4357</v>
      </c>
      <c r="G1400" s="186" t="str">
        <f t="shared" si="42"/>
        <v>63RFLC</v>
      </c>
      <c r="H1400" s="187" t="str">
        <f>+INDEX([1]Detallado!$D:$D,MATCH(C1400,[1]Detallado!$B:$B,0))</f>
        <v>Financiera OH</v>
      </c>
      <c r="I1400" s="28"/>
      <c r="J1400" s="184" t="str">
        <f t="shared" si="43"/>
        <v>RFLBU</v>
      </c>
    </row>
    <row r="1401" spans="3:10" x14ac:dyDescent="0.25">
      <c r="C1401" s="28" t="s">
        <v>3953</v>
      </c>
      <c r="D1401" s="188" t="str">
        <f>+INDEX([1]Detallado!$F:$F,MATCH($C1401,[1]Detallado!$B:$B,0))</f>
        <v>Renta Fija</v>
      </c>
      <c r="E1401" s="31" t="str">
        <f>+INDEX([1]Detallado!$Q:$Q,MATCH($C1401,[1]Detallado!$B:$B,0))</f>
        <v>RFLC</v>
      </c>
      <c r="F1401" s="185" t="s">
        <v>4357</v>
      </c>
      <c r="G1401" s="186" t="str">
        <f t="shared" si="42"/>
        <v>23RFLC</v>
      </c>
      <c r="H1401" s="187" t="str">
        <f>+INDEX([1]Detallado!$D:$D,MATCH(C1401,[1]Detallado!$B:$B,0))</f>
        <v>Edpyme Santander Consumo Perú</v>
      </c>
      <c r="I1401" s="28"/>
      <c r="J1401" s="184" t="str">
        <f t="shared" si="43"/>
        <v>RFLBU</v>
      </c>
    </row>
    <row r="1402" spans="3:10" x14ac:dyDescent="0.25">
      <c r="C1402" s="28" t="s">
        <v>3954</v>
      </c>
      <c r="D1402" s="188" t="str">
        <f>+INDEX([1]Detallado!$F:$F,MATCH($C1402,[1]Detallado!$B:$B,0))</f>
        <v>Renta Fija</v>
      </c>
      <c r="E1402" s="31" t="str">
        <f>+INDEX([1]Detallado!$Q:$Q,MATCH($C1402,[1]Detallado!$B:$B,0))</f>
        <v>RFLC</v>
      </c>
      <c r="F1402" s="185" t="s">
        <v>4357</v>
      </c>
      <c r="G1402" s="186" t="str">
        <f t="shared" si="42"/>
        <v>23RFLC</v>
      </c>
      <c r="H1402" s="187" t="str">
        <f>+INDEX([1]Detallado!$D:$D,MATCH(C1402,[1]Detallado!$B:$B,0))</f>
        <v>Edpyme Santander Consumo Perú</v>
      </c>
      <c r="I1402" s="28"/>
      <c r="J1402" s="184" t="str">
        <f t="shared" si="43"/>
        <v>RFLBU</v>
      </c>
    </row>
    <row r="1403" spans="3:10" x14ac:dyDescent="0.25">
      <c r="C1403" s="28" t="s">
        <v>3955</v>
      </c>
      <c r="D1403" s="188" t="str">
        <f>+INDEX([1]Detallado!$F:$F,MATCH($C1403,[1]Detallado!$B:$B,0))</f>
        <v>Renta Fija</v>
      </c>
      <c r="E1403" s="31" t="str">
        <f>+INDEX([1]Detallado!$Q:$Q,MATCH($C1403,[1]Detallado!$B:$B,0))</f>
        <v>RFLC</v>
      </c>
      <c r="F1403" s="185" t="s">
        <v>4357</v>
      </c>
      <c r="G1403" s="186" t="str">
        <f t="shared" si="42"/>
        <v>23RFLC</v>
      </c>
      <c r="H1403" s="187" t="str">
        <f>+INDEX([1]Detallado!$D:$D,MATCH(C1403,[1]Detallado!$B:$B,0))</f>
        <v>Edpyme Santander Consumo Perú</v>
      </c>
      <c r="I1403" s="28"/>
      <c r="J1403" s="184" t="str">
        <f t="shared" si="43"/>
        <v>RFLBU</v>
      </c>
    </row>
    <row r="1404" spans="3:10" x14ac:dyDescent="0.25">
      <c r="C1404" s="28" t="s">
        <v>3956</v>
      </c>
      <c r="D1404" s="188" t="str">
        <f>+INDEX([1]Detallado!$F:$F,MATCH($C1404,[1]Detallado!$B:$B,0))</f>
        <v>Renta Fija</v>
      </c>
      <c r="E1404" s="31" t="str">
        <f>+INDEX([1]Detallado!$Q:$Q,MATCH($C1404,[1]Detallado!$B:$B,0))</f>
        <v>RFLC</v>
      </c>
      <c r="F1404" s="185" t="s">
        <v>4357</v>
      </c>
      <c r="G1404" s="186" t="str">
        <f t="shared" si="42"/>
        <v>23RFLC</v>
      </c>
      <c r="H1404" s="187" t="str">
        <f>+INDEX([1]Detallado!$D:$D,MATCH(C1404,[1]Detallado!$B:$B,0))</f>
        <v>Edpyme Santander Consumo Perú</v>
      </c>
      <c r="I1404" s="28"/>
      <c r="J1404" s="184" t="str">
        <f t="shared" si="43"/>
        <v>RFLBU</v>
      </c>
    </row>
    <row r="1405" spans="3:10" x14ac:dyDescent="0.25">
      <c r="C1405" s="28" t="s">
        <v>3957</v>
      </c>
      <c r="D1405" s="188" t="str">
        <f>+INDEX([1]Detallado!$F:$F,MATCH($C1405,[1]Detallado!$B:$B,0))</f>
        <v>Renta Fija</v>
      </c>
      <c r="E1405" s="31" t="str">
        <f>+INDEX([1]Detallado!$Q:$Q,MATCH($C1405,[1]Detallado!$B:$B,0))</f>
        <v>RFLC</v>
      </c>
      <c r="F1405" s="185" t="s">
        <v>4357</v>
      </c>
      <c r="G1405" s="186" t="str">
        <f t="shared" si="42"/>
        <v>23RFLC</v>
      </c>
      <c r="H1405" s="187" t="str">
        <f>+INDEX([1]Detallado!$D:$D,MATCH(C1405,[1]Detallado!$B:$B,0))</f>
        <v>Edpyme Santander Consumo Perú</v>
      </c>
      <c r="I1405" s="28"/>
      <c r="J1405" s="184" t="str">
        <f t="shared" si="43"/>
        <v>RFLBU</v>
      </c>
    </row>
    <row r="1406" spans="3:10" x14ac:dyDescent="0.25">
      <c r="C1406" s="28" t="s">
        <v>3958</v>
      </c>
      <c r="D1406" s="188" t="str">
        <f>+INDEX([1]Detallado!$F:$F,MATCH($C1406,[1]Detallado!$B:$B,0))</f>
        <v>Renta Fija</v>
      </c>
      <c r="E1406" s="31" t="str">
        <f>+INDEX([1]Detallado!$Q:$Q,MATCH($C1406,[1]Detallado!$B:$B,0))</f>
        <v>RFLC</v>
      </c>
      <c r="F1406" s="185" t="s">
        <v>4357</v>
      </c>
      <c r="G1406" s="186" t="str">
        <f t="shared" si="42"/>
        <v>23RFLC</v>
      </c>
      <c r="H1406" s="187" t="str">
        <f>+INDEX([1]Detallado!$D:$D,MATCH(C1406,[1]Detallado!$B:$B,0))</f>
        <v>Edpyme Santander Consumo Perú</v>
      </c>
      <c r="I1406" s="28"/>
      <c r="J1406" s="184" t="str">
        <f t="shared" si="43"/>
        <v>RFLBU</v>
      </c>
    </row>
    <row r="1407" spans="3:10" x14ac:dyDescent="0.25">
      <c r="C1407" s="28" t="s">
        <v>3959</v>
      </c>
      <c r="D1407" s="188" t="str">
        <f>+INDEX([1]Detallado!$F:$F,MATCH($C1407,[1]Detallado!$B:$B,0))</f>
        <v>Renta Fija</v>
      </c>
      <c r="E1407" s="31" t="str">
        <f>+INDEX([1]Detallado!$Q:$Q,MATCH($C1407,[1]Detallado!$B:$B,0))</f>
        <v>RFLC</v>
      </c>
      <c r="F1407" s="185" t="s">
        <v>4357</v>
      </c>
      <c r="G1407" s="186" t="str">
        <f t="shared" si="42"/>
        <v>21RFLC</v>
      </c>
      <c r="H1407" s="187" t="str">
        <f>+INDEX([1]Detallado!$D:$D,MATCH(C1407,[1]Detallado!$B:$B,0))</f>
        <v>Mibanco</v>
      </c>
      <c r="I1407" s="28"/>
      <c r="J1407" s="184" t="str">
        <f t="shared" si="43"/>
        <v>RFLBU</v>
      </c>
    </row>
    <row r="1408" spans="3:10" x14ac:dyDescent="0.25">
      <c r="C1408" s="28" t="s">
        <v>3960</v>
      </c>
      <c r="D1408" s="188" t="str">
        <f>+INDEX([1]Detallado!$F:$F,MATCH($C1408,[1]Detallado!$B:$B,0))</f>
        <v>Renta Fija</v>
      </c>
      <c r="E1408" s="31" t="str">
        <f>+INDEX([1]Detallado!$Q:$Q,MATCH($C1408,[1]Detallado!$B:$B,0))</f>
        <v>RFLC</v>
      </c>
      <c r="F1408" s="185" t="s">
        <v>4357</v>
      </c>
      <c r="G1408" s="186" t="str">
        <f t="shared" si="42"/>
        <v>21RFLC</v>
      </c>
      <c r="H1408" s="187" t="str">
        <f>+INDEX([1]Detallado!$D:$D,MATCH(C1408,[1]Detallado!$B:$B,0))</f>
        <v>Mibanco</v>
      </c>
      <c r="I1408" s="28"/>
      <c r="J1408" s="184" t="str">
        <f t="shared" si="43"/>
        <v>RFLBU</v>
      </c>
    </row>
    <row r="1409" spans="3:10" x14ac:dyDescent="0.25">
      <c r="C1409" s="28" t="s">
        <v>3961</v>
      </c>
      <c r="D1409" s="188" t="str">
        <f>+INDEX([1]Detallado!$F:$F,MATCH($C1409,[1]Detallado!$B:$B,0))</f>
        <v>Renta Fija</v>
      </c>
      <c r="E1409" s="31" t="str">
        <f>+INDEX([1]Detallado!$Q:$Q,MATCH($C1409,[1]Detallado!$B:$B,0))</f>
        <v>RFLC</v>
      </c>
      <c r="F1409" s="185" t="s">
        <v>4357</v>
      </c>
      <c r="G1409" s="186" t="str">
        <f t="shared" si="42"/>
        <v>22RFLC</v>
      </c>
      <c r="H1409" s="187" t="str">
        <f>+INDEX([1]Detallado!$D:$D,MATCH(C1409,[1]Detallado!$B:$B,0))</f>
        <v xml:space="preserve">Energía del Sur </v>
      </c>
      <c r="I1409" s="28"/>
      <c r="J1409" s="184" t="str">
        <f t="shared" si="43"/>
        <v>RFLBU</v>
      </c>
    </row>
    <row r="1410" spans="3:10" x14ac:dyDescent="0.25">
      <c r="C1410" s="28" t="s">
        <v>3962</v>
      </c>
      <c r="D1410" s="188" t="str">
        <f>+INDEX([1]Detallado!$F:$F,MATCH($C1410,[1]Detallado!$B:$B,0))</f>
        <v>Renta Fija</v>
      </c>
      <c r="E1410" s="31" t="str">
        <f>+INDEX([1]Detallado!$Q:$Q,MATCH($C1410,[1]Detallado!$B:$B,0))</f>
        <v>RFLC</v>
      </c>
      <c r="F1410" s="185" t="s">
        <v>4357</v>
      </c>
      <c r="G1410" s="186" t="str">
        <f t="shared" si="42"/>
        <v>22RFLC</v>
      </c>
      <c r="H1410" s="187" t="str">
        <f>+INDEX([1]Detallado!$D:$D,MATCH(C1410,[1]Detallado!$B:$B,0))</f>
        <v>Falabella Perú</v>
      </c>
      <c r="I1410" s="28"/>
      <c r="J1410" s="184" t="str">
        <f t="shared" si="43"/>
        <v>RFLBU</v>
      </c>
    </row>
    <row r="1411" spans="3:10" x14ac:dyDescent="0.25">
      <c r="C1411" s="28" t="s">
        <v>288</v>
      </c>
      <c r="D1411" s="188" t="str">
        <f>+INDEX([1]Detallado!$F:$F,MATCH($C1411,[1]Detallado!$B:$B,0))</f>
        <v>Renta Fija</v>
      </c>
      <c r="E1411" s="31" t="str">
        <f>+INDEX([1]Detallado!$Q:$Q,MATCH($C1411,[1]Detallado!$B:$B,0))</f>
        <v>RFLC</v>
      </c>
      <c r="F1411" s="185" t="s">
        <v>4357</v>
      </c>
      <c r="G1411" s="186" t="str">
        <f t="shared" si="42"/>
        <v>22RFLC</v>
      </c>
      <c r="H1411" s="187" t="str">
        <f>+INDEX([1]Detallado!$D:$D,MATCH(C1411,[1]Detallado!$B:$B,0))</f>
        <v>InRetail Pharma</v>
      </c>
      <c r="I1411" s="28"/>
      <c r="J1411" s="184" t="str">
        <f t="shared" si="43"/>
        <v>RFLBU</v>
      </c>
    </row>
    <row r="1412" spans="3:10" x14ac:dyDescent="0.25">
      <c r="C1412" s="28" t="s">
        <v>3963</v>
      </c>
      <c r="D1412" s="188" t="str">
        <f>+INDEX([1]Detallado!$F:$F,MATCH($C1412,[1]Detallado!$B:$B,0))</f>
        <v>Renta Fija</v>
      </c>
      <c r="E1412" s="31" t="str">
        <f>+INDEX([1]Detallado!$Q:$Q,MATCH($C1412,[1]Detallado!$B:$B,0))</f>
        <v>RFLC</v>
      </c>
      <c r="F1412" s="185" t="s">
        <v>4357</v>
      </c>
      <c r="G1412" s="186" t="str">
        <f t="shared" si="42"/>
        <v>27RFLC</v>
      </c>
      <c r="H1412" s="187" t="str">
        <f>+INDEX([1]Detallado!$D:$D,MATCH(C1412,[1]Detallado!$B:$B,0))</f>
        <v xml:space="preserve">Scotia Sociedad Titulizadora </v>
      </c>
      <c r="I1412" s="28"/>
      <c r="J1412" s="184" t="str">
        <f t="shared" si="43"/>
        <v>RFLBU</v>
      </c>
    </row>
    <row r="1413" spans="3:10" x14ac:dyDescent="0.25">
      <c r="C1413" s="28" t="s">
        <v>3964</v>
      </c>
      <c r="D1413" s="188" t="str">
        <f>+INDEX([1]Detallado!$F:$F,MATCH($C1413,[1]Detallado!$B:$B,0))</f>
        <v>Renta Fija</v>
      </c>
      <c r="E1413" s="31" t="str">
        <f>+INDEX([1]Detallado!$Q:$Q,MATCH($C1413,[1]Detallado!$B:$B,0))</f>
        <v>RFLC</v>
      </c>
      <c r="F1413" s="185" t="s">
        <v>4357</v>
      </c>
      <c r="G1413" s="186" t="str">
        <f t="shared" si="42"/>
        <v>25RFLC</v>
      </c>
      <c r="H1413" s="187" t="str">
        <f>+INDEX([1]Detallado!$D:$D,MATCH(C1413,[1]Detallado!$B:$B,0))</f>
        <v>Financiera OH</v>
      </c>
      <c r="I1413" s="28"/>
      <c r="J1413" s="184" t="str">
        <f t="shared" si="43"/>
        <v>RFLBU</v>
      </c>
    </row>
    <row r="1414" spans="3:10" x14ac:dyDescent="0.25">
      <c r="C1414" s="28" t="s">
        <v>3965</v>
      </c>
      <c r="D1414" s="188" t="str">
        <f>+INDEX([1]Detallado!$F:$F,MATCH($C1414,[1]Detallado!$B:$B,0))</f>
        <v>Renta Fija</v>
      </c>
      <c r="E1414" s="31" t="str">
        <f>+INDEX([1]Detallado!$Q:$Q,MATCH($C1414,[1]Detallado!$B:$B,0))</f>
        <v>RFLC</v>
      </c>
      <c r="F1414" s="185" t="s">
        <v>4357</v>
      </c>
      <c r="G1414" s="186" t="str">
        <f t="shared" si="42"/>
        <v>25RFLC</v>
      </c>
      <c r="H1414" s="187" t="str">
        <f>+INDEX([1]Detallado!$D:$D,MATCH(C1414,[1]Detallado!$B:$B,0))</f>
        <v>Banco Continental</v>
      </c>
      <c r="I1414" s="28"/>
      <c r="J1414" s="184" t="str">
        <f t="shared" si="43"/>
        <v>RFLBU</v>
      </c>
    </row>
    <row r="1415" spans="3:10" x14ac:dyDescent="0.25">
      <c r="C1415" s="28" t="s">
        <v>3966</v>
      </c>
      <c r="D1415" s="188" t="str">
        <f>+INDEX([1]Detallado!$F:$F,MATCH($C1415,[1]Detallado!$B:$B,0))</f>
        <v>Renta Fija</v>
      </c>
      <c r="E1415" s="31" t="str">
        <f>+INDEX([1]Detallado!$Q:$Q,MATCH($C1415,[1]Detallado!$B:$B,0))</f>
        <v>RFLC</v>
      </c>
      <c r="F1415" s="185" t="s">
        <v>4357</v>
      </c>
      <c r="G1415" s="186" t="str">
        <f t="shared" si="42"/>
        <v>25RFLC</v>
      </c>
      <c r="H1415" s="187" t="str">
        <f>+INDEX([1]Detallado!$D:$D,MATCH(C1415,[1]Detallado!$B:$B,0))</f>
        <v>Banco Continental</v>
      </c>
      <c r="I1415" s="28"/>
      <c r="J1415" s="184" t="str">
        <f t="shared" si="43"/>
        <v>RFLBU</v>
      </c>
    </row>
    <row r="1416" spans="3:10" x14ac:dyDescent="0.25">
      <c r="C1416" s="28" t="s">
        <v>3967</v>
      </c>
      <c r="D1416" s="188" t="str">
        <f>+INDEX([1]Detallado!$F:$F,MATCH($C1416,[1]Detallado!$B:$B,0))</f>
        <v>Renta Fija</v>
      </c>
      <c r="E1416" s="31" t="str">
        <f>+INDEX([1]Detallado!$Q:$Q,MATCH($C1416,[1]Detallado!$B:$B,0))</f>
        <v>RFLC</v>
      </c>
      <c r="F1416" s="185" t="s">
        <v>4357</v>
      </c>
      <c r="G1416" s="186" t="str">
        <f t="shared" si="42"/>
        <v>22RFLC</v>
      </c>
      <c r="H1416" s="187" t="str">
        <f>+INDEX([1]Detallado!$D:$D,MATCH(C1416,[1]Detallado!$B:$B,0))</f>
        <v xml:space="preserve">Energía del Sur </v>
      </c>
      <c r="I1416" s="28"/>
      <c r="J1416" s="184" t="str">
        <f t="shared" si="43"/>
        <v>RFLBU</v>
      </c>
    </row>
    <row r="1417" spans="3:10" x14ac:dyDescent="0.25">
      <c r="C1417" s="28" t="s">
        <v>3968</v>
      </c>
      <c r="D1417" s="188" t="str">
        <f>+INDEX([1]Detallado!$F:$F,MATCH($C1417,[1]Detallado!$B:$B,0))</f>
        <v>Renta Fija</v>
      </c>
      <c r="E1417" s="31" t="str">
        <f>+INDEX([1]Detallado!$Q:$Q,MATCH($C1417,[1]Detallado!$B:$B,0))</f>
        <v>RFLC</v>
      </c>
      <c r="F1417" s="185" t="s">
        <v>4357</v>
      </c>
      <c r="G1417" s="186" t="str">
        <f t="shared" si="42"/>
        <v>25RFLC</v>
      </c>
      <c r="H1417" s="187" t="str">
        <f>+INDEX([1]Detallado!$D:$D,MATCH(C1417,[1]Detallado!$B:$B,0))</f>
        <v>Banco Continental</v>
      </c>
      <c r="I1417" s="28"/>
      <c r="J1417" s="184" t="str">
        <f t="shared" si="43"/>
        <v>RFLBU</v>
      </c>
    </row>
    <row r="1418" spans="3:10" x14ac:dyDescent="0.25">
      <c r="C1418" s="28" t="s">
        <v>3969</v>
      </c>
      <c r="D1418" s="188" t="str">
        <f>+INDEX([1]Detallado!$F:$F,MATCH($C1418,[1]Detallado!$B:$B,0))</f>
        <v>Renta Fija</v>
      </c>
      <c r="E1418" s="31" t="str">
        <f>+INDEX([1]Detallado!$Q:$Q,MATCH($C1418,[1]Detallado!$B:$B,0))</f>
        <v>RFLC</v>
      </c>
      <c r="F1418" s="185" t="s">
        <v>4357</v>
      </c>
      <c r="G1418" s="186" t="str">
        <f t="shared" ref="G1418:G1481" si="44">LEFT(C1418,2)&amp;E1418</f>
        <v>25RFLC</v>
      </c>
      <c r="H1418" s="187" t="str">
        <f>+INDEX([1]Detallado!$D:$D,MATCH(C1418,[1]Detallado!$B:$B,0))</f>
        <v>Banco Continental</v>
      </c>
      <c r="I1418" s="28"/>
      <c r="J1418" s="184" t="str">
        <f t="shared" ref="J1418:J1481" si="45">IF(E1418="ALT",LEFT(E1418,3),LEFT(E1418,3)&amp;F1418)</f>
        <v>RFLBU</v>
      </c>
    </row>
    <row r="1419" spans="3:10" x14ac:dyDescent="0.25">
      <c r="C1419" s="28" t="s">
        <v>318</v>
      </c>
      <c r="D1419" s="188" t="str">
        <f>+INDEX([1]Detallado!$F:$F,MATCH($C1419,[1]Detallado!$B:$B,0))</f>
        <v>Renta Fija</v>
      </c>
      <c r="E1419" s="31" t="str">
        <f>+INDEX([1]Detallado!$Q:$Q,MATCH($C1419,[1]Detallado!$B:$B,0))</f>
        <v>RFLC</v>
      </c>
      <c r="F1419" s="185" t="s">
        <v>4357</v>
      </c>
      <c r="G1419" s="186" t="str">
        <f t="shared" si="44"/>
        <v>22RFLC</v>
      </c>
      <c r="H1419" s="187" t="str">
        <f>+INDEX([1]Detallado!$D:$D,MATCH(C1419,[1]Detallado!$B:$B,0))</f>
        <v xml:space="preserve">Telefónica del Perú </v>
      </c>
      <c r="I1419" s="28"/>
      <c r="J1419" s="184" t="str">
        <f t="shared" si="45"/>
        <v>RFLBU</v>
      </c>
    </row>
    <row r="1420" spans="3:10" x14ac:dyDescent="0.25">
      <c r="C1420" s="28" t="s">
        <v>3970</v>
      </c>
      <c r="D1420" s="188" t="str">
        <f>+INDEX([1]Detallado!$F:$F,MATCH($C1420,[1]Detallado!$B:$B,0))</f>
        <v>Renta Fija</v>
      </c>
      <c r="E1420" s="31" t="str">
        <f>+INDEX([1]Detallado!$Q:$Q,MATCH($C1420,[1]Detallado!$B:$B,0))</f>
        <v>RFLC</v>
      </c>
      <c r="F1420" s="185" t="s">
        <v>4357</v>
      </c>
      <c r="G1420" s="186" t="str">
        <f t="shared" si="44"/>
        <v>22RFLC</v>
      </c>
      <c r="H1420" s="187" t="str">
        <f>+INDEX([1]Detallado!$D:$D,MATCH(C1420,[1]Detallado!$B:$B,0))</f>
        <v>Calidda</v>
      </c>
      <c r="I1420" s="28"/>
      <c r="J1420" s="184" t="str">
        <f t="shared" si="45"/>
        <v>RFLBU</v>
      </c>
    </row>
    <row r="1421" spans="3:10" x14ac:dyDescent="0.25">
      <c r="C1421" s="28" t="s">
        <v>251</v>
      </c>
      <c r="D1421" s="188" t="str">
        <f>+INDEX([1]Detallado!$F:$F,MATCH($C1421,[1]Detallado!$B:$B,0))</f>
        <v>Renta Fija</v>
      </c>
      <c r="E1421" s="31" t="str">
        <f>+INDEX([1]Detallado!$Q:$Q,MATCH($C1421,[1]Detallado!$B:$B,0))</f>
        <v>RFLC</v>
      </c>
      <c r="F1421" s="185" t="s">
        <v>4357</v>
      </c>
      <c r="G1421" s="186" t="str">
        <f t="shared" si="44"/>
        <v>22RFLC</v>
      </c>
      <c r="H1421" s="187" t="str">
        <f>+INDEX([1]Detallado!$D:$D,MATCH(C1421,[1]Detallado!$B:$B,0))</f>
        <v>Calidda</v>
      </c>
      <c r="I1421" s="28"/>
      <c r="J1421" s="184" t="str">
        <f t="shared" si="45"/>
        <v>RFLBU</v>
      </c>
    </row>
    <row r="1422" spans="3:10" x14ac:dyDescent="0.25">
      <c r="C1422" s="28" t="s">
        <v>3971</v>
      </c>
      <c r="D1422" s="188" t="str">
        <f>+INDEX([1]Detallado!$F:$F,MATCH($C1422,[1]Detallado!$B:$B,0))</f>
        <v>Renta Fija</v>
      </c>
      <c r="E1422" s="31" t="str">
        <f>+INDEX([1]Detallado!$Q:$Q,MATCH($C1422,[1]Detallado!$B:$B,0))</f>
        <v>RFLC</v>
      </c>
      <c r="F1422" s="185" t="s">
        <v>4357</v>
      </c>
      <c r="G1422" s="186" t="str">
        <f t="shared" si="44"/>
        <v>25RFLC</v>
      </c>
      <c r="H1422" s="187" t="str">
        <f>+INDEX([1]Detallado!$D:$D,MATCH(C1422,[1]Detallado!$B:$B,0))</f>
        <v>Financiera Efectiva</v>
      </c>
      <c r="I1422" s="28"/>
      <c r="J1422" s="184" t="str">
        <f t="shared" si="45"/>
        <v>RFLBU</v>
      </c>
    </row>
    <row r="1423" spans="3:10" x14ac:dyDescent="0.25">
      <c r="C1423" s="28" t="s">
        <v>3972</v>
      </c>
      <c r="D1423" s="188" t="str">
        <f>+INDEX([1]Detallado!$F:$F,MATCH($C1423,[1]Detallado!$B:$B,0))</f>
        <v>Renta Fija</v>
      </c>
      <c r="E1423" s="31" t="str">
        <f>+INDEX([1]Detallado!$Q:$Q,MATCH($C1423,[1]Detallado!$B:$B,0))</f>
        <v>RFLC</v>
      </c>
      <c r="F1423" s="185" t="s">
        <v>4357</v>
      </c>
      <c r="G1423" s="186" t="str">
        <f t="shared" si="44"/>
        <v>22RFLC</v>
      </c>
      <c r="H1423" s="187" t="str">
        <f>+INDEX([1]Detallado!$D:$D,MATCH(C1423,[1]Detallado!$B:$B,0))</f>
        <v xml:space="preserve">Alicorp </v>
      </c>
      <c r="I1423" s="28"/>
      <c r="J1423" s="184" t="str">
        <f t="shared" si="45"/>
        <v>RFLBU</v>
      </c>
    </row>
    <row r="1424" spans="3:10" x14ac:dyDescent="0.25">
      <c r="C1424" s="28" t="s">
        <v>3973</v>
      </c>
      <c r="D1424" s="188" t="str">
        <f>+INDEX([1]Detallado!$F:$F,MATCH($C1424,[1]Detallado!$B:$B,0))</f>
        <v>Renta Fija</v>
      </c>
      <c r="E1424" s="31" t="str">
        <f>+INDEX([1]Detallado!$Q:$Q,MATCH($C1424,[1]Detallado!$B:$B,0))</f>
        <v>RFLC</v>
      </c>
      <c r="F1424" s="185" t="s">
        <v>4357</v>
      </c>
      <c r="G1424" s="186" t="str">
        <f t="shared" si="44"/>
        <v>23RFLC</v>
      </c>
      <c r="H1424" s="187" t="str">
        <f>+INDEX([1]Detallado!$D:$D,MATCH(C1424,[1]Detallado!$B:$B,0))</f>
        <v xml:space="preserve">Alicorp </v>
      </c>
      <c r="I1424" s="28"/>
      <c r="J1424" s="184" t="str">
        <f t="shared" si="45"/>
        <v>RFLBU</v>
      </c>
    </row>
    <row r="1425" spans="3:10" x14ac:dyDescent="0.25">
      <c r="C1425" s="28" t="s">
        <v>3974</v>
      </c>
      <c r="D1425" s="188" t="str">
        <f>+INDEX([1]Detallado!$F:$F,MATCH($C1425,[1]Detallado!$B:$B,0))</f>
        <v>Renta Fija</v>
      </c>
      <c r="E1425" s="31" t="str">
        <f>+INDEX([1]Detallado!$Q:$Q,MATCH($C1425,[1]Detallado!$B:$B,0))</f>
        <v>RFLC</v>
      </c>
      <c r="F1425" s="185" t="s">
        <v>4357</v>
      </c>
      <c r="G1425" s="186" t="str">
        <f t="shared" si="44"/>
        <v>21RFLC</v>
      </c>
      <c r="H1425" s="187" t="str">
        <f>+INDEX([1]Detallado!$D:$D,MATCH(C1425,[1]Detallado!$B:$B,0))</f>
        <v>Banco de Crédito del Perú</v>
      </c>
      <c r="I1425" s="28"/>
      <c r="J1425" s="184" t="str">
        <f t="shared" si="45"/>
        <v>RFLBU</v>
      </c>
    </row>
    <row r="1426" spans="3:10" x14ac:dyDescent="0.25">
      <c r="C1426" s="28" t="s">
        <v>3975</v>
      </c>
      <c r="D1426" s="188" t="str">
        <f>+INDEX([1]Detallado!$F:$F,MATCH($C1426,[1]Detallado!$B:$B,0))</f>
        <v>Renta Fija</v>
      </c>
      <c r="E1426" s="31" t="str">
        <f>+INDEX([1]Detallado!$Q:$Q,MATCH($C1426,[1]Detallado!$B:$B,0))</f>
        <v>RFLC</v>
      </c>
      <c r="F1426" s="185" t="s">
        <v>4357</v>
      </c>
      <c r="G1426" s="186" t="str">
        <f t="shared" si="44"/>
        <v>21RFLC</v>
      </c>
      <c r="H1426" s="187" t="str">
        <f>+INDEX([1]Detallado!$D:$D,MATCH(C1426,[1]Detallado!$B:$B,0))</f>
        <v>Banco de Crédito del Perú</v>
      </c>
      <c r="I1426" s="28"/>
      <c r="J1426" s="184" t="str">
        <f t="shared" si="45"/>
        <v>RFLBU</v>
      </c>
    </row>
    <row r="1427" spans="3:10" x14ac:dyDescent="0.25">
      <c r="C1427" s="28" t="s">
        <v>305</v>
      </c>
      <c r="D1427" s="188" t="str">
        <f>+INDEX([1]Detallado!$F:$F,MATCH($C1427,[1]Detallado!$B:$B,0))</f>
        <v>Renta Fija</v>
      </c>
      <c r="E1427" s="31" t="str">
        <f>+INDEX([1]Detallado!$Q:$Q,MATCH($C1427,[1]Detallado!$B:$B,0))</f>
        <v>RFLC</v>
      </c>
      <c r="F1427" s="185" t="s">
        <v>4357</v>
      </c>
      <c r="G1427" s="186" t="str">
        <f t="shared" si="44"/>
        <v>22RFLC</v>
      </c>
      <c r="H1427" s="187" t="str">
        <f>+INDEX([1]Detallado!$D:$D,MATCH(C1427,[1]Detallado!$B:$B,0))</f>
        <v xml:space="preserve">Alicorp </v>
      </c>
      <c r="I1427" s="28"/>
      <c r="J1427" s="184" t="str">
        <f t="shared" si="45"/>
        <v>RFLBU</v>
      </c>
    </row>
    <row r="1428" spans="3:10" x14ac:dyDescent="0.25">
      <c r="C1428" s="28" t="s">
        <v>255</v>
      </c>
      <c r="D1428" s="188" t="str">
        <f>+INDEX([1]Detallado!$F:$F,MATCH($C1428,[1]Detallado!$B:$B,0))</f>
        <v>Renta Fija</v>
      </c>
      <c r="E1428" s="31" t="str">
        <f>+INDEX([1]Detallado!$Q:$Q,MATCH($C1428,[1]Detallado!$B:$B,0))</f>
        <v>RFLC</v>
      </c>
      <c r="F1428" s="185" t="s">
        <v>4357</v>
      </c>
      <c r="G1428" s="186" t="str">
        <f t="shared" si="44"/>
        <v>22RFLC</v>
      </c>
      <c r="H1428" s="187" t="str">
        <f>+INDEX([1]Detallado!$D:$D,MATCH(C1428,[1]Detallado!$B:$B,0))</f>
        <v>Rutas de Lima</v>
      </c>
      <c r="I1428" s="28"/>
      <c r="J1428" s="184" t="str">
        <f t="shared" si="45"/>
        <v>RFLBU</v>
      </c>
    </row>
    <row r="1429" spans="3:10" x14ac:dyDescent="0.25">
      <c r="C1429" s="28" t="s">
        <v>3976</v>
      </c>
      <c r="D1429" s="188" t="str">
        <f>+INDEX([1]Detallado!$F:$F,MATCH($C1429,[1]Detallado!$B:$B,0))</f>
        <v>Renta Fija</v>
      </c>
      <c r="E1429" s="31" t="str">
        <f>+INDEX([1]Detallado!$Q:$Q,MATCH($C1429,[1]Detallado!$B:$B,0))</f>
        <v>RFLC</v>
      </c>
      <c r="F1429" s="185" t="s">
        <v>4357</v>
      </c>
      <c r="G1429" s="186" t="str">
        <f t="shared" si="44"/>
        <v>22RFLC</v>
      </c>
      <c r="H1429" s="187" t="str">
        <f>+INDEX([1]Detallado!$D:$D,MATCH(C1429,[1]Detallado!$B:$B,0))</f>
        <v xml:space="preserve">Telefónica del Perú </v>
      </c>
      <c r="I1429" s="28"/>
      <c r="J1429" s="184" t="str">
        <f t="shared" si="45"/>
        <v>RFLBU</v>
      </c>
    </row>
    <row r="1430" spans="3:10" x14ac:dyDescent="0.25">
      <c r="C1430" s="28" t="s">
        <v>321</v>
      </c>
      <c r="D1430" s="188" t="str">
        <f>+INDEX([1]Detallado!$F:$F,MATCH($C1430,[1]Detallado!$B:$B,0))</f>
        <v>Renta Fija</v>
      </c>
      <c r="E1430" s="31" t="str">
        <f>+INDEX([1]Detallado!$Q:$Q,MATCH($C1430,[1]Detallado!$B:$B,0))</f>
        <v>RFLC</v>
      </c>
      <c r="F1430" s="185" t="s">
        <v>4357</v>
      </c>
      <c r="G1430" s="186" t="str">
        <f t="shared" si="44"/>
        <v>22RFLC</v>
      </c>
      <c r="H1430" s="187" t="str">
        <f>+INDEX([1]Detallado!$D:$D,MATCH(C1430,[1]Detallado!$B:$B,0))</f>
        <v xml:space="preserve">Telefónica del Perú </v>
      </c>
      <c r="I1430" s="28"/>
      <c r="J1430" s="184" t="str">
        <f t="shared" si="45"/>
        <v>RFLBU</v>
      </c>
    </row>
    <row r="1431" spans="3:10" x14ac:dyDescent="0.25">
      <c r="C1431" s="28" t="s">
        <v>372</v>
      </c>
      <c r="D1431" s="188" t="str">
        <f>+INDEX([1]Detallado!$F:$F,MATCH($C1431,[1]Detallado!$B:$B,0))</f>
        <v>Renta Fija</v>
      </c>
      <c r="E1431" s="31" t="str">
        <f>+INDEX([1]Detallado!$Q:$Q,MATCH($C1431,[1]Detallado!$B:$B,0))</f>
        <v>RFLC</v>
      </c>
      <c r="F1431" s="185" t="s">
        <v>4357</v>
      </c>
      <c r="G1431" s="186" t="str">
        <f t="shared" si="44"/>
        <v>25RFLC</v>
      </c>
      <c r="H1431" s="187" t="str">
        <f>+INDEX([1]Detallado!$D:$D,MATCH(C1431,[1]Detallado!$B:$B,0))</f>
        <v>Banco de Crédito del Perú</v>
      </c>
      <c r="I1431" s="28"/>
      <c r="J1431" s="184" t="str">
        <f t="shared" si="45"/>
        <v>RFLBU</v>
      </c>
    </row>
    <row r="1432" spans="3:10" x14ac:dyDescent="0.25">
      <c r="C1432" s="28" t="s">
        <v>3977</v>
      </c>
      <c r="D1432" s="188" t="str">
        <f>+INDEX([1]Detallado!$F:$F,MATCH($C1432,[1]Detallado!$B:$B,0))</f>
        <v>Renta Fija</v>
      </c>
      <c r="E1432" s="31" t="str">
        <f>+INDEX([1]Detallado!$Q:$Q,MATCH($C1432,[1]Detallado!$B:$B,0))</f>
        <v>RFLC</v>
      </c>
      <c r="F1432" s="185" t="s">
        <v>4357</v>
      </c>
      <c r="G1432" s="186" t="str">
        <f t="shared" si="44"/>
        <v>25RFLC</v>
      </c>
      <c r="H1432" s="187" t="str">
        <f>+INDEX([1]Detallado!$D:$D,MATCH(C1432,[1]Detallado!$B:$B,0))</f>
        <v>Banco de Crédito del Perú</v>
      </c>
      <c r="I1432" s="28"/>
      <c r="J1432" s="184" t="str">
        <f t="shared" si="45"/>
        <v>RFLBU</v>
      </c>
    </row>
    <row r="1433" spans="3:10" x14ac:dyDescent="0.25">
      <c r="C1433" s="28" t="s">
        <v>3978</v>
      </c>
      <c r="D1433" s="188" t="str">
        <f>+INDEX([1]Detallado!$F:$F,MATCH($C1433,[1]Detallado!$B:$B,0))</f>
        <v>Renta Fija</v>
      </c>
      <c r="E1433" s="31" t="str">
        <f>+INDEX([1]Detallado!$Q:$Q,MATCH($C1433,[1]Detallado!$B:$B,0))</f>
        <v>RFLC</v>
      </c>
      <c r="F1433" s="185" t="s">
        <v>4357</v>
      </c>
      <c r="G1433" s="186" t="str">
        <f t="shared" si="44"/>
        <v>13RFLC</v>
      </c>
      <c r="H1433" s="187" t="str">
        <f>+INDEX([1]Detallado!$D:$D,MATCH(C1433,[1]Detallado!$B:$B,0))</f>
        <v>Fondo Mi Vivienda</v>
      </c>
      <c r="I1433" s="28"/>
      <c r="J1433" s="184" t="str">
        <f t="shared" si="45"/>
        <v>RFLBU</v>
      </c>
    </row>
    <row r="1434" spans="3:10" x14ac:dyDescent="0.25">
      <c r="C1434" s="28" t="s">
        <v>3979</v>
      </c>
      <c r="D1434" s="188" t="str">
        <f>+INDEX([1]Detallado!$F:$F,MATCH($C1434,[1]Detallado!$B:$B,0))</f>
        <v>Renta Fija</v>
      </c>
      <c r="E1434" s="31" t="str">
        <f>+INDEX([1]Detallado!$Q:$Q,MATCH($C1434,[1]Detallado!$B:$B,0))</f>
        <v>RFLC</v>
      </c>
      <c r="F1434" s="185" t="s">
        <v>4357</v>
      </c>
      <c r="G1434" s="186" t="str">
        <f t="shared" si="44"/>
        <v>27RFLC</v>
      </c>
      <c r="H1434" s="187" t="str">
        <f>+INDEX([1]Detallado!$D:$D,MATCH(C1434,[1]Detallado!$B:$B,0))</f>
        <v>InRetail Shopping Malls</v>
      </c>
      <c r="I1434" s="28"/>
      <c r="J1434" s="184" t="str">
        <f t="shared" si="45"/>
        <v>RFLBU</v>
      </c>
    </row>
    <row r="1435" spans="3:10" x14ac:dyDescent="0.25">
      <c r="C1435" s="28" t="s">
        <v>3980</v>
      </c>
      <c r="D1435" s="188" t="str">
        <f>+INDEX([1]Detallado!$F:$F,MATCH($C1435,[1]Detallado!$B:$B,0))</f>
        <v>Renta Fija</v>
      </c>
      <c r="E1435" s="31" t="str">
        <f>+INDEX([1]Detallado!$Q:$Q,MATCH($C1435,[1]Detallado!$B:$B,0))</f>
        <v>RFLC</v>
      </c>
      <c r="F1435" s="185" t="s">
        <v>4357</v>
      </c>
      <c r="G1435" s="186" t="str">
        <f t="shared" si="44"/>
        <v>27RFLC</v>
      </c>
      <c r="H1435" s="187" t="str">
        <f>+INDEX([1]Detallado!$D:$D,MATCH(C1435,[1]Detallado!$B:$B,0))</f>
        <v xml:space="preserve">CRPAO Pen Trust </v>
      </c>
      <c r="I1435" s="28"/>
      <c r="J1435" s="184" t="str">
        <f t="shared" si="45"/>
        <v>RFLBU</v>
      </c>
    </row>
    <row r="1436" spans="3:10" x14ac:dyDescent="0.25">
      <c r="C1436" s="28" t="s">
        <v>3981</v>
      </c>
      <c r="D1436" s="188" t="str">
        <f>+INDEX([1]Detallado!$F:$F,MATCH($C1436,[1]Detallado!$B:$B,0))</f>
        <v>Renta Fija</v>
      </c>
      <c r="E1436" s="31" t="str">
        <f>+INDEX([1]Detallado!$Q:$Q,MATCH($C1436,[1]Detallado!$B:$B,0))</f>
        <v>RFLC</v>
      </c>
      <c r="F1436" s="185" t="s">
        <v>4357</v>
      </c>
      <c r="G1436" s="186" t="str">
        <f t="shared" si="44"/>
        <v>27RFLC</v>
      </c>
      <c r="H1436" s="187" t="str">
        <f>+INDEX([1]Detallado!$D:$D,MATCH(C1436,[1]Detallado!$B:$B,0))</f>
        <v>Emblem Finance</v>
      </c>
      <c r="I1436" s="28"/>
      <c r="J1436" s="184" t="str">
        <f t="shared" si="45"/>
        <v>RFLBU</v>
      </c>
    </row>
    <row r="1437" spans="3:10" x14ac:dyDescent="0.25">
      <c r="C1437" s="28" t="s">
        <v>3982</v>
      </c>
      <c r="D1437" s="188" t="str">
        <f>+INDEX([1]Detallado!$F:$F,MATCH($C1437,[1]Detallado!$B:$B,0))</f>
        <v>Renta Fija</v>
      </c>
      <c r="E1437" s="31" t="str">
        <f>+INDEX([1]Detallado!$Q:$Q,MATCH($C1437,[1]Detallado!$B:$B,0))</f>
        <v>RFLG</v>
      </c>
      <c r="F1437" s="185" t="s">
        <v>4356</v>
      </c>
      <c r="G1437" s="186" t="str">
        <f t="shared" si="44"/>
        <v>56RFLG</v>
      </c>
      <c r="H1437" s="187" t="str">
        <f>+INDEX([1]Detallado!$D:$D,MATCH(C1437,[1]Detallado!$B:$B,0))</f>
        <v>Gobierno Central</v>
      </c>
      <c r="I1437" s="28"/>
      <c r="J1437" s="184" t="str">
        <f t="shared" si="45"/>
        <v>RFLGOB</v>
      </c>
    </row>
    <row r="1438" spans="3:10" x14ac:dyDescent="0.25">
      <c r="C1438" s="28" t="s">
        <v>3983</v>
      </c>
      <c r="D1438" s="188" t="str">
        <f>+INDEX([1]Detallado!$F:$F,MATCH($C1438,[1]Detallado!$B:$B,0))</f>
        <v>Renta Fija</v>
      </c>
      <c r="E1438" s="31" t="str">
        <f>+INDEX([1]Detallado!$Q:$Q,MATCH($C1438,[1]Detallado!$B:$B,0))</f>
        <v>RFLG</v>
      </c>
      <c r="F1438" s="185" t="s">
        <v>4356</v>
      </c>
      <c r="G1438" s="186" t="str">
        <f t="shared" si="44"/>
        <v>56RFLG</v>
      </c>
      <c r="H1438" s="187" t="str">
        <f>+INDEX([1]Detallado!$D:$D,MATCH(C1438,[1]Detallado!$B:$B,0))</f>
        <v>Gobierno Central</v>
      </c>
      <c r="I1438" s="28"/>
      <c r="J1438" s="184" t="str">
        <f t="shared" si="45"/>
        <v>RFLGOB</v>
      </c>
    </row>
    <row r="1439" spans="3:10" x14ac:dyDescent="0.25">
      <c r="C1439" s="28" t="s">
        <v>3984</v>
      </c>
      <c r="D1439" s="188" t="str">
        <f>+INDEX([1]Detallado!$F:$F,MATCH($C1439,[1]Detallado!$B:$B,0))</f>
        <v>Renta Fija</v>
      </c>
      <c r="E1439" s="31" t="str">
        <f>+INDEX([1]Detallado!$Q:$Q,MATCH($C1439,[1]Detallado!$B:$B,0))</f>
        <v>RFLG</v>
      </c>
      <c r="F1439" s="185" t="s">
        <v>4355</v>
      </c>
      <c r="G1439" s="186" t="str">
        <f t="shared" si="44"/>
        <v>64RFLG</v>
      </c>
      <c r="H1439" s="187" t="str">
        <f>+INDEX([1]Detallado!$D:$D,MATCH(C1439,[1]Detallado!$B:$B,0))</f>
        <v>Gobierno Central</v>
      </c>
      <c r="I1439" s="28"/>
      <c r="J1439" s="184" t="str">
        <f t="shared" si="45"/>
        <v>RFLTD</v>
      </c>
    </row>
    <row r="1440" spans="3:10" x14ac:dyDescent="0.25">
      <c r="C1440" s="28" t="s">
        <v>3985</v>
      </c>
      <c r="D1440" s="188" t="str">
        <f>+INDEX([1]Detallado!$F:$F,MATCH($C1440,[1]Detallado!$B:$B,0))</f>
        <v>Renta Fija</v>
      </c>
      <c r="E1440" s="31" t="str">
        <f>+INDEX([1]Detallado!$Q:$Q,MATCH($C1440,[1]Detallado!$B:$B,0))</f>
        <v>RFLG</v>
      </c>
      <c r="F1440" s="185" t="s">
        <v>4355</v>
      </c>
      <c r="G1440" s="186" t="str">
        <f t="shared" si="44"/>
        <v>64RFLG</v>
      </c>
      <c r="H1440" s="187" t="str">
        <f>+INDEX([1]Detallado!$D:$D,MATCH(C1440,[1]Detallado!$B:$B,0))</f>
        <v>Gobierno Central</v>
      </c>
      <c r="I1440" s="28"/>
      <c r="J1440" s="184" t="str">
        <f t="shared" si="45"/>
        <v>RFLTD</v>
      </c>
    </row>
    <row r="1441" spans="3:10" x14ac:dyDescent="0.25">
      <c r="C1441" s="28" t="s">
        <v>3986</v>
      </c>
      <c r="D1441" s="188" t="str">
        <f>+INDEX([1]Detallado!$F:$F,MATCH($C1441,[1]Detallado!$B:$B,0))</f>
        <v>Renta Fija</v>
      </c>
      <c r="E1441" s="31" t="str">
        <f>+INDEX([1]Detallado!$Q:$Q,MATCH($C1441,[1]Detallado!$B:$B,0))</f>
        <v>RFLG</v>
      </c>
      <c r="F1441" s="185" t="s">
        <v>4355</v>
      </c>
      <c r="G1441" s="186" t="str">
        <f t="shared" si="44"/>
        <v>64RFLG</v>
      </c>
      <c r="H1441" s="187" t="str">
        <f>+INDEX([1]Detallado!$D:$D,MATCH(C1441,[1]Detallado!$B:$B,0))</f>
        <v>Gobierno Central</v>
      </c>
      <c r="I1441" s="28"/>
      <c r="J1441" s="184" t="str">
        <f t="shared" si="45"/>
        <v>RFLTD</v>
      </c>
    </row>
    <row r="1442" spans="3:10" x14ac:dyDescent="0.25">
      <c r="C1442" s="28" t="s">
        <v>3987</v>
      </c>
      <c r="D1442" s="188" t="str">
        <f>+INDEX([1]Detallado!$F:$F,MATCH($C1442,[1]Detallado!$B:$B,0))</f>
        <v>Renta Fija</v>
      </c>
      <c r="E1442" s="31" t="str">
        <f>+INDEX([1]Detallado!$Q:$Q,MATCH($C1442,[1]Detallado!$B:$B,0))</f>
        <v>RFLG</v>
      </c>
      <c r="F1442" s="185" t="s">
        <v>4355</v>
      </c>
      <c r="G1442" s="186" t="str">
        <f t="shared" si="44"/>
        <v>64RFLG</v>
      </c>
      <c r="H1442" s="187" t="str">
        <f>+INDEX([1]Detallado!$D:$D,MATCH(C1442,[1]Detallado!$B:$B,0))</f>
        <v>Gobierno Central</v>
      </c>
      <c r="I1442" s="28"/>
      <c r="J1442" s="184" t="str">
        <f t="shared" si="45"/>
        <v>RFLTD</v>
      </c>
    </row>
    <row r="1443" spans="3:10" x14ac:dyDescent="0.25">
      <c r="C1443" s="28" t="s">
        <v>3988</v>
      </c>
      <c r="D1443" s="188" t="str">
        <f>+INDEX([1]Detallado!$F:$F,MATCH($C1443,[1]Detallado!$B:$B,0))</f>
        <v>Renta Fija</v>
      </c>
      <c r="E1443" s="31" t="str">
        <f>+INDEX([1]Detallado!$Q:$Q,MATCH($C1443,[1]Detallado!$B:$B,0))</f>
        <v>RFLG</v>
      </c>
      <c r="F1443" s="185" t="s">
        <v>4355</v>
      </c>
      <c r="G1443" s="186" t="str">
        <f t="shared" si="44"/>
        <v>64RFLG</v>
      </c>
      <c r="H1443" s="187" t="str">
        <f>+INDEX([1]Detallado!$D:$D,MATCH(C1443,[1]Detallado!$B:$B,0))</f>
        <v>Gobierno Central</v>
      </c>
      <c r="I1443" s="28"/>
      <c r="J1443" s="184" t="str">
        <f t="shared" si="45"/>
        <v>RFLTD</v>
      </c>
    </row>
    <row r="1444" spans="3:10" x14ac:dyDescent="0.25">
      <c r="C1444" s="28" t="s">
        <v>3989</v>
      </c>
      <c r="D1444" s="188" t="str">
        <f>+INDEX([1]Detallado!$F:$F,MATCH($C1444,[1]Detallado!$B:$B,0))</f>
        <v>Renta Fija</v>
      </c>
      <c r="E1444" s="31" t="str">
        <f>+INDEX([1]Detallado!$Q:$Q,MATCH($C1444,[1]Detallado!$B:$B,0))</f>
        <v>RFLG</v>
      </c>
      <c r="F1444" s="185" t="s">
        <v>4355</v>
      </c>
      <c r="G1444" s="186" t="str">
        <f t="shared" si="44"/>
        <v>64RFLG</v>
      </c>
      <c r="H1444" s="187" t="str">
        <f>+INDEX([1]Detallado!$D:$D,MATCH(C1444,[1]Detallado!$B:$B,0))</f>
        <v>Gobierno Central</v>
      </c>
      <c r="I1444" s="28"/>
      <c r="J1444" s="184" t="str">
        <f t="shared" si="45"/>
        <v>RFLTD</v>
      </c>
    </row>
    <row r="1445" spans="3:10" x14ac:dyDescent="0.25">
      <c r="C1445" s="28" t="s">
        <v>3990</v>
      </c>
      <c r="D1445" s="188" t="str">
        <f>+INDEX([1]Detallado!$F:$F,MATCH($C1445,[1]Detallado!$B:$B,0))</f>
        <v>Renta Fija</v>
      </c>
      <c r="E1445" s="31" t="str">
        <f>+INDEX([1]Detallado!$Q:$Q,MATCH($C1445,[1]Detallado!$B:$B,0))</f>
        <v>RFLG</v>
      </c>
      <c r="F1445" s="185" t="s">
        <v>4355</v>
      </c>
      <c r="G1445" s="186" t="str">
        <f t="shared" si="44"/>
        <v>64RFLG</v>
      </c>
      <c r="H1445" s="187" t="str">
        <f>+INDEX([1]Detallado!$D:$D,MATCH(C1445,[1]Detallado!$B:$B,0))</f>
        <v>Gobierno Central</v>
      </c>
      <c r="I1445" s="28"/>
      <c r="J1445" s="184" t="str">
        <f t="shared" si="45"/>
        <v>RFLTD</v>
      </c>
    </row>
    <row r="1446" spans="3:10" x14ac:dyDescent="0.25">
      <c r="C1446" s="28" t="s">
        <v>3991</v>
      </c>
      <c r="D1446" s="188" t="str">
        <f>+INDEX([1]Detallado!$F:$F,MATCH($C1446,[1]Detallado!$B:$B,0))</f>
        <v>Renta Fija</v>
      </c>
      <c r="E1446" s="31" t="str">
        <f>+INDEX([1]Detallado!$Q:$Q,MATCH($C1446,[1]Detallado!$B:$B,0))</f>
        <v>RFLG</v>
      </c>
      <c r="F1446" s="185" t="s">
        <v>4355</v>
      </c>
      <c r="G1446" s="186" t="str">
        <f t="shared" si="44"/>
        <v>64RFLG</v>
      </c>
      <c r="H1446" s="187" t="str">
        <f>+INDEX([1]Detallado!$D:$D,MATCH(C1446,[1]Detallado!$B:$B,0))</f>
        <v>Gobierno Central</v>
      </c>
      <c r="I1446" s="28"/>
      <c r="J1446" s="184" t="str">
        <f t="shared" si="45"/>
        <v>RFLTD</v>
      </c>
    </row>
    <row r="1447" spans="3:10" x14ac:dyDescent="0.25">
      <c r="C1447" s="28" t="s">
        <v>3992</v>
      </c>
      <c r="D1447" s="188" t="str">
        <f>+INDEX([1]Detallado!$F:$F,MATCH($C1447,[1]Detallado!$B:$B,0))</f>
        <v>Renta Fija</v>
      </c>
      <c r="E1447" s="31" t="str">
        <f>+INDEX([1]Detallado!$Q:$Q,MATCH($C1447,[1]Detallado!$B:$B,0))</f>
        <v>RFLG</v>
      </c>
      <c r="F1447" s="185" t="s">
        <v>4355</v>
      </c>
      <c r="G1447" s="186" t="str">
        <f t="shared" si="44"/>
        <v>64RFLG</v>
      </c>
      <c r="H1447" s="187" t="str">
        <f>+INDEX([1]Detallado!$D:$D,MATCH(C1447,[1]Detallado!$B:$B,0))</f>
        <v>Gobierno Central</v>
      </c>
      <c r="I1447" s="28"/>
      <c r="J1447" s="184" t="str">
        <f t="shared" si="45"/>
        <v>RFLTD</v>
      </c>
    </row>
    <row r="1448" spans="3:10" x14ac:dyDescent="0.25">
      <c r="C1448" s="28" t="s">
        <v>3993</v>
      </c>
      <c r="D1448" s="188" t="str">
        <f>+INDEX([1]Detallado!$F:$F,MATCH($C1448,[1]Detallado!$B:$B,0))</f>
        <v>Renta Fija</v>
      </c>
      <c r="E1448" s="31" t="str">
        <f>+INDEX([1]Detallado!$Q:$Q,MATCH($C1448,[1]Detallado!$B:$B,0))</f>
        <v>RFLG</v>
      </c>
      <c r="F1448" s="185" t="s">
        <v>4355</v>
      </c>
      <c r="G1448" s="186" t="str">
        <f t="shared" si="44"/>
        <v>64RFLG</v>
      </c>
      <c r="H1448" s="187" t="str">
        <f>+INDEX([1]Detallado!$D:$D,MATCH(C1448,[1]Detallado!$B:$B,0))</f>
        <v>Gobierno Central</v>
      </c>
      <c r="I1448" s="28"/>
      <c r="J1448" s="184" t="str">
        <f t="shared" si="45"/>
        <v>RFLTD</v>
      </c>
    </row>
    <row r="1449" spans="3:10" x14ac:dyDescent="0.25">
      <c r="C1449" s="28" t="s">
        <v>3994</v>
      </c>
      <c r="D1449" s="188" t="str">
        <f>+INDEX([1]Detallado!$F:$F,MATCH($C1449,[1]Detallado!$B:$B,0))</f>
        <v>Renta Fija</v>
      </c>
      <c r="E1449" s="31" t="str">
        <f>+INDEX([1]Detallado!$Q:$Q,MATCH($C1449,[1]Detallado!$B:$B,0))</f>
        <v>RFLG</v>
      </c>
      <c r="F1449" s="185" t="s">
        <v>4355</v>
      </c>
      <c r="G1449" s="186" t="str">
        <f t="shared" si="44"/>
        <v>64RFLG</v>
      </c>
      <c r="H1449" s="187" t="str">
        <f>+INDEX([1]Detallado!$D:$D,MATCH(C1449,[1]Detallado!$B:$B,0))</f>
        <v>Gobierno Central</v>
      </c>
      <c r="I1449" s="28"/>
      <c r="J1449" s="184" t="str">
        <f t="shared" si="45"/>
        <v>RFLTD</v>
      </c>
    </row>
    <row r="1450" spans="3:10" x14ac:dyDescent="0.25">
      <c r="C1450" s="28" t="s">
        <v>3995</v>
      </c>
      <c r="D1450" s="188" t="str">
        <f>+INDEX([1]Detallado!$F:$F,MATCH($C1450,[1]Detallado!$B:$B,0))</f>
        <v>Renta Fija</v>
      </c>
      <c r="E1450" s="31" t="str">
        <f>+INDEX([1]Detallado!$Q:$Q,MATCH($C1450,[1]Detallado!$B:$B,0))</f>
        <v>RFLG</v>
      </c>
      <c r="F1450" s="185" t="s">
        <v>4355</v>
      </c>
      <c r="G1450" s="186" t="str">
        <f t="shared" si="44"/>
        <v>64RFLG</v>
      </c>
      <c r="H1450" s="187" t="str">
        <f>+INDEX([1]Detallado!$D:$D,MATCH(C1450,[1]Detallado!$B:$B,0))</f>
        <v>Gobierno Central</v>
      </c>
      <c r="I1450" s="28"/>
      <c r="J1450" s="184" t="str">
        <f t="shared" si="45"/>
        <v>RFLTD</v>
      </c>
    </row>
    <row r="1451" spans="3:10" x14ac:dyDescent="0.25">
      <c r="C1451" s="28" t="s">
        <v>3996</v>
      </c>
      <c r="D1451" s="188" t="str">
        <f>+INDEX([1]Detallado!$F:$F,MATCH($C1451,[1]Detallado!$B:$B,0))</f>
        <v>Renta Fija</v>
      </c>
      <c r="E1451" s="31" t="str">
        <f>+INDEX([1]Detallado!$Q:$Q,MATCH($C1451,[1]Detallado!$B:$B,0))</f>
        <v>RFLG</v>
      </c>
      <c r="F1451" s="185" t="s">
        <v>4355</v>
      </c>
      <c r="G1451" s="186" t="str">
        <f t="shared" si="44"/>
        <v>64RFLG</v>
      </c>
      <c r="H1451" s="187" t="str">
        <f>+INDEX([1]Detallado!$D:$D,MATCH(C1451,[1]Detallado!$B:$B,0))</f>
        <v>Gobierno Central</v>
      </c>
      <c r="I1451" s="28"/>
      <c r="J1451" s="184" t="str">
        <f t="shared" si="45"/>
        <v>RFLTD</v>
      </c>
    </row>
    <row r="1452" spans="3:10" x14ac:dyDescent="0.25">
      <c r="C1452" s="28" t="s">
        <v>3997</v>
      </c>
      <c r="D1452" s="188" t="str">
        <f>+INDEX([1]Detallado!$F:$F,MATCH($C1452,[1]Detallado!$B:$B,0))</f>
        <v>Renta Fija</v>
      </c>
      <c r="E1452" s="31" t="str">
        <f>+INDEX([1]Detallado!$Q:$Q,MATCH($C1452,[1]Detallado!$B:$B,0))</f>
        <v>RFLG</v>
      </c>
      <c r="F1452" s="185" t="s">
        <v>4355</v>
      </c>
      <c r="G1452" s="186" t="str">
        <f t="shared" si="44"/>
        <v>64RFLG</v>
      </c>
      <c r="H1452" s="187" t="str">
        <f>+INDEX([1]Detallado!$D:$D,MATCH(C1452,[1]Detallado!$B:$B,0))</f>
        <v>Gobierno Central</v>
      </c>
      <c r="I1452" s="28"/>
      <c r="J1452" s="184" t="str">
        <f t="shared" si="45"/>
        <v>RFLTD</v>
      </c>
    </row>
    <row r="1453" spans="3:10" x14ac:dyDescent="0.25">
      <c r="C1453" s="28" t="s">
        <v>3998</v>
      </c>
      <c r="D1453" s="188" t="str">
        <f>+INDEX([1]Detallado!$F:$F,MATCH($C1453,[1]Detallado!$B:$B,0))</f>
        <v>Renta Fija</v>
      </c>
      <c r="E1453" s="31" t="str">
        <f>+INDEX([1]Detallado!$Q:$Q,MATCH($C1453,[1]Detallado!$B:$B,0))</f>
        <v>RFLG</v>
      </c>
      <c r="F1453" s="185" t="s">
        <v>4355</v>
      </c>
      <c r="G1453" s="186" t="str">
        <f t="shared" si="44"/>
        <v>64RFLG</v>
      </c>
      <c r="H1453" s="187" t="str">
        <f>+INDEX([1]Detallado!$D:$D,MATCH(C1453,[1]Detallado!$B:$B,0))</f>
        <v>Gobierno Central</v>
      </c>
      <c r="I1453" s="28"/>
      <c r="J1453" s="184" t="str">
        <f t="shared" si="45"/>
        <v>RFLTD</v>
      </c>
    </row>
    <row r="1454" spans="3:10" x14ac:dyDescent="0.25">
      <c r="C1454" s="28" t="s">
        <v>3999</v>
      </c>
      <c r="D1454" s="188" t="str">
        <f>+INDEX([1]Detallado!$F:$F,MATCH($C1454,[1]Detallado!$B:$B,0))</f>
        <v>Renta Fija</v>
      </c>
      <c r="E1454" s="31" t="str">
        <f>+INDEX([1]Detallado!$Q:$Q,MATCH($C1454,[1]Detallado!$B:$B,0))</f>
        <v>RFLG</v>
      </c>
      <c r="F1454" s="185" t="s">
        <v>4355</v>
      </c>
      <c r="G1454" s="186" t="str">
        <f t="shared" si="44"/>
        <v>64RFLG</v>
      </c>
      <c r="H1454" s="187" t="str">
        <f>+INDEX([1]Detallado!$D:$D,MATCH(C1454,[1]Detallado!$B:$B,0))</f>
        <v>Gobierno Central</v>
      </c>
      <c r="I1454" s="28"/>
      <c r="J1454" s="184" t="str">
        <f t="shared" si="45"/>
        <v>RFLTD</v>
      </c>
    </row>
    <row r="1455" spans="3:10" x14ac:dyDescent="0.25">
      <c r="C1455" s="28" t="s">
        <v>4000</v>
      </c>
      <c r="D1455" s="188" t="str">
        <f>+INDEX([1]Detallado!$F:$F,MATCH($C1455,[1]Detallado!$B:$B,0))</f>
        <v>Renta Fija</v>
      </c>
      <c r="E1455" s="31" t="str">
        <f>+INDEX([1]Detallado!$Q:$Q,MATCH($C1455,[1]Detallado!$B:$B,0))</f>
        <v>RFLG</v>
      </c>
      <c r="F1455" s="185" t="s">
        <v>4355</v>
      </c>
      <c r="G1455" s="186" t="str">
        <f t="shared" si="44"/>
        <v>64RFLG</v>
      </c>
      <c r="H1455" s="187" t="str">
        <f>+INDEX([1]Detallado!$D:$D,MATCH(C1455,[1]Detallado!$B:$B,0))</f>
        <v>Gobierno Central</v>
      </c>
      <c r="I1455" s="28"/>
      <c r="J1455" s="184" t="str">
        <f t="shared" si="45"/>
        <v>RFLTD</v>
      </c>
    </row>
    <row r="1456" spans="3:10" x14ac:dyDescent="0.25">
      <c r="C1456" s="28" t="s">
        <v>4001</v>
      </c>
      <c r="D1456" s="188" t="str">
        <f>+INDEX([1]Detallado!$F:$F,MATCH($C1456,[1]Detallado!$B:$B,0))</f>
        <v>Renta Fija</v>
      </c>
      <c r="E1456" s="31" t="str">
        <f>+INDEX([1]Detallado!$Q:$Q,MATCH($C1456,[1]Detallado!$B:$B,0))</f>
        <v>RFLG</v>
      </c>
      <c r="F1456" s="185" t="s">
        <v>4355</v>
      </c>
      <c r="G1456" s="186" t="str">
        <f t="shared" si="44"/>
        <v>64RFLG</v>
      </c>
      <c r="H1456" s="187" t="str">
        <f>+INDEX([1]Detallado!$D:$D,MATCH(C1456,[1]Detallado!$B:$B,0))</f>
        <v>Gobierno Central</v>
      </c>
      <c r="I1456" s="28"/>
      <c r="J1456" s="184" t="str">
        <f t="shared" si="45"/>
        <v>RFLTD</v>
      </c>
    </row>
    <row r="1457" spans="3:10" x14ac:dyDescent="0.25">
      <c r="C1457" s="28" t="s">
        <v>4002</v>
      </c>
      <c r="D1457" s="188" t="str">
        <f>+INDEX([1]Detallado!$F:$F,MATCH($C1457,[1]Detallado!$B:$B,0))</f>
        <v>Renta Fija</v>
      </c>
      <c r="E1457" s="31" t="str">
        <f>+INDEX([1]Detallado!$Q:$Q,MATCH($C1457,[1]Detallado!$B:$B,0))</f>
        <v>RFLG</v>
      </c>
      <c r="F1457" s="185" t="s">
        <v>4355</v>
      </c>
      <c r="G1457" s="186" t="str">
        <f t="shared" si="44"/>
        <v>64RFLG</v>
      </c>
      <c r="H1457" s="187" t="str">
        <f>+INDEX([1]Detallado!$D:$D,MATCH(C1457,[1]Detallado!$B:$B,0))</f>
        <v>Gobierno Central</v>
      </c>
      <c r="I1457" s="28"/>
      <c r="J1457" s="184" t="str">
        <f t="shared" si="45"/>
        <v>RFLTD</v>
      </c>
    </row>
    <row r="1458" spans="3:10" x14ac:dyDescent="0.25">
      <c r="C1458" s="28" t="s">
        <v>4003</v>
      </c>
      <c r="D1458" s="188" t="str">
        <f>+INDEX([1]Detallado!$F:$F,MATCH($C1458,[1]Detallado!$B:$B,0))</f>
        <v>Renta Fija</v>
      </c>
      <c r="E1458" s="31" t="str">
        <f>+INDEX([1]Detallado!$Q:$Q,MATCH($C1458,[1]Detallado!$B:$B,0))</f>
        <v>RFLG</v>
      </c>
      <c r="F1458" s="185" t="s">
        <v>4355</v>
      </c>
      <c r="G1458" s="186" t="str">
        <f t="shared" si="44"/>
        <v>64RFLG</v>
      </c>
      <c r="H1458" s="187" t="str">
        <f>+INDEX([1]Detallado!$D:$D,MATCH(C1458,[1]Detallado!$B:$B,0))</f>
        <v>Gobierno Central</v>
      </c>
      <c r="I1458" s="28"/>
      <c r="J1458" s="184" t="str">
        <f t="shared" si="45"/>
        <v>RFLTD</v>
      </c>
    </row>
    <row r="1459" spans="3:10" x14ac:dyDescent="0.25">
      <c r="C1459" s="28" t="s">
        <v>4004</v>
      </c>
      <c r="D1459" s="188" t="str">
        <f>+INDEX([1]Detallado!$F:$F,MATCH($C1459,[1]Detallado!$B:$B,0))</f>
        <v>Renta Fija</v>
      </c>
      <c r="E1459" s="31" t="str">
        <f>+INDEX([1]Detallado!$Q:$Q,MATCH($C1459,[1]Detallado!$B:$B,0))</f>
        <v>RFLG</v>
      </c>
      <c r="F1459" s="185" t="s">
        <v>4355</v>
      </c>
      <c r="G1459" s="186" t="str">
        <f t="shared" si="44"/>
        <v>64RFLG</v>
      </c>
      <c r="H1459" s="187" t="str">
        <f>+INDEX([1]Detallado!$D:$D,MATCH(C1459,[1]Detallado!$B:$B,0))</f>
        <v>Gobierno Central</v>
      </c>
      <c r="I1459" s="28"/>
      <c r="J1459" s="184" t="str">
        <f t="shared" si="45"/>
        <v>RFLTD</v>
      </c>
    </row>
    <row r="1460" spans="3:10" x14ac:dyDescent="0.25">
      <c r="C1460" s="28" t="s">
        <v>4005</v>
      </c>
      <c r="D1460" s="188" t="str">
        <f>+INDEX([1]Detallado!$F:$F,MATCH($C1460,[1]Detallado!$B:$B,0))</f>
        <v>Renta Fija</v>
      </c>
      <c r="E1460" s="31" t="str">
        <f>+INDEX([1]Detallado!$Q:$Q,MATCH($C1460,[1]Detallado!$B:$B,0))</f>
        <v>RFLG</v>
      </c>
      <c r="F1460" s="185" t="s">
        <v>4355</v>
      </c>
      <c r="G1460" s="186" t="str">
        <f t="shared" si="44"/>
        <v>64RFLG</v>
      </c>
      <c r="H1460" s="187" t="str">
        <f>+INDEX([1]Detallado!$D:$D,MATCH(C1460,[1]Detallado!$B:$B,0))</f>
        <v>Gobierno Central</v>
      </c>
      <c r="I1460" s="28"/>
      <c r="J1460" s="184" t="str">
        <f t="shared" si="45"/>
        <v>RFLTD</v>
      </c>
    </row>
    <row r="1461" spans="3:10" x14ac:dyDescent="0.25">
      <c r="C1461" s="28" t="s">
        <v>4006</v>
      </c>
      <c r="D1461" s="188" t="str">
        <f>+INDEX([1]Detallado!$F:$F,MATCH($C1461,[1]Detallado!$B:$B,0))</f>
        <v>Renta Fija</v>
      </c>
      <c r="E1461" s="31" t="str">
        <f>+INDEX([1]Detallado!$Q:$Q,MATCH($C1461,[1]Detallado!$B:$B,0))</f>
        <v>RFLG</v>
      </c>
      <c r="F1461" s="185" t="s">
        <v>4355</v>
      </c>
      <c r="G1461" s="186" t="str">
        <f t="shared" si="44"/>
        <v>64RFLG</v>
      </c>
      <c r="H1461" s="187" t="str">
        <f>+INDEX([1]Detallado!$D:$D,MATCH(C1461,[1]Detallado!$B:$B,0))</f>
        <v>Gobierno Central</v>
      </c>
      <c r="I1461" s="28"/>
      <c r="J1461" s="184" t="str">
        <f t="shared" si="45"/>
        <v>RFLTD</v>
      </c>
    </row>
    <row r="1462" spans="3:10" x14ac:dyDescent="0.25">
      <c r="C1462" s="28" t="s">
        <v>4007</v>
      </c>
      <c r="D1462" s="188" t="str">
        <f>+INDEX([1]Detallado!$F:$F,MATCH($C1462,[1]Detallado!$B:$B,0))</f>
        <v>Renta Fija</v>
      </c>
      <c r="E1462" s="31" t="str">
        <f>+INDEX([1]Detallado!$Q:$Q,MATCH($C1462,[1]Detallado!$B:$B,0))</f>
        <v>RFLG</v>
      </c>
      <c r="F1462" s="185" t="s">
        <v>4355</v>
      </c>
      <c r="G1462" s="186" t="str">
        <f t="shared" si="44"/>
        <v>64RFLG</v>
      </c>
      <c r="H1462" s="187" t="str">
        <f>+INDEX([1]Detallado!$D:$D,MATCH(C1462,[1]Detallado!$B:$B,0))</f>
        <v>Gobierno Central</v>
      </c>
      <c r="I1462" s="28"/>
      <c r="J1462" s="184" t="str">
        <f t="shared" si="45"/>
        <v>RFLTD</v>
      </c>
    </row>
    <row r="1463" spans="3:10" x14ac:dyDescent="0.25">
      <c r="C1463" s="28" t="s">
        <v>4008</v>
      </c>
      <c r="D1463" s="188" t="str">
        <f>+INDEX([1]Detallado!$F:$F,MATCH($C1463,[1]Detallado!$B:$B,0))</f>
        <v>Renta Fija</v>
      </c>
      <c r="E1463" s="31" t="str">
        <f>+INDEX([1]Detallado!$Q:$Q,MATCH($C1463,[1]Detallado!$B:$B,0))</f>
        <v>RFLG</v>
      </c>
      <c r="F1463" s="185" t="s">
        <v>4355</v>
      </c>
      <c r="G1463" s="186" t="str">
        <f t="shared" si="44"/>
        <v>64RFLG</v>
      </c>
      <c r="H1463" s="187" t="str">
        <f>+INDEX([1]Detallado!$D:$D,MATCH(C1463,[1]Detallado!$B:$B,0))</f>
        <v>Gobierno Central</v>
      </c>
      <c r="I1463" s="28"/>
      <c r="J1463" s="184" t="str">
        <f t="shared" si="45"/>
        <v>RFLTD</v>
      </c>
    </row>
    <row r="1464" spans="3:10" x14ac:dyDescent="0.25">
      <c r="C1464" s="28" t="s">
        <v>4009</v>
      </c>
      <c r="D1464" s="188" t="str">
        <f>+INDEX([1]Detallado!$F:$F,MATCH($C1464,[1]Detallado!$B:$B,0))</f>
        <v>Renta Fija</v>
      </c>
      <c r="E1464" s="31" t="str">
        <f>+INDEX([1]Detallado!$Q:$Q,MATCH($C1464,[1]Detallado!$B:$B,0))</f>
        <v>RFLG</v>
      </c>
      <c r="F1464" s="185" t="s">
        <v>4355</v>
      </c>
      <c r="G1464" s="186" t="str">
        <f t="shared" si="44"/>
        <v>64RFLG</v>
      </c>
      <c r="H1464" s="187" t="str">
        <f>+INDEX([1]Detallado!$D:$D,MATCH(C1464,[1]Detallado!$B:$B,0))</f>
        <v>Gobierno Central</v>
      </c>
      <c r="I1464" s="28"/>
      <c r="J1464" s="184" t="str">
        <f t="shared" si="45"/>
        <v>RFLTD</v>
      </c>
    </row>
    <row r="1465" spans="3:10" x14ac:dyDescent="0.25">
      <c r="C1465" s="28" t="s">
        <v>4010</v>
      </c>
      <c r="D1465" s="188" t="str">
        <f>+INDEX([1]Detallado!$F:$F,MATCH($C1465,[1]Detallado!$B:$B,0))</f>
        <v>Renta Fija</v>
      </c>
      <c r="E1465" s="31" t="str">
        <f>+INDEX([1]Detallado!$Q:$Q,MATCH($C1465,[1]Detallado!$B:$B,0))</f>
        <v>RFLG</v>
      </c>
      <c r="F1465" s="185" t="s">
        <v>4355</v>
      </c>
      <c r="G1465" s="186" t="str">
        <f t="shared" si="44"/>
        <v>64RFLG</v>
      </c>
      <c r="H1465" s="187" t="str">
        <f>+INDEX([1]Detallado!$D:$D,MATCH(C1465,[1]Detallado!$B:$B,0))</f>
        <v>Gobierno Central</v>
      </c>
      <c r="I1465" s="28"/>
      <c r="J1465" s="184" t="str">
        <f t="shared" si="45"/>
        <v>RFLTD</v>
      </c>
    </row>
    <row r="1466" spans="3:10" x14ac:dyDescent="0.25">
      <c r="C1466" s="28" t="s">
        <v>4011</v>
      </c>
      <c r="D1466" s="188" t="str">
        <f>+INDEX([1]Detallado!$F:$F,MATCH($C1466,[1]Detallado!$B:$B,0))</f>
        <v>Renta Fija</v>
      </c>
      <c r="E1466" s="31" t="str">
        <f>+INDEX([1]Detallado!$Q:$Q,MATCH($C1466,[1]Detallado!$B:$B,0))</f>
        <v>RFLG</v>
      </c>
      <c r="F1466" s="185" t="s">
        <v>4355</v>
      </c>
      <c r="G1466" s="186" t="str">
        <f t="shared" si="44"/>
        <v>64RFLG</v>
      </c>
      <c r="H1466" s="187" t="str">
        <f>+INDEX([1]Detallado!$D:$D,MATCH(C1466,[1]Detallado!$B:$B,0))</f>
        <v>Gobierno Central</v>
      </c>
      <c r="I1466" s="28"/>
      <c r="J1466" s="184" t="str">
        <f t="shared" si="45"/>
        <v>RFLTD</v>
      </c>
    </row>
    <row r="1467" spans="3:10" x14ac:dyDescent="0.25">
      <c r="C1467" s="28" t="s">
        <v>4012</v>
      </c>
      <c r="D1467" s="188" t="str">
        <f>+INDEX([1]Detallado!$F:$F,MATCH($C1467,[1]Detallado!$B:$B,0))</f>
        <v>Renta Fija</v>
      </c>
      <c r="E1467" s="31" t="str">
        <f>+INDEX([1]Detallado!$Q:$Q,MATCH($C1467,[1]Detallado!$B:$B,0))</f>
        <v>RFLG</v>
      </c>
      <c r="F1467" s="185" t="s">
        <v>4355</v>
      </c>
      <c r="G1467" s="186" t="str">
        <f t="shared" si="44"/>
        <v>64RFLG</v>
      </c>
      <c r="H1467" s="187" t="str">
        <f>+INDEX([1]Detallado!$D:$D,MATCH(C1467,[1]Detallado!$B:$B,0))</f>
        <v>Gobierno Central</v>
      </c>
      <c r="I1467" s="28"/>
      <c r="J1467" s="184" t="str">
        <f t="shared" si="45"/>
        <v>RFLTD</v>
      </c>
    </row>
    <row r="1468" spans="3:10" x14ac:dyDescent="0.25">
      <c r="C1468" s="28" t="s">
        <v>4013</v>
      </c>
      <c r="D1468" s="188" t="str">
        <f>+INDEX([1]Detallado!$F:$F,MATCH($C1468,[1]Detallado!$B:$B,0))</f>
        <v>Renta Fija</v>
      </c>
      <c r="E1468" s="31" t="str">
        <f>+INDEX([1]Detallado!$Q:$Q,MATCH($C1468,[1]Detallado!$B:$B,0))</f>
        <v>RFLG</v>
      </c>
      <c r="F1468" s="185" t="s">
        <v>4355</v>
      </c>
      <c r="G1468" s="186" t="str">
        <f t="shared" si="44"/>
        <v>77RFLG</v>
      </c>
      <c r="H1468" s="187" t="str">
        <f>+INDEX([1]Detallado!$D:$D,MATCH(C1468,[1]Detallado!$B:$B,0))</f>
        <v>Gobierno Central</v>
      </c>
      <c r="I1468" s="28"/>
      <c r="J1468" s="184" t="str">
        <f t="shared" si="45"/>
        <v>RFLTD</v>
      </c>
    </row>
    <row r="1469" spans="3:10" x14ac:dyDescent="0.25">
      <c r="C1469" s="28" t="s">
        <v>4014</v>
      </c>
      <c r="D1469" s="188" t="str">
        <f>+INDEX([1]Detallado!$F:$F,MATCH($C1469,[1]Detallado!$B:$B,0))</f>
        <v>Renta Fija</v>
      </c>
      <c r="E1469" s="31" t="str">
        <f>+INDEX([1]Detallado!$Q:$Q,MATCH($C1469,[1]Detallado!$B:$B,0))</f>
        <v>RFLG</v>
      </c>
      <c r="F1469" s="185" t="s">
        <v>4355</v>
      </c>
      <c r="G1469" s="186" t="str">
        <f t="shared" si="44"/>
        <v>64RFLG</v>
      </c>
      <c r="H1469" s="187" t="str">
        <f>+INDEX([1]Detallado!$D:$D,MATCH(C1469,[1]Detallado!$B:$B,0))</f>
        <v>Gobierno Central</v>
      </c>
      <c r="I1469" s="28"/>
      <c r="J1469" s="184" t="str">
        <f t="shared" si="45"/>
        <v>RFLTD</v>
      </c>
    </row>
    <row r="1470" spans="3:10" x14ac:dyDescent="0.25">
      <c r="C1470" s="28" t="s">
        <v>4015</v>
      </c>
      <c r="D1470" s="188" t="str">
        <f>+INDEX([1]Detallado!$F:$F,MATCH($C1470,[1]Detallado!$B:$B,0))</f>
        <v>Renta Fija</v>
      </c>
      <c r="E1470" s="31" t="str">
        <f>+INDEX([1]Detallado!$Q:$Q,MATCH($C1470,[1]Detallado!$B:$B,0))</f>
        <v>RFLG</v>
      </c>
      <c r="F1470" s="185" t="s">
        <v>4355</v>
      </c>
      <c r="G1470" s="186" t="str">
        <f t="shared" si="44"/>
        <v>64RFLG</v>
      </c>
      <c r="H1470" s="187" t="str">
        <f>+INDEX([1]Detallado!$D:$D,MATCH(C1470,[1]Detallado!$B:$B,0))</f>
        <v>Gobierno Central</v>
      </c>
      <c r="I1470" s="28"/>
      <c r="J1470" s="184" t="str">
        <f t="shared" si="45"/>
        <v>RFLTD</v>
      </c>
    </row>
    <row r="1471" spans="3:10" x14ac:dyDescent="0.25">
      <c r="C1471" s="28" t="s">
        <v>4016</v>
      </c>
      <c r="D1471" s="188" t="str">
        <f>+INDEX([1]Detallado!$F:$F,MATCH($C1471,[1]Detallado!$B:$B,0))</f>
        <v>Renta Fija</v>
      </c>
      <c r="E1471" s="31" t="str">
        <f>+INDEX([1]Detallado!$Q:$Q,MATCH($C1471,[1]Detallado!$B:$B,0))</f>
        <v>RFLG</v>
      </c>
      <c r="F1471" s="185" t="s">
        <v>4355</v>
      </c>
      <c r="G1471" s="186" t="str">
        <f t="shared" si="44"/>
        <v>64RFLG</v>
      </c>
      <c r="H1471" s="187" t="str">
        <f>+INDEX([1]Detallado!$D:$D,MATCH(C1471,[1]Detallado!$B:$B,0))</f>
        <v>Gobierno Central</v>
      </c>
      <c r="I1471" s="28"/>
      <c r="J1471" s="184" t="str">
        <f t="shared" si="45"/>
        <v>RFLTD</v>
      </c>
    </row>
    <row r="1472" spans="3:10" x14ac:dyDescent="0.25">
      <c r="C1472" s="28" t="s">
        <v>4017</v>
      </c>
      <c r="D1472" s="188" t="str">
        <f>+INDEX([1]Detallado!$F:$F,MATCH($C1472,[1]Detallado!$B:$B,0))</f>
        <v>Renta Fija</v>
      </c>
      <c r="E1472" s="31" t="str">
        <f>+INDEX([1]Detallado!$Q:$Q,MATCH($C1472,[1]Detallado!$B:$B,0))</f>
        <v>RFLG</v>
      </c>
      <c r="F1472" s="185" t="s">
        <v>4355</v>
      </c>
      <c r="G1472" s="186" t="str">
        <f t="shared" si="44"/>
        <v>64RFLG</v>
      </c>
      <c r="H1472" s="187" t="str">
        <f>+INDEX([1]Detallado!$D:$D,MATCH(C1472,[1]Detallado!$B:$B,0))</f>
        <v>Gobierno Central</v>
      </c>
      <c r="I1472" s="28"/>
      <c r="J1472" s="184" t="str">
        <f t="shared" si="45"/>
        <v>RFLTD</v>
      </c>
    </row>
    <row r="1473" spans="3:10" x14ac:dyDescent="0.25">
      <c r="C1473" s="28" t="s">
        <v>4018</v>
      </c>
      <c r="D1473" s="188" t="str">
        <f>+INDEX([1]Detallado!$F:$F,MATCH($C1473,[1]Detallado!$B:$B,0))</f>
        <v>Renta Fija</v>
      </c>
      <c r="E1473" s="31" t="str">
        <f>+INDEX([1]Detallado!$Q:$Q,MATCH($C1473,[1]Detallado!$B:$B,0))</f>
        <v>RFLG</v>
      </c>
      <c r="F1473" s="185" t="s">
        <v>4355</v>
      </c>
      <c r="G1473" s="186" t="str">
        <f t="shared" si="44"/>
        <v>64RFLG</v>
      </c>
      <c r="H1473" s="187" t="str">
        <f>+INDEX([1]Detallado!$D:$D,MATCH(C1473,[1]Detallado!$B:$B,0))</f>
        <v>Gobierno Central</v>
      </c>
      <c r="I1473" s="28"/>
      <c r="J1473" s="184" t="str">
        <f t="shared" si="45"/>
        <v>RFLTD</v>
      </c>
    </row>
    <row r="1474" spans="3:10" x14ac:dyDescent="0.25">
      <c r="C1474" s="28" t="s">
        <v>4019</v>
      </c>
      <c r="D1474" s="188" t="str">
        <f>+INDEX([1]Detallado!$F:$F,MATCH($C1474,[1]Detallado!$B:$B,0))</f>
        <v>Renta Fija</v>
      </c>
      <c r="E1474" s="31" t="str">
        <f>+INDEX([1]Detallado!$Q:$Q,MATCH($C1474,[1]Detallado!$B:$B,0))</f>
        <v>RFLG</v>
      </c>
      <c r="F1474" s="185" t="s">
        <v>4355</v>
      </c>
      <c r="G1474" s="186" t="str">
        <f t="shared" si="44"/>
        <v>64RFLG</v>
      </c>
      <c r="H1474" s="187" t="str">
        <f>+INDEX([1]Detallado!$D:$D,MATCH(C1474,[1]Detallado!$B:$B,0))</f>
        <v>Gobierno Central</v>
      </c>
      <c r="I1474" s="28"/>
      <c r="J1474" s="184" t="str">
        <f t="shared" si="45"/>
        <v>RFLTD</v>
      </c>
    </row>
    <row r="1475" spans="3:10" x14ac:dyDescent="0.25">
      <c r="C1475" s="28" t="s">
        <v>4020</v>
      </c>
      <c r="D1475" s="188" t="str">
        <f>+INDEX([1]Detallado!$F:$F,MATCH($C1475,[1]Detallado!$B:$B,0))</f>
        <v>Renta Fija</v>
      </c>
      <c r="E1475" s="31" t="str">
        <f>+INDEX([1]Detallado!$Q:$Q,MATCH($C1475,[1]Detallado!$B:$B,0))</f>
        <v>RFLG</v>
      </c>
      <c r="F1475" s="185" t="s">
        <v>4355</v>
      </c>
      <c r="G1475" s="186" t="str">
        <f t="shared" si="44"/>
        <v>64RFLG</v>
      </c>
      <c r="H1475" s="187" t="str">
        <f>+INDEX([1]Detallado!$D:$D,MATCH(C1475,[1]Detallado!$B:$B,0))</f>
        <v>Gobierno Central</v>
      </c>
      <c r="I1475" s="28"/>
      <c r="J1475" s="184" t="str">
        <f t="shared" si="45"/>
        <v>RFLTD</v>
      </c>
    </row>
    <row r="1476" spans="3:10" x14ac:dyDescent="0.25">
      <c r="C1476" s="28" t="s">
        <v>4021</v>
      </c>
      <c r="D1476" s="188" t="str">
        <f>+INDEX([1]Detallado!$F:$F,MATCH($C1476,[1]Detallado!$B:$B,0))</f>
        <v>Renta Fija</v>
      </c>
      <c r="E1476" s="31" t="str">
        <f>+INDEX([1]Detallado!$Q:$Q,MATCH($C1476,[1]Detallado!$B:$B,0))</f>
        <v>RFLG</v>
      </c>
      <c r="F1476" s="185" t="s">
        <v>4355</v>
      </c>
      <c r="G1476" s="186" t="str">
        <f t="shared" si="44"/>
        <v>64RFLG</v>
      </c>
      <c r="H1476" s="187" t="str">
        <f>+INDEX([1]Detallado!$D:$D,MATCH(C1476,[1]Detallado!$B:$B,0))</f>
        <v>Gobierno Central</v>
      </c>
      <c r="I1476" s="28"/>
      <c r="J1476" s="184" t="str">
        <f t="shared" si="45"/>
        <v>RFLTD</v>
      </c>
    </row>
    <row r="1477" spans="3:10" x14ac:dyDescent="0.25">
      <c r="C1477" s="28" t="s">
        <v>4022</v>
      </c>
      <c r="D1477" s="188" t="str">
        <f>+INDEX([1]Detallado!$F:$F,MATCH($C1477,[1]Detallado!$B:$B,0))</f>
        <v>Renta Fija</v>
      </c>
      <c r="E1477" s="31" t="str">
        <f>+INDEX([1]Detallado!$Q:$Q,MATCH($C1477,[1]Detallado!$B:$B,0))</f>
        <v>RFLG</v>
      </c>
      <c r="F1477" s="185" t="s">
        <v>4355</v>
      </c>
      <c r="G1477" s="186" t="str">
        <f t="shared" si="44"/>
        <v>64RFLG</v>
      </c>
      <c r="H1477" s="187" t="str">
        <f>+INDEX([1]Detallado!$D:$D,MATCH(C1477,[1]Detallado!$B:$B,0))</f>
        <v>Gobierno Central</v>
      </c>
      <c r="I1477" s="28"/>
      <c r="J1477" s="184" t="str">
        <f t="shared" si="45"/>
        <v>RFLTD</v>
      </c>
    </row>
    <row r="1478" spans="3:10" x14ac:dyDescent="0.25">
      <c r="C1478" s="28" t="s">
        <v>4023</v>
      </c>
      <c r="D1478" s="188" t="str">
        <f>+INDEX([1]Detallado!$F:$F,MATCH($C1478,[1]Detallado!$B:$B,0))</f>
        <v>Renta Fija</v>
      </c>
      <c r="E1478" s="31" t="str">
        <f>+INDEX([1]Detallado!$Q:$Q,MATCH($C1478,[1]Detallado!$B:$B,0))</f>
        <v>RFLG</v>
      </c>
      <c r="F1478" s="185" t="s">
        <v>4355</v>
      </c>
      <c r="G1478" s="186" t="str">
        <f t="shared" si="44"/>
        <v>64RFLG</v>
      </c>
      <c r="H1478" s="187" t="str">
        <f>+INDEX([1]Detallado!$D:$D,MATCH(C1478,[1]Detallado!$B:$B,0))</f>
        <v>Gobierno Central</v>
      </c>
      <c r="I1478" s="28"/>
      <c r="J1478" s="184" t="str">
        <f t="shared" si="45"/>
        <v>RFLTD</v>
      </c>
    </row>
    <row r="1479" spans="3:10" x14ac:dyDescent="0.25">
      <c r="C1479" s="28" t="s">
        <v>4024</v>
      </c>
      <c r="D1479" s="188" t="str">
        <f>+INDEX([1]Detallado!$F:$F,MATCH($C1479,[1]Detallado!$B:$B,0))</f>
        <v>Renta Fija</v>
      </c>
      <c r="E1479" s="31" t="str">
        <f>+INDEX([1]Detallado!$Q:$Q,MATCH($C1479,[1]Detallado!$B:$B,0))</f>
        <v>RFLG</v>
      </c>
      <c r="F1479" s="185" t="s">
        <v>4355</v>
      </c>
      <c r="G1479" s="186" t="str">
        <f t="shared" si="44"/>
        <v>64RFLG</v>
      </c>
      <c r="H1479" s="187" t="str">
        <f>+INDEX([1]Detallado!$D:$D,MATCH(C1479,[1]Detallado!$B:$B,0))</f>
        <v>Gobierno Central</v>
      </c>
      <c r="I1479" s="28"/>
      <c r="J1479" s="184" t="str">
        <f t="shared" si="45"/>
        <v>RFLTD</v>
      </c>
    </row>
    <row r="1480" spans="3:10" x14ac:dyDescent="0.25">
      <c r="C1480" s="28" t="s">
        <v>4025</v>
      </c>
      <c r="D1480" s="188" t="str">
        <f>+INDEX([1]Detallado!$F:$F,MATCH($C1480,[1]Detallado!$B:$B,0))</f>
        <v>Renta Fija</v>
      </c>
      <c r="E1480" s="31" t="str">
        <f>+INDEX([1]Detallado!$Q:$Q,MATCH($C1480,[1]Detallado!$B:$B,0))</f>
        <v>RFLG</v>
      </c>
      <c r="F1480" s="185" t="s">
        <v>4355</v>
      </c>
      <c r="G1480" s="186" t="str">
        <f t="shared" si="44"/>
        <v>64RFLG</v>
      </c>
      <c r="H1480" s="187" t="str">
        <f>+INDEX([1]Detallado!$D:$D,MATCH(C1480,[1]Detallado!$B:$B,0))</f>
        <v>Gobierno Central</v>
      </c>
      <c r="I1480" s="28"/>
      <c r="J1480" s="184" t="str">
        <f t="shared" si="45"/>
        <v>RFLTD</v>
      </c>
    </row>
    <row r="1481" spans="3:10" x14ac:dyDescent="0.25">
      <c r="C1481" s="28" t="s">
        <v>4026</v>
      </c>
      <c r="D1481" s="188" t="str">
        <f>+INDEX([1]Detallado!$F:$F,MATCH($C1481,[1]Detallado!$B:$B,0))</f>
        <v>Renta Fija</v>
      </c>
      <c r="E1481" s="31" t="str">
        <f>+INDEX([1]Detallado!$Q:$Q,MATCH($C1481,[1]Detallado!$B:$B,0))</f>
        <v>RFLG</v>
      </c>
      <c r="F1481" s="185" t="s">
        <v>4355</v>
      </c>
      <c r="G1481" s="186" t="str">
        <f t="shared" si="44"/>
        <v>64RFLG</v>
      </c>
      <c r="H1481" s="187" t="str">
        <f>+INDEX([1]Detallado!$D:$D,MATCH(C1481,[1]Detallado!$B:$B,0))</f>
        <v>Gobierno Central</v>
      </c>
      <c r="I1481" s="28"/>
      <c r="J1481" s="184" t="str">
        <f t="shared" si="45"/>
        <v>RFLTD</v>
      </c>
    </row>
    <row r="1482" spans="3:10" x14ac:dyDescent="0.25">
      <c r="C1482" s="28" t="s">
        <v>4027</v>
      </c>
      <c r="D1482" s="188" t="str">
        <f>+INDEX([1]Detallado!$F:$F,MATCH($C1482,[1]Detallado!$B:$B,0))</f>
        <v>Renta Fija</v>
      </c>
      <c r="E1482" s="31" t="str">
        <f>+INDEX([1]Detallado!$Q:$Q,MATCH($C1482,[1]Detallado!$B:$B,0))</f>
        <v>RFLG</v>
      </c>
      <c r="F1482" s="185" t="s">
        <v>4355</v>
      </c>
      <c r="G1482" s="186" t="str">
        <f t="shared" ref="G1482:G1545" si="46">LEFT(C1482,2)&amp;E1482</f>
        <v>64RFLG</v>
      </c>
      <c r="H1482" s="187" t="str">
        <f>+INDEX([1]Detallado!$D:$D,MATCH(C1482,[1]Detallado!$B:$B,0))</f>
        <v>Gobierno Central</v>
      </c>
      <c r="I1482" s="28"/>
      <c r="J1482" s="184" t="str">
        <f t="shared" ref="J1482:J1545" si="47">IF(E1482="ALT",LEFT(E1482,3),LEFT(E1482,3)&amp;F1482)</f>
        <v>RFLTD</v>
      </c>
    </row>
    <row r="1483" spans="3:10" x14ac:dyDescent="0.25">
      <c r="C1483" s="28" t="s">
        <v>4028</v>
      </c>
      <c r="D1483" s="188" t="str">
        <f>+INDEX([1]Detallado!$F:$F,MATCH($C1483,[1]Detallado!$B:$B,0))</f>
        <v>Renta Fija</v>
      </c>
      <c r="E1483" s="31" t="str">
        <f>+INDEX([1]Detallado!$Q:$Q,MATCH($C1483,[1]Detallado!$B:$B,0))</f>
        <v>RFLG</v>
      </c>
      <c r="F1483" s="185" t="s">
        <v>4355</v>
      </c>
      <c r="G1483" s="186" t="str">
        <f t="shared" si="46"/>
        <v>64RFLG</v>
      </c>
      <c r="H1483" s="187" t="str">
        <f>+INDEX([1]Detallado!$D:$D,MATCH(C1483,[1]Detallado!$B:$B,0))</f>
        <v>Gobierno Central</v>
      </c>
      <c r="I1483" s="28"/>
      <c r="J1483" s="184" t="str">
        <f t="shared" si="47"/>
        <v>RFLTD</v>
      </c>
    </row>
    <row r="1484" spans="3:10" x14ac:dyDescent="0.25">
      <c r="C1484" s="28" t="s">
        <v>4029</v>
      </c>
      <c r="D1484" s="188" t="str">
        <f>+INDEX([1]Detallado!$F:$F,MATCH($C1484,[1]Detallado!$B:$B,0))</f>
        <v>Renta Fija</v>
      </c>
      <c r="E1484" s="31" t="str">
        <f>+INDEX([1]Detallado!$Q:$Q,MATCH($C1484,[1]Detallado!$B:$B,0))</f>
        <v>RFLG</v>
      </c>
      <c r="F1484" s="185" t="s">
        <v>4355</v>
      </c>
      <c r="G1484" s="186" t="str">
        <f t="shared" si="46"/>
        <v>64RFLG</v>
      </c>
      <c r="H1484" s="187" t="str">
        <f>+INDEX([1]Detallado!$D:$D,MATCH(C1484,[1]Detallado!$B:$B,0))</f>
        <v>Gobierno Central</v>
      </c>
      <c r="I1484" s="28"/>
      <c r="J1484" s="184" t="str">
        <f t="shared" si="47"/>
        <v>RFLTD</v>
      </c>
    </row>
    <row r="1485" spans="3:10" x14ac:dyDescent="0.25">
      <c r="C1485" s="28" t="s">
        <v>4030</v>
      </c>
      <c r="D1485" s="188" t="str">
        <f>+INDEX([1]Detallado!$F:$F,MATCH($C1485,[1]Detallado!$B:$B,0))</f>
        <v>Renta Fija</v>
      </c>
      <c r="E1485" s="31" t="str">
        <f>+INDEX([1]Detallado!$Q:$Q,MATCH($C1485,[1]Detallado!$B:$B,0))</f>
        <v>RFLG</v>
      </c>
      <c r="F1485" s="185" t="s">
        <v>4355</v>
      </c>
      <c r="G1485" s="186" t="str">
        <f t="shared" si="46"/>
        <v>64RFLG</v>
      </c>
      <c r="H1485" s="187" t="str">
        <f>+INDEX([1]Detallado!$D:$D,MATCH(C1485,[1]Detallado!$B:$B,0))</f>
        <v>Gobierno Central</v>
      </c>
      <c r="I1485" s="28"/>
      <c r="J1485" s="184" t="str">
        <f t="shared" si="47"/>
        <v>RFLTD</v>
      </c>
    </row>
    <row r="1486" spans="3:10" x14ac:dyDescent="0.25">
      <c r="C1486" s="28" t="s">
        <v>4031</v>
      </c>
      <c r="D1486" s="188" t="str">
        <f>+INDEX([1]Detallado!$F:$F,MATCH($C1486,[1]Detallado!$B:$B,0))</f>
        <v>Renta Fija</v>
      </c>
      <c r="E1486" s="31" t="str">
        <f>+INDEX([1]Detallado!$Q:$Q,MATCH($C1486,[1]Detallado!$B:$B,0))</f>
        <v>RFLG</v>
      </c>
      <c r="F1486" s="185" t="s">
        <v>4355</v>
      </c>
      <c r="G1486" s="186" t="str">
        <f t="shared" si="46"/>
        <v>64RFLG</v>
      </c>
      <c r="H1486" s="187" t="str">
        <f>+INDEX([1]Detallado!$D:$D,MATCH(C1486,[1]Detallado!$B:$B,0))</f>
        <v>Gobierno Central</v>
      </c>
      <c r="I1486" s="28"/>
      <c r="J1486" s="184" t="str">
        <f t="shared" si="47"/>
        <v>RFLTD</v>
      </c>
    </row>
    <row r="1487" spans="3:10" x14ac:dyDescent="0.25">
      <c r="C1487" s="28" t="s">
        <v>4032</v>
      </c>
      <c r="D1487" s="188" t="str">
        <f>+INDEX([1]Detallado!$F:$F,MATCH($C1487,[1]Detallado!$B:$B,0))</f>
        <v>Renta Fija</v>
      </c>
      <c r="E1487" s="31" t="str">
        <f>+INDEX([1]Detallado!$Q:$Q,MATCH($C1487,[1]Detallado!$B:$B,0))</f>
        <v>RFLG</v>
      </c>
      <c r="F1487" s="185" t="s">
        <v>4355</v>
      </c>
      <c r="G1487" s="186" t="str">
        <f t="shared" si="46"/>
        <v>64RFLG</v>
      </c>
      <c r="H1487" s="187" t="str">
        <f>+INDEX([1]Detallado!$D:$D,MATCH(C1487,[1]Detallado!$B:$B,0))</f>
        <v>Gobierno Central</v>
      </c>
      <c r="I1487" s="28"/>
      <c r="J1487" s="184" t="str">
        <f t="shared" si="47"/>
        <v>RFLTD</v>
      </c>
    </row>
    <row r="1488" spans="3:10" x14ac:dyDescent="0.25">
      <c r="C1488" s="28" t="s">
        <v>4033</v>
      </c>
      <c r="D1488" s="188" t="str">
        <f>+INDEX([1]Detallado!$F:$F,MATCH($C1488,[1]Detallado!$B:$B,0))</f>
        <v>Renta Fija</v>
      </c>
      <c r="E1488" s="31" t="str">
        <f>+INDEX([1]Detallado!$Q:$Q,MATCH($C1488,[1]Detallado!$B:$B,0))</f>
        <v>RFLG</v>
      </c>
      <c r="F1488" s="185" t="s">
        <v>4355</v>
      </c>
      <c r="G1488" s="186" t="str">
        <f t="shared" si="46"/>
        <v>64RFLG</v>
      </c>
      <c r="H1488" s="187" t="str">
        <f>+INDEX([1]Detallado!$D:$D,MATCH(C1488,[1]Detallado!$B:$B,0))</f>
        <v>Gobierno Central</v>
      </c>
      <c r="I1488" s="28"/>
      <c r="J1488" s="184" t="str">
        <f t="shared" si="47"/>
        <v>RFLTD</v>
      </c>
    </row>
    <row r="1489" spans="3:10" x14ac:dyDescent="0.25">
      <c r="C1489" s="28" t="s">
        <v>4034</v>
      </c>
      <c r="D1489" s="188" t="str">
        <f>+INDEX([1]Detallado!$F:$F,MATCH($C1489,[1]Detallado!$B:$B,0))</f>
        <v>Renta Fija</v>
      </c>
      <c r="E1489" s="31" t="str">
        <f>+INDEX([1]Detallado!$Q:$Q,MATCH($C1489,[1]Detallado!$B:$B,0))</f>
        <v>RFLG</v>
      </c>
      <c r="F1489" s="185" t="s">
        <v>4355</v>
      </c>
      <c r="G1489" s="186" t="str">
        <f t="shared" si="46"/>
        <v>64RFLG</v>
      </c>
      <c r="H1489" s="187" t="str">
        <f>+INDEX([1]Detallado!$D:$D,MATCH(C1489,[1]Detallado!$B:$B,0))</f>
        <v>Gobierno Central</v>
      </c>
      <c r="I1489" s="28"/>
      <c r="J1489" s="184" t="str">
        <f t="shared" si="47"/>
        <v>RFLTD</v>
      </c>
    </row>
    <row r="1490" spans="3:10" x14ac:dyDescent="0.25">
      <c r="C1490" s="28" t="s">
        <v>4035</v>
      </c>
      <c r="D1490" s="188" t="str">
        <f>+INDEX([1]Detallado!$F:$F,MATCH($C1490,[1]Detallado!$B:$B,0))</f>
        <v>Renta Fija</v>
      </c>
      <c r="E1490" s="31" t="str">
        <f>+INDEX([1]Detallado!$Q:$Q,MATCH($C1490,[1]Detallado!$B:$B,0))</f>
        <v>RFLG</v>
      </c>
      <c r="F1490" s="185" t="s">
        <v>4355</v>
      </c>
      <c r="G1490" s="186" t="str">
        <f t="shared" si="46"/>
        <v>64RFLG</v>
      </c>
      <c r="H1490" s="187" t="str">
        <f>+INDEX([1]Detallado!$D:$D,MATCH(C1490,[1]Detallado!$B:$B,0))</f>
        <v>Gobierno Central</v>
      </c>
      <c r="I1490" s="28"/>
      <c r="J1490" s="184" t="str">
        <f t="shared" si="47"/>
        <v>RFLTD</v>
      </c>
    </row>
    <row r="1491" spans="3:10" x14ac:dyDescent="0.25">
      <c r="C1491" s="28" t="s">
        <v>4036</v>
      </c>
      <c r="D1491" s="188" t="str">
        <f>+INDEX([1]Detallado!$F:$F,MATCH($C1491,[1]Detallado!$B:$B,0))</f>
        <v>Renta Fija</v>
      </c>
      <c r="E1491" s="31" t="str">
        <f>+INDEX([1]Detallado!$Q:$Q,MATCH($C1491,[1]Detallado!$B:$B,0))</f>
        <v>RFLG</v>
      </c>
      <c r="F1491" s="185" t="s">
        <v>4355</v>
      </c>
      <c r="G1491" s="186" t="str">
        <f t="shared" si="46"/>
        <v>64RFLG</v>
      </c>
      <c r="H1491" s="187" t="str">
        <f>+INDEX([1]Detallado!$D:$D,MATCH(C1491,[1]Detallado!$B:$B,0))</f>
        <v>Gobierno Central</v>
      </c>
      <c r="I1491" s="28"/>
      <c r="J1491" s="184" t="str">
        <f t="shared" si="47"/>
        <v>RFLTD</v>
      </c>
    </row>
    <row r="1492" spans="3:10" x14ac:dyDescent="0.25">
      <c r="C1492" s="28" t="s">
        <v>4037</v>
      </c>
      <c r="D1492" s="188" t="str">
        <f>+INDEX([1]Detallado!$F:$F,MATCH($C1492,[1]Detallado!$B:$B,0))</f>
        <v>Renta Fija</v>
      </c>
      <c r="E1492" s="31" t="str">
        <f>+INDEX([1]Detallado!$Q:$Q,MATCH($C1492,[1]Detallado!$B:$B,0))</f>
        <v>RFLG</v>
      </c>
      <c r="F1492" s="185" t="s">
        <v>4355</v>
      </c>
      <c r="G1492" s="186" t="str">
        <f t="shared" si="46"/>
        <v>64RFLG</v>
      </c>
      <c r="H1492" s="187" t="str">
        <f>+INDEX([1]Detallado!$D:$D,MATCH(C1492,[1]Detallado!$B:$B,0))</f>
        <v>Gobierno Central</v>
      </c>
      <c r="I1492" s="28"/>
      <c r="J1492" s="184" t="str">
        <f t="shared" si="47"/>
        <v>RFLTD</v>
      </c>
    </row>
    <row r="1493" spans="3:10" x14ac:dyDescent="0.25">
      <c r="C1493" s="28" t="s">
        <v>4038</v>
      </c>
      <c r="D1493" s="188" t="str">
        <f>+INDEX([1]Detallado!$F:$F,MATCH($C1493,[1]Detallado!$B:$B,0))</f>
        <v>Renta Fija</v>
      </c>
      <c r="E1493" s="31" t="str">
        <f>+INDEX([1]Detallado!$Q:$Q,MATCH($C1493,[1]Detallado!$B:$B,0))</f>
        <v>RFLG</v>
      </c>
      <c r="F1493" s="185" t="s">
        <v>4355</v>
      </c>
      <c r="G1493" s="186" t="str">
        <f t="shared" si="46"/>
        <v>64RFLG</v>
      </c>
      <c r="H1493" s="187" t="str">
        <f>+INDEX([1]Detallado!$D:$D,MATCH(C1493,[1]Detallado!$B:$B,0))</f>
        <v>Gobierno Central</v>
      </c>
      <c r="I1493" s="28"/>
      <c r="J1493" s="184" t="str">
        <f t="shared" si="47"/>
        <v>RFLTD</v>
      </c>
    </row>
    <row r="1494" spans="3:10" x14ac:dyDescent="0.25">
      <c r="C1494" s="28" t="s">
        <v>4039</v>
      </c>
      <c r="D1494" s="188" t="str">
        <f>+INDEX([1]Detallado!$F:$F,MATCH($C1494,[1]Detallado!$B:$B,0))</f>
        <v>Renta Fija</v>
      </c>
      <c r="E1494" s="31" t="str">
        <f>+INDEX([1]Detallado!$Q:$Q,MATCH($C1494,[1]Detallado!$B:$B,0))</f>
        <v>RFLG</v>
      </c>
      <c r="F1494" s="185" t="s">
        <v>4355</v>
      </c>
      <c r="G1494" s="186" t="str">
        <f t="shared" si="46"/>
        <v>64RFLG</v>
      </c>
      <c r="H1494" s="187" t="str">
        <f>+INDEX([1]Detallado!$D:$D,MATCH(C1494,[1]Detallado!$B:$B,0))</f>
        <v>Gobierno Central</v>
      </c>
      <c r="I1494" s="28"/>
      <c r="J1494" s="184" t="str">
        <f t="shared" si="47"/>
        <v>RFLTD</v>
      </c>
    </row>
    <row r="1495" spans="3:10" x14ac:dyDescent="0.25">
      <c r="C1495" s="28" t="s">
        <v>4040</v>
      </c>
      <c r="D1495" s="188" t="str">
        <f>+INDEX([1]Detallado!$F:$F,MATCH($C1495,[1]Detallado!$B:$B,0))</f>
        <v>Renta Fija</v>
      </c>
      <c r="E1495" s="31" t="str">
        <f>+INDEX([1]Detallado!$Q:$Q,MATCH($C1495,[1]Detallado!$B:$B,0))</f>
        <v>RFLG</v>
      </c>
      <c r="F1495" s="185" t="s">
        <v>4355</v>
      </c>
      <c r="G1495" s="186" t="str">
        <f t="shared" si="46"/>
        <v>64RFLG</v>
      </c>
      <c r="H1495" s="187" t="str">
        <f>+INDEX([1]Detallado!$D:$D,MATCH(C1495,[1]Detallado!$B:$B,0))</f>
        <v>Gobierno Central</v>
      </c>
      <c r="I1495" s="28"/>
      <c r="J1495" s="184" t="str">
        <f t="shared" si="47"/>
        <v>RFLTD</v>
      </c>
    </row>
    <row r="1496" spans="3:10" x14ac:dyDescent="0.25">
      <c r="C1496" s="28" t="s">
        <v>865</v>
      </c>
      <c r="D1496" s="188" t="str">
        <f>+INDEX([1]Detallado!$F:$F,MATCH($C1496,[1]Detallado!$B:$B,0))</f>
        <v>Renta Fija</v>
      </c>
      <c r="E1496" s="31" t="str">
        <f>+INDEX([1]Detallado!$Q:$Q,MATCH($C1496,[1]Detallado!$B:$B,0))</f>
        <v>RFLG</v>
      </c>
      <c r="F1496" s="185" t="s">
        <v>4356</v>
      </c>
      <c r="G1496" s="186" t="str">
        <f t="shared" si="46"/>
        <v>01RFLG</v>
      </c>
      <c r="H1496" s="187" t="str">
        <f>+INDEX([1]Detallado!$D:$D,MATCH(C1496,[1]Detallado!$B:$B,0))</f>
        <v>Gobierno Central</v>
      </c>
      <c r="I1496" s="28"/>
      <c r="J1496" s="184" t="str">
        <f t="shared" si="47"/>
        <v>RFLGOB</v>
      </c>
    </row>
    <row r="1497" spans="3:10" x14ac:dyDescent="0.25">
      <c r="C1497" s="28" t="s">
        <v>4041</v>
      </c>
      <c r="D1497" s="188" t="str">
        <f>+INDEX([1]Detallado!$F:$F,MATCH($C1497,[1]Detallado!$B:$B,0))</f>
        <v>Renta Fija</v>
      </c>
      <c r="E1497" s="31" t="str">
        <f>+INDEX([1]Detallado!$Q:$Q,MATCH($C1497,[1]Detallado!$B:$B,0))</f>
        <v>RFLG</v>
      </c>
      <c r="F1497" s="185" t="s">
        <v>4356</v>
      </c>
      <c r="G1497" s="186" t="str">
        <f t="shared" si="46"/>
        <v>01RFLG</v>
      </c>
      <c r="H1497" s="187" t="str">
        <f>+INDEX([1]Detallado!$D:$D,MATCH(C1497,[1]Detallado!$B:$B,0))</f>
        <v>Gobierno Central</v>
      </c>
      <c r="I1497" s="28"/>
      <c r="J1497" s="184" t="str">
        <f t="shared" si="47"/>
        <v>RFLGOB</v>
      </c>
    </row>
    <row r="1498" spans="3:10" x14ac:dyDescent="0.25">
      <c r="C1498" s="28" t="s">
        <v>169</v>
      </c>
      <c r="D1498" s="188" t="str">
        <f>+INDEX([1]Detallado!$F:$F,MATCH($C1498,[1]Detallado!$B:$B,0))</f>
        <v>Renta Fija</v>
      </c>
      <c r="E1498" s="31" t="str">
        <f>+INDEX([1]Detallado!$Q:$Q,MATCH($C1498,[1]Detallado!$B:$B,0))</f>
        <v>RFLG</v>
      </c>
      <c r="F1498" s="185" t="s">
        <v>4356</v>
      </c>
      <c r="G1498" s="186" t="str">
        <f t="shared" si="46"/>
        <v>01RFLG</v>
      </c>
      <c r="H1498" s="187" t="str">
        <f>+INDEX([1]Detallado!$D:$D,MATCH(C1498,[1]Detallado!$B:$B,0))</f>
        <v>Gobierno Central</v>
      </c>
      <c r="I1498" s="28"/>
      <c r="J1498" s="184" t="str">
        <f t="shared" si="47"/>
        <v>RFLGOB</v>
      </c>
    </row>
    <row r="1499" spans="3:10" x14ac:dyDescent="0.25">
      <c r="C1499" s="28" t="s">
        <v>4042</v>
      </c>
      <c r="D1499" s="188" t="str">
        <f>+INDEX([1]Detallado!$F:$F,MATCH($C1499,[1]Detallado!$B:$B,0))</f>
        <v>Renta Fija</v>
      </c>
      <c r="E1499" s="31" t="str">
        <f>+INDEX([1]Detallado!$Q:$Q,MATCH($C1499,[1]Detallado!$B:$B,0))</f>
        <v>RFLG</v>
      </c>
      <c r="F1499" s="185" t="s">
        <v>4356</v>
      </c>
      <c r="G1499" s="186" t="str">
        <f t="shared" si="46"/>
        <v>01RFLG</v>
      </c>
      <c r="H1499" s="187" t="str">
        <f>+INDEX([1]Detallado!$D:$D,MATCH(C1499,[1]Detallado!$B:$B,0))</f>
        <v>Gobierno Central</v>
      </c>
      <c r="I1499" s="28"/>
      <c r="J1499" s="184" t="str">
        <f t="shared" si="47"/>
        <v>RFLGOB</v>
      </c>
    </row>
    <row r="1500" spans="3:10" x14ac:dyDescent="0.25">
      <c r="C1500" s="28" t="s">
        <v>157</v>
      </c>
      <c r="D1500" s="188" t="str">
        <f>+INDEX([1]Detallado!$F:$F,MATCH($C1500,[1]Detallado!$B:$B,0))</f>
        <v>Renta Fija</v>
      </c>
      <c r="E1500" s="31" t="str">
        <f>+INDEX([1]Detallado!$Q:$Q,MATCH($C1500,[1]Detallado!$B:$B,0))</f>
        <v>RFLG</v>
      </c>
      <c r="F1500" s="185" t="s">
        <v>4356</v>
      </c>
      <c r="G1500" s="186" t="str">
        <f t="shared" si="46"/>
        <v>01RFLG</v>
      </c>
      <c r="H1500" s="187" t="str">
        <f>+INDEX([1]Detallado!$D:$D,MATCH(C1500,[1]Detallado!$B:$B,0))</f>
        <v>Gobierno Central</v>
      </c>
      <c r="I1500" s="28"/>
      <c r="J1500" s="184" t="str">
        <f t="shared" si="47"/>
        <v>RFLGOB</v>
      </c>
    </row>
    <row r="1501" spans="3:10" x14ac:dyDescent="0.25">
      <c r="C1501" s="28" t="s">
        <v>867</v>
      </c>
      <c r="D1501" s="188" t="str">
        <f>+INDEX([1]Detallado!$F:$F,MATCH($C1501,[1]Detallado!$B:$B,0))</f>
        <v>Renta Fija</v>
      </c>
      <c r="E1501" s="31" t="str">
        <f>+INDEX([1]Detallado!$Q:$Q,MATCH($C1501,[1]Detallado!$B:$B,0))</f>
        <v>RFLG</v>
      </c>
      <c r="F1501" s="185" t="s">
        <v>4356</v>
      </c>
      <c r="G1501" s="186" t="str">
        <f t="shared" si="46"/>
        <v>01RFLG</v>
      </c>
      <c r="H1501" s="187" t="str">
        <f>+INDEX([1]Detallado!$D:$D,MATCH(C1501,[1]Detallado!$B:$B,0))</f>
        <v>Gobierno Central</v>
      </c>
      <c r="I1501" s="28"/>
      <c r="J1501" s="184" t="str">
        <f t="shared" si="47"/>
        <v>RFLGOB</v>
      </c>
    </row>
    <row r="1502" spans="3:10" x14ac:dyDescent="0.25">
      <c r="C1502" s="28" t="s">
        <v>4043</v>
      </c>
      <c r="D1502" s="188" t="str">
        <f>+INDEX([1]Detallado!$F:$F,MATCH($C1502,[1]Detallado!$B:$B,0))</f>
        <v>Renta Fija</v>
      </c>
      <c r="E1502" s="31" t="str">
        <f>+INDEX([1]Detallado!$Q:$Q,MATCH($C1502,[1]Detallado!$B:$B,0))</f>
        <v>RFLG</v>
      </c>
      <c r="F1502" s="185" t="s">
        <v>4356</v>
      </c>
      <c r="G1502" s="186" t="str">
        <f t="shared" si="46"/>
        <v>01RFLG</v>
      </c>
      <c r="H1502" s="187" t="str">
        <f>+INDEX([1]Detallado!$D:$D,MATCH(C1502,[1]Detallado!$B:$B,0))</f>
        <v>Gobierno Central</v>
      </c>
      <c r="I1502" s="28"/>
      <c r="J1502" s="184" t="str">
        <f t="shared" si="47"/>
        <v>RFLGOB</v>
      </c>
    </row>
    <row r="1503" spans="3:10" x14ac:dyDescent="0.25">
      <c r="C1503" s="28" t="s">
        <v>4044</v>
      </c>
      <c r="D1503" s="188" t="str">
        <f>+INDEX([1]Detallado!$F:$F,MATCH($C1503,[1]Detallado!$B:$B,0))</f>
        <v>Renta Fija</v>
      </c>
      <c r="E1503" s="31" t="str">
        <f>+INDEX([1]Detallado!$Q:$Q,MATCH($C1503,[1]Detallado!$B:$B,0))</f>
        <v>RFLG</v>
      </c>
      <c r="F1503" s="185" t="s">
        <v>4356</v>
      </c>
      <c r="G1503" s="186" t="str">
        <f t="shared" si="46"/>
        <v>01RFLG</v>
      </c>
      <c r="H1503" s="187" t="str">
        <f>+INDEX([1]Detallado!$D:$D,MATCH(C1503,[1]Detallado!$B:$B,0))</f>
        <v>Gobierno Central</v>
      </c>
      <c r="I1503" s="28"/>
      <c r="J1503" s="184" t="str">
        <f t="shared" si="47"/>
        <v>RFLGOB</v>
      </c>
    </row>
    <row r="1504" spans="3:10" x14ac:dyDescent="0.25">
      <c r="C1504" s="28" t="s">
        <v>4045</v>
      </c>
      <c r="D1504" s="188" t="str">
        <f>+INDEX([1]Detallado!$F:$F,MATCH($C1504,[1]Detallado!$B:$B,0))</f>
        <v>Renta Fija</v>
      </c>
      <c r="E1504" s="31" t="str">
        <f>+INDEX([1]Detallado!$Q:$Q,MATCH($C1504,[1]Detallado!$B:$B,0))</f>
        <v>RFLG</v>
      </c>
      <c r="F1504" s="185" t="s">
        <v>4356</v>
      </c>
      <c r="G1504" s="186" t="str">
        <f t="shared" si="46"/>
        <v>01RFLG</v>
      </c>
      <c r="H1504" s="187" t="str">
        <f>+INDEX([1]Detallado!$D:$D,MATCH(C1504,[1]Detallado!$B:$B,0))</f>
        <v>Gobierno Central</v>
      </c>
      <c r="I1504" s="28"/>
      <c r="J1504" s="184" t="str">
        <f t="shared" si="47"/>
        <v>RFLGOB</v>
      </c>
    </row>
    <row r="1505" spans="3:10" x14ac:dyDescent="0.25">
      <c r="C1505" s="28" t="s">
        <v>4046</v>
      </c>
      <c r="D1505" s="188" t="str">
        <f>+INDEX([1]Detallado!$F:$F,MATCH($C1505,[1]Detallado!$B:$B,0))</f>
        <v>Renta Fija</v>
      </c>
      <c r="E1505" s="31" t="str">
        <f>+INDEX([1]Detallado!$Q:$Q,MATCH($C1505,[1]Detallado!$B:$B,0))</f>
        <v>RFLG</v>
      </c>
      <c r="F1505" s="185" t="s">
        <v>4356</v>
      </c>
      <c r="G1505" s="186" t="str">
        <f t="shared" si="46"/>
        <v>01RFLG</v>
      </c>
      <c r="H1505" s="187" t="str">
        <f>+INDEX([1]Detallado!$D:$D,MATCH(C1505,[1]Detallado!$B:$B,0))</f>
        <v>Gobierno Central</v>
      </c>
      <c r="I1505" s="28"/>
      <c r="J1505" s="184" t="str">
        <f t="shared" si="47"/>
        <v>RFLGOB</v>
      </c>
    </row>
    <row r="1506" spans="3:10" x14ac:dyDescent="0.25">
      <c r="C1506" s="28" t="s">
        <v>4047</v>
      </c>
      <c r="D1506" s="188" t="str">
        <f>+INDEX([1]Detallado!$F:$F,MATCH($C1506,[1]Detallado!$B:$B,0))</f>
        <v>Renta Fija</v>
      </c>
      <c r="E1506" s="31" t="str">
        <f>+INDEX([1]Detallado!$Q:$Q,MATCH($C1506,[1]Detallado!$B:$B,0))</f>
        <v>RFLG</v>
      </c>
      <c r="F1506" s="185" t="s">
        <v>4356</v>
      </c>
      <c r="G1506" s="186" t="str">
        <f t="shared" si="46"/>
        <v>01RFLG</v>
      </c>
      <c r="H1506" s="187" t="str">
        <f>+INDEX([1]Detallado!$D:$D,MATCH(C1506,[1]Detallado!$B:$B,0))</f>
        <v>Gobierno Central</v>
      </c>
      <c r="I1506" s="28"/>
      <c r="J1506" s="184" t="str">
        <f t="shared" si="47"/>
        <v>RFLGOB</v>
      </c>
    </row>
    <row r="1507" spans="3:10" x14ac:dyDescent="0.25">
      <c r="C1507" s="28" t="s">
        <v>162</v>
      </c>
      <c r="D1507" s="188" t="str">
        <f>+INDEX([1]Detallado!$F:$F,MATCH($C1507,[1]Detallado!$B:$B,0))</f>
        <v>Renta Fija</v>
      </c>
      <c r="E1507" s="31" t="str">
        <f>+INDEX([1]Detallado!$Q:$Q,MATCH($C1507,[1]Detallado!$B:$B,0))</f>
        <v>RFLG</v>
      </c>
      <c r="F1507" s="185" t="s">
        <v>4356</v>
      </c>
      <c r="G1507" s="186" t="str">
        <f t="shared" si="46"/>
        <v>01RFLG</v>
      </c>
      <c r="H1507" s="187" t="str">
        <f>+INDEX([1]Detallado!$D:$D,MATCH(C1507,[1]Detallado!$B:$B,0))</f>
        <v>Gobierno Central</v>
      </c>
      <c r="I1507" s="28"/>
      <c r="J1507" s="184" t="str">
        <f t="shared" si="47"/>
        <v>RFLGOB</v>
      </c>
    </row>
    <row r="1508" spans="3:10" x14ac:dyDescent="0.25">
      <c r="C1508" s="28" t="s">
        <v>167</v>
      </c>
      <c r="D1508" s="188" t="str">
        <f>+INDEX([1]Detallado!$F:$F,MATCH($C1508,[1]Detallado!$B:$B,0))</f>
        <v>Renta Fija</v>
      </c>
      <c r="E1508" s="31" t="str">
        <f>+INDEX([1]Detallado!$Q:$Q,MATCH($C1508,[1]Detallado!$B:$B,0))</f>
        <v>RFLG</v>
      </c>
      <c r="F1508" s="185" t="s">
        <v>4356</v>
      </c>
      <c r="G1508" s="186" t="str">
        <f t="shared" si="46"/>
        <v>01RFLG</v>
      </c>
      <c r="H1508" s="187" t="str">
        <f>+INDEX([1]Detallado!$D:$D,MATCH(C1508,[1]Detallado!$B:$B,0))</f>
        <v>Gobierno Central</v>
      </c>
      <c r="I1508" s="28"/>
      <c r="J1508" s="184" t="str">
        <f t="shared" si="47"/>
        <v>RFLGOB</v>
      </c>
    </row>
    <row r="1509" spans="3:10" x14ac:dyDescent="0.25">
      <c r="C1509" s="28" t="s">
        <v>164</v>
      </c>
      <c r="D1509" s="188" t="str">
        <f>+INDEX([1]Detallado!$F:$F,MATCH($C1509,[1]Detallado!$B:$B,0))</f>
        <v>Renta Fija</v>
      </c>
      <c r="E1509" s="31" t="str">
        <f>+INDEX([1]Detallado!$Q:$Q,MATCH($C1509,[1]Detallado!$B:$B,0))</f>
        <v>RFLG</v>
      </c>
      <c r="F1509" s="185" t="s">
        <v>4356</v>
      </c>
      <c r="G1509" s="186" t="str">
        <f t="shared" si="46"/>
        <v>01RFLG</v>
      </c>
      <c r="H1509" s="187" t="str">
        <f>+INDEX([1]Detallado!$D:$D,MATCH(C1509,[1]Detallado!$B:$B,0))</f>
        <v>Gobierno Central</v>
      </c>
      <c r="I1509" s="28"/>
      <c r="J1509" s="184" t="str">
        <f t="shared" si="47"/>
        <v>RFLGOB</v>
      </c>
    </row>
    <row r="1510" spans="3:10" x14ac:dyDescent="0.25">
      <c r="C1510" s="28" t="s">
        <v>160</v>
      </c>
      <c r="D1510" s="188" t="str">
        <f>+INDEX([1]Detallado!$F:$F,MATCH($C1510,[1]Detallado!$B:$B,0))</f>
        <v>Renta Fija</v>
      </c>
      <c r="E1510" s="31" t="str">
        <f>+INDEX([1]Detallado!$Q:$Q,MATCH($C1510,[1]Detallado!$B:$B,0))</f>
        <v>RFLG</v>
      </c>
      <c r="F1510" s="185" t="s">
        <v>4356</v>
      </c>
      <c r="G1510" s="186" t="str">
        <f t="shared" si="46"/>
        <v>01RFLG</v>
      </c>
      <c r="H1510" s="187" t="str">
        <f>+INDEX([1]Detallado!$D:$D,MATCH(C1510,[1]Detallado!$B:$B,0))</f>
        <v>Gobierno Central</v>
      </c>
      <c r="I1510" s="28"/>
      <c r="J1510" s="184" t="str">
        <f t="shared" si="47"/>
        <v>RFLGOB</v>
      </c>
    </row>
    <row r="1511" spans="3:10" x14ac:dyDescent="0.25">
      <c r="C1511" s="28" t="s">
        <v>4048</v>
      </c>
      <c r="D1511" s="188" t="str">
        <f>+INDEX([1]Detallado!$F:$F,MATCH($C1511,[1]Detallado!$B:$B,0))</f>
        <v>Renta Fija</v>
      </c>
      <c r="E1511" s="31" t="str">
        <f>+INDEX([1]Detallado!$Q:$Q,MATCH($C1511,[1]Detallado!$B:$B,0))</f>
        <v>RFLG</v>
      </c>
      <c r="F1511" s="185" t="s">
        <v>4356</v>
      </c>
      <c r="G1511" s="186" t="str">
        <f t="shared" si="46"/>
        <v>01RFLG</v>
      </c>
      <c r="H1511" s="187" t="str">
        <f>+INDEX([1]Detallado!$D:$D,MATCH(C1511,[1]Detallado!$B:$B,0))</f>
        <v>Gobierno Central</v>
      </c>
      <c r="I1511" s="28"/>
      <c r="J1511" s="184" t="str">
        <f t="shared" si="47"/>
        <v>RFLGOB</v>
      </c>
    </row>
    <row r="1512" spans="3:10" x14ac:dyDescent="0.25">
      <c r="C1512" s="28" t="s">
        <v>4049</v>
      </c>
      <c r="D1512" s="188" t="str">
        <f>+INDEX([1]Detallado!$F:$F,MATCH($C1512,[1]Detallado!$B:$B,0))</f>
        <v>Renta Fija</v>
      </c>
      <c r="E1512" s="31" t="str">
        <f>+INDEX([1]Detallado!$Q:$Q,MATCH($C1512,[1]Detallado!$B:$B,0))</f>
        <v>RFLG</v>
      </c>
      <c r="F1512" s="185" t="s">
        <v>4356</v>
      </c>
      <c r="G1512" s="186" t="str">
        <f t="shared" si="46"/>
        <v>04RFLG</v>
      </c>
      <c r="H1512" s="187" t="str">
        <f>+INDEX([1]Detallado!$D:$D,MATCH(C1512,[1]Detallado!$B:$B,0))</f>
        <v>Gobierno Central</v>
      </c>
      <c r="I1512" s="28"/>
      <c r="J1512" s="184" t="str">
        <f t="shared" si="47"/>
        <v>RFLGOB</v>
      </c>
    </row>
    <row r="1513" spans="3:10" x14ac:dyDescent="0.25">
      <c r="C1513" s="28" t="s">
        <v>4050</v>
      </c>
      <c r="D1513" s="188" t="str">
        <f>+INDEX([1]Detallado!$F:$F,MATCH($C1513,[1]Detallado!$B:$B,0))</f>
        <v>Renta Fija</v>
      </c>
      <c r="E1513" s="31" t="str">
        <f>+INDEX([1]Detallado!$Q:$Q,MATCH($C1513,[1]Detallado!$B:$B,0))</f>
        <v>RFLG</v>
      </c>
      <c r="F1513" s="185" t="s">
        <v>4356</v>
      </c>
      <c r="G1513" s="186" t="str">
        <f t="shared" si="46"/>
        <v>04RFLG</v>
      </c>
      <c r="H1513" s="187" t="str">
        <f>+INDEX([1]Detallado!$D:$D,MATCH(C1513,[1]Detallado!$B:$B,0))</f>
        <v>Gobierno Central</v>
      </c>
      <c r="I1513" s="28"/>
      <c r="J1513" s="184" t="str">
        <f t="shared" si="47"/>
        <v>RFLGOB</v>
      </c>
    </row>
    <row r="1514" spans="3:10" x14ac:dyDescent="0.25">
      <c r="C1514" s="28" t="s">
        <v>4051</v>
      </c>
      <c r="D1514" s="188" t="str">
        <f>+INDEX([1]Detallado!$F:$F,MATCH($C1514,[1]Detallado!$B:$B,0))</f>
        <v>Renta Fija</v>
      </c>
      <c r="E1514" s="31" t="str">
        <f>+INDEX([1]Detallado!$Q:$Q,MATCH($C1514,[1]Detallado!$B:$B,0))</f>
        <v>RFLG</v>
      </c>
      <c r="F1514" s="185" t="s">
        <v>4356</v>
      </c>
      <c r="G1514" s="186" t="str">
        <f t="shared" si="46"/>
        <v>04RFLG</v>
      </c>
      <c r="H1514" s="187" t="str">
        <f>+INDEX([1]Detallado!$D:$D,MATCH(C1514,[1]Detallado!$B:$B,0))</f>
        <v>Gobierno Central</v>
      </c>
      <c r="I1514" s="28"/>
      <c r="J1514" s="184" t="str">
        <f t="shared" si="47"/>
        <v>RFLGOB</v>
      </c>
    </row>
    <row r="1515" spans="3:10" x14ac:dyDescent="0.25">
      <c r="C1515" s="28" t="s">
        <v>4052</v>
      </c>
      <c r="D1515" s="188" t="str">
        <f>+INDEX([1]Detallado!$F:$F,MATCH($C1515,[1]Detallado!$B:$B,0))</f>
        <v>Renta Fija</v>
      </c>
      <c r="E1515" s="31" t="str">
        <f>+INDEX([1]Detallado!$Q:$Q,MATCH($C1515,[1]Detallado!$B:$B,0))</f>
        <v>RFLG</v>
      </c>
      <c r="F1515" s="185" t="s">
        <v>4356</v>
      </c>
      <c r="G1515" s="186" t="str">
        <f t="shared" si="46"/>
        <v>04RFLG</v>
      </c>
      <c r="H1515" s="187" t="str">
        <f>+INDEX([1]Detallado!$D:$D,MATCH(C1515,[1]Detallado!$B:$B,0))</f>
        <v>Gobierno Central</v>
      </c>
      <c r="I1515" s="28"/>
      <c r="J1515" s="184" t="str">
        <f t="shared" si="47"/>
        <v>RFLGOB</v>
      </c>
    </row>
    <row r="1516" spans="3:10" x14ac:dyDescent="0.25">
      <c r="C1516" s="28" t="s">
        <v>4053</v>
      </c>
      <c r="D1516" s="188" t="str">
        <f>+INDEX([1]Detallado!$F:$F,MATCH($C1516,[1]Detallado!$B:$B,0))</f>
        <v>Renta Fija</v>
      </c>
      <c r="E1516" s="31" t="str">
        <f>+INDEX([1]Detallado!$Q:$Q,MATCH($C1516,[1]Detallado!$B:$B,0))</f>
        <v>RFLG</v>
      </c>
      <c r="F1516" s="185" t="s">
        <v>4356</v>
      </c>
      <c r="G1516" s="186" t="str">
        <f t="shared" si="46"/>
        <v>04RFLG</v>
      </c>
      <c r="H1516" s="187" t="str">
        <f>+INDEX([1]Detallado!$D:$D,MATCH(C1516,[1]Detallado!$B:$B,0))</f>
        <v>Gobierno Central</v>
      </c>
      <c r="I1516" s="28"/>
      <c r="J1516" s="184" t="str">
        <f t="shared" si="47"/>
        <v>RFLGOB</v>
      </c>
    </row>
    <row r="1517" spans="3:10" x14ac:dyDescent="0.25">
      <c r="C1517" s="28" t="s">
        <v>4054</v>
      </c>
      <c r="D1517" s="188" t="str">
        <f>+INDEX([1]Detallado!$F:$F,MATCH($C1517,[1]Detallado!$B:$B,0))</f>
        <v>Renta Fija</v>
      </c>
      <c r="E1517" s="31" t="str">
        <f>+INDEX([1]Detallado!$Q:$Q,MATCH($C1517,[1]Detallado!$B:$B,0))</f>
        <v>RFLG</v>
      </c>
      <c r="F1517" s="185" t="s">
        <v>4356</v>
      </c>
      <c r="G1517" s="186" t="str">
        <f t="shared" si="46"/>
        <v>04RFLG</v>
      </c>
      <c r="H1517" s="187" t="str">
        <f>+INDEX([1]Detallado!$D:$D,MATCH(C1517,[1]Detallado!$B:$B,0))</f>
        <v>Gobierno Central</v>
      </c>
      <c r="I1517" s="28"/>
      <c r="J1517" s="184" t="str">
        <f t="shared" si="47"/>
        <v>RFLGOB</v>
      </c>
    </row>
    <row r="1518" spans="3:10" x14ac:dyDescent="0.25">
      <c r="C1518" s="28" t="s">
        <v>4055</v>
      </c>
      <c r="D1518" s="188" t="str">
        <f>+INDEX([1]Detallado!$F:$F,MATCH($C1518,[1]Detallado!$B:$B,0))</f>
        <v>Renta Fija</v>
      </c>
      <c r="E1518" s="31" t="str">
        <f>+INDEX([1]Detallado!$Q:$Q,MATCH($C1518,[1]Detallado!$B:$B,0))</f>
        <v>RFLG</v>
      </c>
      <c r="F1518" s="185" t="s">
        <v>4356</v>
      </c>
      <c r="G1518" s="186" t="str">
        <f t="shared" si="46"/>
        <v>04RFLG</v>
      </c>
      <c r="H1518" s="187" t="str">
        <f>+INDEX([1]Detallado!$D:$D,MATCH(C1518,[1]Detallado!$B:$B,0))</f>
        <v>Gobierno Central</v>
      </c>
      <c r="I1518" s="28"/>
      <c r="J1518" s="184" t="str">
        <f t="shared" si="47"/>
        <v>RFLGOB</v>
      </c>
    </row>
    <row r="1519" spans="3:10" x14ac:dyDescent="0.25">
      <c r="C1519" s="28" t="s">
        <v>4056</v>
      </c>
      <c r="D1519" s="188" t="str">
        <f>+INDEX([1]Detallado!$F:$F,MATCH($C1519,[1]Detallado!$B:$B,0))</f>
        <v>Renta Fija</v>
      </c>
      <c r="E1519" s="31" t="str">
        <f>+INDEX([1]Detallado!$Q:$Q,MATCH($C1519,[1]Detallado!$B:$B,0))</f>
        <v>RFLG</v>
      </c>
      <c r="F1519" s="185" t="s">
        <v>4356</v>
      </c>
      <c r="G1519" s="186" t="str">
        <f t="shared" si="46"/>
        <v>04RFLG</v>
      </c>
      <c r="H1519" s="187" t="str">
        <f>+INDEX([1]Detallado!$D:$D,MATCH(C1519,[1]Detallado!$B:$B,0))</f>
        <v>Gobierno Central</v>
      </c>
      <c r="I1519" s="28"/>
      <c r="J1519" s="184" t="str">
        <f t="shared" si="47"/>
        <v>RFLGOB</v>
      </c>
    </row>
    <row r="1520" spans="3:10" x14ac:dyDescent="0.25">
      <c r="C1520" s="28" t="s">
        <v>4057</v>
      </c>
      <c r="D1520" s="188" t="str">
        <f>+INDEX([1]Detallado!$F:$F,MATCH($C1520,[1]Detallado!$B:$B,0))</f>
        <v>Renta Fija</v>
      </c>
      <c r="E1520" s="31" t="str">
        <f>+INDEX([1]Detallado!$Q:$Q,MATCH($C1520,[1]Detallado!$B:$B,0))</f>
        <v>RFLG</v>
      </c>
      <c r="F1520" s="185" t="s">
        <v>4356</v>
      </c>
      <c r="G1520" s="186" t="str">
        <f t="shared" si="46"/>
        <v>04RFLG</v>
      </c>
      <c r="H1520" s="187" t="str">
        <f>+INDEX([1]Detallado!$D:$D,MATCH(C1520,[1]Detallado!$B:$B,0))</f>
        <v>Gobierno Central</v>
      </c>
      <c r="I1520" s="28"/>
      <c r="J1520" s="184" t="str">
        <f t="shared" si="47"/>
        <v>RFLGOB</v>
      </c>
    </row>
    <row r="1521" spans="3:10" x14ac:dyDescent="0.25">
      <c r="C1521" s="28" t="s">
        <v>922</v>
      </c>
      <c r="D1521" s="188" t="str">
        <f>+INDEX([1]Detallado!$F:$F,MATCH($C1521,[1]Detallado!$B:$B,0))</f>
        <v>Renta Fija</v>
      </c>
      <c r="E1521" s="31" t="str">
        <f>+INDEX([1]Detallado!$Q:$Q,MATCH($C1521,[1]Detallado!$B:$B,0))</f>
        <v>RFLG</v>
      </c>
      <c r="F1521" s="185" t="s">
        <v>4356</v>
      </c>
      <c r="G1521" s="186" t="str">
        <f t="shared" si="46"/>
        <v>43RFLG</v>
      </c>
      <c r="H1521" s="187" t="str">
        <f>+INDEX([1]Detallado!$D:$D,MATCH(C1521,[1]Detallado!$B:$B,0))</f>
        <v>Gobierno Central</v>
      </c>
      <c r="I1521" s="28"/>
      <c r="J1521" s="184" t="str">
        <f t="shared" si="47"/>
        <v>RFLGOB</v>
      </c>
    </row>
    <row r="1522" spans="3:10" x14ac:dyDescent="0.25">
      <c r="C1522" s="28" t="s">
        <v>4058</v>
      </c>
      <c r="D1522" s="188" t="str">
        <f>+INDEX([1]Detallado!$F:$F,MATCH($C1522,[1]Detallado!$B:$B,0))</f>
        <v>Renta Fija</v>
      </c>
      <c r="E1522" s="31" t="str">
        <f>+INDEX([1]Detallado!$Q:$Q,MATCH($C1522,[1]Detallado!$B:$B,0))</f>
        <v>RFLG</v>
      </c>
      <c r="F1522" s="185" t="s">
        <v>4356</v>
      </c>
      <c r="G1522" s="186" t="str">
        <f t="shared" si="46"/>
        <v>43RFLG</v>
      </c>
      <c r="H1522" s="187" t="str">
        <f>+INDEX([1]Detallado!$D:$D,MATCH(C1522,[1]Detallado!$B:$B,0))</f>
        <v>Gobierno Central</v>
      </c>
      <c r="I1522" s="28"/>
      <c r="J1522" s="184" t="str">
        <f t="shared" si="47"/>
        <v>RFLGOB</v>
      </c>
    </row>
    <row r="1523" spans="3:10" x14ac:dyDescent="0.25">
      <c r="C1523" s="28" t="s">
        <v>530</v>
      </c>
      <c r="D1523" s="188" t="str">
        <f>+INDEX([1]Detallado!$F:$F,MATCH($C1523,[1]Detallado!$B:$B,0))</f>
        <v>Renta Fija</v>
      </c>
      <c r="E1523" s="31" t="str">
        <f>+INDEX([1]Detallado!$Q:$Q,MATCH($C1523,[1]Detallado!$B:$B,0))</f>
        <v>RFLG</v>
      </c>
      <c r="F1523" s="185" t="s">
        <v>4356</v>
      </c>
      <c r="G1523" s="186" t="str">
        <f t="shared" si="46"/>
        <v>43RFLG</v>
      </c>
      <c r="H1523" s="187" t="str">
        <f>+INDEX([1]Detallado!$D:$D,MATCH(C1523,[1]Detallado!$B:$B,0))</f>
        <v>Gobierno Central</v>
      </c>
      <c r="I1523" s="28"/>
      <c r="J1523" s="184" t="str">
        <f t="shared" si="47"/>
        <v>RFLGOB</v>
      </c>
    </row>
    <row r="1524" spans="3:10" x14ac:dyDescent="0.25">
      <c r="C1524" s="28" t="s">
        <v>4059</v>
      </c>
      <c r="D1524" s="188" t="str">
        <f>+INDEX([1]Detallado!$F:$F,MATCH($C1524,[1]Detallado!$B:$B,0))</f>
        <v>Renta Fija</v>
      </c>
      <c r="E1524" s="31" t="str">
        <f>+INDEX([1]Detallado!$Q:$Q,MATCH($C1524,[1]Detallado!$B:$B,0))</f>
        <v>RFLG</v>
      </c>
      <c r="F1524" s="185" t="s">
        <v>4356</v>
      </c>
      <c r="G1524" s="186" t="str">
        <f t="shared" si="46"/>
        <v>43RFLG</v>
      </c>
      <c r="H1524" s="187" t="str">
        <f>+INDEX([1]Detallado!$D:$D,MATCH(C1524,[1]Detallado!$B:$B,0))</f>
        <v>Gobierno Central</v>
      </c>
      <c r="I1524" s="28"/>
      <c r="J1524" s="184" t="str">
        <f t="shared" si="47"/>
        <v>RFLGOB</v>
      </c>
    </row>
    <row r="1525" spans="3:10" x14ac:dyDescent="0.25">
      <c r="C1525" s="28" t="s">
        <v>4060</v>
      </c>
      <c r="D1525" s="188" t="str">
        <f>+INDEX([1]Detallado!$F:$F,MATCH($C1525,[1]Detallado!$B:$B,0))</f>
        <v>Renta Fija</v>
      </c>
      <c r="E1525" s="31" t="str">
        <f>+INDEX([1]Detallado!$Q:$Q,MATCH($C1525,[1]Detallado!$B:$B,0))</f>
        <v>RFLG</v>
      </c>
      <c r="F1525" s="185" t="s">
        <v>4356</v>
      </c>
      <c r="G1525" s="186" t="str">
        <f t="shared" si="46"/>
        <v>43RFLG</v>
      </c>
      <c r="H1525" s="187" t="str">
        <f>+INDEX([1]Detallado!$D:$D,MATCH(C1525,[1]Detallado!$B:$B,0))</f>
        <v>Gobierno Central</v>
      </c>
      <c r="I1525" s="28"/>
      <c r="J1525" s="184" t="str">
        <f t="shared" si="47"/>
        <v>RFLGOB</v>
      </c>
    </row>
    <row r="1526" spans="3:10" x14ac:dyDescent="0.25">
      <c r="C1526" s="28" t="s">
        <v>4061</v>
      </c>
      <c r="D1526" s="188" t="str">
        <f>+INDEX([1]Detallado!$F:$F,MATCH($C1526,[1]Detallado!$B:$B,0))</f>
        <v>Renta Fija</v>
      </c>
      <c r="E1526" s="31" t="str">
        <f>+INDEX([1]Detallado!$Q:$Q,MATCH($C1526,[1]Detallado!$B:$B,0))</f>
        <v>RFLG</v>
      </c>
      <c r="F1526" s="185" t="s">
        <v>4356</v>
      </c>
      <c r="G1526" s="186" t="str">
        <f t="shared" si="46"/>
        <v>43RFLG</v>
      </c>
      <c r="H1526" s="187" t="str">
        <f>+INDEX([1]Detallado!$D:$D,MATCH(C1526,[1]Detallado!$B:$B,0))</f>
        <v>Gobierno Central</v>
      </c>
      <c r="I1526" s="28"/>
      <c r="J1526" s="184" t="str">
        <f t="shared" si="47"/>
        <v>RFLGOB</v>
      </c>
    </row>
    <row r="1527" spans="3:10" x14ac:dyDescent="0.25">
      <c r="C1527" s="28" t="s">
        <v>4062</v>
      </c>
      <c r="D1527" s="188" t="str">
        <f>+INDEX([1]Detallado!$F:$F,MATCH($C1527,[1]Detallado!$B:$B,0))</f>
        <v>Renta Fija</v>
      </c>
      <c r="E1527" s="31" t="str">
        <f>+INDEX([1]Detallado!$Q:$Q,MATCH($C1527,[1]Detallado!$B:$B,0))</f>
        <v>RFLG</v>
      </c>
      <c r="F1527" s="185" t="s">
        <v>4356</v>
      </c>
      <c r="G1527" s="186" t="str">
        <f t="shared" si="46"/>
        <v>43RFLG</v>
      </c>
      <c r="H1527" s="187" t="str">
        <f>+INDEX([1]Detallado!$D:$D,MATCH(C1527,[1]Detallado!$B:$B,0))</f>
        <v>Gobierno Central</v>
      </c>
      <c r="I1527" s="28"/>
      <c r="J1527" s="184" t="str">
        <f t="shared" si="47"/>
        <v>RFLGOB</v>
      </c>
    </row>
    <row r="1528" spans="3:10" x14ac:dyDescent="0.25">
      <c r="C1528" s="28" t="s">
        <v>527</v>
      </c>
      <c r="D1528" s="188" t="str">
        <f>+INDEX([1]Detallado!$F:$F,MATCH($C1528,[1]Detallado!$B:$B,0))</f>
        <v>Renta Fija</v>
      </c>
      <c r="E1528" s="31" t="str">
        <f>+INDEX([1]Detallado!$Q:$Q,MATCH($C1528,[1]Detallado!$B:$B,0))</f>
        <v>RFLG</v>
      </c>
      <c r="F1528" s="185" t="s">
        <v>4356</v>
      </c>
      <c r="G1528" s="186" t="str">
        <f t="shared" si="46"/>
        <v>43RFLG</v>
      </c>
      <c r="H1528" s="187" t="str">
        <f>+INDEX([1]Detallado!$D:$D,MATCH(C1528,[1]Detallado!$B:$B,0))</f>
        <v>Gobierno Central</v>
      </c>
      <c r="I1528" s="28"/>
      <c r="J1528" s="184" t="str">
        <f t="shared" si="47"/>
        <v>RFLGOB</v>
      </c>
    </row>
    <row r="1529" spans="3:10" x14ac:dyDescent="0.25">
      <c r="C1529" s="28" t="s">
        <v>4063</v>
      </c>
      <c r="D1529" s="188" t="str">
        <f>+INDEX([1]Detallado!$F:$F,MATCH($C1529,[1]Detallado!$B:$B,0))</f>
        <v>Renta Fija</v>
      </c>
      <c r="E1529" s="31" t="str">
        <f>+INDEX([1]Detallado!$Q:$Q,MATCH($C1529,[1]Detallado!$B:$B,0))</f>
        <v>RFLG</v>
      </c>
      <c r="F1529" s="185" t="s">
        <v>4356</v>
      </c>
      <c r="G1529" s="186" t="str">
        <f t="shared" si="46"/>
        <v>43RFLG</v>
      </c>
      <c r="H1529" s="187" t="str">
        <f>+INDEX([1]Detallado!$D:$D,MATCH(C1529,[1]Detallado!$B:$B,0))</f>
        <v>Gobierno Central</v>
      </c>
      <c r="I1529" s="28"/>
      <c r="J1529" s="184" t="str">
        <f t="shared" si="47"/>
        <v>RFLGOB</v>
      </c>
    </row>
    <row r="1530" spans="3:10" x14ac:dyDescent="0.25">
      <c r="C1530" s="28" t="s">
        <v>4064</v>
      </c>
      <c r="D1530" s="188" t="str">
        <f>+INDEX([1]Detallado!$F:$F,MATCH($C1530,[1]Detallado!$B:$B,0))</f>
        <v>Renta Fija</v>
      </c>
      <c r="E1530" s="31" t="str">
        <f>+INDEX([1]Detallado!$Q:$Q,MATCH($C1530,[1]Detallado!$B:$B,0))</f>
        <v>RFLG</v>
      </c>
      <c r="F1530" s="185" t="s">
        <v>4357</v>
      </c>
      <c r="G1530" s="186" t="str">
        <f t="shared" si="46"/>
        <v>49RFLG</v>
      </c>
      <c r="H1530" s="187" t="str">
        <f>+INDEX([1]Detallado!$D:$D,MATCH(C1530,[1]Detallado!$B:$B,0))</f>
        <v>60%Sob + 40%TTR</v>
      </c>
      <c r="I1530" s="28"/>
      <c r="J1530" s="184" t="str">
        <f t="shared" si="47"/>
        <v>RFLBU</v>
      </c>
    </row>
    <row r="1531" spans="3:10" x14ac:dyDescent="0.25">
      <c r="C1531" s="28" t="s">
        <v>4065</v>
      </c>
      <c r="D1531" s="188" t="str">
        <f>+INDEX([1]Detallado!$F:$F,MATCH($C1531,[1]Detallado!$B:$B,0))</f>
        <v>Renta Fija</v>
      </c>
      <c r="E1531" s="31" t="str">
        <f>+INDEX([1]Detallado!$Q:$Q,MATCH($C1531,[1]Detallado!$B:$B,0))</f>
        <v>RFLG</v>
      </c>
      <c r="F1531" s="185" t="s">
        <v>4356</v>
      </c>
      <c r="G1531" s="186" t="str">
        <f t="shared" si="46"/>
        <v>04RFLG</v>
      </c>
      <c r="H1531" s="187" t="str">
        <f>+INDEX([1]Detallado!$D:$D,MATCH(C1531,[1]Detallado!$B:$B,0))</f>
        <v>Gobierno Central</v>
      </c>
      <c r="I1531" s="28"/>
      <c r="J1531" s="184" t="str">
        <f t="shared" si="47"/>
        <v>RFLGOB</v>
      </c>
    </row>
    <row r="1532" spans="3:10" x14ac:dyDescent="0.25">
      <c r="C1532" s="28" t="s">
        <v>4066</v>
      </c>
      <c r="D1532" s="188" t="str">
        <f>+INDEX([1]Detallado!$F:$F,MATCH($C1532,[1]Detallado!$B:$B,0))</f>
        <v>Renta Fija</v>
      </c>
      <c r="E1532" s="31" t="str">
        <f>+INDEX([1]Detallado!$Q:$Q,MATCH($C1532,[1]Detallado!$B:$B,0))</f>
        <v>RFLG</v>
      </c>
      <c r="F1532" s="185" t="s">
        <v>4356</v>
      </c>
      <c r="G1532" s="186" t="str">
        <f t="shared" si="46"/>
        <v>04RFLG</v>
      </c>
      <c r="H1532" s="187" t="str">
        <f>+INDEX([1]Detallado!$D:$D,MATCH(C1532,[1]Detallado!$B:$B,0))</f>
        <v>Gobierno Central</v>
      </c>
      <c r="I1532" s="28"/>
      <c r="J1532" s="184" t="str">
        <f t="shared" si="47"/>
        <v>RFLGOB</v>
      </c>
    </row>
    <row r="1533" spans="3:10" x14ac:dyDescent="0.25">
      <c r="C1533" s="28" t="s">
        <v>172</v>
      </c>
      <c r="D1533" s="188" t="str">
        <f>+INDEX([1]Detallado!$F:$F,MATCH($C1533,[1]Detallado!$B:$B,0))</f>
        <v>Renta Fija</v>
      </c>
      <c r="E1533" s="31" t="str">
        <f>+INDEX([1]Detallado!$Q:$Q,MATCH($C1533,[1]Detallado!$B:$B,0))</f>
        <v>RFLG</v>
      </c>
      <c r="F1533" s="185" t="s">
        <v>4356</v>
      </c>
      <c r="G1533" s="186" t="str">
        <f t="shared" si="46"/>
        <v>01RFLG</v>
      </c>
      <c r="H1533" s="187" t="str">
        <f>+INDEX([1]Detallado!$D:$D,MATCH(C1533,[1]Detallado!$B:$B,0))</f>
        <v>Gobierno Central</v>
      </c>
      <c r="I1533" s="28"/>
      <c r="J1533" s="184" t="str">
        <f t="shared" si="47"/>
        <v>RFLGOB</v>
      </c>
    </row>
    <row r="1534" spans="3:10" x14ac:dyDescent="0.25">
      <c r="C1534" s="28" t="s">
        <v>4067</v>
      </c>
      <c r="D1534" s="188" t="str">
        <f>+INDEX([1]Detallado!$F:$F,MATCH($C1534,[1]Detallado!$B:$B,0))</f>
        <v>Renta Fija</v>
      </c>
      <c r="E1534" s="31" t="str">
        <f>+INDEX([1]Detallado!$Q:$Q,MATCH($C1534,[1]Detallado!$B:$B,0))</f>
        <v>RFLC</v>
      </c>
      <c r="F1534" s="185" t="s">
        <v>4357</v>
      </c>
      <c r="G1534" s="186" t="str">
        <f t="shared" si="46"/>
        <v>18RFLC</v>
      </c>
      <c r="H1534" s="187" t="str">
        <f>+INDEX([1]Detallado!$D:$D,MATCH(C1534,[1]Detallado!$B:$B,0))</f>
        <v>H2Olmos S.A.</v>
      </c>
      <c r="I1534" s="28"/>
      <c r="J1534" s="184" t="str">
        <f t="shared" si="47"/>
        <v>RFLBU</v>
      </c>
    </row>
    <row r="1535" spans="3:10" x14ac:dyDescent="0.25">
      <c r="C1535" s="28" t="s">
        <v>4068</v>
      </c>
      <c r="D1535" s="188" t="str">
        <f>+INDEX([1]Detallado!$F:$F,MATCH($C1535,[1]Detallado!$B:$B,0))</f>
        <v>Renta Fija</v>
      </c>
      <c r="E1535" s="31" t="str">
        <f>+INDEX([1]Detallado!$Q:$Q,MATCH($C1535,[1]Detallado!$B:$B,0))</f>
        <v>RFLC</v>
      </c>
      <c r="F1535" s="185" t="s">
        <v>4357</v>
      </c>
      <c r="G1535" s="186" t="str">
        <f t="shared" si="46"/>
        <v>25RFLC</v>
      </c>
      <c r="H1535" s="187" t="str">
        <f>+INDEX([1]Detallado!$D:$D,MATCH(C1535,[1]Detallado!$B:$B,0))</f>
        <v xml:space="preserve">Banco Internacional del Perú </v>
      </c>
      <c r="I1535" s="28"/>
      <c r="J1535" s="184" t="str">
        <f t="shared" si="47"/>
        <v>RFLBU</v>
      </c>
    </row>
    <row r="1536" spans="3:10" x14ac:dyDescent="0.25">
      <c r="C1536" s="28" t="s">
        <v>4069</v>
      </c>
      <c r="D1536" s="188" t="str">
        <f>+INDEX([1]Detallado!$F:$F,MATCH($C1536,[1]Detallado!$B:$B,0))</f>
        <v>Renta Fija</v>
      </c>
      <c r="E1536" s="31" t="str">
        <f>+INDEX([1]Detallado!$Q:$Q,MATCH($C1536,[1]Detallado!$B:$B,0))</f>
        <v>RFLC</v>
      </c>
      <c r="F1536" s="185" t="s">
        <v>4357</v>
      </c>
      <c r="G1536" s="186" t="str">
        <f t="shared" si="46"/>
        <v>21RFLC</v>
      </c>
      <c r="H1536" s="187" t="str">
        <f>+INDEX([1]Detallado!$D:$D,MATCH(C1536,[1]Detallado!$B:$B,0))</f>
        <v xml:space="preserve">Banco Internacional del Perú </v>
      </c>
      <c r="I1536" s="28"/>
      <c r="J1536" s="184" t="str">
        <f t="shared" si="47"/>
        <v>RFLBU</v>
      </c>
    </row>
    <row r="1537" spans="3:10" x14ac:dyDescent="0.25">
      <c r="C1537" s="28" t="s">
        <v>4070</v>
      </c>
      <c r="D1537" s="188" t="str">
        <f>+INDEX([1]Detallado!$F:$F,MATCH($C1537,[1]Detallado!$B:$B,0))</f>
        <v>Renta Fija</v>
      </c>
      <c r="E1537" s="31" t="str">
        <f>+INDEX([1]Detallado!$Q:$Q,MATCH($C1537,[1]Detallado!$B:$B,0))</f>
        <v>RFLC</v>
      </c>
      <c r="F1537" s="185" t="s">
        <v>4357</v>
      </c>
      <c r="G1537" s="186" t="str">
        <f t="shared" si="46"/>
        <v>21RFLC</v>
      </c>
      <c r="H1537" s="187" t="str">
        <f>+INDEX([1]Detallado!$D:$D,MATCH(C1537,[1]Detallado!$B:$B,0))</f>
        <v>Banco Continental</v>
      </c>
      <c r="I1537" s="28"/>
      <c r="J1537" s="184" t="str">
        <f t="shared" si="47"/>
        <v>RFLBU</v>
      </c>
    </row>
    <row r="1538" spans="3:10" x14ac:dyDescent="0.25">
      <c r="C1538" s="28" t="s">
        <v>4071</v>
      </c>
      <c r="D1538" s="188" t="str">
        <f>+INDEX([1]Detallado!$F:$F,MATCH($C1538,[1]Detallado!$B:$B,0))</f>
        <v>Renta Fija</v>
      </c>
      <c r="E1538" s="31" t="str">
        <f>+INDEX([1]Detallado!$Q:$Q,MATCH($C1538,[1]Detallado!$B:$B,0))</f>
        <v>RFLC</v>
      </c>
      <c r="F1538" s="185" t="s">
        <v>4357</v>
      </c>
      <c r="G1538" s="186" t="str">
        <f t="shared" si="46"/>
        <v>21RFLC</v>
      </c>
      <c r="H1538" s="187" t="str">
        <f>+INDEX([1]Detallado!$D:$D,MATCH(C1538,[1]Detallado!$B:$B,0))</f>
        <v>Banco Continental</v>
      </c>
      <c r="I1538" s="28"/>
      <c r="J1538" s="184" t="str">
        <f t="shared" si="47"/>
        <v>RFLBU</v>
      </c>
    </row>
    <row r="1539" spans="3:10" x14ac:dyDescent="0.25">
      <c r="C1539" s="28" t="s">
        <v>4072</v>
      </c>
      <c r="D1539" s="188" t="str">
        <f>+INDEX([1]Detallado!$F:$F,MATCH($C1539,[1]Detallado!$B:$B,0))</f>
        <v>Renta Fija</v>
      </c>
      <c r="E1539" s="31" t="str">
        <f>+INDEX([1]Detallado!$Q:$Q,MATCH($C1539,[1]Detallado!$B:$B,0))</f>
        <v>RFLC</v>
      </c>
      <c r="F1539" s="185" t="s">
        <v>4357</v>
      </c>
      <c r="G1539" s="186" t="str">
        <f t="shared" si="46"/>
        <v>21RFLC</v>
      </c>
      <c r="H1539" s="187" t="str">
        <f>+INDEX([1]Detallado!$D:$D,MATCH(C1539,[1]Detallado!$B:$B,0))</f>
        <v>Banco Continental</v>
      </c>
      <c r="I1539" s="28"/>
      <c r="J1539" s="184" t="str">
        <f t="shared" si="47"/>
        <v>RFLBU</v>
      </c>
    </row>
    <row r="1540" spans="3:10" x14ac:dyDescent="0.25">
      <c r="C1540" s="28" t="s">
        <v>4073</v>
      </c>
      <c r="D1540" s="188" t="str">
        <f>+INDEX([1]Detallado!$F:$F,MATCH($C1540,[1]Detallado!$B:$B,0))</f>
        <v>Renta Fija</v>
      </c>
      <c r="E1540" s="31" t="str">
        <f>+INDEX([1]Detallado!$Q:$Q,MATCH($C1540,[1]Detallado!$B:$B,0))</f>
        <v>RFLC</v>
      </c>
      <c r="F1540" s="185" t="s">
        <v>4357</v>
      </c>
      <c r="G1540" s="186" t="str">
        <f t="shared" si="46"/>
        <v>21RFLC</v>
      </c>
      <c r="H1540" s="187" t="str">
        <f>+INDEX([1]Detallado!$D:$D,MATCH(C1540,[1]Detallado!$B:$B,0))</f>
        <v>Banco Continental</v>
      </c>
      <c r="I1540" s="28"/>
      <c r="J1540" s="184" t="str">
        <f t="shared" si="47"/>
        <v>RFLBU</v>
      </c>
    </row>
    <row r="1541" spans="3:10" x14ac:dyDescent="0.25">
      <c r="C1541" s="28" t="s">
        <v>4074</v>
      </c>
      <c r="D1541" s="188" t="str">
        <f>+INDEX([1]Detallado!$F:$F,MATCH($C1541,[1]Detallado!$B:$B,0))</f>
        <v>Renta Fija</v>
      </c>
      <c r="E1541" s="31" t="str">
        <f>+INDEX([1]Detallado!$Q:$Q,MATCH($C1541,[1]Detallado!$B:$B,0))</f>
        <v>RFLC</v>
      </c>
      <c r="F1541" s="185" t="s">
        <v>4357</v>
      </c>
      <c r="G1541" s="186" t="str">
        <f t="shared" si="46"/>
        <v>21RFLC</v>
      </c>
      <c r="H1541" s="187" t="str">
        <f>+INDEX([1]Detallado!$D:$D,MATCH(C1541,[1]Detallado!$B:$B,0))</f>
        <v>Banco Continental</v>
      </c>
      <c r="I1541" s="28"/>
      <c r="J1541" s="184" t="str">
        <f t="shared" si="47"/>
        <v>RFLBU</v>
      </c>
    </row>
    <row r="1542" spans="3:10" x14ac:dyDescent="0.25">
      <c r="C1542" s="28" t="s">
        <v>4075</v>
      </c>
      <c r="D1542" s="188" t="str">
        <f>+INDEX([1]Detallado!$F:$F,MATCH($C1542,[1]Detallado!$B:$B,0))</f>
        <v>Renta Fija</v>
      </c>
      <c r="E1542" s="31" t="str">
        <f>+INDEX([1]Detallado!$Q:$Q,MATCH($C1542,[1]Detallado!$B:$B,0))</f>
        <v>RFLC</v>
      </c>
      <c r="F1542" s="185" t="s">
        <v>4357</v>
      </c>
      <c r="G1542" s="186" t="str">
        <f t="shared" si="46"/>
        <v>21RFLC</v>
      </c>
      <c r="H1542" s="187" t="str">
        <f>+INDEX([1]Detallado!$D:$D,MATCH(C1542,[1]Detallado!$B:$B,0))</f>
        <v>Banco Interamericano de Finanzas</v>
      </c>
      <c r="I1542" s="28"/>
      <c r="J1542" s="184" t="str">
        <f t="shared" si="47"/>
        <v>RFLBU</v>
      </c>
    </row>
    <row r="1543" spans="3:10" x14ac:dyDescent="0.25">
      <c r="C1543" s="28" t="s">
        <v>4076</v>
      </c>
      <c r="D1543" s="188" t="str">
        <f>+INDEX([1]Detallado!$F:$F,MATCH($C1543,[1]Detallado!$B:$B,0))</f>
        <v>Renta Fija</v>
      </c>
      <c r="E1543" s="31" t="str">
        <f>+INDEX([1]Detallado!$Q:$Q,MATCH($C1543,[1]Detallado!$B:$B,0))</f>
        <v>RFLC</v>
      </c>
      <c r="F1543" s="185" t="s">
        <v>4357</v>
      </c>
      <c r="G1543" s="186" t="str">
        <f t="shared" si="46"/>
        <v>21RFLC</v>
      </c>
      <c r="H1543" s="187" t="str">
        <f>+INDEX([1]Detallado!$D:$D,MATCH(C1543,[1]Detallado!$B:$B,0))</f>
        <v>Banco Interamericano de Finanzas</v>
      </c>
      <c r="I1543" s="28"/>
      <c r="J1543" s="184" t="str">
        <f t="shared" si="47"/>
        <v>RFLBU</v>
      </c>
    </row>
    <row r="1544" spans="3:10" x14ac:dyDescent="0.25">
      <c r="C1544" s="28" t="s">
        <v>4077</v>
      </c>
      <c r="D1544" s="188" t="str">
        <f>+INDEX([1]Detallado!$F:$F,MATCH($C1544,[1]Detallado!$B:$B,0))</f>
        <v>Renta Fija</v>
      </c>
      <c r="E1544" s="31" t="str">
        <f>+INDEX([1]Detallado!$Q:$Q,MATCH($C1544,[1]Detallado!$B:$B,0))</f>
        <v>RFLC</v>
      </c>
      <c r="F1544" s="185" t="s">
        <v>4357</v>
      </c>
      <c r="G1544" s="186" t="str">
        <f t="shared" si="46"/>
        <v>21RFLC</v>
      </c>
      <c r="H1544" s="187" t="str">
        <f>+INDEX([1]Detallado!$D:$D,MATCH(C1544,[1]Detallado!$B:$B,0))</f>
        <v>Banco Interamericano de Finanzas</v>
      </c>
      <c r="I1544" s="28"/>
      <c r="J1544" s="184" t="str">
        <f t="shared" si="47"/>
        <v>RFLBU</v>
      </c>
    </row>
    <row r="1545" spans="3:10" x14ac:dyDescent="0.25">
      <c r="C1545" s="28" t="s">
        <v>4078</v>
      </c>
      <c r="D1545" s="188" t="str">
        <f>+INDEX([1]Detallado!$F:$F,MATCH($C1545,[1]Detallado!$B:$B,0))</f>
        <v>Renta Fija</v>
      </c>
      <c r="E1545" s="31" t="str">
        <f>+INDEX([1]Detallado!$Q:$Q,MATCH($C1545,[1]Detallado!$B:$B,0))</f>
        <v>RFLC</v>
      </c>
      <c r="F1545" s="185" t="s">
        <v>4357</v>
      </c>
      <c r="G1545" s="186" t="str">
        <f t="shared" si="46"/>
        <v>22RFLC</v>
      </c>
      <c r="H1545" s="187" t="str">
        <f>+INDEX([1]Detallado!$D:$D,MATCH(C1545,[1]Detallado!$B:$B,0))</f>
        <v>Edelnor</v>
      </c>
      <c r="I1545" s="28"/>
      <c r="J1545" s="184" t="str">
        <f t="shared" si="47"/>
        <v>RFLBU</v>
      </c>
    </row>
    <row r="1546" spans="3:10" x14ac:dyDescent="0.25">
      <c r="C1546" s="28" t="s">
        <v>4079</v>
      </c>
      <c r="D1546" s="188" t="str">
        <f>+INDEX([1]Detallado!$F:$F,MATCH($C1546,[1]Detallado!$B:$B,0))</f>
        <v>Renta Fija</v>
      </c>
      <c r="E1546" s="31" t="str">
        <f>+INDEX([1]Detallado!$Q:$Q,MATCH($C1546,[1]Detallado!$B:$B,0))</f>
        <v>RFLC</v>
      </c>
      <c r="F1546" s="185" t="s">
        <v>4357</v>
      </c>
      <c r="G1546" s="186" t="str">
        <f t="shared" ref="G1546:G1609" si="48">LEFT(C1546,2)&amp;E1546</f>
        <v>22RFLC</v>
      </c>
      <c r="H1546" s="187" t="str">
        <f>+INDEX([1]Detallado!$D:$D,MATCH(C1546,[1]Detallado!$B:$B,0))</f>
        <v>Edelnor</v>
      </c>
      <c r="I1546" s="28"/>
      <c r="J1546" s="184" t="str">
        <f t="shared" ref="J1546:J1609" si="49">IF(E1546="ALT",LEFT(E1546,3),LEFT(E1546,3)&amp;F1546)</f>
        <v>RFLBU</v>
      </c>
    </row>
    <row r="1547" spans="3:10" x14ac:dyDescent="0.25">
      <c r="C1547" s="28" t="s">
        <v>4080</v>
      </c>
      <c r="D1547" s="188" t="str">
        <f>+INDEX([1]Detallado!$F:$F,MATCH($C1547,[1]Detallado!$B:$B,0))</f>
        <v>Renta Fija</v>
      </c>
      <c r="E1547" s="31" t="str">
        <f>+INDEX([1]Detallado!$Q:$Q,MATCH($C1547,[1]Detallado!$B:$B,0))</f>
        <v>RFLC</v>
      </c>
      <c r="F1547" s="185" t="s">
        <v>4357</v>
      </c>
      <c r="G1547" s="186" t="str">
        <f t="shared" si="48"/>
        <v>22RFLC</v>
      </c>
      <c r="H1547" s="187" t="str">
        <f>+INDEX([1]Detallado!$D:$D,MATCH(C1547,[1]Detallado!$B:$B,0))</f>
        <v xml:space="preserve">Transportadora de Gas del Perú </v>
      </c>
      <c r="I1547" s="28"/>
      <c r="J1547" s="184" t="str">
        <f t="shared" si="49"/>
        <v>RFLBU</v>
      </c>
    </row>
    <row r="1548" spans="3:10" x14ac:dyDescent="0.25">
      <c r="C1548" s="28" t="s">
        <v>4081</v>
      </c>
      <c r="D1548" s="188" t="str">
        <f>+INDEX([1]Detallado!$F:$F,MATCH($C1548,[1]Detallado!$B:$B,0))</f>
        <v>Renta Fija</v>
      </c>
      <c r="E1548" s="31" t="str">
        <f>+INDEX([1]Detallado!$Q:$Q,MATCH($C1548,[1]Detallado!$B:$B,0))</f>
        <v>RFLC</v>
      </c>
      <c r="F1548" s="185" t="s">
        <v>4357</v>
      </c>
      <c r="G1548" s="186" t="str">
        <f t="shared" si="48"/>
        <v>22RFLC</v>
      </c>
      <c r="H1548" s="187" t="str">
        <f>+INDEX([1]Detallado!$D:$D,MATCH(C1548,[1]Detallado!$B:$B,0))</f>
        <v xml:space="preserve">Transportadora de Gas del Perú </v>
      </c>
      <c r="I1548" s="28"/>
      <c r="J1548" s="184" t="str">
        <f t="shared" si="49"/>
        <v>RFLBU</v>
      </c>
    </row>
    <row r="1549" spans="3:10" x14ac:dyDescent="0.25">
      <c r="C1549" s="28" t="s">
        <v>272</v>
      </c>
      <c r="D1549" s="188" t="str">
        <f>+INDEX([1]Detallado!$F:$F,MATCH($C1549,[1]Detallado!$B:$B,0))</f>
        <v>Renta Fija</v>
      </c>
      <c r="E1549" s="31" t="str">
        <f>+INDEX([1]Detallado!$Q:$Q,MATCH($C1549,[1]Detallado!$B:$B,0))</f>
        <v>RFLC</v>
      </c>
      <c r="F1549" s="185" t="s">
        <v>4357</v>
      </c>
      <c r="G1549" s="186" t="str">
        <f t="shared" si="48"/>
        <v>22RFLC</v>
      </c>
      <c r="H1549" s="187" t="str">
        <f>+INDEX([1]Detallado!$D:$D,MATCH(C1549,[1]Detallado!$B:$B,0))</f>
        <v xml:space="preserve">Concesionario Trasvase Olmos </v>
      </c>
      <c r="I1549" s="28"/>
      <c r="J1549" s="184" t="str">
        <f t="shared" si="49"/>
        <v>RFLBU</v>
      </c>
    </row>
    <row r="1550" spans="3:10" x14ac:dyDescent="0.25">
      <c r="C1550" s="28" t="s">
        <v>274</v>
      </c>
      <c r="D1550" s="188" t="str">
        <f>+INDEX([1]Detallado!$F:$F,MATCH($C1550,[1]Detallado!$B:$B,0))</f>
        <v>Renta Fija</v>
      </c>
      <c r="E1550" s="31" t="str">
        <f>+INDEX([1]Detallado!$Q:$Q,MATCH($C1550,[1]Detallado!$B:$B,0))</f>
        <v>RFLC</v>
      </c>
      <c r="F1550" s="185" t="s">
        <v>4357</v>
      </c>
      <c r="G1550" s="186" t="str">
        <f t="shared" si="48"/>
        <v>22RFLC</v>
      </c>
      <c r="H1550" s="187" t="str">
        <f>+INDEX([1]Detallado!$D:$D,MATCH(C1550,[1]Detallado!$B:$B,0))</f>
        <v xml:space="preserve">Concesionario Trasvase Olmos </v>
      </c>
      <c r="I1550" s="28"/>
      <c r="J1550" s="184" t="str">
        <f t="shared" si="49"/>
        <v>RFLBU</v>
      </c>
    </row>
    <row r="1551" spans="3:10" x14ac:dyDescent="0.25">
      <c r="C1551" s="28" t="s">
        <v>4082</v>
      </c>
      <c r="D1551" s="188" t="str">
        <f>+INDEX([1]Detallado!$F:$F,MATCH($C1551,[1]Detallado!$B:$B,0))</f>
        <v>Renta Fija</v>
      </c>
      <c r="E1551" s="31" t="str">
        <f>+INDEX([1]Detallado!$Q:$Q,MATCH($C1551,[1]Detallado!$B:$B,0))</f>
        <v>RFLC</v>
      </c>
      <c r="F1551" s="185" t="s">
        <v>4357</v>
      </c>
      <c r="G1551" s="186" t="str">
        <f t="shared" si="48"/>
        <v>22RFLC</v>
      </c>
      <c r="H1551" s="187" t="str">
        <f>+INDEX([1]Detallado!$D:$D,MATCH(C1551,[1]Detallado!$B:$B,0))</f>
        <v>Rutas de Lima</v>
      </c>
      <c r="I1551" s="28"/>
      <c r="J1551" s="184" t="str">
        <f t="shared" si="49"/>
        <v>RFLBU</v>
      </c>
    </row>
    <row r="1552" spans="3:10" x14ac:dyDescent="0.25">
      <c r="C1552" s="28" t="s">
        <v>4083</v>
      </c>
      <c r="D1552" s="188" t="str">
        <f>+INDEX([1]Detallado!$F:$F,MATCH($C1552,[1]Detallado!$B:$B,0))</f>
        <v>Renta Fija</v>
      </c>
      <c r="E1552" s="31" t="str">
        <f>+INDEX([1]Detallado!$Q:$Q,MATCH($C1552,[1]Detallado!$B:$B,0))</f>
        <v>RFLC</v>
      </c>
      <c r="F1552" s="185" t="s">
        <v>4357</v>
      </c>
      <c r="G1552" s="186" t="str">
        <f t="shared" si="48"/>
        <v>22RFLC</v>
      </c>
      <c r="H1552" s="187" t="str">
        <f>+INDEX([1]Detallado!$D:$D,MATCH(C1552,[1]Detallado!$B:$B,0))</f>
        <v>GYMFERROVIAS</v>
      </c>
      <c r="I1552" s="28"/>
      <c r="J1552" s="184" t="str">
        <f t="shared" si="49"/>
        <v>RFLBU</v>
      </c>
    </row>
    <row r="1553" spans="3:10" x14ac:dyDescent="0.25">
      <c r="C1553" s="28" t="s">
        <v>4084</v>
      </c>
      <c r="D1553" s="188" t="str">
        <f>+INDEX([1]Detallado!$F:$F,MATCH($C1553,[1]Detallado!$B:$B,0))</f>
        <v>Renta Fija</v>
      </c>
      <c r="E1553" s="31" t="str">
        <f>+INDEX([1]Detallado!$Q:$Q,MATCH($C1553,[1]Detallado!$B:$B,0))</f>
        <v>RFLC</v>
      </c>
      <c r="F1553" s="185" t="s">
        <v>4357</v>
      </c>
      <c r="G1553" s="186" t="str">
        <f t="shared" si="48"/>
        <v>22RFLC</v>
      </c>
      <c r="H1553" s="187" t="str">
        <f>+INDEX([1]Detallado!$D:$D,MATCH(C1553,[1]Detallado!$B:$B,0))</f>
        <v xml:space="preserve">Telefónica del Perú </v>
      </c>
      <c r="I1553" s="28"/>
      <c r="J1553" s="184" t="str">
        <f t="shared" si="49"/>
        <v>RFLBU</v>
      </c>
    </row>
    <row r="1554" spans="3:10" x14ac:dyDescent="0.25">
      <c r="C1554" s="28" t="s">
        <v>4085</v>
      </c>
      <c r="D1554" s="188" t="str">
        <f>+INDEX([1]Detallado!$F:$F,MATCH($C1554,[1]Detallado!$B:$B,0))</f>
        <v>Renta Fija</v>
      </c>
      <c r="E1554" s="31" t="str">
        <f>+INDEX([1]Detallado!$Q:$Q,MATCH($C1554,[1]Detallado!$B:$B,0))</f>
        <v>RFLC</v>
      </c>
      <c r="F1554" s="185" t="s">
        <v>4357</v>
      </c>
      <c r="G1554" s="186" t="str">
        <f t="shared" si="48"/>
        <v>22RFLC</v>
      </c>
      <c r="H1554" s="187" t="str">
        <f>+INDEX([1]Detallado!$D:$D,MATCH(C1554,[1]Detallado!$B:$B,0))</f>
        <v xml:space="preserve">Telefónica del Perú </v>
      </c>
      <c r="I1554" s="28"/>
      <c r="J1554" s="184" t="str">
        <f t="shared" si="49"/>
        <v>RFLBU</v>
      </c>
    </row>
    <row r="1555" spans="3:10" x14ac:dyDescent="0.25">
      <c r="C1555" s="28" t="s">
        <v>324</v>
      </c>
      <c r="D1555" s="188" t="str">
        <f>+INDEX([1]Detallado!$F:$F,MATCH($C1555,[1]Detallado!$B:$B,0))</f>
        <v>Renta Fija</v>
      </c>
      <c r="E1555" s="31" t="str">
        <f>+INDEX([1]Detallado!$Q:$Q,MATCH($C1555,[1]Detallado!$B:$B,0))</f>
        <v>RFLC</v>
      </c>
      <c r="F1555" s="185" t="s">
        <v>4357</v>
      </c>
      <c r="G1555" s="186" t="str">
        <f t="shared" si="48"/>
        <v>22RFLC</v>
      </c>
      <c r="H1555" s="187" t="str">
        <f>+INDEX([1]Detallado!$D:$D,MATCH(C1555,[1]Detallado!$B:$B,0))</f>
        <v xml:space="preserve">Telefónica del Perú </v>
      </c>
      <c r="I1555" s="28"/>
      <c r="J1555" s="184" t="str">
        <f t="shared" si="49"/>
        <v>RFLBU</v>
      </c>
    </row>
    <row r="1556" spans="3:10" x14ac:dyDescent="0.25">
      <c r="C1556" s="28" t="s">
        <v>329</v>
      </c>
      <c r="D1556" s="188" t="str">
        <f>+INDEX([1]Detallado!$F:$F,MATCH($C1556,[1]Detallado!$B:$B,0))</f>
        <v>Renta Fija</v>
      </c>
      <c r="E1556" s="31" t="str">
        <f>+INDEX([1]Detallado!$Q:$Q,MATCH($C1556,[1]Detallado!$B:$B,0))</f>
        <v>RFLC</v>
      </c>
      <c r="F1556" s="185" t="s">
        <v>4357</v>
      </c>
      <c r="G1556" s="186" t="str">
        <f t="shared" si="48"/>
        <v>22RFLC</v>
      </c>
      <c r="H1556" s="187" t="str">
        <f>+INDEX([1]Detallado!$D:$D,MATCH(C1556,[1]Detallado!$B:$B,0))</f>
        <v xml:space="preserve">Telefónica del Perú </v>
      </c>
      <c r="I1556" s="28"/>
      <c r="J1556" s="184" t="str">
        <f t="shared" si="49"/>
        <v>RFLBU</v>
      </c>
    </row>
    <row r="1557" spans="3:10" x14ac:dyDescent="0.25">
      <c r="C1557" s="28" t="s">
        <v>4086</v>
      </c>
      <c r="D1557" s="188" t="str">
        <f>+INDEX([1]Detallado!$F:$F,MATCH($C1557,[1]Detallado!$B:$B,0))</f>
        <v>Renta Fija</v>
      </c>
      <c r="E1557" s="31" t="str">
        <f>+INDEX([1]Detallado!$Q:$Q,MATCH($C1557,[1]Detallado!$B:$B,0))</f>
        <v>RFLC</v>
      </c>
      <c r="F1557" s="185" t="s">
        <v>4357</v>
      </c>
      <c r="G1557" s="186" t="str">
        <f t="shared" si="48"/>
        <v>22RFLC</v>
      </c>
      <c r="H1557" s="187" t="str">
        <f>+INDEX([1]Detallado!$D:$D,MATCH(C1557,[1]Detallado!$B:$B,0))</f>
        <v xml:space="preserve">Telefónica del Perú </v>
      </c>
      <c r="I1557" s="28"/>
      <c r="J1557" s="184" t="str">
        <f t="shared" si="49"/>
        <v>RFLBU</v>
      </c>
    </row>
    <row r="1558" spans="3:10" x14ac:dyDescent="0.25">
      <c r="C1558" s="28" t="s">
        <v>4087</v>
      </c>
      <c r="D1558" s="188" t="str">
        <f>+INDEX([1]Detallado!$F:$F,MATCH($C1558,[1]Detallado!$B:$B,0))</f>
        <v>Renta Fija</v>
      </c>
      <c r="E1558" s="31" t="str">
        <f>+INDEX([1]Detallado!$Q:$Q,MATCH($C1558,[1]Detallado!$B:$B,0))</f>
        <v>RFLC</v>
      </c>
      <c r="F1558" s="185" t="s">
        <v>4357</v>
      </c>
      <c r="G1558" s="186" t="str">
        <f t="shared" si="48"/>
        <v>22RFLC</v>
      </c>
      <c r="H1558" s="187" t="str">
        <f>+INDEX([1]Detallado!$D:$D,MATCH(C1558,[1]Detallado!$B:$B,0))</f>
        <v xml:space="preserve">Telefónica del Perú </v>
      </c>
      <c r="I1558" s="28"/>
      <c r="J1558" s="184" t="str">
        <f t="shared" si="49"/>
        <v>RFLBU</v>
      </c>
    </row>
    <row r="1559" spans="3:10" x14ac:dyDescent="0.25">
      <c r="C1559" s="28" t="s">
        <v>4088</v>
      </c>
      <c r="D1559" s="188" t="str">
        <f>+INDEX([1]Detallado!$F:$F,MATCH($C1559,[1]Detallado!$B:$B,0))</f>
        <v>Renta Fija</v>
      </c>
      <c r="E1559" s="31" t="str">
        <f>+INDEX([1]Detallado!$Q:$Q,MATCH($C1559,[1]Detallado!$B:$B,0))</f>
        <v>RFLC</v>
      </c>
      <c r="F1559" s="185" t="s">
        <v>4357</v>
      </c>
      <c r="G1559" s="186" t="str">
        <f t="shared" si="48"/>
        <v>27RFLC</v>
      </c>
      <c r="H1559" s="187" t="str">
        <f>+INDEX([1]Detallado!$D:$D,MATCH(C1559,[1]Detallado!$B:$B,0))</f>
        <v xml:space="preserve">Creditítulos Sociedad Titulizadora </v>
      </c>
      <c r="I1559" s="28"/>
      <c r="J1559" s="184" t="str">
        <f t="shared" si="49"/>
        <v>RFLBU</v>
      </c>
    </row>
    <row r="1560" spans="3:10" x14ac:dyDescent="0.25">
      <c r="C1560" s="28" t="s">
        <v>4089</v>
      </c>
      <c r="D1560" s="188" t="str">
        <f>+INDEX([1]Detallado!$F:$F,MATCH($C1560,[1]Detallado!$B:$B,0))</f>
        <v>Renta Fija</v>
      </c>
      <c r="E1560" s="31" t="str">
        <f>+INDEX([1]Detallado!$Q:$Q,MATCH($C1560,[1]Detallado!$B:$B,0))</f>
        <v>RFLC</v>
      </c>
      <c r="F1560" s="185" t="s">
        <v>4357</v>
      </c>
      <c r="G1560" s="186" t="str">
        <f t="shared" si="48"/>
        <v>27RFLC</v>
      </c>
      <c r="H1560" s="187" t="str">
        <f>+INDEX([1]Detallado!$D:$D,MATCH(C1560,[1]Detallado!$B:$B,0))</f>
        <v>Continental Sociedad Titulizadora</v>
      </c>
      <c r="I1560" s="28"/>
      <c r="J1560" s="184" t="str">
        <f t="shared" si="49"/>
        <v>RFLBU</v>
      </c>
    </row>
    <row r="1561" spans="3:10" x14ac:dyDescent="0.25">
      <c r="C1561" s="28" t="s">
        <v>4090</v>
      </c>
      <c r="D1561" s="188" t="str">
        <f>+INDEX([1]Detallado!$F:$F,MATCH($C1561,[1]Detallado!$B:$B,0))</f>
        <v>Renta Fija</v>
      </c>
      <c r="E1561" s="31" t="str">
        <f>+INDEX([1]Detallado!$Q:$Q,MATCH($C1561,[1]Detallado!$B:$B,0))</f>
        <v>RFLC</v>
      </c>
      <c r="F1561" s="185" t="s">
        <v>4357</v>
      </c>
      <c r="G1561" s="186" t="str">
        <f t="shared" si="48"/>
        <v>27RFLC</v>
      </c>
      <c r="H1561" s="187" t="str">
        <f>+INDEX([1]Detallado!$D:$D,MATCH(C1561,[1]Detallado!$B:$B,0))</f>
        <v>Continental Sociedad Titulizadora</v>
      </c>
      <c r="I1561" s="28"/>
      <c r="J1561" s="184" t="str">
        <f t="shared" si="49"/>
        <v>RFLBU</v>
      </c>
    </row>
    <row r="1562" spans="3:10" x14ac:dyDescent="0.25">
      <c r="C1562" s="28" t="s">
        <v>4091</v>
      </c>
      <c r="D1562" s="188" t="str">
        <f>+INDEX([1]Detallado!$F:$F,MATCH($C1562,[1]Detallado!$B:$B,0))</f>
        <v>Renta Fija</v>
      </c>
      <c r="E1562" s="31" t="str">
        <f>+INDEX([1]Detallado!$Q:$Q,MATCH($C1562,[1]Detallado!$B:$B,0))</f>
        <v>RFLC</v>
      </c>
      <c r="F1562" s="185" t="s">
        <v>4357</v>
      </c>
      <c r="G1562" s="186" t="str">
        <f t="shared" si="48"/>
        <v>27RFLC</v>
      </c>
      <c r="H1562" s="187" t="str">
        <f>+INDEX([1]Detallado!$D:$D,MATCH(C1562,[1]Detallado!$B:$B,0))</f>
        <v>CRPAO Vac Trust</v>
      </c>
      <c r="I1562" s="28"/>
      <c r="J1562" s="184" t="str">
        <f t="shared" si="49"/>
        <v>RFLBU</v>
      </c>
    </row>
    <row r="1563" spans="3:10" x14ac:dyDescent="0.25">
      <c r="C1563" s="28" t="s">
        <v>4092</v>
      </c>
      <c r="D1563" s="188" t="str">
        <f>+INDEX([1]Detallado!$F:$F,MATCH($C1563,[1]Detallado!$B:$B,0))</f>
        <v>Renta Fija</v>
      </c>
      <c r="E1563" s="31" t="str">
        <f>+INDEX([1]Detallado!$Q:$Q,MATCH($C1563,[1]Detallado!$B:$B,0))</f>
        <v>RFLC</v>
      </c>
      <c r="F1563" s="185" t="s">
        <v>4357</v>
      </c>
      <c r="G1563" s="186" t="str">
        <f t="shared" si="48"/>
        <v>37RFLC</v>
      </c>
      <c r="H1563" s="187" t="str">
        <f>+INDEX([1]Detallado!$D:$D,MATCH(C1563,[1]Detallado!$B:$B,0))</f>
        <v>BCP-PF Fideicomiso en Infraestructura</v>
      </c>
      <c r="I1563" s="28"/>
      <c r="J1563" s="184" t="str">
        <f t="shared" si="49"/>
        <v>RFLBU</v>
      </c>
    </row>
    <row r="1564" spans="3:10" x14ac:dyDescent="0.25">
      <c r="C1564" s="28" t="s">
        <v>4093</v>
      </c>
      <c r="D1564" s="188" t="str">
        <f>+INDEX([1]Detallado!$F:$F,MATCH($C1564,[1]Detallado!$B:$B,0))</f>
        <v>Renta Fija</v>
      </c>
      <c r="E1564" s="31" t="str">
        <f>+INDEX([1]Detallado!$Q:$Q,MATCH($C1564,[1]Detallado!$B:$B,0))</f>
        <v>RFLC</v>
      </c>
      <c r="F1564" s="185" t="s">
        <v>4357</v>
      </c>
      <c r="G1564" s="186" t="str">
        <f t="shared" si="48"/>
        <v>27RFLC</v>
      </c>
      <c r="H1564" s="187" t="str">
        <f>+INDEX([1]Detallado!$D:$D,MATCH(C1564,[1]Detallado!$B:$B,0))</f>
        <v xml:space="preserve">Scotia Sociedad Titulizadora </v>
      </c>
      <c r="I1564" s="28"/>
      <c r="J1564" s="184" t="str">
        <f t="shared" si="49"/>
        <v>RFLBU</v>
      </c>
    </row>
    <row r="1565" spans="3:10" x14ac:dyDescent="0.25">
      <c r="C1565" s="28" t="s">
        <v>4094</v>
      </c>
      <c r="D1565" s="188" t="str">
        <f>+INDEX([1]Detallado!$F:$F,MATCH($C1565,[1]Detallado!$B:$B,0))</f>
        <v>Renta Fija</v>
      </c>
      <c r="E1565" s="31" t="str">
        <f>+INDEX([1]Detallado!$Q:$Q,MATCH($C1565,[1]Detallado!$B:$B,0))</f>
        <v>RFLC</v>
      </c>
      <c r="F1565" s="185" t="s">
        <v>4357</v>
      </c>
      <c r="G1565" s="186" t="str">
        <f t="shared" si="48"/>
        <v>27RFLC</v>
      </c>
      <c r="H1565" s="187" t="str">
        <f>+INDEX([1]Detallado!$D:$D,MATCH(C1565,[1]Detallado!$B:$B,0))</f>
        <v>IPSA - Bonos titulizados</v>
      </c>
      <c r="I1565" s="28"/>
      <c r="J1565" s="184" t="str">
        <f t="shared" si="49"/>
        <v>RFLBU</v>
      </c>
    </row>
    <row r="1566" spans="3:10" x14ac:dyDescent="0.25">
      <c r="C1566" s="28" t="s">
        <v>4095</v>
      </c>
      <c r="D1566" s="188" t="str">
        <f>+INDEX([1]Detallado!$F:$F,MATCH($C1566,[1]Detallado!$B:$B,0))</f>
        <v>Renta Fija</v>
      </c>
      <c r="E1566" s="31" t="str">
        <f>+INDEX([1]Detallado!$Q:$Q,MATCH($C1566,[1]Detallado!$B:$B,0))</f>
        <v>RFLG</v>
      </c>
      <c r="F1566" s="185" t="s">
        <v>4356</v>
      </c>
      <c r="G1566" s="186" t="str">
        <f t="shared" si="48"/>
        <v>01RFLG</v>
      </c>
      <c r="H1566" s="187" t="str">
        <f>+INDEX([1]Detallado!$D:$D,MATCH(C1566,[1]Detallado!$B:$B,0))</f>
        <v>Gobierno Central</v>
      </c>
      <c r="I1566" s="28"/>
      <c r="J1566" s="184" t="str">
        <f t="shared" si="49"/>
        <v>RFLGOB</v>
      </c>
    </row>
    <row r="1567" spans="3:10" x14ac:dyDescent="0.25">
      <c r="C1567" s="28" t="s">
        <v>4096</v>
      </c>
      <c r="D1567" s="188" t="str">
        <f>+INDEX([1]Detallado!$F:$F,MATCH($C1567,[1]Detallado!$B:$B,0))</f>
        <v>Renta Fija</v>
      </c>
      <c r="E1567" s="31" t="str">
        <f>+INDEX([1]Detallado!$Q:$Q,MATCH($C1567,[1]Detallado!$B:$B,0))</f>
        <v>RFLG</v>
      </c>
      <c r="F1567" s="185" t="s">
        <v>4356</v>
      </c>
      <c r="G1567" s="186" t="str">
        <f t="shared" si="48"/>
        <v>01RFLG</v>
      </c>
      <c r="H1567" s="187" t="str">
        <f>+INDEX([1]Detallado!$D:$D,MATCH(C1567,[1]Detallado!$B:$B,0))</f>
        <v>Gobierno Central</v>
      </c>
      <c r="I1567" s="28"/>
      <c r="J1567" s="184" t="str">
        <f t="shared" si="49"/>
        <v>RFLGOB</v>
      </c>
    </row>
    <row r="1568" spans="3:10" x14ac:dyDescent="0.25">
      <c r="C1568" s="28" t="s">
        <v>4097</v>
      </c>
      <c r="D1568" s="188" t="str">
        <f>+INDEX([1]Detallado!$F:$F,MATCH($C1568,[1]Detallado!$B:$B,0))</f>
        <v>Renta Fija</v>
      </c>
      <c r="E1568" s="31" t="str">
        <f>+INDEX([1]Detallado!$Q:$Q,MATCH($C1568,[1]Detallado!$B:$B,0))</f>
        <v>RFLG</v>
      </c>
      <c r="F1568" s="185" t="s">
        <v>4356</v>
      </c>
      <c r="G1568" s="186" t="str">
        <f t="shared" si="48"/>
        <v>01RFLG</v>
      </c>
      <c r="H1568" s="187" t="str">
        <f>+INDEX([1]Detallado!$D:$D,MATCH(C1568,[1]Detallado!$B:$B,0))</f>
        <v>Gobierno Central</v>
      </c>
      <c r="I1568" s="28"/>
      <c r="J1568" s="184" t="str">
        <f t="shared" si="49"/>
        <v>RFLGOB</v>
      </c>
    </row>
    <row r="1569" spans="3:10" x14ac:dyDescent="0.25">
      <c r="C1569" s="28" t="s">
        <v>4098</v>
      </c>
      <c r="D1569" s="188" t="str">
        <f>+INDEX([1]Detallado!$F:$F,MATCH($C1569,[1]Detallado!$B:$B,0))</f>
        <v>Renta Fija</v>
      </c>
      <c r="E1569" s="31" t="str">
        <f>+INDEX([1]Detallado!$Q:$Q,MATCH($C1569,[1]Detallado!$B:$B,0))</f>
        <v>RFLG</v>
      </c>
      <c r="F1569" s="185" t="s">
        <v>4356</v>
      </c>
      <c r="G1569" s="186" t="str">
        <f t="shared" si="48"/>
        <v>01RFLG</v>
      </c>
      <c r="H1569" s="187" t="str">
        <f>+INDEX([1]Detallado!$D:$D,MATCH(C1569,[1]Detallado!$B:$B,0))</f>
        <v>Gobierno Central</v>
      </c>
      <c r="I1569" s="28"/>
      <c r="J1569" s="184" t="str">
        <f t="shared" si="49"/>
        <v>RFLGOB</v>
      </c>
    </row>
    <row r="1570" spans="3:10" x14ac:dyDescent="0.25">
      <c r="C1570" s="28" t="s">
        <v>4099</v>
      </c>
      <c r="D1570" s="188" t="str">
        <f>+INDEX([1]Detallado!$F:$F,MATCH($C1570,[1]Detallado!$B:$B,0))</f>
        <v>Renta Fija</v>
      </c>
      <c r="E1570" s="31" t="str">
        <f>+INDEX([1]Detallado!$Q:$Q,MATCH($C1570,[1]Detallado!$B:$B,0))</f>
        <v>RFLG</v>
      </c>
      <c r="F1570" s="185" t="s">
        <v>4356</v>
      </c>
      <c r="G1570" s="186" t="str">
        <f t="shared" si="48"/>
        <v>01RFLG</v>
      </c>
      <c r="H1570" s="187" t="str">
        <f>+INDEX([1]Detallado!$D:$D,MATCH(C1570,[1]Detallado!$B:$B,0))</f>
        <v>Gobierno Central</v>
      </c>
      <c r="I1570" s="28"/>
      <c r="J1570" s="184" t="str">
        <f t="shared" si="49"/>
        <v>RFLGOB</v>
      </c>
    </row>
    <row r="1571" spans="3:10" x14ac:dyDescent="0.25">
      <c r="C1571" s="28" t="s">
        <v>4100</v>
      </c>
      <c r="D1571" s="188" t="str">
        <f>+INDEX([1]Detallado!$F:$F,MATCH($C1571,[1]Detallado!$B:$B,0))</f>
        <v>Renta Fija</v>
      </c>
      <c r="E1571" s="31" t="str">
        <f>+INDEX([1]Detallado!$Q:$Q,MATCH($C1571,[1]Detallado!$B:$B,0))</f>
        <v>RFLG</v>
      </c>
      <c r="F1571" s="185" t="s">
        <v>4356</v>
      </c>
      <c r="G1571" s="186" t="str">
        <f t="shared" si="48"/>
        <v>01RFLG</v>
      </c>
      <c r="H1571" s="187" t="str">
        <f>+INDEX([1]Detallado!$D:$D,MATCH(C1571,[1]Detallado!$B:$B,0))</f>
        <v>Gobierno Central</v>
      </c>
      <c r="I1571" s="28"/>
      <c r="J1571" s="184" t="str">
        <f t="shared" si="49"/>
        <v>RFLGOB</v>
      </c>
    </row>
    <row r="1572" spans="3:10" x14ac:dyDescent="0.25">
      <c r="C1572" s="28" t="s">
        <v>4101</v>
      </c>
      <c r="D1572" s="188" t="str">
        <f>+INDEX([1]Detallado!$F:$F,MATCH($C1572,[1]Detallado!$B:$B,0))</f>
        <v>Renta Fija</v>
      </c>
      <c r="E1572" s="31" t="str">
        <f>+INDEX([1]Detallado!$Q:$Q,MATCH($C1572,[1]Detallado!$B:$B,0))</f>
        <v>RFLG</v>
      </c>
      <c r="F1572" s="185" t="s">
        <v>4356</v>
      </c>
      <c r="G1572" s="186" t="str">
        <f t="shared" si="48"/>
        <v>01RFLG</v>
      </c>
      <c r="H1572" s="187" t="str">
        <f>+INDEX([1]Detallado!$D:$D,MATCH(C1572,[1]Detallado!$B:$B,0))</f>
        <v>Gobierno Central</v>
      </c>
      <c r="I1572" s="28"/>
      <c r="J1572" s="184" t="str">
        <f t="shared" si="49"/>
        <v>RFLGOB</v>
      </c>
    </row>
    <row r="1573" spans="3:10" x14ac:dyDescent="0.25">
      <c r="C1573" s="28" t="s">
        <v>159</v>
      </c>
      <c r="D1573" s="188" t="str">
        <f>+INDEX([1]Detallado!$F:$F,MATCH($C1573,[1]Detallado!$B:$B,0))</f>
        <v>Renta Fija</v>
      </c>
      <c r="E1573" s="31" t="str">
        <f>+INDEX([1]Detallado!$Q:$Q,MATCH($C1573,[1]Detallado!$B:$B,0))</f>
        <v>RFLG</v>
      </c>
      <c r="F1573" s="185" t="s">
        <v>4356</v>
      </c>
      <c r="G1573" s="186" t="str">
        <f t="shared" si="48"/>
        <v>01RFLG</v>
      </c>
      <c r="H1573" s="187" t="str">
        <f>+INDEX([1]Detallado!$D:$D,MATCH(C1573,[1]Detallado!$B:$B,0))</f>
        <v>Gobierno Central</v>
      </c>
      <c r="I1573" s="28"/>
      <c r="J1573" s="184" t="str">
        <f t="shared" si="49"/>
        <v>RFLGOB</v>
      </c>
    </row>
    <row r="1574" spans="3:10" x14ac:dyDescent="0.25">
      <c r="C1574" s="28" t="s">
        <v>4102</v>
      </c>
      <c r="D1574" s="188" t="str">
        <f>+INDEX([1]Detallado!$F:$F,MATCH($C1574,[1]Detallado!$B:$B,0))</f>
        <v>Renta Fija</v>
      </c>
      <c r="E1574" s="31" t="str">
        <f>+INDEX([1]Detallado!$Q:$Q,MATCH($C1574,[1]Detallado!$B:$B,0))</f>
        <v>RFLG</v>
      </c>
      <c r="F1574" s="185" t="s">
        <v>4356</v>
      </c>
      <c r="G1574" s="186" t="str">
        <f t="shared" si="48"/>
        <v>01RFLG</v>
      </c>
      <c r="H1574" s="187" t="str">
        <f>+INDEX([1]Detallado!$D:$D,MATCH(C1574,[1]Detallado!$B:$B,0))</f>
        <v>Gobierno Central</v>
      </c>
      <c r="I1574" s="28"/>
      <c r="J1574" s="184" t="str">
        <f t="shared" si="49"/>
        <v>RFLGOB</v>
      </c>
    </row>
    <row r="1575" spans="3:10" x14ac:dyDescent="0.25">
      <c r="C1575" s="28" t="s">
        <v>4103</v>
      </c>
      <c r="D1575" s="188" t="str">
        <f>+INDEX([1]Detallado!$F:$F,MATCH($C1575,[1]Detallado!$B:$B,0))</f>
        <v>Renta Fija</v>
      </c>
      <c r="E1575" s="31" t="str">
        <f>+INDEX([1]Detallado!$Q:$Q,MATCH($C1575,[1]Detallado!$B:$B,0))</f>
        <v>RFLG</v>
      </c>
      <c r="F1575" s="185" t="s">
        <v>4356</v>
      </c>
      <c r="G1575" s="186" t="str">
        <f t="shared" si="48"/>
        <v>01RFLG</v>
      </c>
      <c r="H1575" s="187" t="str">
        <f>+INDEX([1]Detallado!$D:$D,MATCH(C1575,[1]Detallado!$B:$B,0))</f>
        <v>Gobierno Central</v>
      </c>
      <c r="I1575" s="28"/>
      <c r="J1575" s="184" t="str">
        <f t="shared" si="49"/>
        <v>RFLGOB</v>
      </c>
    </row>
    <row r="1576" spans="3:10" x14ac:dyDescent="0.25">
      <c r="C1576" s="28" t="s">
        <v>4104</v>
      </c>
      <c r="D1576" s="188" t="str">
        <f>+INDEX([1]Detallado!$F:$F,MATCH($C1576,[1]Detallado!$B:$B,0))</f>
        <v>Renta Fija</v>
      </c>
      <c r="E1576" s="31" t="str">
        <f>+INDEX([1]Detallado!$Q:$Q,MATCH($C1576,[1]Detallado!$B:$B,0))</f>
        <v>RFLG</v>
      </c>
      <c r="F1576" s="185" t="s">
        <v>4356</v>
      </c>
      <c r="G1576" s="186" t="str">
        <f t="shared" si="48"/>
        <v>01RFLG</v>
      </c>
      <c r="H1576" s="187" t="str">
        <f>+INDEX([1]Detallado!$D:$D,MATCH(C1576,[1]Detallado!$B:$B,0))</f>
        <v>Gobierno Central</v>
      </c>
      <c r="I1576" s="28"/>
      <c r="J1576" s="184" t="str">
        <f t="shared" si="49"/>
        <v>RFLGOB</v>
      </c>
    </row>
    <row r="1577" spans="3:10" x14ac:dyDescent="0.25">
      <c r="C1577" s="28" t="s">
        <v>4105</v>
      </c>
      <c r="D1577" s="188" t="str">
        <f>+INDEX([1]Detallado!$F:$F,MATCH($C1577,[1]Detallado!$B:$B,0))</f>
        <v>Renta Fija</v>
      </c>
      <c r="E1577" s="31" t="str">
        <f>+INDEX([1]Detallado!$Q:$Q,MATCH($C1577,[1]Detallado!$B:$B,0))</f>
        <v>RFLG</v>
      </c>
      <c r="F1577" s="185" t="s">
        <v>4356</v>
      </c>
      <c r="G1577" s="186" t="str">
        <f t="shared" si="48"/>
        <v>01RFLG</v>
      </c>
      <c r="H1577" s="187" t="str">
        <f>+INDEX([1]Detallado!$D:$D,MATCH(C1577,[1]Detallado!$B:$B,0))</f>
        <v>Gobierno Central</v>
      </c>
      <c r="I1577" s="28"/>
      <c r="J1577" s="184" t="str">
        <f t="shared" si="49"/>
        <v>RFLGOB</v>
      </c>
    </row>
    <row r="1578" spans="3:10" x14ac:dyDescent="0.25">
      <c r="C1578" s="28" t="s">
        <v>4106</v>
      </c>
      <c r="D1578" s="188" t="str">
        <f>+INDEX([1]Detallado!$F:$F,MATCH($C1578,[1]Detallado!$B:$B,0))</f>
        <v>Renta Variable</v>
      </c>
      <c r="E1578" s="31" t="str">
        <f>+INDEX([1]Detallado!$Q:$Q,MATCH($C1578,[1]Detallado!$B:$B,0))</f>
        <v>RVI</v>
      </c>
      <c r="F1578" s="185" t="s">
        <v>4355</v>
      </c>
      <c r="G1578" s="186" t="str">
        <f t="shared" si="48"/>
        <v>52RVI</v>
      </c>
      <c r="H1578" s="187" t="str">
        <f>+INDEX([1]Detallado!$D:$D,MATCH(C1578,[1]Detallado!$B:$B,0))</f>
        <v>State Street - Gold Trust</v>
      </c>
      <c r="I1578" s="28"/>
      <c r="J1578" s="184" t="str">
        <f t="shared" si="49"/>
        <v>RVITD</v>
      </c>
    </row>
    <row r="1579" spans="3:10" x14ac:dyDescent="0.25">
      <c r="C1579" s="28" t="s">
        <v>4107</v>
      </c>
      <c r="D1579" s="188" t="str">
        <f>+INDEX([1]Detallado!$F:$F,MATCH($C1579,[1]Detallado!$B:$B,0))</f>
        <v>Renta Variable</v>
      </c>
      <c r="E1579" s="31" t="str">
        <f>+INDEX([1]Detallado!$Q:$Q,MATCH($C1579,[1]Detallado!$B:$B,0))</f>
        <v>RVI</v>
      </c>
      <c r="F1579" s="185" t="s">
        <v>4355</v>
      </c>
      <c r="G1579" s="186" t="str">
        <f t="shared" si="48"/>
        <v>52RVI</v>
      </c>
      <c r="H1579" s="187" t="str">
        <f>+INDEX([1]Detallado!$D:$D,MATCH(C1579,[1]Detallado!$B:$B,0))</f>
        <v>BlackRock - iShares Gold Trust</v>
      </c>
      <c r="I1579" s="28"/>
      <c r="J1579" s="184" t="str">
        <f t="shared" si="49"/>
        <v>RVITD</v>
      </c>
    </row>
    <row r="1580" spans="3:10" x14ac:dyDescent="0.25">
      <c r="C1580" s="28" t="s">
        <v>4108</v>
      </c>
      <c r="D1580" s="188" t="str">
        <f>+INDEX([1]Detallado!$F:$F,MATCH($C1580,[1]Detallado!$B:$B,0))</f>
        <v>Renta Variable</v>
      </c>
      <c r="E1580" s="31" t="str">
        <f>+INDEX([1]Detallado!$Q:$Q,MATCH($C1580,[1]Detallado!$B:$B,0))</f>
        <v>RVI</v>
      </c>
      <c r="F1580" s="185" t="s">
        <v>4355</v>
      </c>
      <c r="G1580" s="186" t="str">
        <f t="shared" si="48"/>
        <v>52RVI</v>
      </c>
      <c r="H1580" s="187" t="str">
        <f>+INDEX([1]Detallado!$D:$D,MATCH(C1580,[1]Detallado!$B:$B,0))</f>
        <v>BlackRock - iShares Silver Trust</v>
      </c>
      <c r="I1580" s="28"/>
      <c r="J1580" s="184" t="str">
        <f t="shared" si="49"/>
        <v>RVITD</v>
      </c>
    </row>
    <row r="1581" spans="3:10" x14ac:dyDescent="0.25">
      <c r="C1581" s="28" t="s">
        <v>4109</v>
      </c>
      <c r="D1581" s="188" t="str">
        <f>+INDEX([1]Detallado!$F:$F,MATCH($C1581,[1]Detallado!$B:$B,0))</f>
        <v>Renta Variable</v>
      </c>
      <c r="E1581" s="31" t="str">
        <f>+INDEX([1]Detallado!$Q:$Q,MATCH($C1581,[1]Detallado!$B:$B,0))</f>
        <v>RVI</v>
      </c>
      <c r="F1581" s="185" t="s">
        <v>4357</v>
      </c>
      <c r="G1581" s="186" t="str">
        <f t="shared" si="48"/>
        <v>34RVI</v>
      </c>
      <c r="H1581" s="187" t="str">
        <f>+INDEX([1]Detallado!$D:$D,MATCH(C1581,[1]Detallado!$B:$B,0))</f>
        <v>Largo Resources</v>
      </c>
      <c r="I1581" s="28"/>
      <c r="J1581" s="184" t="str">
        <f t="shared" si="49"/>
        <v>RVIBU</v>
      </c>
    </row>
    <row r="1582" spans="3:10" x14ac:dyDescent="0.25">
      <c r="C1582" s="28" t="s">
        <v>4110</v>
      </c>
      <c r="D1582" s="188" t="str">
        <f>+INDEX([1]Detallado!$F:$F,MATCH($C1582,[1]Detallado!$B:$B,0))</f>
        <v>Renta Variable</v>
      </c>
      <c r="E1582" s="31" t="str">
        <f>+INDEX([1]Detallado!$Q:$Q,MATCH($C1582,[1]Detallado!$B:$B,0))</f>
        <v>RVI</v>
      </c>
      <c r="F1582" s="185" t="s">
        <v>4357</v>
      </c>
      <c r="G1582" s="186" t="str">
        <f t="shared" si="48"/>
        <v>34RVI</v>
      </c>
      <c r="H1582" s="187" t="str">
        <f>+INDEX([1]Detallado!$D:$D,MATCH(C1582,[1]Detallado!$B:$B,0))</f>
        <v>Aura Minerals Inc</v>
      </c>
      <c r="I1582" s="28"/>
      <c r="J1582" s="184" t="str">
        <f t="shared" si="49"/>
        <v>RVIBU</v>
      </c>
    </row>
    <row r="1583" spans="3:10" x14ac:dyDescent="0.25">
      <c r="C1583" s="28" t="s">
        <v>862</v>
      </c>
      <c r="D1583" s="188" t="str">
        <f>+INDEX([1]Detallado!$F:$F,MATCH($C1583,[1]Detallado!$B:$B,0))</f>
        <v>Renta Variable</v>
      </c>
      <c r="E1583" s="31" t="str">
        <f>+INDEX([1]Detallado!$Q:$Q,MATCH($C1583,[1]Detallado!$B:$B,0))</f>
        <v>RVI</v>
      </c>
      <c r="F1583" s="185" t="s">
        <v>4355</v>
      </c>
      <c r="G1583" s="186" t="str">
        <f t="shared" si="48"/>
        <v>52RVI</v>
      </c>
      <c r="H1583" s="187" t="str">
        <f>+INDEX([1]Detallado!$D:$D,MATCH(C1583,[1]Detallado!$B:$B,0))</f>
        <v>VanEck - Gold Miners ETF</v>
      </c>
      <c r="I1583" s="28"/>
      <c r="J1583" s="184" t="str">
        <f t="shared" si="49"/>
        <v>RVITD</v>
      </c>
    </row>
    <row r="1584" spans="3:10" x14ac:dyDescent="0.25">
      <c r="C1584" s="28" t="s">
        <v>4111</v>
      </c>
      <c r="D1584" s="188" t="str">
        <f>+INDEX([1]Detallado!$F:$F,MATCH($C1584,[1]Detallado!$B:$B,0))</f>
        <v>Renta Variable</v>
      </c>
      <c r="E1584" s="31" t="str">
        <f>+INDEX([1]Detallado!$Q:$Q,MATCH($C1584,[1]Detallado!$B:$B,0))</f>
        <v>RVI</v>
      </c>
      <c r="F1584" s="185" t="s">
        <v>4355</v>
      </c>
      <c r="G1584" s="186" t="str">
        <f t="shared" si="48"/>
        <v>52RVI</v>
      </c>
      <c r="H1584" s="187" t="str">
        <f>+INDEX([1]Detallado!$D:$D,MATCH(C1584,[1]Detallado!$B:$B,0))</f>
        <v>VanEck - Gold Miners ETF</v>
      </c>
      <c r="I1584" s="28"/>
      <c r="J1584" s="184" t="str">
        <f t="shared" si="49"/>
        <v>RVITD</v>
      </c>
    </row>
    <row r="1585" spans="3:10" x14ac:dyDescent="0.25">
      <c r="C1585" s="28" t="s">
        <v>1466</v>
      </c>
      <c r="D1585" s="188" t="str">
        <f>+INDEX([1]Detallado!$F:$F,MATCH($C1585,[1]Detallado!$B:$B,0))</f>
        <v>Renta Variable</v>
      </c>
      <c r="E1585" s="31" t="str">
        <f>+INDEX([1]Detallado!$Q:$Q,MATCH($C1585,[1]Detallado!$B:$B,0))</f>
        <v>RVI</v>
      </c>
      <c r="F1585" s="185" t="s">
        <v>4355</v>
      </c>
      <c r="G1585" s="186" t="str">
        <f t="shared" si="48"/>
        <v>52RVI</v>
      </c>
      <c r="H1585" s="187" t="str">
        <f>+INDEX([1]Detallado!$D:$D,MATCH(C1585,[1]Detallado!$B:$B,0))</f>
        <v>VanEck - Junior Gold Miners</v>
      </c>
      <c r="I1585" s="28"/>
      <c r="J1585" s="184" t="str">
        <f t="shared" si="49"/>
        <v>RVITD</v>
      </c>
    </row>
    <row r="1586" spans="3:10" x14ac:dyDescent="0.25">
      <c r="C1586" s="28" t="s">
        <v>1411</v>
      </c>
      <c r="D1586" s="188" t="str">
        <f>+INDEX([1]Detallado!$F:$F,MATCH($C1586,[1]Detallado!$B:$B,0))</f>
        <v>Renta Variable</v>
      </c>
      <c r="E1586" s="31" t="str">
        <f>+INDEX([1]Detallado!$Q:$Q,MATCH($C1586,[1]Detallado!$B:$B,0))</f>
        <v>RVI</v>
      </c>
      <c r="F1586" s="185" t="s">
        <v>4355</v>
      </c>
      <c r="G1586" s="186" t="str">
        <f t="shared" si="48"/>
        <v>52RVI</v>
      </c>
      <c r="H1586" s="187" t="str">
        <f>+INDEX([1]Detallado!$D:$D,MATCH(C1586,[1]Detallado!$B:$B,0))</f>
        <v>Vanguard - ACWI ex - US</v>
      </c>
      <c r="I1586" s="28"/>
      <c r="J1586" s="184" t="str">
        <f t="shared" si="49"/>
        <v>RVITD</v>
      </c>
    </row>
    <row r="1587" spans="3:10" x14ac:dyDescent="0.25">
      <c r="C1587" s="28" t="s">
        <v>1452</v>
      </c>
      <c r="D1587" s="188" t="str">
        <f>+INDEX([1]Detallado!$F:$F,MATCH($C1587,[1]Detallado!$B:$B,0))</f>
        <v>Renta Variable</v>
      </c>
      <c r="E1587" s="31" t="str">
        <f>+INDEX([1]Detallado!$Q:$Q,MATCH($C1587,[1]Detallado!$B:$B,0))</f>
        <v>RVI</v>
      </c>
      <c r="F1587" s="185" t="s">
        <v>4355</v>
      </c>
      <c r="G1587" s="186" t="str">
        <f t="shared" si="48"/>
        <v>52RVI</v>
      </c>
      <c r="H1587" s="187" t="str">
        <f>+INDEX([1]Detallado!$D:$D,MATCH(C1587,[1]Detallado!$B:$B,0))</f>
        <v>Vanguard - ACWI</v>
      </c>
      <c r="I1587" s="28"/>
      <c r="J1587" s="184" t="str">
        <f t="shared" si="49"/>
        <v>RVITD</v>
      </c>
    </row>
    <row r="1588" spans="3:10" x14ac:dyDescent="0.25">
      <c r="C1588" s="28" t="s">
        <v>4112</v>
      </c>
      <c r="D1588" s="188" t="str">
        <f>+INDEX([1]Detallado!$F:$F,MATCH($C1588,[1]Detallado!$B:$B,0))</f>
        <v>Renta Variable</v>
      </c>
      <c r="E1588" s="31" t="str">
        <f>+INDEX([1]Detallado!$Q:$Q,MATCH($C1588,[1]Detallado!$B:$B,0))</f>
        <v>RVI</v>
      </c>
      <c r="F1588" s="185" t="s">
        <v>4355</v>
      </c>
      <c r="G1588" s="186" t="str">
        <f t="shared" si="48"/>
        <v>52RVI</v>
      </c>
      <c r="H1588" s="187" t="str">
        <f>+INDEX([1]Detallado!$D:$D,MATCH(C1588,[1]Detallado!$B:$B,0))</f>
        <v>NN - Consumer Goods</v>
      </c>
      <c r="I1588" s="28"/>
      <c r="J1588" s="184" t="str">
        <f t="shared" si="49"/>
        <v>RVITD</v>
      </c>
    </row>
    <row r="1589" spans="3:10" x14ac:dyDescent="0.25">
      <c r="C1589" s="28" t="s">
        <v>1339</v>
      </c>
      <c r="D1589" s="188" t="str">
        <f>+INDEX([1]Detallado!$F:$F,MATCH($C1589,[1]Detallado!$B:$B,0))</f>
        <v>Renta Variable</v>
      </c>
      <c r="E1589" s="31" t="str">
        <f>+INDEX([1]Detallado!$Q:$Q,MATCH($C1589,[1]Detallado!$B:$B,0))</f>
        <v>RVI</v>
      </c>
      <c r="F1589" s="185" t="s">
        <v>4355</v>
      </c>
      <c r="G1589" s="186" t="str">
        <f t="shared" si="48"/>
        <v>52RVI</v>
      </c>
      <c r="H1589" s="187" t="str">
        <f>+INDEX([1]Detallado!$D:$D,MATCH(C1589,[1]Detallado!$B:$B,0))</f>
        <v>DFA - International Core Equity</v>
      </c>
      <c r="I1589" s="28"/>
      <c r="J1589" s="184" t="str">
        <f t="shared" si="49"/>
        <v>RVITD</v>
      </c>
    </row>
    <row r="1590" spans="3:10" x14ac:dyDescent="0.25">
      <c r="C1590" s="28" t="s">
        <v>1729</v>
      </c>
      <c r="D1590" s="188" t="str">
        <f>+INDEX([1]Detallado!$F:$F,MATCH($C1590,[1]Detallado!$B:$B,0))</f>
        <v>Renta Variable</v>
      </c>
      <c r="E1590" s="31" t="str">
        <f>+INDEX([1]Detallado!$Q:$Q,MATCH($C1590,[1]Detallado!$B:$B,0))</f>
        <v>RVI</v>
      </c>
      <c r="F1590" s="185" t="s">
        <v>4355</v>
      </c>
      <c r="G1590" s="186" t="str">
        <f t="shared" si="48"/>
        <v>52RVI</v>
      </c>
      <c r="H1590" s="187" t="str">
        <f>+INDEX([1]Detallado!$D:$D,MATCH(C1590,[1]Detallado!$B:$B,0))</f>
        <v>Fidelity - Global Healthcare Fund</v>
      </c>
      <c r="I1590" s="28"/>
      <c r="J1590" s="184" t="str">
        <f t="shared" si="49"/>
        <v>RVITD</v>
      </c>
    </row>
    <row r="1591" spans="3:10" x14ac:dyDescent="0.25">
      <c r="C1591" s="28" t="s">
        <v>1992</v>
      </c>
      <c r="D1591" s="188" t="str">
        <f>+INDEX([1]Detallado!$F:$F,MATCH($C1591,[1]Detallado!$B:$B,0))</f>
        <v>Renta Variable</v>
      </c>
      <c r="E1591" s="31" t="str">
        <f>+INDEX([1]Detallado!$Q:$Q,MATCH($C1591,[1]Detallado!$B:$B,0))</f>
        <v>RVI</v>
      </c>
      <c r="F1591" s="185" t="s">
        <v>4355</v>
      </c>
      <c r="G1591" s="186" t="str">
        <f t="shared" si="48"/>
        <v>52RVI</v>
      </c>
      <c r="H1591" s="187" t="str">
        <f>+INDEX([1]Detallado!$D:$D,MATCH(C1591,[1]Detallado!$B:$B,0))</f>
        <v xml:space="preserve">DWS - Global Agribusiness </v>
      </c>
      <c r="I1591" s="28"/>
      <c r="J1591" s="184" t="str">
        <f t="shared" si="49"/>
        <v>RVITD</v>
      </c>
    </row>
    <row r="1592" spans="3:10" x14ac:dyDescent="0.25">
      <c r="C1592" s="28" t="s">
        <v>2576</v>
      </c>
      <c r="D1592" s="188" t="str">
        <f>+INDEX([1]Detallado!$F:$F,MATCH($C1592,[1]Detallado!$B:$B,0))</f>
        <v>Renta Variable</v>
      </c>
      <c r="E1592" s="31" t="str">
        <f>+INDEX([1]Detallado!$Q:$Q,MATCH($C1592,[1]Detallado!$B:$B,0))</f>
        <v>RVI</v>
      </c>
      <c r="F1592" s="185" t="s">
        <v>4355</v>
      </c>
      <c r="G1592" s="186" t="str">
        <f t="shared" si="48"/>
        <v>52RVI</v>
      </c>
      <c r="H1592" s="187" t="str">
        <f>+INDEX([1]Detallado!$D:$D,MATCH(C1592,[1]Detallado!$B:$B,0))</f>
        <v>DWS - Invest Global Agribusiness</v>
      </c>
      <c r="I1592" s="28"/>
      <c r="J1592" s="184" t="str">
        <f t="shared" si="49"/>
        <v>RVITD</v>
      </c>
    </row>
    <row r="1593" spans="3:10" x14ac:dyDescent="0.25">
      <c r="C1593" s="28" t="s">
        <v>2469</v>
      </c>
      <c r="D1593" s="188" t="str">
        <f>+INDEX([1]Detallado!$F:$F,MATCH($C1593,[1]Detallado!$B:$B,0))</f>
        <v>Renta Variable</v>
      </c>
      <c r="E1593" s="31" t="str">
        <f>+INDEX([1]Detallado!$Q:$Q,MATCH($C1593,[1]Detallado!$B:$B,0))</f>
        <v>RVI</v>
      </c>
      <c r="F1593" s="185" t="s">
        <v>4355</v>
      </c>
      <c r="G1593" s="186" t="str">
        <f t="shared" si="48"/>
        <v>52RVI</v>
      </c>
      <c r="H1593" s="187" t="str">
        <f>+INDEX([1]Detallado!$D:$D,MATCH(C1593,[1]Detallado!$B:$B,0))</f>
        <v>Franklin Templeton - FTGF ClearBridge Infrastructure Value Fund</v>
      </c>
      <c r="I1593" s="28"/>
      <c r="J1593" s="184" t="str">
        <f t="shared" si="49"/>
        <v>RVITD</v>
      </c>
    </row>
    <row r="1594" spans="3:10" x14ac:dyDescent="0.25">
      <c r="C1594" s="28" t="s">
        <v>1709</v>
      </c>
      <c r="D1594" s="188" t="str">
        <f>+INDEX([1]Detallado!$F:$F,MATCH($C1594,[1]Detallado!$B:$B,0))</f>
        <v>Renta Variable</v>
      </c>
      <c r="E1594" s="31" t="str">
        <f>+INDEX([1]Detallado!$Q:$Q,MATCH($C1594,[1]Detallado!$B:$B,0))</f>
        <v>RVI</v>
      </c>
      <c r="F1594" s="185" t="s">
        <v>4355</v>
      </c>
      <c r="G1594" s="186" t="str">
        <f t="shared" si="48"/>
        <v>52RVI</v>
      </c>
      <c r="H1594" s="187" t="str">
        <f>+INDEX([1]Detallado!$D:$D,MATCH(C1594,[1]Detallado!$B:$B,0))</f>
        <v>Pinebridge - Global Dynamic</v>
      </c>
      <c r="I1594" s="28"/>
      <c r="J1594" s="184" t="str">
        <f t="shared" si="49"/>
        <v>RVITD</v>
      </c>
    </row>
    <row r="1595" spans="3:10" x14ac:dyDescent="0.25">
      <c r="C1595" s="28" t="s">
        <v>2091</v>
      </c>
      <c r="D1595" s="188" t="str">
        <f>+INDEX([1]Detallado!$F:$F,MATCH($C1595,[1]Detallado!$B:$B,0))</f>
        <v>Renta Variable</v>
      </c>
      <c r="E1595" s="31" t="str">
        <f>+INDEX([1]Detallado!$Q:$Q,MATCH($C1595,[1]Detallado!$B:$B,0))</f>
        <v>RVI</v>
      </c>
      <c r="F1595" s="185" t="s">
        <v>4355</v>
      </c>
      <c r="G1595" s="186" t="str">
        <f t="shared" si="48"/>
        <v>52RVI</v>
      </c>
      <c r="H1595" s="187" t="str">
        <f>+INDEX([1]Detallado!$D:$D,MATCH(C1595,[1]Detallado!$B:$B,0))</f>
        <v>BlackRock - iShares Core MSCI World UCITS ETF</v>
      </c>
      <c r="I1595" s="28"/>
      <c r="J1595" s="184" t="str">
        <f t="shared" si="49"/>
        <v>RVITD</v>
      </c>
    </row>
    <row r="1596" spans="3:10" x14ac:dyDescent="0.25">
      <c r="C1596" s="28" t="s">
        <v>1259</v>
      </c>
      <c r="D1596" s="188" t="str">
        <f>+INDEX([1]Detallado!$F:$F,MATCH($C1596,[1]Detallado!$B:$B,0))</f>
        <v>Renta Variable</v>
      </c>
      <c r="E1596" s="31" t="str">
        <f>+INDEX([1]Detallado!$Q:$Q,MATCH($C1596,[1]Detallado!$B:$B,0))</f>
        <v>RVI</v>
      </c>
      <c r="F1596" s="185" t="s">
        <v>4355</v>
      </c>
      <c r="G1596" s="186" t="str">
        <f t="shared" si="48"/>
        <v>52RVI</v>
      </c>
      <c r="H1596" s="187" t="str">
        <f>+INDEX([1]Detallado!$D:$D,MATCH(C1596,[1]Detallado!$B:$B,0))</f>
        <v>BlackRock - iShares MSCI EAFE ETF</v>
      </c>
      <c r="I1596" s="28"/>
      <c r="J1596" s="184" t="str">
        <f t="shared" si="49"/>
        <v>RVITD</v>
      </c>
    </row>
    <row r="1597" spans="3:10" x14ac:dyDescent="0.25">
      <c r="C1597" s="28" t="s">
        <v>1444</v>
      </c>
      <c r="D1597" s="188" t="str">
        <f>+INDEX([1]Detallado!$F:$F,MATCH($C1597,[1]Detallado!$B:$B,0))</f>
        <v>Renta Variable</v>
      </c>
      <c r="E1597" s="31" t="str">
        <f>+INDEX([1]Detallado!$Q:$Q,MATCH($C1597,[1]Detallado!$B:$B,0))</f>
        <v>RVI</v>
      </c>
      <c r="F1597" s="185" t="s">
        <v>4355</v>
      </c>
      <c r="G1597" s="186" t="str">
        <f t="shared" si="48"/>
        <v>52RVI</v>
      </c>
      <c r="H1597" s="187" t="str">
        <f>+INDEX([1]Detallado!$D:$D,MATCH(C1597,[1]Detallado!$B:$B,0))</f>
        <v>BlackRock - iShares MSCI ACWI</v>
      </c>
      <c r="I1597" s="28"/>
      <c r="J1597" s="184" t="str">
        <f t="shared" si="49"/>
        <v>RVITD</v>
      </c>
    </row>
    <row r="1598" spans="3:10" x14ac:dyDescent="0.25">
      <c r="C1598" s="28" t="s">
        <v>1618</v>
      </c>
      <c r="D1598" s="188" t="str">
        <f>+INDEX([1]Detallado!$F:$F,MATCH($C1598,[1]Detallado!$B:$B,0))</f>
        <v>Renta Variable</v>
      </c>
      <c r="E1598" s="31" t="str">
        <f>+INDEX([1]Detallado!$Q:$Q,MATCH($C1598,[1]Detallado!$B:$B,0))</f>
        <v>RVI</v>
      </c>
      <c r="F1598" s="185" t="s">
        <v>4355</v>
      </c>
      <c r="G1598" s="186" t="str">
        <f t="shared" si="48"/>
        <v>52RVI</v>
      </c>
      <c r="H1598" s="187" t="str">
        <f>+INDEX([1]Detallado!$D:$D,MATCH(C1598,[1]Detallado!$B:$B,0))</f>
        <v>BlackRock - iShares ACWI - Low Carbon</v>
      </c>
      <c r="I1598" s="28"/>
      <c r="J1598" s="184" t="str">
        <f t="shared" si="49"/>
        <v>RVITD</v>
      </c>
    </row>
    <row r="1599" spans="3:10" x14ac:dyDescent="0.25">
      <c r="C1599" s="28" t="s">
        <v>612</v>
      </c>
      <c r="D1599" s="188" t="str">
        <f>+INDEX([1]Detallado!$F:$F,MATCH($C1599,[1]Detallado!$B:$B,0))</f>
        <v>Renta Variable</v>
      </c>
      <c r="E1599" s="31" t="str">
        <f>+INDEX([1]Detallado!$Q:$Q,MATCH($C1599,[1]Detallado!$B:$B,0))</f>
        <v>RVI</v>
      </c>
      <c r="F1599" s="185" t="s">
        <v>4355</v>
      </c>
      <c r="G1599" s="186" t="str">
        <f t="shared" si="48"/>
        <v>52RVI</v>
      </c>
      <c r="H1599" s="187" t="str">
        <f>+INDEX([1]Detallado!$D:$D,MATCH(C1599,[1]Detallado!$B:$B,0))</f>
        <v>BlackRock - iShares World ex US Carbon Transition Readiness</v>
      </c>
      <c r="I1599" s="28"/>
      <c r="J1599" s="184" t="str">
        <f t="shared" si="49"/>
        <v>RVITD</v>
      </c>
    </row>
    <row r="1600" spans="3:10" x14ac:dyDescent="0.25">
      <c r="C1600" s="28" t="s">
        <v>2540</v>
      </c>
      <c r="D1600" s="188" t="str">
        <f>+INDEX([1]Detallado!$F:$F,MATCH($C1600,[1]Detallado!$B:$B,0))</f>
        <v>Renta Variable</v>
      </c>
      <c r="E1600" s="31" t="str">
        <f>+INDEX([1]Detallado!$Q:$Q,MATCH($C1600,[1]Detallado!$B:$B,0))</f>
        <v>RVI</v>
      </c>
      <c r="F1600" s="185" t="s">
        <v>4355</v>
      </c>
      <c r="G1600" s="186" t="str">
        <f t="shared" si="48"/>
        <v>52RVI</v>
      </c>
      <c r="H1600" s="187" t="str">
        <f>+INDEX([1]Detallado!$D:$D,MATCH(C1600,[1]Detallado!$B:$B,0))</f>
        <v>Baillie Gifford &amp; Co Ltd - Worldwide Health Innovation Fund</v>
      </c>
      <c r="I1600" s="28"/>
      <c r="J1600" s="184" t="str">
        <f t="shared" si="49"/>
        <v>RVITD</v>
      </c>
    </row>
    <row r="1601" spans="3:10" x14ac:dyDescent="0.25">
      <c r="C1601" s="28" t="s">
        <v>2543</v>
      </c>
      <c r="D1601" s="188" t="str">
        <f>+INDEX([1]Detallado!$F:$F,MATCH($C1601,[1]Detallado!$B:$B,0))</f>
        <v>Renta Variable</v>
      </c>
      <c r="E1601" s="31" t="str">
        <f>+INDEX([1]Detallado!$Q:$Q,MATCH($C1601,[1]Detallado!$B:$B,0))</f>
        <v>RVI</v>
      </c>
      <c r="F1601" s="185" t="s">
        <v>4355</v>
      </c>
      <c r="G1601" s="186" t="str">
        <f t="shared" si="48"/>
        <v>52RVI</v>
      </c>
      <c r="H1601" s="187" t="str">
        <f>+INDEX([1]Detallado!$D:$D,MATCH(C1601,[1]Detallado!$B:$B,0))</f>
        <v>Invesco - Global Consumer Trends Fund S</v>
      </c>
      <c r="I1601" s="28"/>
      <c r="J1601" s="184" t="str">
        <f t="shared" si="49"/>
        <v>RVITD</v>
      </c>
    </row>
    <row r="1602" spans="3:10" x14ac:dyDescent="0.25">
      <c r="C1602" s="28" t="s">
        <v>1663</v>
      </c>
      <c r="D1602" s="188" t="str">
        <f>+INDEX([1]Detallado!$F:$F,MATCH($C1602,[1]Detallado!$B:$B,0))</f>
        <v>Renta Variable</v>
      </c>
      <c r="E1602" s="31" t="str">
        <f>+INDEX([1]Detallado!$Q:$Q,MATCH($C1602,[1]Detallado!$B:$B,0))</f>
        <v>RVI</v>
      </c>
      <c r="F1602" s="185" t="s">
        <v>4355</v>
      </c>
      <c r="G1602" s="186" t="str">
        <f t="shared" si="48"/>
        <v>52RVI</v>
      </c>
      <c r="H1602" s="187" t="str">
        <f>+INDEX([1]Detallado!$D:$D,MATCH(C1602,[1]Detallado!$B:$B,0))</f>
        <v>Invesco - Global Consumer Trends</v>
      </c>
      <c r="I1602" s="28"/>
      <c r="J1602" s="184" t="str">
        <f t="shared" si="49"/>
        <v>RVITD</v>
      </c>
    </row>
    <row r="1603" spans="3:10" x14ac:dyDescent="0.25">
      <c r="C1603" s="28" t="s">
        <v>1703</v>
      </c>
      <c r="D1603" s="188" t="str">
        <f>+INDEX([1]Detallado!$F:$F,MATCH($C1603,[1]Detallado!$B:$B,0))</f>
        <v>Renta Variable</v>
      </c>
      <c r="E1603" s="31" t="str">
        <f>+INDEX([1]Detallado!$Q:$Q,MATCH($C1603,[1]Detallado!$B:$B,0))</f>
        <v>RVI</v>
      </c>
      <c r="F1603" s="185" t="s">
        <v>4355</v>
      </c>
      <c r="G1603" s="186" t="str">
        <f t="shared" si="48"/>
        <v>52RVI</v>
      </c>
      <c r="H1603" s="187" t="str">
        <f>+INDEX([1]Detallado!$D:$D,MATCH(C1603,[1]Detallado!$B:$B,0))</f>
        <v>Robeco - Global Consumer Trends</v>
      </c>
      <c r="I1603" s="28"/>
      <c r="J1603" s="184" t="str">
        <f t="shared" si="49"/>
        <v>RVITD</v>
      </c>
    </row>
    <row r="1604" spans="3:10" x14ac:dyDescent="0.25">
      <c r="C1604" s="28" t="s">
        <v>1448</v>
      </c>
      <c r="D1604" s="188" t="str">
        <f>+INDEX([1]Detallado!$F:$F,MATCH($C1604,[1]Detallado!$B:$B,0))</f>
        <v>Renta Variable</v>
      </c>
      <c r="E1604" s="31" t="str">
        <f>+INDEX([1]Detallado!$Q:$Q,MATCH($C1604,[1]Detallado!$B:$B,0))</f>
        <v>RVI</v>
      </c>
      <c r="F1604" s="185" t="s">
        <v>4355</v>
      </c>
      <c r="G1604" s="186" t="str">
        <f t="shared" si="48"/>
        <v>52RVI</v>
      </c>
      <c r="H1604" s="187" t="str">
        <f>+INDEX([1]Detallado!$D:$D,MATCH(C1604,[1]Detallado!$B:$B,0))</f>
        <v>Invesco - Solar ETF</v>
      </c>
      <c r="I1604" s="28"/>
      <c r="J1604" s="184" t="str">
        <f t="shared" si="49"/>
        <v>RVITD</v>
      </c>
    </row>
    <row r="1605" spans="3:10" x14ac:dyDescent="0.25">
      <c r="C1605" s="28" t="s">
        <v>2032</v>
      </c>
      <c r="D1605" s="188" t="str">
        <f>+INDEX([1]Detallado!$F:$F,MATCH($C1605,[1]Detallado!$B:$B,0))</f>
        <v>Renta Variable</v>
      </c>
      <c r="E1605" s="31" t="str">
        <f>+INDEX([1]Detallado!$Q:$Q,MATCH($C1605,[1]Detallado!$B:$B,0))</f>
        <v>RVI</v>
      </c>
      <c r="F1605" s="185" t="s">
        <v>4355</v>
      </c>
      <c r="G1605" s="186" t="str">
        <f t="shared" si="48"/>
        <v>52RVI</v>
      </c>
      <c r="H1605" s="187" t="str">
        <f>+INDEX([1]Detallado!$D:$D,MATCH(C1605,[1]Detallado!$B:$B,0))</f>
        <v>Ninety One - Global Natural Resources Fund I</v>
      </c>
      <c r="I1605" s="28"/>
      <c r="J1605" s="184" t="str">
        <f t="shared" si="49"/>
        <v>RVITD</v>
      </c>
    </row>
    <row r="1606" spans="3:10" x14ac:dyDescent="0.25">
      <c r="C1606" s="28" t="s">
        <v>2029</v>
      </c>
      <c r="D1606" s="188" t="str">
        <f>+INDEX([1]Detallado!$F:$F,MATCH($C1606,[1]Detallado!$B:$B,0))</f>
        <v>Renta Variable</v>
      </c>
      <c r="E1606" s="31" t="str">
        <f>+INDEX([1]Detallado!$Q:$Q,MATCH($C1606,[1]Detallado!$B:$B,0))</f>
        <v>RVI</v>
      </c>
      <c r="F1606" s="185" t="s">
        <v>4355</v>
      </c>
      <c r="G1606" s="186" t="str">
        <f t="shared" si="48"/>
        <v>52RVI</v>
      </c>
      <c r="H1606" s="187" t="str">
        <f>+INDEX([1]Detallado!$D:$D,MATCH(C1606,[1]Detallado!$B:$B,0))</f>
        <v>Ninety One - Global Natural Resources Fund A</v>
      </c>
      <c r="I1606" s="28"/>
      <c r="J1606" s="184" t="str">
        <f t="shared" si="49"/>
        <v>RVITD</v>
      </c>
    </row>
    <row r="1607" spans="3:10" x14ac:dyDescent="0.25">
      <c r="C1607" s="28" t="s">
        <v>1111</v>
      </c>
      <c r="D1607" s="188" t="str">
        <f>+INDEX([1]Detallado!$F:$F,MATCH($C1607,[1]Detallado!$B:$B,0))</f>
        <v>Renta Variable</v>
      </c>
      <c r="E1607" s="31" t="str">
        <f>+INDEX([1]Detallado!$Q:$Q,MATCH($C1607,[1]Detallado!$B:$B,0))</f>
        <v>RVI</v>
      </c>
      <c r="F1607" s="185" t="s">
        <v>4355</v>
      </c>
      <c r="G1607" s="186" t="str">
        <f t="shared" si="48"/>
        <v>52RVI</v>
      </c>
      <c r="H1607" s="187" t="str">
        <f>+INDEX([1]Detallado!$D:$D,MATCH(C1607,[1]Detallado!$B:$B,0))</f>
        <v>BlackRock - iShares MSCI Canada</v>
      </c>
      <c r="I1607" s="28"/>
      <c r="J1607" s="184" t="str">
        <f t="shared" si="49"/>
        <v>RVITD</v>
      </c>
    </row>
    <row r="1608" spans="3:10" x14ac:dyDescent="0.25">
      <c r="C1608" s="28" t="s">
        <v>1122</v>
      </c>
      <c r="D1608" s="188" t="str">
        <f>+INDEX([1]Detallado!$F:$F,MATCH($C1608,[1]Detallado!$B:$B,0))</f>
        <v>Renta Variable</v>
      </c>
      <c r="E1608" s="31" t="str">
        <f>+INDEX([1]Detallado!$Q:$Q,MATCH($C1608,[1]Detallado!$B:$B,0))</f>
        <v>RVI</v>
      </c>
      <c r="F1608" s="185" t="s">
        <v>4355</v>
      </c>
      <c r="G1608" s="186" t="str">
        <f t="shared" si="48"/>
        <v>52RVI</v>
      </c>
      <c r="H1608" s="187" t="str">
        <f>+INDEX([1]Detallado!$D:$D,MATCH(C1608,[1]Detallado!$B:$B,0))</f>
        <v xml:space="preserve">BlackRock - iShares MSCI Australia </v>
      </c>
      <c r="I1608" s="28"/>
      <c r="J1608" s="184" t="str">
        <f t="shared" si="49"/>
        <v>RVITD</v>
      </c>
    </row>
    <row r="1609" spans="3:10" x14ac:dyDescent="0.25">
      <c r="C1609" s="28" t="s">
        <v>1487</v>
      </c>
      <c r="D1609" s="188" t="str">
        <f>+INDEX([1]Detallado!$F:$F,MATCH($C1609,[1]Detallado!$B:$B,0))</f>
        <v>Renta Variable</v>
      </c>
      <c r="E1609" s="31" t="str">
        <f>+INDEX([1]Detallado!$Q:$Q,MATCH($C1609,[1]Detallado!$B:$B,0))</f>
        <v>RVI</v>
      </c>
      <c r="F1609" s="185" t="s">
        <v>4355</v>
      </c>
      <c r="G1609" s="186" t="str">
        <f t="shared" si="48"/>
        <v>52RVI</v>
      </c>
      <c r="H1609" s="187" t="str">
        <f>+INDEX([1]Detallado!$D:$D,MATCH(C1609,[1]Detallado!$B:$B,0))</f>
        <v>BlackRock - iShares MSCI New Zealand</v>
      </c>
      <c r="I1609" s="28"/>
      <c r="J1609" s="184" t="str">
        <f t="shared" si="49"/>
        <v>RVITD</v>
      </c>
    </row>
    <row r="1610" spans="3:10" x14ac:dyDescent="0.25">
      <c r="C1610" s="28" t="s">
        <v>1299</v>
      </c>
      <c r="D1610" s="188" t="str">
        <f>+INDEX([1]Detallado!$F:$F,MATCH($C1610,[1]Detallado!$B:$B,0))</f>
        <v>Renta Variable</v>
      </c>
      <c r="E1610" s="31" t="str">
        <f>+INDEX([1]Detallado!$Q:$Q,MATCH($C1610,[1]Detallado!$B:$B,0))</f>
        <v>RVI</v>
      </c>
      <c r="F1610" s="185" t="s">
        <v>4355</v>
      </c>
      <c r="G1610" s="186" t="str">
        <f t="shared" ref="G1610:G1673" si="50">LEFT(C1610,2)&amp;E1610</f>
        <v>52RVI</v>
      </c>
      <c r="H1610" s="187" t="str">
        <f>+INDEX([1]Detallado!$D:$D,MATCH(C1610,[1]Detallado!$B:$B,0))</f>
        <v>Vanguard - FTSE Europe</v>
      </c>
      <c r="I1610" s="28"/>
      <c r="J1610" s="184" t="str">
        <f t="shared" ref="J1610:J1673" si="51">IF(E1610="ALT",LEFT(E1610,3),LEFT(E1610,3)&amp;F1610)</f>
        <v>RVITD</v>
      </c>
    </row>
    <row r="1611" spans="3:10" x14ac:dyDescent="0.25">
      <c r="C1611" s="28" t="s">
        <v>4113</v>
      </c>
      <c r="D1611" s="188" t="str">
        <f>+INDEX([1]Detallado!$F:$F,MATCH($C1611,[1]Detallado!$B:$B,0))</f>
        <v>Renta Variable</v>
      </c>
      <c r="E1611" s="31" t="str">
        <f>+INDEX([1]Detallado!$Q:$Q,MATCH($C1611,[1]Detallado!$B:$B,0))</f>
        <v>RVI</v>
      </c>
      <c r="F1611" s="185" t="s">
        <v>4355</v>
      </c>
      <c r="G1611" s="186" t="str">
        <f t="shared" si="50"/>
        <v>52RVI</v>
      </c>
      <c r="H1611" s="187" t="str">
        <f>+INDEX([1]Detallado!$D:$D,MATCH(C1611,[1]Detallado!$B:$B,0))</f>
        <v>Schroders - European Opportunities</v>
      </c>
      <c r="I1611" s="28"/>
      <c r="J1611" s="184" t="str">
        <f t="shared" si="51"/>
        <v>RVITD</v>
      </c>
    </row>
    <row r="1612" spans="3:10" x14ac:dyDescent="0.25">
      <c r="C1612" s="28" t="s">
        <v>2597</v>
      </c>
      <c r="D1612" s="188" t="str">
        <f>+INDEX([1]Detallado!$F:$F,MATCH($C1612,[1]Detallado!$B:$B,0))</f>
        <v>Renta Variable</v>
      </c>
      <c r="E1612" s="31" t="str">
        <f>+INDEX([1]Detallado!$Q:$Q,MATCH($C1612,[1]Detallado!$B:$B,0))</f>
        <v>RVI</v>
      </c>
      <c r="F1612" s="185" t="s">
        <v>4355</v>
      </c>
      <c r="G1612" s="186" t="str">
        <f t="shared" si="50"/>
        <v>52RVI</v>
      </c>
      <c r="H1612" s="187" t="str">
        <f>+INDEX([1]Detallado!$D:$D,MATCH(C1612,[1]Detallado!$B:$B,0))</f>
        <v>Joh Berenberg - European Focus Fund</v>
      </c>
      <c r="I1612" s="28"/>
      <c r="J1612" s="184" t="str">
        <f t="shared" si="51"/>
        <v>RVITD</v>
      </c>
    </row>
    <row r="1613" spans="3:10" x14ac:dyDescent="0.25">
      <c r="C1613" s="28" t="s">
        <v>2349</v>
      </c>
      <c r="D1613" s="188" t="str">
        <f>+INDEX([1]Detallado!$F:$F,MATCH($C1613,[1]Detallado!$B:$B,0))</f>
        <v>Renta Variable</v>
      </c>
      <c r="E1613" s="31" t="str">
        <f>+INDEX([1]Detallado!$Q:$Q,MATCH($C1613,[1]Detallado!$B:$B,0))</f>
        <v>RVI</v>
      </c>
      <c r="F1613" s="185" t="s">
        <v>4355</v>
      </c>
      <c r="G1613" s="186" t="str">
        <f t="shared" si="50"/>
        <v>52RVI</v>
      </c>
      <c r="H1613" s="187" t="str">
        <f>+INDEX([1]Detallado!$D:$D,MATCH(C1613,[1]Detallado!$B:$B,0))</f>
        <v>Comgest- Europe Opportunities Fund</v>
      </c>
      <c r="I1613" s="28"/>
      <c r="J1613" s="184" t="str">
        <f t="shared" si="51"/>
        <v>RVITD</v>
      </c>
    </row>
    <row r="1614" spans="3:10" x14ac:dyDescent="0.25">
      <c r="C1614" s="28" t="s">
        <v>4114</v>
      </c>
      <c r="D1614" s="188" t="str">
        <f>+INDEX([1]Detallado!$F:$F,MATCH($C1614,[1]Detallado!$B:$B,0))</f>
        <v>Renta Variable</v>
      </c>
      <c r="E1614" s="31" t="str">
        <f>+INDEX([1]Detallado!$Q:$Q,MATCH($C1614,[1]Detallado!$B:$B,0))</f>
        <v>RVI</v>
      </c>
      <c r="F1614" s="185" t="s">
        <v>4355</v>
      </c>
      <c r="G1614" s="186" t="str">
        <f t="shared" si="50"/>
        <v>52RVI</v>
      </c>
      <c r="H1614" s="187" t="str">
        <f>+INDEX([1]Detallado!$D:$D,MATCH(C1614,[1]Detallado!$B:$B,0))</f>
        <v>Investec - European Equities</v>
      </c>
      <c r="I1614" s="28"/>
      <c r="J1614" s="184" t="str">
        <f t="shared" si="51"/>
        <v>RVITD</v>
      </c>
    </row>
    <row r="1615" spans="3:10" x14ac:dyDescent="0.25">
      <c r="C1615" s="28" t="s">
        <v>1721</v>
      </c>
      <c r="D1615" s="188" t="str">
        <f>+INDEX([1]Detallado!$F:$F,MATCH($C1615,[1]Detallado!$B:$B,0))</f>
        <v>Renta Variable</v>
      </c>
      <c r="E1615" s="31" t="str">
        <f>+INDEX([1]Detallado!$Q:$Q,MATCH($C1615,[1]Detallado!$B:$B,0))</f>
        <v>RVI</v>
      </c>
      <c r="F1615" s="185" t="s">
        <v>4355</v>
      </c>
      <c r="G1615" s="186" t="str">
        <f t="shared" si="50"/>
        <v>52RVI</v>
      </c>
      <c r="H1615" s="187" t="str">
        <f>+INDEX([1]Detallado!$D:$D,MATCH(C1615,[1]Detallado!$B:$B,0))</f>
        <v>Allianz - Wachstum Europa</v>
      </c>
      <c r="I1615" s="28"/>
      <c r="J1615" s="184" t="str">
        <f t="shared" si="51"/>
        <v>RVITD</v>
      </c>
    </row>
    <row r="1616" spans="3:10" x14ac:dyDescent="0.25">
      <c r="C1616" s="28" t="s">
        <v>2191</v>
      </c>
      <c r="D1616" s="188" t="str">
        <f>+INDEX([1]Detallado!$F:$F,MATCH($C1616,[1]Detallado!$B:$B,0))</f>
        <v>Renta Variable</v>
      </c>
      <c r="E1616" s="31" t="str">
        <f>+INDEX([1]Detallado!$Q:$Q,MATCH($C1616,[1]Detallado!$B:$B,0))</f>
        <v>RVI</v>
      </c>
      <c r="F1616" s="185" t="s">
        <v>4355</v>
      </c>
      <c r="G1616" s="186" t="str">
        <f t="shared" si="50"/>
        <v>52RVI</v>
      </c>
      <c r="H1616" s="187" t="str">
        <f>+INDEX([1]Detallado!$D:$D,MATCH(C1616,[1]Detallado!$B:$B,0))</f>
        <v>Comgest - European Dynamic Growth</v>
      </c>
      <c r="I1616" s="28"/>
      <c r="J1616" s="184" t="str">
        <f t="shared" si="51"/>
        <v>RVITD</v>
      </c>
    </row>
    <row r="1617" spans="3:10" x14ac:dyDescent="0.25">
      <c r="C1617" s="28" t="s">
        <v>1847</v>
      </c>
      <c r="D1617" s="188" t="str">
        <f>+INDEX([1]Detallado!$F:$F,MATCH($C1617,[1]Detallado!$B:$B,0))</f>
        <v>Renta Variable</v>
      </c>
      <c r="E1617" s="31" t="str">
        <f>+INDEX([1]Detallado!$Q:$Q,MATCH($C1617,[1]Detallado!$B:$B,0))</f>
        <v>RVI</v>
      </c>
      <c r="F1617" s="185" t="s">
        <v>4355</v>
      </c>
      <c r="G1617" s="186" t="str">
        <f t="shared" si="50"/>
        <v>52RVI</v>
      </c>
      <c r="H1617" s="187" t="str">
        <f>+INDEX([1]Detallado!$D:$D,MATCH(C1617,[1]Detallado!$B:$B,0))</f>
        <v>Vontobel - European Equity</v>
      </c>
      <c r="I1617" s="28"/>
      <c r="J1617" s="184" t="str">
        <f t="shared" si="51"/>
        <v>RVITD</v>
      </c>
    </row>
    <row r="1618" spans="3:10" x14ac:dyDescent="0.25">
      <c r="C1618" s="28" t="s">
        <v>1162</v>
      </c>
      <c r="D1618" s="188" t="str">
        <f>+INDEX([1]Detallado!$F:$F,MATCH($C1618,[1]Detallado!$B:$B,0))</f>
        <v>Renta Variable</v>
      </c>
      <c r="E1618" s="31" t="str">
        <f>+INDEX([1]Detallado!$Q:$Q,MATCH($C1618,[1]Detallado!$B:$B,0))</f>
        <v>RVI</v>
      </c>
      <c r="F1618" s="185" t="s">
        <v>4355</v>
      </c>
      <c r="G1618" s="186" t="str">
        <f t="shared" si="50"/>
        <v>52RVI</v>
      </c>
      <c r="H1618" s="187" t="str">
        <f>+INDEX([1]Detallado!$D:$D,MATCH(C1618,[1]Detallado!$B:$B,0))</f>
        <v>BlackRock - iShares Europe</v>
      </c>
      <c r="I1618" s="28"/>
      <c r="J1618" s="184" t="str">
        <f t="shared" si="51"/>
        <v>RVITD</v>
      </c>
    </row>
    <row r="1619" spans="3:10" x14ac:dyDescent="0.25">
      <c r="C1619" s="28" t="s">
        <v>1473</v>
      </c>
      <c r="D1619" s="188" t="str">
        <f>+INDEX([1]Detallado!$F:$F,MATCH($C1619,[1]Detallado!$B:$B,0))</f>
        <v>Renta Variable</v>
      </c>
      <c r="E1619" s="31" t="str">
        <f>+INDEX([1]Detallado!$Q:$Q,MATCH($C1619,[1]Detallado!$B:$B,0))</f>
        <v>RVI</v>
      </c>
      <c r="F1619" s="185" t="s">
        <v>4355</v>
      </c>
      <c r="G1619" s="186" t="str">
        <f t="shared" si="50"/>
        <v>52RVI</v>
      </c>
      <c r="H1619" s="187" t="str">
        <f>+INDEX([1]Detallado!$D:$D,MATCH(C1619,[1]Detallado!$B:$B,0))</f>
        <v>BlackRock - iShares MSCI Europe Financials</v>
      </c>
      <c r="I1619" s="28"/>
      <c r="J1619" s="184" t="str">
        <f t="shared" si="51"/>
        <v>RVITD</v>
      </c>
    </row>
    <row r="1620" spans="3:10" x14ac:dyDescent="0.25">
      <c r="C1620" s="28" t="s">
        <v>628</v>
      </c>
      <c r="D1620" s="188" t="str">
        <f>+INDEX([1]Detallado!$F:$F,MATCH($C1620,[1]Detallado!$B:$B,0))</f>
        <v>Renta Variable</v>
      </c>
      <c r="E1620" s="31" t="str">
        <f>+INDEX([1]Detallado!$Q:$Q,MATCH($C1620,[1]Detallado!$B:$B,0))</f>
        <v>RVI</v>
      </c>
      <c r="F1620" s="185" t="s">
        <v>4355</v>
      </c>
      <c r="G1620" s="186" t="str">
        <f t="shared" si="50"/>
        <v>52RVI</v>
      </c>
      <c r="H1620" s="187" t="str">
        <f>+INDEX([1]Detallado!$D:$D,MATCH(C1620,[1]Detallado!$B:$B,0))</f>
        <v>Fidelity - European Dynamic Growth</v>
      </c>
      <c r="I1620" s="28"/>
      <c r="J1620" s="184" t="str">
        <f t="shared" si="51"/>
        <v>RVITD</v>
      </c>
    </row>
    <row r="1621" spans="3:10" x14ac:dyDescent="0.25">
      <c r="C1621" s="28" t="s">
        <v>2282</v>
      </c>
      <c r="D1621" s="188" t="str">
        <f>+INDEX([1]Detallado!$F:$F,MATCH($C1621,[1]Detallado!$B:$B,0))</f>
        <v>Renta Variable</v>
      </c>
      <c r="E1621" s="31" t="str">
        <f>+INDEX([1]Detallado!$Q:$Q,MATCH($C1621,[1]Detallado!$B:$B,0))</f>
        <v>RVI</v>
      </c>
      <c r="F1621" s="185" t="s">
        <v>4355</v>
      </c>
      <c r="G1621" s="186" t="str">
        <f t="shared" si="50"/>
        <v>52RVI</v>
      </c>
      <c r="H1621" s="187" t="str">
        <f>+INDEX([1]Detallado!$D:$D,MATCH(C1621,[1]Detallado!$B:$B,0))</f>
        <v>Vanguard - Europe UCIT</v>
      </c>
      <c r="I1621" s="28"/>
      <c r="J1621" s="184" t="str">
        <f t="shared" si="51"/>
        <v>RVITD</v>
      </c>
    </row>
    <row r="1622" spans="3:10" x14ac:dyDescent="0.25">
      <c r="C1622" s="28" t="s">
        <v>1688</v>
      </c>
      <c r="D1622" s="188" t="str">
        <f>+INDEX([1]Detallado!$F:$F,MATCH($C1622,[1]Detallado!$B:$B,0))</f>
        <v>Renta Variable</v>
      </c>
      <c r="E1622" s="31" t="str">
        <f>+INDEX([1]Detallado!$Q:$Q,MATCH($C1622,[1]Detallado!$B:$B,0))</f>
        <v>RVI</v>
      </c>
      <c r="F1622" s="185" t="s">
        <v>4355</v>
      </c>
      <c r="G1622" s="186" t="str">
        <f t="shared" si="50"/>
        <v>52RVI</v>
      </c>
      <c r="H1622" s="187" t="str">
        <f>+INDEX([1]Detallado!$D:$D,MATCH(C1622,[1]Detallado!$B:$B,0))</f>
        <v>Invesco - European Equity Fund</v>
      </c>
      <c r="I1622" s="28"/>
      <c r="J1622" s="184" t="str">
        <f t="shared" si="51"/>
        <v>RVITD</v>
      </c>
    </row>
    <row r="1623" spans="3:10" x14ac:dyDescent="0.25">
      <c r="C1623" s="28" t="s">
        <v>1919</v>
      </c>
      <c r="D1623" s="188" t="str">
        <f>+INDEX([1]Detallado!$F:$F,MATCH($C1623,[1]Detallado!$B:$B,0))</f>
        <v>Renta Variable</v>
      </c>
      <c r="E1623" s="31" t="str">
        <f>+INDEX([1]Detallado!$Q:$Q,MATCH($C1623,[1]Detallado!$B:$B,0))</f>
        <v>RVI</v>
      </c>
      <c r="F1623" s="185" t="s">
        <v>4355</v>
      </c>
      <c r="G1623" s="186" t="str">
        <f t="shared" si="50"/>
        <v>52RVI</v>
      </c>
      <c r="H1623" s="187" t="str">
        <f>+INDEX([1]Detallado!$D:$D,MATCH(C1623,[1]Detallado!$B:$B,0))</f>
        <v>JP Morgan - Europe Strategic Growth</v>
      </c>
      <c r="I1623" s="28"/>
      <c r="J1623" s="184" t="str">
        <f t="shared" si="51"/>
        <v>RVITD</v>
      </c>
    </row>
    <row r="1624" spans="3:10" x14ac:dyDescent="0.25">
      <c r="C1624" s="28" t="s">
        <v>2129</v>
      </c>
      <c r="D1624" s="188" t="str">
        <f>+INDEX([1]Detallado!$F:$F,MATCH($C1624,[1]Detallado!$B:$B,0))</f>
        <v>Renta Variable</v>
      </c>
      <c r="E1624" s="31" t="str">
        <f>+INDEX([1]Detallado!$Q:$Q,MATCH($C1624,[1]Detallado!$B:$B,0))</f>
        <v>RVI</v>
      </c>
      <c r="F1624" s="185" t="s">
        <v>4355</v>
      </c>
      <c r="G1624" s="186" t="str">
        <f t="shared" si="50"/>
        <v>52RVI</v>
      </c>
      <c r="H1624" s="187" t="str">
        <f>+INDEX([1]Detallado!$D:$D,MATCH(C1624,[1]Detallado!$B:$B,0))</f>
        <v>Liontrust - Liontrust European Dynamic Fund II</v>
      </c>
      <c r="I1624" s="28"/>
      <c r="J1624" s="184" t="str">
        <f t="shared" si="51"/>
        <v>RVITD</v>
      </c>
    </row>
    <row r="1625" spans="3:10" x14ac:dyDescent="0.25">
      <c r="C1625" s="28" t="s">
        <v>2443</v>
      </c>
      <c r="D1625" s="188" t="str">
        <f>+INDEX([1]Detallado!$F:$F,MATCH($C1625,[1]Detallado!$B:$B,0))</f>
        <v>Renta Variable</v>
      </c>
      <c r="E1625" s="31" t="str">
        <f>+INDEX([1]Detallado!$Q:$Q,MATCH($C1625,[1]Detallado!$B:$B,0))</f>
        <v>RVI</v>
      </c>
      <c r="F1625" s="185" t="s">
        <v>4355</v>
      </c>
      <c r="G1625" s="186" t="str">
        <f t="shared" si="50"/>
        <v>52RVI</v>
      </c>
      <c r="H1625" s="187" t="str">
        <f>+INDEX([1]Detallado!$D:$D,MATCH(C1625,[1]Detallado!$B:$B,0))</f>
        <v>MSIM - European Opportunity</v>
      </c>
      <c r="I1625" s="28"/>
      <c r="J1625" s="184" t="str">
        <f t="shared" si="51"/>
        <v>RVITD</v>
      </c>
    </row>
    <row r="1626" spans="3:10" x14ac:dyDescent="0.25">
      <c r="C1626" s="28" t="s">
        <v>1862</v>
      </c>
      <c r="D1626" s="188" t="str">
        <f>+INDEX([1]Detallado!$F:$F,MATCH($C1626,[1]Detallado!$B:$B,0))</f>
        <v>Renta Variable</v>
      </c>
      <c r="E1626" s="31" t="str">
        <f>+INDEX([1]Detallado!$Q:$Q,MATCH($C1626,[1]Detallado!$B:$B,0))</f>
        <v>RVI</v>
      </c>
      <c r="F1626" s="185" t="s">
        <v>4355</v>
      </c>
      <c r="G1626" s="186" t="str">
        <f t="shared" si="50"/>
        <v>52RVI</v>
      </c>
      <c r="H1626" s="187" t="str">
        <f>+INDEX([1]Detallado!$D:$D,MATCH(C1626,[1]Detallado!$B:$B,0))</f>
        <v>Schroders - European Value</v>
      </c>
      <c r="I1626" s="28"/>
      <c r="J1626" s="184" t="str">
        <f t="shared" si="51"/>
        <v>RVITD</v>
      </c>
    </row>
    <row r="1627" spans="3:10" x14ac:dyDescent="0.25">
      <c r="C1627" s="28" t="s">
        <v>2392</v>
      </c>
      <c r="D1627" s="188" t="str">
        <f>+INDEX([1]Detallado!$F:$F,MATCH($C1627,[1]Detallado!$B:$B,0))</f>
        <v>Renta Variable</v>
      </c>
      <c r="E1627" s="31" t="str">
        <f>+INDEX([1]Detallado!$Q:$Q,MATCH($C1627,[1]Detallado!$B:$B,0))</f>
        <v>RVI</v>
      </c>
      <c r="F1627" s="185" t="s">
        <v>4355</v>
      </c>
      <c r="G1627" s="186" t="str">
        <f t="shared" si="50"/>
        <v>52RVI</v>
      </c>
      <c r="H1627" s="187" t="str">
        <f>+INDEX([1]Detallado!$D:$D,MATCH(C1627,[1]Detallado!$B:$B,0))</f>
        <v>BlackRock - iShares Edge MSCI Europe Value Factor</v>
      </c>
      <c r="I1627" s="28"/>
      <c r="J1627" s="184" t="str">
        <f t="shared" si="51"/>
        <v>RVITD</v>
      </c>
    </row>
    <row r="1628" spans="3:10" x14ac:dyDescent="0.25">
      <c r="C1628" s="28" t="s">
        <v>4115</v>
      </c>
      <c r="D1628" s="188" t="str">
        <f>+INDEX([1]Detallado!$F:$F,MATCH($C1628,[1]Detallado!$B:$B,0))</f>
        <v>Renta Variable</v>
      </c>
      <c r="E1628" s="31" t="str">
        <f>+INDEX([1]Detallado!$Q:$Q,MATCH($C1628,[1]Detallado!$B:$B,0))</f>
        <v>RVI</v>
      </c>
      <c r="F1628" s="185" t="s">
        <v>4355</v>
      </c>
      <c r="G1628" s="186" t="str">
        <f t="shared" si="50"/>
        <v>52RVI</v>
      </c>
      <c r="H1628" s="187" t="str">
        <f>+INDEX([1]Detallado!$D:$D,MATCH(C1628,[1]Detallado!$B:$B,0))</f>
        <v>DB Platinum - CROCU Euro</v>
      </c>
      <c r="I1628" s="28"/>
      <c r="J1628" s="184" t="str">
        <f t="shared" si="51"/>
        <v>RVITD</v>
      </c>
    </row>
    <row r="1629" spans="3:10" x14ac:dyDescent="0.25">
      <c r="C1629" s="28" t="s">
        <v>2423</v>
      </c>
      <c r="D1629" s="188" t="str">
        <f>+INDEX([1]Detallado!$F:$F,MATCH($C1629,[1]Detallado!$B:$B,0))</f>
        <v>Renta Variable</v>
      </c>
      <c r="E1629" s="31" t="str">
        <f>+INDEX([1]Detallado!$Q:$Q,MATCH($C1629,[1]Detallado!$B:$B,0))</f>
        <v>RVI</v>
      </c>
      <c r="F1629" s="185" t="s">
        <v>4355</v>
      </c>
      <c r="G1629" s="186" t="str">
        <f t="shared" si="50"/>
        <v>52RVI</v>
      </c>
      <c r="H1629" s="187" t="str">
        <f>+INDEX([1]Detallado!$D:$D,MATCH(C1629,[1]Detallado!$B:$B,0))</f>
        <v>Jupiter Unit Trust - Asian Income Fund I GBP</v>
      </c>
      <c r="I1629" s="28"/>
      <c r="J1629" s="184" t="str">
        <f t="shared" si="51"/>
        <v>RVITD</v>
      </c>
    </row>
    <row r="1630" spans="3:10" x14ac:dyDescent="0.25">
      <c r="C1630" s="28" t="s">
        <v>2581</v>
      </c>
      <c r="D1630" s="188" t="str">
        <f>+INDEX([1]Detallado!$F:$F,MATCH($C1630,[1]Detallado!$B:$B,0))</f>
        <v>Renta Variable</v>
      </c>
      <c r="E1630" s="31" t="str">
        <f>+INDEX([1]Detallado!$Q:$Q,MATCH($C1630,[1]Detallado!$B:$B,0))</f>
        <v>RVI</v>
      </c>
      <c r="F1630" s="185" t="s">
        <v>4355</v>
      </c>
      <c r="G1630" s="186" t="str">
        <f t="shared" si="50"/>
        <v>52RVI</v>
      </c>
      <c r="H1630" s="187" t="str">
        <f>+INDEX([1]Detallado!$D:$D,MATCH(C1630,[1]Detallado!$B:$B,0))</f>
        <v xml:space="preserve">Jupiter Unit Trust - European Smaller Companies I </v>
      </c>
      <c r="I1630" s="28"/>
      <c r="J1630" s="184" t="str">
        <f t="shared" si="51"/>
        <v>RVITD</v>
      </c>
    </row>
    <row r="1631" spans="3:10" x14ac:dyDescent="0.25">
      <c r="C1631" s="28" t="s">
        <v>2345</v>
      </c>
      <c r="D1631" s="188" t="str">
        <f>+INDEX([1]Detallado!$F:$F,MATCH($C1631,[1]Detallado!$B:$B,0))</f>
        <v>Renta Variable</v>
      </c>
      <c r="E1631" s="31" t="str">
        <f>+INDEX([1]Detallado!$Q:$Q,MATCH($C1631,[1]Detallado!$B:$B,0))</f>
        <v>RVI</v>
      </c>
      <c r="F1631" s="185" t="s">
        <v>4355</v>
      </c>
      <c r="G1631" s="186" t="str">
        <f t="shared" si="50"/>
        <v>52RVI</v>
      </c>
      <c r="H1631" s="187" t="str">
        <f>+INDEX([1]Detallado!$D:$D,MATCH(C1631,[1]Detallado!$B:$B,0))</f>
        <v>Jupiter Unit Trust - European Growth</v>
      </c>
      <c r="I1631" s="28"/>
      <c r="J1631" s="184" t="str">
        <f t="shared" si="51"/>
        <v>RVITD</v>
      </c>
    </row>
    <row r="1632" spans="3:10" x14ac:dyDescent="0.25">
      <c r="C1632" s="28" t="s">
        <v>2175</v>
      </c>
      <c r="D1632" s="188" t="str">
        <f>+INDEX([1]Detallado!$F:$F,MATCH($C1632,[1]Detallado!$B:$B,0))</f>
        <v>Renta Variable</v>
      </c>
      <c r="E1632" s="31" t="str">
        <f>+INDEX([1]Detallado!$Q:$Q,MATCH($C1632,[1]Detallado!$B:$B,0))</f>
        <v>RVI</v>
      </c>
      <c r="F1632" s="185" t="s">
        <v>4355</v>
      </c>
      <c r="G1632" s="186" t="str">
        <f t="shared" si="50"/>
        <v>52RVI</v>
      </c>
      <c r="H1632" s="187" t="str">
        <f>+INDEX([1]Detallado!$D:$D,MATCH(C1632,[1]Detallado!$B:$B,0))</f>
        <v>Jupiter Unit Trust - European Fund</v>
      </c>
      <c r="I1632" s="28"/>
      <c r="J1632" s="184" t="str">
        <f t="shared" si="51"/>
        <v>RVITD</v>
      </c>
    </row>
    <row r="1633" spans="3:10" x14ac:dyDescent="0.25">
      <c r="C1633" s="28" t="s">
        <v>1985</v>
      </c>
      <c r="D1633" s="188" t="str">
        <f>+INDEX([1]Detallado!$F:$F,MATCH($C1633,[1]Detallado!$B:$B,0))</f>
        <v>Renta Variable</v>
      </c>
      <c r="E1633" s="31" t="str">
        <f>+INDEX([1]Detallado!$Q:$Q,MATCH($C1633,[1]Detallado!$B:$B,0))</f>
        <v>RVI</v>
      </c>
      <c r="F1633" s="185" t="s">
        <v>4355</v>
      </c>
      <c r="G1633" s="186" t="str">
        <f t="shared" si="50"/>
        <v>52RVI</v>
      </c>
      <c r="H1633" s="187" t="str">
        <f>+INDEX([1]Detallado!$D:$D,MATCH(C1633,[1]Detallado!$B:$B,0))</f>
        <v>Jupiter Unit Trust - European Growth</v>
      </c>
      <c r="I1633" s="28"/>
      <c r="J1633" s="184" t="str">
        <f t="shared" si="51"/>
        <v>RVITD</v>
      </c>
    </row>
    <row r="1634" spans="3:10" x14ac:dyDescent="0.25">
      <c r="C1634" s="28" t="s">
        <v>2590</v>
      </c>
      <c r="D1634" s="188" t="str">
        <f>+INDEX([1]Detallado!$F:$F,MATCH($C1634,[1]Detallado!$B:$B,0))</f>
        <v>Renta Variable</v>
      </c>
      <c r="E1634" s="31" t="str">
        <f>+INDEX([1]Detallado!$Q:$Q,MATCH($C1634,[1]Detallado!$B:$B,0))</f>
        <v>RVI</v>
      </c>
      <c r="F1634" s="185" t="s">
        <v>4355</v>
      </c>
      <c r="G1634" s="186" t="str">
        <f t="shared" si="50"/>
        <v>52RVI</v>
      </c>
      <c r="H1634" s="187" t="str">
        <f>+INDEX([1]Detallado!$D:$D,MATCH(C1634,[1]Detallado!$B:$B,0))</f>
        <v>Candriam  SICAV - Europe</v>
      </c>
      <c r="I1634" s="28"/>
      <c r="J1634" s="184" t="str">
        <f t="shared" si="51"/>
        <v>RVITD</v>
      </c>
    </row>
    <row r="1635" spans="3:10" x14ac:dyDescent="0.25">
      <c r="C1635" s="28" t="s">
        <v>4116</v>
      </c>
      <c r="D1635" s="188" t="str">
        <f>+INDEX([1]Detallado!$F:$F,MATCH($C1635,[1]Detallado!$B:$B,0))</f>
        <v>Renta Variable</v>
      </c>
      <c r="E1635" s="31" t="str">
        <f>+INDEX([1]Detallado!$Q:$Q,MATCH($C1635,[1]Detallado!$B:$B,0))</f>
        <v>RVI</v>
      </c>
      <c r="F1635" s="185" t="s">
        <v>4355</v>
      </c>
      <c r="G1635" s="186" t="str">
        <f t="shared" si="50"/>
        <v>52RVI</v>
      </c>
      <c r="H1635" s="187" t="str">
        <f>+INDEX([1]Detallado!$D:$D,MATCH(C1635,[1]Detallado!$B:$B,0))</f>
        <v>Fidelity - European Dynamic Growth</v>
      </c>
      <c r="I1635" s="28"/>
      <c r="J1635" s="184" t="str">
        <f t="shared" si="51"/>
        <v>RVITD</v>
      </c>
    </row>
    <row r="1636" spans="3:10" x14ac:dyDescent="0.25">
      <c r="C1636" s="28" t="s">
        <v>4117</v>
      </c>
      <c r="D1636" s="188" t="str">
        <f>+INDEX([1]Detallado!$F:$F,MATCH($C1636,[1]Detallado!$B:$B,0))</f>
        <v>Renta Variable</v>
      </c>
      <c r="E1636" s="31" t="str">
        <f>+INDEX([1]Detallado!$Q:$Q,MATCH($C1636,[1]Detallado!$B:$B,0))</f>
        <v>RVI</v>
      </c>
      <c r="F1636" s="185" t="s">
        <v>4355</v>
      </c>
      <c r="G1636" s="186" t="str">
        <f t="shared" si="50"/>
        <v>52RVI</v>
      </c>
      <c r="H1636" s="187" t="str">
        <f>+INDEX([1]Detallado!$D:$D,MATCH(C1636,[1]Detallado!$B:$B,0))</f>
        <v>Acadian  - European Equity UCITS</v>
      </c>
      <c r="I1636" s="28"/>
      <c r="J1636" s="184" t="str">
        <f t="shared" si="51"/>
        <v>RVITD</v>
      </c>
    </row>
    <row r="1637" spans="3:10" x14ac:dyDescent="0.25">
      <c r="C1637" s="28" t="s">
        <v>1756</v>
      </c>
      <c r="D1637" s="188" t="str">
        <f>+INDEX([1]Detallado!$F:$F,MATCH($C1637,[1]Detallado!$B:$B,0))</f>
        <v>Renta Variable</v>
      </c>
      <c r="E1637" s="31" t="str">
        <f>+INDEX([1]Detallado!$Q:$Q,MATCH($C1637,[1]Detallado!$B:$B,0))</f>
        <v>RVI</v>
      </c>
      <c r="F1637" s="185" t="s">
        <v>4355</v>
      </c>
      <c r="G1637" s="186" t="str">
        <f t="shared" si="50"/>
        <v>52RVI</v>
      </c>
      <c r="H1637" s="187" t="str">
        <f>+INDEX([1]Detallado!$D:$D,MATCH(C1637,[1]Detallado!$B:$B,0))</f>
        <v>Schroders - Euro Equity</v>
      </c>
      <c r="I1637" s="28"/>
      <c r="J1637" s="184" t="str">
        <f t="shared" si="51"/>
        <v>RVITD</v>
      </c>
    </row>
    <row r="1638" spans="3:10" x14ac:dyDescent="0.25">
      <c r="C1638" s="28" t="s">
        <v>1805</v>
      </c>
      <c r="D1638" s="188" t="str">
        <f>+INDEX([1]Detallado!$F:$F,MATCH($C1638,[1]Detallado!$B:$B,0))</f>
        <v>Renta Variable</v>
      </c>
      <c r="E1638" s="31" t="str">
        <f>+INDEX([1]Detallado!$Q:$Q,MATCH($C1638,[1]Detallado!$B:$B,0))</f>
        <v>RVI</v>
      </c>
      <c r="F1638" s="185" t="s">
        <v>4355</v>
      </c>
      <c r="G1638" s="186" t="str">
        <f t="shared" si="50"/>
        <v>52RVI</v>
      </c>
      <c r="H1638" s="187" t="str">
        <f>+INDEX([1]Detallado!$D:$D,MATCH(C1638,[1]Detallado!$B:$B,0))</f>
        <v>NN - Euro High Dividend</v>
      </c>
      <c r="I1638" s="28"/>
      <c r="J1638" s="184" t="str">
        <f t="shared" si="51"/>
        <v>RVITD</v>
      </c>
    </row>
    <row r="1639" spans="3:10" x14ac:dyDescent="0.25">
      <c r="C1639" s="28" t="s">
        <v>1777</v>
      </c>
      <c r="D1639" s="188" t="str">
        <f>+INDEX([1]Detallado!$F:$F,MATCH($C1639,[1]Detallado!$B:$B,0))</f>
        <v>Renta Variable</v>
      </c>
      <c r="E1639" s="31" t="str">
        <f>+INDEX([1]Detallado!$Q:$Q,MATCH($C1639,[1]Detallado!$B:$B,0))</f>
        <v>RVI</v>
      </c>
      <c r="F1639" s="185" t="s">
        <v>4355</v>
      </c>
      <c r="G1639" s="186" t="str">
        <f t="shared" si="50"/>
        <v>52RVI</v>
      </c>
      <c r="H1639" s="187" t="str">
        <f>+INDEX([1]Detallado!$D:$D,MATCH(C1639,[1]Detallado!$B:$B,0))</f>
        <v>Janus Henderson - Continental European Fund</v>
      </c>
      <c r="I1639" s="28"/>
      <c r="J1639" s="184" t="str">
        <f t="shared" si="51"/>
        <v>RVITD</v>
      </c>
    </row>
    <row r="1640" spans="3:10" x14ac:dyDescent="0.25">
      <c r="C1640" s="28" t="s">
        <v>1844</v>
      </c>
      <c r="D1640" s="188" t="str">
        <f>+INDEX([1]Detallado!$F:$F,MATCH($C1640,[1]Detallado!$B:$B,0))</f>
        <v>Renta Variable</v>
      </c>
      <c r="E1640" s="31" t="str">
        <f>+INDEX([1]Detallado!$Q:$Q,MATCH($C1640,[1]Detallado!$B:$B,0))</f>
        <v>RVI</v>
      </c>
      <c r="F1640" s="185" t="s">
        <v>4355</v>
      </c>
      <c r="G1640" s="186" t="str">
        <f t="shared" si="50"/>
        <v>52RVI</v>
      </c>
      <c r="H1640" s="187" t="str">
        <f>+INDEX([1]Detallado!$D:$D,MATCH(C1640,[1]Detallado!$B:$B,0))</f>
        <v>DWS - Top Euroland</v>
      </c>
      <c r="I1640" s="28"/>
      <c r="J1640" s="184" t="str">
        <f t="shared" si="51"/>
        <v>RVITD</v>
      </c>
    </row>
    <row r="1641" spans="3:10" x14ac:dyDescent="0.25">
      <c r="C1641" s="28" t="s">
        <v>659</v>
      </c>
      <c r="D1641" s="188" t="str">
        <f>+INDEX([1]Detallado!$F:$F,MATCH($C1641,[1]Detallado!$B:$B,0))</f>
        <v>Renta Variable</v>
      </c>
      <c r="E1641" s="31" t="str">
        <f>+INDEX([1]Detallado!$Q:$Q,MATCH($C1641,[1]Detallado!$B:$B,0))</f>
        <v>RVI</v>
      </c>
      <c r="F1641" s="185" t="s">
        <v>4355</v>
      </c>
      <c r="G1641" s="186" t="str">
        <f t="shared" si="50"/>
        <v>52RVI</v>
      </c>
      <c r="H1641" s="187" t="str">
        <f>+INDEX([1]Detallado!$D:$D,MATCH(C1641,[1]Detallado!$B:$B,0))</f>
        <v>Janus Henderson - Horizon Euroland Fund</v>
      </c>
      <c r="I1641" s="28"/>
      <c r="J1641" s="184" t="str">
        <f t="shared" si="51"/>
        <v>RVITD</v>
      </c>
    </row>
    <row r="1642" spans="3:10" x14ac:dyDescent="0.25">
      <c r="C1642" s="28" t="s">
        <v>691</v>
      </c>
      <c r="D1642" s="188" t="str">
        <f>+INDEX([1]Detallado!$F:$F,MATCH($C1642,[1]Detallado!$B:$B,0))</f>
        <v>Renta Variable</v>
      </c>
      <c r="E1642" s="31" t="str">
        <f>+INDEX([1]Detallado!$Q:$Q,MATCH($C1642,[1]Detallado!$B:$B,0))</f>
        <v>RVI</v>
      </c>
      <c r="F1642" s="185" t="s">
        <v>4355</v>
      </c>
      <c r="G1642" s="186" t="str">
        <f t="shared" si="50"/>
        <v>52RVI</v>
      </c>
      <c r="H1642" s="187" t="str">
        <f>+INDEX([1]Detallado!$D:$D,MATCH(C1642,[1]Detallado!$B:$B,0))</f>
        <v>Allianz - Euroland Equity Growth</v>
      </c>
      <c r="I1642" s="28"/>
      <c r="J1642" s="184" t="str">
        <f t="shared" si="51"/>
        <v>RVITD</v>
      </c>
    </row>
    <row r="1643" spans="3:10" x14ac:dyDescent="0.25">
      <c r="C1643" s="28" t="s">
        <v>1713</v>
      </c>
      <c r="D1643" s="188" t="str">
        <f>+INDEX([1]Detallado!$F:$F,MATCH($C1643,[1]Detallado!$B:$B,0))</f>
        <v>Renta Variable</v>
      </c>
      <c r="E1643" s="31" t="str">
        <f>+INDEX([1]Detallado!$Q:$Q,MATCH($C1643,[1]Detallado!$B:$B,0))</f>
        <v>RVI</v>
      </c>
      <c r="F1643" s="185" t="s">
        <v>4355</v>
      </c>
      <c r="G1643" s="186" t="str">
        <f t="shared" si="50"/>
        <v>52RVI</v>
      </c>
      <c r="H1643" s="187" t="str">
        <f>+INDEX([1]Detallado!$D:$D,MATCH(C1643,[1]Detallado!$B:$B,0))</f>
        <v>Allianz - Wachstum Euroland</v>
      </c>
      <c r="I1643" s="28"/>
      <c r="J1643" s="184" t="str">
        <f t="shared" si="51"/>
        <v>RVITD</v>
      </c>
    </row>
    <row r="1644" spans="3:10" x14ac:dyDescent="0.25">
      <c r="C1644" s="28" t="s">
        <v>2100</v>
      </c>
      <c r="D1644" s="188" t="str">
        <f>+INDEX([1]Detallado!$F:$F,MATCH($C1644,[1]Detallado!$B:$B,0))</f>
        <v>Renta Variable</v>
      </c>
      <c r="E1644" s="31" t="str">
        <f>+INDEX([1]Detallado!$Q:$Q,MATCH($C1644,[1]Detallado!$B:$B,0))</f>
        <v>RVI</v>
      </c>
      <c r="F1644" s="185" t="s">
        <v>4355</v>
      </c>
      <c r="G1644" s="186" t="str">
        <f t="shared" si="50"/>
        <v>52RVI</v>
      </c>
      <c r="H1644" s="187" t="str">
        <f>+INDEX([1]Detallado!$D:$D,MATCH(C1644,[1]Detallado!$B:$B,0))</f>
        <v>BlackRock - iShares Core MSCI EMU UCITS</v>
      </c>
      <c r="I1644" s="28"/>
      <c r="J1644" s="184" t="str">
        <f t="shared" si="51"/>
        <v>RVITD</v>
      </c>
    </row>
    <row r="1645" spans="3:10" x14ac:dyDescent="0.25">
      <c r="C1645" s="28" t="s">
        <v>2099</v>
      </c>
      <c r="D1645" s="188" t="str">
        <f>+INDEX([1]Detallado!$F:$F,MATCH($C1645,[1]Detallado!$B:$B,0))</f>
        <v>Renta Variable</v>
      </c>
      <c r="E1645" s="31" t="str">
        <f>+INDEX([1]Detallado!$Q:$Q,MATCH($C1645,[1]Detallado!$B:$B,0))</f>
        <v>RVI</v>
      </c>
      <c r="F1645" s="185" t="s">
        <v>4355</v>
      </c>
      <c r="G1645" s="186" t="str">
        <f t="shared" si="50"/>
        <v>52RVI</v>
      </c>
      <c r="H1645" s="187" t="str">
        <f>+INDEX([1]Detallado!$D:$D,MATCH(C1645,[1]Detallado!$B:$B,0))</f>
        <v>BlackRock - iShares Core MSCI EMU UCITS ETF</v>
      </c>
      <c r="I1645" s="28"/>
      <c r="J1645" s="184" t="str">
        <f t="shared" si="51"/>
        <v>RVITD</v>
      </c>
    </row>
    <row r="1646" spans="3:10" x14ac:dyDescent="0.25">
      <c r="C1646" s="28" t="s">
        <v>2103</v>
      </c>
      <c r="D1646" s="188" t="str">
        <f>+INDEX([1]Detallado!$F:$F,MATCH($C1646,[1]Detallado!$B:$B,0))</f>
        <v>Renta Variable</v>
      </c>
      <c r="E1646" s="31" t="str">
        <f>+INDEX([1]Detallado!$Q:$Q,MATCH($C1646,[1]Detallado!$B:$B,0))</f>
        <v>RVI</v>
      </c>
      <c r="F1646" s="185" t="s">
        <v>4355</v>
      </c>
      <c r="G1646" s="186" t="str">
        <f t="shared" si="50"/>
        <v>52RVI</v>
      </c>
      <c r="H1646" s="187" t="str">
        <f>+INDEX([1]Detallado!$D:$D,MATCH(C1646,[1]Detallado!$B:$B,0))</f>
        <v>BlackRock - iShares Euro STOXX 50 UCITS</v>
      </c>
      <c r="I1646" s="28"/>
      <c r="J1646" s="184" t="str">
        <f t="shared" si="51"/>
        <v>RVITD</v>
      </c>
    </row>
    <row r="1647" spans="3:10" x14ac:dyDescent="0.25">
      <c r="C1647" s="28" t="s">
        <v>1811</v>
      </c>
      <c r="D1647" s="188" t="str">
        <f>+INDEX([1]Detallado!$F:$F,MATCH($C1647,[1]Detallado!$B:$B,0))</f>
        <v>Renta Variable</v>
      </c>
      <c r="E1647" s="31" t="str">
        <f>+INDEX([1]Detallado!$Q:$Q,MATCH($C1647,[1]Detallado!$B:$B,0))</f>
        <v>RVI</v>
      </c>
      <c r="F1647" s="185" t="s">
        <v>4355</v>
      </c>
      <c r="G1647" s="186" t="str">
        <f t="shared" si="50"/>
        <v>52RVI</v>
      </c>
      <c r="H1647" s="187" t="str">
        <f>+INDEX([1]Detallado!$D:$D,MATCH(C1647,[1]Detallado!$B:$B,0))</f>
        <v>Threadneedle - European Equities</v>
      </c>
      <c r="I1647" s="28"/>
      <c r="J1647" s="184" t="str">
        <f t="shared" si="51"/>
        <v>RVITD</v>
      </c>
    </row>
    <row r="1648" spans="3:10" x14ac:dyDescent="0.25">
      <c r="C1648" s="28" t="s">
        <v>931</v>
      </c>
      <c r="D1648" s="188" t="str">
        <f>+INDEX([1]Detallado!$F:$F,MATCH($C1648,[1]Detallado!$B:$B,0))</f>
        <v>Renta Variable</v>
      </c>
      <c r="E1648" s="31" t="str">
        <f>+INDEX([1]Detallado!$Q:$Q,MATCH($C1648,[1]Detallado!$B:$B,0))</f>
        <v>RVI</v>
      </c>
      <c r="F1648" s="185" t="s">
        <v>4355</v>
      </c>
      <c r="G1648" s="186" t="str">
        <f t="shared" si="50"/>
        <v>52RVI</v>
      </c>
      <c r="H1648" s="187" t="str">
        <f>+INDEX([1]Detallado!$D:$D,MATCH(C1648,[1]Detallado!$B:$B,0))</f>
        <v>BlackRock - iShares MSCI Eurozone ETF</v>
      </c>
      <c r="I1648" s="28"/>
      <c r="J1648" s="184" t="str">
        <f t="shared" si="51"/>
        <v>RVITD</v>
      </c>
    </row>
    <row r="1649" spans="3:10" x14ac:dyDescent="0.25">
      <c r="C1649" s="28" t="s">
        <v>1615</v>
      </c>
      <c r="D1649" s="188" t="str">
        <f>+INDEX([1]Detallado!$F:$F,MATCH($C1649,[1]Detallado!$B:$B,0))</f>
        <v>Renta Variable</v>
      </c>
      <c r="E1649" s="31" t="str">
        <f>+INDEX([1]Detallado!$Q:$Q,MATCH($C1649,[1]Detallado!$B:$B,0))</f>
        <v>RVI</v>
      </c>
      <c r="F1649" s="185" t="s">
        <v>4355</v>
      </c>
      <c r="G1649" s="186" t="str">
        <f t="shared" si="50"/>
        <v>52RVI</v>
      </c>
      <c r="H1649" s="187" t="str">
        <f>+INDEX([1]Detallado!$D:$D,MATCH(C1649,[1]Detallado!$B:$B,0))</f>
        <v>BlackRock - iShares European Monetary Union Hedged</v>
      </c>
      <c r="I1649" s="28"/>
      <c r="J1649" s="184" t="str">
        <f t="shared" si="51"/>
        <v>RVITD</v>
      </c>
    </row>
    <row r="1650" spans="3:10" x14ac:dyDescent="0.25">
      <c r="C1650" s="28" t="s">
        <v>4118</v>
      </c>
      <c r="D1650" s="188" t="str">
        <f>+INDEX([1]Detallado!$F:$F,MATCH($C1650,[1]Detallado!$B:$B,0))</f>
        <v>Renta Variable</v>
      </c>
      <c r="E1650" s="31" t="str">
        <f>+INDEX([1]Detallado!$Q:$Q,MATCH($C1650,[1]Detallado!$B:$B,0))</f>
        <v>RVI</v>
      </c>
      <c r="F1650" s="185" t="s">
        <v>4355</v>
      </c>
      <c r="G1650" s="186" t="str">
        <f t="shared" si="50"/>
        <v>52RVI</v>
      </c>
      <c r="H1650" s="187" t="str">
        <f>+INDEX([1]Detallado!$D:$D,MATCH(C1650,[1]Detallado!$B:$B,0))</f>
        <v>BlackRock - iShares MSCI Easter Europe Capped</v>
      </c>
      <c r="I1650" s="28"/>
      <c r="J1650" s="184" t="str">
        <f t="shared" si="51"/>
        <v>RVITD</v>
      </c>
    </row>
    <row r="1651" spans="3:10" x14ac:dyDescent="0.25">
      <c r="C1651" s="28" t="s">
        <v>1470</v>
      </c>
      <c r="D1651" s="188" t="str">
        <f>+INDEX([1]Detallado!$F:$F,MATCH($C1651,[1]Detallado!$B:$B,0))</f>
        <v>Renta Variable</v>
      </c>
      <c r="E1651" s="31" t="str">
        <f>+INDEX([1]Detallado!$Q:$Q,MATCH($C1651,[1]Detallado!$B:$B,0))</f>
        <v>RVI</v>
      </c>
      <c r="F1651" s="185" t="s">
        <v>4355</v>
      </c>
      <c r="G1651" s="186" t="str">
        <f t="shared" si="50"/>
        <v>52RVI</v>
      </c>
      <c r="H1651" s="187" t="str">
        <f>+INDEX([1]Detallado!$D:$D,MATCH(C1651,[1]Detallado!$B:$B,0))</f>
        <v>WisdomTree - Europa Hedged Equity</v>
      </c>
      <c r="I1651" s="28"/>
      <c r="J1651" s="184" t="str">
        <f t="shared" si="51"/>
        <v>RVITD</v>
      </c>
    </row>
    <row r="1652" spans="3:10" x14ac:dyDescent="0.25">
      <c r="C1652" s="28" t="s">
        <v>638</v>
      </c>
      <c r="D1652" s="188" t="str">
        <f>+INDEX([1]Detallado!$F:$F,MATCH($C1652,[1]Detallado!$B:$B,0))</f>
        <v>Renta Variable</v>
      </c>
      <c r="E1652" s="31" t="str">
        <f>+INDEX([1]Detallado!$Q:$Q,MATCH($C1652,[1]Detallado!$B:$B,0))</f>
        <v>RVI</v>
      </c>
      <c r="F1652" s="185" t="s">
        <v>4355</v>
      </c>
      <c r="G1652" s="186" t="str">
        <f t="shared" si="50"/>
        <v>52RVI</v>
      </c>
      <c r="H1652" s="187" t="str">
        <f>+INDEX([1]Detallado!$D:$D,MATCH(C1652,[1]Detallado!$B:$B,0))</f>
        <v xml:space="preserve">Xtrackers -  MSCI EMU </v>
      </c>
      <c r="I1652" s="28"/>
      <c r="J1652" s="184" t="str">
        <f t="shared" si="51"/>
        <v>RVITD</v>
      </c>
    </row>
    <row r="1653" spans="3:10" x14ac:dyDescent="0.25">
      <c r="C1653" s="28" t="s">
        <v>2254</v>
      </c>
      <c r="D1653" s="188" t="str">
        <f>+INDEX([1]Detallado!$F:$F,MATCH($C1653,[1]Detallado!$B:$B,0))</f>
        <v>Renta Variable</v>
      </c>
      <c r="E1653" s="31" t="str">
        <f>+INDEX([1]Detallado!$Q:$Q,MATCH($C1653,[1]Detallado!$B:$B,0))</f>
        <v>RVI</v>
      </c>
      <c r="F1653" s="185" t="s">
        <v>4355</v>
      </c>
      <c r="G1653" s="186" t="str">
        <f t="shared" si="50"/>
        <v>52RVI</v>
      </c>
      <c r="H1653" s="187" t="str">
        <f>+INDEX([1]Detallado!$D:$D,MATCH(C1653,[1]Detallado!$B:$B,0))</f>
        <v>GAM - Continental Europe</v>
      </c>
      <c r="I1653" s="28"/>
      <c r="J1653" s="184" t="str">
        <f t="shared" si="51"/>
        <v>RVITD</v>
      </c>
    </row>
    <row r="1654" spans="3:10" x14ac:dyDescent="0.25">
      <c r="C1654" s="28" t="s">
        <v>642</v>
      </c>
      <c r="D1654" s="188" t="str">
        <f>+INDEX([1]Detallado!$F:$F,MATCH($C1654,[1]Detallado!$B:$B,0))</f>
        <v>Renta Variable</v>
      </c>
      <c r="E1654" s="31" t="str">
        <f>+INDEX([1]Detallado!$Q:$Q,MATCH($C1654,[1]Detallado!$B:$B,0))</f>
        <v>RVI</v>
      </c>
      <c r="F1654" s="185" t="s">
        <v>4355</v>
      </c>
      <c r="G1654" s="186" t="str">
        <f t="shared" si="50"/>
        <v>52RVI</v>
      </c>
      <c r="H1654" s="187" t="str">
        <f>+INDEX([1]Detallado!$D:$D,MATCH(C1654,[1]Detallado!$B:$B,0))</f>
        <v>Invesco  - Euro Equity Fund</v>
      </c>
      <c r="I1654" s="28"/>
      <c r="J1654" s="184" t="str">
        <f t="shared" si="51"/>
        <v>RVITD</v>
      </c>
    </row>
    <row r="1655" spans="3:10" x14ac:dyDescent="0.25">
      <c r="C1655" s="28" t="s">
        <v>656</v>
      </c>
      <c r="D1655" s="188" t="str">
        <f>+INDEX([1]Detallado!$F:$F,MATCH($C1655,[1]Detallado!$B:$B,0))</f>
        <v>Renta Variable</v>
      </c>
      <c r="E1655" s="31" t="str">
        <f>+INDEX([1]Detallado!$Q:$Q,MATCH($C1655,[1]Detallado!$B:$B,0))</f>
        <v>RVI</v>
      </c>
      <c r="F1655" s="185" t="s">
        <v>4355</v>
      </c>
      <c r="G1655" s="186" t="str">
        <f t="shared" si="50"/>
        <v>52RVI</v>
      </c>
      <c r="H1655" s="187" t="str">
        <f>+INDEX([1]Detallado!$D:$D,MATCH(C1655,[1]Detallado!$B:$B,0))</f>
        <v>Man GLG - Continental European Growth</v>
      </c>
      <c r="I1655" s="28"/>
      <c r="J1655" s="184" t="str">
        <f t="shared" si="51"/>
        <v>RVITD</v>
      </c>
    </row>
    <row r="1656" spans="3:10" x14ac:dyDescent="0.25">
      <c r="C1656" s="28" t="s">
        <v>1839</v>
      </c>
      <c r="D1656" s="188" t="str">
        <f>+INDEX([1]Detallado!$F:$F,MATCH($C1656,[1]Detallado!$B:$B,0))</f>
        <v>Renta Variable</v>
      </c>
      <c r="E1656" s="31" t="str">
        <f>+INDEX([1]Detallado!$Q:$Q,MATCH($C1656,[1]Detallado!$B:$B,0))</f>
        <v>RVI</v>
      </c>
      <c r="F1656" s="185" t="s">
        <v>4355</v>
      </c>
      <c r="G1656" s="186" t="str">
        <f t="shared" si="50"/>
        <v>52RVI</v>
      </c>
      <c r="H1656" s="187" t="str">
        <f>+INDEX([1]Detallado!$D:$D,MATCH(C1656,[1]Detallado!$B:$B,0))</f>
        <v>BlackRock - iShares Euro Stoxx Banks 30-15 UCITS</v>
      </c>
      <c r="I1656" s="28"/>
      <c r="J1656" s="184" t="str">
        <f t="shared" si="51"/>
        <v>RVITD</v>
      </c>
    </row>
    <row r="1657" spans="3:10" x14ac:dyDescent="0.25">
      <c r="C1657" s="28" t="s">
        <v>4119</v>
      </c>
      <c r="D1657" s="188" t="str">
        <f>+INDEX([1]Detallado!$F:$F,MATCH($C1657,[1]Detallado!$B:$B,0))</f>
        <v>Renta Variable</v>
      </c>
      <c r="E1657" s="31" t="str">
        <f>+INDEX([1]Detallado!$Q:$Q,MATCH($C1657,[1]Detallado!$B:$B,0))</f>
        <v>RVI</v>
      </c>
      <c r="F1657" s="185" t="s">
        <v>4355</v>
      </c>
      <c r="G1657" s="186" t="str">
        <f t="shared" si="50"/>
        <v>52RVI</v>
      </c>
      <c r="H1657" s="187" t="str">
        <f>+INDEX([1]Detallado!$D:$D,MATCH(C1657,[1]Detallado!$B:$B,0))</f>
        <v>Invesco - Continental European Small Cap</v>
      </c>
      <c r="I1657" s="28"/>
      <c r="J1657" s="184" t="str">
        <f t="shared" si="51"/>
        <v>RVITD</v>
      </c>
    </row>
    <row r="1658" spans="3:10" x14ac:dyDescent="0.25">
      <c r="C1658" s="28" t="s">
        <v>2519</v>
      </c>
      <c r="D1658" s="188" t="str">
        <f>+INDEX([1]Detallado!$F:$F,MATCH($C1658,[1]Detallado!$B:$B,0))</f>
        <v>Renta Variable</v>
      </c>
      <c r="E1658" s="31" t="str">
        <f>+INDEX([1]Detallado!$Q:$Q,MATCH($C1658,[1]Detallado!$B:$B,0))</f>
        <v>RVI</v>
      </c>
      <c r="F1658" s="185" t="s">
        <v>4355</v>
      </c>
      <c r="G1658" s="186" t="str">
        <f t="shared" si="50"/>
        <v>52RVI</v>
      </c>
      <c r="H1658" s="187" t="str">
        <f>+INDEX([1]Detallado!$D:$D,MATCH(C1658,[1]Detallado!$B:$B,0))</f>
        <v>Invesco - Continental European Small Cap</v>
      </c>
      <c r="I1658" s="28"/>
      <c r="J1658" s="184" t="str">
        <f t="shared" si="51"/>
        <v>RVITD</v>
      </c>
    </row>
    <row r="1659" spans="3:10" x14ac:dyDescent="0.25">
      <c r="C1659" s="28" t="s">
        <v>2538</v>
      </c>
      <c r="D1659" s="188" t="str">
        <f>+INDEX([1]Detallado!$F:$F,MATCH($C1659,[1]Detallado!$B:$B,0))</f>
        <v>Renta Variable</v>
      </c>
      <c r="E1659" s="31" t="str">
        <f>+INDEX([1]Detallado!$Q:$Q,MATCH($C1659,[1]Detallado!$B:$B,0))</f>
        <v>RVI</v>
      </c>
      <c r="F1659" s="185" t="s">
        <v>4355</v>
      </c>
      <c r="G1659" s="186" t="str">
        <f t="shared" si="50"/>
        <v>52RVI</v>
      </c>
      <c r="H1659" s="187" t="str">
        <f>+INDEX([1]Detallado!$D:$D,MATCH(C1659,[1]Detallado!$B:$B,0))</f>
        <v>DB Platinum - CROCU Euro</v>
      </c>
      <c r="I1659" s="28"/>
      <c r="J1659" s="184" t="str">
        <f t="shared" si="51"/>
        <v>RVITD</v>
      </c>
    </row>
    <row r="1660" spans="3:10" x14ac:dyDescent="0.25">
      <c r="C1660" s="28" t="s">
        <v>2352</v>
      </c>
      <c r="D1660" s="188" t="str">
        <f>+INDEX([1]Detallado!$F:$F,MATCH($C1660,[1]Detallado!$B:$B,0))</f>
        <v>Renta Variable</v>
      </c>
      <c r="E1660" s="31" t="str">
        <f>+INDEX([1]Detallado!$Q:$Q,MATCH($C1660,[1]Detallado!$B:$B,0))</f>
        <v>RVI</v>
      </c>
      <c r="F1660" s="185" t="s">
        <v>4355</v>
      </c>
      <c r="G1660" s="186" t="str">
        <f t="shared" si="50"/>
        <v>52RVI</v>
      </c>
      <c r="H1660" s="187" t="str">
        <f>+INDEX([1]Detallado!$D:$D,MATCH(C1660,[1]Detallado!$B:$B,0))</f>
        <v>Vanguard - Eurozone Stock Index</v>
      </c>
      <c r="I1660" s="28"/>
      <c r="J1660" s="184" t="str">
        <f t="shared" si="51"/>
        <v>RVITD</v>
      </c>
    </row>
    <row r="1661" spans="3:10" x14ac:dyDescent="0.25">
      <c r="C1661" s="28" t="s">
        <v>1079</v>
      </c>
      <c r="D1661" s="188" t="str">
        <f>+INDEX([1]Detallado!$F:$F,MATCH($C1661,[1]Detallado!$B:$B,0))</f>
        <v>Renta Variable</v>
      </c>
      <c r="E1661" s="31" t="str">
        <f>+INDEX([1]Detallado!$Q:$Q,MATCH($C1661,[1]Detallado!$B:$B,0))</f>
        <v>RVI</v>
      </c>
      <c r="F1661" s="185" t="s">
        <v>4355</v>
      </c>
      <c r="G1661" s="186" t="str">
        <f t="shared" si="50"/>
        <v>52RVI</v>
      </c>
      <c r="H1661" s="187" t="str">
        <f>+INDEX([1]Detallado!$D:$D,MATCH(C1661,[1]Detallado!$B:$B,0))</f>
        <v>BlackRock - iShares UK</v>
      </c>
      <c r="I1661" s="28"/>
      <c r="J1661" s="184" t="str">
        <f t="shared" si="51"/>
        <v>RVITD</v>
      </c>
    </row>
    <row r="1662" spans="3:10" x14ac:dyDescent="0.25">
      <c r="C1662" s="28" t="s">
        <v>4120</v>
      </c>
      <c r="D1662" s="188" t="str">
        <f>+INDEX([1]Detallado!$F:$F,MATCH($C1662,[1]Detallado!$B:$B,0))</f>
        <v>Renta Variable</v>
      </c>
      <c r="E1662" s="31" t="str">
        <f>+INDEX([1]Detallado!$Q:$Q,MATCH($C1662,[1]Detallado!$B:$B,0))</f>
        <v>RVI</v>
      </c>
      <c r="F1662" s="185" t="s">
        <v>4355</v>
      </c>
      <c r="G1662" s="186" t="str">
        <f t="shared" si="50"/>
        <v>52RVI</v>
      </c>
      <c r="H1662" s="187" t="str">
        <f>+INDEX([1]Detallado!$D:$D,MATCH(C1662,[1]Detallado!$B:$B,0))</f>
        <v>GAM / Julius Baer - German Focus Equity</v>
      </c>
      <c r="I1662" s="28"/>
      <c r="J1662" s="184" t="str">
        <f t="shared" si="51"/>
        <v>RVITD</v>
      </c>
    </row>
    <row r="1663" spans="3:10" x14ac:dyDescent="0.25">
      <c r="C1663" s="28" t="s">
        <v>1718</v>
      </c>
      <c r="D1663" s="188" t="str">
        <f>+INDEX([1]Detallado!$F:$F,MATCH($C1663,[1]Detallado!$B:$B,0))</f>
        <v>Renta Variable</v>
      </c>
      <c r="E1663" s="31" t="str">
        <f>+INDEX([1]Detallado!$Q:$Q,MATCH($C1663,[1]Detallado!$B:$B,0))</f>
        <v>RVI</v>
      </c>
      <c r="F1663" s="185" t="s">
        <v>4355</v>
      </c>
      <c r="G1663" s="186" t="str">
        <f t="shared" si="50"/>
        <v>52RVI</v>
      </c>
      <c r="H1663" s="187" t="str">
        <f>+INDEX([1]Detallado!$D:$D,MATCH(C1663,[1]Detallado!$B:$B,0))</f>
        <v>Allianz - Concentra Germany</v>
      </c>
      <c r="I1663" s="28"/>
      <c r="J1663" s="184" t="str">
        <f t="shared" si="51"/>
        <v>RVITD</v>
      </c>
    </row>
    <row r="1664" spans="3:10" x14ac:dyDescent="0.25">
      <c r="C1664" s="28" t="s">
        <v>2260</v>
      </c>
      <c r="D1664" s="188" t="str">
        <f>+INDEX([1]Detallado!$F:$F,MATCH($C1664,[1]Detallado!$B:$B,0))</f>
        <v>Renta Variable</v>
      </c>
      <c r="E1664" s="31" t="str">
        <f>+INDEX([1]Detallado!$Q:$Q,MATCH($C1664,[1]Detallado!$B:$B,0))</f>
        <v>RVI</v>
      </c>
      <c r="F1664" s="185" t="s">
        <v>4355</v>
      </c>
      <c r="G1664" s="186" t="str">
        <f t="shared" si="50"/>
        <v>52RVI</v>
      </c>
      <c r="H1664" s="187" t="str">
        <f>+INDEX([1]Detallado!$D:$D,MATCH(C1664,[1]Detallado!$B:$B,0))</f>
        <v>Allianz - German Equity</v>
      </c>
      <c r="I1664" s="28"/>
      <c r="J1664" s="184" t="str">
        <f t="shared" si="51"/>
        <v>RVITD</v>
      </c>
    </row>
    <row r="1665" spans="3:10" x14ac:dyDescent="0.25">
      <c r="C1665" s="28" t="s">
        <v>1695</v>
      </c>
      <c r="D1665" s="188" t="str">
        <f>+INDEX([1]Detallado!$F:$F,MATCH($C1665,[1]Detallado!$B:$B,0))</f>
        <v>Renta Variable</v>
      </c>
      <c r="E1665" s="31" t="str">
        <f>+INDEX([1]Detallado!$Q:$Q,MATCH($C1665,[1]Detallado!$B:$B,0))</f>
        <v>RVI</v>
      </c>
      <c r="F1665" s="185" t="s">
        <v>4355</v>
      </c>
      <c r="G1665" s="186" t="str">
        <f t="shared" si="50"/>
        <v>52RVI</v>
      </c>
      <c r="H1665" s="187" t="str">
        <f>+INDEX([1]Detallado!$D:$D,MATCH(C1665,[1]Detallado!$B:$B,0))</f>
        <v>Threadneedle - UK Equity Income Fund</v>
      </c>
      <c r="I1665" s="28"/>
      <c r="J1665" s="184" t="str">
        <f t="shared" si="51"/>
        <v>RVITD</v>
      </c>
    </row>
    <row r="1666" spans="3:10" x14ac:dyDescent="0.25">
      <c r="C1666" s="28" t="s">
        <v>1101</v>
      </c>
      <c r="D1666" s="188" t="str">
        <f>+INDEX([1]Detallado!$F:$F,MATCH($C1666,[1]Detallado!$B:$B,0))</f>
        <v>Renta Variable</v>
      </c>
      <c r="E1666" s="31" t="str">
        <f>+INDEX([1]Detallado!$Q:$Q,MATCH($C1666,[1]Detallado!$B:$B,0))</f>
        <v>RVI</v>
      </c>
      <c r="F1666" s="185" t="s">
        <v>4355</v>
      </c>
      <c r="G1666" s="186" t="str">
        <f t="shared" si="50"/>
        <v>52RVI</v>
      </c>
      <c r="H1666" s="187" t="str">
        <f>+INDEX([1]Detallado!$D:$D,MATCH(C1666,[1]Detallado!$B:$B,0))</f>
        <v>BlackRock - iShares MSCI Netherlands ETF</v>
      </c>
      <c r="I1666" s="28"/>
      <c r="J1666" s="184" t="str">
        <f t="shared" si="51"/>
        <v>RVITD</v>
      </c>
    </row>
    <row r="1667" spans="3:10" x14ac:dyDescent="0.25">
      <c r="C1667" s="28" t="s">
        <v>1106</v>
      </c>
      <c r="D1667" s="188" t="str">
        <f>+INDEX([1]Detallado!$F:$F,MATCH($C1667,[1]Detallado!$B:$B,0))</f>
        <v>Renta Variable</v>
      </c>
      <c r="E1667" s="31" t="str">
        <f>+INDEX([1]Detallado!$Q:$Q,MATCH($C1667,[1]Detallado!$B:$B,0))</f>
        <v>RVI</v>
      </c>
      <c r="F1667" s="185" t="s">
        <v>4355</v>
      </c>
      <c r="G1667" s="186" t="str">
        <f t="shared" si="50"/>
        <v>52RVI</v>
      </c>
      <c r="H1667" s="187" t="str">
        <f>+INDEX([1]Detallado!$D:$D,MATCH(C1667,[1]Detallado!$B:$B,0))</f>
        <v>BlackRock - iShares Spain</v>
      </c>
      <c r="I1667" s="28"/>
      <c r="J1667" s="184" t="str">
        <f t="shared" si="51"/>
        <v>RVITD</v>
      </c>
    </row>
    <row r="1668" spans="3:10" x14ac:dyDescent="0.25">
      <c r="C1668" s="28" t="s">
        <v>1127</v>
      </c>
      <c r="D1668" s="188" t="str">
        <f>+INDEX([1]Detallado!$F:$F,MATCH($C1668,[1]Detallado!$B:$B,0))</f>
        <v>Renta Variable</v>
      </c>
      <c r="E1668" s="31" t="str">
        <f>+INDEX([1]Detallado!$Q:$Q,MATCH($C1668,[1]Detallado!$B:$B,0))</f>
        <v>RVI</v>
      </c>
      <c r="F1668" s="185" t="s">
        <v>4355</v>
      </c>
      <c r="G1668" s="186" t="str">
        <f t="shared" si="50"/>
        <v>52RVI</v>
      </c>
      <c r="H1668" s="187" t="str">
        <f>+INDEX([1]Detallado!$D:$D,MATCH(C1668,[1]Detallado!$B:$B,0))</f>
        <v>BlackRock - iShares MSCI Germany Fund</v>
      </c>
      <c r="I1668" s="28"/>
      <c r="J1668" s="184" t="str">
        <f t="shared" si="51"/>
        <v>RVITD</v>
      </c>
    </row>
    <row r="1669" spans="3:10" x14ac:dyDescent="0.25">
      <c r="C1669" s="28" t="s">
        <v>1090</v>
      </c>
      <c r="D1669" s="188" t="str">
        <f>+INDEX([1]Detallado!$F:$F,MATCH($C1669,[1]Detallado!$B:$B,0))</f>
        <v>Renta Variable</v>
      </c>
      <c r="E1669" s="31" t="str">
        <f>+INDEX([1]Detallado!$Q:$Q,MATCH($C1669,[1]Detallado!$B:$B,0))</f>
        <v>RVI</v>
      </c>
      <c r="F1669" s="185" t="s">
        <v>4355</v>
      </c>
      <c r="G1669" s="186" t="str">
        <f t="shared" si="50"/>
        <v>52RVI</v>
      </c>
      <c r="H1669" s="187" t="str">
        <f>+INDEX([1]Detallado!$D:$D,MATCH(C1669,[1]Detallado!$B:$B,0))</f>
        <v>BlackRock - iShares MSCI Italy</v>
      </c>
      <c r="I1669" s="28"/>
      <c r="J1669" s="184" t="str">
        <f t="shared" si="51"/>
        <v>RVITD</v>
      </c>
    </row>
    <row r="1670" spans="3:10" x14ac:dyDescent="0.25">
      <c r="C1670" s="28" t="s">
        <v>1116</v>
      </c>
      <c r="D1670" s="188" t="str">
        <f>+INDEX([1]Detallado!$F:$F,MATCH($C1670,[1]Detallado!$B:$B,0))</f>
        <v>Renta Variable</v>
      </c>
      <c r="E1670" s="31" t="str">
        <f>+INDEX([1]Detallado!$Q:$Q,MATCH($C1670,[1]Detallado!$B:$B,0))</f>
        <v>RVI</v>
      </c>
      <c r="F1670" s="185" t="s">
        <v>4355</v>
      </c>
      <c r="G1670" s="186" t="str">
        <f t="shared" si="50"/>
        <v>52RVI</v>
      </c>
      <c r="H1670" s="187" t="str">
        <f>+INDEX([1]Detallado!$D:$D,MATCH(C1670,[1]Detallado!$B:$B,0))</f>
        <v>BlackRock - iShares MSCI France</v>
      </c>
      <c r="I1670" s="28"/>
      <c r="J1670" s="184" t="str">
        <f t="shared" si="51"/>
        <v>RVITD</v>
      </c>
    </row>
    <row r="1671" spans="3:10" x14ac:dyDescent="0.25">
      <c r="C1671" s="28" t="s">
        <v>4121</v>
      </c>
      <c r="D1671" s="188" t="str">
        <f>+INDEX([1]Detallado!$F:$F,MATCH($C1671,[1]Detallado!$B:$B,0))</f>
        <v>Renta Variable</v>
      </c>
      <c r="E1671" s="31" t="str">
        <f>+INDEX([1]Detallado!$Q:$Q,MATCH($C1671,[1]Detallado!$B:$B,0))</f>
        <v>RVI</v>
      </c>
      <c r="F1671" s="185" t="s">
        <v>4355</v>
      </c>
      <c r="G1671" s="186" t="str">
        <f t="shared" si="50"/>
        <v>52RVI</v>
      </c>
      <c r="H1671" s="187" t="str">
        <f>+INDEX([1]Detallado!$D:$D,MATCH(C1671,[1]Detallado!$B:$B,0))</f>
        <v>WisdomTree - Germany Hedged Fund</v>
      </c>
      <c r="I1671" s="28"/>
      <c r="J1671" s="184" t="str">
        <f t="shared" si="51"/>
        <v>RVITD</v>
      </c>
    </row>
    <row r="1672" spans="3:10" x14ac:dyDescent="0.25">
      <c r="C1672" s="28" t="s">
        <v>2038</v>
      </c>
      <c r="D1672" s="188" t="str">
        <f>+INDEX([1]Detallado!$F:$F,MATCH($C1672,[1]Detallado!$B:$B,0))</f>
        <v>Renta Variable</v>
      </c>
      <c r="E1672" s="31" t="str">
        <f>+INDEX([1]Detallado!$Q:$Q,MATCH($C1672,[1]Detallado!$B:$B,0))</f>
        <v>RVI</v>
      </c>
      <c r="F1672" s="185" t="s">
        <v>4355</v>
      </c>
      <c r="G1672" s="186" t="str">
        <f t="shared" si="50"/>
        <v>52RVI</v>
      </c>
      <c r="H1672" s="187" t="str">
        <f>+INDEX([1]Detallado!$D:$D,MATCH(C1672,[1]Detallado!$B:$B,0))</f>
        <v>Fidelity - Iberia Fund</v>
      </c>
      <c r="I1672" s="28"/>
      <c r="J1672" s="184" t="str">
        <f t="shared" si="51"/>
        <v>RVITD</v>
      </c>
    </row>
    <row r="1673" spans="3:10" x14ac:dyDescent="0.25">
      <c r="C1673" s="28" t="s">
        <v>1736</v>
      </c>
      <c r="D1673" s="188" t="str">
        <f>+INDEX([1]Detallado!$F:$F,MATCH($C1673,[1]Detallado!$B:$B,0))</f>
        <v>Renta Variable</v>
      </c>
      <c r="E1673" s="31" t="str">
        <f>+INDEX([1]Detallado!$Q:$Q,MATCH($C1673,[1]Detallado!$B:$B,0))</f>
        <v>RVI</v>
      </c>
      <c r="F1673" s="185" t="s">
        <v>4355</v>
      </c>
      <c r="G1673" s="186" t="str">
        <f t="shared" si="50"/>
        <v>52RVI</v>
      </c>
      <c r="H1673" s="187" t="str">
        <f>+INDEX([1]Detallado!$D:$D,MATCH(C1673,[1]Detallado!$B:$B,0))</f>
        <v>Fidelity - Iberia Fund</v>
      </c>
      <c r="I1673" s="28"/>
      <c r="J1673" s="184" t="str">
        <f t="shared" si="51"/>
        <v>RVITD</v>
      </c>
    </row>
    <row r="1674" spans="3:10" x14ac:dyDescent="0.25">
      <c r="C1674" s="28" t="s">
        <v>2055</v>
      </c>
      <c r="D1674" s="188" t="str">
        <f>+INDEX([1]Detallado!$F:$F,MATCH($C1674,[1]Detallado!$B:$B,0))</f>
        <v>Renta Variable</v>
      </c>
      <c r="E1674" s="31" t="str">
        <f>+INDEX([1]Detallado!$Q:$Q,MATCH($C1674,[1]Detallado!$B:$B,0))</f>
        <v>RVI</v>
      </c>
      <c r="F1674" s="185" t="s">
        <v>4355</v>
      </c>
      <c r="G1674" s="186" t="str">
        <f t="shared" ref="G1674:G1737" si="52">LEFT(C1674,2)&amp;E1674</f>
        <v>52RVI</v>
      </c>
      <c r="H1674" s="187" t="str">
        <f>+INDEX([1]Detallado!$D:$D,MATCH(C1674,[1]Detallado!$B:$B,0))</f>
        <v>Amundi ETF - MSCI Spain UCITS ETF</v>
      </c>
      <c r="I1674" s="28"/>
      <c r="J1674" s="184" t="str">
        <f t="shared" ref="J1674:J1737" si="53">IF(E1674="ALT",LEFT(E1674,3),LEFT(E1674,3)&amp;F1674)</f>
        <v>RVITD</v>
      </c>
    </row>
    <row r="1675" spans="3:10" x14ac:dyDescent="0.25">
      <c r="C1675" s="28" t="s">
        <v>1693</v>
      </c>
      <c r="D1675" s="188" t="str">
        <f>+INDEX([1]Detallado!$F:$F,MATCH($C1675,[1]Detallado!$B:$B,0))</f>
        <v>Renta Variable</v>
      </c>
      <c r="E1675" s="31" t="str">
        <f>+INDEX([1]Detallado!$Q:$Q,MATCH($C1675,[1]Detallado!$B:$B,0))</f>
        <v>RVI</v>
      </c>
      <c r="F1675" s="185" t="s">
        <v>4355</v>
      </c>
      <c r="G1675" s="186" t="str">
        <f t="shared" si="52"/>
        <v>52RVI</v>
      </c>
      <c r="H1675" s="187" t="str">
        <f>+INDEX([1]Detallado!$D:$D,MATCH(C1675,[1]Detallado!$B:$B,0))</f>
        <v>Invesco - UK Opportunities Fund</v>
      </c>
      <c r="I1675" s="28"/>
      <c r="J1675" s="184" t="str">
        <f t="shared" si="53"/>
        <v>RVITD</v>
      </c>
    </row>
    <row r="1676" spans="3:10" x14ac:dyDescent="0.25">
      <c r="C1676" s="28" t="s">
        <v>2361</v>
      </c>
      <c r="D1676" s="188" t="str">
        <f>+INDEX([1]Detallado!$F:$F,MATCH($C1676,[1]Detallado!$B:$B,0))</f>
        <v>Renta Variable</v>
      </c>
      <c r="E1676" s="31" t="str">
        <f>+INDEX([1]Detallado!$Q:$Q,MATCH($C1676,[1]Detallado!$B:$B,0))</f>
        <v>RVI</v>
      </c>
      <c r="F1676" s="185" t="s">
        <v>4355</v>
      </c>
      <c r="G1676" s="186" t="str">
        <f t="shared" si="52"/>
        <v>52RVI</v>
      </c>
      <c r="H1676" s="187" t="str">
        <f>+INDEX([1]Detallado!$D:$D,MATCH(C1676,[1]Detallado!$B:$B,0))</f>
        <v>EDM International - Spanish Equity Fund</v>
      </c>
      <c r="I1676" s="28"/>
      <c r="J1676" s="184" t="str">
        <f t="shared" si="53"/>
        <v>RVITD</v>
      </c>
    </row>
    <row r="1677" spans="3:10" x14ac:dyDescent="0.25">
      <c r="C1677" s="28" t="s">
        <v>1700</v>
      </c>
      <c r="D1677" s="188" t="str">
        <f>+INDEX([1]Detallado!$F:$F,MATCH($C1677,[1]Detallado!$B:$B,0))</f>
        <v>Renta Variable</v>
      </c>
      <c r="E1677" s="31" t="str">
        <f>+INDEX([1]Detallado!$Q:$Q,MATCH($C1677,[1]Detallado!$B:$B,0))</f>
        <v>RVI</v>
      </c>
      <c r="F1677" s="185" t="s">
        <v>4355</v>
      </c>
      <c r="G1677" s="186" t="str">
        <f t="shared" si="52"/>
        <v>52RVI</v>
      </c>
      <c r="H1677" s="187" t="str">
        <f>+INDEX([1]Detallado!$D:$D,MATCH(C1677,[1]Detallado!$B:$B,0))</f>
        <v>EDM International - FI Fund</v>
      </c>
      <c r="I1677" s="28"/>
      <c r="J1677" s="184" t="str">
        <f t="shared" si="53"/>
        <v>RVITD</v>
      </c>
    </row>
    <row r="1678" spans="3:10" x14ac:dyDescent="0.25">
      <c r="C1678" s="28" t="s">
        <v>2049</v>
      </c>
      <c r="D1678" s="188" t="str">
        <f>+INDEX([1]Detallado!$F:$F,MATCH($C1678,[1]Detallado!$B:$B,0))</f>
        <v>Renta Variable</v>
      </c>
      <c r="E1678" s="31" t="str">
        <f>+INDEX([1]Detallado!$Q:$Q,MATCH($C1678,[1]Detallado!$B:$B,0))</f>
        <v>RVI</v>
      </c>
      <c r="F1678" s="185" t="s">
        <v>4355</v>
      </c>
      <c r="G1678" s="186" t="str">
        <f t="shared" si="52"/>
        <v>52RVI</v>
      </c>
      <c r="H1678" s="187" t="str">
        <f>+INDEX([1]Detallado!$D:$D,MATCH(C1678,[1]Detallado!$B:$B,0))</f>
        <v>Parvest - Equity Europe Small Cap</v>
      </c>
      <c r="I1678" s="28"/>
      <c r="J1678" s="184" t="str">
        <f t="shared" si="53"/>
        <v>RVITD</v>
      </c>
    </row>
    <row r="1679" spans="3:10" x14ac:dyDescent="0.25">
      <c r="C1679" s="28" t="s">
        <v>2606</v>
      </c>
      <c r="D1679" s="188" t="str">
        <f>+INDEX([1]Detallado!$F:$F,MATCH($C1679,[1]Detallado!$B:$B,0))</f>
        <v>Renta Variable</v>
      </c>
      <c r="E1679" s="31" t="str">
        <f>+INDEX([1]Detallado!$Q:$Q,MATCH($C1679,[1]Detallado!$B:$B,0))</f>
        <v>RVI</v>
      </c>
      <c r="F1679" s="185" t="s">
        <v>4355</v>
      </c>
      <c r="G1679" s="186" t="str">
        <f t="shared" si="52"/>
        <v>52RVI</v>
      </c>
      <c r="H1679" s="187" t="str">
        <f>+INDEX([1]Detallado!$D:$D,MATCH(C1679,[1]Detallado!$B:$B,0))</f>
        <v>Joh Berenberg- European Small Cap</v>
      </c>
      <c r="I1679" s="28"/>
      <c r="J1679" s="184" t="str">
        <f t="shared" si="53"/>
        <v>RVITD</v>
      </c>
    </row>
    <row r="1680" spans="3:10" x14ac:dyDescent="0.25">
      <c r="C1680" s="28" t="s">
        <v>1790</v>
      </c>
      <c r="D1680" s="188" t="str">
        <f>+INDEX([1]Detallado!$F:$F,MATCH($C1680,[1]Detallado!$B:$B,0))</f>
        <v>Renta Variable</v>
      </c>
      <c r="E1680" s="31" t="str">
        <f>+INDEX([1]Detallado!$Q:$Q,MATCH($C1680,[1]Detallado!$B:$B,0))</f>
        <v>RVI</v>
      </c>
      <c r="F1680" s="185" t="s">
        <v>4355</v>
      </c>
      <c r="G1680" s="186" t="str">
        <f t="shared" si="52"/>
        <v>52RVI</v>
      </c>
      <c r="H1680" s="187" t="str">
        <f>+INDEX([1]Detallado!$D:$D,MATCH(C1680,[1]Detallado!$B:$B,0))</f>
        <v>Janus Henderson - European Small Caps</v>
      </c>
      <c r="I1680" s="28"/>
      <c r="J1680" s="184" t="str">
        <f t="shared" si="53"/>
        <v>RVITD</v>
      </c>
    </row>
    <row r="1681" spans="3:10" x14ac:dyDescent="0.25">
      <c r="C1681" s="28" t="s">
        <v>2493</v>
      </c>
      <c r="D1681" s="188" t="str">
        <f>+INDEX([1]Detallado!$F:$F,MATCH($C1681,[1]Detallado!$B:$B,0))</f>
        <v>Renta Variable</v>
      </c>
      <c r="E1681" s="31" t="str">
        <f>+INDEX([1]Detallado!$Q:$Q,MATCH($C1681,[1]Detallado!$B:$B,0))</f>
        <v>RVI</v>
      </c>
      <c r="F1681" s="185" t="s">
        <v>4355</v>
      </c>
      <c r="G1681" s="186" t="str">
        <f t="shared" si="52"/>
        <v>52RVI</v>
      </c>
      <c r="H1681" s="187" t="str">
        <f>+INDEX([1]Detallado!$D:$D,MATCH(C1681,[1]Detallado!$B:$B,0))</f>
        <v>Berenberg - European Small Caps</v>
      </c>
      <c r="I1681" s="28"/>
      <c r="J1681" s="184" t="str">
        <f t="shared" si="53"/>
        <v>RVITD</v>
      </c>
    </row>
    <row r="1682" spans="3:10" x14ac:dyDescent="0.25">
      <c r="C1682" s="28" t="s">
        <v>2358</v>
      </c>
      <c r="D1682" s="188" t="str">
        <f>+INDEX([1]Detallado!$F:$F,MATCH($C1682,[1]Detallado!$B:$B,0))</f>
        <v>Renta Variable</v>
      </c>
      <c r="E1682" s="31" t="str">
        <f>+INDEX([1]Detallado!$Q:$Q,MATCH($C1682,[1]Detallado!$B:$B,0))</f>
        <v>RVI</v>
      </c>
      <c r="F1682" s="185" t="s">
        <v>4355</v>
      </c>
      <c r="G1682" s="186" t="str">
        <f t="shared" si="52"/>
        <v>52RVI</v>
      </c>
      <c r="H1682" s="187" t="str">
        <f>+INDEX([1]Detallado!$D:$D,MATCH(C1682,[1]Detallado!$B:$B,0))</f>
        <v>Comgest  - European Growth Small Caps</v>
      </c>
      <c r="I1682" s="28"/>
      <c r="J1682" s="184" t="str">
        <f t="shared" si="53"/>
        <v>RVITD</v>
      </c>
    </row>
    <row r="1683" spans="3:10" x14ac:dyDescent="0.25">
      <c r="C1683" s="28" t="s">
        <v>1937</v>
      </c>
      <c r="D1683" s="188" t="str">
        <f>+INDEX([1]Detallado!$F:$F,MATCH($C1683,[1]Detallado!$B:$B,0))</f>
        <v>Renta Variable</v>
      </c>
      <c r="E1683" s="31" t="str">
        <f>+INDEX([1]Detallado!$Q:$Q,MATCH($C1683,[1]Detallado!$B:$B,0))</f>
        <v>RVI</v>
      </c>
      <c r="F1683" s="185" t="s">
        <v>4355</v>
      </c>
      <c r="G1683" s="186" t="str">
        <f t="shared" si="52"/>
        <v>52RVI</v>
      </c>
      <c r="H1683" s="187" t="str">
        <f>+INDEX([1]Detallado!$D:$D,MATCH(C1683,[1]Detallado!$B:$B,0))</f>
        <v>AXA  - Europe Small Caps</v>
      </c>
      <c r="I1683" s="28"/>
      <c r="J1683" s="184" t="str">
        <f t="shared" si="53"/>
        <v>RVITD</v>
      </c>
    </row>
    <row r="1684" spans="3:10" x14ac:dyDescent="0.25">
      <c r="C1684" s="28" t="s">
        <v>2551</v>
      </c>
      <c r="D1684" s="188" t="str">
        <f>+INDEX([1]Detallado!$F:$F,MATCH($C1684,[1]Detallado!$B:$B,0))</f>
        <v>Renta Variable</v>
      </c>
      <c r="E1684" s="31" t="str">
        <f>+INDEX([1]Detallado!$Q:$Q,MATCH($C1684,[1]Detallado!$B:$B,0))</f>
        <v>RVI</v>
      </c>
      <c r="F1684" s="185" t="s">
        <v>4355</v>
      </c>
      <c r="G1684" s="186" t="str">
        <f t="shared" si="52"/>
        <v>52RVI</v>
      </c>
      <c r="H1684" s="187" t="str">
        <f>+INDEX([1]Detallado!$D:$D,MATCH(C1684,[1]Detallado!$B:$B,0))</f>
        <v>Threadneedle - European Smaller Companies</v>
      </c>
      <c r="I1684" s="28"/>
      <c r="J1684" s="184" t="str">
        <f t="shared" si="53"/>
        <v>RVITD</v>
      </c>
    </row>
    <row r="1685" spans="3:10" x14ac:dyDescent="0.25">
      <c r="C1685" s="28" t="s">
        <v>648</v>
      </c>
      <c r="D1685" s="188" t="str">
        <f>+INDEX([1]Detallado!$F:$F,MATCH($C1685,[1]Detallado!$B:$B,0))</f>
        <v>Renta Variable</v>
      </c>
      <c r="E1685" s="31" t="str">
        <f>+INDEX([1]Detallado!$Q:$Q,MATCH($C1685,[1]Detallado!$B:$B,0))</f>
        <v>RVI</v>
      </c>
      <c r="F1685" s="185" t="s">
        <v>4355</v>
      </c>
      <c r="G1685" s="186" t="str">
        <f t="shared" si="52"/>
        <v>52RVI</v>
      </c>
      <c r="H1685" s="187" t="str">
        <f>+INDEX([1]Detallado!$D:$D,MATCH(C1685,[1]Detallado!$B:$B,0))</f>
        <v>Groupama - Avenir Euro (Mid Small Caps)</v>
      </c>
      <c r="I1685" s="28"/>
      <c r="J1685" s="184" t="str">
        <f t="shared" si="53"/>
        <v>RVITD</v>
      </c>
    </row>
    <row r="1686" spans="3:10" x14ac:dyDescent="0.25">
      <c r="C1686" s="28" t="s">
        <v>2383</v>
      </c>
      <c r="D1686" s="188" t="str">
        <f>+INDEX([1]Detallado!$F:$F,MATCH($C1686,[1]Detallado!$B:$B,0))</f>
        <v>Renta Variable</v>
      </c>
      <c r="E1686" s="31" t="str">
        <f>+INDEX([1]Detallado!$Q:$Q,MATCH($C1686,[1]Detallado!$B:$B,0))</f>
        <v>RVI</v>
      </c>
      <c r="F1686" s="185" t="s">
        <v>4355</v>
      </c>
      <c r="G1686" s="186" t="str">
        <f t="shared" si="52"/>
        <v>52RVI</v>
      </c>
      <c r="H1686" s="187" t="str">
        <f>+INDEX([1]Detallado!$D:$D,MATCH(C1686,[1]Detallado!$B:$B,0))</f>
        <v>Groupama - G Fund Avenir Europe (Mid Small Caps) - C</v>
      </c>
      <c r="I1686" s="28"/>
      <c r="J1686" s="184" t="str">
        <f t="shared" si="53"/>
        <v>RVITD</v>
      </c>
    </row>
    <row r="1687" spans="3:10" x14ac:dyDescent="0.25">
      <c r="C1687" s="28" t="s">
        <v>2548</v>
      </c>
      <c r="D1687" s="188" t="str">
        <f>+INDEX([1]Detallado!$F:$F,MATCH($C1687,[1]Detallado!$B:$B,0))</f>
        <v>Renta Variable</v>
      </c>
      <c r="E1687" s="31" t="str">
        <f>+INDEX([1]Detallado!$Q:$Q,MATCH($C1687,[1]Detallado!$B:$B,0))</f>
        <v>RVI</v>
      </c>
      <c r="F1687" s="185" t="s">
        <v>4355</v>
      </c>
      <c r="G1687" s="186" t="str">
        <f t="shared" si="52"/>
        <v>52RVI</v>
      </c>
      <c r="H1687" s="187" t="str">
        <f>+INDEX([1]Detallado!$D:$D,MATCH(C1687,[1]Detallado!$B:$B,0))</f>
        <v>Groupama - G Fund Avenir Europe (Mid Small Caps) - A</v>
      </c>
      <c r="I1687" s="28"/>
      <c r="J1687" s="184" t="str">
        <f t="shared" si="53"/>
        <v>RVITD</v>
      </c>
    </row>
    <row r="1688" spans="3:10" x14ac:dyDescent="0.25">
      <c r="C1688" s="28" t="s">
        <v>2418</v>
      </c>
      <c r="D1688" s="188" t="str">
        <f>+INDEX([1]Detallado!$F:$F,MATCH($C1688,[1]Detallado!$B:$B,0))</f>
        <v>Renta Variable</v>
      </c>
      <c r="E1688" s="31" t="str">
        <f>+INDEX([1]Detallado!$Q:$Q,MATCH($C1688,[1]Detallado!$B:$B,0))</f>
        <v>RVI</v>
      </c>
      <c r="F1688" s="185" t="s">
        <v>4355</v>
      </c>
      <c r="G1688" s="186" t="str">
        <f t="shared" si="52"/>
        <v>52RVI</v>
      </c>
      <c r="H1688" s="187" t="str">
        <f>+INDEX([1]Detallado!$D:$D,MATCH(C1688,[1]Detallado!$B:$B,0))</f>
        <v>Credit Suisse - Europe Small Caps Index Fund</v>
      </c>
      <c r="I1688" s="28"/>
      <c r="J1688" s="184" t="str">
        <f t="shared" si="53"/>
        <v>RVITD</v>
      </c>
    </row>
    <row r="1689" spans="3:10" x14ac:dyDescent="0.25">
      <c r="C1689" s="28" t="s">
        <v>2446</v>
      </c>
      <c r="D1689" s="188" t="str">
        <f>+INDEX([1]Detallado!$F:$F,MATCH($C1689,[1]Detallado!$B:$B,0))</f>
        <v>Renta Variable</v>
      </c>
      <c r="E1689" s="31" t="str">
        <f>+INDEX([1]Detallado!$Q:$Q,MATCH($C1689,[1]Detallado!$B:$B,0))</f>
        <v>RVI</v>
      </c>
      <c r="F1689" s="185" t="s">
        <v>4355</v>
      </c>
      <c r="G1689" s="186" t="str">
        <f t="shared" si="52"/>
        <v>52RVI</v>
      </c>
      <c r="H1689" s="187" t="str">
        <f>+INDEX([1]Detallado!$D:$D,MATCH(C1689,[1]Detallado!$B:$B,0))</f>
        <v>Credit Suisse - Europe Small Caps Index Fund</v>
      </c>
      <c r="I1689" s="28"/>
      <c r="J1689" s="184" t="str">
        <f t="shared" si="53"/>
        <v>RVITD</v>
      </c>
    </row>
    <row r="1690" spans="3:10" x14ac:dyDescent="0.25">
      <c r="C1690" s="28" t="s">
        <v>704</v>
      </c>
      <c r="D1690" s="188" t="str">
        <f>+INDEX([1]Detallado!$F:$F,MATCH($C1690,[1]Detallado!$B:$B,0))</f>
        <v>Renta Variable</v>
      </c>
      <c r="E1690" s="31" t="str">
        <f>+INDEX([1]Detallado!$Q:$Q,MATCH($C1690,[1]Detallado!$B:$B,0))</f>
        <v>RVI</v>
      </c>
      <c r="F1690" s="185" t="s">
        <v>4355</v>
      </c>
      <c r="G1690" s="186" t="str">
        <f t="shared" si="52"/>
        <v>52RVI</v>
      </c>
      <c r="H1690" s="187" t="str">
        <f>+INDEX([1]Detallado!$D:$D,MATCH(C1690,[1]Detallado!$B:$B,0))</f>
        <v>JP Morgan - Japan Equity Fund - C</v>
      </c>
      <c r="I1690" s="28"/>
      <c r="J1690" s="184" t="str">
        <f t="shared" si="53"/>
        <v>RVITD</v>
      </c>
    </row>
    <row r="1691" spans="3:10" x14ac:dyDescent="0.25">
      <c r="C1691" s="28" t="s">
        <v>1973</v>
      </c>
      <c r="D1691" s="188" t="str">
        <f>+INDEX([1]Detallado!$F:$F,MATCH($C1691,[1]Detallado!$B:$B,0))</f>
        <v>Renta Variable</v>
      </c>
      <c r="E1691" s="31" t="str">
        <f>+INDEX([1]Detallado!$Q:$Q,MATCH($C1691,[1]Detallado!$B:$B,0))</f>
        <v>RVI</v>
      </c>
      <c r="F1691" s="185" t="s">
        <v>4355</v>
      </c>
      <c r="G1691" s="186" t="str">
        <f t="shared" si="52"/>
        <v>52RVI</v>
      </c>
      <c r="H1691" s="187" t="str">
        <f>+INDEX([1]Detallado!$D:$D,MATCH(C1691,[1]Detallado!$B:$B,0))</f>
        <v>JP Morgan - Japan Equity Fund - I</v>
      </c>
      <c r="I1691" s="28"/>
      <c r="J1691" s="184" t="str">
        <f t="shared" si="53"/>
        <v>RVITD</v>
      </c>
    </row>
    <row r="1692" spans="3:10" x14ac:dyDescent="0.25">
      <c r="C1692" s="28" t="s">
        <v>1744</v>
      </c>
      <c r="D1692" s="188" t="str">
        <f>+INDEX([1]Detallado!$F:$F,MATCH($C1692,[1]Detallado!$B:$B,0))</f>
        <v>Renta Variable</v>
      </c>
      <c r="E1692" s="31" t="str">
        <f>+INDEX([1]Detallado!$Q:$Q,MATCH($C1692,[1]Detallado!$B:$B,0))</f>
        <v>RVI</v>
      </c>
      <c r="F1692" s="185" t="s">
        <v>4355</v>
      </c>
      <c r="G1692" s="186" t="str">
        <f t="shared" si="52"/>
        <v>52RVI</v>
      </c>
      <c r="H1692" s="187" t="str">
        <f>+INDEX([1]Detallado!$D:$D,MATCH(C1692,[1]Detallado!$B:$B,0))</f>
        <v>GAM / Julius Baer - Japan Equity</v>
      </c>
      <c r="I1692" s="28"/>
      <c r="J1692" s="184" t="str">
        <f t="shared" si="53"/>
        <v>RVITD</v>
      </c>
    </row>
    <row r="1693" spans="3:10" x14ac:dyDescent="0.25">
      <c r="C1693" s="28" t="s">
        <v>1764</v>
      </c>
      <c r="D1693" s="188" t="str">
        <f>+INDEX([1]Detallado!$F:$F,MATCH($C1693,[1]Detallado!$B:$B,0))</f>
        <v>Renta Variable</v>
      </c>
      <c r="E1693" s="31" t="str">
        <f>+INDEX([1]Detallado!$Q:$Q,MATCH($C1693,[1]Detallado!$B:$B,0))</f>
        <v>RVI</v>
      </c>
      <c r="F1693" s="185" t="s">
        <v>4355</v>
      </c>
      <c r="G1693" s="186" t="str">
        <f t="shared" si="52"/>
        <v>52RVI</v>
      </c>
      <c r="H1693" s="187" t="str">
        <f>+INDEX([1]Detallado!$D:$D,MATCH(C1693,[1]Detallado!$B:$B,0))</f>
        <v>Schroders - Japanes Equity</v>
      </c>
      <c r="I1693" s="28"/>
      <c r="J1693" s="184" t="str">
        <f t="shared" si="53"/>
        <v>RVITD</v>
      </c>
    </row>
    <row r="1694" spans="3:10" x14ac:dyDescent="0.25">
      <c r="C1694" s="28" t="s">
        <v>1666</v>
      </c>
      <c r="D1694" s="188" t="str">
        <f>+INDEX([1]Detallado!$F:$F,MATCH($C1694,[1]Detallado!$B:$B,0))</f>
        <v>Renta Variable</v>
      </c>
      <c r="E1694" s="31" t="str">
        <f>+INDEX([1]Detallado!$Q:$Q,MATCH($C1694,[1]Detallado!$B:$B,0))</f>
        <v>RVI</v>
      </c>
      <c r="F1694" s="185" t="s">
        <v>4355</v>
      </c>
      <c r="G1694" s="186" t="str">
        <f t="shared" si="52"/>
        <v>52RVI</v>
      </c>
      <c r="H1694" s="187" t="str">
        <f>+INDEX([1]Detallado!$D:$D,MATCH(C1694,[1]Detallado!$B:$B,0))</f>
        <v>Pictet - Japanese Equity Selection</v>
      </c>
      <c r="I1694" s="28"/>
      <c r="J1694" s="184" t="str">
        <f t="shared" si="53"/>
        <v>RVITD</v>
      </c>
    </row>
    <row r="1695" spans="3:10" x14ac:dyDescent="0.25">
      <c r="C1695" s="28" t="s">
        <v>2319</v>
      </c>
      <c r="D1695" s="188" t="str">
        <f>+INDEX([1]Detallado!$F:$F,MATCH($C1695,[1]Detallado!$B:$B,0))</f>
        <v>Renta Variable</v>
      </c>
      <c r="E1695" s="31" t="str">
        <f>+INDEX([1]Detallado!$Q:$Q,MATCH($C1695,[1]Detallado!$B:$B,0))</f>
        <v>RVI</v>
      </c>
      <c r="F1695" s="185" t="s">
        <v>4355</v>
      </c>
      <c r="G1695" s="186" t="str">
        <f t="shared" si="52"/>
        <v>52RVI</v>
      </c>
      <c r="H1695" s="187" t="str">
        <f>+INDEX([1]Detallado!$D:$D,MATCH(C1695,[1]Detallado!$B:$B,0))</f>
        <v>Aberdeen - Japanese Equity</v>
      </c>
      <c r="I1695" s="28"/>
      <c r="J1695" s="184" t="str">
        <f t="shared" si="53"/>
        <v>RVITD</v>
      </c>
    </row>
    <row r="1696" spans="3:10" x14ac:dyDescent="0.25">
      <c r="C1696" s="28" t="s">
        <v>4122</v>
      </c>
      <c r="D1696" s="188" t="str">
        <f>+INDEX([1]Detallado!$F:$F,MATCH($C1696,[1]Detallado!$B:$B,0))</f>
        <v>Renta Variable</v>
      </c>
      <c r="E1696" s="31" t="str">
        <f>+INDEX([1]Detallado!$Q:$Q,MATCH($C1696,[1]Detallado!$B:$B,0))</f>
        <v>RVI</v>
      </c>
      <c r="F1696" s="185" t="s">
        <v>4355</v>
      </c>
      <c r="G1696" s="186" t="str">
        <f t="shared" si="52"/>
        <v>52RVI</v>
      </c>
      <c r="H1696" s="187" t="str">
        <f>+INDEX([1]Detallado!$D:$D,MATCH(C1696,[1]Detallado!$B:$B,0))</f>
        <v>Amundi / Pioneer - Japanese Equity</v>
      </c>
      <c r="I1696" s="28"/>
      <c r="J1696" s="184" t="str">
        <f t="shared" si="53"/>
        <v>RVITD</v>
      </c>
    </row>
    <row r="1697" spans="3:10" x14ac:dyDescent="0.25">
      <c r="C1697" s="28" t="s">
        <v>2096</v>
      </c>
      <c r="D1697" s="188" t="str">
        <f>+INDEX([1]Detallado!$F:$F,MATCH($C1697,[1]Detallado!$B:$B,0))</f>
        <v>Renta Variable</v>
      </c>
      <c r="E1697" s="31" t="str">
        <f>+INDEX([1]Detallado!$Q:$Q,MATCH($C1697,[1]Detallado!$B:$B,0))</f>
        <v>RVI</v>
      </c>
      <c r="F1697" s="185" t="s">
        <v>4355</v>
      </c>
      <c r="G1697" s="186" t="str">
        <f t="shared" si="52"/>
        <v>52RVI</v>
      </c>
      <c r="H1697" s="187" t="str">
        <f>+INDEX([1]Detallado!$D:$D,MATCH(C1697,[1]Detallado!$B:$B,0))</f>
        <v>BlackRock - iShares Core MSCI Japan UCITS ETF</v>
      </c>
      <c r="I1697" s="28"/>
      <c r="J1697" s="184" t="str">
        <f t="shared" si="53"/>
        <v>RVITD</v>
      </c>
    </row>
    <row r="1698" spans="3:10" x14ac:dyDescent="0.25">
      <c r="C1698" s="28" t="s">
        <v>4123</v>
      </c>
      <c r="D1698" s="188" t="str">
        <f>+INDEX([1]Detallado!$F:$F,MATCH($C1698,[1]Detallado!$B:$B,0))</f>
        <v>Renta Variable</v>
      </c>
      <c r="E1698" s="31" t="str">
        <f>+INDEX([1]Detallado!$Q:$Q,MATCH($C1698,[1]Detallado!$B:$B,0))</f>
        <v>RVI</v>
      </c>
      <c r="F1698" s="185" t="s">
        <v>4355</v>
      </c>
      <c r="G1698" s="186" t="str">
        <f t="shared" si="52"/>
        <v>52RVI</v>
      </c>
      <c r="H1698" s="187" t="str">
        <f>+INDEX([1]Detallado!$D:$D,MATCH(C1698,[1]Detallado!$B:$B,0))</f>
        <v>BlackRock - iShares MSCI Japan</v>
      </c>
      <c r="I1698" s="28"/>
      <c r="J1698" s="184" t="str">
        <f t="shared" si="53"/>
        <v>RVITD</v>
      </c>
    </row>
    <row r="1699" spans="3:10" x14ac:dyDescent="0.25">
      <c r="C1699" s="28" t="s">
        <v>4124</v>
      </c>
      <c r="D1699" s="188" t="str">
        <f>+INDEX([1]Detallado!$F:$F,MATCH($C1699,[1]Detallado!$B:$B,0))</f>
        <v>Renta Variable</v>
      </c>
      <c r="E1699" s="31" t="str">
        <f>+INDEX([1]Detallado!$Q:$Q,MATCH($C1699,[1]Detallado!$B:$B,0))</f>
        <v>RVI</v>
      </c>
      <c r="F1699" s="185" t="s">
        <v>4355</v>
      </c>
      <c r="G1699" s="186" t="str">
        <f t="shared" si="52"/>
        <v>52RVI</v>
      </c>
      <c r="H1699" s="187" t="str">
        <f>+INDEX([1]Detallado!$D:$D,MATCH(C1699,[1]Detallado!$B:$B,0))</f>
        <v>Legg Mason - IF Japan Equity Fund</v>
      </c>
      <c r="I1699" s="28"/>
      <c r="J1699" s="184" t="str">
        <f t="shared" si="53"/>
        <v>RVITD</v>
      </c>
    </row>
    <row r="1700" spans="3:10" x14ac:dyDescent="0.25">
      <c r="C1700" s="28" t="s">
        <v>1609</v>
      </c>
      <c r="D1700" s="188" t="str">
        <f>+INDEX([1]Detallado!$F:$F,MATCH($C1700,[1]Detallado!$B:$B,0))</f>
        <v>Renta Variable</v>
      </c>
      <c r="E1700" s="31" t="str">
        <f>+INDEX([1]Detallado!$Q:$Q,MATCH($C1700,[1]Detallado!$B:$B,0))</f>
        <v>RVI</v>
      </c>
      <c r="F1700" s="185" t="s">
        <v>4355</v>
      </c>
      <c r="G1700" s="186" t="str">
        <f t="shared" si="52"/>
        <v>52RVI</v>
      </c>
      <c r="H1700" s="187" t="str">
        <f>+INDEX([1]Detallado!$D:$D,MATCH(C1700,[1]Detallado!$B:$B,0))</f>
        <v>BlackRock - iShares MSCI Japan Hedged</v>
      </c>
      <c r="I1700" s="28"/>
      <c r="J1700" s="184" t="str">
        <f t="shared" si="53"/>
        <v>RVITD</v>
      </c>
    </row>
    <row r="1701" spans="3:10" x14ac:dyDescent="0.25">
      <c r="C1701" s="28" t="s">
        <v>1374</v>
      </c>
      <c r="D1701" s="188" t="str">
        <f>+INDEX([1]Detallado!$F:$F,MATCH($C1701,[1]Detallado!$B:$B,0))</f>
        <v>Renta Variable</v>
      </c>
      <c r="E1701" s="31" t="str">
        <f>+INDEX([1]Detallado!$Q:$Q,MATCH($C1701,[1]Detallado!$B:$B,0))</f>
        <v>RVI</v>
      </c>
      <c r="F1701" s="185" t="s">
        <v>4355</v>
      </c>
      <c r="G1701" s="186" t="str">
        <f t="shared" si="52"/>
        <v>52RVI</v>
      </c>
      <c r="H1701" s="187" t="str">
        <f>+INDEX([1]Detallado!$D:$D,MATCH(C1701,[1]Detallado!$B:$B,0))</f>
        <v>WisdomTree - Japan Hedged Equity</v>
      </c>
      <c r="I1701" s="28"/>
      <c r="J1701" s="184" t="str">
        <f t="shared" si="53"/>
        <v>RVITD</v>
      </c>
    </row>
    <row r="1702" spans="3:10" x14ac:dyDescent="0.25">
      <c r="C1702" s="28" t="s">
        <v>2285</v>
      </c>
      <c r="D1702" s="188" t="str">
        <f>+INDEX([1]Detallado!$F:$F,MATCH($C1702,[1]Detallado!$B:$B,0))</f>
        <v>Renta Variable</v>
      </c>
      <c r="E1702" s="31" t="str">
        <f>+INDEX([1]Detallado!$Q:$Q,MATCH($C1702,[1]Detallado!$B:$B,0))</f>
        <v>RVI</v>
      </c>
      <c r="F1702" s="185" t="s">
        <v>4355</v>
      </c>
      <c r="G1702" s="186" t="str">
        <f t="shared" si="52"/>
        <v>52RVI</v>
      </c>
      <c r="H1702" s="187" t="str">
        <f>+INDEX([1]Detallado!$D:$D,MATCH(C1702,[1]Detallado!$B:$B,0))</f>
        <v>Vanguard - Japan UCIT</v>
      </c>
      <c r="I1702" s="28"/>
      <c r="J1702" s="184" t="str">
        <f t="shared" si="53"/>
        <v>RVITD</v>
      </c>
    </row>
    <row r="1703" spans="3:10" x14ac:dyDescent="0.25">
      <c r="C1703" s="28" t="s">
        <v>1872</v>
      </c>
      <c r="D1703" s="188" t="str">
        <f>+INDEX([1]Detallado!$F:$F,MATCH($C1703,[1]Detallado!$B:$B,0))</f>
        <v>Renta Variable</v>
      </c>
      <c r="E1703" s="31" t="str">
        <f>+INDEX([1]Detallado!$Q:$Q,MATCH($C1703,[1]Detallado!$B:$B,0))</f>
        <v>RVI</v>
      </c>
      <c r="F1703" s="185" t="s">
        <v>4355</v>
      </c>
      <c r="G1703" s="186" t="str">
        <f t="shared" si="52"/>
        <v>52RVI</v>
      </c>
      <c r="H1703" s="187" t="str">
        <f>+INDEX([1]Detallado!$D:$D,MATCH(C1703,[1]Detallado!$B:$B,0))</f>
        <v>Vanguard - Japan Equities</v>
      </c>
      <c r="I1703" s="28"/>
      <c r="J1703" s="184" t="str">
        <f t="shared" si="53"/>
        <v>RVITD</v>
      </c>
    </row>
    <row r="1704" spans="3:10" x14ac:dyDescent="0.25">
      <c r="C1704" s="28" t="s">
        <v>2008</v>
      </c>
      <c r="D1704" s="188" t="str">
        <f>+INDEX([1]Detallado!$F:$F,MATCH($C1704,[1]Detallado!$B:$B,0))</f>
        <v>Renta Variable</v>
      </c>
      <c r="E1704" s="31" t="str">
        <f>+INDEX([1]Detallado!$Q:$Q,MATCH($C1704,[1]Detallado!$B:$B,0))</f>
        <v>RVI</v>
      </c>
      <c r="F1704" s="185" t="s">
        <v>4355</v>
      </c>
      <c r="G1704" s="186" t="str">
        <f t="shared" si="52"/>
        <v>52RVI</v>
      </c>
      <c r="H1704" s="187" t="str">
        <f>+INDEX([1]Detallado!$D:$D,MATCH(C1704,[1]Detallado!$B:$B,0))</f>
        <v>Xtrackers - MSCI Japan UCITS</v>
      </c>
      <c r="I1704" s="28"/>
      <c r="J1704" s="184" t="str">
        <f t="shared" si="53"/>
        <v>RVITD</v>
      </c>
    </row>
    <row r="1705" spans="3:10" x14ac:dyDescent="0.25">
      <c r="C1705" s="28" t="s">
        <v>2135</v>
      </c>
      <c r="D1705" s="188" t="str">
        <f>+INDEX([1]Detallado!$F:$F,MATCH($C1705,[1]Detallado!$B:$B,0))</f>
        <v>Renta Variable</v>
      </c>
      <c r="E1705" s="31" t="str">
        <f>+INDEX([1]Detallado!$Q:$Q,MATCH($C1705,[1]Detallado!$B:$B,0))</f>
        <v>RVI</v>
      </c>
      <c r="F1705" s="185" t="s">
        <v>4355</v>
      </c>
      <c r="G1705" s="186" t="str">
        <f t="shared" si="52"/>
        <v>52RVI</v>
      </c>
      <c r="H1705" s="187" t="str">
        <f>+INDEX([1]Detallado!$D:$D,MATCH(C1705,[1]Detallado!$B:$B,0))</f>
        <v>Xtrackers - MSCI Japan UCITS</v>
      </c>
      <c r="I1705" s="28"/>
      <c r="J1705" s="184" t="str">
        <f t="shared" si="53"/>
        <v>RVITD</v>
      </c>
    </row>
    <row r="1706" spans="3:10" x14ac:dyDescent="0.25">
      <c r="C1706" s="28" t="s">
        <v>4125</v>
      </c>
      <c r="D1706" s="188" t="str">
        <f>+INDEX([1]Detallado!$F:$F,MATCH($C1706,[1]Detallado!$B:$B,0))</f>
        <v>Renta Variable</v>
      </c>
      <c r="E1706" s="31" t="str">
        <f>+INDEX([1]Detallado!$Q:$Q,MATCH($C1706,[1]Detallado!$B:$B,0))</f>
        <v>RVI</v>
      </c>
      <c r="F1706" s="185" t="s">
        <v>4355</v>
      </c>
      <c r="G1706" s="186" t="str">
        <f t="shared" si="52"/>
        <v>52RVI</v>
      </c>
      <c r="H1706" s="187" t="str">
        <f>+INDEX([1]Detallado!$D:$D,MATCH(C1706,[1]Detallado!$B:$B,0))</f>
        <v>Eastspring - Japan Dynamic Fund</v>
      </c>
      <c r="I1706" s="28"/>
      <c r="J1706" s="184" t="str">
        <f t="shared" si="53"/>
        <v>RVITD</v>
      </c>
    </row>
    <row r="1707" spans="3:10" x14ac:dyDescent="0.25">
      <c r="C1707" s="28" t="s">
        <v>645</v>
      </c>
      <c r="D1707" s="188" t="str">
        <f>+INDEX([1]Detallado!$F:$F,MATCH($C1707,[1]Detallado!$B:$B,0))</f>
        <v>Renta Variable</v>
      </c>
      <c r="E1707" s="31" t="str">
        <f>+INDEX([1]Detallado!$Q:$Q,MATCH($C1707,[1]Detallado!$B:$B,0))</f>
        <v>RVI</v>
      </c>
      <c r="F1707" s="185" t="s">
        <v>4355</v>
      </c>
      <c r="G1707" s="186" t="str">
        <f t="shared" si="52"/>
        <v>52RVI</v>
      </c>
      <c r="H1707" s="187" t="str">
        <f>+INDEX([1]Detallado!$D:$D,MATCH(C1707,[1]Detallado!$B:$B,0))</f>
        <v>Eastspring - Japan Dynamic Fund</v>
      </c>
      <c r="I1707" s="28"/>
      <c r="J1707" s="184" t="str">
        <f t="shared" si="53"/>
        <v>RVITD</v>
      </c>
    </row>
    <row r="1708" spans="3:10" x14ac:dyDescent="0.25">
      <c r="C1708" s="28" t="s">
        <v>1859</v>
      </c>
      <c r="D1708" s="188" t="str">
        <f>+INDEX([1]Detallado!$F:$F,MATCH($C1708,[1]Detallado!$B:$B,0))</f>
        <v>Renta Variable</v>
      </c>
      <c r="E1708" s="31" t="str">
        <f>+INDEX([1]Detallado!$Q:$Q,MATCH($C1708,[1]Detallado!$B:$B,0))</f>
        <v>RVI</v>
      </c>
      <c r="F1708" s="185" t="s">
        <v>4355</v>
      </c>
      <c r="G1708" s="186" t="str">
        <f t="shared" si="52"/>
        <v>52RVI</v>
      </c>
      <c r="H1708" s="187" t="str">
        <f>+INDEX([1]Detallado!$D:$D,MATCH(C1708,[1]Detallado!$B:$B,0))</f>
        <v>Pinebridge - Asia Ex-Japan All Cap</v>
      </c>
      <c r="I1708" s="28"/>
      <c r="J1708" s="184" t="str">
        <f t="shared" si="53"/>
        <v>RVITD</v>
      </c>
    </row>
    <row r="1709" spans="3:10" x14ac:dyDescent="0.25">
      <c r="C1709" s="28" t="s">
        <v>2413</v>
      </c>
      <c r="D1709" s="188" t="str">
        <f>+INDEX([1]Detallado!$F:$F,MATCH($C1709,[1]Detallado!$B:$B,0))</f>
        <v>Renta Variable</v>
      </c>
      <c r="E1709" s="31" t="str">
        <f>+INDEX([1]Detallado!$Q:$Q,MATCH($C1709,[1]Detallado!$B:$B,0))</f>
        <v>RVI</v>
      </c>
      <c r="F1709" s="185" t="s">
        <v>4355</v>
      </c>
      <c r="G1709" s="186" t="str">
        <f t="shared" si="52"/>
        <v>52RVI</v>
      </c>
      <c r="H1709" s="187" t="str">
        <f>+INDEX([1]Detallado!$D:$D,MATCH(C1709,[1]Detallado!$B:$B,0))</f>
        <v>Tokio Marine - Japanese Equity Focus</v>
      </c>
      <c r="I1709" s="28"/>
      <c r="J1709" s="184" t="str">
        <f t="shared" si="53"/>
        <v>RVITD</v>
      </c>
    </row>
    <row r="1710" spans="3:10" x14ac:dyDescent="0.25">
      <c r="C1710" s="28" t="s">
        <v>4126</v>
      </c>
      <c r="D1710" s="188" t="str">
        <f>+INDEX([1]Detallado!$F:$F,MATCH($C1710,[1]Detallado!$B:$B,0))</f>
        <v>Renta Variable</v>
      </c>
      <c r="E1710" s="31" t="str">
        <f>+INDEX([1]Detallado!$Q:$Q,MATCH($C1710,[1]Detallado!$B:$B,0))</f>
        <v>RVI</v>
      </c>
      <c r="F1710" s="185" t="s">
        <v>4355</v>
      </c>
      <c r="G1710" s="186" t="str">
        <f t="shared" si="52"/>
        <v>52RVI</v>
      </c>
      <c r="H1710" s="187" t="str">
        <f>+INDEX([1]Detallado!$D:$D,MATCH(C1710,[1]Detallado!$B:$B,0))</f>
        <v>Invesco - Japanese Equity Core Fund</v>
      </c>
      <c r="I1710" s="28"/>
      <c r="J1710" s="184" t="str">
        <f t="shared" si="53"/>
        <v>RVITD</v>
      </c>
    </row>
    <row r="1711" spans="3:10" x14ac:dyDescent="0.25">
      <c r="C1711" s="28" t="s">
        <v>2178</v>
      </c>
      <c r="D1711" s="188" t="str">
        <f>+INDEX([1]Detallado!$F:$F,MATCH($C1711,[1]Detallado!$B:$B,0))</f>
        <v>Renta Variable</v>
      </c>
      <c r="E1711" s="31" t="str">
        <f>+INDEX([1]Detallado!$Q:$Q,MATCH($C1711,[1]Detallado!$B:$B,0))</f>
        <v>RVI</v>
      </c>
      <c r="F1711" s="185" t="s">
        <v>4355</v>
      </c>
      <c r="G1711" s="186" t="str">
        <f t="shared" si="52"/>
        <v>52RVI</v>
      </c>
      <c r="H1711" s="187" t="str">
        <f>+INDEX([1]Detallado!$D:$D,MATCH(C1711,[1]Detallado!$B:$B,0))</f>
        <v>Invesco - Japanese Equity Advantage</v>
      </c>
      <c r="I1711" s="28"/>
      <c r="J1711" s="184" t="str">
        <f t="shared" si="53"/>
        <v>RVITD</v>
      </c>
    </row>
    <row r="1712" spans="3:10" x14ac:dyDescent="0.25">
      <c r="C1712" s="28" t="s">
        <v>1895</v>
      </c>
      <c r="D1712" s="188" t="str">
        <f>+INDEX([1]Detallado!$F:$F,MATCH($C1712,[1]Detallado!$B:$B,0))</f>
        <v>Renta Variable</v>
      </c>
      <c r="E1712" s="31" t="str">
        <f>+INDEX([1]Detallado!$Q:$Q,MATCH($C1712,[1]Detallado!$B:$B,0))</f>
        <v>RVI</v>
      </c>
      <c r="F1712" s="185" t="s">
        <v>4355</v>
      </c>
      <c r="G1712" s="186" t="str">
        <f t="shared" si="52"/>
        <v>52RVI</v>
      </c>
      <c r="H1712" s="187" t="str">
        <f>+INDEX([1]Detallado!$D:$D,MATCH(C1712,[1]Detallado!$B:$B,0))</f>
        <v>Man GLG - Japan Core Alpha</v>
      </c>
      <c r="I1712" s="28"/>
      <c r="J1712" s="184" t="str">
        <f t="shared" si="53"/>
        <v>RVITD</v>
      </c>
    </row>
    <row r="1713" spans="3:10" x14ac:dyDescent="0.25">
      <c r="C1713" s="28" t="s">
        <v>685</v>
      </c>
      <c r="D1713" s="188" t="str">
        <f>+INDEX([1]Detallado!$F:$F,MATCH($C1713,[1]Detallado!$B:$B,0))</f>
        <v>Renta Variable</v>
      </c>
      <c r="E1713" s="31" t="str">
        <f>+INDEX([1]Detallado!$Q:$Q,MATCH($C1713,[1]Detallado!$B:$B,0))</f>
        <v>RVI</v>
      </c>
      <c r="F1713" s="185" t="s">
        <v>4355</v>
      </c>
      <c r="G1713" s="186" t="str">
        <f t="shared" si="52"/>
        <v>52RVI</v>
      </c>
      <c r="H1713" s="187" t="str">
        <f>+INDEX([1]Detallado!$D:$D,MATCH(C1713,[1]Detallado!$B:$B,0))</f>
        <v>JP Morgan - Japan Equity ETF</v>
      </c>
      <c r="I1713" s="28"/>
      <c r="J1713" s="184" t="str">
        <f t="shared" si="53"/>
        <v>RVITD</v>
      </c>
    </row>
    <row r="1714" spans="3:10" x14ac:dyDescent="0.25">
      <c r="C1714" s="28" t="s">
        <v>2506</v>
      </c>
      <c r="D1714" s="188" t="str">
        <f>+INDEX([1]Detallado!$F:$F,MATCH($C1714,[1]Detallado!$B:$B,0))</f>
        <v>Renta Variable</v>
      </c>
      <c r="E1714" s="31" t="str">
        <f>+INDEX([1]Detallado!$Q:$Q,MATCH($C1714,[1]Detallado!$B:$B,0))</f>
        <v>RVI</v>
      </c>
      <c r="F1714" s="185" t="s">
        <v>4355</v>
      </c>
      <c r="G1714" s="186" t="str">
        <f t="shared" si="52"/>
        <v>52RVI</v>
      </c>
      <c r="H1714" s="187" t="str">
        <f>+INDEX([1]Detallado!$D:$D,MATCH(C1714,[1]Detallado!$B:$B,0))</f>
        <v>M&amp;G - Japan Fund</v>
      </c>
      <c r="I1714" s="28"/>
      <c r="J1714" s="184" t="str">
        <f t="shared" si="53"/>
        <v>RVITD</v>
      </c>
    </row>
    <row r="1715" spans="3:10" x14ac:dyDescent="0.25">
      <c r="C1715" s="28" t="s">
        <v>2509</v>
      </c>
      <c r="D1715" s="188" t="str">
        <f>+INDEX([1]Detallado!$F:$F,MATCH($C1715,[1]Detallado!$B:$B,0))</f>
        <v>Renta Variable</v>
      </c>
      <c r="E1715" s="31" t="str">
        <f>+INDEX([1]Detallado!$Q:$Q,MATCH($C1715,[1]Detallado!$B:$B,0))</f>
        <v>RVI</v>
      </c>
      <c r="F1715" s="185" t="s">
        <v>4355</v>
      </c>
      <c r="G1715" s="186" t="str">
        <f t="shared" si="52"/>
        <v>52RVI</v>
      </c>
      <c r="H1715" s="187" t="str">
        <f>+INDEX([1]Detallado!$D:$D,MATCH(C1715,[1]Detallado!$B:$B,0))</f>
        <v>M&amp;G - Japan Smaller Companies</v>
      </c>
      <c r="I1715" s="28"/>
      <c r="J1715" s="184" t="str">
        <f t="shared" si="53"/>
        <v>RVITD</v>
      </c>
    </row>
    <row r="1716" spans="3:10" x14ac:dyDescent="0.25">
      <c r="C1716" s="28" t="s">
        <v>2512</v>
      </c>
      <c r="D1716" s="188" t="str">
        <f>+INDEX([1]Detallado!$F:$F,MATCH($C1716,[1]Detallado!$B:$B,0))</f>
        <v>Renta Variable</v>
      </c>
      <c r="E1716" s="31" t="str">
        <f>+INDEX([1]Detallado!$Q:$Q,MATCH($C1716,[1]Detallado!$B:$B,0))</f>
        <v>RVI</v>
      </c>
      <c r="F1716" s="185" t="s">
        <v>4355</v>
      </c>
      <c r="G1716" s="186" t="str">
        <f t="shared" si="52"/>
        <v>52RVI</v>
      </c>
      <c r="H1716" s="187" t="str">
        <f>+INDEX([1]Detallado!$D:$D,MATCH(C1716,[1]Detallado!$B:$B,0))</f>
        <v>M&amp;G - Japan Smaller Companies</v>
      </c>
      <c r="I1716" s="28"/>
      <c r="J1716" s="184" t="str">
        <f t="shared" si="53"/>
        <v>RVITD</v>
      </c>
    </row>
    <row r="1717" spans="3:10" x14ac:dyDescent="0.25">
      <c r="C1717" s="28" t="s">
        <v>1505</v>
      </c>
      <c r="D1717" s="188" t="str">
        <f>+INDEX([1]Detallado!$F:$F,MATCH($C1717,[1]Detallado!$B:$B,0))</f>
        <v>Renta Variable</v>
      </c>
      <c r="E1717" s="31" t="str">
        <f>+INDEX([1]Detallado!$Q:$Q,MATCH($C1717,[1]Detallado!$B:$B,0))</f>
        <v>RVI</v>
      </c>
      <c r="F1717" s="185" t="s">
        <v>4355</v>
      </c>
      <c r="G1717" s="186" t="str">
        <f t="shared" si="52"/>
        <v>52RVI</v>
      </c>
      <c r="H1717" s="187" t="str">
        <f>+INDEX([1]Detallado!$D:$D,MATCH(C1717,[1]Detallado!$B:$B,0))</f>
        <v xml:space="preserve">Matthews - Japan Fund </v>
      </c>
      <c r="I1717" s="28"/>
      <c r="J1717" s="184" t="str">
        <f t="shared" si="53"/>
        <v>RVITD</v>
      </c>
    </row>
    <row r="1718" spans="3:10" x14ac:dyDescent="0.25">
      <c r="C1718" s="28" t="s">
        <v>2399</v>
      </c>
      <c r="D1718" s="188" t="str">
        <f>+INDEX([1]Detallado!$F:$F,MATCH($C1718,[1]Detallado!$B:$B,0))</f>
        <v>Renta Variable</v>
      </c>
      <c r="E1718" s="31" t="str">
        <f>+INDEX([1]Detallado!$Q:$Q,MATCH($C1718,[1]Detallado!$B:$B,0))</f>
        <v>RVI</v>
      </c>
      <c r="F1718" s="185" t="s">
        <v>4355</v>
      </c>
      <c r="G1718" s="186" t="str">
        <f t="shared" si="52"/>
        <v>52RVI</v>
      </c>
      <c r="H1718" s="187" t="str">
        <f>+INDEX([1]Detallado!$D:$D,MATCH(C1718,[1]Detallado!$B:$B,0))</f>
        <v xml:space="preserve">Matthews - Japan Fund </v>
      </c>
      <c r="I1718" s="28"/>
      <c r="J1718" s="184" t="str">
        <f t="shared" si="53"/>
        <v>RVITD</v>
      </c>
    </row>
    <row r="1719" spans="3:10" x14ac:dyDescent="0.25">
      <c r="C1719" s="28" t="s">
        <v>2242</v>
      </c>
      <c r="D1719" s="188" t="str">
        <f>+INDEX([1]Detallado!$F:$F,MATCH($C1719,[1]Detallado!$B:$B,0))</f>
        <v>Renta Variable</v>
      </c>
      <c r="E1719" s="31" t="str">
        <f>+INDEX([1]Detallado!$Q:$Q,MATCH($C1719,[1]Detallado!$B:$B,0))</f>
        <v>RVI</v>
      </c>
      <c r="F1719" s="185" t="s">
        <v>4355</v>
      </c>
      <c r="G1719" s="186" t="str">
        <f t="shared" si="52"/>
        <v>52RVI</v>
      </c>
      <c r="H1719" s="187" t="str">
        <f>+INDEX([1]Detallado!$D:$D,MATCH(C1719,[1]Detallado!$B:$B,0))</f>
        <v>Jupiter Unit Trust - Japan Equity</v>
      </c>
      <c r="I1719" s="28"/>
      <c r="J1719" s="184" t="str">
        <f t="shared" si="53"/>
        <v>RVITD</v>
      </c>
    </row>
    <row r="1720" spans="3:10" x14ac:dyDescent="0.25">
      <c r="C1720" s="28" t="s">
        <v>2325</v>
      </c>
      <c r="D1720" s="188" t="str">
        <f>+INDEX([1]Detallado!$F:$F,MATCH($C1720,[1]Detallado!$B:$B,0))</f>
        <v>Renta Variable</v>
      </c>
      <c r="E1720" s="31" t="str">
        <f>+INDEX([1]Detallado!$Q:$Q,MATCH($C1720,[1]Detallado!$B:$B,0))</f>
        <v>RVI</v>
      </c>
      <c r="F1720" s="185" t="s">
        <v>4355</v>
      </c>
      <c r="G1720" s="186" t="str">
        <f t="shared" si="52"/>
        <v>52RVI</v>
      </c>
      <c r="H1720" s="187" t="str">
        <f>+INDEX([1]Detallado!$D:$D,MATCH(C1720,[1]Detallado!$B:$B,0))</f>
        <v>GAM - Star Japan</v>
      </c>
      <c r="I1720" s="28"/>
      <c r="J1720" s="184" t="str">
        <f t="shared" si="53"/>
        <v>RVITD</v>
      </c>
    </row>
    <row r="1721" spans="3:10" x14ac:dyDescent="0.25">
      <c r="C1721" s="28" t="s">
        <v>1379</v>
      </c>
      <c r="D1721" s="188" t="str">
        <f>+INDEX([1]Detallado!$F:$F,MATCH($C1721,[1]Detallado!$B:$B,0))</f>
        <v>Renta Variable</v>
      </c>
      <c r="E1721" s="31" t="str">
        <f>+INDEX([1]Detallado!$Q:$Q,MATCH($C1721,[1]Detallado!$B:$B,0))</f>
        <v>RVI</v>
      </c>
      <c r="F1721" s="185" t="s">
        <v>4355</v>
      </c>
      <c r="G1721" s="186" t="str">
        <f t="shared" si="52"/>
        <v>52RVI</v>
      </c>
      <c r="H1721" s="187" t="str">
        <f>+INDEX([1]Detallado!$D:$D,MATCH(C1721,[1]Detallado!$B:$B,0))</f>
        <v>WisdomTree - Japan Small Cap Dividend</v>
      </c>
      <c r="I1721" s="28"/>
      <c r="J1721" s="184" t="str">
        <f t="shared" si="53"/>
        <v>RVITD</v>
      </c>
    </row>
    <row r="1722" spans="3:10" x14ac:dyDescent="0.25">
      <c r="C1722" s="28" t="s">
        <v>2064</v>
      </c>
      <c r="D1722" s="188" t="str">
        <f>+INDEX([1]Detallado!$F:$F,MATCH($C1722,[1]Detallado!$B:$B,0))</f>
        <v>Renta Variable</v>
      </c>
      <c r="E1722" s="31" t="str">
        <f>+INDEX([1]Detallado!$Q:$Q,MATCH($C1722,[1]Detallado!$B:$B,0))</f>
        <v>RVI</v>
      </c>
      <c r="F1722" s="185" t="s">
        <v>4355</v>
      </c>
      <c r="G1722" s="186" t="str">
        <f t="shared" si="52"/>
        <v>52RVI</v>
      </c>
      <c r="H1722" s="187" t="str">
        <f>+INDEX([1]Detallado!$D:$D,MATCH(C1722,[1]Detallado!$B:$B,0))</f>
        <v>Comgest - Japan Growth</v>
      </c>
      <c r="I1722" s="28"/>
      <c r="J1722" s="184" t="str">
        <f t="shared" si="53"/>
        <v>RVITD</v>
      </c>
    </row>
    <row r="1723" spans="3:10" x14ac:dyDescent="0.25">
      <c r="C1723" s="28" t="s">
        <v>2017</v>
      </c>
      <c r="D1723" s="188" t="str">
        <f>+INDEX([1]Detallado!$F:$F,MATCH($C1723,[1]Detallado!$B:$B,0))</f>
        <v>Renta Variable</v>
      </c>
      <c r="E1723" s="31" t="str">
        <f>+INDEX([1]Detallado!$Q:$Q,MATCH($C1723,[1]Detallado!$B:$B,0))</f>
        <v>RVI</v>
      </c>
      <c r="F1723" s="185" t="s">
        <v>4355</v>
      </c>
      <c r="G1723" s="186" t="str">
        <f t="shared" si="52"/>
        <v>52RVI</v>
      </c>
      <c r="H1723" s="187" t="str">
        <f>+INDEX([1]Detallado!$D:$D,MATCH(C1723,[1]Detallado!$B:$B,0))</f>
        <v>Aberdeen - Japan Smaller Companies</v>
      </c>
      <c r="I1723" s="28"/>
      <c r="J1723" s="184" t="str">
        <f t="shared" si="53"/>
        <v>RVITD</v>
      </c>
    </row>
    <row r="1724" spans="3:10" x14ac:dyDescent="0.25">
      <c r="C1724" s="28" t="s">
        <v>1760</v>
      </c>
      <c r="D1724" s="188" t="str">
        <f>+INDEX([1]Detallado!$F:$F,MATCH($C1724,[1]Detallado!$B:$B,0))</f>
        <v>Renta Variable</v>
      </c>
      <c r="E1724" s="31" t="str">
        <f>+INDEX([1]Detallado!$Q:$Q,MATCH($C1724,[1]Detallado!$B:$B,0))</f>
        <v>RVI</v>
      </c>
      <c r="F1724" s="185" t="s">
        <v>4355</v>
      </c>
      <c r="G1724" s="186" t="str">
        <f t="shared" si="52"/>
        <v>52RVI</v>
      </c>
      <c r="H1724" s="187" t="str">
        <f>+INDEX([1]Detallado!$D:$D,MATCH(C1724,[1]Detallado!$B:$B,0))</f>
        <v>Schroders - Japanese Smaller Companies</v>
      </c>
      <c r="I1724" s="28"/>
      <c r="J1724" s="184" t="str">
        <f t="shared" si="53"/>
        <v>RVITD</v>
      </c>
    </row>
    <row r="1725" spans="3:10" x14ac:dyDescent="0.25">
      <c r="C1725" s="28" t="s">
        <v>1677</v>
      </c>
      <c r="D1725" s="188" t="e">
        <f>+INDEX([1]Detallado!$F:$F,MATCH($C1725,[1]Detallado!$B:$B,0))</f>
        <v>#N/A</v>
      </c>
      <c r="E1725" s="31" t="e">
        <f>+INDEX([1]Detallado!$Q:$Q,MATCH($C1725,[1]Detallado!$B:$B,0))</f>
        <v>#N/A</v>
      </c>
      <c r="F1725" s="185" t="s">
        <v>4355</v>
      </c>
      <c r="G1725" s="186" t="e">
        <f t="shared" si="52"/>
        <v>#N/A</v>
      </c>
      <c r="H1725" s="187" t="e">
        <f>+INDEX([1]Detallado!$D:$D,MATCH(C1725,[1]Detallado!$B:$B,0))</f>
        <v>#N/A</v>
      </c>
      <c r="I1725" s="28"/>
      <c r="J1725" s="184" t="e">
        <f t="shared" si="53"/>
        <v>#N/A</v>
      </c>
    </row>
    <row r="1726" spans="3:10" x14ac:dyDescent="0.25">
      <c r="C1726" s="28" t="s">
        <v>1943</v>
      </c>
      <c r="D1726" s="188" t="str">
        <f>+INDEX([1]Detallado!$F:$F,MATCH($C1726,[1]Detallado!$B:$B,0))</f>
        <v>Renta Variable</v>
      </c>
      <c r="E1726" s="31" t="str">
        <f>+INDEX([1]Detallado!$Q:$Q,MATCH($C1726,[1]Detallado!$B:$B,0))</f>
        <v>RVI</v>
      </c>
      <c r="F1726" s="185" t="s">
        <v>4355</v>
      </c>
      <c r="G1726" s="186" t="str">
        <f t="shared" si="52"/>
        <v>52RVI</v>
      </c>
      <c r="H1726" s="187" t="str">
        <f>+INDEX([1]Detallado!$D:$D,MATCH(C1726,[1]Detallado!$B:$B,0))</f>
        <v>Janus Henderson - Japanese Smaller Companies</v>
      </c>
      <c r="I1726" s="28"/>
      <c r="J1726" s="184" t="str">
        <f t="shared" si="53"/>
        <v>RVITD</v>
      </c>
    </row>
    <row r="1727" spans="3:10" x14ac:dyDescent="0.25">
      <c r="C1727" s="28" t="s">
        <v>698</v>
      </c>
      <c r="D1727" s="188" t="str">
        <f>+INDEX([1]Detallado!$F:$F,MATCH($C1727,[1]Detallado!$B:$B,0))</f>
        <v>Renta Variable</v>
      </c>
      <c r="E1727" s="31" t="str">
        <f>+INDEX([1]Detallado!$Q:$Q,MATCH($C1727,[1]Detallado!$B:$B,0))</f>
        <v>RVI</v>
      </c>
      <c r="F1727" s="185" t="s">
        <v>4355</v>
      </c>
      <c r="G1727" s="186" t="str">
        <f t="shared" si="52"/>
        <v>52RVI</v>
      </c>
      <c r="H1727" s="187" t="str">
        <f>+INDEX([1]Detallado!$D:$D,MATCH(C1727,[1]Detallado!$B:$B,0))</f>
        <v>BNP Paribas - Japan Small Caps</v>
      </c>
      <c r="I1727" s="28"/>
      <c r="J1727" s="184" t="str">
        <f t="shared" si="53"/>
        <v>RVITD</v>
      </c>
    </row>
    <row r="1728" spans="3:10" x14ac:dyDescent="0.25">
      <c r="C1728" s="28" t="s">
        <v>4127</v>
      </c>
      <c r="D1728" s="188" t="str">
        <f>+INDEX([1]Detallado!$F:$F,MATCH($C1728,[1]Detallado!$B:$B,0))</f>
        <v>Renta Variable</v>
      </c>
      <c r="E1728" s="31" t="str">
        <f>+INDEX([1]Detallado!$Q:$Q,MATCH($C1728,[1]Detallado!$B:$B,0))</f>
        <v>RVI</v>
      </c>
      <c r="F1728" s="185" t="s">
        <v>4355</v>
      </c>
      <c r="G1728" s="186" t="str">
        <f t="shared" si="52"/>
        <v>52RVI</v>
      </c>
      <c r="H1728" s="187" t="str">
        <f>+INDEX([1]Detallado!$D:$D,MATCH(C1728,[1]Detallado!$B:$B,0))</f>
        <v>Janus Henderson  Horizon - Japanese SC</v>
      </c>
      <c r="I1728" s="28"/>
      <c r="J1728" s="184" t="str">
        <f t="shared" si="53"/>
        <v>RVITD</v>
      </c>
    </row>
    <row r="1729" spans="3:10" x14ac:dyDescent="0.25">
      <c r="C1729" s="28" t="s">
        <v>1808</v>
      </c>
      <c r="D1729" s="188" t="str">
        <f>+INDEX([1]Detallado!$F:$F,MATCH($C1729,[1]Detallado!$B:$B,0))</f>
        <v>Renta Variable</v>
      </c>
      <c r="E1729" s="31" t="str">
        <f>+INDEX([1]Detallado!$Q:$Q,MATCH($C1729,[1]Detallado!$B:$B,0))</f>
        <v>RVI</v>
      </c>
      <c r="F1729" s="185" t="s">
        <v>4355</v>
      </c>
      <c r="G1729" s="186" t="str">
        <f t="shared" si="52"/>
        <v>52RVI</v>
      </c>
      <c r="H1729" s="187" t="str">
        <f>+INDEX([1]Detallado!$D:$D,MATCH(C1729,[1]Detallado!$B:$B,0))</f>
        <v>Pinebridge - Japan Small Cap - Y</v>
      </c>
      <c r="I1729" s="28"/>
      <c r="J1729" s="184" t="str">
        <f t="shared" si="53"/>
        <v>RVITD</v>
      </c>
    </row>
    <row r="1730" spans="3:10" x14ac:dyDescent="0.25">
      <c r="C1730" s="28" t="s">
        <v>1827</v>
      </c>
      <c r="D1730" s="188" t="str">
        <f>+INDEX([1]Detallado!$F:$F,MATCH($C1730,[1]Detallado!$B:$B,0))</f>
        <v>Renta Variable</v>
      </c>
      <c r="E1730" s="31" t="str">
        <f>+INDEX([1]Detallado!$Q:$Q,MATCH($C1730,[1]Detallado!$B:$B,0))</f>
        <v>RVI</v>
      </c>
      <c r="F1730" s="185" t="s">
        <v>4355</v>
      </c>
      <c r="G1730" s="186" t="str">
        <f t="shared" si="52"/>
        <v>52RVI</v>
      </c>
      <c r="H1730" s="187" t="str">
        <f>+INDEX([1]Detallado!$D:$D,MATCH(C1730,[1]Detallado!$B:$B,0))</f>
        <v>Pinebridge - Japan Small Cap - Y3</v>
      </c>
      <c r="I1730" s="28"/>
      <c r="J1730" s="184" t="str">
        <f t="shared" si="53"/>
        <v>RVITD</v>
      </c>
    </row>
    <row r="1731" spans="3:10" x14ac:dyDescent="0.25">
      <c r="C1731" s="28" t="s">
        <v>1184</v>
      </c>
      <c r="D1731" s="188" t="str">
        <f>+INDEX([1]Detallado!$F:$F,MATCH($C1731,[1]Detallado!$B:$B,0))</f>
        <v>Renta Variable</v>
      </c>
      <c r="E1731" s="31" t="str">
        <f>+INDEX([1]Detallado!$Q:$Q,MATCH($C1731,[1]Detallado!$B:$B,0))</f>
        <v>RVI</v>
      </c>
      <c r="F1731" s="185" t="s">
        <v>4355</v>
      </c>
      <c r="G1731" s="186" t="str">
        <f t="shared" si="52"/>
        <v>52RVI</v>
      </c>
      <c r="H1731" s="187" t="str">
        <f>+INDEX([1]Detallado!$D:$D,MATCH(C1731,[1]Detallado!$B:$B,0))</f>
        <v xml:space="preserve">State Street - Dow Jones Industrial Average </v>
      </c>
      <c r="I1731" s="28"/>
      <c r="J1731" s="184" t="str">
        <f t="shared" si="53"/>
        <v>RVITD</v>
      </c>
    </row>
    <row r="1732" spans="3:10" x14ac:dyDescent="0.25">
      <c r="C1732" s="28" t="s">
        <v>716</v>
      </c>
      <c r="D1732" s="188" t="str">
        <f>+INDEX([1]Detallado!$F:$F,MATCH($C1732,[1]Detallado!$B:$B,0))</f>
        <v>Renta Variable</v>
      </c>
      <c r="E1732" s="31" t="str">
        <f>+INDEX([1]Detallado!$Q:$Q,MATCH($C1732,[1]Detallado!$B:$B,0))</f>
        <v>RVI</v>
      </c>
      <c r="F1732" s="185" t="s">
        <v>4355</v>
      </c>
      <c r="G1732" s="186" t="str">
        <f t="shared" si="52"/>
        <v>52RVI</v>
      </c>
      <c r="H1732" s="187" t="str">
        <f>+INDEX([1]Detallado!$D:$D,MATCH(C1732,[1]Detallado!$B:$B,0))</f>
        <v>State Street - S&amp;P 500 ETF</v>
      </c>
      <c r="I1732" s="28"/>
      <c r="J1732" s="184" t="str">
        <f t="shared" si="53"/>
        <v>RVITD</v>
      </c>
    </row>
    <row r="1733" spans="3:10" x14ac:dyDescent="0.25">
      <c r="C1733" s="28" t="s">
        <v>1151</v>
      </c>
      <c r="D1733" s="188" t="str">
        <f>+INDEX([1]Detallado!$F:$F,MATCH($C1733,[1]Detallado!$B:$B,0))</f>
        <v>Renta Variable</v>
      </c>
      <c r="E1733" s="31" t="str">
        <f>+INDEX([1]Detallado!$Q:$Q,MATCH($C1733,[1]Detallado!$B:$B,0))</f>
        <v>RVI</v>
      </c>
      <c r="F1733" s="185" t="s">
        <v>4355</v>
      </c>
      <c r="G1733" s="186" t="str">
        <f t="shared" si="52"/>
        <v>52RVI</v>
      </c>
      <c r="H1733" s="187" t="str">
        <f>+INDEX([1]Detallado!$D:$D,MATCH(C1733,[1]Detallado!$B:$B,0))</f>
        <v>BlackRock - iShares Russell 1000 Value</v>
      </c>
      <c r="I1733" s="28"/>
      <c r="J1733" s="184" t="str">
        <f t="shared" si="53"/>
        <v>RVITD</v>
      </c>
    </row>
    <row r="1734" spans="3:10" x14ac:dyDescent="0.25">
      <c r="C1734" s="28" t="s">
        <v>725</v>
      </c>
      <c r="D1734" s="188" t="str">
        <f>+INDEX([1]Detallado!$F:$F,MATCH($C1734,[1]Detallado!$B:$B,0))</f>
        <v>Renta Variable</v>
      </c>
      <c r="E1734" s="31" t="str">
        <f>+INDEX([1]Detallado!$Q:$Q,MATCH($C1734,[1]Detallado!$B:$B,0))</f>
        <v>RVI</v>
      </c>
      <c r="F1734" s="185" t="s">
        <v>4355</v>
      </c>
      <c r="G1734" s="186" t="str">
        <f t="shared" si="52"/>
        <v>52RVI</v>
      </c>
      <c r="H1734" s="187" t="str">
        <f>+INDEX([1]Detallado!$D:$D,MATCH(C1734,[1]Detallado!$B:$B,0))</f>
        <v>Vanguard - S&amp;P 500 ETF</v>
      </c>
      <c r="I1734" s="28"/>
      <c r="J1734" s="184" t="str">
        <f t="shared" si="53"/>
        <v>RVITD</v>
      </c>
    </row>
    <row r="1735" spans="3:10" x14ac:dyDescent="0.25">
      <c r="C1735" s="28" t="s">
        <v>1232</v>
      </c>
      <c r="D1735" s="188" t="str">
        <f>+INDEX([1]Detallado!$F:$F,MATCH($C1735,[1]Detallado!$B:$B,0))</f>
        <v>Renta Variable</v>
      </c>
      <c r="E1735" s="31" t="str">
        <f>+INDEX([1]Detallado!$Q:$Q,MATCH($C1735,[1]Detallado!$B:$B,0))</f>
        <v>RVI</v>
      </c>
      <c r="F1735" s="185" t="s">
        <v>4355</v>
      </c>
      <c r="G1735" s="186" t="str">
        <f t="shared" si="52"/>
        <v>52RVI</v>
      </c>
      <c r="H1735" s="187" t="str">
        <f>+INDEX([1]Detallado!$D:$D,MATCH(C1735,[1]Detallado!$B:$B,0))</f>
        <v>Vanguard Total Value</v>
      </c>
      <c r="I1735" s="28"/>
      <c r="J1735" s="184" t="str">
        <f t="shared" si="53"/>
        <v>RVITD</v>
      </c>
    </row>
    <row r="1736" spans="3:10" x14ac:dyDescent="0.25">
      <c r="C1736" s="28" t="s">
        <v>1358</v>
      </c>
      <c r="D1736" s="188" t="str">
        <f>+INDEX([1]Detallado!$F:$F,MATCH($C1736,[1]Detallado!$B:$B,0))</f>
        <v>Renta Variable</v>
      </c>
      <c r="E1736" s="31" t="str">
        <f>+INDEX([1]Detallado!$Q:$Q,MATCH($C1736,[1]Detallado!$B:$B,0))</f>
        <v>RVI</v>
      </c>
      <c r="F1736" s="185" t="s">
        <v>4355</v>
      </c>
      <c r="G1736" s="186" t="str">
        <f t="shared" si="52"/>
        <v>52RVI</v>
      </c>
      <c r="H1736" s="187" t="str">
        <f>+INDEX([1]Detallado!$D:$D,MATCH(C1736,[1]Detallado!$B:$B,0))</f>
        <v>Vanguard - Dividend Appreciation</v>
      </c>
      <c r="I1736" s="28"/>
      <c r="J1736" s="184" t="str">
        <f t="shared" si="53"/>
        <v>RVITD</v>
      </c>
    </row>
    <row r="1737" spans="3:10" x14ac:dyDescent="0.25">
      <c r="C1737" s="28" t="s">
        <v>1383</v>
      </c>
      <c r="D1737" s="188" t="str">
        <f>+INDEX([1]Detallado!$F:$F,MATCH($C1737,[1]Detallado!$B:$B,0))</f>
        <v>Renta Variable</v>
      </c>
      <c r="E1737" s="31" t="str">
        <f>+INDEX([1]Detallado!$Q:$Q,MATCH($C1737,[1]Detallado!$B:$B,0))</f>
        <v>RVI</v>
      </c>
      <c r="F1737" s="185" t="s">
        <v>4355</v>
      </c>
      <c r="G1737" s="186" t="str">
        <f t="shared" si="52"/>
        <v>52RVI</v>
      </c>
      <c r="H1737" s="187" t="str">
        <f>+INDEX([1]Detallado!$D:$D,MATCH(C1737,[1]Detallado!$B:$B,0))</f>
        <v>Vanguard - Mid Cap Growth</v>
      </c>
      <c r="I1737" s="28"/>
      <c r="J1737" s="184" t="str">
        <f t="shared" si="53"/>
        <v>RVITD</v>
      </c>
    </row>
    <row r="1738" spans="3:10" x14ac:dyDescent="0.25">
      <c r="C1738" s="28" t="s">
        <v>1229</v>
      </c>
      <c r="D1738" s="188" t="str">
        <f>+INDEX([1]Detallado!$F:$F,MATCH($C1738,[1]Detallado!$B:$B,0))</f>
        <v>Renta Variable</v>
      </c>
      <c r="E1738" s="31" t="str">
        <f>+INDEX([1]Detallado!$Q:$Q,MATCH($C1738,[1]Detallado!$B:$B,0))</f>
        <v>RVI</v>
      </c>
      <c r="F1738" s="185" t="s">
        <v>4355</v>
      </c>
      <c r="G1738" s="186" t="str">
        <f t="shared" ref="G1738:G1801" si="54">LEFT(C1738,2)&amp;E1738</f>
        <v>52RVI</v>
      </c>
      <c r="H1738" s="187" t="str">
        <f>+INDEX([1]Detallado!$D:$D,MATCH(C1738,[1]Detallado!$B:$B,0))</f>
        <v>Vanguard - Total Stock Market</v>
      </c>
      <c r="I1738" s="28"/>
      <c r="J1738" s="184" t="str">
        <f t="shared" ref="J1738:J1801" si="55">IF(E1738="ALT",LEFT(E1738,3),LEFT(E1738,3)&amp;F1738)</f>
        <v>RVITD</v>
      </c>
    </row>
    <row r="1739" spans="3:10" x14ac:dyDescent="0.25">
      <c r="C1739" s="28" t="s">
        <v>1066</v>
      </c>
      <c r="D1739" s="188" t="str">
        <f>+INDEX([1]Detallado!$F:$F,MATCH($C1739,[1]Detallado!$B:$B,0))</f>
        <v>Renta Variable</v>
      </c>
      <c r="E1739" s="31" t="str">
        <f>+INDEX([1]Detallado!$Q:$Q,MATCH($C1739,[1]Detallado!$B:$B,0))</f>
        <v>RVI</v>
      </c>
      <c r="F1739" s="185" t="s">
        <v>4355</v>
      </c>
      <c r="G1739" s="186" t="str">
        <f t="shared" si="54"/>
        <v>52RVI</v>
      </c>
      <c r="H1739" s="187" t="str">
        <f>+INDEX([1]Detallado!$D:$D,MATCH(C1739,[1]Detallado!$B:$B,0))</f>
        <v>DFA - US Small Cap Value Portfolio</v>
      </c>
      <c r="I1739" s="28"/>
      <c r="J1739" s="184" t="str">
        <f t="shared" si="55"/>
        <v>RVITD</v>
      </c>
    </row>
    <row r="1740" spans="3:10" x14ac:dyDescent="0.25">
      <c r="C1740" s="28" t="s">
        <v>695</v>
      </c>
      <c r="D1740" s="188" t="str">
        <f>+INDEX([1]Detallado!$F:$F,MATCH($C1740,[1]Detallado!$B:$B,0))</f>
        <v>Renta Variable</v>
      </c>
      <c r="E1740" s="31" t="str">
        <f>+INDEX([1]Detallado!$Q:$Q,MATCH($C1740,[1]Detallado!$B:$B,0))</f>
        <v>RVI</v>
      </c>
      <c r="F1740" s="185" t="s">
        <v>4355</v>
      </c>
      <c r="G1740" s="186" t="str">
        <f t="shared" si="54"/>
        <v>52RVI</v>
      </c>
      <c r="H1740" s="187" t="str">
        <f>+INDEX([1]Detallado!$D:$D,MATCH(C1740,[1]Detallado!$B:$B,0))</f>
        <v>DFA - US Large Cap Value</v>
      </c>
      <c r="I1740" s="28"/>
      <c r="J1740" s="184" t="str">
        <f t="shared" si="55"/>
        <v>RVITD</v>
      </c>
    </row>
    <row r="1741" spans="3:10" x14ac:dyDescent="0.25">
      <c r="C1741" s="28" t="s">
        <v>1337</v>
      </c>
      <c r="D1741" s="188" t="str">
        <f>+INDEX([1]Detallado!$F:$F,MATCH($C1741,[1]Detallado!$B:$B,0))</f>
        <v>Renta Variable</v>
      </c>
      <c r="E1741" s="31" t="str">
        <f>+INDEX([1]Detallado!$Q:$Q,MATCH($C1741,[1]Detallado!$B:$B,0))</f>
        <v>RVI</v>
      </c>
      <c r="F1741" s="185" t="s">
        <v>4355</v>
      </c>
      <c r="G1741" s="186" t="str">
        <f t="shared" si="54"/>
        <v>52RVI</v>
      </c>
      <c r="H1741" s="187" t="str">
        <f>+INDEX([1]Detallado!$D:$D,MATCH(C1741,[1]Detallado!$B:$B,0))</f>
        <v>DFA - US Core Equity 1</v>
      </c>
      <c r="I1741" s="28"/>
      <c r="J1741" s="184" t="str">
        <f t="shared" si="55"/>
        <v>RVITD</v>
      </c>
    </row>
    <row r="1742" spans="3:10" x14ac:dyDescent="0.25">
      <c r="C1742" s="28" t="s">
        <v>1076</v>
      </c>
      <c r="D1742" s="188" t="str">
        <f>+INDEX([1]Detallado!$F:$F,MATCH($C1742,[1]Detallado!$B:$B,0))</f>
        <v>Renta Variable</v>
      </c>
      <c r="E1742" s="31" t="str">
        <f>+INDEX([1]Detallado!$Q:$Q,MATCH($C1742,[1]Detallado!$B:$B,0))</f>
        <v>RVI</v>
      </c>
      <c r="F1742" s="185" t="s">
        <v>4355</v>
      </c>
      <c r="G1742" s="186" t="str">
        <f t="shared" si="54"/>
        <v>52RVI</v>
      </c>
      <c r="H1742" s="187" t="str">
        <f>+INDEX([1]Detallado!$D:$D,MATCH(C1742,[1]Detallado!$B:$B,0))</f>
        <v>DFA - US Small Cap Portfolio</v>
      </c>
      <c r="I1742" s="28"/>
      <c r="J1742" s="184" t="str">
        <f t="shared" si="55"/>
        <v>RVITD</v>
      </c>
    </row>
    <row r="1743" spans="3:10" x14ac:dyDescent="0.25">
      <c r="C1743" s="28" t="s">
        <v>1889</v>
      </c>
      <c r="D1743" s="188" t="str">
        <f>+INDEX([1]Detallado!$F:$F,MATCH($C1743,[1]Detallado!$B:$B,0))</f>
        <v>Renta Variable</v>
      </c>
      <c r="E1743" s="31" t="str">
        <f>+INDEX([1]Detallado!$Q:$Q,MATCH($C1743,[1]Detallado!$B:$B,0))</f>
        <v>RVI</v>
      </c>
      <c r="F1743" s="185" t="s">
        <v>4355</v>
      </c>
      <c r="G1743" s="186" t="str">
        <f t="shared" si="54"/>
        <v>52RVI</v>
      </c>
      <c r="H1743" s="187" t="str">
        <f>+INDEX([1]Detallado!$D:$D,MATCH(C1743,[1]Detallado!$B:$B,0))</f>
        <v>Parvest - USA Small Cap</v>
      </c>
      <c r="I1743" s="28"/>
      <c r="J1743" s="184" t="str">
        <f t="shared" si="55"/>
        <v>RVITD</v>
      </c>
    </row>
    <row r="1744" spans="3:10" x14ac:dyDescent="0.25">
      <c r="C1744" s="28" t="s">
        <v>2120</v>
      </c>
      <c r="D1744" s="188" t="str">
        <f>+INDEX([1]Detallado!$F:$F,MATCH($C1744,[1]Detallado!$B:$B,0))</f>
        <v>Renta Variable</v>
      </c>
      <c r="E1744" s="31" t="str">
        <f>+INDEX([1]Detallado!$Q:$Q,MATCH($C1744,[1]Detallado!$B:$B,0))</f>
        <v>RVI</v>
      </c>
      <c r="F1744" s="185" t="s">
        <v>4355</v>
      </c>
      <c r="G1744" s="186" t="str">
        <f t="shared" si="54"/>
        <v>52RVI</v>
      </c>
      <c r="H1744" s="187" t="str">
        <f>+INDEX([1]Detallado!$D:$D,MATCH(C1744,[1]Detallado!$B:$B,0))</f>
        <v>BlackRock - iShares Core S&amp;P 500 UCITS</v>
      </c>
      <c r="I1744" s="28"/>
      <c r="J1744" s="184" t="str">
        <f t="shared" si="55"/>
        <v>RVITD</v>
      </c>
    </row>
    <row r="1745" spans="3:10" x14ac:dyDescent="0.25">
      <c r="C1745" s="28" t="s">
        <v>620</v>
      </c>
      <c r="D1745" s="188" t="str">
        <f>+INDEX([1]Detallado!$F:$F,MATCH($C1745,[1]Detallado!$B:$B,0))</f>
        <v>Renta Variable</v>
      </c>
      <c r="E1745" s="31" t="str">
        <f>+INDEX([1]Detallado!$Q:$Q,MATCH($C1745,[1]Detallado!$B:$B,0))</f>
        <v>RVI</v>
      </c>
      <c r="F1745" s="185" t="s">
        <v>4355</v>
      </c>
      <c r="G1745" s="186" t="str">
        <f t="shared" si="54"/>
        <v>52RVI</v>
      </c>
      <c r="H1745" s="187" t="str">
        <f>+INDEX([1]Detallado!$D:$D,MATCH(C1745,[1]Detallado!$B:$B,0))</f>
        <v>BlackRock - iShares Core S&amp;P 500</v>
      </c>
      <c r="I1745" s="28"/>
      <c r="J1745" s="184" t="str">
        <f t="shared" si="55"/>
        <v>RVITD</v>
      </c>
    </row>
    <row r="1746" spans="3:10" x14ac:dyDescent="0.25">
      <c r="C1746" s="28" t="s">
        <v>1295</v>
      </c>
      <c r="D1746" s="188" t="str">
        <f>+INDEX([1]Detallado!$F:$F,MATCH($C1746,[1]Detallado!$B:$B,0))</f>
        <v>Renta Variable</v>
      </c>
      <c r="E1746" s="31" t="str">
        <f>+INDEX([1]Detallado!$Q:$Q,MATCH($C1746,[1]Detallado!$B:$B,0))</f>
        <v>RVI</v>
      </c>
      <c r="F1746" s="185" t="s">
        <v>4355</v>
      </c>
      <c r="G1746" s="186" t="str">
        <f t="shared" si="54"/>
        <v>52RVI</v>
      </c>
      <c r="H1746" s="187" t="str">
        <f>+INDEX([1]Detallado!$D:$D,MATCH(C1746,[1]Detallado!$B:$B,0))</f>
        <v>Invesco S&amp;P 500 Equal Weight ETF</v>
      </c>
      <c r="I1746" s="28"/>
      <c r="J1746" s="184" t="str">
        <f t="shared" si="55"/>
        <v>RVITD</v>
      </c>
    </row>
    <row r="1747" spans="3:10" x14ac:dyDescent="0.25">
      <c r="C1747" s="28" t="s">
        <v>933</v>
      </c>
      <c r="D1747" s="188" t="str">
        <f>+INDEX([1]Detallado!$F:$F,MATCH($C1747,[1]Detallado!$B:$B,0))</f>
        <v>Renta Variable</v>
      </c>
      <c r="E1747" s="31" t="str">
        <f>+INDEX([1]Detallado!$Q:$Q,MATCH($C1747,[1]Detallado!$B:$B,0))</f>
        <v>RVI</v>
      </c>
      <c r="F1747" s="185" t="s">
        <v>4355</v>
      </c>
      <c r="G1747" s="186" t="str">
        <f t="shared" si="54"/>
        <v>52RVI</v>
      </c>
      <c r="H1747" s="187" t="str">
        <f>+INDEX([1]Detallado!$D:$D,MATCH(C1747,[1]Detallado!$B:$B,0))</f>
        <v>BlackRock - iShares Russell 2000 ETF</v>
      </c>
      <c r="I1747" s="28"/>
      <c r="J1747" s="184" t="str">
        <f t="shared" si="55"/>
        <v>RVITD</v>
      </c>
    </row>
    <row r="1748" spans="3:10" x14ac:dyDescent="0.25">
      <c r="C1748" s="28" t="s">
        <v>1658</v>
      </c>
      <c r="D1748" s="188" t="str">
        <f>+INDEX([1]Detallado!$F:$F,MATCH($C1748,[1]Detallado!$B:$B,0))</f>
        <v>Renta Variable</v>
      </c>
      <c r="E1748" s="31" t="str">
        <f>+INDEX([1]Detallado!$Q:$Q,MATCH($C1748,[1]Detallado!$B:$B,0))</f>
        <v>RVI</v>
      </c>
      <c r="F1748" s="185" t="s">
        <v>4355</v>
      </c>
      <c r="G1748" s="186" t="str">
        <f t="shared" si="54"/>
        <v>52RVI</v>
      </c>
      <c r="H1748" s="187" t="str">
        <f>+INDEX([1]Detallado!$D:$D,MATCH(C1748,[1]Detallado!$B:$B,0))</f>
        <v>BlackRock - iShares US Carbon Transition Readiness</v>
      </c>
      <c r="I1748" s="28"/>
      <c r="J1748" s="184" t="str">
        <f t="shared" si="55"/>
        <v>RVITD</v>
      </c>
    </row>
    <row r="1749" spans="3:10" x14ac:dyDescent="0.25">
      <c r="C1749" s="28" t="s">
        <v>1595</v>
      </c>
      <c r="D1749" s="188" t="str">
        <f>+INDEX([1]Detallado!$F:$F,MATCH($C1749,[1]Detallado!$B:$B,0))</f>
        <v>Renta Variable</v>
      </c>
      <c r="E1749" s="31" t="str">
        <f>+INDEX([1]Detallado!$Q:$Q,MATCH($C1749,[1]Detallado!$B:$B,0))</f>
        <v>RVI</v>
      </c>
      <c r="F1749" s="185" t="s">
        <v>4355</v>
      </c>
      <c r="G1749" s="186" t="str">
        <f t="shared" si="54"/>
        <v>52RVI</v>
      </c>
      <c r="H1749" s="187" t="str">
        <f>+INDEX([1]Detallado!$D:$D,MATCH(C1749,[1]Detallado!$B:$B,0))</f>
        <v>BlackRock - iShares MSCI USA Quality</v>
      </c>
      <c r="I1749" s="28"/>
      <c r="J1749" s="184" t="str">
        <f t="shared" si="55"/>
        <v>RVITD</v>
      </c>
    </row>
    <row r="1750" spans="3:10" x14ac:dyDescent="0.25">
      <c r="C1750" s="28" t="s">
        <v>1246</v>
      </c>
      <c r="D1750" s="188" t="str">
        <f>+INDEX([1]Detallado!$F:$F,MATCH($C1750,[1]Detallado!$B:$B,0))</f>
        <v>Renta Variable</v>
      </c>
      <c r="E1750" s="31" t="str">
        <f>+INDEX([1]Detallado!$Q:$Q,MATCH($C1750,[1]Detallado!$B:$B,0))</f>
        <v>RVI</v>
      </c>
      <c r="F1750" s="185" t="s">
        <v>4355</v>
      </c>
      <c r="G1750" s="186" t="str">
        <f t="shared" si="54"/>
        <v>52RVI</v>
      </c>
      <c r="H1750" s="187" t="str">
        <f>+INDEX([1]Detallado!$D:$D,MATCH(C1750,[1]Detallado!$B:$B,0))</f>
        <v>BlackRock - iShares Russell Mid-Cap Value</v>
      </c>
      <c r="I1750" s="28"/>
      <c r="J1750" s="184" t="str">
        <f t="shared" si="55"/>
        <v>RVITD</v>
      </c>
    </row>
    <row r="1751" spans="3:10" x14ac:dyDescent="0.25">
      <c r="C1751" s="28" t="s">
        <v>2117</v>
      </c>
      <c r="D1751" s="188" t="str">
        <f>+INDEX([1]Detallado!$F:$F,MATCH($C1751,[1]Detallado!$B:$B,0))</f>
        <v>Renta Variable</v>
      </c>
      <c r="E1751" s="31" t="str">
        <f>+INDEX([1]Detallado!$Q:$Q,MATCH($C1751,[1]Detallado!$B:$B,0))</f>
        <v>RVI</v>
      </c>
      <c r="F1751" s="185" t="s">
        <v>4355</v>
      </c>
      <c r="G1751" s="186" t="str">
        <f t="shared" si="54"/>
        <v>52RVI</v>
      </c>
      <c r="H1751" s="187" t="str">
        <f>+INDEX([1]Detallado!$D:$D,MATCH(C1751,[1]Detallado!$B:$B,0))</f>
        <v>Legg Mason - US Small Caps</v>
      </c>
      <c r="I1751" s="28"/>
      <c r="J1751" s="184" t="str">
        <f t="shared" si="55"/>
        <v>RVITD</v>
      </c>
    </row>
    <row r="1752" spans="3:10" x14ac:dyDescent="0.25">
      <c r="C1752" s="28" t="s">
        <v>1586</v>
      </c>
      <c r="D1752" s="188" t="str">
        <f>+INDEX([1]Detallado!$F:$F,MATCH($C1752,[1]Detallado!$B:$B,0))</f>
        <v>Renta Variable</v>
      </c>
      <c r="E1752" s="31" t="str">
        <f>+INDEX([1]Detallado!$Q:$Q,MATCH($C1752,[1]Detallado!$B:$B,0))</f>
        <v>RVI</v>
      </c>
      <c r="F1752" s="185" t="s">
        <v>4355</v>
      </c>
      <c r="G1752" s="186" t="str">
        <f t="shared" si="54"/>
        <v>52RVI</v>
      </c>
      <c r="H1752" s="187" t="str">
        <f>+INDEX([1]Detallado!$D:$D,MATCH(C1752,[1]Detallado!$B:$B,0))</f>
        <v>BlackRock - iShares MSCI USA Value</v>
      </c>
      <c r="I1752" s="28"/>
      <c r="J1752" s="184" t="str">
        <f t="shared" si="55"/>
        <v>RVITD</v>
      </c>
    </row>
    <row r="1753" spans="3:10" x14ac:dyDescent="0.25">
      <c r="C1753" s="28" t="s">
        <v>1371</v>
      </c>
      <c r="D1753" s="188" t="str">
        <f>+INDEX([1]Detallado!$F:$F,MATCH($C1753,[1]Detallado!$B:$B,0))</f>
        <v>Renta Variable</v>
      </c>
      <c r="E1753" s="31" t="str">
        <f>+INDEX([1]Detallado!$Q:$Q,MATCH($C1753,[1]Detallado!$B:$B,0))</f>
        <v>RVI</v>
      </c>
      <c r="F1753" s="185" t="s">
        <v>4355</v>
      </c>
      <c r="G1753" s="186" t="str">
        <f t="shared" si="54"/>
        <v>52RVI</v>
      </c>
      <c r="H1753" s="187" t="str">
        <f>+INDEX([1]Detallado!$D:$D,MATCH(C1753,[1]Detallado!$B:$B,0))</f>
        <v>WisdomTree - US Large Cap Dividend</v>
      </c>
      <c r="I1753" s="28"/>
      <c r="J1753" s="184" t="str">
        <f t="shared" si="55"/>
        <v>RVITD</v>
      </c>
    </row>
    <row r="1754" spans="3:10" x14ac:dyDescent="0.25">
      <c r="C1754" s="28" t="s">
        <v>2221</v>
      </c>
      <c r="D1754" s="188" t="str">
        <f>+INDEX([1]Detallado!$F:$F,MATCH($C1754,[1]Detallado!$B:$B,0))</f>
        <v>Renta Variable</v>
      </c>
      <c r="E1754" s="31" t="str">
        <f>+INDEX([1]Detallado!$Q:$Q,MATCH($C1754,[1]Detallado!$B:$B,0))</f>
        <v>RVI</v>
      </c>
      <c r="F1754" s="185" t="s">
        <v>4355</v>
      </c>
      <c r="G1754" s="186" t="str">
        <f t="shared" si="54"/>
        <v>52RVI</v>
      </c>
      <c r="H1754" s="187" t="str">
        <f>+INDEX([1]Detallado!$D:$D,MATCH(C1754,[1]Detallado!$B:$B,0))</f>
        <v>Vanguard S&amp;P 500 - UCIT</v>
      </c>
      <c r="I1754" s="28"/>
      <c r="J1754" s="184" t="str">
        <f t="shared" si="55"/>
        <v>RVITD</v>
      </c>
    </row>
    <row r="1755" spans="3:10" x14ac:dyDescent="0.25">
      <c r="C1755" s="28" t="s">
        <v>4128</v>
      </c>
      <c r="D1755" s="188" t="str">
        <f>+INDEX([1]Detallado!$F:$F,MATCH($C1755,[1]Detallado!$B:$B,0))</f>
        <v>Renta Variable</v>
      </c>
      <c r="E1755" s="31" t="str">
        <f>+INDEX([1]Detallado!$Q:$Q,MATCH($C1755,[1]Detallado!$B:$B,0))</f>
        <v>RVI</v>
      </c>
      <c r="F1755" s="185" t="s">
        <v>4355</v>
      </c>
      <c r="G1755" s="186" t="str">
        <f t="shared" si="54"/>
        <v>52RVI</v>
      </c>
      <c r="H1755" s="187" t="str">
        <f>+INDEX([1]Detallado!$D:$D,MATCH(C1755,[1]Detallado!$B:$B,0))</f>
        <v>First Trust - US Mega Cap AlphaDEX</v>
      </c>
      <c r="I1755" s="28"/>
      <c r="J1755" s="184" t="str">
        <f t="shared" si="55"/>
        <v>RVITD</v>
      </c>
    </row>
    <row r="1756" spans="3:10" x14ac:dyDescent="0.25">
      <c r="C1756" s="28" t="s">
        <v>1905</v>
      </c>
      <c r="D1756" s="188" t="str">
        <f>+INDEX([1]Detallado!$F:$F,MATCH($C1756,[1]Detallado!$B:$B,0))</f>
        <v>Renta Variable</v>
      </c>
      <c r="E1756" s="31" t="str">
        <f>+INDEX([1]Detallado!$Q:$Q,MATCH($C1756,[1]Detallado!$B:$B,0))</f>
        <v>RVI</v>
      </c>
      <c r="F1756" s="185" t="s">
        <v>4355</v>
      </c>
      <c r="G1756" s="186" t="str">
        <f t="shared" si="54"/>
        <v>52RVI</v>
      </c>
      <c r="H1756" s="187" t="str">
        <f>+INDEX([1]Detallado!$D:$D,MATCH(C1756,[1]Detallado!$B:$B,0))</f>
        <v>JP Morgan - US Value Fund</v>
      </c>
      <c r="I1756" s="28"/>
      <c r="J1756" s="184" t="str">
        <f t="shared" si="55"/>
        <v>RVITD</v>
      </c>
    </row>
    <row r="1757" spans="3:10" x14ac:dyDescent="0.25">
      <c r="C1757" s="28" t="s">
        <v>1786</v>
      </c>
      <c r="D1757" s="188" t="str">
        <f>+INDEX([1]Detallado!$F:$F,MATCH($C1757,[1]Detallado!$B:$B,0))</f>
        <v>Renta Variable</v>
      </c>
      <c r="E1757" s="31" t="str">
        <f>+INDEX([1]Detallado!$Q:$Q,MATCH($C1757,[1]Detallado!$B:$B,0))</f>
        <v>RVI</v>
      </c>
      <c r="F1757" s="185" t="s">
        <v>4355</v>
      </c>
      <c r="G1757" s="186" t="str">
        <f t="shared" si="54"/>
        <v>52RVI</v>
      </c>
      <c r="H1757" s="187" t="str">
        <f>+INDEX([1]Detallado!$D:$D,MATCH(C1757,[1]Detallado!$B:$B,0))</f>
        <v>Wellington - US Research Equity</v>
      </c>
      <c r="I1757" s="28"/>
      <c r="J1757" s="184" t="str">
        <f t="shared" si="55"/>
        <v>RVITD</v>
      </c>
    </row>
    <row r="1758" spans="3:10" x14ac:dyDescent="0.25">
      <c r="C1758" s="28" t="s">
        <v>4129</v>
      </c>
      <c r="D1758" s="188" t="str">
        <f>+INDEX([1]Detallado!$F:$F,MATCH($C1758,[1]Detallado!$B:$B,0))</f>
        <v>Renta Variable</v>
      </c>
      <c r="E1758" s="31" t="str">
        <f>+INDEX([1]Detallado!$Q:$Q,MATCH($C1758,[1]Detallado!$B:$B,0))</f>
        <v>RVI</v>
      </c>
      <c r="F1758" s="185" t="s">
        <v>4355</v>
      </c>
      <c r="G1758" s="186" t="str">
        <f t="shared" si="54"/>
        <v>PRRVI</v>
      </c>
      <c r="H1758" s="187" t="str">
        <f>+INDEX([1]Detallado!$D:$D,MATCH(C1758,[1]Detallado!$B:$B,0))</f>
        <v>FONDOS US</v>
      </c>
      <c r="I1758" s="28"/>
      <c r="J1758" s="184" t="str">
        <f t="shared" si="55"/>
        <v>RVITD</v>
      </c>
    </row>
    <row r="1759" spans="3:10" x14ac:dyDescent="0.25">
      <c r="C1759" s="28" t="s">
        <v>1167</v>
      </c>
      <c r="D1759" s="188" t="str">
        <f>+INDEX([1]Detallado!$F:$F,MATCH($C1759,[1]Detallado!$B:$B,0))</f>
        <v>Renta Variable</v>
      </c>
      <c r="E1759" s="31" t="str">
        <f>+INDEX([1]Detallado!$Q:$Q,MATCH($C1759,[1]Detallado!$B:$B,0))</f>
        <v>RVI</v>
      </c>
      <c r="F1759" s="185" t="s">
        <v>4355</v>
      </c>
      <c r="G1759" s="186" t="str">
        <f t="shared" si="54"/>
        <v>52RVI</v>
      </c>
      <c r="H1759" s="187" t="str">
        <f>+INDEX([1]Detallado!$D:$D,MATCH(C1759,[1]Detallado!$B:$B,0))</f>
        <v>BlackRock - iShares S&amp;P Small-Cap 600 Value</v>
      </c>
      <c r="I1759" s="28"/>
      <c r="J1759" s="184" t="str">
        <f t="shared" si="55"/>
        <v>RVITD</v>
      </c>
    </row>
    <row r="1760" spans="3:10" x14ac:dyDescent="0.25">
      <c r="C1760" s="28" t="s">
        <v>2405</v>
      </c>
      <c r="D1760" s="188" t="str">
        <f>+INDEX([1]Detallado!$F:$F,MATCH($C1760,[1]Detallado!$B:$B,0))</f>
        <v>Renta Variable</v>
      </c>
      <c r="E1760" s="31" t="str">
        <f>+INDEX([1]Detallado!$Q:$Q,MATCH($C1760,[1]Detallado!$B:$B,0))</f>
        <v>RVI</v>
      </c>
      <c r="F1760" s="185" t="s">
        <v>4355</v>
      </c>
      <c r="G1760" s="186" t="str">
        <f t="shared" si="54"/>
        <v>52RVI</v>
      </c>
      <c r="H1760" s="187" t="str">
        <f>+INDEX([1]Detallado!$D:$D,MATCH(C1760,[1]Detallado!$B:$B,0))</f>
        <v>Ossiam - Shiller Barclays Cape Value</v>
      </c>
      <c r="I1760" s="28"/>
      <c r="J1760" s="184" t="str">
        <f t="shared" si="55"/>
        <v>RVITD</v>
      </c>
    </row>
    <row r="1761" spans="3:10" x14ac:dyDescent="0.25">
      <c r="C1761" s="28" t="s">
        <v>1144</v>
      </c>
      <c r="D1761" s="188" t="str">
        <f>+INDEX([1]Detallado!$F:$F,MATCH($C1761,[1]Detallado!$B:$B,0))</f>
        <v>Renta Variable</v>
      </c>
      <c r="E1761" s="31" t="str">
        <f>+INDEX([1]Detallado!$Q:$Q,MATCH($C1761,[1]Detallado!$B:$B,0))</f>
        <v>RVI</v>
      </c>
      <c r="F1761" s="185" t="s">
        <v>4355</v>
      </c>
      <c r="G1761" s="186" t="str">
        <f t="shared" si="54"/>
        <v>52RVI</v>
      </c>
      <c r="H1761" s="187" t="str">
        <f>+INDEX([1]Detallado!$D:$D,MATCH(C1761,[1]Detallado!$B:$B,0))</f>
        <v>BlackRock - iShares Core S&amp;P Small Cap</v>
      </c>
      <c r="I1761" s="28"/>
      <c r="J1761" s="184" t="str">
        <f t="shared" si="55"/>
        <v>RVITD</v>
      </c>
    </row>
    <row r="1762" spans="3:10" x14ac:dyDescent="0.25">
      <c r="C1762" s="28" t="s">
        <v>1070</v>
      </c>
      <c r="D1762" s="188" t="str">
        <f>+INDEX([1]Detallado!$F:$F,MATCH($C1762,[1]Detallado!$B:$B,0))</f>
        <v>Renta Variable</v>
      </c>
      <c r="E1762" s="31" t="str">
        <f>+INDEX([1]Detallado!$Q:$Q,MATCH($C1762,[1]Detallado!$B:$B,0))</f>
        <v>RVI</v>
      </c>
      <c r="F1762" s="185" t="s">
        <v>4355</v>
      </c>
      <c r="G1762" s="186" t="str">
        <f t="shared" si="54"/>
        <v>52RVI</v>
      </c>
      <c r="H1762" s="187" t="str">
        <f>+INDEX([1]Detallado!$D:$D,MATCH(C1762,[1]Detallado!$B:$B,0))</f>
        <v>BlackRock - Global Allocation Fund</v>
      </c>
      <c r="I1762" s="28"/>
      <c r="J1762" s="184" t="str">
        <f t="shared" si="55"/>
        <v>RVITD</v>
      </c>
    </row>
    <row r="1763" spans="3:10" x14ac:dyDescent="0.25">
      <c r="C1763" s="28" t="s">
        <v>1600</v>
      </c>
      <c r="D1763" s="188" t="str">
        <f>+INDEX([1]Detallado!$F:$F,MATCH($C1763,[1]Detallado!$B:$B,0))</f>
        <v>Renta Variable</v>
      </c>
      <c r="E1763" s="31" t="str">
        <f>+INDEX([1]Detallado!$Q:$Q,MATCH($C1763,[1]Detallado!$B:$B,0))</f>
        <v>RVI</v>
      </c>
      <c r="F1763" s="185" t="s">
        <v>4355</v>
      </c>
      <c r="G1763" s="186" t="str">
        <f t="shared" si="54"/>
        <v>52RVI</v>
      </c>
      <c r="H1763" s="187" t="str">
        <f>+INDEX([1]Detallado!$D:$D,MATCH(C1763,[1]Detallado!$B:$B,0))</f>
        <v>WisdomTree - US Quality Dividend Growth</v>
      </c>
      <c r="I1763" s="28"/>
      <c r="J1763" s="184" t="str">
        <f t="shared" si="55"/>
        <v>RVITD</v>
      </c>
    </row>
    <row r="1764" spans="3:10" x14ac:dyDescent="0.25">
      <c r="C1764" s="28" t="s">
        <v>1629</v>
      </c>
      <c r="D1764" s="188" t="str">
        <f>+INDEX([1]Detallado!$F:$F,MATCH($C1764,[1]Detallado!$B:$B,0))</f>
        <v>Renta Variable</v>
      </c>
      <c r="E1764" s="31" t="str">
        <f>+INDEX([1]Detallado!$Q:$Q,MATCH($C1764,[1]Detallado!$B:$B,0))</f>
        <v>RVI</v>
      </c>
      <c r="F1764" s="185" t="s">
        <v>4355</v>
      </c>
      <c r="G1764" s="186" t="str">
        <f t="shared" si="54"/>
        <v>52RVI</v>
      </c>
      <c r="H1764" s="187" t="str">
        <f>+INDEX([1]Detallado!$D:$D,MATCH(C1764,[1]Detallado!$B:$B,0))</f>
        <v>BlackRock - iShares Edge MSCI Multifactor USA</v>
      </c>
      <c r="I1764" s="28"/>
      <c r="J1764" s="184" t="str">
        <f t="shared" si="55"/>
        <v>RVITD</v>
      </c>
    </row>
    <row r="1765" spans="3:10" x14ac:dyDescent="0.25">
      <c r="C1765" s="28" t="s">
        <v>1329</v>
      </c>
      <c r="D1765" s="188" t="str">
        <f>+INDEX([1]Detallado!$F:$F,MATCH($C1765,[1]Detallado!$B:$B,0))</f>
        <v>Renta Variable</v>
      </c>
      <c r="E1765" s="31" t="str">
        <f>+INDEX([1]Detallado!$Q:$Q,MATCH($C1765,[1]Detallado!$B:$B,0))</f>
        <v>RVI</v>
      </c>
      <c r="F1765" s="185" t="s">
        <v>4355</v>
      </c>
      <c r="G1765" s="186" t="str">
        <f t="shared" si="54"/>
        <v>52RVI</v>
      </c>
      <c r="H1765" s="187" t="str">
        <f>+INDEX([1]Detallado!$D:$D,MATCH(C1765,[1]Detallado!$B:$B,0))</f>
        <v>Invesco - Wilderhill Clean Energy</v>
      </c>
      <c r="I1765" s="28"/>
      <c r="J1765" s="184" t="str">
        <f t="shared" si="55"/>
        <v>RVITD</v>
      </c>
    </row>
    <row r="1766" spans="3:10" x14ac:dyDescent="0.25">
      <c r="C1766" s="28" t="s">
        <v>1699</v>
      </c>
      <c r="D1766" s="188" t="str">
        <f>+INDEX([1]Detallado!$F:$F,MATCH($C1766,[1]Detallado!$B:$B,0))</f>
        <v>Renta Variable</v>
      </c>
      <c r="E1766" s="31" t="str">
        <f>+INDEX([1]Detallado!$Q:$Q,MATCH($C1766,[1]Detallado!$B:$B,0))</f>
        <v>RVI</v>
      </c>
      <c r="F1766" s="185" t="s">
        <v>4355</v>
      </c>
      <c r="G1766" s="186" t="str">
        <f t="shared" si="54"/>
        <v>52RVI</v>
      </c>
      <c r="H1766" s="187" t="str">
        <f>+INDEX([1]Detallado!$D:$D,MATCH(C1766,[1]Detallado!$B:$B,0))</f>
        <v>Pimco - StockPLUS Fund</v>
      </c>
      <c r="I1766" s="28"/>
      <c r="J1766" s="184" t="str">
        <f t="shared" si="55"/>
        <v>RVITD</v>
      </c>
    </row>
    <row r="1767" spans="3:10" x14ac:dyDescent="0.25">
      <c r="C1767" s="28" t="s">
        <v>4130</v>
      </c>
      <c r="D1767" s="188" t="str">
        <f>+INDEX([1]Detallado!$F:$F,MATCH($C1767,[1]Detallado!$B:$B,0))</f>
        <v>Renta Variable</v>
      </c>
      <c r="E1767" s="31" t="str">
        <f>+INDEX([1]Detallado!$Q:$Q,MATCH($C1767,[1]Detallado!$B:$B,0))</f>
        <v>RVI</v>
      </c>
      <c r="F1767" s="185" t="s">
        <v>4357</v>
      </c>
      <c r="G1767" s="186" t="str">
        <f t="shared" si="54"/>
        <v>34RVI</v>
      </c>
      <c r="H1767" s="187" t="str">
        <f>+INDEX([1]Detallado!$D:$D,MATCH(C1767,[1]Detallado!$B:$B,0))</f>
        <v>ATVI</v>
      </c>
      <c r="I1767" s="28"/>
      <c r="J1767" s="184" t="str">
        <f t="shared" si="55"/>
        <v>RVIBU</v>
      </c>
    </row>
    <row r="1768" spans="3:10" x14ac:dyDescent="0.25">
      <c r="C1768" s="28" t="s">
        <v>4131</v>
      </c>
      <c r="D1768" s="188" t="str">
        <f>+INDEX([1]Detallado!$F:$F,MATCH($C1768,[1]Detallado!$B:$B,0))</f>
        <v>Renta Variable</v>
      </c>
      <c r="E1768" s="31" t="str">
        <f>+INDEX([1]Detallado!$Q:$Q,MATCH($C1768,[1]Detallado!$B:$B,0))</f>
        <v>RVI</v>
      </c>
      <c r="F1768" s="185" t="s">
        <v>4357</v>
      </c>
      <c r="G1768" s="186" t="str">
        <f t="shared" si="54"/>
        <v>34RVI</v>
      </c>
      <c r="H1768" s="187" t="str">
        <f>+INDEX([1]Detallado!$D:$D,MATCH(C1768,[1]Detallado!$B:$B,0))</f>
        <v>CVS Caremark Corp.</v>
      </c>
      <c r="I1768" s="28"/>
      <c r="J1768" s="184" t="str">
        <f t="shared" si="55"/>
        <v>RVIBU</v>
      </c>
    </row>
    <row r="1769" spans="3:10" x14ac:dyDescent="0.25">
      <c r="C1769" s="28" t="s">
        <v>2288</v>
      </c>
      <c r="D1769" s="188" t="str">
        <f>+INDEX([1]Detallado!$F:$F,MATCH($C1769,[1]Detallado!$B:$B,0))</f>
        <v>Renta Variable</v>
      </c>
      <c r="E1769" s="31" t="str">
        <f>+INDEX([1]Detallado!$Q:$Q,MATCH($C1769,[1]Detallado!$B:$B,0))</f>
        <v>RVI</v>
      </c>
      <c r="F1769" s="185" t="s">
        <v>4355</v>
      </c>
      <c r="G1769" s="186" t="str">
        <f t="shared" si="54"/>
        <v>52RVI</v>
      </c>
      <c r="H1769" s="187" t="str">
        <f>+INDEX([1]Detallado!$D:$D,MATCH(C1769,[1]Detallado!$B:$B,0))</f>
        <v>Robeco - Consumer Trends</v>
      </c>
      <c r="I1769" s="28"/>
      <c r="J1769" s="184" t="str">
        <f t="shared" si="55"/>
        <v>RVITD</v>
      </c>
    </row>
    <row r="1770" spans="3:10" x14ac:dyDescent="0.25">
      <c r="C1770" s="28" t="s">
        <v>4132</v>
      </c>
      <c r="D1770" s="188" t="str">
        <f>+INDEX([1]Detallado!$F:$F,MATCH($C1770,[1]Detallado!$B:$B,0))</f>
        <v>Renta Variable</v>
      </c>
      <c r="E1770" s="31" t="str">
        <f>+INDEX([1]Detallado!$Q:$Q,MATCH($C1770,[1]Detallado!$B:$B,0))</f>
        <v>RVI</v>
      </c>
      <c r="F1770" s="185" t="s">
        <v>4357</v>
      </c>
      <c r="G1770" s="186" t="str">
        <f t="shared" si="54"/>
        <v>34RVI</v>
      </c>
      <c r="H1770" s="187" t="str">
        <f>+INDEX([1]Detallado!$D:$D,MATCH(C1770,[1]Detallado!$B:$B,0))</f>
        <v>Whole Foods Market Inc</v>
      </c>
      <c r="I1770" s="28"/>
      <c r="J1770" s="184" t="str">
        <f t="shared" si="55"/>
        <v>RVIBU</v>
      </c>
    </row>
    <row r="1771" spans="3:10" x14ac:dyDescent="0.25">
      <c r="C1771" s="28" t="s">
        <v>4133</v>
      </c>
      <c r="D1771" s="188" t="str">
        <f>+INDEX([1]Detallado!$F:$F,MATCH($C1771,[1]Detallado!$B:$B,0))</f>
        <v>Renta Variable</v>
      </c>
      <c r="E1771" s="31" t="str">
        <f>+INDEX([1]Detallado!$Q:$Q,MATCH($C1771,[1]Detallado!$B:$B,0))</f>
        <v>RVI</v>
      </c>
      <c r="F1771" s="185" t="s">
        <v>4357</v>
      </c>
      <c r="G1771" s="186" t="str">
        <f t="shared" si="54"/>
        <v>34RVI</v>
      </c>
      <c r="H1771" s="187" t="str">
        <f>+INDEX([1]Detallado!$D:$D,MATCH(C1771,[1]Detallado!$B:$B,0))</f>
        <v>Fresh Markets</v>
      </c>
      <c r="I1771" s="28"/>
      <c r="J1771" s="184" t="str">
        <f t="shared" si="55"/>
        <v>RVIBU</v>
      </c>
    </row>
    <row r="1772" spans="3:10" x14ac:dyDescent="0.25">
      <c r="C1772" s="28" t="s">
        <v>4134</v>
      </c>
      <c r="D1772" s="188" t="str">
        <f>+INDEX([1]Detallado!$F:$F,MATCH($C1772,[1]Detallado!$B:$B,0))</f>
        <v>Renta Variable</v>
      </c>
      <c r="E1772" s="31" t="str">
        <f>+INDEX([1]Detallado!$Q:$Q,MATCH($C1772,[1]Detallado!$B:$B,0))</f>
        <v>RVI</v>
      </c>
      <c r="F1772" s="185" t="s">
        <v>4357</v>
      </c>
      <c r="G1772" s="186" t="str">
        <f t="shared" si="54"/>
        <v>34RVI</v>
      </c>
      <c r="H1772" s="187" t="str">
        <f>+INDEX([1]Detallado!$D:$D,MATCH(C1772,[1]Detallado!$B:$B,0))</f>
        <v>NuSkin Enterprises</v>
      </c>
      <c r="I1772" s="28"/>
      <c r="J1772" s="184" t="str">
        <f t="shared" si="55"/>
        <v>RVIBU</v>
      </c>
    </row>
    <row r="1773" spans="3:10" x14ac:dyDescent="0.25">
      <c r="C1773" s="28" t="s">
        <v>4135</v>
      </c>
      <c r="D1773" s="188" t="str">
        <f>+INDEX([1]Detallado!$F:$F,MATCH($C1773,[1]Detallado!$B:$B,0))</f>
        <v>Renta Variable</v>
      </c>
      <c r="E1773" s="31" t="str">
        <f>+INDEX([1]Detallado!$Q:$Q,MATCH($C1773,[1]Detallado!$B:$B,0))</f>
        <v>RVI</v>
      </c>
      <c r="F1773" s="185" t="s">
        <v>4357</v>
      </c>
      <c r="G1773" s="186" t="str">
        <f t="shared" si="54"/>
        <v>34RVI</v>
      </c>
      <c r="H1773" s="187" t="str">
        <f>+INDEX([1]Detallado!$D:$D,MATCH(C1773,[1]Detallado!$B:$B,0))</f>
        <v>Michael Kors Holdings Limited</v>
      </c>
      <c r="I1773" s="28"/>
      <c r="J1773" s="184" t="str">
        <f t="shared" si="55"/>
        <v>RVIBU</v>
      </c>
    </row>
    <row r="1774" spans="3:10" x14ac:dyDescent="0.25">
      <c r="C1774" s="28" t="s">
        <v>4136</v>
      </c>
      <c r="D1774" s="188" t="str">
        <f>+INDEX([1]Detallado!$F:$F,MATCH($C1774,[1]Detallado!$B:$B,0))</f>
        <v>Renta Variable</v>
      </c>
      <c r="E1774" s="31" t="str">
        <f>+INDEX([1]Detallado!$Q:$Q,MATCH($C1774,[1]Detallado!$B:$B,0))</f>
        <v>RVI</v>
      </c>
      <c r="F1774" s="185" t="s">
        <v>4357</v>
      </c>
      <c r="G1774" s="186" t="str">
        <f t="shared" si="54"/>
        <v>34RVI</v>
      </c>
      <c r="H1774" s="187" t="str">
        <f>+INDEX([1]Detallado!$D:$D,MATCH(C1774,[1]Detallado!$B:$B,0))</f>
        <v>Estee Lauder</v>
      </c>
      <c r="I1774" s="28"/>
      <c r="J1774" s="184" t="str">
        <f t="shared" si="55"/>
        <v>RVIBU</v>
      </c>
    </row>
    <row r="1775" spans="3:10" x14ac:dyDescent="0.25">
      <c r="C1775" s="28" t="s">
        <v>4137</v>
      </c>
      <c r="D1775" s="188" t="str">
        <f>+INDEX([1]Detallado!$F:$F,MATCH($C1775,[1]Detallado!$B:$B,0))</f>
        <v>Renta Variable</v>
      </c>
      <c r="E1775" s="31" t="str">
        <f>+INDEX([1]Detallado!$Q:$Q,MATCH($C1775,[1]Detallado!$B:$B,0))</f>
        <v>RVI</v>
      </c>
      <c r="F1775" s="185" t="s">
        <v>4357</v>
      </c>
      <c r="G1775" s="186" t="str">
        <f t="shared" si="54"/>
        <v>34RVI</v>
      </c>
      <c r="H1775" s="187" t="str">
        <f>+INDEX([1]Detallado!$D:$D,MATCH(C1775,[1]Detallado!$B:$B,0))</f>
        <v>Tumi Holdings Inc.</v>
      </c>
      <c r="I1775" s="28"/>
      <c r="J1775" s="184" t="str">
        <f t="shared" si="55"/>
        <v>RVIBU</v>
      </c>
    </row>
    <row r="1776" spans="3:10" x14ac:dyDescent="0.25">
      <c r="C1776" s="28" t="s">
        <v>1195</v>
      </c>
      <c r="D1776" s="188" t="str">
        <f>+INDEX([1]Detallado!$F:$F,MATCH($C1776,[1]Detallado!$B:$B,0))</f>
        <v>Renta Variable</v>
      </c>
      <c r="E1776" s="31" t="str">
        <f>+INDEX([1]Detallado!$Q:$Q,MATCH($C1776,[1]Detallado!$B:$B,0))</f>
        <v>RVI</v>
      </c>
      <c r="F1776" s="185" t="s">
        <v>4355</v>
      </c>
      <c r="G1776" s="186" t="str">
        <f t="shared" si="54"/>
        <v>52RVI</v>
      </c>
      <c r="H1776" s="187" t="str">
        <f>+INDEX([1]Detallado!$D:$D,MATCH(C1776,[1]Detallado!$B:$B,0))</f>
        <v>State Street - Consumer Staples Select Sector</v>
      </c>
      <c r="I1776" s="28"/>
      <c r="J1776" s="184" t="str">
        <f t="shared" si="55"/>
        <v>RVITD</v>
      </c>
    </row>
    <row r="1777" spans="3:10" x14ac:dyDescent="0.25">
      <c r="C1777" s="28" t="s">
        <v>1201</v>
      </c>
      <c r="D1777" s="188" t="str">
        <f>+INDEX([1]Detallado!$F:$F,MATCH($C1777,[1]Detallado!$B:$B,0))</f>
        <v>Renta Variable</v>
      </c>
      <c r="E1777" s="31" t="str">
        <f>+INDEX([1]Detallado!$Q:$Q,MATCH($C1777,[1]Detallado!$B:$B,0))</f>
        <v>RVI</v>
      </c>
      <c r="F1777" s="185" t="s">
        <v>4355</v>
      </c>
      <c r="G1777" s="186" t="str">
        <f t="shared" si="54"/>
        <v>52RVI</v>
      </c>
      <c r="H1777" s="187" t="str">
        <f>+INDEX([1]Detallado!$D:$D,MATCH(C1777,[1]Detallado!$B:$B,0))</f>
        <v>State Street - Consumer Discretionary Select Sector</v>
      </c>
      <c r="I1777" s="28"/>
      <c r="J1777" s="184" t="str">
        <f t="shared" si="55"/>
        <v>RVITD</v>
      </c>
    </row>
    <row r="1778" spans="3:10" x14ac:dyDescent="0.25">
      <c r="C1778" s="28" t="s">
        <v>1392</v>
      </c>
      <c r="D1778" s="188" t="str">
        <f>+INDEX([1]Detallado!$F:$F,MATCH($C1778,[1]Detallado!$B:$B,0))</f>
        <v>Renta Variable</v>
      </c>
      <c r="E1778" s="31" t="str">
        <f>+INDEX([1]Detallado!$Q:$Q,MATCH($C1778,[1]Detallado!$B:$B,0))</f>
        <v>RVI</v>
      </c>
      <c r="F1778" s="185" t="s">
        <v>4355</v>
      </c>
      <c r="G1778" s="186" t="str">
        <f t="shared" si="54"/>
        <v>52RVI</v>
      </c>
      <c r="H1778" s="187" t="str">
        <f>+INDEX([1]Detallado!$D:$D,MATCH(C1778,[1]Detallado!$B:$B,0))</f>
        <v>State Street - S&amp;P Retail ETF</v>
      </c>
      <c r="I1778" s="28"/>
      <c r="J1778" s="184" t="str">
        <f t="shared" si="55"/>
        <v>RVITD</v>
      </c>
    </row>
    <row r="1779" spans="3:10" x14ac:dyDescent="0.25">
      <c r="C1779" s="28" t="s">
        <v>858</v>
      </c>
      <c r="D1779" s="188" t="str">
        <f>+INDEX([1]Detallado!$F:$F,MATCH($C1779,[1]Detallado!$B:$B,0))</f>
        <v>Renta Variable</v>
      </c>
      <c r="E1779" s="31" t="str">
        <f>+INDEX([1]Detallado!$Q:$Q,MATCH($C1779,[1]Detallado!$B:$B,0))</f>
        <v>RVI</v>
      </c>
      <c r="F1779" s="185" t="s">
        <v>4355</v>
      </c>
      <c r="G1779" s="186" t="str">
        <f t="shared" si="54"/>
        <v>52RVI</v>
      </c>
      <c r="H1779" s="187" t="str">
        <f>+INDEX([1]Detallado!$D:$D,MATCH(C1779,[1]Detallado!$B:$B,0))</f>
        <v>State Street - Communication Services Select Sector</v>
      </c>
      <c r="I1779" s="28"/>
      <c r="J1779" s="184" t="str">
        <f t="shared" si="55"/>
        <v>RVITD</v>
      </c>
    </row>
    <row r="1780" spans="3:10" x14ac:dyDescent="0.25">
      <c r="C1780" s="28" t="s">
        <v>4138</v>
      </c>
      <c r="D1780" s="188" t="str">
        <f>+INDEX([1]Detallado!$F:$F,MATCH($C1780,[1]Detallado!$B:$B,0))</f>
        <v>Derivados</v>
      </c>
      <c r="E1780" s="31" t="str">
        <f>+INDEX([1]Detallado!$Q:$Q,MATCH($C1780,[1]Detallado!$B:$B,0))</f>
        <v>RVI</v>
      </c>
      <c r="F1780" s="185" t="s">
        <v>4355</v>
      </c>
      <c r="G1780" s="186" t="str">
        <f t="shared" si="54"/>
        <v>PTRVI</v>
      </c>
      <c r="H1780" s="187" t="str">
        <f>+INDEX([1]Detallado!$D:$D,MATCH(C1780,[1]Detallado!$B:$B,0))</f>
        <v>-</v>
      </c>
      <c r="I1780" s="28"/>
      <c r="J1780" s="184" t="str">
        <f t="shared" si="55"/>
        <v>RVITD</v>
      </c>
    </row>
    <row r="1781" spans="3:10" x14ac:dyDescent="0.25">
      <c r="C1781" s="28" t="s">
        <v>4139</v>
      </c>
      <c r="D1781" s="188" t="str">
        <f>+INDEX([1]Detallado!$F:$F,MATCH($C1781,[1]Detallado!$B:$B,0))</f>
        <v>Derivados</v>
      </c>
      <c r="E1781" s="31" t="str">
        <f>+INDEX([1]Detallado!$Q:$Q,MATCH($C1781,[1]Detallado!$B:$B,0))</f>
        <v>RVI</v>
      </c>
      <c r="F1781" s="185" t="s">
        <v>4355</v>
      </c>
      <c r="G1781" s="186" t="str">
        <f t="shared" si="54"/>
        <v>PTRVI</v>
      </c>
      <c r="H1781" s="187" t="str">
        <f>+INDEX([1]Detallado!$D:$D,MATCH(C1781,[1]Detallado!$B:$B,0))</f>
        <v>-</v>
      </c>
      <c r="I1781" s="28"/>
      <c r="J1781" s="184" t="str">
        <f t="shared" si="55"/>
        <v>RVITD</v>
      </c>
    </row>
    <row r="1782" spans="3:10" x14ac:dyDescent="0.25">
      <c r="C1782" s="28" t="s">
        <v>4140</v>
      </c>
      <c r="D1782" s="188" t="str">
        <f>+INDEX([1]Detallado!$F:$F,MATCH($C1782,[1]Detallado!$B:$B,0))</f>
        <v>Derivados</v>
      </c>
      <c r="E1782" s="31" t="str">
        <f>+INDEX([1]Detallado!$Q:$Q,MATCH($C1782,[1]Detallado!$B:$B,0))</f>
        <v>RVI</v>
      </c>
      <c r="F1782" s="185" t="s">
        <v>4355</v>
      </c>
      <c r="G1782" s="186" t="str">
        <f t="shared" si="54"/>
        <v>PTRVI</v>
      </c>
      <c r="H1782" s="187" t="str">
        <f>+INDEX([1]Detallado!$D:$D,MATCH(C1782,[1]Detallado!$B:$B,0))</f>
        <v>SPY US 01/20/23 C405</v>
      </c>
      <c r="I1782" s="28"/>
      <c r="J1782" s="184" t="str">
        <f t="shared" si="55"/>
        <v>RVITD</v>
      </c>
    </row>
    <row r="1783" spans="3:10" x14ac:dyDescent="0.25">
      <c r="C1783" s="28" t="s">
        <v>4141</v>
      </c>
      <c r="D1783" s="188" t="str">
        <f>+INDEX([1]Detallado!$F:$F,MATCH($C1783,[1]Detallado!$B:$B,0))</f>
        <v>Derivados</v>
      </c>
      <c r="E1783" s="31" t="str">
        <f>+INDEX([1]Detallado!$Q:$Q,MATCH($C1783,[1]Detallado!$B:$B,0))</f>
        <v>RVI</v>
      </c>
      <c r="F1783" s="185" t="s">
        <v>4355</v>
      </c>
      <c r="G1783" s="186" t="str">
        <f t="shared" si="54"/>
        <v>PTRVI</v>
      </c>
      <c r="H1783" s="187" t="str">
        <f>+INDEX([1]Detallado!$D:$D,MATCH(C1783,[1]Detallado!$B:$B,0))</f>
        <v>SPY US 12/16/22 C405</v>
      </c>
      <c r="I1783" s="28"/>
      <c r="J1783" s="184" t="str">
        <f t="shared" si="55"/>
        <v>RVITD</v>
      </c>
    </row>
    <row r="1784" spans="3:10" x14ac:dyDescent="0.25">
      <c r="C1784" s="28" t="s">
        <v>4142</v>
      </c>
      <c r="D1784" s="188" t="str">
        <f>+INDEX([1]Detallado!$F:$F,MATCH($C1784,[1]Detallado!$B:$B,0))</f>
        <v>Derivados</v>
      </c>
      <c r="E1784" s="31" t="str">
        <f>+INDEX([1]Detallado!$Q:$Q,MATCH($C1784,[1]Detallado!$B:$B,0))</f>
        <v>RVI</v>
      </c>
      <c r="F1784" s="185" t="s">
        <v>4355</v>
      </c>
      <c r="G1784" s="186" t="str">
        <f t="shared" si="54"/>
        <v>PTRVI</v>
      </c>
      <c r="H1784" s="187" t="str">
        <f>+INDEX([1]Detallado!$D:$D,MATCH(C1784,[1]Detallado!$B:$B,0))</f>
        <v>SPY US 12/16/22 C430</v>
      </c>
      <c r="I1784" s="28"/>
      <c r="J1784" s="184" t="str">
        <f t="shared" si="55"/>
        <v>RVITD</v>
      </c>
    </row>
    <row r="1785" spans="3:10" x14ac:dyDescent="0.25">
      <c r="C1785" s="28" t="s">
        <v>4143</v>
      </c>
      <c r="D1785" s="188" t="str">
        <f>+INDEX([1]Detallado!$F:$F,MATCH($C1785,[1]Detallado!$B:$B,0))</f>
        <v>Derivados</v>
      </c>
      <c r="E1785" s="31" t="str">
        <f>+INDEX([1]Detallado!$Q:$Q,MATCH($C1785,[1]Detallado!$B:$B,0))</f>
        <v>RVI</v>
      </c>
      <c r="F1785" s="185" t="s">
        <v>4355</v>
      </c>
      <c r="G1785" s="186" t="str">
        <f t="shared" si="54"/>
        <v>PTRVI</v>
      </c>
      <c r="H1785" s="187" t="str">
        <f>+INDEX([1]Detallado!$D:$D,MATCH(C1785,[1]Detallado!$B:$B,0))</f>
        <v>SPY US 12/16/22 C415</v>
      </c>
      <c r="I1785" s="28"/>
      <c r="J1785" s="184" t="str">
        <f t="shared" si="55"/>
        <v>RVITD</v>
      </c>
    </row>
    <row r="1786" spans="3:10" x14ac:dyDescent="0.25">
      <c r="C1786" s="28" t="s">
        <v>4144</v>
      </c>
      <c r="D1786" s="188" t="str">
        <f>+INDEX([1]Detallado!$F:$F,MATCH($C1786,[1]Detallado!$B:$B,0))</f>
        <v>Derivados</v>
      </c>
      <c r="E1786" s="31" t="str">
        <f>+INDEX([1]Detallado!$Q:$Q,MATCH($C1786,[1]Detallado!$B:$B,0))</f>
        <v>RVI</v>
      </c>
      <c r="F1786" s="185" t="s">
        <v>4355</v>
      </c>
      <c r="G1786" s="186" t="str">
        <f t="shared" si="54"/>
        <v>PTRVI</v>
      </c>
      <c r="H1786" s="187" t="str">
        <f>+INDEX([1]Detallado!$D:$D,MATCH(C1786,[1]Detallado!$B:$B,0))</f>
        <v>SPY US 09/15/23 C450</v>
      </c>
      <c r="I1786" s="28"/>
      <c r="J1786" s="184" t="str">
        <f t="shared" si="55"/>
        <v>RVITD</v>
      </c>
    </row>
    <row r="1787" spans="3:10" x14ac:dyDescent="0.25">
      <c r="C1787" s="28" t="s">
        <v>4145</v>
      </c>
      <c r="D1787" s="188" t="str">
        <f>+INDEX([1]Detallado!$F:$F,MATCH($C1787,[1]Detallado!$B:$B,0))</f>
        <v>Derivados</v>
      </c>
      <c r="E1787" s="31" t="str">
        <f>+INDEX([1]Detallado!$Q:$Q,MATCH($C1787,[1]Detallado!$B:$B,0))</f>
        <v>RVI</v>
      </c>
      <c r="F1787" s="185" t="s">
        <v>4355</v>
      </c>
      <c r="G1787" s="186" t="str">
        <f t="shared" si="54"/>
        <v>PTRVI</v>
      </c>
      <c r="H1787" s="187" t="str">
        <f>+INDEX([1]Detallado!$D:$D,MATCH(C1787,[1]Detallado!$B:$B,0))</f>
        <v>SPY US 10/20/23 C465</v>
      </c>
      <c r="I1787" s="28"/>
      <c r="J1787" s="184" t="str">
        <f t="shared" si="55"/>
        <v>RVITD</v>
      </c>
    </row>
    <row r="1788" spans="3:10" x14ac:dyDescent="0.25">
      <c r="C1788" s="28" t="s">
        <v>4146</v>
      </c>
      <c r="D1788" s="188" t="str">
        <f>+INDEX([1]Detallado!$F:$F,MATCH($C1788,[1]Detallado!$B:$B,0))</f>
        <v>Derivados</v>
      </c>
      <c r="E1788" s="31" t="str">
        <f>+INDEX([1]Detallado!$Q:$Q,MATCH($C1788,[1]Detallado!$B:$B,0))</f>
        <v>RVI</v>
      </c>
      <c r="F1788" s="185" t="s">
        <v>4355</v>
      </c>
      <c r="G1788" s="186" t="str">
        <f t="shared" si="54"/>
        <v>PTRVI</v>
      </c>
      <c r="H1788" s="187" t="str">
        <f>+INDEX([1]Detallado!$D:$D,MATCH(C1788,[1]Detallado!$B:$B,0))</f>
        <v>SPY US 10/20/23 C470</v>
      </c>
      <c r="I1788" s="28"/>
      <c r="J1788" s="184" t="str">
        <f t="shared" si="55"/>
        <v>RVITD</v>
      </c>
    </row>
    <row r="1789" spans="3:10" x14ac:dyDescent="0.25">
      <c r="C1789" s="28" t="s">
        <v>4147</v>
      </c>
      <c r="D1789" s="188" t="str">
        <f>+INDEX([1]Detallado!$F:$F,MATCH($C1789,[1]Detallado!$B:$B,0))</f>
        <v>Derivados</v>
      </c>
      <c r="E1789" s="31" t="str">
        <f>+INDEX([1]Detallado!$Q:$Q,MATCH($C1789,[1]Detallado!$B:$B,0))</f>
        <v>RVI</v>
      </c>
      <c r="F1789" s="185" t="s">
        <v>4355</v>
      </c>
      <c r="G1789" s="186" t="str">
        <f t="shared" si="54"/>
        <v>PTRVI</v>
      </c>
      <c r="H1789" s="187" t="str">
        <f>+INDEX([1]Detallado!$D:$D,MATCH(C1789,[1]Detallado!$B:$B,0))</f>
        <v>SPY US 11/17/23 C460</v>
      </c>
      <c r="I1789" s="28"/>
      <c r="J1789" s="184" t="str">
        <f t="shared" si="55"/>
        <v>RVITD</v>
      </c>
    </row>
    <row r="1790" spans="3:10" x14ac:dyDescent="0.25">
      <c r="C1790" s="28" t="s">
        <v>4148</v>
      </c>
      <c r="D1790" s="188" t="str">
        <f>+INDEX([1]Detallado!$F:$F,MATCH($C1790,[1]Detallado!$B:$B,0))</f>
        <v>Derivados</v>
      </c>
      <c r="E1790" s="31" t="str">
        <f>+INDEX([1]Detallado!$Q:$Q,MATCH($C1790,[1]Detallado!$B:$B,0))</f>
        <v>RVI</v>
      </c>
      <c r="F1790" s="185" t="s">
        <v>4355</v>
      </c>
      <c r="G1790" s="186" t="str">
        <f t="shared" si="54"/>
        <v>PTRVI</v>
      </c>
      <c r="H1790" s="187" t="str">
        <f>+INDEX([1]Detallado!$D:$D,MATCH(C1790,[1]Detallado!$B:$B,0))</f>
        <v>SPY US 12/15/23 C465</v>
      </c>
      <c r="I1790" s="28"/>
      <c r="J1790" s="184" t="str">
        <f t="shared" si="55"/>
        <v>RVITD</v>
      </c>
    </row>
    <row r="1791" spans="3:10" x14ac:dyDescent="0.25">
      <c r="C1791" s="28" t="s">
        <v>4156</v>
      </c>
      <c r="D1791" s="188" t="str">
        <f>+INDEX([1]Detallado!$F:$F,MATCH($C1791,[1]Detallado!$B:$B,0))</f>
        <v>Derivados</v>
      </c>
      <c r="E1791" s="31" t="str">
        <f>+INDEX([1]Detallado!$Q:$Q,MATCH($C1791,[1]Detallado!$B:$B,0))</f>
        <v>RVI</v>
      </c>
      <c r="F1791" s="185" t="s">
        <v>4355</v>
      </c>
      <c r="G1791" s="186" t="str">
        <f t="shared" si="54"/>
        <v>PTRVI</v>
      </c>
      <c r="H1791" s="187" t="str">
        <f>+INDEX([1]Detallado!$D:$D,MATCH(C1791,[1]Detallado!$B:$B,0))</f>
        <v>SPX US 09/20/24 C5550</v>
      </c>
      <c r="I1791" s="28"/>
      <c r="J1791" s="184" t="str">
        <f t="shared" si="55"/>
        <v>RVITD</v>
      </c>
    </row>
    <row r="1792" spans="3:10" x14ac:dyDescent="0.25">
      <c r="C1792" s="28" t="s">
        <v>4157</v>
      </c>
      <c r="D1792" s="188" t="str">
        <f>+INDEX([1]Detallado!$F:$F,MATCH($C1792,[1]Detallado!$B:$B,0))</f>
        <v>Derivados</v>
      </c>
      <c r="E1792" s="31" t="str">
        <f>+INDEX([1]Detallado!$Q:$Q,MATCH($C1792,[1]Detallado!$B:$B,0))</f>
        <v>RVI</v>
      </c>
      <c r="F1792" s="185" t="s">
        <v>4355</v>
      </c>
      <c r="G1792" s="186" t="str">
        <f t="shared" si="54"/>
        <v>PTRVI</v>
      </c>
      <c r="H1792" s="187" t="str">
        <f>+INDEX([1]Detallado!$D:$D,MATCH(C1792,[1]Detallado!$B:$B,0))</f>
        <v>SPY 12/16/22 C440</v>
      </c>
      <c r="I1792" s="28"/>
      <c r="J1792" s="184" t="str">
        <f t="shared" si="55"/>
        <v>RVITD</v>
      </c>
    </row>
    <row r="1793" spans="3:10" x14ac:dyDescent="0.25">
      <c r="C1793" s="28" t="s">
        <v>4158</v>
      </c>
      <c r="D1793" s="188" t="str">
        <f>+INDEX([1]Detallado!$F:$F,MATCH($C1793,[1]Detallado!$B:$B,0))</f>
        <v>Derivados</v>
      </c>
      <c r="E1793" s="31" t="str">
        <f>+INDEX([1]Detallado!$Q:$Q,MATCH($C1793,[1]Detallado!$B:$B,0))</f>
        <v>RVI</v>
      </c>
      <c r="F1793" s="185" t="s">
        <v>4355</v>
      </c>
      <c r="G1793" s="186" t="str">
        <f t="shared" si="54"/>
        <v>PTRVI</v>
      </c>
      <c r="H1793" s="187" t="str">
        <f>+INDEX([1]Detallado!$D:$D,MATCH(C1793,[1]Detallado!$B:$B,0))</f>
        <v>SPY US 01/20/23 C390</v>
      </c>
      <c r="I1793" s="28"/>
      <c r="J1793" s="184" t="str">
        <f t="shared" si="55"/>
        <v>RVITD</v>
      </c>
    </row>
    <row r="1794" spans="3:10" x14ac:dyDescent="0.25">
      <c r="C1794" s="28" t="s">
        <v>4159</v>
      </c>
      <c r="D1794" s="188" t="str">
        <f>+INDEX([1]Detallado!$F:$F,MATCH($C1794,[1]Detallado!$B:$B,0))</f>
        <v>Derivados</v>
      </c>
      <c r="E1794" s="31" t="str">
        <f>+INDEX([1]Detallado!$Q:$Q,MATCH($C1794,[1]Detallado!$B:$B,0))</f>
        <v>RVI</v>
      </c>
      <c r="F1794" s="185" t="s">
        <v>4355</v>
      </c>
      <c r="G1794" s="186" t="str">
        <f t="shared" si="54"/>
        <v>PTRVI</v>
      </c>
      <c r="H1794" s="187" t="str">
        <f>+INDEX([1]Detallado!$D:$D,MATCH(C1794,[1]Detallado!$B:$B,0))</f>
        <v>SPX US 12/20/19 P2850</v>
      </c>
      <c r="I1794" s="28"/>
      <c r="J1794" s="184" t="str">
        <f t="shared" si="55"/>
        <v>RVITD</v>
      </c>
    </row>
    <row r="1795" spans="3:10" x14ac:dyDescent="0.25">
      <c r="C1795" s="28" t="s">
        <v>4160</v>
      </c>
      <c r="D1795" s="188" t="str">
        <f>+INDEX([1]Detallado!$F:$F,MATCH($C1795,[1]Detallado!$B:$B,0))</f>
        <v>Derivados</v>
      </c>
      <c r="E1795" s="31" t="str">
        <f>+INDEX([1]Detallado!$Q:$Q,MATCH($C1795,[1]Detallado!$B:$B,0))</f>
        <v>RVI</v>
      </c>
      <c r="F1795" s="185" t="s">
        <v>4355</v>
      </c>
      <c r="G1795" s="186" t="str">
        <f t="shared" si="54"/>
        <v>PTRVI</v>
      </c>
      <c r="H1795" s="187" t="str">
        <f>+INDEX([1]Detallado!$D:$D,MATCH(C1795,[1]Detallado!$B:$B,0))</f>
        <v>SPX US 03/31/20 P2850 INDEX</v>
      </c>
      <c r="I1795" s="28"/>
      <c r="J1795" s="184" t="str">
        <f t="shared" si="55"/>
        <v>RVITD</v>
      </c>
    </row>
    <row r="1796" spans="3:10" x14ac:dyDescent="0.25">
      <c r="C1796" s="28" t="s">
        <v>4161</v>
      </c>
      <c r="D1796" s="188" t="str">
        <f>+INDEX([1]Detallado!$F:$F,MATCH($C1796,[1]Detallado!$B:$B,0))</f>
        <v>Derivados</v>
      </c>
      <c r="E1796" s="31" t="str">
        <f>+INDEX([1]Detallado!$Q:$Q,MATCH($C1796,[1]Detallado!$B:$B,0))</f>
        <v>RVI</v>
      </c>
      <c r="F1796" s="185" t="s">
        <v>4355</v>
      </c>
      <c r="G1796" s="186" t="str">
        <f t="shared" si="54"/>
        <v>PTRVI</v>
      </c>
      <c r="H1796" s="187" t="str">
        <f>+INDEX([1]Detallado!$D:$D,MATCH(C1796,[1]Detallado!$B:$B,0))</f>
        <v>SPX US 09/15/23 P3950</v>
      </c>
      <c r="I1796" s="28"/>
      <c r="J1796" s="184" t="str">
        <f t="shared" si="55"/>
        <v>RVITD</v>
      </c>
    </row>
    <row r="1797" spans="3:10" x14ac:dyDescent="0.25">
      <c r="C1797" s="28" t="s">
        <v>4162</v>
      </c>
      <c r="D1797" s="188" t="str">
        <f>+INDEX([1]Detallado!$F:$F,MATCH($C1797,[1]Detallado!$B:$B,0))</f>
        <v>Derivados</v>
      </c>
      <c r="E1797" s="31" t="str">
        <f>+INDEX([1]Detallado!$Q:$Q,MATCH($C1797,[1]Detallado!$B:$B,0))</f>
        <v>RVI</v>
      </c>
      <c r="F1797" s="185" t="s">
        <v>4355</v>
      </c>
      <c r="G1797" s="186" t="str">
        <f t="shared" si="54"/>
        <v>PTRVI</v>
      </c>
      <c r="H1797" s="187" t="str">
        <f>+INDEX([1]Detallado!$D:$D,MATCH(C1797,[1]Detallado!$B:$B,0))</f>
        <v>SPY US 09/15/23 P395</v>
      </c>
      <c r="I1797" s="28"/>
      <c r="J1797" s="184" t="str">
        <f t="shared" si="55"/>
        <v>RVITD</v>
      </c>
    </row>
    <row r="1798" spans="3:10" x14ac:dyDescent="0.25">
      <c r="C1798" s="28" t="s">
        <v>4163</v>
      </c>
      <c r="D1798" s="188" t="str">
        <f>+INDEX([1]Detallado!$F:$F,MATCH($C1798,[1]Detallado!$B:$B,0))</f>
        <v>Derivados</v>
      </c>
      <c r="E1798" s="31" t="str">
        <f>+INDEX([1]Detallado!$Q:$Q,MATCH($C1798,[1]Detallado!$B:$B,0))</f>
        <v>RVI</v>
      </c>
      <c r="F1798" s="185" t="s">
        <v>4355</v>
      </c>
      <c r="G1798" s="186" t="str">
        <f t="shared" si="54"/>
        <v>PTRVI</v>
      </c>
      <c r="H1798" s="187" t="str">
        <f>+INDEX([1]Detallado!$D:$D,MATCH(C1798,[1]Detallado!$B:$B,0))</f>
        <v>SPX US 09/20/24 C5600</v>
      </c>
      <c r="I1798" s="28"/>
      <c r="J1798" s="184" t="str">
        <f t="shared" si="55"/>
        <v>RVITD</v>
      </c>
    </row>
    <row r="1799" spans="3:10" x14ac:dyDescent="0.25">
      <c r="C1799" s="28" t="s">
        <v>4164</v>
      </c>
      <c r="D1799" s="188" t="str">
        <f>+INDEX([1]Detallado!$F:$F,MATCH($C1799,[1]Detallado!$B:$B,0))</f>
        <v>Derivados</v>
      </c>
      <c r="E1799" s="31" t="str">
        <f>+INDEX([1]Detallado!$Q:$Q,MATCH($C1799,[1]Detallado!$B:$B,0))</f>
        <v>RVI</v>
      </c>
      <c r="F1799" s="185" t="s">
        <v>4355</v>
      </c>
      <c r="G1799" s="186" t="str">
        <f t="shared" si="54"/>
        <v>PTRVI</v>
      </c>
      <c r="H1799" s="187" t="str">
        <f>+INDEX([1]Detallado!$D:$D,MATCH(C1799,[1]Detallado!$B:$B,0))</f>
        <v>SPXW US 03/31/20 P2850</v>
      </c>
      <c r="I1799" s="28"/>
      <c r="J1799" s="184" t="str">
        <f t="shared" si="55"/>
        <v>RVITD</v>
      </c>
    </row>
    <row r="1800" spans="3:10" x14ac:dyDescent="0.25">
      <c r="C1800" s="28" t="s">
        <v>4165</v>
      </c>
      <c r="D1800" s="188" t="str">
        <f>+INDEX([1]Detallado!$F:$F,MATCH($C1800,[1]Detallado!$B:$B,0))</f>
        <v>Derivados</v>
      </c>
      <c r="E1800" s="31" t="str">
        <f>+INDEX([1]Detallado!$Q:$Q,MATCH($C1800,[1]Detallado!$B:$B,0))</f>
        <v>RVI</v>
      </c>
      <c r="F1800" s="185" t="s">
        <v>4355</v>
      </c>
      <c r="G1800" s="186" t="str">
        <f t="shared" si="54"/>
        <v>PTRVI</v>
      </c>
      <c r="H1800" s="187" t="str">
        <f>+INDEX([1]Detallado!$D:$D,MATCH(C1800,[1]Detallado!$B:$B,0))</f>
        <v>SPXW US 03/31/20 P2900</v>
      </c>
      <c r="I1800" s="28"/>
      <c r="J1800" s="184" t="str">
        <f t="shared" si="55"/>
        <v>RVITD</v>
      </c>
    </row>
    <row r="1801" spans="3:10" x14ac:dyDescent="0.25">
      <c r="C1801" s="28" t="s">
        <v>4166</v>
      </c>
      <c r="D1801" s="188" t="str">
        <f>+INDEX([1]Detallado!$F:$F,MATCH($C1801,[1]Detallado!$B:$B,0))</f>
        <v>Derivados</v>
      </c>
      <c r="E1801" s="31" t="str">
        <f>+INDEX([1]Detallado!$Q:$Q,MATCH($C1801,[1]Detallado!$B:$B,0))</f>
        <v>RVI</v>
      </c>
      <c r="F1801" s="185" t="s">
        <v>4355</v>
      </c>
      <c r="G1801" s="186" t="str">
        <f t="shared" si="54"/>
        <v>PTRVI</v>
      </c>
      <c r="H1801" s="187">
        <f>+INDEX([1]Detallado!$D:$D,MATCH(C1801,[1]Detallado!$B:$B,0))</f>
        <v>0</v>
      </c>
      <c r="I1801" s="28"/>
      <c r="J1801" s="184" t="str">
        <f t="shared" si="55"/>
        <v>RVITD</v>
      </c>
    </row>
    <row r="1802" spans="3:10" x14ac:dyDescent="0.25">
      <c r="C1802" s="28" t="s">
        <v>4167</v>
      </c>
      <c r="D1802" s="188" t="str">
        <f>+INDEX([1]Detallado!$F:$F,MATCH($C1802,[1]Detallado!$B:$B,0))</f>
        <v>Derivados</v>
      </c>
      <c r="E1802" s="31" t="str">
        <f>+INDEX([1]Detallado!$Q:$Q,MATCH($C1802,[1]Detallado!$B:$B,0))</f>
        <v>RVI</v>
      </c>
      <c r="F1802" s="185" t="s">
        <v>4355</v>
      </c>
      <c r="G1802" s="186" t="str">
        <f t="shared" ref="G1802:G1865" si="56">LEFT(C1802,2)&amp;E1802</f>
        <v>PTRVI</v>
      </c>
      <c r="H1802" s="187" t="str">
        <f>+INDEX([1]Detallado!$D:$D,MATCH(C1802,[1]Detallado!$B:$B,0))</f>
        <v>SPY US 01/20/23 C400</v>
      </c>
      <c r="I1802" s="28"/>
      <c r="J1802" s="184" t="str">
        <f t="shared" ref="J1802:J1865" si="57">IF(E1802="ALT",LEFT(E1802,3),LEFT(E1802,3)&amp;F1802)</f>
        <v>RVITD</v>
      </c>
    </row>
    <row r="1803" spans="3:10" x14ac:dyDescent="0.25">
      <c r="C1803" s="28" t="s">
        <v>4169</v>
      </c>
      <c r="D1803" s="188" t="str">
        <f>+INDEX([1]Detallado!$F:$F,MATCH($C1803,[1]Detallado!$B:$B,0))</f>
        <v>Derivados</v>
      </c>
      <c r="E1803" s="31" t="str">
        <f>+INDEX([1]Detallado!$Q:$Q,MATCH($C1803,[1]Detallado!$B:$B,0))</f>
        <v>RVI</v>
      </c>
      <c r="F1803" s="185" t="s">
        <v>4355</v>
      </c>
      <c r="G1803" s="186" t="str">
        <f t="shared" si="56"/>
        <v>PTRVI</v>
      </c>
      <c r="H1803" s="187" t="str">
        <f>+INDEX([1]Detallado!$D:$D,MATCH(C1803,[1]Detallado!$B:$B,0))</f>
        <v>SPY US 01/20/23 C400</v>
      </c>
      <c r="I1803" s="28"/>
      <c r="J1803" s="184" t="str">
        <f t="shared" si="57"/>
        <v>RVITD</v>
      </c>
    </row>
    <row r="1804" spans="3:10" x14ac:dyDescent="0.25">
      <c r="C1804" s="28" t="s">
        <v>4170</v>
      </c>
      <c r="D1804" s="188" t="str">
        <f>+INDEX([1]Detallado!$F:$F,MATCH($C1804,[1]Detallado!$B:$B,0))</f>
        <v>Derivados</v>
      </c>
      <c r="E1804" s="31" t="str">
        <f>+INDEX([1]Detallado!$Q:$Q,MATCH($C1804,[1]Detallado!$B:$B,0))</f>
        <v>RVI</v>
      </c>
      <c r="F1804" s="185" t="s">
        <v>4355</v>
      </c>
      <c r="G1804" s="186" t="str">
        <f t="shared" si="56"/>
        <v>PTRVI</v>
      </c>
      <c r="H1804" s="187" t="str">
        <f>+INDEX([1]Detallado!$D:$D,MATCH(C1804,[1]Detallado!$B:$B,0))</f>
        <v>-</v>
      </c>
      <c r="I1804" s="28"/>
      <c r="J1804" s="184" t="str">
        <f t="shared" si="57"/>
        <v>RVITD</v>
      </c>
    </row>
    <row r="1805" spans="3:10" x14ac:dyDescent="0.25">
      <c r="C1805" s="28" t="s">
        <v>4171</v>
      </c>
      <c r="D1805" s="188" t="str">
        <f>+INDEX([1]Detallado!$F:$F,MATCH($C1805,[1]Detallado!$B:$B,0))</f>
        <v>Derivados</v>
      </c>
      <c r="E1805" s="31" t="str">
        <f>+INDEX([1]Detallado!$Q:$Q,MATCH($C1805,[1]Detallado!$B:$B,0))</f>
        <v>RVI</v>
      </c>
      <c r="F1805" s="185" t="s">
        <v>4355</v>
      </c>
      <c r="G1805" s="186" t="str">
        <f t="shared" si="56"/>
        <v>PTRVI</v>
      </c>
      <c r="H1805" s="187" t="str">
        <f>+INDEX([1]Detallado!$D:$D,MATCH(C1805,[1]Detallado!$B:$B,0))</f>
        <v>-</v>
      </c>
      <c r="I1805" s="28"/>
      <c r="J1805" s="184" t="str">
        <f t="shared" si="57"/>
        <v>RVITD</v>
      </c>
    </row>
    <row r="1806" spans="3:10" x14ac:dyDescent="0.25">
      <c r="C1806" s="28" t="s">
        <v>4172</v>
      </c>
      <c r="D1806" s="188" t="str">
        <f>+INDEX([1]Detallado!$F:$F,MATCH($C1806,[1]Detallado!$B:$B,0))</f>
        <v>Derivados</v>
      </c>
      <c r="E1806" s="31" t="str">
        <f>+INDEX([1]Detallado!$Q:$Q,MATCH($C1806,[1]Detallado!$B:$B,0))</f>
        <v>RVI</v>
      </c>
      <c r="F1806" s="185" t="s">
        <v>4355</v>
      </c>
      <c r="G1806" s="186" t="str">
        <f t="shared" si="56"/>
        <v>PTRVI</v>
      </c>
      <c r="H1806" s="187" t="str">
        <f>+INDEX([1]Detallado!$D:$D,MATCH(C1806,[1]Detallado!$B:$B,0))</f>
        <v>-</v>
      </c>
      <c r="I1806" s="28"/>
      <c r="J1806" s="184" t="str">
        <f t="shared" si="57"/>
        <v>RVITD</v>
      </c>
    </row>
    <row r="1807" spans="3:10" x14ac:dyDescent="0.25">
      <c r="C1807" s="28" t="s">
        <v>4173</v>
      </c>
      <c r="D1807" s="188" t="str">
        <f>+INDEX([1]Detallado!$F:$F,MATCH($C1807,[1]Detallado!$B:$B,0))</f>
        <v>Derivados</v>
      </c>
      <c r="E1807" s="31" t="str">
        <f>+INDEX([1]Detallado!$Q:$Q,MATCH($C1807,[1]Detallado!$B:$B,0))</f>
        <v>RVI</v>
      </c>
      <c r="F1807" s="185" t="s">
        <v>4355</v>
      </c>
      <c r="G1807" s="186" t="str">
        <f t="shared" si="56"/>
        <v>PTRVI</v>
      </c>
      <c r="H1807" s="187" t="str">
        <f>+INDEX([1]Detallado!$D:$D,MATCH(C1807,[1]Detallado!$B:$B,0))</f>
        <v>SPX US 09/20/24 C5500</v>
      </c>
      <c r="I1807" s="28"/>
      <c r="J1807" s="184" t="str">
        <f t="shared" si="57"/>
        <v>RVITD</v>
      </c>
    </row>
    <row r="1808" spans="3:10" x14ac:dyDescent="0.25">
      <c r="C1808" s="28" t="s">
        <v>4174</v>
      </c>
      <c r="D1808" s="188" t="str">
        <f>+INDEX([1]Detallado!$F:$F,MATCH($C1808,[1]Detallado!$B:$B,0))</f>
        <v>Derivados</v>
      </c>
      <c r="E1808" s="31" t="str">
        <f>+INDEX([1]Detallado!$Q:$Q,MATCH($C1808,[1]Detallado!$B:$B,0))</f>
        <v>RVI</v>
      </c>
      <c r="F1808" s="185" t="s">
        <v>4355</v>
      </c>
      <c r="G1808" s="186" t="str">
        <f t="shared" si="56"/>
        <v>PTRVI</v>
      </c>
      <c r="H1808" s="187" t="str">
        <f>+INDEX([1]Detallado!$D:$D,MATCH(C1808,[1]Detallado!$B:$B,0))</f>
        <v>SPX US 06/21/24 C5300</v>
      </c>
      <c r="I1808" s="28"/>
      <c r="J1808" s="184" t="str">
        <f t="shared" si="57"/>
        <v>RVITD</v>
      </c>
    </row>
    <row r="1809" spans="3:10" x14ac:dyDescent="0.25">
      <c r="C1809" s="28" t="s">
        <v>4168</v>
      </c>
      <c r="D1809" s="188" t="str">
        <f>+INDEX([1]Detallado!$F:$F,MATCH($C1809,[1]Detallado!$B:$B,0))</f>
        <v>Derivados</v>
      </c>
      <c r="E1809" s="31" t="str">
        <f>+INDEX([1]Detallado!$Q:$Q,MATCH($C1809,[1]Detallado!$B:$B,0))</f>
        <v>RVI</v>
      </c>
      <c r="F1809" s="185" t="s">
        <v>4355</v>
      </c>
      <c r="G1809" s="186" t="str">
        <f t="shared" si="56"/>
        <v>PTRVI</v>
      </c>
      <c r="H1809" s="187" t="str">
        <f>+INDEX([1]Detallado!$D:$D,MATCH(C1809,[1]Detallado!$B:$B,0))</f>
        <v>SPX US 01/19/24 C4400</v>
      </c>
      <c r="I1809" s="28"/>
      <c r="J1809" s="184" t="str">
        <f t="shared" si="57"/>
        <v>RVITD</v>
      </c>
    </row>
    <row r="1810" spans="3:10" x14ac:dyDescent="0.25">
      <c r="C1810" s="28" t="s">
        <v>4175</v>
      </c>
      <c r="D1810" s="188" t="str">
        <f>+INDEX([1]Detallado!$F:$F,MATCH($C1810,[1]Detallado!$B:$B,0))</f>
        <v>Derivados</v>
      </c>
      <c r="E1810" s="31" t="str">
        <f>+INDEX([1]Detallado!$Q:$Q,MATCH($C1810,[1]Detallado!$B:$B,0))</f>
        <v>RVI</v>
      </c>
      <c r="F1810" s="185" t="s">
        <v>4355</v>
      </c>
      <c r="G1810" s="186" t="str">
        <f t="shared" si="56"/>
        <v>PTRVI</v>
      </c>
      <c r="H1810" s="187" t="str">
        <f>+INDEX([1]Detallado!$D:$D,MATCH(C1810,[1]Detallado!$B:$B,0))</f>
        <v>SPX US 06/21/24 C5200</v>
      </c>
      <c r="I1810" s="28"/>
      <c r="J1810" s="184" t="str">
        <f t="shared" si="57"/>
        <v>RVITD</v>
      </c>
    </row>
    <row r="1811" spans="3:10" x14ac:dyDescent="0.25">
      <c r="C1811" s="28" t="s">
        <v>4176</v>
      </c>
      <c r="D1811" s="188" t="str">
        <f>+INDEX([1]Detallado!$F:$F,MATCH($C1811,[1]Detallado!$B:$B,0))</f>
        <v>Derivados</v>
      </c>
      <c r="E1811" s="31" t="str">
        <f>+INDEX([1]Detallado!$Q:$Q,MATCH($C1811,[1]Detallado!$B:$B,0))</f>
        <v>RVI</v>
      </c>
      <c r="F1811" s="185" t="s">
        <v>4355</v>
      </c>
      <c r="G1811" s="186" t="str">
        <f t="shared" si="56"/>
        <v>PTRVI</v>
      </c>
      <c r="H1811" s="187" t="str">
        <f>+INDEX([1]Detallado!$D:$D,MATCH(C1811,[1]Detallado!$B:$B,0))</f>
        <v>SPX US 06/21/24 C5100</v>
      </c>
      <c r="I1811" s="28"/>
      <c r="J1811" s="184" t="str">
        <f t="shared" si="57"/>
        <v>RVITD</v>
      </c>
    </row>
    <row r="1812" spans="3:10" x14ac:dyDescent="0.25">
      <c r="C1812" s="28" t="s">
        <v>4177</v>
      </c>
      <c r="D1812" s="188" t="str">
        <f>+INDEX([1]Detallado!$F:$F,MATCH($C1812,[1]Detallado!$B:$B,0))</f>
        <v>Derivados</v>
      </c>
      <c r="E1812" s="31" t="str">
        <f>+INDEX([1]Detallado!$Q:$Q,MATCH($C1812,[1]Detallado!$B:$B,0))</f>
        <v>RVI</v>
      </c>
      <c r="F1812" s="185" t="s">
        <v>4355</v>
      </c>
      <c r="G1812" s="186" t="str">
        <f t="shared" si="56"/>
        <v>PTRVI</v>
      </c>
      <c r="H1812" s="187" t="str">
        <f>+INDEX([1]Detallado!$D:$D,MATCH(C1812,[1]Detallado!$B:$B,0))</f>
        <v>-</v>
      </c>
      <c r="I1812" s="28"/>
      <c r="J1812" s="184" t="str">
        <f t="shared" si="57"/>
        <v>RVITD</v>
      </c>
    </row>
    <row r="1813" spans="3:10" x14ac:dyDescent="0.25">
      <c r="C1813" s="28" t="s">
        <v>4178</v>
      </c>
      <c r="D1813" s="188" t="str">
        <f>+INDEX([1]Detallado!$F:$F,MATCH($C1813,[1]Detallado!$B:$B,0))</f>
        <v>Derivados</v>
      </c>
      <c r="E1813" s="31" t="str">
        <f>+INDEX([1]Detallado!$Q:$Q,MATCH($C1813,[1]Detallado!$B:$B,0))</f>
        <v>RVI</v>
      </c>
      <c r="F1813" s="185" t="s">
        <v>4355</v>
      </c>
      <c r="G1813" s="186" t="str">
        <f t="shared" si="56"/>
        <v>PTRVI</v>
      </c>
      <c r="H1813" s="187" t="str">
        <f>+INDEX([1]Detallado!$D:$D,MATCH(C1813,[1]Detallado!$B:$B,0))</f>
        <v>-</v>
      </c>
      <c r="I1813" s="28"/>
      <c r="J1813" s="184" t="str">
        <f t="shared" si="57"/>
        <v>RVITD</v>
      </c>
    </row>
    <row r="1814" spans="3:10" x14ac:dyDescent="0.25">
      <c r="C1814" s="28" t="s">
        <v>4179</v>
      </c>
      <c r="D1814" s="188" t="str">
        <f>+INDEX([1]Detallado!$F:$F,MATCH($C1814,[1]Detallado!$B:$B,0))</f>
        <v>Derivados</v>
      </c>
      <c r="E1814" s="31" t="str">
        <f>+INDEX([1]Detallado!$Q:$Q,MATCH($C1814,[1]Detallado!$B:$B,0))</f>
        <v>RVI</v>
      </c>
      <c r="F1814" s="185" t="s">
        <v>4355</v>
      </c>
      <c r="G1814" s="186" t="str">
        <f t="shared" si="56"/>
        <v>PTRVI</v>
      </c>
      <c r="H1814" s="187" t="str">
        <f>+INDEX([1]Detallado!$D:$D,MATCH(C1814,[1]Detallado!$B:$B,0))</f>
        <v>SPY US 01/20/23 C405</v>
      </c>
      <c r="I1814" s="28"/>
      <c r="J1814" s="184" t="str">
        <f t="shared" si="57"/>
        <v>RVITD</v>
      </c>
    </row>
    <row r="1815" spans="3:10" x14ac:dyDescent="0.25">
      <c r="C1815" s="28" t="s">
        <v>4180</v>
      </c>
      <c r="D1815" s="188" t="str">
        <f>+INDEX([1]Detallado!$F:$F,MATCH($C1815,[1]Detallado!$B:$B,0))</f>
        <v>Derivados</v>
      </c>
      <c r="E1815" s="31" t="str">
        <f>+INDEX([1]Detallado!$Q:$Q,MATCH($C1815,[1]Detallado!$B:$B,0))</f>
        <v>RVI</v>
      </c>
      <c r="F1815" s="185" t="s">
        <v>4355</v>
      </c>
      <c r="G1815" s="186" t="str">
        <f t="shared" si="56"/>
        <v>PTRVI</v>
      </c>
      <c r="H1815" s="187" t="str">
        <f>+INDEX([1]Detallado!$D:$D,MATCH(C1815,[1]Detallado!$B:$B,0))</f>
        <v>SPY US 03/17/23 C420</v>
      </c>
      <c r="I1815" s="28"/>
      <c r="J1815" s="184" t="str">
        <f t="shared" si="57"/>
        <v>RVITD</v>
      </c>
    </row>
    <row r="1816" spans="3:10" x14ac:dyDescent="0.25">
      <c r="C1816" s="28" t="s">
        <v>4181</v>
      </c>
      <c r="D1816" s="188" t="str">
        <f>+INDEX([1]Detallado!$F:$F,MATCH($C1816,[1]Detallado!$B:$B,0))</f>
        <v>Derivados</v>
      </c>
      <c r="E1816" s="31" t="str">
        <f>+INDEX([1]Detallado!$Q:$Q,MATCH($C1816,[1]Detallado!$B:$B,0))</f>
        <v>RVI</v>
      </c>
      <c r="F1816" s="185" t="s">
        <v>4355</v>
      </c>
      <c r="G1816" s="186" t="str">
        <f t="shared" si="56"/>
        <v>PTRVI</v>
      </c>
      <c r="H1816" s="187" t="str">
        <f>+INDEX([1]Detallado!$D:$D,MATCH(C1816,[1]Detallado!$B:$B,0))</f>
        <v>SPX US 10/20/23 C4650</v>
      </c>
      <c r="I1816" s="28"/>
      <c r="J1816" s="184" t="str">
        <f t="shared" si="57"/>
        <v>RVITD</v>
      </c>
    </row>
    <row r="1817" spans="3:10" x14ac:dyDescent="0.25">
      <c r="C1817" s="28" t="s">
        <v>4182</v>
      </c>
      <c r="D1817" s="188" t="str">
        <f>+INDEX([1]Detallado!$F:$F,MATCH($C1817,[1]Detallado!$B:$B,0))</f>
        <v>Derivados</v>
      </c>
      <c r="E1817" s="31" t="str">
        <f>+INDEX([1]Detallado!$Q:$Q,MATCH($C1817,[1]Detallado!$B:$B,0))</f>
        <v>RVI</v>
      </c>
      <c r="F1817" s="185" t="s">
        <v>4355</v>
      </c>
      <c r="G1817" s="186" t="str">
        <f t="shared" si="56"/>
        <v>PTRVI</v>
      </c>
      <c r="H1817" s="187" t="str">
        <f>+INDEX([1]Detallado!$D:$D,MATCH(C1817,[1]Detallado!$B:$B,0))</f>
        <v>SPX US 10/20/23 C4700</v>
      </c>
      <c r="I1817" s="28"/>
      <c r="J1817" s="184" t="str">
        <f t="shared" si="57"/>
        <v>RVITD</v>
      </c>
    </row>
    <row r="1818" spans="3:10" x14ac:dyDescent="0.25">
      <c r="C1818" s="28" t="s">
        <v>4183</v>
      </c>
      <c r="D1818" s="188" t="str">
        <f>+INDEX([1]Detallado!$F:$F,MATCH($C1818,[1]Detallado!$B:$B,0))</f>
        <v>Derivados</v>
      </c>
      <c r="E1818" s="31" t="str">
        <f>+INDEX([1]Detallado!$Q:$Q,MATCH($C1818,[1]Detallado!$B:$B,0))</f>
        <v>RVI</v>
      </c>
      <c r="F1818" s="185" t="s">
        <v>4355</v>
      </c>
      <c r="G1818" s="186" t="str">
        <f t="shared" si="56"/>
        <v>PTRVI</v>
      </c>
      <c r="H1818" s="187" t="str">
        <f>+INDEX([1]Detallado!$D:$D,MATCH(C1818,[1]Detallado!$B:$B,0))</f>
        <v>SPY US 02/17/23 C390</v>
      </c>
      <c r="I1818" s="28"/>
      <c r="J1818" s="184" t="str">
        <f t="shared" si="57"/>
        <v>RVITD</v>
      </c>
    </row>
    <row r="1819" spans="3:10" x14ac:dyDescent="0.25">
      <c r="C1819" s="28" t="s">
        <v>4184</v>
      </c>
      <c r="D1819" s="188" t="str">
        <f>+INDEX([1]Detallado!$F:$F,MATCH($C1819,[1]Detallado!$B:$B,0))</f>
        <v>Derivados</v>
      </c>
      <c r="E1819" s="31" t="str">
        <f>+INDEX([1]Detallado!$Q:$Q,MATCH($C1819,[1]Detallado!$B:$B,0))</f>
        <v>RVI</v>
      </c>
      <c r="F1819" s="185" t="s">
        <v>4355</v>
      </c>
      <c r="G1819" s="186" t="str">
        <f t="shared" si="56"/>
        <v>PTRVI</v>
      </c>
      <c r="H1819" s="187" t="str">
        <f>+INDEX([1]Detallado!$D:$D,MATCH(C1819,[1]Detallado!$B:$B,0))</f>
        <v>SPY US 5/19/23 C415</v>
      </c>
      <c r="I1819" s="28"/>
      <c r="J1819" s="184" t="str">
        <f t="shared" si="57"/>
        <v>RVITD</v>
      </c>
    </row>
    <row r="1820" spans="3:10" x14ac:dyDescent="0.25">
      <c r="C1820" s="28" t="s">
        <v>4185</v>
      </c>
      <c r="D1820" s="188" t="str">
        <f>+INDEX([1]Detallado!$F:$F,MATCH($C1820,[1]Detallado!$B:$B,0))</f>
        <v>Derivados</v>
      </c>
      <c r="E1820" s="31" t="str">
        <f>+INDEX([1]Detallado!$Q:$Q,MATCH($C1820,[1]Detallado!$B:$B,0))</f>
        <v>RVI</v>
      </c>
      <c r="F1820" s="185" t="s">
        <v>4355</v>
      </c>
      <c r="G1820" s="186" t="str">
        <f t="shared" si="56"/>
        <v>PTRVI</v>
      </c>
      <c r="H1820" s="187" t="str">
        <f>+INDEX([1]Detallado!$D:$D,MATCH(C1820,[1]Detallado!$B:$B,0))</f>
        <v>SPY US 05/19/23 P390</v>
      </c>
      <c r="I1820" s="28"/>
      <c r="J1820" s="184" t="str">
        <f t="shared" si="57"/>
        <v>RVITD</v>
      </c>
    </row>
    <row r="1821" spans="3:10" x14ac:dyDescent="0.25">
      <c r="C1821" s="28" t="s">
        <v>4186</v>
      </c>
      <c r="D1821" s="188" t="str">
        <f>+INDEX([1]Detallado!$F:$F,MATCH($C1821,[1]Detallado!$B:$B,0))</f>
        <v>Derivados</v>
      </c>
      <c r="E1821" s="31" t="str">
        <f>+INDEX([1]Detallado!$Q:$Q,MATCH($C1821,[1]Detallado!$B:$B,0))</f>
        <v>RVI</v>
      </c>
      <c r="F1821" s="185" t="s">
        <v>4355</v>
      </c>
      <c r="G1821" s="186" t="str">
        <f t="shared" si="56"/>
        <v>PTRVI</v>
      </c>
      <c r="H1821" s="187" t="str">
        <f>+INDEX([1]Detallado!$D:$D,MATCH(C1821,[1]Detallado!$B:$B,0))</f>
        <v>SPX US 5/19/2023 P3900</v>
      </c>
      <c r="I1821" s="28"/>
      <c r="J1821" s="184" t="str">
        <f t="shared" si="57"/>
        <v>RVITD</v>
      </c>
    </row>
    <row r="1822" spans="3:10" x14ac:dyDescent="0.25">
      <c r="C1822" s="28" t="s">
        <v>4187</v>
      </c>
      <c r="D1822" s="188" t="str">
        <f>+INDEX([1]Detallado!$F:$F,MATCH($C1822,[1]Detallado!$B:$B,0))</f>
        <v>Derivados</v>
      </c>
      <c r="E1822" s="31" t="str">
        <f>+INDEX([1]Detallado!$Q:$Q,MATCH($C1822,[1]Detallado!$B:$B,0))</f>
        <v>RVI</v>
      </c>
      <c r="F1822" s="185" t="s">
        <v>4355</v>
      </c>
      <c r="G1822" s="186" t="str">
        <f t="shared" si="56"/>
        <v>PTRVI</v>
      </c>
      <c r="H1822" s="187" t="str">
        <f>+INDEX([1]Detallado!$D:$D,MATCH(C1822,[1]Detallado!$B:$B,0))</f>
        <v>SPY US 06/16/23 P395</v>
      </c>
      <c r="I1822" s="28"/>
      <c r="J1822" s="184" t="str">
        <f t="shared" si="57"/>
        <v>RVITD</v>
      </c>
    </row>
    <row r="1823" spans="3:10" x14ac:dyDescent="0.25">
      <c r="C1823" s="28" t="s">
        <v>4188</v>
      </c>
      <c r="D1823" s="188" t="str">
        <f>+INDEX([1]Detallado!$F:$F,MATCH($C1823,[1]Detallado!$B:$B,0))</f>
        <v>Derivados</v>
      </c>
      <c r="E1823" s="31" t="str">
        <f>+INDEX([1]Detallado!$Q:$Q,MATCH($C1823,[1]Detallado!$B:$B,0))</f>
        <v>RVI</v>
      </c>
      <c r="F1823" s="185" t="s">
        <v>4355</v>
      </c>
      <c r="G1823" s="186" t="str">
        <f t="shared" si="56"/>
        <v>PTRVI</v>
      </c>
      <c r="H1823" s="187" t="str">
        <f>+INDEX([1]Detallado!$D:$D,MATCH(C1823,[1]Detallado!$B:$B,0))</f>
        <v>SPX US 06/16/23 P3950</v>
      </c>
      <c r="I1823" s="28"/>
      <c r="J1823" s="184" t="str">
        <f t="shared" si="57"/>
        <v>RVITD</v>
      </c>
    </row>
    <row r="1824" spans="3:10" x14ac:dyDescent="0.25">
      <c r="C1824" s="28" t="s">
        <v>4189</v>
      </c>
      <c r="D1824" s="188" t="str">
        <f>+INDEX([1]Detallado!$F:$F,MATCH($C1824,[1]Detallado!$B:$B,0))</f>
        <v>Renta Variable</v>
      </c>
      <c r="E1824" s="31" t="str">
        <f>+INDEX([1]Detallado!$Q:$Q,MATCH($C1824,[1]Detallado!$B:$B,0))</f>
        <v>RVI</v>
      </c>
      <c r="F1824" s="185" t="s">
        <v>4357</v>
      </c>
      <c r="G1824" s="186" t="str">
        <f t="shared" si="56"/>
        <v>34RVI</v>
      </c>
      <c r="H1824" s="187" t="str">
        <f>+INDEX([1]Detallado!$D:$D,MATCH(C1824,[1]Detallado!$B:$B,0))</f>
        <v>Berkshire Hathaway</v>
      </c>
      <c r="I1824" s="28"/>
      <c r="J1824" s="184" t="str">
        <f t="shared" si="57"/>
        <v>RVIBU</v>
      </c>
    </row>
    <row r="1825" spans="3:10" x14ac:dyDescent="0.25">
      <c r="C1825" s="28" t="s">
        <v>4190</v>
      </c>
      <c r="D1825" s="188" t="str">
        <f>+INDEX([1]Detallado!$F:$F,MATCH($C1825,[1]Detallado!$B:$B,0))</f>
        <v>Renta Variable</v>
      </c>
      <c r="E1825" s="31" t="str">
        <f>+INDEX([1]Detallado!$Q:$Q,MATCH($C1825,[1]Detallado!$B:$B,0))</f>
        <v>RVI</v>
      </c>
      <c r="F1825" s="185" t="s">
        <v>4357</v>
      </c>
      <c r="G1825" s="186" t="str">
        <f t="shared" si="56"/>
        <v>34RVI</v>
      </c>
      <c r="H1825" s="187" t="str">
        <f>+INDEX([1]Detallado!$D:$D,MATCH(C1825,[1]Detallado!$B:$B,0))</f>
        <v>Discover Financial Services</v>
      </c>
      <c r="I1825" s="28"/>
      <c r="J1825" s="184" t="str">
        <f t="shared" si="57"/>
        <v>RVIBU</v>
      </c>
    </row>
    <row r="1826" spans="3:10" x14ac:dyDescent="0.25">
      <c r="C1826" s="28" t="s">
        <v>4191</v>
      </c>
      <c r="D1826" s="188" t="str">
        <f>+INDEX([1]Detallado!$F:$F,MATCH($C1826,[1]Detallado!$B:$B,0))</f>
        <v>Renta Variable</v>
      </c>
      <c r="E1826" s="31" t="str">
        <f>+INDEX([1]Detallado!$Q:$Q,MATCH($C1826,[1]Detallado!$B:$B,0))</f>
        <v>RVI</v>
      </c>
      <c r="F1826" s="185" t="s">
        <v>4357</v>
      </c>
      <c r="G1826" s="186" t="str">
        <f t="shared" si="56"/>
        <v>34RVI</v>
      </c>
      <c r="H1826" s="187" t="str">
        <f>+INDEX([1]Detallado!$D:$D,MATCH(C1826,[1]Detallado!$B:$B,0))</f>
        <v>Mastercard</v>
      </c>
      <c r="I1826" s="28"/>
      <c r="J1826" s="184" t="str">
        <f t="shared" si="57"/>
        <v>RVIBU</v>
      </c>
    </row>
    <row r="1827" spans="3:10" x14ac:dyDescent="0.25">
      <c r="C1827" s="28" t="s">
        <v>4192</v>
      </c>
      <c r="D1827" s="188" t="str">
        <f>+INDEX([1]Detallado!$F:$F,MATCH($C1827,[1]Detallado!$B:$B,0))</f>
        <v>Renta Variable</v>
      </c>
      <c r="E1827" s="31" t="str">
        <f>+INDEX([1]Detallado!$Q:$Q,MATCH($C1827,[1]Detallado!$B:$B,0))</f>
        <v>RVI</v>
      </c>
      <c r="F1827" s="185" t="s">
        <v>4357</v>
      </c>
      <c r="G1827" s="186" t="str">
        <f t="shared" si="56"/>
        <v>34RVI</v>
      </c>
      <c r="H1827" s="187" t="str">
        <f>+INDEX([1]Detallado!$D:$D,MATCH(C1827,[1]Detallado!$B:$B,0))</f>
        <v>Metlife</v>
      </c>
      <c r="I1827" s="28"/>
      <c r="J1827" s="184" t="str">
        <f t="shared" si="57"/>
        <v>RVIBU</v>
      </c>
    </row>
    <row r="1828" spans="3:10" x14ac:dyDescent="0.25">
      <c r="C1828" s="28" t="s">
        <v>4193</v>
      </c>
      <c r="D1828" s="188" t="str">
        <f>+INDEX([1]Detallado!$F:$F,MATCH($C1828,[1]Detallado!$B:$B,0))</f>
        <v>Renta Variable</v>
      </c>
      <c r="E1828" s="31" t="str">
        <f>+INDEX([1]Detallado!$Q:$Q,MATCH($C1828,[1]Detallado!$B:$B,0))</f>
        <v>RVI</v>
      </c>
      <c r="F1828" s="185" t="s">
        <v>4357</v>
      </c>
      <c r="G1828" s="186" t="str">
        <f t="shared" si="56"/>
        <v>34RVI</v>
      </c>
      <c r="H1828" s="187" t="str">
        <f>+INDEX([1]Detallado!$D:$D,MATCH(C1828,[1]Detallado!$B:$B,0))</f>
        <v>Visa</v>
      </c>
      <c r="I1828" s="28"/>
      <c r="J1828" s="184" t="str">
        <f t="shared" si="57"/>
        <v>RVIBU</v>
      </c>
    </row>
    <row r="1829" spans="3:10" x14ac:dyDescent="0.25">
      <c r="C1829" s="28" t="s">
        <v>4194</v>
      </c>
      <c r="D1829" s="188" t="str">
        <f>+INDEX([1]Detallado!$F:$F,MATCH($C1829,[1]Detallado!$B:$B,0))</f>
        <v>Renta Variable</v>
      </c>
      <c r="E1829" s="31" t="str">
        <f>+INDEX([1]Detallado!$Q:$Q,MATCH($C1829,[1]Detallado!$B:$B,0))</f>
        <v>RVI</v>
      </c>
      <c r="F1829" s="185" t="s">
        <v>4357</v>
      </c>
      <c r="G1829" s="186" t="str">
        <f t="shared" si="56"/>
        <v>34RVI</v>
      </c>
      <c r="H1829" s="187" t="str">
        <f>+INDEX([1]Detallado!$D:$D,MATCH(C1829,[1]Detallado!$B:$B,0))</f>
        <v>Regions Financial Corporation</v>
      </c>
      <c r="I1829" s="28"/>
      <c r="J1829" s="184" t="str">
        <f t="shared" si="57"/>
        <v>RVIBU</v>
      </c>
    </row>
    <row r="1830" spans="3:10" x14ac:dyDescent="0.25">
      <c r="C1830" s="28" t="s">
        <v>4195</v>
      </c>
      <c r="D1830" s="188" t="str">
        <f>+INDEX([1]Detallado!$F:$F,MATCH($C1830,[1]Detallado!$B:$B,0))</f>
        <v>Renta Variable</v>
      </c>
      <c r="E1830" s="31" t="str">
        <f>+INDEX([1]Detallado!$Q:$Q,MATCH($C1830,[1]Detallado!$B:$B,0))</f>
        <v>RVI</v>
      </c>
      <c r="F1830" s="185" t="s">
        <v>4357</v>
      </c>
      <c r="G1830" s="186" t="str">
        <f t="shared" si="56"/>
        <v>34RVI</v>
      </c>
      <c r="H1830" s="187" t="str">
        <f>+INDEX([1]Detallado!$D:$D,MATCH(C1830,[1]Detallado!$B:$B,0))</f>
        <v>Vantiv</v>
      </c>
      <c r="I1830" s="28"/>
      <c r="J1830" s="184" t="str">
        <f t="shared" si="57"/>
        <v>RVIBU</v>
      </c>
    </row>
    <row r="1831" spans="3:10" x14ac:dyDescent="0.25">
      <c r="C1831" s="28" t="s">
        <v>1395</v>
      </c>
      <c r="D1831" s="188" t="str">
        <f>+INDEX([1]Detallado!$F:$F,MATCH($C1831,[1]Detallado!$B:$B,0))</f>
        <v>Renta Variable</v>
      </c>
      <c r="E1831" s="31" t="str">
        <f>+INDEX([1]Detallado!$Q:$Q,MATCH($C1831,[1]Detallado!$B:$B,0))</f>
        <v>RVI</v>
      </c>
      <c r="F1831" s="185" t="s">
        <v>4355</v>
      </c>
      <c r="G1831" s="186" t="str">
        <f t="shared" si="56"/>
        <v>52RVI</v>
      </c>
      <c r="H1831" s="187" t="str">
        <f>+INDEX([1]Detallado!$D:$D,MATCH(C1831,[1]Detallado!$B:$B,0))</f>
        <v>State Street - Regional Banks</v>
      </c>
      <c r="I1831" s="28"/>
      <c r="J1831" s="184" t="str">
        <f t="shared" si="57"/>
        <v>RVITD</v>
      </c>
    </row>
    <row r="1832" spans="3:10" x14ac:dyDescent="0.25">
      <c r="C1832" s="28" t="s">
        <v>1208</v>
      </c>
      <c r="D1832" s="188" t="str">
        <f>+INDEX([1]Detallado!$F:$F,MATCH($C1832,[1]Detallado!$B:$B,0))</f>
        <v>Renta Variable</v>
      </c>
      <c r="E1832" s="31" t="str">
        <f>+INDEX([1]Detallado!$Q:$Q,MATCH($C1832,[1]Detallado!$B:$B,0))</f>
        <v>RVI</v>
      </c>
      <c r="F1832" s="185" t="s">
        <v>4355</v>
      </c>
      <c r="G1832" s="186" t="str">
        <f t="shared" si="56"/>
        <v>52RVI</v>
      </c>
      <c r="H1832" s="187" t="str">
        <f>+INDEX([1]Detallado!$D:$D,MATCH(C1832,[1]Detallado!$B:$B,0))</f>
        <v>State Street - Financials Select Sector</v>
      </c>
      <c r="I1832" s="28"/>
      <c r="J1832" s="184" t="str">
        <f t="shared" si="57"/>
        <v>RVITD</v>
      </c>
    </row>
    <row r="1833" spans="3:10" x14ac:dyDescent="0.25">
      <c r="C1833" s="28" t="s">
        <v>1158</v>
      </c>
      <c r="D1833" s="188" t="str">
        <f>+INDEX([1]Detallado!$F:$F,MATCH($C1833,[1]Detallado!$B:$B,0))</f>
        <v>Renta Variable</v>
      </c>
      <c r="E1833" s="31" t="str">
        <f>+INDEX([1]Detallado!$Q:$Q,MATCH($C1833,[1]Detallado!$B:$B,0))</f>
        <v>RVI</v>
      </c>
      <c r="F1833" s="185" t="s">
        <v>4355</v>
      </c>
      <c r="G1833" s="186" t="str">
        <f t="shared" si="56"/>
        <v>52RVI</v>
      </c>
      <c r="H1833" s="187" t="str">
        <f>+INDEX([1]Detallado!$D:$D,MATCH(C1833,[1]Detallado!$B:$B,0))</f>
        <v>BlackRock - iShares Financial Services</v>
      </c>
      <c r="I1833" s="28"/>
      <c r="J1833" s="184" t="str">
        <f t="shared" si="57"/>
        <v>RVITD</v>
      </c>
    </row>
    <row r="1834" spans="3:10" x14ac:dyDescent="0.25">
      <c r="C1834" s="28" t="s">
        <v>1349</v>
      </c>
      <c r="D1834" s="188" t="str">
        <f>+INDEX([1]Detallado!$F:$F,MATCH($C1834,[1]Detallado!$B:$B,0))</f>
        <v>Renta Variable</v>
      </c>
      <c r="E1834" s="31" t="str">
        <f>+INDEX([1]Detallado!$Q:$Q,MATCH($C1834,[1]Detallado!$B:$B,0))</f>
        <v>RVI</v>
      </c>
      <c r="F1834" s="185" t="s">
        <v>4355</v>
      </c>
      <c r="G1834" s="186" t="str">
        <f t="shared" si="56"/>
        <v>52RVI</v>
      </c>
      <c r="H1834" s="187" t="str">
        <f>+INDEX([1]Detallado!$D:$D,MATCH(C1834,[1]Detallado!$B:$B,0))</f>
        <v>BlackRock - iShares US Regional Banks</v>
      </c>
      <c r="I1834" s="28"/>
      <c r="J1834" s="184" t="str">
        <f t="shared" si="57"/>
        <v>RVITD</v>
      </c>
    </row>
    <row r="1835" spans="3:10" x14ac:dyDescent="0.25">
      <c r="C1835" s="28" t="s">
        <v>1545</v>
      </c>
      <c r="D1835" s="188" t="str">
        <f>+INDEX([1]Detallado!$F:$F,MATCH($C1835,[1]Detallado!$B:$B,0))</f>
        <v>Renta Variable</v>
      </c>
      <c r="E1835" s="31" t="str">
        <f>+INDEX([1]Detallado!$Q:$Q,MATCH($C1835,[1]Detallado!$B:$B,0))</f>
        <v>RVI</v>
      </c>
      <c r="F1835" s="185" t="s">
        <v>4355</v>
      </c>
      <c r="G1835" s="186" t="str">
        <f t="shared" si="56"/>
        <v>52RVI</v>
      </c>
      <c r="H1835" s="187" t="str">
        <f>+INDEX([1]Detallado!$D:$D,MATCH(C1835,[1]Detallado!$B:$B,0))</f>
        <v>Invesco LLC - US Banks</v>
      </c>
      <c r="I1835" s="28"/>
      <c r="J1835" s="184" t="str">
        <f t="shared" si="57"/>
        <v>RVITD</v>
      </c>
    </row>
    <row r="1836" spans="3:10" x14ac:dyDescent="0.25">
      <c r="C1836" s="28" t="s">
        <v>2429</v>
      </c>
      <c r="D1836" s="188" t="str">
        <f>+INDEX([1]Detallado!$F:$F,MATCH($C1836,[1]Detallado!$B:$B,0))</f>
        <v>Renta Variable</v>
      </c>
      <c r="E1836" s="31" t="str">
        <f>+INDEX([1]Detallado!$Q:$Q,MATCH($C1836,[1]Detallado!$B:$B,0))</f>
        <v>RVI</v>
      </c>
      <c r="F1836" s="185" t="s">
        <v>4355</v>
      </c>
      <c r="G1836" s="186" t="str">
        <f t="shared" si="56"/>
        <v>52RVI</v>
      </c>
      <c r="H1836" s="187" t="str">
        <f>+INDEX([1]Detallado!$D:$D,MATCH(C1836,[1]Detallado!$B:$B,0))</f>
        <v>BlackRock - iShares S&amp;P 500 Financials UCITS</v>
      </c>
      <c r="I1836" s="28"/>
      <c r="J1836" s="184" t="str">
        <f t="shared" si="57"/>
        <v>RVITD</v>
      </c>
    </row>
    <row r="1837" spans="3:10" x14ac:dyDescent="0.25">
      <c r="C1837" s="28" t="s">
        <v>4196</v>
      </c>
      <c r="D1837" s="188" t="str">
        <f>+INDEX([1]Detallado!$F:$F,MATCH($C1837,[1]Detallado!$B:$B,0))</f>
        <v>Renta Variable</v>
      </c>
      <c r="E1837" s="31" t="str">
        <f>+INDEX([1]Detallado!$Q:$Q,MATCH($C1837,[1]Detallado!$B:$B,0))</f>
        <v>RVI</v>
      </c>
      <c r="F1837" s="185" t="s">
        <v>4357</v>
      </c>
      <c r="G1837" s="186" t="str">
        <f t="shared" si="56"/>
        <v>34RVI</v>
      </c>
      <c r="H1837" s="187" t="str">
        <f>+INDEX([1]Detallado!$D:$D,MATCH(C1837,[1]Detallado!$B:$B,0))</f>
        <v>GNC Holdings, Inc.</v>
      </c>
      <c r="I1837" s="28"/>
      <c r="J1837" s="184" t="str">
        <f t="shared" si="57"/>
        <v>RVIBU</v>
      </c>
    </row>
    <row r="1838" spans="3:10" x14ac:dyDescent="0.25">
      <c r="C1838" s="28" t="s">
        <v>2586</v>
      </c>
      <c r="D1838" s="188" t="e">
        <f>+INDEX([1]Detallado!$F:$F,MATCH($C1838,[1]Detallado!$B:$B,0))</f>
        <v>#N/A</v>
      </c>
      <c r="E1838" s="31" t="e">
        <f>+INDEX([1]Detallado!$Q:$Q,MATCH($C1838,[1]Detallado!$B:$B,0))</f>
        <v>#N/A</v>
      </c>
      <c r="F1838" s="185" t="s">
        <v>4355</v>
      </c>
      <c r="G1838" s="186" t="e">
        <f t="shared" si="56"/>
        <v>#N/A</v>
      </c>
      <c r="H1838" s="187" t="e">
        <f>+INDEX([1]Detallado!$D:$D,MATCH(C1838,[1]Detallado!$B:$B,0))</f>
        <v>#N/A</v>
      </c>
      <c r="I1838" s="28"/>
      <c r="J1838" s="184" t="e">
        <f t="shared" si="57"/>
        <v>#N/A</v>
      </c>
    </row>
    <row r="1839" spans="3:10" x14ac:dyDescent="0.25">
      <c r="C1839" s="28" t="s">
        <v>4197</v>
      </c>
      <c r="D1839" s="188" t="str">
        <f>+INDEX([1]Detallado!$F:$F,MATCH($C1839,[1]Detallado!$B:$B,0))</f>
        <v>Renta Variable</v>
      </c>
      <c r="E1839" s="31" t="str">
        <f>+INDEX([1]Detallado!$Q:$Q,MATCH($C1839,[1]Detallado!$B:$B,0))</f>
        <v>RVI</v>
      </c>
      <c r="F1839" s="185" t="s">
        <v>4357</v>
      </c>
      <c r="G1839" s="186" t="str">
        <f t="shared" si="56"/>
        <v>34RVI</v>
      </c>
      <c r="H1839" s="187" t="str">
        <f>+INDEX([1]Detallado!$D:$D,MATCH(C1839,[1]Detallado!$B:$B,0))</f>
        <v>DaVita Health Care Partners, Inc.</v>
      </c>
      <c r="I1839" s="28"/>
      <c r="J1839" s="184" t="str">
        <f t="shared" si="57"/>
        <v>RVIBU</v>
      </c>
    </row>
    <row r="1840" spans="3:10" x14ac:dyDescent="0.25">
      <c r="C1840" s="28" t="s">
        <v>4198</v>
      </c>
      <c r="D1840" s="188" t="str">
        <f>+INDEX([1]Detallado!$F:$F,MATCH($C1840,[1]Detallado!$B:$B,0))</f>
        <v>Renta Variable</v>
      </c>
      <c r="E1840" s="31" t="str">
        <f>+INDEX([1]Detallado!$Q:$Q,MATCH($C1840,[1]Detallado!$B:$B,0))</f>
        <v>RVI</v>
      </c>
      <c r="F1840" s="185" t="s">
        <v>4357</v>
      </c>
      <c r="G1840" s="186" t="str">
        <f t="shared" si="56"/>
        <v>34RVI</v>
      </c>
      <c r="H1840" s="187" t="str">
        <f>+INDEX([1]Detallado!$D:$D,MATCH(C1840,[1]Detallado!$B:$B,0))</f>
        <v>HCA Holdings, Inc.</v>
      </c>
      <c r="I1840" s="28"/>
      <c r="J1840" s="184" t="str">
        <f t="shared" si="57"/>
        <v>RVIBU</v>
      </c>
    </row>
    <row r="1841" spans="3:10" x14ac:dyDescent="0.25">
      <c r="C1841" s="28" t="s">
        <v>4199</v>
      </c>
      <c r="D1841" s="188" t="str">
        <f>+INDEX([1]Detallado!$F:$F,MATCH($C1841,[1]Detallado!$B:$B,0))</f>
        <v>Renta Variable</v>
      </c>
      <c r="E1841" s="31" t="str">
        <f>+INDEX([1]Detallado!$Q:$Q,MATCH($C1841,[1]Detallado!$B:$B,0))</f>
        <v>RVI</v>
      </c>
      <c r="F1841" s="185" t="s">
        <v>4357</v>
      </c>
      <c r="G1841" s="186" t="str">
        <f t="shared" si="56"/>
        <v>34RVI</v>
      </c>
      <c r="H1841" s="187" t="str">
        <f>+INDEX([1]Detallado!$D:$D,MATCH(C1841,[1]Detallado!$B:$B,0))</f>
        <v>Covidien PLC</v>
      </c>
      <c r="I1841" s="28"/>
      <c r="J1841" s="184" t="str">
        <f t="shared" si="57"/>
        <v>RVIBU</v>
      </c>
    </row>
    <row r="1842" spans="3:10" x14ac:dyDescent="0.25">
      <c r="C1842" s="28" t="s">
        <v>4200</v>
      </c>
      <c r="D1842" s="188" t="str">
        <f>+INDEX([1]Detallado!$F:$F,MATCH($C1842,[1]Detallado!$B:$B,0))</f>
        <v>Renta Variable</v>
      </c>
      <c r="E1842" s="31" t="str">
        <f>+INDEX([1]Detallado!$Q:$Q,MATCH($C1842,[1]Detallado!$B:$B,0))</f>
        <v>RVI</v>
      </c>
      <c r="F1842" s="185" t="s">
        <v>4357</v>
      </c>
      <c r="G1842" s="186" t="str">
        <f t="shared" si="56"/>
        <v>34RVI</v>
      </c>
      <c r="H1842" s="187" t="str">
        <f>+INDEX([1]Detallado!$D:$D,MATCH(C1842,[1]Detallado!$B:$B,0))</f>
        <v>Express Scripts Holding Company</v>
      </c>
      <c r="I1842" s="28"/>
      <c r="J1842" s="184" t="str">
        <f t="shared" si="57"/>
        <v>RVIBU</v>
      </c>
    </row>
    <row r="1843" spans="3:10" x14ac:dyDescent="0.25">
      <c r="C1843" s="28" t="s">
        <v>1192</v>
      </c>
      <c r="D1843" s="188" t="str">
        <f>+INDEX([1]Detallado!$F:$F,MATCH($C1843,[1]Detallado!$B:$B,0))</f>
        <v>Renta Variable</v>
      </c>
      <c r="E1843" s="31" t="str">
        <f>+INDEX([1]Detallado!$Q:$Q,MATCH($C1843,[1]Detallado!$B:$B,0))</f>
        <v>RVI</v>
      </c>
      <c r="F1843" s="185" t="s">
        <v>4355</v>
      </c>
      <c r="G1843" s="186" t="str">
        <f t="shared" si="56"/>
        <v>52RVI</v>
      </c>
      <c r="H1843" s="187" t="str">
        <f>+INDEX([1]Detallado!$D:$D,MATCH(C1843,[1]Detallado!$B:$B,0))</f>
        <v>State Street - Healthcare Select Sector</v>
      </c>
      <c r="I1843" s="28"/>
      <c r="J1843" s="184" t="str">
        <f t="shared" si="57"/>
        <v>RVITD</v>
      </c>
    </row>
    <row r="1844" spans="3:10" x14ac:dyDescent="0.25">
      <c r="C1844" s="28" t="s">
        <v>1272</v>
      </c>
      <c r="D1844" s="188" t="str">
        <f>+INDEX([1]Detallado!$F:$F,MATCH($C1844,[1]Detallado!$B:$B,0))</f>
        <v>Renta Variable</v>
      </c>
      <c r="E1844" s="31" t="str">
        <f>+INDEX([1]Detallado!$Q:$Q,MATCH($C1844,[1]Detallado!$B:$B,0))</f>
        <v>RVI</v>
      </c>
      <c r="F1844" s="185" t="s">
        <v>4355</v>
      </c>
      <c r="G1844" s="186" t="str">
        <f t="shared" si="56"/>
        <v>52RVI</v>
      </c>
      <c r="H1844" s="187" t="str">
        <f>+INDEX([1]Detallado!$D:$D,MATCH(C1844,[1]Detallado!$B:$B,0))</f>
        <v>BlackRock - iShares S&amp;P Global Healthcare Sector</v>
      </c>
      <c r="I1844" s="28"/>
      <c r="J1844" s="184" t="str">
        <f t="shared" si="57"/>
        <v>RVITD</v>
      </c>
    </row>
    <row r="1845" spans="3:10" x14ac:dyDescent="0.25">
      <c r="C1845" s="28" t="s">
        <v>1346</v>
      </c>
      <c r="D1845" s="188" t="str">
        <f>+INDEX([1]Detallado!$F:$F,MATCH($C1845,[1]Detallado!$B:$B,0))</f>
        <v>Renta Variable</v>
      </c>
      <c r="E1845" s="31" t="str">
        <f>+INDEX([1]Detallado!$Q:$Q,MATCH($C1845,[1]Detallado!$B:$B,0))</f>
        <v>RVI</v>
      </c>
      <c r="F1845" s="185" t="s">
        <v>4355</v>
      </c>
      <c r="G1845" s="186" t="str">
        <f t="shared" si="56"/>
        <v>52RVI</v>
      </c>
      <c r="H1845" s="187" t="str">
        <f>+INDEX([1]Detallado!$D:$D,MATCH(C1845,[1]Detallado!$B:$B,0))</f>
        <v>BlackRock - iShares US Medical Devices</v>
      </c>
      <c r="I1845" s="28"/>
      <c r="J1845" s="184" t="str">
        <f t="shared" si="57"/>
        <v>RVITD</v>
      </c>
    </row>
    <row r="1846" spans="3:10" x14ac:dyDescent="0.25">
      <c r="C1846" s="28" t="s">
        <v>1154</v>
      </c>
      <c r="D1846" s="188" t="str">
        <f>+INDEX([1]Detallado!$F:$F,MATCH($C1846,[1]Detallado!$B:$B,0))</f>
        <v>Renta Variable</v>
      </c>
      <c r="E1846" s="31" t="str">
        <f>+INDEX([1]Detallado!$Q:$Q,MATCH($C1846,[1]Detallado!$B:$B,0))</f>
        <v>RVI</v>
      </c>
      <c r="F1846" s="185" t="s">
        <v>4355</v>
      </c>
      <c r="G1846" s="186" t="str">
        <f t="shared" si="56"/>
        <v>52RVI</v>
      </c>
      <c r="H1846" s="187" t="str">
        <f>+INDEX([1]Detallado!$D:$D,MATCH(C1846,[1]Detallado!$B:$B,0))</f>
        <v>BlackRock - iShares US Heathcare</v>
      </c>
      <c r="I1846" s="28"/>
      <c r="J1846" s="184" t="str">
        <f t="shared" si="57"/>
        <v>RVITD</v>
      </c>
    </row>
    <row r="1847" spans="3:10" x14ac:dyDescent="0.25">
      <c r="C1847" s="28" t="s">
        <v>1368</v>
      </c>
      <c r="D1847" s="188" t="str">
        <f>+INDEX([1]Detallado!$F:$F,MATCH($C1847,[1]Detallado!$B:$B,0))</f>
        <v>Renta Variable</v>
      </c>
      <c r="E1847" s="31" t="str">
        <f>+INDEX([1]Detallado!$Q:$Q,MATCH($C1847,[1]Detallado!$B:$B,0))</f>
        <v>RVI</v>
      </c>
      <c r="F1847" s="185" t="s">
        <v>4355</v>
      </c>
      <c r="G1847" s="186" t="str">
        <f t="shared" si="56"/>
        <v>52RVI</v>
      </c>
      <c r="H1847" s="187" t="str">
        <f>+INDEX([1]Detallado!$D:$D,MATCH(C1847,[1]Detallado!$B:$B,0))</f>
        <v>First Trust - Arca Biotechnology Index Fund</v>
      </c>
      <c r="I1847" s="28"/>
      <c r="J1847" s="184" t="str">
        <f t="shared" si="57"/>
        <v>RVITD</v>
      </c>
    </row>
    <row r="1848" spans="3:10" x14ac:dyDescent="0.25">
      <c r="C1848" s="28" t="s">
        <v>4201</v>
      </c>
      <c r="D1848" s="188" t="str">
        <f>+INDEX([1]Detallado!$F:$F,MATCH($C1848,[1]Detallado!$B:$B,0))</f>
        <v>Renta Variable</v>
      </c>
      <c r="E1848" s="31" t="str">
        <f>+INDEX([1]Detallado!$Q:$Q,MATCH($C1848,[1]Detallado!$B:$B,0))</f>
        <v>RVI</v>
      </c>
      <c r="F1848" s="185" t="s">
        <v>4357</v>
      </c>
      <c r="G1848" s="186" t="str">
        <f t="shared" si="56"/>
        <v>34RVI</v>
      </c>
      <c r="H1848" s="187" t="str">
        <f>+INDEX([1]Detallado!$D:$D,MATCH(C1848,[1]Detallado!$B:$B,0))</f>
        <v>Fluor Corporation</v>
      </c>
      <c r="I1848" s="28"/>
      <c r="J1848" s="184" t="str">
        <f t="shared" si="57"/>
        <v>RVIBU</v>
      </c>
    </row>
    <row r="1849" spans="3:10" x14ac:dyDescent="0.25">
      <c r="C1849" s="28" t="s">
        <v>4202</v>
      </c>
      <c r="D1849" s="188" t="str">
        <f>+INDEX([1]Detallado!$F:$F,MATCH($C1849,[1]Detallado!$B:$B,0))</f>
        <v>Renta Variable</v>
      </c>
      <c r="E1849" s="31" t="str">
        <f>+INDEX([1]Detallado!$Q:$Q,MATCH($C1849,[1]Detallado!$B:$B,0))</f>
        <v>RVI</v>
      </c>
      <c r="F1849" s="185" t="s">
        <v>4357</v>
      </c>
      <c r="G1849" s="186" t="str">
        <f t="shared" si="56"/>
        <v>34RVI</v>
      </c>
      <c r="H1849" s="187" t="str">
        <f>+INDEX([1]Detallado!$D:$D,MATCH(C1849,[1]Detallado!$B:$B,0))</f>
        <v>Chicago Bridge and Iron</v>
      </c>
      <c r="I1849" s="28"/>
      <c r="J1849" s="184" t="str">
        <f t="shared" si="57"/>
        <v>RVIBU</v>
      </c>
    </row>
    <row r="1850" spans="3:10" x14ac:dyDescent="0.25">
      <c r="C1850" s="28" t="s">
        <v>4203</v>
      </c>
      <c r="D1850" s="188" t="str">
        <f>+INDEX([1]Detallado!$F:$F,MATCH($C1850,[1]Detallado!$B:$B,0))</f>
        <v>Renta Variable</v>
      </c>
      <c r="E1850" s="31" t="str">
        <f>+INDEX([1]Detallado!$Q:$Q,MATCH($C1850,[1]Detallado!$B:$B,0))</f>
        <v>RVI</v>
      </c>
      <c r="F1850" s="185" t="s">
        <v>4357</v>
      </c>
      <c r="G1850" s="186" t="str">
        <f t="shared" si="56"/>
        <v>34RVI</v>
      </c>
      <c r="H1850" s="187" t="str">
        <f>+INDEX([1]Detallado!$D:$D,MATCH(C1850,[1]Detallado!$B:$B,0))</f>
        <v>KBR</v>
      </c>
      <c r="I1850" s="28"/>
      <c r="J1850" s="184" t="str">
        <f t="shared" si="57"/>
        <v>RVIBU</v>
      </c>
    </row>
    <row r="1851" spans="3:10" x14ac:dyDescent="0.25">
      <c r="C1851" s="28" t="s">
        <v>4204</v>
      </c>
      <c r="D1851" s="188" t="str">
        <f>+INDEX([1]Detallado!$F:$F,MATCH($C1851,[1]Detallado!$B:$B,0))</f>
        <v>Renta Variable</v>
      </c>
      <c r="E1851" s="31" t="str">
        <f>+INDEX([1]Detallado!$Q:$Q,MATCH($C1851,[1]Detallado!$B:$B,0))</f>
        <v>RVI</v>
      </c>
      <c r="F1851" s="185" t="s">
        <v>4357</v>
      </c>
      <c r="G1851" s="186" t="str">
        <f t="shared" si="56"/>
        <v>34RVI</v>
      </c>
      <c r="H1851" s="187" t="str">
        <f>+INDEX([1]Detallado!$D:$D,MATCH(C1851,[1]Detallado!$B:$B,0))</f>
        <v>Meritage Homes Corporation</v>
      </c>
      <c r="I1851" s="28"/>
      <c r="J1851" s="184" t="str">
        <f t="shared" si="57"/>
        <v>RVIBU</v>
      </c>
    </row>
    <row r="1852" spans="3:10" x14ac:dyDescent="0.25">
      <c r="C1852" s="28" t="s">
        <v>4205</v>
      </c>
      <c r="D1852" s="188" t="str">
        <f>+INDEX([1]Detallado!$F:$F,MATCH($C1852,[1]Detallado!$B:$B,0))</f>
        <v>Renta Variable</v>
      </c>
      <c r="E1852" s="31" t="str">
        <f>+INDEX([1]Detallado!$Q:$Q,MATCH($C1852,[1]Detallado!$B:$B,0))</f>
        <v>RVI</v>
      </c>
      <c r="F1852" s="185" t="s">
        <v>4357</v>
      </c>
      <c r="G1852" s="186" t="str">
        <f t="shared" si="56"/>
        <v>34RVI</v>
      </c>
      <c r="H1852" s="187" t="str">
        <f>+INDEX([1]Detallado!$D:$D,MATCH(C1852,[1]Detallado!$B:$B,0))</f>
        <v>Honerywell International</v>
      </c>
      <c r="I1852" s="28"/>
      <c r="J1852" s="184" t="str">
        <f t="shared" si="57"/>
        <v>RVIBU</v>
      </c>
    </row>
    <row r="1853" spans="3:10" x14ac:dyDescent="0.25">
      <c r="C1853" s="28" t="s">
        <v>1355</v>
      </c>
      <c r="D1853" s="188" t="str">
        <f>+INDEX([1]Detallado!$F:$F,MATCH($C1853,[1]Detallado!$B:$B,0))</f>
        <v>Renta Variable</v>
      </c>
      <c r="E1853" s="31" t="str">
        <f>+INDEX([1]Detallado!$Q:$Q,MATCH($C1853,[1]Detallado!$B:$B,0))</f>
        <v>RVI</v>
      </c>
      <c r="F1853" s="185" t="s">
        <v>4355</v>
      </c>
      <c r="G1853" s="186" t="str">
        <f t="shared" si="56"/>
        <v>52RVI</v>
      </c>
      <c r="H1853" s="187" t="str">
        <f>+INDEX([1]Detallado!$D:$D,MATCH(C1853,[1]Detallado!$B:$B,0))</f>
        <v>State Street - Homebuilders ETF</v>
      </c>
      <c r="I1853" s="28"/>
      <c r="J1853" s="184" t="str">
        <f t="shared" si="57"/>
        <v>RVITD</v>
      </c>
    </row>
    <row r="1854" spans="3:10" x14ac:dyDescent="0.25">
      <c r="C1854" s="28" t="s">
        <v>1211</v>
      </c>
      <c r="D1854" s="188" t="str">
        <f>+INDEX([1]Detallado!$F:$F,MATCH($C1854,[1]Detallado!$B:$B,0))</f>
        <v>Renta Variable</v>
      </c>
      <c r="E1854" s="31" t="str">
        <f>+INDEX([1]Detallado!$Q:$Q,MATCH($C1854,[1]Detallado!$B:$B,0))</f>
        <v>RVI</v>
      </c>
      <c r="F1854" s="185" t="s">
        <v>4355</v>
      </c>
      <c r="G1854" s="186" t="str">
        <f t="shared" si="56"/>
        <v>52RVI</v>
      </c>
      <c r="H1854" s="187" t="str">
        <f>+INDEX([1]Detallado!$D:$D,MATCH(C1854,[1]Detallado!$B:$B,0))</f>
        <v>State Street - Industrial Select Sector</v>
      </c>
      <c r="I1854" s="28"/>
      <c r="J1854" s="184" t="str">
        <f t="shared" si="57"/>
        <v>RVITD</v>
      </c>
    </row>
    <row r="1855" spans="3:10" x14ac:dyDescent="0.25">
      <c r="C1855" s="28" t="s">
        <v>1352</v>
      </c>
      <c r="D1855" s="188" t="str">
        <f>+INDEX([1]Detallado!$F:$F,MATCH($C1855,[1]Detallado!$B:$B,0))</f>
        <v>Renta Variable</v>
      </c>
      <c r="E1855" s="31" t="str">
        <f>+INDEX([1]Detallado!$Q:$Q,MATCH($C1855,[1]Detallado!$B:$B,0))</f>
        <v>RVI</v>
      </c>
      <c r="F1855" s="185" t="s">
        <v>4355</v>
      </c>
      <c r="G1855" s="186" t="str">
        <f t="shared" si="56"/>
        <v>52RVI</v>
      </c>
      <c r="H1855" s="187" t="str">
        <f>+INDEX([1]Detallado!$D:$D,MATCH(C1855,[1]Detallado!$B:$B,0))</f>
        <v>BlackRock - iShares DJ US Home Construction Fund</v>
      </c>
      <c r="I1855" s="28"/>
      <c r="J1855" s="184" t="str">
        <f t="shared" si="57"/>
        <v>RVITD</v>
      </c>
    </row>
    <row r="1856" spans="3:10" x14ac:dyDescent="0.25">
      <c r="C1856" s="28" t="s">
        <v>1319</v>
      </c>
      <c r="D1856" s="188" t="str">
        <f>+INDEX([1]Detallado!$F:$F,MATCH($C1856,[1]Detallado!$B:$B,0))</f>
        <v>Renta Variable</v>
      </c>
      <c r="E1856" s="31" t="str">
        <f>+INDEX([1]Detallado!$Q:$Q,MATCH($C1856,[1]Detallado!$B:$B,0))</f>
        <v>RVI</v>
      </c>
      <c r="F1856" s="185" t="s">
        <v>4355</v>
      </c>
      <c r="G1856" s="186" t="str">
        <f t="shared" si="56"/>
        <v>52RVI</v>
      </c>
      <c r="H1856" s="187" t="str">
        <f>+INDEX([1]Detallado!$D:$D,MATCH(C1856,[1]Detallado!$B:$B,0))</f>
        <v>BlackRock - iShares Transportation Average</v>
      </c>
      <c r="I1856" s="28"/>
      <c r="J1856" s="184" t="str">
        <f t="shared" si="57"/>
        <v>RVITD</v>
      </c>
    </row>
    <row r="1857" spans="3:10" x14ac:dyDescent="0.25">
      <c r="C1857" s="28" t="s">
        <v>2490</v>
      </c>
      <c r="D1857" s="188" t="str">
        <f>+INDEX([1]Detallado!$F:$F,MATCH($C1857,[1]Detallado!$B:$B,0))</f>
        <v>Renta Variable</v>
      </c>
      <c r="E1857" s="31" t="str">
        <f>+INDEX([1]Detallado!$Q:$Q,MATCH($C1857,[1]Detallado!$B:$B,0))</f>
        <v>RVI</v>
      </c>
      <c r="F1857" s="185" t="s">
        <v>4355</v>
      </c>
      <c r="G1857" s="186" t="str">
        <f t="shared" si="56"/>
        <v>52RVI</v>
      </c>
      <c r="H1857" s="187" t="str">
        <f>+INDEX([1]Detallado!$D:$D,MATCH(C1857,[1]Detallado!$B:$B,0))</f>
        <v>AXA - World Funds Framligton Digital Economy</v>
      </c>
      <c r="I1857" s="28"/>
      <c r="J1857" s="184" t="str">
        <f t="shared" si="57"/>
        <v>RVITD</v>
      </c>
    </row>
    <row r="1858" spans="3:10" x14ac:dyDescent="0.25">
      <c r="C1858" s="28" t="s">
        <v>4206</v>
      </c>
      <c r="D1858" s="188" t="str">
        <f>+INDEX([1]Detallado!$F:$F,MATCH($C1858,[1]Detallado!$B:$B,0))</f>
        <v>Renta Variable</v>
      </c>
      <c r="E1858" s="31" t="str">
        <f>+INDEX([1]Detallado!$Q:$Q,MATCH($C1858,[1]Detallado!$B:$B,0))</f>
        <v>RVI</v>
      </c>
      <c r="F1858" s="185" t="s">
        <v>4357</v>
      </c>
      <c r="G1858" s="186" t="str">
        <f t="shared" si="56"/>
        <v>34RVI</v>
      </c>
      <c r="H1858" s="187" t="str">
        <f>+INDEX([1]Detallado!$D:$D,MATCH(C1858,[1]Detallado!$B:$B,0))</f>
        <v>Cisco Systems INC</v>
      </c>
      <c r="I1858" s="28"/>
      <c r="J1858" s="184" t="str">
        <f t="shared" si="57"/>
        <v>RVIBU</v>
      </c>
    </row>
    <row r="1859" spans="3:10" x14ac:dyDescent="0.25">
      <c r="C1859" s="28" t="s">
        <v>4207</v>
      </c>
      <c r="D1859" s="188" t="str">
        <f>+INDEX([1]Detallado!$F:$F,MATCH($C1859,[1]Detallado!$B:$B,0))</f>
        <v>Renta Variable</v>
      </c>
      <c r="E1859" s="31" t="str">
        <f>+INDEX([1]Detallado!$Q:$Q,MATCH($C1859,[1]Detallado!$B:$B,0))</f>
        <v>RVI</v>
      </c>
      <c r="F1859" s="185" t="s">
        <v>4357</v>
      </c>
      <c r="G1859" s="186" t="str">
        <f t="shared" si="56"/>
        <v>34RVI</v>
      </c>
      <c r="H1859" s="187" t="str">
        <f>+INDEX([1]Detallado!$D:$D,MATCH(C1859,[1]Detallado!$B:$B,0))</f>
        <v>Apple</v>
      </c>
      <c r="I1859" s="28"/>
      <c r="J1859" s="184" t="str">
        <f t="shared" si="57"/>
        <v>RVIBU</v>
      </c>
    </row>
    <row r="1860" spans="3:10" x14ac:dyDescent="0.25">
      <c r="C1860" s="28" t="s">
        <v>4208</v>
      </c>
      <c r="D1860" s="188" t="str">
        <f>+INDEX([1]Detallado!$F:$F,MATCH($C1860,[1]Detallado!$B:$B,0))</f>
        <v>Renta Variable</v>
      </c>
      <c r="E1860" s="31" t="str">
        <f>+INDEX([1]Detallado!$Q:$Q,MATCH($C1860,[1]Detallado!$B:$B,0))</f>
        <v>RVI</v>
      </c>
      <c r="F1860" s="185" t="s">
        <v>4357</v>
      </c>
      <c r="G1860" s="186" t="str">
        <f t="shared" si="56"/>
        <v>34RVI</v>
      </c>
      <c r="H1860" s="187" t="str">
        <f>+INDEX([1]Detallado!$D:$D,MATCH(C1860,[1]Detallado!$B:$B,0))</f>
        <v>Qualcomm</v>
      </c>
      <c r="I1860" s="28"/>
      <c r="J1860" s="184" t="str">
        <f t="shared" si="57"/>
        <v>RVIBU</v>
      </c>
    </row>
    <row r="1861" spans="3:10" x14ac:dyDescent="0.25">
      <c r="C1861" s="28" t="s">
        <v>2497</v>
      </c>
      <c r="D1861" s="188" t="str">
        <f>+INDEX([1]Detallado!$F:$F,MATCH($C1861,[1]Detallado!$B:$B,0))</f>
        <v>Renta Variable</v>
      </c>
      <c r="E1861" s="31" t="str">
        <f>+INDEX([1]Detallado!$Q:$Q,MATCH($C1861,[1]Detallado!$B:$B,0))</f>
        <v>RVI</v>
      </c>
      <c r="F1861" s="185" t="s">
        <v>4355</v>
      </c>
      <c r="G1861" s="186" t="str">
        <f t="shared" si="56"/>
        <v>52RVI</v>
      </c>
      <c r="H1861" s="187" t="str">
        <f>+INDEX([1]Detallado!$D:$D,MATCH(C1861,[1]Detallado!$B:$B,0))</f>
        <v>Credit Suisse - Digital Health</v>
      </c>
      <c r="I1861" s="28"/>
      <c r="J1861" s="184" t="str">
        <f t="shared" si="57"/>
        <v>RVITD</v>
      </c>
    </row>
    <row r="1862" spans="3:10" x14ac:dyDescent="0.25">
      <c r="C1862" s="28" t="s">
        <v>4209</v>
      </c>
      <c r="D1862" s="188" t="e">
        <f>+INDEX([1]Detallado!$F:$F,MATCH($C1862,[1]Detallado!$B:$B,0))</f>
        <v>#N/A</v>
      </c>
      <c r="E1862" s="31" t="e">
        <f>+INDEX([1]Detallado!$Q:$Q,MATCH($C1862,[1]Detallado!$B:$B,0))</f>
        <v>#N/A</v>
      </c>
      <c r="F1862" s="185" t="s">
        <v>4355</v>
      </c>
      <c r="G1862" s="186" t="e">
        <f t="shared" si="56"/>
        <v>#N/A</v>
      </c>
      <c r="H1862" s="187" t="e">
        <f>+INDEX([1]Detallado!$D:$D,MATCH(C1862,[1]Detallado!$B:$B,0))</f>
        <v>#N/A</v>
      </c>
      <c r="I1862" s="28"/>
      <c r="J1862" s="184" t="e">
        <f t="shared" si="57"/>
        <v>#N/A</v>
      </c>
    </row>
    <row r="1863" spans="3:10" x14ac:dyDescent="0.25">
      <c r="C1863" s="28" t="s">
        <v>1215</v>
      </c>
      <c r="D1863" s="188" t="str">
        <f>+INDEX([1]Detallado!$F:$F,MATCH($C1863,[1]Detallado!$B:$B,0))</f>
        <v>Renta Variable</v>
      </c>
      <c r="E1863" s="31" t="str">
        <f>+INDEX([1]Detallado!$Q:$Q,MATCH($C1863,[1]Detallado!$B:$B,0))</f>
        <v>RVI</v>
      </c>
      <c r="F1863" s="185" t="s">
        <v>4355</v>
      </c>
      <c r="G1863" s="186" t="str">
        <f t="shared" si="56"/>
        <v>52RVI</v>
      </c>
      <c r="H1863" s="187" t="str">
        <f>+INDEX([1]Detallado!$D:$D,MATCH(C1863,[1]Detallado!$B:$B,0))</f>
        <v>State Street - Technology Select Sector</v>
      </c>
      <c r="I1863" s="28"/>
      <c r="J1863" s="184" t="str">
        <f t="shared" si="57"/>
        <v>RVITD</v>
      </c>
    </row>
    <row r="1864" spans="3:10" x14ac:dyDescent="0.25">
      <c r="C1864" s="28" t="s">
        <v>1309</v>
      </c>
      <c r="D1864" s="188" t="str">
        <f>+INDEX([1]Detallado!$F:$F,MATCH($C1864,[1]Detallado!$B:$B,0))</f>
        <v>Renta Variable</v>
      </c>
      <c r="E1864" s="31" t="str">
        <f>+INDEX([1]Detallado!$Q:$Q,MATCH($C1864,[1]Detallado!$B:$B,0))</f>
        <v>RVI</v>
      </c>
      <c r="F1864" s="185" t="s">
        <v>4355</v>
      </c>
      <c r="G1864" s="186" t="str">
        <f t="shared" si="56"/>
        <v>52RVI</v>
      </c>
      <c r="H1864" s="187" t="str">
        <f>+INDEX([1]Detallado!$D:$D,MATCH(C1864,[1]Detallado!$B:$B,0))</f>
        <v>Vanguard - Information Technology</v>
      </c>
      <c r="I1864" s="28"/>
      <c r="J1864" s="184" t="str">
        <f t="shared" si="57"/>
        <v>RVITD</v>
      </c>
    </row>
    <row r="1865" spans="3:10" x14ac:dyDescent="0.25">
      <c r="C1865" s="28" t="s">
        <v>1748</v>
      </c>
      <c r="D1865" s="188" t="str">
        <f>+INDEX([1]Detallado!$F:$F,MATCH($C1865,[1]Detallado!$B:$B,0))</f>
        <v>Renta Variable</v>
      </c>
      <c r="E1865" s="31" t="str">
        <f>+INDEX([1]Detallado!$Q:$Q,MATCH($C1865,[1]Detallado!$B:$B,0))</f>
        <v>RVI</v>
      </c>
      <c r="F1865" s="185" t="s">
        <v>4355</v>
      </c>
      <c r="G1865" s="186" t="str">
        <f t="shared" si="56"/>
        <v>52RVI</v>
      </c>
      <c r="H1865" s="187" t="str">
        <f>+INDEX([1]Detallado!$D:$D,MATCH(C1865,[1]Detallado!$B:$B,0))</f>
        <v>Pictet - Digital</v>
      </c>
      <c r="I1865" s="28"/>
      <c r="J1865" s="184" t="str">
        <f t="shared" si="57"/>
        <v>RVITD</v>
      </c>
    </row>
    <row r="1866" spans="3:10" x14ac:dyDescent="0.25">
      <c r="C1866" s="28" t="s">
        <v>2553</v>
      </c>
      <c r="D1866" s="188" t="str">
        <f>+INDEX([1]Detallado!$F:$F,MATCH($C1866,[1]Detallado!$B:$B,0))</f>
        <v>Renta Variable</v>
      </c>
      <c r="E1866" s="31" t="str">
        <f>+INDEX([1]Detallado!$Q:$Q,MATCH($C1866,[1]Detallado!$B:$B,0))</f>
        <v>RVI</v>
      </c>
      <c r="F1866" s="185" t="s">
        <v>4355</v>
      </c>
      <c r="G1866" s="186" t="str">
        <f t="shared" ref="G1866:G1929" si="58">LEFT(C1866,2)&amp;E1866</f>
        <v>52RVI</v>
      </c>
      <c r="H1866" s="187" t="str">
        <f>+INDEX([1]Detallado!$D:$D,MATCH(C1866,[1]Detallado!$B:$B,0))</f>
        <v>Allianz - Artificial Intelligence</v>
      </c>
      <c r="I1866" s="28"/>
      <c r="J1866" s="184" t="str">
        <f t="shared" ref="J1866:J1929" si="59">IF(E1866="ALT",LEFT(E1866,3),LEFT(E1866,3)&amp;F1866)</f>
        <v>RVITD</v>
      </c>
    </row>
    <row r="1867" spans="3:10" x14ac:dyDescent="0.25">
      <c r="C1867" s="28" t="s">
        <v>2609</v>
      </c>
      <c r="D1867" s="188" t="str">
        <f>+INDEX([1]Detallado!$F:$F,MATCH($C1867,[1]Detallado!$B:$B,0))</f>
        <v>Renta Variable</v>
      </c>
      <c r="E1867" s="31" t="str">
        <f>+INDEX([1]Detallado!$Q:$Q,MATCH($C1867,[1]Detallado!$B:$B,0))</f>
        <v>RVI</v>
      </c>
      <c r="F1867" s="185" t="s">
        <v>4355</v>
      </c>
      <c r="G1867" s="186" t="str">
        <f t="shared" si="58"/>
        <v>52RVI</v>
      </c>
      <c r="H1867" s="187" t="str">
        <f>+INDEX([1]Detallado!$D:$D,MATCH(C1867,[1]Detallado!$B:$B,0))</f>
        <v>Credit Suisse - Lux Digital Health Equity</v>
      </c>
      <c r="I1867" s="28"/>
      <c r="J1867" s="184" t="str">
        <f t="shared" si="59"/>
        <v>RVITD</v>
      </c>
    </row>
    <row r="1868" spans="3:10" x14ac:dyDescent="0.25">
      <c r="C1868" s="28" t="s">
        <v>683</v>
      </c>
      <c r="D1868" s="188" t="str">
        <f>+INDEX([1]Detallado!$F:$F,MATCH($C1868,[1]Detallado!$B:$B,0))</f>
        <v>Renta Variable</v>
      </c>
      <c r="E1868" s="31" t="str">
        <f>+INDEX([1]Detallado!$Q:$Q,MATCH($C1868,[1]Detallado!$B:$B,0))</f>
        <v>RVI</v>
      </c>
      <c r="F1868" s="185" t="s">
        <v>4355</v>
      </c>
      <c r="G1868" s="186" t="str">
        <f t="shared" si="58"/>
        <v>52RVI</v>
      </c>
      <c r="H1868" s="187" t="str">
        <f>+INDEX([1]Detallado!$D:$D,MATCH(C1868,[1]Detallado!$B:$B,0))</f>
        <v>SKYY US - First Trust Cloud Computing ETF</v>
      </c>
      <c r="I1868" s="28"/>
      <c r="J1868" s="184" t="str">
        <f t="shared" si="59"/>
        <v>RVITD</v>
      </c>
    </row>
    <row r="1869" spans="3:10" x14ac:dyDescent="0.25">
      <c r="C1869" s="28" t="s">
        <v>1256</v>
      </c>
      <c r="D1869" s="188" t="str">
        <f>+INDEX([1]Detallado!$F:$F,MATCH($C1869,[1]Detallado!$B:$B,0))</f>
        <v>Renta Variable</v>
      </c>
      <c r="E1869" s="31" t="str">
        <f>+INDEX([1]Detallado!$Q:$Q,MATCH($C1869,[1]Detallado!$B:$B,0))</f>
        <v>RVI</v>
      </c>
      <c r="F1869" s="185" t="s">
        <v>4355</v>
      </c>
      <c r="G1869" s="186" t="str">
        <f t="shared" si="58"/>
        <v>52RVI</v>
      </c>
      <c r="H1869" s="187" t="str">
        <f>+INDEX([1]Detallado!$D:$D,MATCH(C1869,[1]Detallado!$B:$B,0))</f>
        <v>BlackRock - iShares S&amp;P NA Technology-Software Fund</v>
      </c>
      <c r="I1869" s="28"/>
      <c r="J1869" s="184" t="str">
        <f t="shared" si="59"/>
        <v>RVITD</v>
      </c>
    </row>
    <row r="1870" spans="3:10" x14ac:dyDescent="0.25">
      <c r="C1870" s="28" t="s">
        <v>1654</v>
      </c>
      <c r="D1870" s="188" t="str">
        <f>+INDEX([1]Detallado!$F:$F,MATCH($C1870,[1]Detallado!$B:$B,0))</f>
        <v>Renta Variable</v>
      </c>
      <c r="E1870" s="31" t="str">
        <f>+INDEX([1]Detallado!$Q:$Q,MATCH($C1870,[1]Detallado!$B:$B,0))</f>
        <v>RVI</v>
      </c>
      <c r="F1870" s="185" t="s">
        <v>4355</v>
      </c>
      <c r="G1870" s="186" t="str">
        <f t="shared" si="58"/>
        <v>52RVI</v>
      </c>
      <c r="H1870" s="187" t="str">
        <f>+INDEX([1]Detallado!$D:$D,MATCH(C1870,[1]Detallado!$B:$B,0))</f>
        <v>Krane - CICC China 5G and Semiconductor ETF</v>
      </c>
      <c r="I1870" s="28"/>
      <c r="J1870" s="184" t="str">
        <f t="shared" si="59"/>
        <v>RVITD</v>
      </c>
    </row>
    <row r="1871" spans="3:10" x14ac:dyDescent="0.25">
      <c r="C1871" s="28" t="s">
        <v>1249</v>
      </c>
      <c r="D1871" s="188" t="str">
        <f>+INDEX([1]Detallado!$F:$F,MATCH($C1871,[1]Detallado!$B:$B,0))</f>
        <v>Renta Variable</v>
      </c>
      <c r="E1871" s="31" t="str">
        <f>+INDEX([1]Detallado!$Q:$Q,MATCH($C1871,[1]Detallado!$B:$B,0))</f>
        <v>RVI</v>
      </c>
      <c r="F1871" s="185" t="s">
        <v>4355</v>
      </c>
      <c r="G1871" s="186" t="str">
        <f t="shared" si="58"/>
        <v>52RVI</v>
      </c>
      <c r="H1871" s="187" t="str">
        <f>+INDEX([1]Detallado!$D:$D,MATCH(C1871,[1]Detallado!$B:$B,0))</f>
        <v>BlackRock - iShares NA Tech-Multim</v>
      </c>
      <c r="I1871" s="28"/>
      <c r="J1871" s="184" t="str">
        <f t="shared" si="59"/>
        <v>RVITD</v>
      </c>
    </row>
    <row r="1872" spans="3:10" x14ac:dyDescent="0.25">
      <c r="C1872" s="28" t="s">
        <v>1235</v>
      </c>
      <c r="D1872" s="188" t="str">
        <f>+INDEX([1]Detallado!$F:$F,MATCH($C1872,[1]Detallado!$B:$B,0))</f>
        <v>Renta Variable</v>
      </c>
      <c r="E1872" s="31" t="str">
        <f>+INDEX([1]Detallado!$Q:$Q,MATCH($C1872,[1]Detallado!$B:$B,0))</f>
        <v>RVI</v>
      </c>
      <c r="F1872" s="185" t="s">
        <v>4355</v>
      </c>
      <c r="G1872" s="186" t="str">
        <f t="shared" si="58"/>
        <v>52RVI</v>
      </c>
      <c r="H1872" s="187" t="str">
        <f>+INDEX([1]Detallado!$D:$D,MATCH(C1872,[1]Detallado!$B:$B,0))</f>
        <v>BlackRock - iShares Nasdaq Biotechnology ETF</v>
      </c>
      <c r="I1872" s="28"/>
      <c r="J1872" s="184" t="str">
        <f t="shared" si="59"/>
        <v>RVITD</v>
      </c>
    </row>
    <row r="1873" spans="3:10" x14ac:dyDescent="0.25">
      <c r="C1873" s="28" t="s">
        <v>1548</v>
      </c>
      <c r="D1873" s="188" t="str">
        <f>+INDEX([1]Detallado!$F:$F,MATCH($C1873,[1]Detallado!$B:$B,0))</f>
        <v>Renta Variable</v>
      </c>
      <c r="E1873" s="31" t="str">
        <f>+INDEX([1]Detallado!$Q:$Q,MATCH($C1873,[1]Detallado!$B:$B,0))</f>
        <v>RVI</v>
      </c>
      <c r="F1873" s="185" t="s">
        <v>4355</v>
      </c>
      <c r="G1873" s="186" t="str">
        <f t="shared" si="58"/>
        <v>52RVI</v>
      </c>
      <c r="H1873" s="187" t="str">
        <f>+INDEX([1]Detallado!$D:$D,MATCH(C1873,[1]Detallado!$B:$B,0))</f>
        <v>VanEck Semiconductor ETF</v>
      </c>
      <c r="I1873" s="28"/>
      <c r="J1873" s="184" t="str">
        <f t="shared" si="59"/>
        <v>RVITD</v>
      </c>
    </row>
    <row r="1874" spans="3:10" x14ac:dyDescent="0.25">
      <c r="C1874" s="28" t="s">
        <v>1253</v>
      </c>
      <c r="D1874" s="188" t="str">
        <f>+INDEX([1]Detallado!$F:$F,MATCH($C1874,[1]Detallado!$B:$B,0))</f>
        <v>Renta Variable</v>
      </c>
      <c r="E1874" s="31" t="str">
        <f>+INDEX([1]Detallado!$Q:$Q,MATCH($C1874,[1]Detallado!$B:$B,0))</f>
        <v>RVI</v>
      </c>
      <c r="F1874" s="185" t="s">
        <v>4355</v>
      </c>
      <c r="G1874" s="186" t="str">
        <f t="shared" si="58"/>
        <v>52RVI</v>
      </c>
      <c r="H1874" s="187" t="str">
        <f>+INDEX([1]Detallado!$D:$D,MATCH(C1874,[1]Detallado!$B:$B,0))</f>
        <v>BlackRock - iShares PHLX Semiconductor ETF</v>
      </c>
      <c r="I1874" s="28"/>
      <c r="J1874" s="184" t="str">
        <f t="shared" si="59"/>
        <v>RVITD</v>
      </c>
    </row>
    <row r="1875" spans="3:10" x14ac:dyDescent="0.25">
      <c r="C1875" s="28" t="s">
        <v>1653</v>
      </c>
      <c r="D1875" s="188" t="str">
        <f>+INDEX([1]Detallado!$F:$F,MATCH($C1875,[1]Detallado!$B:$B,0))</f>
        <v>Renta Variable</v>
      </c>
      <c r="E1875" s="31" t="str">
        <f>+INDEX([1]Detallado!$Q:$Q,MATCH($C1875,[1]Detallado!$B:$B,0))</f>
        <v>RVI</v>
      </c>
      <c r="F1875" s="185" t="s">
        <v>4355</v>
      </c>
      <c r="G1875" s="186" t="str">
        <f t="shared" si="58"/>
        <v>52RVI</v>
      </c>
      <c r="H1875" s="187" t="str">
        <f>+INDEX([1]Detallado!$D:$D,MATCH(C1875,[1]Detallado!$B:$B,0))</f>
        <v>WisdomTree - Cloud Computing</v>
      </c>
      <c r="I1875" s="28"/>
      <c r="J1875" s="184" t="str">
        <f t="shared" si="59"/>
        <v>RVITD</v>
      </c>
    </row>
    <row r="1876" spans="3:10" x14ac:dyDescent="0.25">
      <c r="C1876" s="28" t="s">
        <v>693</v>
      </c>
      <c r="D1876" s="188" t="str">
        <f>+INDEX([1]Detallado!$F:$F,MATCH($C1876,[1]Detallado!$B:$B,0))</f>
        <v>Renta Variable</v>
      </c>
      <c r="E1876" s="31" t="str">
        <f>+INDEX([1]Detallado!$Q:$Q,MATCH($C1876,[1]Detallado!$B:$B,0))</f>
        <v>RVI</v>
      </c>
      <c r="F1876" s="185" t="s">
        <v>4355</v>
      </c>
      <c r="G1876" s="186" t="str">
        <f t="shared" si="58"/>
        <v>52RVI</v>
      </c>
      <c r="H1876" s="187" t="str">
        <f>+INDEX([1]Detallado!$D:$D,MATCH(C1876,[1]Detallado!$B:$B,0))</f>
        <v>Invesco - Power Shares QQQ</v>
      </c>
      <c r="I1876" s="28"/>
      <c r="J1876" s="184" t="str">
        <f t="shared" si="59"/>
        <v>RVITD</v>
      </c>
    </row>
    <row r="1877" spans="3:10" x14ac:dyDescent="0.25">
      <c r="C1877" s="28" t="s">
        <v>2594</v>
      </c>
      <c r="D1877" s="188" t="str">
        <f>+INDEX([1]Detallado!$F:$F,MATCH($C1877,[1]Detallado!$B:$B,0))</f>
        <v>Renta Variable</v>
      </c>
      <c r="E1877" s="31" t="str">
        <f>+INDEX([1]Detallado!$Q:$Q,MATCH($C1877,[1]Detallado!$B:$B,0))</f>
        <v>RVI</v>
      </c>
      <c r="F1877" s="185" t="s">
        <v>4355</v>
      </c>
      <c r="G1877" s="186" t="str">
        <f t="shared" si="58"/>
        <v>52RVI</v>
      </c>
      <c r="H1877" s="187" t="str">
        <f>+INDEX([1]Detallado!$D:$D,MATCH(C1877,[1]Detallado!$B:$B,0))</f>
        <v>Black Rock - World Technology Fund</v>
      </c>
      <c r="I1877" s="28"/>
      <c r="J1877" s="184" t="str">
        <f t="shared" si="59"/>
        <v>RVITD</v>
      </c>
    </row>
    <row r="1878" spans="3:10" x14ac:dyDescent="0.25">
      <c r="C1878" s="28" t="s">
        <v>1334</v>
      </c>
      <c r="D1878" s="188" t="str">
        <f>+INDEX([1]Detallado!$F:$F,MATCH($C1878,[1]Detallado!$B:$B,0))</f>
        <v>Renta Variable</v>
      </c>
      <c r="E1878" s="31" t="str">
        <f>+INDEX([1]Detallado!$Q:$Q,MATCH($C1878,[1]Detallado!$B:$B,0))</f>
        <v>RVI</v>
      </c>
      <c r="F1878" s="185" t="s">
        <v>4355</v>
      </c>
      <c r="G1878" s="186" t="str">
        <f t="shared" si="58"/>
        <v>52RVI</v>
      </c>
      <c r="H1878" s="187" t="str">
        <f>+INDEX([1]Detallado!$D:$D,MATCH(C1878,[1]Detallado!$B:$B,0))</f>
        <v>Invesco - DYNAMIC LEISURE AND</v>
      </c>
      <c r="I1878" s="28"/>
      <c r="J1878" s="184" t="str">
        <f t="shared" si="59"/>
        <v>RVITD</v>
      </c>
    </row>
    <row r="1879" spans="3:10" x14ac:dyDescent="0.25">
      <c r="C1879" s="28" t="s">
        <v>640</v>
      </c>
      <c r="D1879" s="188" t="str">
        <f>+INDEX([1]Detallado!$F:$F,MATCH($C1879,[1]Detallado!$B:$B,0))</f>
        <v>Renta Variable</v>
      </c>
      <c r="E1879" s="31" t="str">
        <f>+INDEX([1]Detallado!$Q:$Q,MATCH($C1879,[1]Detallado!$B:$B,0))</f>
        <v>RVI</v>
      </c>
      <c r="F1879" s="185" t="s">
        <v>4355</v>
      </c>
      <c r="G1879" s="186" t="str">
        <f t="shared" si="58"/>
        <v>52RVI</v>
      </c>
      <c r="H1879" s="187" t="str">
        <f>+INDEX([1]Detallado!$D:$D,MATCH(C1879,[1]Detallado!$B:$B,0))</f>
        <v>First Trust - DJI Index Fund</v>
      </c>
      <c r="I1879" s="28"/>
      <c r="J1879" s="184" t="str">
        <f t="shared" si="59"/>
        <v>RVITD</v>
      </c>
    </row>
    <row r="1880" spans="3:10" x14ac:dyDescent="0.25">
      <c r="C1880" s="28" t="s">
        <v>1645</v>
      </c>
      <c r="D1880" s="188" t="str">
        <f>+INDEX([1]Detallado!$F:$F,MATCH($C1880,[1]Detallado!$B:$B,0))</f>
        <v>Renta Variable</v>
      </c>
      <c r="E1880" s="31" t="str">
        <f>+INDEX([1]Detallado!$Q:$Q,MATCH($C1880,[1]Detallado!$B:$B,0))</f>
        <v>RVI</v>
      </c>
      <c r="F1880" s="185" t="s">
        <v>4355</v>
      </c>
      <c r="G1880" s="186" t="str">
        <f t="shared" si="58"/>
        <v>52RVI</v>
      </c>
      <c r="H1880" s="187" t="str">
        <f>+INDEX([1]Detallado!$D:$D,MATCH(C1880,[1]Detallado!$B:$B,0))</f>
        <v>Krane - KElectric Vehicles and Future Mobility ETF</v>
      </c>
      <c r="I1880" s="28"/>
      <c r="J1880" s="184" t="str">
        <f t="shared" si="59"/>
        <v>RVITD</v>
      </c>
    </row>
    <row r="1881" spans="3:10" x14ac:dyDescent="0.25">
      <c r="C1881" s="28" t="s">
        <v>1222</v>
      </c>
      <c r="D1881" s="188" t="str">
        <f>+INDEX([1]Detallado!$F:$F,MATCH($C1881,[1]Detallado!$B:$B,0))</f>
        <v>Renta Variable</v>
      </c>
      <c r="E1881" s="31" t="str">
        <f>+INDEX([1]Detallado!$Q:$Q,MATCH($C1881,[1]Detallado!$B:$B,0))</f>
        <v>RVI</v>
      </c>
      <c r="F1881" s="185" t="s">
        <v>4355</v>
      </c>
      <c r="G1881" s="186" t="str">
        <f t="shared" si="58"/>
        <v>52RVI</v>
      </c>
      <c r="H1881" s="187" t="str">
        <f>+INDEX([1]Detallado!$D:$D,MATCH(C1881,[1]Detallado!$B:$B,0))</f>
        <v>State Street - Utilities Select Sector</v>
      </c>
      <c r="I1881" s="28"/>
      <c r="J1881" s="184" t="str">
        <f t="shared" si="59"/>
        <v>RVITD</v>
      </c>
    </row>
    <row r="1882" spans="3:10" x14ac:dyDescent="0.25">
      <c r="C1882" s="28" t="s">
        <v>1316</v>
      </c>
      <c r="D1882" s="188" t="str">
        <f>+INDEX([1]Detallado!$F:$F,MATCH($C1882,[1]Detallado!$B:$B,0))</f>
        <v>Renta Variable</v>
      </c>
      <c r="E1882" s="31" t="str">
        <f>+INDEX([1]Detallado!$Q:$Q,MATCH($C1882,[1]Detallado!$B:$B,0))</f>
        <v>RVI</v>
      </c>
      <c r="F1882" s="185" t="s">
        <v>4355</v>
      </c>
      <c r="G1882" s="186" t="str">
        <f t="shared" si="58"/>
        <v>52RVI</v>
      </c>
      <c r="H1882" s="187" t="str">
        <f>+INDEX([1]Detallado!$D:$D,MATCH(C1882,[1]Detallado!$B:$B,0))</f>
        <v>Vanguard - Utilities ETF</v>
      </c>
      <c r="I1882" s="28"/>
      <c r="J1882" s="184" t="str">
        <f t="shared" si="59"/>
        <v>RVITD</v>
      </c>
    </row>
    <row r="1883" spans="3:10" x14ac:dyDescent="0.25">
      <c r="C1883" s="28" t="s">
        <v>2236</v>
      </c>
      <c r="D1883" s="188" t="str">
        <f>+INDEX([1]Detallado!$F:$F,MATCH($C1883,[1]Detallado!$B:$B,0))</f>
        <v>Renta Variable</v>
      </c>
      <c r="E1883" s="31" t="str">
        <f>+INDEX([1]Detallado!$Q:$Q,MATCH($C1883,[1]Detallado!$B:$B,0))</f>
        <v>RVI</v>
      </c>
      <c r="F1883" s="185" t="s">
        <v>4355</v>
      </c>
      <c r="G1883" s="186" t="str">
        <f t="shared" si="58"/>
        <v>52RVI</v>
      </c>
      <c r="H1883" s="187" t="str">
        <f>+INDEX([1]Detallado!$D:$D,MATCH(C1883,[1]Detallado!$B:$B,0))</f>
        <v>MSIM - Emerging Leaders Equity Fund Z</v>
      </c>
      <c r="I1883" s="28"/>
      <c r="J1883" s="184" t="str">
        <f t="shared" si="59"/>
        <v>RVITD</v>
      </c>
    </row>
    <row r="1884" spans="3:10" x14ac:dyDescent="0.25">
      <c r="C1884" s="28" t="s">
        <v>2600</v>
      </c>
      <c r="D1884" s="188" t="e">
        <f>+INDEX([1]Detallado!$F:$F,MATCH($C1884,[1]Detallado!$B:$B,0))</f>
        <v>#N/A</v>
      </c>
      <c r="E1884" s="31" t="e">
        <f>+INDEX([1]Detallado!$Q:$Q,MATCH($C1884,[1]Detallado!$B:$B,0))</f>
        <v>#N/A</v>
      </c>
      <c r="F1884" s="185" t="s">
        <v>4355</v>
      </c>
      <c r="G1884" s="186" t="e">
        <f t="shared" si="58"/>
        <v>#N/A</v>
      </c>
      <c r="H1884" s="187" t="e">
        <f>+INDEX([1]Detallado!$D:$D,MATCH(C1884,[1]Detallado!$B:$B,0))</f>
        <v>#N/A</v>
      </c>
      <c r="I1884" s="28"/>
      <c r="J1884" s="184" t="e">
        <f t="shared" si="59"/>
        <v>#N/A</v>
      </c>
    </row>
    <row r="1885" spans="3:10" x14ac:dyDescent="0.25">
      <c r="C1885" s="28" t="s">
        <v>1302</v>
      </c>
      <c r="D1885" s="188" t="str">
        <f>+INDEX([1]Detallado!$F:$F,MATCH($C1885,[1]Detallado!$B:$B,0))</f>
        <v>Renta Variable</v>
      </c>
      <c r="E1885" s="31" t="str">
        <f>+INDEX([1]Detallado!$Q:$Q,MATCH($C1885,[1]Detallado!$B:$B,0))</f>
        <v>RVI</v>
      </c>
      <c r="F1885" s="185" t="s">
        <v>4355</v>
      </c>
      <c r="G1885" s="186" t="str">
        <f t="shared" si="58"/>
        <v>52RVI</v>
      </c>
      <c r="H1885" s="187" t="str">
        <f>+INDEX([1]Detallado!$D:$D,MATCH(C1885,[1]Detallado!$B:$B,0))</f>
        <v>Vanguard - Emerging Markets Index Fund</v>
      </c>
      <c r="I1885" s="28"/>
      <c r="J1885" s="184" t="str">
        <f t="shared" si="59"/>
        <v>RVITD</v>
      </c>
    </row>
    <row r="1886" spans="3:10" x14ac:dyDescent="0.25">
      <c r="C1886" s="28" t="s">
        <v>1331</v>
      </c>
      <c r="D1886" s="188" t="str">
        <f>+INDEX([1]Detallado!$F:$F,MATCH($C1886,[1]Detallado!$B:$B,0))</f>
        <v>Renta Variable</v>
      </c>
      <c r="E1886" s="31" t="str">
        <f>+INDEX([1]Detallado!$Q:$Q,MATCH($C1886,[1]Detallado!$B:$B,0))</f>
        <v>RVI</v>
      </c>
      <c r="F1886" s="185" t="s">
        <v>4355</v>
      </c>
      <c r="G1886" s="186" t="str">
        <f t="shared" si="58"/>
        <v>52RVI</v>
      </c>
      <c r="H1886" s="187" t="str">
        <f>+INDEX([1]Detallado!$D:$D,MATCH(C1886,[1]Detallado!$B:$B,0))</f>
        <v>DFA - EM Core Equity</v>
      </c>
      <c r="I1886" s="28"/>
      <c r="J1886" s="184" t="str">
        <f t="shared" si="59"/>
        <v>RVITD</v>
      </c>
    </row>
    <row r="1887" spans="3:10" x14ac:dyDescent="0.25">
      <c r="C1887" s="28" t="s">
        <v>1813</v>
      </c>
      <c r="D1887" s="188" t="str">
        <f>+INDEX([1]Detallado!$F:$F,MATCH($C1887,[1]Detallado!$B:$B,0))</f>
        <v>Renta Variable</v>
      </c>
      <c r="E1887" s="31" t="str">
        <f>+INDEX([1]Detallado!$Q:$Q,MATCH($C1887,[1]Detallado!$B:$B,0))</f>
        <v>RVI</v>
      </c>
      <c r="F1887" s="185" t="s">
        <v>4355</v>
      </c>
      <c r="G1887" s="186" t="str">
        <f t="shared" si="58"/>
        <v>52RVI</v>
      </c>
      <c r="H1887" s="187" t="str">
        <f>+INDEX([1]Detallado!$D:$D,MATCH(C1887,[1]Detallado!$B:$B,0))</f>
        <v>Aberdeen - Emerging Markets Equity</v>
      </c>
      <c r="I1887" s="28"/>
      <c r="J1887" s="184" t="str">
        <f t="shared" si="59"/>
        <v>RVITD</v>
      </c>
    </row>
    <row r="1888" spans="3:10" x14ac:dyDescent="0.25">
      <c r="C1888" s="28" t="s">
        <v>1724</v>
      </c>
      <c r="D1888" s="188" t="str">
        <f>+INDEX([1]Detallado!$F:$F,MATCH($C1888,[1]Detallado!$B:$B,0))</f>
        <v>Renta Variable</v>
      </c>
      <c r="E1888" s="31" t="str">
        <f>+INDEX([1]Detallado!$Q:$Q,MATCH($C1888,[1]Detallado!$B:$B,0))</f>
        <v>RVI</v>
      </c>
      <c r="F1888" s="185" t="s">
        <v>4355</v>
      </c>
      <c r="G1888" s="186" t="str">
        <f t="shared" si="58"/>
        <v>52RVI</v>
      </c>
      <c r="H1888" s="187" t="str">
        <f>+INDEX([1]Detallado!$D:$D,MATCH(C1888,[1]Detallado!$B:$B,0))</f>
        <v>Fidelity - Emerging Markets -Retail</v>
      </c>
      <c r="I1888" s="28"/>
      <c r="J1888" s="184" t="str">
        <f t="shared" si="59"/>
        <v>RVITD</v>
      </c>
    </row>
    <row r="1889" spans="3:10" x14ac:dyDescent="0.25">
      <c r="C1889" s="28" t="s">
        <v>1773</v>
      </c>
      <c r="D1889" s="188" t="str">
        <f>+INDEX([1]Detallado!$F:$F,MATCH($C1889,[1]Detallado!$B:$B,0))</f>
        <v>Renta Variable</v>
      </c>
      <c r="E1889" s="31" t="str">
        <f>+INDEX([1]Detallado!$Q:$Q,MATCH($C1889,[1]Detallado!$B:$B,0))</f>
        <v>RVI</v>
      </c>
      <c r="F1889" s="185" t="s">
        <v>4355</v>
      </c>
      <c r="G1889" s="186" t="str">
        <f t="shared" si="58"/>
        <v>52RVI</v>
      </c>
      <c r="H1889" s="187" t="str">
        <f>+INDEX([1]Detallado!$D:$D,MATCH(C1889,[1]Detallado!$B:$B,0))</f>
        <v>Vontobel - Emerging Markets Equity</v>
      </c>
      <c r="I1889" s="28"/>
      <c r="J1889" s="184" t="str">
        <f t="shared" si="59"/>
        <v>RVITD</v>
      </c>
    </row>
    <row r="1890" spans="3:10" x14ac:dyDescent="0.25">
      <c r="C1890" s="28" t="s">
        <v>1538</v>
      </c>
      <c r="D1890" s="188" t="str">
        <f>+INDEX([1]Detallado!$F:$F,MATCH($C1890,[1]Detallado!$B:$B,0))</f>
        <v>Renta Variable</v>
      </c>
      <c r="E1890" s="31" t="str">
        <f>+INDEX([1]Detallado!$Q:$Q,MATCH($C1890,[1]Detallado!$B:$B,0))</f>
        <v>RVI</v>
      </c>
      <c r="F1890" s="185" t="s">
        <v>4355</v>
      </c>
      <c r="G1890" s="186" t="str">
        <f t="shared" si="58"/>
        <v>52RVI</v>
      </c>
      <c r="H1890" s="187" t="str">
        <f>+INDEX([1]Detallado!$D:$D,MATCH(C1890,[1]Detallado!$B:$B,0))</f>
        <v>BlackRock - iShares MSCI Emerging Markets Min Vol</v>
      </c>
      <c r="I1890" s="28"/>
      <c r="J1890" s="184" t="str">
        <f t="shared" si="59"/>
        <v>RVITD</v>
      </c>
    </row>
    <row r="1891" spans="3:10" x14ac:dyDescent="0.25">
      <c r="C1891" s="28" t="s">
        <v>618</v>
      </c>
      <c r="D1891" s="188" t="str">
        <f>+INDEX([1]Detallado!$F:$F,MATCH($C1891,[1]Detallado!$B:$B,0))</f>
        <v>Renta Variable</v>
      </c>
      <c r="E1891" s="31" t="str">
        <f>+INDEX([1]Detallado!$Q:$Q,MATCH($C1891,[1]Detallado!$B:$B,0))</f>
        <v>RVI</v>
      </c>
      <c r="F1891" s="185" t="s">
        <v>4355</v>
      </c>
      <c r="G1891" s="186" t="str">
        <f t="shared" si="58"/>
        <v>52RVI</v>
      </c>
      <c r="H1891" s="187" t="str">
        <f>+INDEX([1]Detallado!$D:$D,MATCH(C1891,[1]Detallado!$B:$B,0))</f>
        <v xml:space="preserve">BlackRock - iShares MSCI Emerging Markets </v>
      </c>
      <c r="I1891" s="28"/>
      <c r="J1891" s="184" t="str">
        <f t="shared" si="59"/>
        <v>RVITD</v>
      </c>
    </row>
    <row r="1892" spans="3:10" x14ac:dyDescent="0.25">
      <c r="C1892" s="28" t="s">
        <v>856</v>
      </c>
      <c r="D1892" s="188" t="str">
        <f>+INDEX([1]Detallado!$F:$F,MATCH($C1892,[1]Detallado!$B:$B,0))</f>
        <v>Renta Variable</v>
      </c>
      <c r="E1892" s="31" t="str">
        <f>+INDEX([1]Detallado!$Q:$Q,MATCH($C1892,[1]Detallado!$B:$B,0))</f>
        <v>RVI</v>
      </c>
      <c r="F1892" s="185" t="s">
        <v>4355</v>
      </c>
      <c r="G1892" s="186" t="str">
        <f t="shared" si="58"/>
        <v>52RVI</v>
      </c>
      <c r="H1892" s="187" t="str">
        <f>+INDEX([1]Detallado!$D:$D,MATCH(C1892,[1]Detallado!$B:$B,0))</f>
        <v>BlackRock - iShares MSCI Emerging Markets ex China</v>
      </c>
      <c r="I1892" s="28"/>
      <c r="J1892" s="184" t="str">
        <f t="shared" si="59"/>
        <v>RVITD</v>
      </c>
    </row>
    <row r="1893" spans="3:10" x14ac:dyDescent="0.25">
      <c r="C1893" s="28" t="s">
        <v>2367</v>
      </c>
      <c r="D1893" s="188" t="str">
        <f>+INDEX([1]Detallado!$F:$F,MATCH($C1893,[1]Detallado!$B:$B,0))</f>
        <v>Renta Variable</v>
      </c>
      <c r="E1893" s="31" t="str">
        <f>+INDEX([1]Detallado!$Q:$Q,MATCH($C1893,[1]Detallado!$B:$B,0))</f>
        <v>RVI</v>
      </c>
      <c r="F1893" s="185" t="s">
        <v>4355</v>
      </c>
      <c r="G1893" s="186" t="str">
        <f t="shared" si="58"/>
        <v>52RVI</v>
      </c>
      <c r="H1893" s="187" t="str">
        <f>+INDEX([1]Detallado!$D:$D,MATCH(C1893,[1]Detallado!$B:$B,0))</f>
        <v>BlackRock - iShares Core MSCI Emerging Markets IMI UCITS ETF</v>
      </c>
      <c r="I1893" s="28"/>
      <c r="J1893" s="184" t="str">
        <f t="shared" si="59"/>
        <v>RVITD</v>
      </c>
    </row>
    <row r="1894" spans="3:10" x14ac:dyDescent="0.25">
      <c r="C1894" s="28" t="s">
        <v>1531</v>
      </c>
      <c r="D1894" s="188" t="str">
        <f>+INDEX([1]Detallado!$F:$F,MATCH($C1894,[1]Detallado!$B:$B,0))</f>
        <v>Renta Variable</v>
      </c>
      <c r="E1894" s="31" t="str">
        <f>+INDEX([1]Detallado!$Q:$Q,MATCH($C1894,[1]Detallado!$B:$B,0))</f>
        <v>RVI</v>
      </c>
      <c r="F1894" s="185" t="s">
        <v>4355</v>
      </c>
      <c r="G1894" s="186" t="str">
        <f t="shared" si="58"/>
        <v>52RVI</v>
      </c>
      <c r="H1894" s="187" t="str">
        <f>+INDEX([1]Detallado!$D:$D,MATCH(C1894,[1]Detallado!$B:$B,0))</f>
        <v>First Ttrust - Emerging Markets Alpha Dex</v>
      </c>
      <c r="I1894" s="28"/>
      <c r="J1894" s="184" t="str">
        <f t="shared" si="59"/>
        <v>RVITD</v>
      </c>
    </row>
    <row r="1895" spans="3:10" x14ac:dyDescent="0.25">
      <c r="C1895" s="28" t="s">
        <v>608</v>
      </c>
      <c r="D1895" s="188" t="str">
        <f>+INDEX([1]Detallado!$F:$F,MATCH($C1895,[1]Detallado!$B:$B,0))</f>
        <v>Renta Variable</v>
      </c>
      <c r="E1895" s="31" t="str">
        <f>+INDEX([1]Detallado!$Q:$Q,MATCH($C1895,[1]Detallado!$B:$B,0))</f>
        <v>RVI</v>
      </c>
      <c r="F1895" s="185" t="s">
        <v>4355</v>
      </c>
      <c r="G1895" s="186" t="str">
        <f t="shared" si="58"/>
        <v>52RVI</v>
      </c>
      <c r="H1895" s="187" t="str">
        <f>+INDEX([1]Detallado!$D:$D,MATCH(C1895,[1]Detallado!$B:$B,0))</f>
        <v>BlackRock - iShares Core MSCI Emerging Markets ETF</v>
      </c>
      <c r="I1895" s="28"/>
      <c r="J1895" s="184" t="str">
        <f t="shared" si="59"/>
        <v>RVITD</v>
      </c>
    </row>
    <row r="1896" spans="3:10" x14ac:dyDescent="0.25">
      <c r="C1896" s="28" t="s">
        <v>1621</v>
      </c>
      <c r="D1896" s="188" t="str">
        <f>+INDEX([1]Detallado!$F:$F,MATCH($C1896,[1]Detallado!$B:$B,0))</f>
        <v>Renta Variable</v>
      </c>
      <c r="E1896" s="31" t="str">
        <f>+INDEX([1]Detallado!$Q:$Q,MATCH($C1896,[1]Detallado!$B:$B,0))</f>
        <v>RVI</v>
      </c>
      <c r="F1896" s="185" t="s">
        <v>4355</v>
      </c>
      <c r="G1896" s="186" t="str">
        <f t="shared" si="58"/>
        <v>52RVI</v>
      </c>
      <c r="H1896" s="187" t="str">
        <f>+INDEX([1]Detallado!$D:$D,MATCH(C1896,[1]Detallado!$B:$B,0))</f>
        <v>WisdomTree - Emerging Markets ex. State-Owned</v>
      </c>
      <c r="I1896" s="28"/>
      <c r="J1896" s="184" t="str">
        <f t="shared" si="59"/>
        <v>RVITD</v>
      </c>
    </row>
    <row r="1897" spans="3:10" x14ac:dyDescent="0.25">
      <c r="C1897" s="28" t="s">
        <v>2195</v>
      </c>
      <c r="D1897" s="188" t="str">
        <f>+INDEX([1]Detallado!$F:$F,MATCH($C1897,[1]Detallado!$B:$B,0))</f>
        <v>Renta Variable</v>
      </c>
      <c r="E1897" s="31" t="str">
        <f>+INDEX([1]Detallado!$Q:$Q,MATCH($C1897,[1]Detallado!$B:$B,0))</f>
        <v>RVI</v>
      </c>
      <c r="F1897" s="185" t="s">
        <v>4355</v>
      </c>
      <c r="G1897" s="186" t="str">
        <f t="shared" si="58"/>
        <v>52RVI</v>
      </c>
      <c r="H1897" s="187" t="str">
        <f>+INDEX([1]Detallado!$D:$D,MATCH(C1897,[1]Detallado!$B:$B,0))</f>
        <v>Fidelity - Emerging Markets - Inst</v>
      </c>
      <c r="I1897" s="28"/>
      <c r="J1897" s="184" t="str">
        <f t="shared" si="59"/>
        <v>RVITD</v>
      </c>
    </row>
    <row r="1898" spans="3:10" x14ac:dyDescent="0.25">
      <c r="C1898" s="28" t="s">
        <v>2374</v>
      </c>
      <c r="D1898" s="188" t="str">
        <f>+INDEX([1]Detallado!$F:$F,MATCH($C1898,[1]Detallado!$B:$B,0))</f>
        <v>Renta Variable</v>
      </c>
      <c r="E1898" s="31" t="str">
        <f>+INDEX([1]Detallado!$Q:$Q,MATCH($C1898,[1]Detallado!$B:$B,0))</f>
        <v>RVI</v>
      </c>
      <c r="F1898" s="185" t="s">
        <v>4355</v>
      </c>
      <c r="G1898" s="186" t="str">
        <f t="shared" si="58"/>
        <v>52RVI</v>
      </c>
      <c r="H1898" s="187" t="str">
        <f>+INDEX([1]Detallado!$D:$D,MATCH(C1898,[1]Detallado!$B:$B,0))</f>
        <v>Fidelity - Sustainable Emerging Markets Equity Fund</v>
      </c>
      <c r="I1898" s="28"/>
      <c r="J1898" s="184" t="str">
        <f t="shared" si="59"/>
        <v>RVITD</v>
      </c>
    </row>
    <row r="1899" spans="3:10" x14ac:dyDescent="0.25">
      <c r="C1899" s="28" t="s">
        <v>1970</v>
      </c>
      <c r="D1899" s="188" t="str">
        <f>+INDEX([1]Detallado!$F:$F,MATCH($C1899,[1]Detallado!$B:$B,0))</f>
        <v>Renta Variable</v>
      </c>
      <c r="E1899" s="31" t="str">
        <f>+INDEX([1]Detallado!$Q:$Q,MATCH($C1899,[1]Detallado!$B:$B,0))</f>
        <v>RVI</v>
      </c>
      <c r="F1899" s="185" t="s">
        <v>4355</v>
      </c>
      <c r="G1899" s="186" t="str">
        <f t="shared" si="58"/>
        <v>52RVI</v>
      </c>
      <c r="H1899" s="187" t="str">
        <f>+INDEX([1]Detallado!$D:$D,MATCH(C1899,[1]Detallado!$B:$B,0))</f>
        <v>JP Morgan - Emerging Markets</v>
      </c>
      <c r="I1899" s="28"/>
      <c r="J1899" s="184" t="str">
        <f t="shared" si="59"/>
        <v>RVITD</v>
      </c>
    </row>
    <row r="1900" spans="3:10" x14ac:dyDescent="0.25">
      <c r="C1900" s="28" t="s">
        <v>2141</v>
      </c>
      <c r="D1900" s="188" t="str">
        <f>+INDEX([1]Detallado!$F:$F,MATCH($C1900,[1]Detallado!$B:$B,0))</f>
        <v>Renta Variable</v>
      </c>
      <c r="E1900" s="31" t="str">
        <f>+INDEX([1]Detallado!$Q:$Q,MATCH($C1900,[1]Detallado!$B:$B,0))</f>
        <v>RVI</v>
      </c>
      <c r="F1900" s="185" t="s">
        <v>4355</v>
      </c>
      <c r="G1900" s="186" t="str">
        <f t="shared" si="58"/>
        <v>52RVI</v>
      </c>
      <c r="H1900" s="187" t="str">
        <f>+INDEX([1]Detallado!$D:$D,MATCH(C1900,[1]Detallado!$B:$B,0))</f>
        <v>Robeco - Emerging Conservative Equities</v>
      </c>
      <c r="I1900" s="28"/>
      <c r="J1900" s="184" t="str">
        <f t="shared" si="59"/>
        <v>RVITD</v>
      </c>
    </row>
    <row r="1901" spans="3:10" x14ac:dyDescent="0.25">
      <c r="C1901" s="28" t="s">
        <v>4210</v>
      </c>
      <c r="D1901" s="188" t="str">
        <f>+INDEX([1]Detallado!$F:$F,MATCH($C1901,[1]Detallado!$B:$B,0))</f>
        <v>Renta Variable</v>
      </c>
      <c r="E1901" s="31" t="str">
        <f>+INDEX([1]Detallado!$Q:$Q,MATCH($C1901,[1]Detallado!$B:$B,0))</f>
        <v>RVI</v>
      </c>
      <c r="F1901" s="185" t="s">
        <v>4355</v>
      </c>
      <c r="G1901" s="186" t="str">
        <f t="shared" si="58"/>
        <v>52RVI</v>
      </c>
      <c r="H1901" s="187" t="str">
        <f>+INDEX([1]Detallado!$D:$D,MATCH(C1901,[1]Detallado!$B:$B,0))</f>
        <v>SSGA - Defensive Emerging Markets</v>
      </c>
      <c r="I1901" s="28"/>
      <c r="J1901" s="184" t="str">
        <f t="shared" si="59"/>
        <v>RVITD</v>
      </c>
    </row>
    <row r="1902" spans="3:10" x14ac:dyDescent="0.25">
      <c r="C1902" s="28" t="s">
        <v>636</v>
      </c>
      <c r="D1902" s="188" t="str">
        <f>+INDEX([1]Detallado!$F:$F,MATCH($C1902,[1]Detallado!$B:$B,0))</f>
        <v>Renta Variable</v>
      </c>
      <c r="E1902" s="31" t="str">
        <f>+INDEX([1]Detallado!$Q:$Q,MATCH($C1902,[1]Detallado!$B:$B,0))</f>
        <v>RVI</v>
      </c>
      <c r="F1902" s="185" t="s">
        <v>4355</v>
      </c>
      <c r="G1902" s="186" t="str">
        <f t="shared" si="58"/>
        <v>52RVI</v>
      </c>
      <c r="H1902" s="187" t="str">
        <f>+INDEX([1]Detallado!$D:$D,MATCH(C1902,[1]Detallado!$B:$B,0))</f>
        <v>SSGA - Emerging Markets</v>
      </c>
      <c r="I1902" s="28"/>
      <c r="J1902" s="184" t="str">
        <f t="shared" si="59"/>
        <v>RVITD</v>
      </c>
    </row>
    <row r="1903" spans="3:10" x14ac:dyDescent="0.25">
      <c r="C1903" s="28" t="s">
        <v>2278</v>
      </c>
      <c r="D1903" s="188" t="str">
        <f>+INDEX([1]Detallado!$F:$F,MATCH($C1903,[1]Detallado!$B:$B,0))</f>
        <v>Renta Variable</v>
      </c>
      <c r="E1903" s="31" t="str">
        <f>+INDEX([1]Detallado!$Q:$Q,MATCH($C1903,[1]Detallado!$B:$B,0))</f>
        <v>RVI</v>
      </c>
      <c r="F1903" s="185" t="s">
        <v>4355</v>
      </c>
      <c r="G1903" s="186" t="str">
        <f t="shared" si="58"/>
        <v>52RVI</v>
      </c>
      <c r="H1903" s="187" t="str">
        <f>+INDEX([1]Detallado!$D:$D,MATCH(C1903,[1]Detallado!$B:$B,0))</f>
        <v>Aberdeen - Emerging Markets Equity Fund</v>
      </c>
      <c r="I1903" s="28"/>
      <c r="J1903" s="184" t="str">
        <f t="shared" si="59"/>
        <v>RVITD</v>
      </c>
    </row>
    <row r="1904" spans="3:10" x14ac:dyDescent="0.25">
      <c r="C1904" s="28" t="s">
        <v>2389</v>
      </c>
      <c r="D1904" s="188" t="str">
        <f>+INDEX([1]Detallado!$F:$F,MATCH($C1904,[1]Detallado!$B:$B,0))</f>
        <v>Renta Variable</v>
      </c>
      <c r="E1904" s="31" t="str">
        <f>+INDEX([1]Detallado!$Q:$Q,MATCH($C1904,[1]Detallado!$B:$B,0))</f>
        <v>RVI</v>
      </c>
      <c r="F1904" s="185" t="s">
        <v>4355</v>
      </c>
      <c r="G1904" s="186" t="str">
        <f t="shared" si="58"/>
        <v>52RVI</v>
      </c>
      <c r="H1904" s="187" t="str">
        <f>+INDEX([1]Detallado!$D:$D,MATCH(C1904,[1]Detallado!$B:$B,0))</f>
        <v>GAM / Julius Baer - Emerging Markets Equity</v>
      </c>
      <c r="I1904" s="28"/>
      <c r="J1904" s="184" t="str">
        <f t="shared" si="59"/>
        <v>RVITD</v>
      </c>
    </row>
    <row r="1905" spans="3:10" x14ac:dyDescent="0.25">
      <c r="C1905" s="28" t="s">
        <v>1916</v>
      </c>
      <c r="D1905" s="188" t="str">
        <f>+INDEX([1]Detallado!$F:$F,MATCH($C1905,[1]Detallado!$B:$B,0))</f>
        <v>Renta Variable</v>
      </c>
      <c r="E1905" s="31" t="str">
        <f>+INDEX([1]Detallado!$Q:$Q,MATCH($C1905,[1]Detallado!$B:$B,0))</f>
        <v>RVI</v>
      </c>
      <c r="F1905" s="185" t="s">
        <v>4355</v>
      </c>
      <c r="G1905" s="186" t="str">
        <f t="shared" si="58"/>
        <v>52RVI</v>
      </c>
      <c r="H1905" s="187" t="str">
        <f>+INDEX([1]Detallado!$D:$D,MATCH(C1905,[1]Detallado!$B:$B,0))</f>
        <v>Alliance Bernstein - Emerging Markets Growth</v>
      </c>
      <c r="I1905" s="28"/>
      <c r="J1905" s="184" t="str">
        <f t="shared" si="59"/>
        <v>RVITD</v>
      </c>
    </row>
    <row r="1906" spans="3:10" x14ac:dyDescent="0.25">
      <c r="C1906" s="28" t="s">
        <v>2156</v>
      </c>
      <c r="D1906" s="188" t="str">
        <f>+INDEX([1]Detallado!$F:$F,MATCH($C1906,[1]Detallado!$B:$B,0))</f>
        <v>Renta Variable</v>
      </c>
      <c r="E1906" s="31" t="str">
        <f>+INDEX([1]Detallado!$Q:$Q,MATCH($C1906,[1]Detallado!$B:$B,0))</f>
        <v>RVI</v>
      </c>
      <c r="F1906" s="185" t="s">
        <v>4355</v>
      </c>
      <c r="G1906" s="186" t="str">
        <f t="shared" si="58"/>
        <v>52RVI</v>
      </c>
      <c r="H1906" s="187" t="str">
        <f>+INDEX([1]Detallado!$D:$D,MATCH(C1906,[1]Detallado!$B:$B,0))</f>
        <v>Nordea - Emerging Stars Equity</v>
      </c>
      <c r="I1906" s="28"/>
      <c r="J1906" s="184" t="str">
        <f t="shared" si="59"/>
        <v>RVITD</v>
      </c>
    </row>
    <row r="1907" spans="3:10" x14ac:dyDescent="0.25">
      <c r="C1907" s="28" t="s">
        <v>4211</v>
      </c>
      <c r="D1907" s="188" t="str">
        <f>+INDEX([1]Detallado!$F:$F,MATCH($C1907,[1]Detallado!$B:$B,0))</f>
        <v>Renta Variable</v>
      </c>
      <c r="E1907" s="31" t="str">
        <f>+INDEX([1]Detallado!$Q:$Q,MATCH($C1907,[1]Detallado!$B:$B,0))</f>
        <v>RVI</v>
      </c>
      <c r="F1907" s="185" t="s">
        <v>4355</v>
      </c>
      <c r="G1907" s="186" t="str">
        <f t="shared" si="58"/>
        <v>52RVI</v>
      </c>
      <c r="H1907" s="187" t="str">
        <f>+INDEX([1]Detallado!$D:$D,MATCH(C1907,[1]Detallado!$B:$B,0))</f>
        <v xml:space="preserve">Amundi - ETF Emerging Market </v>
      </c>
      <c r="I1907" s="28"/>
      <c r="J1907" s="184" t="str">
        <f t="shared" si="59"/>
        <v>RVITD</v>
      </c>
    </row>
    <row r="1908" spans="3:10" x14ac:dyDescent="0.25">
      <c r="C1908" s="28" t="s">
        <v>2246</v>
      </c>
      <c r="D1908" s="188" t="e">
        <f>+INDEX([1]Detallado!$F:$F,MATCH($C1908,[1]Detallado!$B:$B,0))</f>
        <v>#N/A</v>
      </c>
      <c r="E1908" s="31" t="e">
        <f>+INDEX([1]Detallado!$Q:$Q,MATCH($C1908,[1]Detallado!$B:$B,0))</f>
        <v>#N/A</v>
      </c>
      <c r="F1908" s="185" t="s">
        <v>4355</v>
      </c>
      <c r="G1908" s="186" t="e">
        <f t="shared" si="58"/>
        <v>#N/A</v>
      </c>
      <c r="H1908" s="187" t="e">
        <f>+INDEX([1]Detallado!$D:$D,MATCH(C1908,[1]Detallado!$B:$B,0))</f>
        <v>#N/A</v>
      </c>
      <c r="I1908" s="28"/>
      <c r="J1908" s="184" t="e">
        <f t="shared" si="59"/>
        <v>#N/A</v>
      </c>
    </row>
    <row r="1909" spans="3:10" x14ac:dyDescent="0.25">
      <c r="C1909" s="28" t="s">
        <v>1435</v>
      </c>
      <c r="D1909" s="188" t="str">
        <f>+INDEX([1]Detallado!$F:$F,MATCH($C1909,[1]Detallado!$B:$B,0))</f>
        <v>Renta Variable</v>
      </c>
      <c r="E1909" s="31" t="str">
        <f>+INDEX([1]Detallado!$Q:$Q,MATCH($C1909,[1]Detallado!$B:$B,0))</f>
        <v>RVI</v>
      </c>
      <c r="F1909" s="185" t="s">
        <v>4355</v>
      </c>
      <c r="G1909" s="186" t="str">
        <f t="shared" si="58"/>
        <v>52RVI</v>
      </c>
      <c r="H1909" s="187" t="str">
        <f>+INDEX([1]Detallado!$D:$D,MATCH(C1909,[1]Detallado!$B:$B,0))</f>
        <v>WisdomTree - Emerging Markets Small Cap Dividend</v>
      </c>
      <c r="I1909" s="28"/>
      <c r="J1909" s="184" t="str">
        <f t="shared" si="59"/>
        <v>RVITD</v>
      </c>
    </row>
    <row r="1910" spans="3:10" x14ac:dyDescent="0.25">
      <c r="C1910" s="28" t="s">
        <v>1573</v>
      </c>
      <c r="D1910" s="188" t="str">
        <f>+INDEX([1]Detallado!$F:$F,MATCH($C1910,[1]Detallado!$B:$B,0))</f>
        <v>Renta Variable</v>
      </c>
      <c r="E1910" s="31" t="str">
        <f>+INDEX([1]Detallado!$Q:$Q,MATCH($C1910,[1]Detallado!$B:$B,0))</f>
        <v>RVI</v>
      </c>
      <c r="F1910" s="185" t="s">
        <v>4355</v>
      </c>
      <c r="G1910" s="186" t="str">
        <f t="shared" si="58"/>
        <v>52RVI</v>
      </c>
      <c r="H1910" s="187" t="str">
        <f>+INDEX([1]Detallado!$D:$D,MATCH(C1910,[1]Detallado!$B:$B,0))</f>
        <v>BlackRock - iShares MSCI Frontier Markets 100</v>
      </c>
      <c r="I1910" s="28"/>
      <c r="J1910" s="184" t="str">
        <f t="shared" si="59"/>
        <v>RVITD</v>
      </c>
    </row>
    <row r="1911" spans="3:10" x14ac:dyDescent="0.25">
      <c r="C1911" s="28" t="s">
        <v>2192</v>
      </c>
      <c r="D1911" s="188" t="str">
        <f>+INDEX([1]Detallado!$F:$F,MATCH($C1911,[1]Detallado!$B:$B,0))</f>
        <v>Renta Variable</v>
      </c>
      <c r="E1911" s="31" t="str">
        <f>+INDEX([1]Detallado!$Q:$Q,MATCH($C1911,[1]Detallado!$B:$B,0))</f>
        <v>RVI</v>
      </c>
      <c r="F1911" s="185" t="s">
        <v>4355</v>
      </c>
      <c r="G1911" s="186" t="str">
        <f t="shared" si="58"/>
        <v>52RVI</v>
      </c>
      <c r="H1911" s="187" t="str">
        <f>+INDEX([1]Detallado!$D:$D,MATCH(C1911,[1]Detallado!$B:$B,0))</f>
        <v>Amundi - Equity Emerging Focus</v>
      </c>
      <c r="I1911" s="28"/>
      <c r="J1911" s="184" t="str">
        <f t="shared" si="59"/>
        <v>RVITD</v>
      </c>
    </row>
    <row r="1912" spans="3:10" x14ac:dyDescent="0.25">
      <c r="C1912" s="28" t="s">
        <v>2159</v>
      </c>
      <c r="D1912" s="188" t="str">
        <f>+INDEX([1]Detallado!$F:$F,MATCH($C1912,[1]Detallado!$B:$B,0))</f>
        <v>Renta Variable</v>
      </c>
      <c r="E1912" s="31" t="str">
        <f>+INDEX([1]Detallado!$Q:$Q,MATCH($C1912,[1]Detallado!$B:$B,0))</f>
        <v>RVI</v>
      </c>
      <c r="F1912" s="185" t="s">
        <v>4355</v>
      </c>
      <c r="G1912" s="186" t="str">
        <f t="shared" si="58"/>
        <v>52RVI</v>
      </c>
      <c r="H1912" s="187" t="str">
        <f>+INDEX([1]Detallado!$D:$D,MATCH(C1912,[1]Detallado!$B:$B,0))</f>
        <v>Nordea - Emerging Stars Equity Fund</v>
      </c>
      <c r="I1912" s="28"/>
      <c r="J1912" s="184" t="str">
        <f t="shared" si="59"/>
        <v>RVITD</v>
      </c>
    </row>
    <row r="1913" spans="3:10" x14ac:dyDescent="0.25">
      <c r="C1913" s="28" t="s">
        <v>2144</v>
      </c>
      <c r="D1913" s="188" t="str">
        <f>+INDEX([1]Detallado!$F:$F,MATCH($C1913,[1]Detallado!$B:$B,0))</f>
        <v>Renta Variable</v>
      </c>
      <c r="E1913" s="31" t="str">
        <f>+INDEX([1]Detallado!$Q:$Q,MATCH($C1913,[1]Detallado!$B:$B,0))</f>
        <v>RVI</v>
      </c>
      <c r="F1913" s="185" t="s">
        <v>4355</v>
      </c>
      <c r="G1913" s="186" t="str">
        <f t="shared" si="58"/>
        <v>52RVI</v>
      </c>
      <c r="H1913" s="187" t="str">
        <f>+INDEX([1]Detallado!$D:$D,MATCH(C1913,[1]Detallado!$B:$B,0))</f>
        <v>JP Morgan - EM Small Cap</v>
      </c>
      <c r="I1913" s="28"/>
      <c r="J1913" s="184" t="str">
        <f t="shared" si="59"/>
        <v>RVITD</v>
      </c>
    </row>
    <row r="1914" spans="3:10" x14ac:dyDescent="0.25">
      <c r="C1914" s="28" t="s">
        <v>2458</v>
      </c>
      <c r="D1914" s="188" t="e">
        <f>+INDEX([1]Detallado!$F:$F,MATCH($C1914,[1]Detallado!$B:$B,0))</f>
        <v>#N/A</v>
      </c>
      <c r="E1914" s="31" t="e">
        <f>+INDEX([1]Detallado!$Q:$Q,MATCH($C1914,[1]Detallado!$B:$B,0))</f>
        <v>#N/A</v>
      </c>
      <c r="F1914" s="185" t="s">
        <v>4355</v>
      </c>
      <c r="G1914" s="186" t="e">
        <f t="shared" si="58"/>
        <v>#N/A</v>
      </c>
      <c r="H1914" s="187" t="e">
        <f>+INDEX([1]Detallado!$D:$D,MATCH(C1914,[1]Detallado!$B:$B,0))</f>
        <v>#N/A</v>
      </c>
      <c r="I1914" s="28"/>
      <c r="J1914" s="184" t="e">
        <f t="shared" si="59"/>
        <v>#N/A</v>
      </c>
    </row>
    <row r="1915" spans="3:10" x14ac:dyDescent="0.25">
      <c r="C1915" s="28" t="s">
        <v>2465</v>
      </c>
      <c r="D1915" s="188" t="str">
        <f>+INDEX([1]Detallado!$F:$F,MATCH($C1915,[1]Detallado!$B:$B,0))</f>
        <v>Renta Variable</v>
      </c>
      <c r="E1915" s="31" t="str">
        <f>+INDEX([1]Detallado!$Q:$Q,MATCH($C1915,[1]Detallado!$B:$B,0))</f>
        <v>RVI</v>
      </c>
      <c r="F1915" s="185" t="s">
        <v>4355</v>
      </c>
      <c r="G1915" s="186" t="str">
        <f t="shared" si="58"/>
        <v>52RVI</v>
      </c>
      <c r="H1915" s="187" t="str">
        <f>+INDEX([1]Detallado!$D:$D,MATCH(C1915,[1]Detallado!$B:$B,0))</f>
        <v>Candriam  SICAV - SRI EM Equities</v>
      </c>
      <c r="I1915" s="28"/>
      <c r="J1915" s="184" t="str">
        <f t="shared" si="59"/>
        <v>RVITD</v>
      </c>
    </row>
    <row r="1916" spans="3:10" x14ac:dyDescent="0.25">
      <c r="C1916" s="28" t="s">
        <v>2085</v>
      </c>
      <c r="D1916" s="188" t="str">
        <f>+INDEX([1]Detallado!$F:$F,MATCH($C1916,[1]Detallado!$B:$B,0))</f>
        <v>Renta Variable</v>
      </c>
      <c r="E1916" s="31" t="str">
        <f>+INDEX([1]Detallado!$Q:$Q,MATCH($C1916,[1]Detallado!$B:$B,0))</f>
        <v>RVI</v>
      </c>
      <c r="F1916" s="185" t="s">
        <v>4355</v>
      </c>
      <c r="G1916" s="186" t="str">
        <f t="shared" si="58"/>
        <v>52RVI</v>
      </c>
      <c r="H1916" s="187" t="str">
        <f>+INDEX([1]Detallado!$D:$D,MATCH(C1916,[1]Detallado!$B:$B,0))</f>
        <v>Goldman Sachs - Emerging Markets Core</v>
      </c>
      <c r="I1916" s="28"/>
      <c r="J1916" s="184" t="str">
        <f t="shared" si="59"/>
        <v>RVITD</v>
      </c>
    </row>
    <row r="1917" spans="3:10" x14ac:dyDescent="0.25">
      <c r="C1917" s="28" t="s">
        <v>2504</v>
      </c>
      <c r="D1917" s="188" t="str">
        <f>+INDEX([1]Detallado!$F:$F,MATCH($C1917,[1]Detallado!$B:$B,0))</f>
        <v>Renta Variable</v>
      </c>
      <c r="E1917" s="31" t="str">
        <f>+INDEX([1]Detallado!$Q:$Q,MATCH($C1917,[1]Detallado!$B:$B,0))</f>
        <v>RVI</v>
      </c>
      <c r="F1917" s="185" t="s">
        <v>4355</v>
      </c>
      <c r="G1917" s="186" t="str">
        <f t="shared" si="58"/>
        <v>52RVI</v>
      </c>
      <c r="H1917" s="187" t="str">
        <f>+INDEX([1]Detallado!$D:$D,MATCH(C1917,[1]Detallado!$B:$B,0))</f>
        <v>Vontobel MTX - EM Susrainable Leaders</v>
      </c>
      <c r="I1917" s="28"/>
      <c r="J1917" s="184" t="str">
        <f t="shared" si="59"/>
        <v>RVITD</v>
      </c>
    </row>
    <row r="1918" spans="3:10" x14ac:dyDescent="0.25">
      <c r="C1918" s="28" t="s">
        <v>4212</v>
      </c>
      <c r="D1918" s="188" t="str">
        <f>+INDEX([1]Detallado!$F:$F,MATCH($C1918,[1]Detallado!$B:$B,0))</f>
        <v>Derivados</v>
      </c>
      <c r="E1918" s="31" t="str">
        <f>+INDEX([1]Detallado!$Q:$Q,MATCH($C1918,[1]Detallado!$B:$B,0))</f>
        <v>RVI</v>
      </c>
      <c r="F1918" s="185" t="s">
        <v>4355</v>
      </c>
      <c r="G1918" s="186" t="str">
        <f t="shared" si="58"/>
        <v>PTRVI</v>
      </c>
      <c r="H1918" s="187" t="str">
        <f>+INDEX([1]Detallado!$D:$D,MATCH(C1918,[1]Detallado!$B:$B,0))</f>
        <v>SPX US 06/21/24 C5250</v>
      </c>
      <c r="I1918" s="28"/>
      <c r="J1918" s="184" t="str">
        <f t="shared" si="59"/>
        <v>RVITD</v>
      </c>
    </row>
    <row r="1919" spans="3:10" x14ac:dyDescent="0.25">
      <c r="C1919" s="28" t="s">
        <v>4213</v>
      </c>
      <c r="D1919" s="188" t="str">
        <f>+INDEX([1]Detallado!$F:$F,MATCH($C1919,[1]Detallado!$B:$B,0))</f>
        <v>Derivados</v>
      </c>
      <c r="E1919" s="31" t="str">
        <f>+INDEX([1]Detallado!$Q:$Q,MATCH($C1919,[1]Detallado!$B:$B,0))</f>
        <v>RVI</v>
      </c>
      <c r="F1919" s="185" t="s">
        <v>4355</v>
      </c>
      <c r="G1919" s="186" t="str">
        <f t="shared" si="58"/>
        <v>PTRVI</v>
      </c>
      <c r="H1919" s="187" t="str">
        <f>+INDEX([1]Detallado!$D:$D,MATCH(C1919,[1]Detallado!$B:$B,0))</f>
        <v>SPX US 06/21/24 C5300</v>
      </c>
      <c r="I1919" s="28"/>
      <c r="J1919" s="184" t="str">
        <f t="shared" si="59"/>
        <v>RVITD</v>
      </c>
    </row>
    <row r="1920" spans="3:10" x14ac:dyDescent="0.25">
      <c r="C1920" s="28" t="s">
        <v>4154</v>
      </c>
      <c r="D1920" s="188" t="str">
        <f>+INDEX([1]Detallado!$F:$F,MATCH($C1920,[1]Detallado!$B:$B,0))</f>
        <v>Derivados</v>
      </c>
      <c r="E1920" s="31" t="str">
        <f>+INDEX([1]Detallado!$Q:$Q,MATCH($C1920,[1]Detallado!$B:$B,0))</f>
        <v>RVI</v>
      </c>
      <c r="F1920" s="185" t="s">
        <v>4355</v>
      </c>
      <c r="G1920" s="186" t="str">
        <f t="shared" si="58"/>
        <v>PTRVI</v>
      </c>
      <c r="H1920" s="187" t="str">
        <f>+INDEX([1]Detallado!$D:$D,MATCH(C1920,[1]Detallado!$B:$B,0))</f>
        <v>SPX US 03/15/24 C4600</v>
      </c>
      <c r="I1920" s="28"/>
      <c r="J1920" s="184" t="str">
        <f t="shared" si="59"/>
        <v>RVITD</v>
      </c>
    </row>
    <row r="1921" spans="3:10" x14ac:dyDescent="0.25">
      <c r="C1921" s="28" t="s">
        <v>4153</v>
      </c>
      <c r="D1921" s="188" t="str">
        <f>+INDEX([1]Detallado!$F:$F,MATCH($C1921,[1]Detallado!$B:$B,0))</f>
        <v>Derivados</v>
      </c>
      <c r="E1921" s="31" t="str">
        <f>+INDEX([1]Detallado!$Q:$Q,MATCH($C1921,[1]Detallado!$B:$B,0))</f>
        <v>RVI</v>
      </c>
      <c r="F1921" s="185" t="s">
        <v>4355</v>
      </c>
      <c r="G1921" s="186" t="str">
        <f t="shared" si="58"/>
        <v>PTRVI</v>
      </c>
      <c r="H1921" s="187" t="str">
        <f>+INDEX([1]Detallado!$D:$D,MATCH(C1921,[1]Detallado!$B:$B,0))</f>
        <v>SPX US 01/19/24 C4500</v>
      </c>
      <c r="I1921" s="28"/>
      <c r="J1921" s="184" t="str">
        <f t="shared" si="59"/>
        <v>RVITD</v>
      </c>
    </row>
    <row r="1922" spans="3:10" x14ac:dyDescent="0.25">
      <c r="C1922" s="28" t="s">
        <v>4214</v>
      </c>
      <c r="D1922" s="188" t="str">
        <f>+INDEX([1]Detallado!$F:$F,MATCH($C1922,[1]Detallado!$B:$B,0))</f>
        <v>Derivados</v>
      </c>
      <c r="E1922" s="31" t="str">
        <f>+INDEX([1]Detallado!$Q:$Q,MATCH($C1922,[1]Detallado!$B:$B,0))</f>
        <v>RVI</v>
      </c>
      <c r="F1922" s="185" t="s">
        <v>4355</v>
      </c>
      <c r="G1922" s="186" t="str">
        <f t="shared" si="58"/>
        <v>PTRVI</v>
      </c>
      <c r="H1922" s="187" t="str">
        <f>+INDEX([1]Detallado!$D:$D,MATCH(C1922,[1]Detallado!$B:$B,0))</f>
        <v>EEM US 01/20/23 C39</v>
      </c>
      <c r="I1922" s="28"/>
      <c r="J1922" s="184" t="str">
        <f t="shared" si="59"/>
        <v>RVITD</v>
      </c>
    </row>
    <row r="1923" spans="3:10" x14ac:dyDescent="0.25">
      <c r="C1923" s="28" t="s">
        <v>4215</v>
      </c>
      <c r="D1923" s="188" t="str">
        <f>+INDEX([1]Detallado!$F:$F,MATCH($C1923,[1]Detallado!$B:$B,0))</f>
        <v>Derivados</v>
      </c>
      <c r="E1923" s="31" t="str">
        <f>+INDEX([1]Detallado!$Q:$Q,MATCH($C1923,[1]Detallado!$B:$B,0))</f>
        <v>RVI</v>
      </c>
      <c r="F1923" s="185" t="s">
        <v>4355</v>
      </c>
      <c r="G1923" s="186" t="str">
        <f t="shared" si="58"/>
        <v>PTRVI</v>
      </c>
      <c r="H1923" s="187" t="str">
        <f>+INDEX([1]Detallado!$D:$D,MATCH(C1923,[1]Detallado!$B:$B,0))</f>
        <v>EEM US 01/20/23 C37</v>
      </c>
      <c r="I1923" s="28"/>
      <c r="J1923" s="184" t="str">
        <f t="shared" si="59"/>
        <v>RVITD</v>
      </c>
    </row>
    <row r="1924" spans="3:10" x14ac:dyDescent="0.25">
      <c r="C1924" s="28" t="s">
        <v>4216</v>
      </c>
      <c r="D1924" s="188" t="str">
        <f>+INDEX([1]Detallado!$F:$F,MATCH($C1924,[1]Detallado!$B:$B,0))</f>
        <v>Derivados</v>
      </c>
      <c r="E1924" s="31" t="str">
        <f>+INDEX([1]Detallado!$Q:$Q,MATCH($C1924,[1]Detallado!$B:$B,0))</f>
        <v>RVI</v>
      </c>
      <c r="F1924" s="185" t="s">
        <v>4355</v>
      </c>
      <c r="G1924" s="186" t="str">
        <f t="shared" si="58"/>
        <v>PTRVI</v>
      </c>
      <c r="H1924" s="187" t="str">
        <f>+INDEX([1]Detallado!$D:$D,MATCH(C1924,[1]Detallado!$B:$B,0))</f>
        <v>EEM US 01/20/23 C39</v>
      </c>
      <c r="I1924" s="28"/>
      <c r="J1924" s="184" t="str">
        <f t="shared" si="59"/>
        <v>RVITD</v>
      </c>
    </row>
    <row r="1925" spans="3:10" x14ac:dyDescent="0.25">
      <c r="C1925" s="28" t="s">
        <v>4217</v>
      </c>
      <c r="D1925" s="188" t="str">
        <f>+INDEX([1]Detallado!$F:$F,MATCH($C1925,[1]Detallado!$B:$B,0))</f>
        <v>Derivados</v>
      </c>
      <c r="E1925" s="31" t="str">
        <f>+INDEX([1]Detallado!$Q:$Q,MATCH($C1925,[1]Detallado!$B:$B,0))</f>
        <v>RVI</v>
      </c>
      <c r="F1925" s="185" t="s">
        <v>4355</v>
      </c>
      <c r="G1925" s="186" t="str">
        <f t="shared" si="58"/>
        <v>PTRVI</v>
      </c>
      <c r="H1925" s="187" t="str">
        <f>+INDEX([1]Detallado!$D:$D,MATCH(C1925,[1]Detallado!$B:$B,0))</f>
        <v>EEM US 01/20/23 C37</v>
      </c>
      <c r="I1925" s="28"/>
      <c r="J1925" s="184" t="str">
        <f t="shared" si="59"/>
        <v>RVITD</v>
      </c>
    </row>
    <row r="1926" spans="3:10" x14ac:dyDescent="0.25">
      <c r="C1926" s="28" t="s">
        <v>4218</v>
      </c>
      <c r="D1926" s="188" t="str">
        <f>+INDEX([1]Detallado!$F:$F,MATCH($C1926,[1]Detallado!$B:$B,0))</f>
        <v>Derivados</v>
      </c>
      <c r="E1926" s="31" t="str">
        <f>+INDEX([1]Detallado!$Q:$Q,MATCH($C1926,[1]Detallado!$B:$B,0))</f>
        <v>RVI</v>
      </c>
      <c r="F1926" s="185" t="s">
        <v>4355</v>
      </c>
      <c r="G1926" s="186" t="str">
        <f t="shared" si="58"/>
        <v>PTRVI</v>
      </c>
      <c r="H1926" s="187" t="str">
        <f>+INDEX([1]Detallado!$D:$D,MATCH(C1926,[1]Detallado!$B:$B,0))</f>
        <v>EEM US 02/17/23 C39</v>
      </c>
      <c r="I1926" s="28"/>
      <c r="J1926" s="184" t="str">
        <f t="shared" si="59"/>
        <v>RVITD</v>
      </c>
    </row>
    <row r="1927" spans="3:10" x14ac:dyDescent="0.25">
      <c r="C1927" s="28" t="s">
        <v>1624</v>
      </c>
      <c r="D1927" s="188" t="str">
        <f>+INDEX([1]Detallado!$F:$F,MATCH($C1927,[1]Detallado!$B:$B,0))</f>
        <v>Renta Variable</v>
      </c>
      <c r="E1927" s="31" t="str">
        <f>+INDEX([1]Detallado!$Q:$Q,MATCH($C1927,[1]Detallado!$B:$B,0))</f>
        <v>RVI</v>
      </c>
      <c r="F1927" s="185" t="s">
        <v>4355</v>
      </c>
      <c r="G1927" s="186" t="str">
        <f t="shared" si="58"/>
        <v>52RVI</v>
      </c>
      <c r="H1927" s="187" t="str">
        <f>+INDEX([1]Detallado!$D:$D,MATCH(C1927,[1]Detallado!$B:$B,0))</f>
        <v>BlackRock - iShares MSCI Saudi Arabia ETF</v>
      </c>
      <c r="I1927" s="28"/>
      <c r="J1927" s="184" t="str">
        <f t="shared" si="59"/>
        <v>RVITD</v>
      </c>
    </row>
    <row r="1928" spans="3:10" x14ac:dyDescent="0.25">
      <c r="C1928" s="28" t="s">
        <v>2573</v>
      </c>
      <c r="D1928" s="188" t="str">
        <f>+INDEX([1]Detallado!$F:$F,MATCH($C1928,[1]Detallado!$B:$B,0))</f>
        <v>Renta Variable</v>
      </c>
      <c r="E1928" s="31" t="str">
        <f>+INDEX([1]Detallado!$Q:$Q,MATCH($C1928,[1]Detallado!$B:$B,0))</f>
        <v>RVI</v>
      </c>
      <c r="F1928" s="185" t="s">
        <v>4355</v>
      </c>
      <c r="G1928" s="186" t="str">
        <f t="shared" si="58"/>
        <v>52RVI</v>
      </c>
      <c r="H1928" s="187" t="str">
        <f>+INDEX([1]Detallado!$D:$D,MATCH(C1928,[1]Detallado!$B:$B,0))</f>
        <v>UBS -  Lux All China</v>
      </c>
      <c r="I1928" s="28"/>
      <c r="J1928" s="184" t="str">
        <f t="shared" si="59"/>
        <v>RVITD</v>
      </c>
    </row>
    <row r="1929" spans="3:10" x14ac:dyDescent="0.25">
      <c r="C1929" s="28" t="s">
        <v>1770</v>
      </c>
      <c r="D1929" s="188" t="str">
        <f>+INDEX([1]Detallado!$F:$F,MATCH($C1929,[1]Detallado!$B:$B,0))</f>
        <v>Renta Variable</v>
      </c>
      <c r="E1929" s="31" t="str">
        <f>+INDEX([1]Detallado!$Q:$Q,MATCH($C1929,[1]Detallado!$B:$B,0))</f>
        <v>RVI</v>
      </c>
      <c r="F1929" s="185" t="s">
        <v>4355</v>
      </c>
      <c r="G1929" s="186" t="str">
        <f t="shared" si="58"/>
        <v>52RVI</v>
      </c>
      <c r="H1929" s="187" t="str">
        <f>+INDEX([1]Detallado!$D:$D,MATCH(C1929,[1]Detallado!$B:$B,0))</f>
        <v>UBS - China Opportunity - P</v>
      </c>
      <c r="I1929" s="28"/>
      <c r="J1929" s="184" t="str">
        <f t="shared" si="59"/>
        <v>RVITD</v>
      </c>
    </row>
    <row r="1930" spans="3:10" x14ac:dyDescent="0.25">
      <c r="C1930" s="28" t="s">
        <v>720</v>
      </c>
      <c r="D1930" s="188" t="str">
        <f>+INDEX([1]Detallado!$F:$F,MATCH($C1930,[1]Detallado!$B:$B,0))</f>
        <v>Renta Variable</v>
      </c>
      <c r="E1930" s="31" t="str">
        <f>+INDEX([1]Detallado!$Q:$Q,MATCH($C1930,[1]Detallado!$B:$B,0))</f>
        <v>RVI</v>
      </c>
      <c r="F1930" s="185" t="s">
        <v>4355</v>
      </c>
      <c r="G1930" s="186" t="str">
        <f t="shared" ref="G1930:G1993" si="60">LEFT(C1930,2)&amp;E1930</f>
        <v>52RVI</v>
      </c>
      <c r="H1930" s="187" t="str">
        <f>+INDEX([1]Detallado!$D:$D,MATCH(C1930,[1]Detallado!$B:$B,0))</f>
        <v>UBS - China Opportunity - A3</v>
      </c>
      <c r="I1930" s="28"/>
      <c r="J1930" s="184" t="str">
        <f t="shared" ref="J1930:J1993" si="61">IF(E1930="ALT",LEFT(E1930,3),LEFT(E1930,3)&amp;F1930)</f>
        <v>RVITD</v>
      </c>
    </row>
    <row r="1931" spans="3:10" x14ac:dyDescent="0.25">
      <c r="C1931" s="28" t="s">
        <v>2386</v>
      </c>
      <c r="D1931" s="188" t="str">
        <f>+INDEX([1]Detallado!$F:$F,MATCH($C1931,[1]Detallado!$B:$B,0))</f>
        <v>Renta Variable</v>
      </c>
      <c r="E1931" s="31" t="str">
        <f>+INDEX([1]Detallado!$Q:$Q,MATCH($C1931,[1]Detallado!$B:$B,0))</f>
        <v>RVI</v>
      </c>
      <c r="F1931" s="185" t="s">
        <v>4355</v>
      </c>
      <c r="G1931" s="186" t="str">
        <f t="shared" si="60"/>
        <v>52RVI</v>
      </c>
      <c r="H1931" s="187" t="str">
        <f>+INDEX([1]Detallado!$D:$D,MATCH(C1931,[1]Detallado!$B:$B,0))</f>
        <v>Aberdeen - Standard China A-Share</v>
      </c>
      <c r="I1931" s="28"/>
      <c r="J1931" s="184" t="str">
        <f t="shared" si="61"/>
        <v>RVITD</v>
      </c>
    </row>
    <row r="1932" spans="3:10" x14ac:dyDescent="0.25">
      <c r="C1932" s="28" t="s">
        <v>1962</v>
      </c>
      <c r="D1932" s="188" t="str">
        <f>+INDEX([1]Detallado!$F:$F,MATCH($C1932,[1]Detallado!$B:$B,0))</f>
        <v>Renta Variable</v>
      </c>
      <c r="E1932" s="31" t="str">
        <f>+INDEX([1]Detallado!$Q:$Q,MATCH($C1932,[1]Detallado!$B:$B,0))</f>
        <v>RVI</v>
      </c>
      <c r="F1932" s="185" t="s">
        <v>4355</v>
      </c>
      <c r="G1932" s="186" t="str">
        <f t="shared" si="60"/>
        <v>52RVI</v>
      </c>
      <c r="H1932" s="187" t="str">
        <f>+INDEX([1]Detallado!$D:$D,MATCH(C1932,[1]Detallado!$B:$B,0))</f>
        <v>Aberdeen - Chinese Equity Fund</v>
      </c>
      <c r="I1932" s="28"/>
      <c r="J1932" s="184" t="str">
        <f t="shared" si="61"/>
        <v>RVITD</v>
      </c>
    </row>
    <row r="1933" spans="3:10" x14ac:dyDescent="0.25">
      <c r="C1933" s="28" t="s">
        <v>2476</v>
      </c>
      <c r="D1933" s="188" t="str">
        <f>+INDEX([1]Detallado!$F:$F,MATCH($C1933,[1]Detallado!$B:$B,0))</f>
        <v>Renta Variable</v>
      </c>
      <c r="E1933" s="31" t="str">
        <f>+INDEX([1]Detallado!$Q:$Q,MATCH($C1933,[1]Detallado!$B:$B,0))</f>
        <v>RVI</v>
      </c>
      <c r="F1933" s="185" t="s">
        <v>4355</v>
      </c>
      <c r="G1933" s="186" t="str">
        <f t="shared" si="60"/>
        <v>52RVI</v>
      </c>
      <c r="H1933" s="187" t="str">
        <f>+INDEX([1]Detallado!$D:$D,MATCH(C1933,[1]Detallado!$B:$B,0))</f>
        <v>Robeco - Chinese A-Share</v>
      </c>
      <c r="I1933" s="28"/>
      <c r="J1933" s="184" t="str">
        <f t="shared" si="61"/>
        <v>RVITD</v>
      </c>
    </row>
    <row r="1934" spans="3:10" x14ac:dyDescent="0.25">
      <c r="C1934" s="28" t="s">
        <v>1706</v>
      </c>
      <c r="D1934" s="188" t="str">
        <f>+INDEX([1]Detallado!$F:$F,MATCH($C1934,[1]Detallado!$B:$B,0))</f>
        <v>Renta Variable</v>
      </c>
      <c r="E1934" s="31" t="str">
        <f>+INDEX([1]Detallado!$Q:$Q,MATCH($C1934,[1]Detallado!$B:$B,0))</f>
        <v>RVI</v>
      </c>
      <c r="F1934" s="185" t="s">
        <v>4355</v>
      </c>
      <c r="G1934" s="186" t="str">
        <f t="shared" si="60"/>
        <v>52RVI</v>
      </c>
      <c r="H1934" s="187" t="str">
        <f>+INDEX([1]Detallado!$D:$D,MATCH(C1934,[1]Detallado!$B:$B,0))</f>
        <v>Robeco - Chineese Equities</v>
      </c>
      <c r="I1934" s="28"/>
      <c r="J1934" s="184" t="str">
        <f t="shared" si="61"/>
        <v>RVITD</v>
      </c>
    </row>
    <row r="1935" spans="3:10" x14ac:dyDescent="0.25">
      <c r="C1935" s="28" t="s">
        <v>947</v>
      </c>
      <c r="D1935" s="188" t="str">
        <f>+INDEX([1]Detallado!$F:$F,MATCH($C1935,[1]Detallado!$B:$B,0))</f>
        <v>Renta Variable</v>
      </c>
      <c r="E1935" s="31" t="str">
        <f>+INDEX([1]Detallado!$Q:$Q,MATCH($C1935,[1]Detallado!$B:$B,0))</f>
        <v>RVI</v>
      </c>
      <c r="F1935" s="185" t="s">
        <v>4355</v>
      </c>
      <c r="G1935" s="186" t="str">
        <f t="shared" si="60"/>
        <v>52RVI</v>
      </c>
      <c r="H1935" s="187" t="str">
        <f>+INDEX([1]Detallado!$D:$D,MATCH(C1935,[1]Detallado!$B:$B,0))</f>
        <v>Schroder - International Selection Fund China A</v>
      </c>
      <c r="I1935" s="28"/>
      <c r="J1935" s="184" t="str">
        <f t="shared" si="61"/>
        <v>RVITD</v>
      </c>
    </row>
    <row r="1936" spans="3:10" x14ac:dyDescent="0.25">
      <c r="C1936" s="28" t="s">
        <v>1733</v>
      </c>
      <c r="D1936" s="188" t="str">
        <f>+INDEX([1]Detallado!$F:$F,MATCH($C1936,[1]Detallado!$B:$B,0))</f>
        <v>Renta Variable</v>
      </c>
      <c r="E1936" s="31" t="str">
        <f>+INDEX([1]Detallado!$Q:$Q,MATCH($C1936,[1]Detallado!$B:$B,0))</f>
        <v>RVI</v>
      </c>
      <c r="F1936" s="185" t="s">
        <v>4355</v>
      </c>
      <c r="G1936" s="186" t="str">
        <f t="shared" si="60"/>
        <v>52RVI</v>
      </c>
      <c r="H1936" s="187" t="str">
        <f>+INDEX([1]Detallado!$D:$D,MATCH(C1936,[1]Detallado!$B:$B,0))</f>
        <v>Fidelity - Greater China Fund</v>
      </c>
      <c r="I1936" s="28"/>
      <c r="J1936" s="184" t="str">
        <f t="shared" si="61"/>
        <v>RVITD</v>
      </c>
    </row>
    <row r="1937" spans="3:10" x14ac:dyDescent="0.25">
      <c r="C1937" s="28" t="s">
        <v>626</v>
      </c>
      <c r="D1937" s="188" t="str">
        <f>+INDEX([1]Detallado!$F:$F,MATCH($C1937,[1]Detallado!$B:$B,0))</f>
        <v>Renta Variable</v>
      </c>
      <c r="E1937" s="31" t="str">
        <f>+INDEX([1]Detallado!$Q:$Q,MATCH($C1937,[1]Detallado!$B:$B,0))</f>
        <v>RVI</v>
      </c>
      <c r="F1937" s="185" t="s">
        <v>4355</v>
      </c>
      <c r="G1937" s="186" t="str">
        <f t="shared" si="60"/>
        <v>52RVI</v>
      </c>
      <c r="H1937" s="187" t="str">
        <f>+INDEX([1]Detallado!$D:$D,MATCH(C1937,[1]Detallado!$B:$B,0))</f>
        <v>DWS - CSI 300 China-A</v>
      </c>
      <c r="I1937" s="28"/>
      <c r="J1937" s="184" t="str">
        <f t="shared" si="61"/>
        <v>RVITD</v>
      </c>
    </row>
    <row r="1938" spans="3:10" x14ac:dyDescent="0.25">
      <c r="C1938" s="28" t="s">
        <v>2612</v>
      </c>
      <c r="D1938" s="188" t="str">
        <f>+INDEX([1]Detallado!$F:$F,MATCH($C1938,[1]Detallado!$B:$B,0))</f>
        <v>Renta Variable</v>
      </c>
      <c r="E1938" s="31" t="str">
        <f>+INDEX([1]Detallado!$Q:$Q,MATCH($C1938,[1]Detallado!$B:$B,0))</f>
        <v>RVI</v>
      </c>
      <c r="F1938" s="185" t="s">
        <v>4355</v>
      </c>
      <c r="G1938" s="186" t="str">
        <f t="shared" si="60"/>
        <v>52RVI</v>
      </c>
      <c r="H1938" s="187" t="str">
        <f>+INDEX([1]Detallado!$D:$D,MATCH(C1938,[1]Detallado!$B:$B,0))</f>
        <v>Allianz China A Opportunities</v>
      </c>
      <c r="I1938" s="28"/>
      <c r="J1938" s="184" t="str">
        <f t="shared" si="61"/>
        <v>RVITD</v>
      </c>
    </row>
    <row r="1939" spans="3:10" x14ac:dyDescent="0.25">
      <c r="C1939" s="28" t="s">
        <v>688</v>
      </c>
      <c r="D1939" s="188" t="str">
        <f>+INDEX([1]Detallado!$F:$F,MATCH($C1939,[1]Detallado!$B:$B,0))</f>
        <v>Renta Variable</v>
      </c>
      <c r="E1939" s="31" t="str">
        <f>+INDEX([1]Detallado!$Q:$Q,MATCH($C1939,[1]Detallado!$B:$B,0))</f>
        <v>RVI</v>
      </c>
      <c r="F1939" s="185" t="s">
        <v>4355</v>
      </c>
      <c r="G1939" s="186" t="str">
        <f t="shared" si="60"/>
        <v>52RVI</v>
      </c>
      <c r="H1939" s="187" t="str">
        <f>+INDEX([1]Detallado!$D:$D,MATCH(C1939,[1]Detallado!$B:$B,0))</f>
        <v>Allianz - China-A</v>
      </c>
      <c r="I1939" s="28"/>
      <c r="J1939" s="184" t="str">
        <f t="shared" si="61"/>
        <v>RVITD</v>
      </c>
    </row>
    <row r="1940" spans="3:10" x14ac:dyDescent="0.25">
      <c r="C1940" s="28" t="s">
        <v>1085</v>
      </c>
      <c r="D1940" s="188" t="str">
        <f>+INDEX([1]Detallado!$F:$F,MATCH($C1940,[1]Detallado!$B:$B,0))</f>
        <v>Renta Variable</v>
      </c>
      <c r="E1940" s="31" t="str">
        <f>+INDEX([1]Detallado!$Q:$Q,MATCH($C1940,[1]Detallado!$B:$B,0))</f>
        <v>RVI</v>
      </c>
      <c r="F1940" s="185" t="s">
        <v>4355</v>
      </c>
      <c r="G1940" s="186" t="str">
        <f t="shared" si="60"/>
        <v>52RVI</v>
      </c>
      <c r="H1940" s="187" t="str">
        <f>+INDEX([1]Detallado!$D:$D,MATCH(C1940,[1]Detallado!$B:$B,0))</f>
        <v>BlackRock - iShares Hong Kong</v>
      </c>
      <c r="I1940" s="28"/>
      <c r="J1940" s="184" t="str">
        <f t="shared" si="61"/>
        <v>RVITD</v>
      </c>
    </row>
    <row r="1941" spans="3:10" x14ac:dyDescent="0.25">
      <c r="C1941" s="28" t="s">
        <v>622</v>
      </c>
      <c r="D1941" s="188" t="str">
        <f>+INDEX([1]Detallado!$F:$F,MATCH($C1941,[1]Detallado!$B:$B,0))</f>
        <v>Renta Variable</v>
      </c>
      <c r="E1941" s="31" t="str">
        <f>+INDEX([1]Detallado!$Q:$Q,MATCH($C1941,[1]Detallado!$B:$B,0))</f>
        <v>RVI</v>
      </c>
      <c r="F1941" s="185" t="s">
        <v>4355</v>
      </c>
      <c r="G1941" s="186" t="str">
        <f t="shared" si="60"/>
        <v>52RVI</v>
      </c>
      <c r="H1941" s="187" t="str">
        <f>+INDEX([1]Detallado!$D:$D,MATCH(C1941,[1]Detallado!$B:$B,0))</f>
        <v>BlackRock - iShares FTSE/Xinhua China 25 Index Fund</v>
      </c>
      <c r="I1941" s="28"/>
      <c r="J1941" s="184" t="str">
        <f t="shared" si="61"/>
        <v>RVITD</v>
      </c>
    </row>
    <row r="1942" spans="3:10" x14ac:dyDescent="0.25">
      <c r="C1942" s="28" t="s">
        <v>1642</v>
      </c>
      <c r="D1942" s="188" t="str">
        <f>+INDEX([1]Detallado!$F:$F,MATCH($C1942,[1]Detallado!$B:$B,0))</f>
        <v>Renta Variable</v>
      </c>
      <c r="E1942" s="31" t="str">
        <f>+INDEX([1]Detallado!$Q:$Q,MATCH($C1942,[1]Detallado!$B:$B,0))</f>
        <v>RVI</v>
      </c>
      <c r="F1942" s="185" t="s">
        <v>4355</v>
      </c>
      <c r="G1942" s="186" t="str">
        <f t="shared" si="60"/>
        <v>52RVI</v>
      </c>
      <c r="H1942" s="187" t="str">
        <f>+INDEX([1]Detallado!$D:$D,MATCH(C1942,[1]Detallado!$B:$B,0))</f>
        <v>Krane - MSCI China Clean Technology ETF</v>
      </c>
      <c r="I1942" s="28"/>
      <c r="J1942" s="184" t="str">
        <f t="shared" si="61"/>
        <v>RVITD</v>
      </c>
    </row>
    <row r="1943" spans="3:10" x14ac:dyDescent="0.25">
      <c r="C1943" s="28" t="s">
        <v>610</v>
      </c>
      <c r="D1943" s="188" t="str">
        <f>+INDEX([1]Detallado!$F:$F,MATCH($C1943,[1]Detallado!$B:$B,0))</f>
        <v>Renta Variable</v>
      </c>
      <c r="E1943" s="31" t="str">
        <f>+INDEX([1]Detallado!$Q:$Q,MATCH($C1943,[1]Detallado!$B:$B,0))</f>
        <v>RVI</v>
      </c>
      <c r="F1943" s="185" t="s">
        <v>4355</v>
      </c>
      <c r="G1943" s="186" t="str">
        <f t="shared" si="60"/>
        <v>52RVI</v>
      </c>
      <c r="H1943" s="187" t="str">
        <f>+INDEX([1]Detallado!$D:$D,MATCH(C1943,[1]Detallado!$B:$B,0))</f>
        <v>BlackRock - iShares MSCI China</v>
      </c>
      <c r="I1943" s="28"/>
      <c r="J1943" s="184" t="str">
        <f t="shared" si="61"/>
        <v>RVITD</v>
      </c>
    </row>
    <row r="1944" spans="3:10" x14ac:dyDescent="0.25">
      <c r="C1944" s="28" t="s">
        <v>1648</v>
      </c>
      <c r="D1944" s="188" t="str">
        <f>+INDEX([1]Detallado!$F:$F,MATCH($C1944,[1]Detallado!$B:$B,0))</f>
        <v>Renta Variable</v>
      </c>
      <c r="E1944" s="31" t="str">
        <f>+INDEX([1]Detallado!$Q:$Q,MATCH($C1944,[1]Detallado!$B:$B,0))</f>
        <v>RVI</v>
      </c>
      <c r="F1944" s="185" t="s">
        <v>4355</v>
      </c>
      <c r="G1944" s="186" t="str">
        <f t="shared" si="60"/>
        <v>52RVI</v>
      </c>
      <c r="H1944" s="187" t="str">
        <f>+INDEX([1]Detallado!$D:$D,MATCH(C1944,[1]Detallado!$B:$B,0))</f>
        <v>Krane - MSCI China all China H</v>
      </c>
      <c r="I1944" s="28"/>
      <c r="J1944" s="184" t="str">
        <f t="shared" si="61"/>
        <v>RVITD</v>
      </c>
    </row>
    <row r="1945" spans="3:10" x14ac:dyDescent="0.25">
      <c r="C1945" s="28" t="s">
        <v>1612</v>
      </c>
      <c r="D1945" s="188" t="str">
        <f>+INDEX([1]Detallado!$F:$F,MATCH($C1945,[1]Detallado!$B:$B,0))</f>
        <v>Renta Variable</v>
      </c>
      <c r="E1945" s="31" t="str">
        <f>+INDEX([1]Detallado!$Q:$Q,MATCH($C1945,[1]Detallado!$B:$B,0))</f>
        <v>RVI</v>
      </c>
      <c r="F1945" s="185" t="s">
        <v>4355</v>
      </c>
      <c r="G1945" s="186" t="str">
        <f t="shared" si="60"/>
        <v>52RVI</v>
      </c>
      <c r="H1945" s="187" t="str">
        <f>+INDEX([1]Detallado!$D:$D,MATCH(C1945,[1]Detallado!$B:$B,0))</f>
        <v xml:space="preserve">Krane - MSCI China 50 </v>
      </c>
      <c r="I1945" s="28"/>
      <c r="J1945" s="184" t="str">
        <f t="shared" si="61"/>
        <v>RVITD</v>
      </c>
    </row>
    <row r="1946" spans="3:10" x14ac:dyDescent="0.25">
      <c r="C1946" s="28" t="s">
        <v>945</v>
      </c>
      <c r="D1946" s="188" t="str">
        <f>+INDEX([1]Detallado!$F:$F,MATCH($C1946,[1]Detallado!$B:$B,0))</f>
        <v>Renta Variable</v>
      </c>
      <c r="E1946" s="31" t="str">
        <f>+INDEX([1]Detallado!$Q:$Q,MATCH($C1946,[1]Detallado!$B:$B,0))</f>
        <v>RVI</v>
      </c>
      <c r="F1946" s="185" t="s">
        <v>4355</v>
      </c>
      <c r="G1946" s="186" t="str">
        <f t="shared" si="60"/>
        <v>52RVI</v>
      </c>
      <c r="H1946" s="187" t="str">
        <f>+INDEX([1]Detallado!$D:$D,MATCH(C1946,[1]Detallado!$B:$B,0))</f>
        <v>Krane - CSI China Internet Fund</v>
      </c>
      <c r="I1946" s="28"/>
      <c r="J1946" s="184" t="str">
        <f t="shared" si="61"/>
        <v>RVITD</v>
      </c>
    </row>
    <row r="1947" spans="3:10" x14ac:dyDescent="0.25">
      <c r="C1947" s="28" t="s">
        <v>1517</v>
      </c>
      <c r="D1947" s="188" t="str">
        <f>+INDEX([1]Detallado!$F:$F,MATCH($C1947,[1]Detallado!$B:$B,0))</f>
        <v>Renta Variable</v>
      </c>
      <c r="E1947" s="31" t="str">
        <f>+INDEX([1]Detallado!$Q:$Q,MATCH($C1947,[1]Detallado!$B:$B,0))</f>
        <v>RVI</v>
      </c>
      <c r="F1947" s="185" t="s">
        <v>4355</v>
      </c>
      <c r="G1947" s="186" t="str">
        <f t="shared" si="60"/>
        <v>52RVI</v>
      </c>
      <c r="H1947" s="187" t="str">
        <f>+INDEX([1]Detallado!$D:$D,MATCH(C1947,[1]Detallado!$B:$B,0))</f>
        <v>Matthews - China</v>
      </c>
      <c r="I1947" s="28"/>
      <c r="J1947" s="184" t="str">
        <f t="shared" si="61"/>
        <v>RVITD</v>
      </c>
    </row>
    <row r="1948" spans="3:10" x14ac:dyDescent="0.25">
      <c r="C1948" s="28" t="s">
        <v>2200</v>
      </c>
      <c r="D1948" s="188" t="str">
        <f>+INDEX([1]Detallado!$F:$F,MATCH($C1948,[1]Detallado!$B:$B,0))</f>
        <v>Renta Variable</v>
      </c>
      <c r="E1948" s="31" t="str">
        <f>+INDEX([1]Detallado!$Q:$Q,MATCH($C1948,[1]Detallado!$B:$B,0))</f>
        <v>RVI</v>
      </c>
      <c r="F1948" s="185" t="s">
        <v>4355</v>
      </c>
      <c r="G1948" s="186" t="str">
        <f t="shared" si="60"/>
        <v>52RVI</v>
      </c>
      <c r="H1948" s="187" t="str">
        <f>+INDEX([1]Detallado!$D:$D,MATCH(C1948,[1]Detallado!$B:$B,0))</f>
        <v>Matthews - China Small Caps</v>
      </c>
      <c r="I1948" s="28"/>
      <c r="J1948" s="184" t="str">
        <f t="shared" si="61"/>
        <v>RVITD</v>
      </c>
    </row>
    <row r="1949" spans="3:10" x14ac:dyDescent="0.25">
      <c r="C1949" s="28" t="s">
        <v>1577</v>
      </c>
      <c r="D1949" s="188" t="str">
        <f>+INDEX([1]Detallado!$F:$F,MATCH($C1949,[1]Detallado!$B:$B,0))</f>
        <v>Renta Variable</v>
      </c>
      <c r="E1949" s="31" t="str">
        <f>+INDEX([1]Detallado!$Q:$Q,MATCH($C1949,[1]Detallado!$B:$B,0))</f>
        <v>RVI</v>
      </c>
      <c r="F1949" s="185" t="s">
        <v>4355</v>
      </c>
      <c r="G1949" s="186" t="str">
        <f t="shared" si="60"/>
        <v>52RVI</v>
      </c>
      <c r="H1949" s="187" t="str">
        <f>+INDEX([1]Detallado!$D:$D,MATCH(C1949,[1]Detallado!$B:$B,0))</f>
        <v>WisdomTree - China ex-State-Owned Enterprises Fund</v>
      </c>
      <c r="I1949" s="28"/>
      <c r="J1949" s="184" t="str">
        <f t="shared" si="61"/>
        <v>RVITD</v>
      </c>
    </row>
    <row r="1950" spans="3:10" x14ac:dyDescent="0.25">
      <c r="C1950" s="28" t="s">
        <v>2293</v>
      </c>
      <c r="D1950" s="188" t="str">
        <f>+INDEX([1]Detallado!$F:$F,MATCH($C1950,[1]Detallado!$B:$B,0))</f>
        <v>Renta Variable</v>
      </c>
      <c r="E1950" s="31" t="str">
        <f>+INDEX([1]Detallado!$Q:$Q,MATCH($C1950,[1]Detallado!$B:$B,0))</f>
        <v>RVI</v>
      </c>
      <c r="F1950" s="185" t="s">
        <v>4355</v>
      </c>
      <c r="G1950" s="186" t="str">
        <f t="shared" si="60"/>
        <v>52RVI</v>
      </c>
      <c r="H1950" s="187" t="str">
        <f>+INDEX([1]Detallado!$D:$D,MATCH(C1950,[1]Detallado!$B:$B,0))</f>
        <v>Janus Henderson - China Opportunities</v>
      </c>
      <c r="I1950" s="28"/>
      <c r="J1950" s="184" t="str">
        <f t="shared" si="61"/>
        <v>RVITD</v>
      </c>
    </row>
    <row r="1951" spans="3:10" x14ac:dyDescent="0.25">
      <c r="C1951" s="28" t="s">
        <v>2021</v>
      </c>
      <c r="D1951" s="188" t="str">
        <f>+INDEX([1]Detallado!$F:$F,MATCH($C1951,[1]Detallado!$B:$B,0))</f>
        <v>Renta Variable</v>
      </c>
      <c r="E1951" s="31" t="str">
        <f>+INDEX([1]Detallado!$Q:$Q,MATCH($C1951,[1]Detallado!$B:$B,0))</f>
        <v>RVI</v>
      </c>
      <c r="F1951" s="185" t="s">
        <v>4355</v>
      </c>
      <c r="G1951" s="186" t="str">
        <f t="shared" si="60"/>
        <v>52RVI</v>
      </c>
      <c r="H1951" s="187" t="str">
        <f>+INDEX([1]Detallado!$D:$D,MATCH(C1951,[1]Detallado!$B:$B,0))</f>
        <v>GAM - China Equity</v>
      </c>
      <c r="I1951" s="28"/>
      <c r="J1951" s="184" t="str">
        <f t="shared" si="61"/>
        <v>RVITD</v>
      </c>
    </row>
    <row r="1952" spans="3:10" x14ac:dyDescent="0.25">
      <c r="C1952" s="28" t="s">
        <v>1660</v>
      </c>
      <c r="D1952" s="188" t="str">
        <f>+INDEX([1]Detallado!$F:$F,MATCH($C1952,[1]Detallado!$B:$B,0))</f>
        <v>Renta Variable</v>
      </c>
      <c r="E1952" s="31" t="str">
        <f>+INDEX([1]Detallado!$Q:$Q,MATCH($C1952,[1]Detallado!$B:$B,0))</f>
        <v>RVI</v>
      </c>
      <c r="F1952" s="185" t="s">
        <v>4355</v>
      </c>
      <c r="G1952" s="186" t="str">
        <f t="shared" si="60"/>
        <v>52RVI</v>
      </c>
      <c r="H1952" s="187" t="str">
        <f>+INDEX([1]Detallado!$D:$D,MATCH(C1952,[1]Detallado!$B:$B,0))</f>
        <v>Invesco - Greater China Equity</v>
      </c>
      <c r="I1952" s="28"/>
      <c r="J1952" s="184" t="str">
        <f t="shared" si="61"/>
        <v>RVITD</v>
      </c>
    </row>
    <row r="1953" spans="3:10" x14ac:dyDescent="0.25">
      <c r="C1953" s="28" t="s">
        <v>950</v>
      </c>
      <c r="D1953" s="188" t="str">
        <f>+INDEX([1]Detallado!$F:$F,MATCH($C1953,[1]Detallado!$B:$B,0))</f>
        <v>Renta Variable</v>
      </c>
      <c r="E1953" s="31" t="str">
        <f>+INDEX([1]Detallado!$Q:$Q,MATCH($C1953,[1]Detallado!$B:$B,0))</f>
        <v>RVI</v>
      </c>
      <c r="F1953" s="185" t="s">
        <v>4355</v>
      </c>
      <c r="G1953" s="186" t="str">
        <f t="shared" si="60"/>
        <v>52RVI</v>
      </c>
      <c r="H1953" s="187" t="str">
        <f>+INDEX([1]Detallado!$D:$D,MATCH(C1953,[1]Detallado!$B:$B,0))</f>
        <v>BNP Paribas - China Equity Class</v>
      </c>
      <c r="I1953" s="28"/>
      <c r="J1953" s="184" t="str">
        <f t="shared" si="61"/>
        <v>RVITD</v>
      </c>
    </row>
    <row r="1954" spans="3:10" x14ac:dyDescent="0.25">
      <c r="C1954" s="28" t="s">
        <v>2403</v>
      </c>
      <c r="D1954" s="188" t="str">
        <f>+INDEX([1]Detallado!$F:$F,MATCH($C1954,[1]Detallado!$B:$B,0))</f>
        <v>Renta Variable</v>
      </c>
      <c r="E1954" s="31" t="str">
        <f>+INDEX([1]Detallado!$Q:$Q,MATCH($C1954,[1]Detallado!$B:$B,0))</f>
        <v>RVI</v>
      </c>
      <c r="F1954" s="185" t="s">
        <v>4355</v>
      </c>
      <c r="G1954" s="186" t="str">
        <f t="shared" si="60"/>
        <v>52RVI</v>
      </c>
      <c r="H1954" s="187" t="str">
        <f>+INDEX([1]Detallado!$D:$D,MATCH(C1954,[1]Detallado!$B:$B,0))</f>
        <v>Investec Luxembourg - All China Equity</v>
      </c>
      <c r="I1954" s="28"/>
      <c r="J1954" s="184" t="str">
        <f t="shared" si="61"/>
        <v>RVITD</v>
      </c>
    </row>
    <row r="1955" spans="3:10" x14ac:dyDescent="0.25">
      <c r="C1955" s="28" t="s">
        <v>2570</v>
      </c>
      <c r="D1955" s="188" t="str">
        <f>+INDEX([1]Detallado!$F:$F,MATCH($C1955,[1]Detallado!$B:$B,0))</f>
        <v>Renta Variable</v>
      </c>
      <c r="E1955" s="31" t="str">
        <f>+INDEX([1]Detallado!$Q:$Q,MATCH($C1955,[1]Detallado!$B:$B,0))</f>
        <v>RVI</v>
      </c>
      <c r="F1955" s="185" t="s">
        <v>4355</v>
      </c>
      <c r="G1955" s="186" t="str">
        <f t="shared" si="60"/>
        <v>52RVI</v>
      </c>
      <c r="H1955" s="187" t="str">
        <f>+INDEX([1]Detallado!$D:$D,MATCH(C1955,[1]Detallado!$B:$B,0))</f>
        <v>JP Morgan - China A Share Opportunities Fund</v>
      </c>
      <c r="I1955" s="28"/>
      <c r="J1955" s="184" t="str">
        <f t="shared" si="61"/>
        <v>RVITD</v>
      </c>
    </row>
    <row r="1956" spans="3:10" x14ac:dyDescent="0.25">
      <c r="C1956" s="28" t="s">
        <v>631</v>
      </c>
      <c r="D1956" s="188" t="str">
        <f>+INDEX([1]Detallado!$F:$F,MATCH($C1956,[1]Detallado!$B:$B,0))</f>
        <v>Renta Variable</v>
      </c>
      <c r="E1956" s="31" t="str">
        <f>+INDEX([1]Detallado!$Q:$Q,MATCH($C1956,[1]Detallado!$B:$B,0))</f>
        <v>RVI</v>
      </c>
      <c r="F1956" s="185" t="s">
        <v>4355</v>
      </c>
      <c r="G1956" s="186" t="str">
        <f t="shared" si="60"/>
        <v>52RVI</v>
      </c>
      <c r="H1956" s="187" t="str">
        <f>+INDEX([1]Detallado!$D:$D,MATCH(C1956,[1]Detallado!$B:$B,0))</f>
        <v>Robeco - Chinese Equities</v>
      </c>
      <c r="I1956" s="28"/>
      <c r="J1956" s="184" t="str">
        <f t="shared" si="61"/>
        <v>RVITD</v>
      </c>
    </row>
    <row r="1957" spans="3:10" x14ac:dyDescent="0.25">
      <c r="C1957" s="28" t="s">
        <v>681</v>
      </c>
      <c r="D1957" s="188" t="str">
        <f>+INDEX([1]Detallado!$F:$F,MATCH($C1957,[1]Detallado!$B:$B,0))</f>
        <v>Renta Variable</v>
      </c>
      <c r="E1957" s="31" t="str">
        <f>+INDEX([1]Detallado!$Q:$Q,MATCH($C1957,[1]Detallado!$B:$B,0))</f>
        <v>RVI</v>
      </c>
      <c r="F1957" s="185" t="s">
        <v>4355</v>
      </c>
      <c r="G1957" s="186" t="str">
        <f t="shared" si="60"/>
        <v>52RVI</v>
      </c>
      <c r="H1957" s="187" t="str">
        <f>+INDEX([1]Detallado!$D:$D,MATCH(C1957,[1]Detallado!$B:$B,0))</f>
        <v>Invesco - China Technology ETF</v>
      </c>
      <c r="I1957" s="28"/>
      <c r="J1957" s="184" t="str">
        <f t="shared" si="61"/>
        <v>RVITD</v>
      </c>
    </row>
    <row r="1958" spans="3:10" x14ac:dyDescent="0.25">
      <c r="C1958" s="28" t="s">
        <v>1976</v>
      </c>
      <c r="D1958" s="188" t="str">
        <f>+INDEX([1]Detallado!$F:$F,MATCH($C1958,[1]Detallado!$B:$B,0))</f>
        <v>Renta Variable</v>
      </c>
      <c r="E1958" s="31" t="str">
        <f>+INDEX([1]Detallado!$Q:$Q,MATCH($C1958,[1]Detallado!$B:$B,0))</f>
        <v>RVI</v>
      </c>
      <c r="F1958" s="185" t="s">
        <v>4355</v>
      </c>
      <c r="G1958" s="186" t="str">
        <f t="shared" si="60"/>
        <v>52RVI</v>
      </c>
      <c r="H1958" s="187" t="str">
        <f>+INDEX([1]Detallado!$D:$D,MATCH(C1958,[1]Detallado!$B:$B,0))</f>
        <v>JP Morgan - Greater China Fund</v>
      </c>
      <c r="I1958" s="28"/>
      <c r="J1958" s="184" t="str">
        <f t="shared" si="61"/>
        <v>RVITD</v>
      </c>
    </row>
    <row r="1959" spans="3:10" x14ac:dyDescent="0.25">
      <c r="C1959" s="28" t="s">
        <v>710</v>
      </c>
      <c r="D1959" s="188" t="str">
        <f>+INDEX([1]Detallado!$F:$F,MATCH($C1959,[1]Detallado!$B:$B,0))</f>
        <v>Renta Variable</v>
      </c>
      <c r="E1959" s="31" t="str">
        <f>+INDEX([1]Detallado!$Q:$Q,MATCH($C1959,[1]Detallado!$B:$B,0))</f>
        <v>RVI</v>
      </c>
      <c r="F1959" s="185" t="s">
        <v>4355</v>
      </c>
      <c r="G1959" s="186" t="str">
        <f t="shared" si="60"/>
        <v>52RVI</v>
      </c>
      <c r="H1959" s="187" t="str">
        <f>+INDEX([1]Detallado!$D:$D,MATCH(C1959,[1]Detallado!$B:$B,0))</f>
        <v>Schroders - Asian Opportunities</v>
      </c>
      <c r="I1959" s="28"/>
      <c r="J1959" s="184" t="str">
        <f t="shared" si="61"/>
        <v>RVITD</v>
      </c>
    </row>
    <row r="1960" spans="3:10" x14ac:dyDescent="0.25">
      <c r="C1960" s="28" t="s">
        <v>1960</v>
      </c>
      <c r="D1960" s="188" t="str">
        <f>+INDEX([1]Detallado!$F:$F,MATCH($C1960,[1]Detallado!$B:$B,0))</f>
        <v>Renta Variable</v>
      </c>
      <c r="E1960" s="31" t="str">
        <f>+INDEX([1]Detallado!$Q:$Q,MATCH($C1960,[1]Detallado!$B:$B,0))</f>
        <v>RVI</v>
      </c>
      <c r="F1960" s="185" t="s">
        <v>4355</v>
      </c>
      <c r="G1960" s="186" t="str">
        <f t="shared" si="60"/>
        <v>52RVI</v>
      </c>
      <c r="H1960" s="187" t="str">
        <f>+INDEX([1]Detallado!$D:$D,MATCH(C1960,[1]Detallado!$B:$B,0))</f>
        <v>Aberdeen - Asian Smaller Companies</v>
      </c>
      <c r="I1960" s="28"/>
      <c r="J1960" s="184" t="str">
        <f t="shared" si="61"/>
        <v>RVITD</v>
      </c>
    </row>
    <row r="1961" spans="3:10" x14ac:dyDescent="0.25">
      <c r="C1961" s="28" t="s">
        <v>1913</v>
      </c>
      <c r="D1961" s="188" t="str">
        <f>+INDEX([1]Detallado!$F:$F,MATCH($C1961,[1]Detallado!$B:$B,0))</f>
        <v>Renta Variable</v>
      </c>
      <c r="E1961" s="31" t="str">
        <f>+INDEX([1]Detallado!$Q:$Q,MATCH($C1961,[1]Detallado!$B:$B,0))</f>
        <v>RVI</v>
      </c>
      <c r="F1961" s="185" t="s">
        <v>4355</v>
      </c>
      <c r="G1961" s="186" t="str">
        <f t="shared" si="60"/>
        <v>52RVI</v>
      </c>
      <c r="H1961" s="187" t="str">
        <f>+INDEX([1]Detallado!$D:$D,MATCH(C1961,[1]Detallado!$B:$B,0))</f>
        <v>Parvest - Best Selection Asia Ex Japan</v>
      </c>
      <c r="I1961" s="28"/>
      <c r="J1961" s="184" t="str">
        <f t="shared" si="61"/>
        <v>RVITD</v>
      </c>
    </row>
    <row r="1962" spans="3:10" x14ac:dyDescent="0.25">
      <c r="C1962" s="28" t="s">
        <v>2384</v>
      </c>
      <c r="D1962" s="188" t="str">
        <f>+INDEX([1]Detallado!$F:$F,MATCH($C1962,[1]Detallado!$B:$B,0))</f>
        <v>Renta Variable</v>
      </c>
      <c r="E1962" s="31" t="str">
        <f>+INDEX([1]Detallado!$Q:$Q,MATCH($C1962,[1]Detallado!$B:$B,0))</f>
        <v>RVI</v>
      </c>
      <c r="F1962" s="185" t="s">
        <v>4355</v>
      </c>
      <c r="G1962" s="186" t="str">
        <f t="shared" si="60"/>
        <v>52RVI</v>
      </c>
      <c r="H1962" s="187" t="str">
        <f>+INDEX([1]Detallado!$D:$D,MATCH(C1962,[1]Detallado!$B:$B,0))</f>
        <v>Allianz - Emerging Asia</v>
      </c>
      <c r="I1962" s="28"/>
      <c r="J1962" s="184" t="str">
        <f t="shared" si="61"/>
        <v>RVITD</v>
      </c>
    </row>
    <row r="1963" spans="3:10" x14ac:dyDescent="0.25">
      <c r="C1963" s="28" t="s">
        <v>1774</v>
      </c>
      <c r="D1963" s="188" t="str">
        <f>+INDEX([1]Detallado!$F:$F,MATCH($C1963,[1]Detallado!$B:$B,0))</f>
        <v>Renta Variable</v>
      </c>
      <c r="E1963" s="31" t="str">
        <f>+INDEX([1]Detallado!$Q:$Q,MATCH($C1963,[1]Detallado!$B:$B,0))</f>
        <v>RVI</v>
      </c>
      <c r="F1963" s="185" t="s">
        <v>4355</v>
      </c>
      <c r="G1963" s="186" t="str">
        <f t="shared" si="60"/>
        <v>52RVI</v>
      </c>
      <c r="H1963" s="187" t="str">
        <f>+INDEX([1]Detallado!$D:$D,MATCH(C1963,[1]Detallado!$B:$B,0))</f>
        <v>Vontobel - Asia Pacific Equity</v>
      </c>
      <c r="I1963" s="28"/>
      <c r="J1963" s="184" t="str">
        <f t="shared" si="61"/>
        <v>RVITD</v>
      </c>
    </row>
    <row r="1964" spans="3:10" x14ac:dyDescent="0.25">
      <c r="C1964" s="28" t="s">
        <v>1264</v>
      </c>
      <c r="D1964" s="188" t="str">
        <f>+INDEX([1]Detallado!$F:$F,MATCH($C1964,[1]Detallado!$B:$B,0))</f>
        <v>Renta Variable</v>
      </c>
      <c r="E1964" s="31" t="str">
        <f>+INDEX([1]Detallado!$Q:$Q,MATCH($C1964,[1]Detallado!$B:$B,0))</f>
        <v>RVI</v>
      </c>
      <c r="F1964" s="185" t="s">
        <v>4355</v>
      </c>
      <c r="G1964" s="186" t="str">
        <f t="shared" si="60"/>
        <v>52RVI</v>
      </c>
      <c r="H1964" s="187" t="str">
        <f>+INDEX([1]Detallado!$D:$D,MATCH(C1964,[1]Detallado!$B:$B,0))</f>
        <v>BlackRock - iShares MSCI Pacific Ex Japan</v>
      </c>
      <c r="I1964" s="28"/>
      <c r="J1964" s="184" t="str">
        <f t="shared" si="61"/>
        <v>RVITD</v>
      </c>
    </row>
    <row r="1965" spans="3:10" x14ac:dyDescent="0.25">
      <c r="C1965" s="28" t="s">
        <v>624</v>
      </c>
      <c r="D1965" s="188" t="str">
        <f>+INDEX([1]Detallado!$F:$F,MATCH($C1965,[1]Detallado!$B:$B,0))</f>
        <v>Renta Variable</v>
      </c>
      <c r="E1965" s="31" t="str">
        <f>+INDEX([1]Detallado!$Q:$Q,MATCH($C1965,[1]Detallado!$B:$B,0))</f>
        <v>RVI</v>
      </c>
      <c r="F1965" s="185" t="s">
        <v>4355</v>
      </c>
      <c r="G1965" s="186" t="str">
        <f t="shared" si="60"/>
        <v>52RVI</v>
      </c>
      <c r="H1965" s="187" t="str">
        <f>+INDEX([1]Detallado!$D:$D,MATCH(C1965,[1]Detallado!$B:$B,0))</f>
        <v>BlackRock - iShares Asia Ex-Japan</v>
      </c>
      <c r="I1965" s="28"/>
      <c r="J1965" s="184" t="str">
        <f t="shared" si="61"/>
        <v>RVITD</v>
      </c>
    </row>
    <row r="1966" spans="3:10" x14ac:dyDescent="0.25">
      <c r="C1966" s="28" t="s">
        <v>1513</v>
      </c>
      <c r="D1966" s="188" t="str">
        <f>+INDEX([1]Detallado!$F:$F,MATCH($C1966,[1]Detallado!$B:$B,0))</f>
        <v>Renta Variable</v>
      </c>
      <c r="E1966" s="31" t="str">
        <f>+INDEX([1]Detallado!$Q:$Q,MATCH($C1966,[1]Detallado!$B:$B,0))</f>
        <v>RVI</v>
      </c>
      <c r="F1966" s="185" t="s">
        <v>4355</v>
      </c>
      <c r="G1966" s="186" t="str">
        <f t="shared" si="60"/>
        <v>52RVI</v>
      </c>
      <c r="H1966" s="187" t="str">
        <f>+INDEX([1]Detallado!$D:$D,MATCH(C1966,[1]Detallado!$B:$B,0))</f>
        <v>Matthews - Pacific Tiger</v>
      </c>
      <c r="I1966" s="28"/>
      <c r="J1966" s="184" t="str">
        <f t="shared" si="61"/>
        <v>RVITD</v>
      </c>
    </row>
    <row r="1967" spans="3:10" x14ac:dyDescent="0.25">
      <c r="C1967" s="28" t="s">
        <v>1508</v>
      </c>
      <c r="D1967" s="188" t="str">
        <f>+INDEX([1]Detallado!$F:$F,MATCH($C1967,[1]Detallado!$B:$B,0))</f>
        <v>Renta Variable</v>
      </c>
      <c r="E1967" s="31" t="str">
        <f>+INDEX([1]Detallado!$Q:$Q,MATCH($C1967,[1]Detallado!$B:$B,0))</f>
        <v>RVI</v>
      </c>
      <c r="F1967" s="185" t="s">
        <v>4355</v>
      </c>
      <c r="G1967" s="186" t="str">
        <f t="shared" si="60"/>
        <v>52RVI</v>
      </c>
      <c r="H1967" s="187" t="str">
        <f>+INDEX([1]Detallado!$D:$D,MATCH(C1967,[1]Detallado!$B:$B,0))</f>
        <v>Matthews - Asian Growth</v>
      </c>
      <c r="I1967" s="28"/>
      <c r="J1967" s="184" t="str">
        <f t="shared" si="61"/>
        <v>RVITD</v>
      </c>
    </row>
    <row r="1968" spans="3:10" x14ac:dyDescent="0.25">
      <c r="C1968" s="28" t="s">
        <v>1589</v>
      </c>
      <c r="D1968" s="188" t="str">
        <f>+INDEX([1]Detallado!$F:$F,MATCH($C1968,[1]Detallado!$B:$B,0))</f>
        <v>Renta Variable</v>
      </c>
      <c r="E1968" s="31" t="str">
        <f>+INDEX([1]Detallado!$Q:$Q,MATCH($C1968,[1]Detallado!$B:$B,0))</f>
        <v>RVI</v>
      </c>
      <c r="F1968" s="185" t="s">
        <v>4355</v>
      </c>
      <c r="G1968" s="186" t="str">
        <f t="shared" si="60"/>
        <v>52RVI</v>
      </c>
      <c r="H1968" s="187" t="str">
        <f>+INDEX([1]Detallado!$D:$D,MATCH(C1968,[1]Detallado!$B:$B,0))</f>
        <v>Matthews - Asian Smaller Companies Fund</v>
      </c>
      <c r="I1968" s="28"/>
      <c r="J1968" s="184" t="str">
        <f t="shared" si="61"/>
        <v>RVITD</v>
      </c>
    </row>
    <row r="1969" spans="3:10" x14ac:dyDescent="0.25">
      <c r="C1969" s="28" t="s">
        <v>1681</v>
      </c>
      <c r="D1969" s="188" t="e">
        <f>+INDEX([1]Detallado!$F:$F,MATCH($C1969,[1]Detallado!$B:$B,0))</f>
        <v>#N/A</v>
      </c>
      <c r="E1969" s="31" t="e">
        <f>+INDEX([1]Detallado!$Q:$Q,MATCH($C1969,[1]Detallado!$B:$B,0))</f>
        <v>#N/A</v>
      </c>
      <c r="F1969" s="185" t="s">
        <v>4355</v>
      </c>
      <c r="G1969" s="186" t="e">
        <f t="shared" si="60"/>
        <v>#N/A</v>
      </c>
      <c r="H1969" s="187" t="e">
        <f>+INDEX([1]Detallado!$D:$D,MATCH(C1969,[1]Detallado!$B:$B,0))</f>
        <v>#N/A</v>
      </c>
      <c r="I1969" s="28"/>
      <c r="J1969" s="184" t="e">
        <f t="shared" si="61"/>
        <v>#N/A</v>
      </c>
    </row>
    <row r="1970" spans="3:10" x14ac:dyDescent="0.25">
      <c r="C1970" s="28" t="s">
        <v>2069</v>
      </c>
      <c r="D1970" s="188" t="str">
        <f>+INDEX([1]Detallado!$F:$F,MATCH($C1970,[1]Detallado!$B:$B,0))</f>
        <v>Renta Variable</v>
      </c>
      <c r="E1970" s="31" t="str">
        <f>+INDEX([1]Detallado!$Q:$Q,MATCH($C1970,[1]Detallado!$B:$B,0))</f>
        <v>RVI</v>
      </c>
      <c r="F1970" s="185" t="s">
        <v>4355</v>
      </c>
      <c r="G1970" s="186" t="str">
        <f t="shared" si="60"/>
        <v>52RVI</v>
      </c>
      <c r="H1970" s="187" t="str">
        <f>+INDEX([1]Detallado!$D:$D,MATCH(C1970,[1]Detallado!$B:$B,0))</f>
        <v>BlackRock - Asian Dragon Fund</v>
      </c>
      <c r="I1970" s="28"/>
      <c r="J1970" s="184" t="str">
        <f t="shared" si="61"/>
        <v>RVITD</v>
      </c>
    </row>
    <row r="1971" spans="3:10" x14ac:dyDescent="0.25">
      <c r="C1971" s="28" t="s">
        <v>4219</v>
      </c>
      <c r="D1971" s="188" t="str">
        <f>+INDEX([1]Detallado!$F:$F,MATCH($C1971,[1]Detallado!$B:$B,0))</f>
        <v>Renta Variable</v>
      </c>
      <c r="E1971" s="31" t="str">
        <f>+INDEX([1]Detallado!$Q:$Q,MATCH($C1971,[1]Detallado!$B:$B,0))</f>
        <v>RVI</v>
      </c>
      <c r="F1971" s="185" t="s">
        <v>4355</v>
      </c>
      <c r="G1971" s="186" t="str">
        <f t="shared" si="60"/>
        <v>52RVI</v>
      </c>
      <c r="H1971" s="187" t="str">
        <f>+INDEX([1]Detallado!$D:$D,MATCH(C1971,[1]Detallado!$B:$B,0))</f>
        <v>Invesco - Asian Equity Fund</v>
      </c>
      <c r="I1971" s="28"/>
      <c r="J1971" s="184" t="str">
        <f t="shared" si="61"/>
        <v>RVITD</v>
      </c>
    </row>
    <row r="1972" spans="3:10" x14ac:dyDescent="0.25">
      <c r="C1972" s="28" t="s">
        <v>2322</v>
      </c>
      <c r="D1972" s="188" t="str">
        <f>+INDEX([1]Detallado!$F:$F,MATCH($C1972,[1]Detallado!$B:$B,0))</f>
        <v>Renta Variable</v>
      </c>
      <c r="E1972" s="31" t="str">
        <f>+INDEX([1]Detallado!$Q:$Q,MATCH($C1972,[1]Detallado!$B:$B,0))</f>
        <v>RVI</v>
      </c>
      <c r="F1972" s="185" t="s">
        <v>4355</v>
      </c>
      <c r="G1972" s="186" t="str">
        <f t="shared" si="60"/>
        <v>52RVI</v>
      </c>
      <c r="H1972" s="187" t="str">
        <f>+INDEX([1]Detallado!$D:$D,MATCH(C1972,[1]Detallado!$B:$B,0))</f>
        <v>JP Morgan - Asia Ex-Japan Growth Fund</v>
      </c>
      <c r="I1972" s="28"/>
      <c r="J1972" s="184" t="str">
        <f t="shared" si="61"/>
        <v>RVITD</v>
      </c>
    </row>
    <row r="1973" spans="3:10" x14ac:dyDescent="0.25">
      <c r="C1973" s="28" t="s">
        <v>2312</v>
      </c>
      <c r="D1973" s="188" t="str">
        <f>+INDEX([1]Detallado!$F:$F,MATCH($C1973,[1]Detallado!$B:$B,0))</f>
        <v>Renta Variable</v>
      </c>
      <c r="E1973" s="31" t="str">
        <f>+INDEX([1]Detallado!$Q:$Q,MATCH($C1973,[1]Detallado!$B:$B,0))</f>
        <v>RVI</v>
      </c>
      <c r="F1973" s="185" t="s">
        <v>4355</v>
      </c>
      <c r="G1973" s="186" t="str">
        <f t="shared" si="60"/>
        <v>52RVI</v>
      </c>
      <c r="H1973" s="187" t="str">
        <f>+INDEX([1]Detallado!$D:$D,MATCH(C1973,[1]Detallado!$B:$B,0))</f>
        <v>Robeco - Asian Stars</v>
      </c>
      <c r="I1973" s="28"/>
      <c r="J1973" s="184" t="str">
        <f t="shared" si="61"/>
        <v>RVITD</v>
      </c>
    </row>
    <row r="1974" spans="3:10" x14ac:dyDescent="0.25">
      <c r="C1974" s="28" t="s">
        <v>2440</v>
      </c>
      <c r="D1974" s="188" t="str">
        <f>+INDEX([1]Detallado!$F:$F,MATCH($C1974,[1]Detallado!$B:$B,0))</f>
        <v>Renta Variable</v>
      </c>
      <c r="E1974" s="31" t="str">
        <f>+INDEX([1]Detallado!$Q:$Q,MATCH($C1974,[1]Detallado!$B:$B,0))</f>
        <v>RVI</v>
      </c>
      <c r="F1974" s="185" t="s">
        <v>4355</v>
      </c>
      <c r="G1974" s="186" t="str">
        <f t="shared" si="60"/>
        <v>52RVI</v>
      </c>
      <c r="H1974" s="187" t="str">
        <f>+INDEX([1]Detallado!$D:$D,MATCH(C1974,[1]Detallado!$B:$B,0))</f>
        <v>MSIM - Asia Opportunity</v>
      </c>
      <c r="I1974" s="28"/>
      <c r="J1974" s="184" t="str">
        <f t="shared" si="61"/>
        <v>RVITD</v>
      </c>
    </row>
    <row r="1975" spans="3:10" x14ac:dyDescent="0.25">
      <c r="C1975" s="28" t="s">
        <v>1908</v>
      </c>
      <c r="D1975" s="188" t="str">
        <f>+INDEX([1]Detallado!$F:$F,MATCH($C1975,[1]Detallado!$B:$B,0))</f>
        <v>Renta Variable</v>
      </c>
      <c r="E1975" s="31" t="str">
        <f>+INDEX([1]Detallado!$Q:$Q,MATCH($C1975,[1]Detallado!$B:$B,0))</f>
        <v>RVI</v>
      </c>
      <c r="F1975" s="185" t="s">
        <v>4355</v>
      </c>
      <c r="G1975" s="186" t="str">
        <f t="shared" si="60"/>
        <v>52RVI</v>
      </c>
      <c r="H1975" s="187" t="str">
        <f>+INDEX([1]Detallado!$D:$D,MATCH(C1975,[1]Detallado!$B:$B,0))</f>
        <v>Veritas - Asian Fund</v>
      </c>
      <c r="I1975" s="28"/>
      <c r="J1975" s="184" t="str">
        <f t="shared" si="61"/>
        <v>RVITD</v>
      </c>
    </row>
    <row r="1976" spans="3:10" x14ac:dyDescent="0.25">
      <c r="C1976" s="28" t="s">
        <v>598</v>
      </c>
      <c r="D1976" s="188" t="str">
        <f>+INDEX([1]Detallado!$F:$F,MATCH($C1976,[1]Detallado!$B:$B,0))</f>
        <v>Renta Variable</v>
      </c>
      <c r="E1976" s="31" t="str">
        <f>+INDEX([1]Detallado!$Q:$Q,MATCH($C1976,[1]Detallado!$B:$B,0))</f>
        <v>RVI</v>
      </c>
      <c r="F1976" s="185" t="s">
        <v>4355</v>
      </c>
      <c r="G1976" s="186" t="str">
        <f t="shared" si="60"/>
        <v>52RVI</v>
      </c>
      <c r="H1976" s="187" t="str">
        <f>+INDEX([1]Detallado!$D:$D,MATCH(C1976,[1]Detallado!$B:$B,0))</f>
        <v>Pinebridge - Asia Ex-Japan Small Caps</v>
      </c>
      <c r="I1976" s="28"/>
      <c r="J1976" s="184" t="str">
        <f t="shared" si="61"/>
        <v>RVITD</v>
      </c>
    </row>
    <row r="1977" spans="3:10" x14ac:dyDescent="0.25">
      <c r="C1977" s="28" t="s">
        <v>1878</v>
      </c>
      <c r="D1977" s="188" t="str">
        <f>+INDEX([1]Detallado!$F:$F,MATCH($C1977,[1]Detallado!$B:$B,0))</f>
        <v>Renta Variable</v>
      </c>
      <c r="E1977" s="31" t="str">
        <f>+INDEX([1]Detallado!$Q:$Q,MATCH($C1977,[1]Detallado!$B:$B,0))</f>
        <v>RVI</v>
      </c>
      <c r="F1977" s="185" t="s">
        <v>4355</v>
      </c>
      <c r="G1977" s="186" t="str">
        <f t="shared" si="60"/>
        <v>52RVI</v>
      </c>
      <c r="H1977" s="187" t="str">
        <f>+INDEX([1]Detallado!$D:$D,MATCH(C1977,[1]Detallado!$B:$B,0))</f>
        <v>Schroders - Emerging Asia</v>
      </c>
      <c r="I1977" s="28"/>
      <c r="J1977" s="184" t="str">
        <f t="shared" si="61"/>
        <v>RVITD</v>
      </c>
    </row>
    <row r="1978" spans="3:10" x14ac:dyDescent="0.25">
      <c r="C1978" s="28" t="s">
        <v>662</v>
      </c>
      <c r="D1978" s="188" t="str">
        <f>+INDEX([1]Detallado!$F:$F,MATCH($C1978,[1]Detallado!$B:$B,0))</f>
        <v>Renta Variable</v>
      </c>
      <c r="E1978" s="31" t="str">
        <f>+INDEX([1]Detallado!$Q:$Q,MATCH($C1978,[1]Detallado!$B:$B,0))</f>
        <v>RVI</v>
      </c>
      <c r="F1978" s="185" t="s">
        <v>4355</v>
      </c>
      <c r="G1978" s="186" t="str">
        <f t="shared" si="60"/>
        <v>52RVI</v>
      </c>
      <c r="H1978" s="187" t="str">
        <f>+INDEX([1]Detallado!$D:$D,MATCH(C1978,[1]Detallado!$B:$B,0))</f>
        <v>Veritas - Asian Fund</v>
      </c>
      <c r="I1978" s="28"/>
      <c r="J1978" s="184" t="str">
        <f t="shared" si="61"/>
        <v>RVITD</v>
      </c>
    </row>
    <row r="1979" spans="3:10" x14ac:dyDescent="0.25">
      <c r="C1979" s="28" t="s">
        <v>2409</v>
      </c>
      <c r="D1979" s="188" t="str">
        <f>+INDEX([1]Detallado!$F:$F,MATCH($C1979,[1]Detallado!$B:$B,0))</f>
        <v>Renta Variable</v>
      </c>
      <c r="E1979" s="31" t="str">
        <f>+INDEX([1]Detallado!$Q:$Q,MATCH($C1979,[1]Detallado!$B:$B,0))</f>
        <v>RVI</v>
      </c>
      <c r="F1979" s="185" t="s">
        <v>4355</v>
      </c>
      <c r="G1979" s="186" t="str">
        <f t="shared" si="60"/>
        <v>52RVI</v>
      </c>
      <c r="H1979" s="187" t="str">
        <f>+INDEX([1]Detallado!$D:$D,MATCH(C1979,[1]Detallado!$B:$B,0))</f>
        <v>Nomura - Indian Equity</v>
      </c>
      <c r="I1979" s="28"/>
      <c r="J1979" s="184" t="str">
        <f t="shared" si="61"/>
        <v>RVITD</v>
      </c>
    </row>
    <row r="1980" spans="3:10" x14ac:dyDescent="0.25">
      <c r="C1980" s="28" t="s">
        <v>1999</v>
      </c>
      <c r="D1980" s="188" t="str">
        <f>+INDEX([1]Detallado!$F:$F,MATCH($C1980,[1]Detallado!$B:$B,0))</f>
        <v>Renta Variable</v>
      </c>
      <c r="E1980" s="31" t="str">
        <f>+INDEX([1]Detallado!$Q:$Q,MATCH($C1980,[1]Detallado!$B:$B,0))</f>
        <v>RVI</v>
      </c>
      <c r="F1980" s="185" t="s">
        <v>4355</v>
      </c>
      <c r="G1980" s="186" t="str">
        <f t="shared" si="60"/>
        <v>52RVI</v>
      </c>
      <c r="H1980" s="187" t="str">
        <f>+INDEX([1]Detallado!$D:$D,MATCH(C1980,[1]Detallado!$B:$B,0))</f>
        <v>Schroders - Indian Equity</v>
      </c>
      <c r="I1980" s="28"/>
      <c r="J1980" s="184" t="str">
        <f t="shared" si="61"/>
        <v>RVITD</v>
      </c>
    </row>
    <row r="1981" spans="3:10" x14ac:dyDescent="0.25">
      <c r="C1981" s="28" t="s">
        <v>2411</v>
      </c>
      <c r="D1981" s="188" t="str">
        <f>+INDEX([1]Detallado!$F:$F,MATCH($C1981,[1]Detallado!$B:$B,0))</f>
        <v>Renta Variable</v>
      </c>
      <c r="E1981" s="31" t="str">
        <f>+INDEX([1]Detallado!$Q:$Q,MATCH($C1981,[1]Detallado!$B:$B,0))</f>
        <v>RVI</v>
      </c>
      <c r="F1981" s="185" t="s">
        <v>4355</v>
      </c>
      <c r="G1981" s="186" t="str">
        <f t="shared" si="60"/>
        <v>52RVI</v>
      </c>
      <c r="H1981" s="187" t="str">
        <f>+INDEX([1]Detallado!$D:$D,MATCH(C1981,[1]Detallado!$B:$B,0))</f>
        <v>UTI - Indian Equity</v>
      </c>
      <c r="I1981" s="28"/>
      <c r="J1981" s="184" t="str">
        <f t="shared" si="61"/>
        <v>RVITD</v>
      </c>
    </row>
    <row r="1982" spans="3:10" x14ac:dyDescent="0.25">
      <c r="C1982" s="28" t="s">
        <v>1982</v>
      </c>
      <c r="D1982" s="188" t="str">
        <f>+INDEX([1]Detallado!$F:$F,MATCH($C1982,[1]Detallado!$B:$B,0))</f>
        <v>Renta Variable</v>
      </c>
      <c r="E1982" s="31" t="str">
        <f>+INDEX([1]Detallado!$Q:$Q,MATCH($C1982,[1]Detallado!$B:$B,0))</f>
        <v>RVI</v>
      </c>
      <c r="F1982" s="185" t="s">
        <v>4355</v>
      </c>
      <c r="G1982" s="186" t="str">
        <f t="shared" si="60"/>
        <v>52RVI</v>
      </c>
      <c r="H1982" s="187" t="str">
        <f>+INDEX([1]Detallado!$D:$D,MATCH(C1982,[1]Detallado!$B:$B,0))</f>
        <v>Parvest - Equity India</v>
      </c>
      <c r="I1982" s="28"/>
      <c r="J1982" s="184" t="str">
        <f t="shared" si="61"/>
        <v>RVITD</v>
      </c>
    </row>
    <row r="1983" spans="3:10" x14ac:dyDescent="0.25">
      <c r="C1983" s="28" t="s">
        <v>1561</v>
      </c>
      <c r="D1983" s="188" t="str">
        <f>+INDEX([1]Detallado!$F:$F,MATCH($C1983,[1]Detallado!$B:$B,0))</f>
        <v>Renta Variable</v>
      </c>
      <c r="E1983" s="31" t="str">
        <f>+INDEX([1]Detallado!$Q:$Q,MATCH($C1983,[1]Detallado!$B:$B,0))</f>
        <v>RVI</v>
      </c>
      <c r="F1983" s="185" t="s">
        <v>4355</v>
      </c>
      <c r="G1983" s="186" t="str">
        <f t="shared" si="60"/>
        <v>52RVI</v>
      </c>
      <c r="H1983" s="187" t="str">
        <f>+INDEX([1]Detallado!$D:$D,MATCH(C1983,[1]Detallado!$B:$B,0))</f>
        <v>BlackRock - iShares MSCI India</v>
      </c>
      <c r="I1983" s="28"/>
      <c r="J1983" s="184" t="str">
        <f t="shared" si="61"/>
        <v>RVITD</v>
      </c>
    </row>
    <row r="1984" spans="3:10" x14ac:dyDescent="0.25">
      <c r="C1984" s="28" t="s">
        <v>1500</v>
      </c>
      <c r="D1984" s="188" t="str">
        <f>+INDEX([1]Detallado!$F:$F,MATCH($C1984,[1]Detallado!$B:$B,0))</f>
        <v>Renta Variable</v>
      </c>
      <c r="E1984" s="31" t="str">
        <f>+INDEX([1]Detallado!$Q:$Q,MATCH($C1984,[1]Detallado!$B:$B,0))</f>
        <v>RVI</v>
      </c>
      <c r="F1984" s="185" t="s">
        <v>4355</v>
      </c>
      <c r="G1984" s="186" t="str">
        <f t="shared" si="60"/>
        <v>52RVI</v>
      </c>
      <c r="H1984" s="187" t="str">
        <f>+INDEX([1]Detallado!$D:$D,MATCH(C1984,[1]Detallado!$B:$B,0))</f>
        <v>Matthews - India</v>
      </c>
      <c r="I1984" s="28"/>
      <c r="J1984" s="184" t="str">
        <f t="shared" si="61"/>
        <v>RVITD</v>
      </c>
    </row>
    <row r="1985" spans="3:10" x14ac:dyDescent="0.25">
      <c r="C1985" s="28" t="s">
        <v>601</v>
      </c>
      <c r="D1985" s="188" t="str">
        <f>+INDEX([1]Detallado!$F:$F,MATCH($C1985,[1]Detallado!$B:$B,0))</f>
        <v>Renta Variable</v>
      </c>
      <c r="E1985" s="31" t="str">
        <f>+INDEX([1]Detallado!$Q:$Q,MATCH($C1985,[1]Detallado!$B:$B,0))</f>
        <v>RVI</v>
      </c>
      <c r="F1985" s="185" t="s">
        <v>4355</v>
      </c>
      <c r="G1985" s="186" t="str">
        <f t="shared" si="60"/>
        <v>52RVI</v>
      </c>
      <c r="H1985" s="187" t="str">
        <f>+INDEX([1]Detallado!$D:$D,MATCH(C1985,[1]Detallado!$B:$B,0))</f>
        <v>Pinebridge - India Equity Fund</v>
      </c>
      <c r="I1985" s="28"/>
      <c r="J1985" s="184" t="str">
        <f t="shared" si="61"/>
        <v>RVITD</v>
      </c>
    </row>
    <row r="1986" spans="3:10" x14ac:dyDescent="0.25">
      <c r="C1986" s="28" t="s">
        <v>4220</v>
      </c>
      <c r="D1986" s="188" t="str">
        <f>+INDEX([1]Detallado!$F:$F,MATCH($C1986,[1]Detallado!$B:$B,0))</f>
        <v>Renta Variable</v>
      </c>
      <c r="E1986" s="31" t="str">
        <f>+INDEX([1]Detallado!$Q:$Q,MATCH($C1986,[1]Detallado!$B:$B,0))</f>
        <v>RVI</v>
      </c>
      <c r="F1986" s="185" t="s">
        <v>4355</v>
      </c>
      <c r="G1986" s="186" t="str">
        <f t="shared" si="60"/>
        <v>52RVI</v>
      </c>
      <c r="H1986" s="187" t="str">
        <f>+INDEX([1]Detallado!$D:$D,MATCH(C1986,[1]Detallado!$B:$B,0))</f>
        <v>Franklin Templeton - Korea Fund</v>
      </c>
      <c r="I1986" s="28"/>
      <c r="J1986" s="184" t="str">
        <f t="shared" si="61"/>
        <v>RVITD</v>
      </c>
    </row>
    <row r="1987" spans="3:10" x14ac:dyDescent="0.25">
      <c r="C1987" s="28" t="s">
        <v>937</v>
      </c>
      <c r="D1987" s="188" t="str">
        <f>+INDEX([1]Detallado!$F:$F,MATCH($C1987,[1]Detallado!$B:$B,0))</f>
        <v>Renta Variable</v>
      </c>
      <c r="E1987" s="31" t="str">
        <f>+INDEX([1]Detallado!$Q:$Q,MATCH($C1987,[1]Detallado!$B:$B,0))</f>
        <v>RVI</v>
      </c>
      <c r="F1987" s="185" t="s">
        <v>4355</v>
      </c>
      <c r="G1987" s="186" t="str">
        <f t="shared" si="60"/>
        <v>52RVI</v>
      </c>
      <c r="H1987" s="187" t="str">
        <f>+INDEX([1]Detallado!$D:$D,MATCH(C1987,[1]Detallado!$B:$B,0))</f>
        <v>BlackRock - iShares Korea</v>
      </c>
      <c r="I1987" s="28"/>
      <c r="J1987" s="184" t="str">
        <f t="shared" si="61"/>
        <v>RVITD</v>
      </c>
    </row>
    <row r="1988" spans="3:10" x14ac:dyDescent="0.25">
      <c r="C1988" s="28" t="s">
        <v>4221</v>
      </c>
      <c r="D1988" s="188" t="str">
        <f>+INDEX([1]Detallado!$F:$F,MATCH($C1988,[1]Detallado!$B:$B,0))</f>
        <v>Renta Variable</v>
      </c>
      <c r="E1988" s="31" t="str">
        <f>+INDEX([1]Detallado!$Q:$Q,MATCH($C1988,[1]Detallado!$B:$B,0))</f>
        <v>RVI</v>
      </c>
      <c r="F1988" s="185" t="s">
        <v>4355</v>
      </c>
      <c r="G1988" s="186" t="str">
        <f t="shared" si="60"/>
        <v>52RVI</v>
      </c>
      <c r="H1988" s="187" t="str">
        <f>+INDEX([1]Detallado!$D:$D,MATCH(C1988,[1]Detallado!$B:$B,0))</f>
        <v>Matthews - Korea</v>
      </c>
      <c r="I1988" s="28"/>
      <c r="J1988" s="184" t="str">
        <f t="shared" si="61"/>
        <v>RVITD</v>
      </c>
    </row>
    <row r="1989" spans="3:10" x14ac:dyDescent="0.25">
      <c r="C1989" s="28" t="s">
        <v>1095</v>
      </c>
      <c r="D1989" s="188" t="str">
        <f>+INDEX([1]Detallado!$F:$F,MATCH($C1989,[1]Detallado!$B:$B,0))</f>
        <v>Renta Variable</v>
      </c>
      <c r="E1989" s="31" t="str">
        <f>+INDEX([1]Detallado!$Q:$Q,MATCH($C1989,[1]Detallado!$B:$B,0))</f>
        <v>RVI</v>
      </c>
      <c r="F1989" s="185" t="s">
        <v>4355</v>
      </c>
      <c r="G1989" s="186" t="str">
        <f t="shared" si="60"/>
        <v>52RVI</v>
      </c>
      <c r="H1989" s="187" t="str">
        <f>+INDEX([1]Detallado!$D:$D,MATCH(C1989,[1]Detallado!$B:$B,0))</f>
        <v>BlackRock - iShares Malasya</v>
      </c>
      <c r="I1989" s="28"/>
      <c r="J1989" s="184" t="str">
        <f t="shared" si="61"/>
        <v>RVITD</v>
      </c>
    </row>
    <row r="1990" spans="3:10" x14ac:dyDescent="0.25">
      <c r="C1990" s="28" t="s">
        <v>4222</v>
      </c>
      <c r="D1990" s="188" t="str">
        <f>+INDEX([1]Detallado!$F:$F,MATCH($C1990,[1]Detallado!$B:$B,0))</f>
        <v>Renta Variable</v>
      </c>
      <c r="E1990" s="31" t="str">
        <f>+INDEX([1]Detallado!$Q:$Q,MATCH($C1990,[1]Detallado!$B:$B,0))</f>
        <v>RVI</v>
      </c>
      <c r="F1990" s="185" t="s">
        <v>4355</v>
      </c>
      <c r="G1990" s="186" t="str">
        <f t="shared" si="60"/>
        <v>52RVI</v>
      </c>
      <c r="H1990" s="187" t="str">
        <f>+INDEX([1]Detallado!$D:$D,MATCH(C1990,[1]Detallado!$B:$B,0))</f>
        <v>BlackRock - iShares MSCI Singapore</v>
      </c>
      <c r="I1990" s="28"/>
      <c r="J1990" s="184" t="str">
        <f t="shared" si="61"/>
        <v>RVITD</v>
      </c>
    </row>
    <row r="1991" spans="3:10" x14ac:dyDescent="0.25">
      <c r="C1991" s="28" t="s">
        <v>1179</v>
      </c>
      <c r="D1991" s="188" t="str">
        <f>+INDEX([1]Detallado!$F:$F,MATCH($C1991,[1]Detallado!$B:$B,0))</f>
        <v>Renta Variable</v>
      </c>
      <c r="E1991" s="31" t="str">
        <f>+INDEX([1]Detallado!$Q:$Q,MATCH($C1991,[1]Detallado!$B:$B,0))</f>
        <v>RVI</v>
      </c>
      <c r="F1991" s="185" t="s">
        <v>4355</v>
      </c>
      <c r="G1991" s="186" t="str">
        <f t="shared" si="60"/>
        <v>52RVI</v>
      </c>
      <c r="H1991" s="187" t="str">
        <f>+INDEX([1]Detallado!$D:$D,MATCH(C1991,[1]Detallado!$B:$B,0))</f>
        <v>BlackRock - iShares Taiwan</v>
      </c>
      <c r="I1991" s="28"/>
      <c r="J1991" s="184" t="str">
        <f t="shared" si="61"/>
        <v>RVITD</v>
      </c>
    </row>
    <row r="1992" spans="3:10" x14ac:dyDescent="0.25">
      <c r="C1992" s="28" t="s">
        <v>4223</v>
      </c>
      <c r="D1992" s="188" t="str">
        <f>+INDEX([1]Detallado!$F:$F,MATCH($C1992,[1]Detallado!$B:$B,0))</f>
        <v>Derivados</v>
      </c>
      <c r="E1992" s="31" t="str">
        <f>+INDEX([1]Detallado!$Q:$Q,MATCH($C1992,[1]Detallado!$B:$B,0))</f>
        <v>RVI</v>
      </c>
      <c r="F1992" s="185" t="s">
        <v>4355</v>
      </c>
      <c r="G1992" s="186" t="str">
        <f t="shared" si="60"/>
        <v>PTRVI</v>
      </c>
      <c r="H1992" s="187" t="str">
        <f>+INDEX([1]Detallado!$D:$D,MATCH(C1992,[1]Detallado!$B:$B,0))</f>
        <v>FXI US 01/20/23 C30</v>
      </c>
      <c r="I1992" s="28"/>
      <c r="J1992" s="184" t="str">
        <f t="shared" si="61"/>
        <v>RVITD</v>
      </c>
    </row>
    <row r="1993" spans="3:10" x14ac:dyDescent="0.25">
      <c r="C1993" s="28" t="s">
        <v>4224</v>
      </c>
      <c r="D1993" s="188" t="str">
        <f>+INDEX([1]Detallado!$F:$F,MATCH($C1993,[1]Detallado!$B:$B,0))</f>
        <v>Derivados</v>
      </c>
      <c r="E1993" s="31" t="str">
        <f>+INDEX([1]Detallado!$Q:$Q,MATCH($C1993,[1]Detallado!$B:$B,0))</f>
        <v>RVI</v>
      </c>
      <c r="F1993" s="185" t="s">
        <v>4355</v>
      </c>
      <c r="G1993" s="186" t="str">
        <f t="shared" si="60"/>
        <v>PTRVI</v>
      </c>
      <c r="H1993" s="187" t="str">
        <f>+INDEX([1]Detallado!$D:$D,MATCH(C1993,[1]Detallado!$B:$B,0))</f>
        <v>FXI US 01/20/23 C30</v>
      </c>
      <c r="I1993" s="28"/>
      <c r="J1993" s="184" t="str">
        <f t="shared" si="61"/>
        <v>RVITD</v>
      </c>
    </row>
    <row r="1994" spans="3:10" x14ac:dyDescent="0.25">
      <c r="C1994" s="28" t="s">
        <v>4225</v>
      </c>
      <c r="D1994" s="188" t="str">
        <f>+INDEX([1]Detallado!$F:$F,MATCH($C1994,[1]Detallado!$B:$B,0))</f>
        <v>Renta Variable</v>
      </c>
      <c r="E1994" s="31" t="str">
        <f>+INDEX([1]Detallado!$Q:$Q,MATCH($C1994,[1]Detallado!$B:$B,0))</f>
        <v>RVI</v>
      </c>
      <c r="F1994" s="185" t="s">
        <v>4355</v>
      </c>
      <c r="G1994" s="186" t="str">
        <f t="shared" ref="G1994:G2057" si="62">LEFT(C1994,2)&amp;E1994</f>
        <v>52RVI</v>
      </c>
      <c r="H1994" s="187" t="str">
        <f>+INDEX([1]Detallado!$D:$D,MATCH(C1994,[1]Detallado!$B:$B,0))</f>
        <v>NN - Emerging Europe Equity</v>
      </c>
      <c r="I1994" s="28"/>
      <c r="J1994" s="184" t="str">
        <f t="shared" ref="J1994:J2057" si="63">IF(E1994="ALT",LEFT(E1994,3),LEFT(E1994,3)&amp;F1994)</f>
        <v>RVITD</v>
      </c>
    </row>
    <row r="1995" spans="3:10" x14ac:dyDescent="0.25">
      <c r="C1995" s="28" t="s">
        <v>4226</v>
      </c>
      <c r="D1995" s="188" t="str">
        <f>+INDEX([1]Detallado!$F:$F,MATCH($C1995,[1]Detallado!$B:$B,0))</f>
        <v>Renta Variable</v>
      </c>
      <c r="E1995" s="31" t="str">
        <f>+INDEX([1]Detallado!$Q:$Q,MATCH($C1995,[1]Detallado!$B:$B,0))</f>
        <v>RVI</v>
      </c>
      <c r="F1995" s="185" t="s">
        <v>4355</v>
      </c>
      <c r="G1995" s="186" t="str">
        <f t="shared" si="62"/>
        <v>52RVI</v>
      </c>
      <c r="H1995" s="187" t="str">
        <f>+INDEX([1]Detallado!$D:$D,MATCH(C1995,[1]Detallado!$B:$B,0))</f>
        <v>Pictet - Russian Equity</v>
      </c>
      <c r="I1995" s="28"/>
      <c r="J1995" s="184" t="str">
        <f t="shared" si="63"/>
        <v>RVITD</v>
      </c>
    </row>
    <row r="1996" spans="3:10" x14ac:dyDescent="0.25">
      <c r="C1996" s="28" t="s">
        <v>4227</v>
      </c>
      <c r="D1996" s="188" t="str">
        <f>+INDEX([1]Detallado!$F:$F,MATCH($C1996,[1]Detallado!$B:$B,0))</f>
        <v>Renta Variable</v>
      </c>
      <c r="E1996" s="31" t="str">
        <f>+INDEX([1]Detallado!$Q:$Q,MATCH($C1996,[1]Detallado!$B:$B,0))</f>
        <v>RVI</v>
      </c>
      <c r="F1996" s="185" t="s">
        <v>4355</v>
      </c>
      <c r="G1996" s="186" t="str">
        <f t="shared" si="62"/>
        <v>52RVI</v>
      </c>
      <c r="H1996" s="187" t="str">
        <f>+INDEX([1]Detallado!$D:$D,MATCH(C1996,[1]Detallado!$B:$B,0))</f>
        <v>VanEck - Russia</v>
      </c>
      <c r="I1996" s="28"/>
      <c r="J1996" s="184" t="str">
        <f t="shared" si="63"/>
        <v>RVITD</v>
      </c>
    </row>
    <row r="1997" spans="3:10" x14ac:dyDescent="0.25">
      <c r="C1997" s="28" t="s">
        <v>1490</v>
      </c>
      <c r="D1997" s="188" t="str">
        <f>+INDEX([1]Detallado!$F:$F,MATCH($C1997,[1]Detallado!$B:$B,0))</f>
        <v>Renta Variable</v>
      </c>
      <c r="E1997" s="31" t="str">
        <f>+INDEX([1]Detallado!$Q:$Q,MATCH($C1997,[1]Detallado!$B:$B,0))</f>
        <v>RVI</v>
      </c>
      <c r="F1997" s="185" t="s">
        <v>4355</v>
      </c>
      <c r="G1997" s="186" t="str">
        <f t="shared" si="62"/>
        <v>52RVI</v>
      </c>
      <c r="H1997" s="187" t="str">
        <f>+INDEX([1]Detallado!$D:$D,MATCH(C1997,[1]Detallado!$B:$B,0))</f>
        <v>BlackRock - iShares MSCI Russia</v>
      </c>
      <c r="I1997" s="28"/>
      <c r="J1997" s="184" t="str">
        <f t="shared" si="63"/>
        <v>RVITD</v>
      </c>
    </row>
    <row r="1998" spans="3:10" x14ac:dyDescent="0.25">
      <c r="C1998" s="28" t="s">
        <v>1480</v>
      </c>
      <c r="D1998" s="188" t="str">
        <f>+INDEX([1]Detallado!$F:$F,MATCH($C1998,[1]Detallado!$B:$B,0))</f>
        <v>Renta Variable</v>
      </c>
      <c r="E1998" s="31" t="str">
        <f>+INDEX([1]Detallado!$Q:$Q,MATCH($C1998,[1]Detallado!$B:$B,0))</f>
        <v>RVI</v>
      </c>
      <c r="F1998" s="185" t="s">
        <v>4355</v>
      </c>
      <c r="G1998" s="186" t="str">
        <f t="shared" si="62"/>
        <v>52RVI</v>
      </c>
      <c r="H1998" s="187" t="str">
        <f>+INDEX([1]Detallado!$D:$D,MATCH(C1998,[1]Detallado!$B:$B,0))</f>
        <v>BlackRock - iShares PoloniaETF</v>
      </c>
      <c r="I1998" s="28"/>
      <c r="J1998" s="184" t="str">
        <f t="shared" si="63"/>
        <v>RVITD</v>
      </c>
    </row>
    <row r="1999" spans="3:10" x14ac:dyDescent="0.25">
      <c r="C1999" s="28" t="s">
        <v>2372</v>
      </c>
      <c r="D1999" s="188" t="str">
        <f>+INDEX([1]Detallado!$F:$F,MATCH($C1999,[1]Detallado!$B:$B,0))</f>
        <v>Renta Variable</v>
      </c>
      <c r="E1999" s="31" t="str">
        <f>+INDEX([1]Detallado!$Q:$Q,MATCH($C1999,[1]Detallado!$B:$B,0))</f>
        <v>RVI</v>
      </c>
      <c r="F1999" s="185" t="s">
        <v>4355</v>
      </c>
      <c r="G1999" s="186" t="str">
        <f t="shared" si="62"/>
        <v>52RVI</v>
      </c>
      <c r="H1999" s="187" t="str">
        <f>+INDEX([1]Detallado!$D:$D,MATCH(C1999,[1]Detallado!$B:$B,0))</f>
        <v>NN L - International Czech Equity</v>
      </c>
      <c r="I1999" s="28"/>
      <c r="J1999" s="184" t="str">
        <f t="shared" si="63"/>
        <v>RVITD</v>
      </c>
    </row>
    <row r="2000" spans="3:10" x14ac:dyDescent="0.25">
      <c r="C2000" s="28" t="s">
        <v>4228</v>
      </c>
      <c r="D2000" s="188" t="str">
        <f>+INDEX([1]Detallado!$F:$F,MATCH($C2000,[1]Detallado!$B:$B,0))</f>
        <v>Renta Variable</v>
      </c>
      <c r="E2000" s="31" t="str">
        <f>+INDEX([1]Detallado!$Q:$Q,MATCH($C2000,[1]Detallado!$B:$B,0))</f>
        <v>RVI</v>
      </c>
      <c r="F2000" s="185" t="s">
        <v>4355</v>
      </c>
      <c r="G2000" s="186" t="str">
        <f t="shared" si="62"/>
        <v>52RVI</v>
      </c>
      <c r="H2000" s="187" t="str">
        <f>+INDEX([1]Detallado!$D:$D,MATCH(C2000,[1]Detallado!$B:$B,0))</f>
        <v>Parvest - Equity Russia</v>
      </c>
      <c r="I2000" s="28"/>
      <c r="J2000" s="184" t="str">
        <f t="shared" si="63"/>
        <v>RVITD</v>
      </c>
    </row>
    <row r="2001" spans="3:10" x14ac:dyDescent="0.25">
      <c r="C2001" s="28" t="s">
        <v>4229</v>
      </c>
      <c r="D2001" s="188" t="str">
        <f>+INDEX([1]Detallado!$F:$F,MATCH($C2001,[1]Detallado!$B:$B,0))</f>
        <v>Renta Variable</v>
      </c>
      <c r="E2001" s="31" t="str">
        <f>+INDEX([1]Detallado!$Q:$Q,MATCH($C2001,[1]Detallado!$B:$B,0))</f>
        <v>RVI</v>
      </c>
      <c r="F2001" s="185" t="s">
        <v>4355</v>
      </c>
      <c r="G2001" s="186" t="str">
        <f t="shared" si="62"/>
        <v>52RVI</v>
      </c>
      <c r="H2001" s="187" t="str">
        <f>+INDEX([1]Detallado!$D:$D,MATCH(C2001,[1]Detallado!$B:$B,0))</f>
        <v>Pictet - Emerging Europe</v>
      </c>
      <c r="I2001" s="28"/>
      <c r="J2001" s="184" t="str">
        <f t="shared" si="63"/>
        <v>RVITD</v>
      </c>
    </row>
    <row r="2002" spans="3:10" x14ac:dyDescent="0.25">
      <c r="C2002" s="28" t="s">
        <v>4229</v>
      </c>
      <c r="D2002" s="188" t="str">
        <f>+INDEX([1]Detallado!$F:$F,MATCH($C2002,[1]Detallado!$B:$B,0))</f>
        <v>Renta Variable</v>
      </c>
      <c r="E2002" s="31" t="str">
        <f>+INDEX([1]Detallado!$Q:$Q,MATCH($C2002,[1]Detallado!$B:$B,0))</f>
        <v>RVI</v>
      </c>
      <c r="F2002" s="185" t="s">
        <v>4355</v>
      </c>
      <c r="G2002" s="186" t="str">
        <f t="shared" si="62"/>
        <v>52RVI</v>
      </c>
      <c r="H2002" s="187" t="str">
        <f>+INDEX([1]Detallado!$D:$D,MATCH(C2002,[1]Detallado!$B:$B,0))</f>
        <v>Pictet - Emerging Europe</v>
      </c>
      <c r="I2002" s="28"/>
      <c r="J2002" s="184" t="str">
        <f t="shared" si="63"/>
        <v>RVITD</v>
      </c>
    </row>
    <row r="2003" spans="3:10" x14ac:dyDescent="0.25">
      <c r="C2003" s="28" t="s">
        <v>1794</v>
      </c>
      <c r="D2003" s="188" t="str">
        <f>+INDEX([1]Detallado!$F:$F,MATCH($C2003,[1]Detallado!$B:$B,0))</f>
        <v>Renta Variable</v>
      </c>
      <c r="E2003" s="31" t="str">
        <f>+INDEX([1]Detallado!$Q:$Q,MATCH($C2003,[1]Detallado!$B:$B,0))</f>
        <v>RVI</v>
      </c>
      <c r="F2003" s="185" t="s">
        <v>4355</v>
      </c>
      <c r="G2003" s="186" t="str">
        <f t="shared" si="62"/>
        <v>52RVI</v>
      </c>
      <c r="H2003" s="187" t="str">
        <f>+INDEX([1]Detallado!$D:$D,MATCH(C2003,[1]Detallado!$B:$B,0))</f>
        <v>Schroders - Emerging Europe</v>
      </c>
      <c r="I2003" s="28"/>
      <c r="J2003" s="184" t="str">
        <f t="shared" si="63"/>
        <v>RVITD</v>
      </c>
    </row>
    <row r="2004" spans="3:10" x14ac:dyDescent="0.25">
      <c r="C2004" s="28" t="s">
        <v>4230</v>
      </c>
      <c r="D2004" s="188" t="str">
        <f>+INDEX([1]Detallado!$F:$F,MATCH($C2004,[1]Detallado!$B:$B,0))</f>
        <v>Renta Variable</v>
      </c>
      <c r="E2004" s="31" t="str">
        <f>+INDEX([1]Detallado!$Q:$Q,MATCH($C2004,[1]Detallado!$B:$B,0))</f>
        <v>RVI</v>
      </c>
      <c r="F2004" s="185" t="s">
        <v>4357</v>
      </c>
      <c r="G2004" s="186" t="str">
        <f t="shared" si="62"/>
        <v>34RVI</v>
      </c>
      <c r="H2004" s="187" t="str">
        <f>+INDEX([1]Detallado!$D:$D,MATCH(C2004,[1]Detallado!$B:$B,0))</f>
        <v>Raia Drogasil SA</v>
      </c>
      <c r="I2004" s="28"/>
      <c r="J2004" s="184" t="str">
        <f t="shared" si="63"/>
        <v>RVIBU</v>
      </c>
    </row>
    <row r="2005" spans="3:10" x14ac:dyDescent="0.25">
      <c r="C2005" s="28" t="s">
        <v>4231</v>
      </c>
      <c r="D2005" s="188" t="str">
        <f>+INDEX([1]Detallado!$F:$F,MATCH($C2005,[1]Detallado!$B:$B,0))</f>
        <v>Renta Variable</v>
      </c>
      <c r="E2005" s="31" t="str">
        <f>+INDEX([1]Detallado!$Q:$Q,MATCH($C2005,[1]Detallado!$B:$B,0))</f>
        <v>RVI</v>
      </c>
      <c r="F2005" s="185" t="s">
        <v>4357</v>
      </c>
      <c r="G2005" s="186" t="str">
        <f t="shared" si="62"/>
        <v>33RVI</v>
      </c>
      <c r="H2005" s="187" t="str">
        <f>+INDEX([1]Detallado!$D:$D,MATCH(C2005,[1]Detallado!$B:$B,0))</f>
        <v>Ambev SA</v>
      </c>
      <c r="I2005" s="28"/>
      <c r="J2005" s="184" t="str">
        <f t="shared" si="63"/>
        <v>RVIBU</v>
      </c>
    </row>
    <row r="2006" spans="3:10" x14ac:dyDescent="0.25">
      <c r="C2006" s="28" t="s">
        <v>4232</v>
      </c>
      <c r="D2006" s="188" t="str">
        <f>+INDEX([1]Detallado!$F:$F,MATCH($C2006,[1]Detallado!$B:$B,0))</f>
        <v>Renta Variable</v>
      </c>
      <c r="E2006" s="31" t="str">
        <f>+INDEX([1]Detallado!$Q:$Q,MATCH($C2006,[1]Detallado!$B:$B,0))</f>
        <v>RVI</v>
      </c>
      <c r="F2006" s="185" t="s">
        <v>4357</v>
      </c>
      <c r="G2006" s="186" t="str">
        <f t="shared" si="62"/>
        <v>34RVI</v>
      </c>
      <c r="H2006" s="187" t="str">
        <f>+INDEX([1]Detallado!$D:$D,MATCH(C2006,[1]Detallado!$B:$B,0))</f>
        <v>Carrefour Brasil</v>
      </c>
      <c r="I2006" s="28"/>
      <c r="J2006" s="184" t="str">
        <f t="shared" si="63"/>
        <v>RVIBU</v>
      </c>
    </row>
    <row r="2007" spans="3:10" x14ac:dyDescent="0.25">
      <c r="C2007" s="28" t="s">
        <v>4233</v>
      </c>
      <c r="D2007" s="188" t="str">
        <f>+INDEX([1]Detallado!$F:$F,MATCH($C2007,[1]Detallado!$B:$B,0))</f>
        <v>Renta Variable</v>
      </c>
      <c r="E2007" s="31" t="str">
        <f>+INDEX([1]Detallado!$Q:$Q,MATCH($C2007,[1]Detallado!$B:$B,0))</f>
        <v>RVI</v>
      </c>
      <c r="F2007" s="185" t="s">
        <v>4357</v>
      </c>
      <c r="G2007" s="186" t="str">
        <f t="shared" si="62"/>
        <v>34RVI</v>
      </c>
      <c r="H2007" s="187" t="str">
        <f>+INDEX([1]Detallado!$D:$D,MATCH(C2007,[1]Detallado!$B:$B,0))</f>
        <v>Cielo SA</v>
      </c>
      <c r="I2007" s="28"/>
      <c r="J2007" s="184" t="str">
        <f t="shared" si="63"/>
        <v>RVIBU</v>
      </c>
    </row>
    <row r="2008" spans="3:10" x14ac:dyDescent="0.25">
      <c r="C2008" s="28" t="s">
        <v>4234</v>
      </c>
      <c r="D2008" s="188" t="str">
        <f>+INDEX([1]Detallado!$F:$F,MATCH($C2008,[1]Detallado!$B:$B,0))</f>
        <v>Renta Variable</v>
      </c>
      <c r="E2008" s="31" t="str">
        <f>+INDEX([1]Detallado!$Q:$Q,MATCH($C2008,[1]Detallado!$B:$B,0))</f>
        <v>RVI</v>
      </c>
      <c r="F2008" s="185" t="s">
        <v>4357</v>
      </c>
      <c r="G2008" s="186" t="str">
        <f t="shared" si="62"/>
        <v>34RVI</v>
      </c>
      <c r="H2008" s="187" t="str">
        <f>+INDEX([1]Detallado!$D:$D,MATCH(C2008,[1]Detallado!$B:$B,0))</f>
        <v>Lojas Renner SA</v>
      </c>
      <c r="I2008" s="28"/>
      <c r="J2008" s="184" t="str">
        <f t="shared" si="63"/>
        <v>RVIBU</v>
      </c>
    </row>
    <row r="2009" spans="3:10" x14ac:dyDescent="0.25">
      <c r="C2009" s="28" t="s">
        <v>4235</v>
      </c>
      <c r="D2009" s="188" t="str">
        <f>+INDEX([1]Detallado!$F:$F,MATCH($C2009,[1]Detallado!$B:$B,0))</f>
        <v>Renta Variable</v>
      </c>
      <c r="E2009" s="31" t="str">
        <f>+INDEX([1]Detallado!$Q:$Q,MATCH($C2009,[1]Detallado!$B:$B,0))</f>
        <v>RVI</v>
      </c>
      <c r="F2009" s="185" t="s">
        <v>4357</v>
      </c>
      <c r="G2009" s="186" t="str">
        <f t="shared" si="62"/>
        <v>34RVI</v>
      </c>
      <c r="H2009" s="187" t="str">
        <f>+INDEX([1]Detallado!$D:$D,MATCH(C2009,[1]Detallado!$B:$B,0))</f>
        <v>Cosán Ltd.</v>
      </c>
      <c r="I2009" s="28"/>
      <c r="J2009" s="184" t="str">
        <f t="shared" si="63"/>
        <v>RVIBU</v>
      </c>
    </row>
    <row r="2010" spans="3:10" x14ac:dyDescent="0.25">
      <c r="C2010" s="28" t="s">
        <v>2479</v>
      </c>
      <c r="D2010" s="188" t="str">
        <f>+INDEX([1]Detallado!$F:$F,MATCH($C2010,[1]Detallado!$B:$B,0))</f>
        <v>Renta Variable</v>
      </c>
      <c r="E2010" s="31" t="str">
        <f>+INDEX([1]Detallado!$Q:$Q,MATCH($C2010,[1]Detallado!$B:$B,0))</f>
        <v>RVI</v>
      </c>
      <c r="F2010" s="185" t="s">
        <v>4355</v>
      </c>
      <c r="G2010" s="186" t="str">
        <f t="shared" si="62"/>
        <v>52RVI</v>
      </c>
      <c r="H2010" s="187" t="str">
        <f>+INDEX([1]Detallado!$D:$D,MATCH(C2010,[1]Detallado!$B:$B,0))</f>
        <v>DWS - Brazilian Equities</v>
      </c>
      <c r="I2010" s="28"/>
      <c r="J2010" s="184" t="str">
        <f t="shared" si="63"/>
        <v>RVITD</v>
      </c>
    </row>
    <row r="2011" spans="3:10" x14ac:dyDescent="0.25">
      <c r="C2011" s="28" t="s">
        <v>1463</v>
      </c>
      <c r="D2011" s="188" t="str">
        <f>+INDEX([1]Detallado!$F:$F,MATCH($C2011,[1]Detallado!$B:$B,0))</f>
        <v>Renta Variable</v>
      </c>
      <c r="E2011" s="31" t="str">
        <f>+INDEX([1]Detallado!$Q:$Q,MATCH($C2011,[1]Detallado!$B:$B,0))</f>
        <v>RVI</v>
      </c>
      <c r="F2011" s="185" t="s">
        <v>4355</v>
      </c>
      <c r="G2011" s="186" t="str">
        <f t="shared" si="62"/>
        <v>52RVI</v>
      </c>
      <c r="H2011" s="187" t="str">
        <f>+INDEX([1]Detallado!$D:$D,MATCH(C2011,[1]Detallado!$B:$B,0))</f>
        <v>VanEck - Brazil Small Cap</v>
      </c>
      <c r="I2011" s="28"/>
      <c r="J2011" s="184" t="str">
        <f t="shared" si="63"/>
        <v>RVITD</v>
      </c>
    </row>
    <row r="2012" spans="3:10" x14ac:dyDescent="0.25">
      <c r="C2012" s="28" t="s">
        <v>4236</v>
      </c>
      <c r="D2012" s="188" t="str">
        <f>+INDEX([1]Detallado!$F:$F,MATCH($C2012,[1]Detallado!$B:$B,0))</f>
        <v>Renta Variable</v>
      </c>
      <c r="E2012" s="31" t="str">
        <f>+INDEX([1]Detallado!$Q:$Q,MATCH($C2012,[1]Detallado!$B:$B,0))</f>
        <v>RVI</v>
      </c>
      <c r="F2012" s="185" t="s">
        <v>4355</v>
      </c>
      <c r="G2012" s="186" t="str">
        <f t="shared" si="62"/>
        <v>52RVI</v>
      </c>
      <c r="H2012" s="187" t="str">
        <f>+INDEX([1]Detallado!$D:$D,MATCH(C2012,[1]Detallado!$B:$B,0))</f>
        <v>VanEck - Brazil Small Cap</v>
      </c>
      <c r="I2012" s="28"/>
      <c r="J2012" s="184" t="str">
        <f t="shared" si="63"/>
        <v>RVITD</v>
      </c>
    </row>
    <row r="2013" spans="3:10" x14ac:dyDescent="0.25">
      <c r="C2013" s="28" t="s">
        <v>606</v>
      </c>
      <c r="D2013" s="188" t="str">
        <f>+INDEX([1]Detallado!$F:$F,MATCH($C2013,[1]Detallado!$B:$B,0))</f>
        <v>Renta Variable</v>
      </c>
      <c r="E2013" s="31" t="str">
        <f>+INDEX([1]Detallado!$Q:$Q,MATCH($C2013,[1]Detallado!$B:$B,0))</f>
        <v>RVI</v>
      </c>
      <c r="F2013" s="185" t="s">
        <v>4355</v>
      </c>
      <c r="G2013" s="186" t="str">
        <f t="shared" si="62"/>
        <v>52RVI</v>
      </c>
      <c r="H2013" s="187" t="str">
        <f>+INDEX([1]Detallado!$D:$D,MATCH(C2013,[1]Detallado!$B:$B,0))</f>
        <v>BlackRock - iShares MSCI Brazil</v>
      </c>
      <c r="I2013" s="28"/>
      <c r="J2013" s="184" t="str">
        <f t="shared" si="63"/>
        <v>RVITD</v>
      </c>
    </row>
    <row r="2014" spans="3:10" x14ac:dyDescent="0.25">
      <c r="C2014" s="28" t="s">
        <v>935</v>
      </c>
      <c r="D2014" s="188" t="str">
        <f>+INDEX([1]Detallado!$F:$F,MATCH($C2014,[1]Detallado!$B:$B,0))</f>
        <v>Renta Variable</v>
      </c>
      <c r="E2014" s="31" t="str">
        <f>+INDEX([1]Detallado!$Q:$Q,MATCH($C2014,[1]Detallado!$B:$B,0))</f>
        <v>RVI</v>
      </c>
      <c r="F2014" s="185" t="s">
        <v>4355</v>
      </c>
      <c r="G2014" s="186" t="str">
        <f t="shared" si="62"/>
        <v>52RVI</v>
      </c>
      <c r="H2014" s="187" t="str">
        <f>+INDEX([1]Detallado!$D:$D,MATCH(C2014,[1]Detallado!$B:$B,0))</f>
        <v>BlackRock - iShares MSCI Brazil Small Caps</v>
      </c>
      <c r="I2014" s="28"/>
      <c r="J2014" s="184" t="str">
        <f t="shared" si="63"/>
        <v>RVITD</v>
      </c>
    </row>
    <row r="2015" spans="3:10" x14ac:dyDescent="0.25">
      <c r="C2015" s="28" t="s">
        <v>4237</v>
      </c>
      <c r="D2015" s="188" t="str">
        <f>+INDEX([1]Detallado!$F:$F,MATCH($C2015,[1]Detallado!$B:$B,0))</f>
        <v>Renta Variable</v>
      </c>
      <c r="E2015" s="31" t="str">
        <f>+INDEX([1]Detallado!$Q:$Q,MATCH($C2015,[1]Detallado!$B:$B,0))</f>
        <v>RVI</v>
      </c>
      <c r="F2015" s="185" t="s">
        <v>4357</v>
      </c>
      <c r="G2015" s="186" t="str">
        <f t="shared" si="62"/>
        <v>34RVI</v>
      </c>
      <c r="H2015" s="187" t="str">
        <f>+INDEX([1]Detallado!$D:$D,MATCH(C2015,[1]Detallado!$B:$B,0))</f>
        <v>PDG</v>
      </c>
      <c r="I2015" s="28"/>
      <c r="J2015" s="184" t="str">
        <f t="shared" si="63"/>
        <v>RVIBU</v>
      </c>
    </row>
    <row r="2016" spans="3:10" x14ac:dyDescent="0.25">
      <c r="C2016" s="28" t="s">
        <v>4238</v>
      </c>
      <c r="D2016" s="188" t="str">
        <f>+INDEX([1]Detallado!$F:$F,MATCH($C2016,[1]Detallado!$B:$B,0))</f>
        <v>Renta Variable</v>
      </c>
      <c r="E2016" s="31" t="str">
        <f>+INDEX([1]Detallado!$Q:$Q,MATCH($C2016,[1]Detallado!$B:$B,0))</f>
        <v>RVI</v>
      </c>
      <c r="F2016" s="185" t="s">
        <v>4357</v>
      </c>
      <c r="G2016" s="186" t="str">
        <f t="shared" si="62"/>
        <v>33RVI</v>
      </c>
      <c r="H2016" s="187" t="str">
        <f>+INDEX([1]Detallado!$D:$D,MATCH(C2016,[1]Detallado!$B:$B,0))</f>
        <v>Gerdau</v>
      </c>
      <c r="I2016" s="28"/>
      <c r="J2016" s="184" t="str">
        <f t="shared" si="63"/>
        <v>RVIBU</v>
      </c>
    </row>
    <row r="2017" spans="3:10" x14ac:dyDescent="0.25">
      <c r="C2017" s="28" t="s">
        <v>4239</v>
      </c>
      <c r="D2017" s="188" t="str">
        <f>+INDEX([1]Detallado!$F:$F,MATCH($C2017,[1]Detallado!$B:$B,0))</f>
        <v>Renta Variable</v>
      </c>
      <c r="E2017" s="31" t="str">
        <f>+INDEX([1]Detallado!$Q:$Q,MATCH($C2017,[1]Detallado!$B:$B,0))</f>
        <v>RVI</v>
      </c>
      <c r="F2017" s="185" t="s">
        <v>4357</v>
      </c>
      <c r="G2017" s="186" t="str">
        <f t="shared" si="62"/>
        <v>33RVI</v>
      </c>
      <c r="H2017" s="187" t="str">
        <f>+INDEX([1]Detallado!$D:$D,MATCH(C2017,[1]Detallado!$B:$B,0))</f>
        <v>Cia. Vale do Rio Doce</v>
      </c>
      <c r="I2017" s="28"/>
      <c r="J2017" s="184" t="str">
        <f t="shared" si="63"/>
        <v>RVIBU</v>
      </c>
    </row>
    <row r="2018" spans="3:10" x14ac:dyDescent="0.25">
      <c r="C2018" s="28" t="s">
        <v>4240</v>
      </c>
      <c r="D2018" s="188" t="str">
        <f>+INDEX([1]Detallado!$F:$F,MATCH($C2018,[1]Detallado!$B:$B,0))</f>
        <v>Renta Variable</v>
      </c>
      <c r="E2018" s="31" t="str">
        <f>+INDEX([1]Detallado!$Q:$Q,MATCH($C2018,[1]Detallado!$B:$B,0))</f>
        <v>RVI</v>
      </c>
      <c r="F2018" s="185" t="s">
        <v>4357</v>
      </c>
      <c r="G2018" s="186" t="str">
        <f t="shared" si="62"/>
        <v>33RVI</v>
      </c>
      <c r="H2018" s="187" t="str">
        <f>+INDEX([1]Detallado!$D:$D,MATCH(C2018,[1]Detallado!$B:$B,0))</f>
        <v>Banco Itau</v>
      </c>
      <c r="I2018" s="28"/>
      <c r="J2018" s="184" t="str">
        <f t="shared" si="63"/>
        <v>RVIBU</v>
      </c>
    </row>
    <row r="2019" spans="3:10" x14ac:dyDescent="0.25">
      <c r="C2019" s="28" t="s">
        <v>4241</v>
      </c>
      <c r="D2019" s="188" t="str">
        <f>+INDEX([1]Detallado!$F:$F,MATCH($C2019,[1]Detallado!$B:$B,0))</f>
        <v>Renta Variable</v>
      </c>
      <c r="E2019" s="31" t="str">
        <f>+INDEX([1]Detallado!$Q:$Q,MATCH($C2019,[1]Detallado!$B:$B,0))</f>
        <v>RVI</v>
      </c>
      <c r="F2019" s="185" t="s">
        <v>4357</v>
      </c>
      <c r="G2019" s="186" t="str">
        <f t="shared" si="62"/>
        <v>33RVI</v>
      </c>
      <c r="H2019" s="187" t="str">
        <f>+INDEX([1]Detallado!$D:$D,MATCH(C2019,[1]Detallado!$B:$B,0))</f>
        <v>Lan Airlines</v>
      </c>
      <c r="I2019" s="28"/>
      <c r="J2019" s="184" t="str">
        <f t="shared" si="63"/>
        <v>RVIBU</v>
      </c>
    </row>
    <row r="2020" spans="3:10" x14ac:dyDescent="0.25">
      <c r="C2020" s="28" t="s">
        <v>4242</v>
      </c>
      <c r="D2020" s="188" t="str">
        <f>+INDEX([1]Detallado!$F:$F,MATCH($C2020,[1]Detallado!$B:$B,0))</f>
        <v>Renta Variable</v>
      </c>
      <c r="E2020" s="31" t="str">
        <f>+INDEX([1]Detallado!$Q:$Q,MATCH($C2020,[1]Detallado!$B:$B,0))</f>
        <v>RVI</v>
      </c>
      <c r="F2020" s="185" t="s">
        <v>4357</v>
      </c>
      <c r="G2020" s="186" t="str">
        <f t="shared" si="62"/>
        <v>34RVI</v>
      </c>
      <c r="H2020" s="187" t="str">
        <f>+INDEX([1]Detallado!$D:$D,MATCH(C2020,[1]Detallado!$B:$B,0))</f>
        <v>Lan Airlines</v>
      </c>
      <c r="I2020" s="28"/>
      <c r="J2020" s="184" t="str">
        <f t="shared" si="63"/>
        <v>RVIBU</v>
      </c>
    </row>
    <row r="2021" spans="3:10" x14ac:dyDescent="0.25">
      <c r="C2021" s="28" t="s">
        <v>4243</v>
      </c>
      <c r="D2021" s="188" t="str">
        <f>+INDEX([1]Detallado!$F:$F,MATCH($C2021,[1]Detallado!$B:$B,0))</f>
        <v>Renta Variable</v>
      </c>
      <c r="E2021" s="31" t="str">
        <f>+INDEX([1]Detallado!$Q:$Q,MATCH($C2021,[1]Detallado!$B:$B,0))</f>
        <v>RVI</v>
      </c>
      <c r="F2021" s="185" t="s">
        <v>4357</v>
      </c>
      <c r="G2021" s="186" t="str">
        <f t="shared" si="62"/>
        <v>34RVI</v>
      </c>
      <c r="H2021" s="187" t="str">
        <f>+INDEX([1]Detallado!$D:$D,MATCH(C2021,[1]Detallado!$B:$B,0))</f>
        <v>Cencosud</v>
      </c>
      <c r="I2021" s="28"/>
      <c r="J2021" s="184" t="str">
        <f t="shared" si="63"/>
        <v>RVIBU</v>
      </c>
    </row>
    <row r="2022" spans="3:10" x14ac:dyDescent="0.25">
      <c r="C2022" s="28" t="s">
        <v>4244</v>
      </c>
      <c r="D2022" s="188" t="str">
        <f>+INDEX([1]Detallado!$F:$F,MATCH($C2022,[1]Detallado!$B:$B,0))</f>
        <v>Renta Variable</v>
      </c>
      <c r="E2022" s="31" t="str">
        <f>+INDEX([1]Detallado!$Q:$Q,MATCH($C2022,[1]Detallado!$B:$B,0))</f>
        <v>RVI</v>
      </c>
      <c r="F2022" s="185" t="s">
        <v>4357</v>
      </c>
      <c r="G2022" s="186" t="str">
        <f t="shared" si="62"/>
        <v>34RVI</v>
      </c>
      <c r="H2022" s="187" t="str">
        <f>+INDEX([1]Detallado!$D:$D,MATCH(C2022,[1]Detallado!$B:$B,0))</f>
        <v>SACI Falabella</v>
      </c>
      <c r="I2022" s="28"/>
      <c r="J2022" s="184" t="str">
        <f t="shared" si="63"/>
        <v>RVIBU</v>
      </c>
    </row>
    <row r="2023" spans="3:10" x14ac:dyDescent="0.25">
      <c r="C2023" s="28" t="s">
        <v>4245</v>
      </c>
      <c r="D2023" s="188" t="str">
        <f>+INDEX([1]Detallado!$F:$F,MATCH($C2023,[1]Detallado!$B:$B,0))</f>
        <v>Renta Variable</v>
      </c>
      <c r="E2023" s="31" t="str">
        <f>+INDEX([1]Detallado!$Q:$Q,MATCH($C2023,[1]Detallado!$B:$B,0))</f>
        <v>RVI</v>
      </c>
      <c r="F2023" s="185" t="s">
        <v>4357</v>
      </c>
      <c r="G2023" s="186" t="str">
        <f t="shared" si="62"/>
        <v>33RVI</v>
      </c>
      <c r="H2023" s="187" t="str">
        <f>+INDEX([1]Detallado!$D:$D,MATCH(C2023,[1]Detallado!$B:$B,0))</f>
        <v>Enersis Americas SA</v>
      </c>
      <c r="I2023" s="28"/>
      <c r="J2023" s="184" t="str">
        <f t="shared" si="63"/>
        <v>RVIBU</v>
      </c>
    </row>
    <row r="2024" spans="3:10" x14ac:dyDescent="0.25">
      <c r="C2024" s="28" t="s">
        <v>1430</v>
      </c>
      <c r="D2024" s="188" t="str">
        <f>+INDEX([1]Detallado!$F:$F,MATCH($C2024,[1]Detallado!$B:$B,0))</f>
        <v>Renta Variable</v>
      </c>
      <c r="E2024" s="31" t="str">
        <f>+INDEX([1]Detallado!$Q:$Q,MATCH($C2024,[1]Detallado!$B:$B,0))</f>
        <v>RVI</v>
      </c>
      <c r="F2024" s="185" t="s">
        <v>4355</v>
      </c>
      <c r="G2024" s="186" t="str">
        <f t="shared" si="62"/>
        <v>52RVI</v>
      </c>
      <c r="H2024" s="187" t="str">
        <f>+INDEX([1]Detallado!$D:$D,MATCH(C2024,[1]Detallado!$B:$B,0))</f>
        <v>BlackRock - iShares MSCI Chile</v>
      </c>
      <c r="I2024" s="28"/>
      <c r="J2024" s="184" t="str">
        <f t="shared" si="63"/>
        <v>RVITD</v>
      </c>
    </row>
    <row r="2025" spans="3:10" x14ac:dyDescent="0.25">
      <c r="C2025" s="28" t="s">
        <v>514</v>
      </c>
      <c r="D2025" s="188" t="str">
        <f>+INDEX([1]Detallado!$F:$F,MATCH($C2025,[1]Detallado!$B:$B,0))</f>
        <v>Renta Variable</v>
      </c>
      <c r="E2025" s="31" t="str">
        <f>+INDEX([1]Detallado!$Q:$Q,MATCH($C2025,[1]Detallado!$B:$B,0))</f>
        <v>RVL</v>
      </c>
      <c r="F2025" s="185" t="s">
        <v>4357</v>
      </c>
      <c r="G2025" s="186" t="str">
        <f t="shared" si="62"/>
        <v>34RVL</v>
      </c>
      <c r="H2025" s="187" t="str">
        <f>+INDEX([1]Detallado!$D:$D,MATCH(C2025,[1]Detallado!$B:$B,0))</f>
        <v>Aclara Resources Inc.</v>
      </c>
      <c r="I2025" s="28"/>
      <c r="J2025" s="184" t="str">
        <f t="shared" si="63"/>
        <v>RVLBU</v>
      </c>
    </row>
    <row r="2026" spans="3:10" x14ac:dyDescent="0.25">
      <c r="C2026" s="28" t="s">
        <v>4246</v>
      </c>
      <c r="D2026" s="188" t="str">
        <f>+INDEX([1]Detallado!$F:$F,MATCH($C2026,[1]Detallado!$B:$B,0))</f>
        <v>Renta Variable</v>
      </c>
      <c r="E2026" s="31" t="str">
        <f>+INDEX([1]Detallado!$Q:$Q,MATCH($C2026,[1]Detallado!$B:$B,0))</f>
        <v>RVI</v>
      </c>
      <c r="F2026" s="185" t="s">
        <v>4357</v>
      </c>
      <c r="G2026" s="186" t="str">
        <f t="shared" si="62"/>
        <v>33RVI</v>
      </c>
      <c r="H2026" s="187" t="str">
        <f>+INDEX([1]Detallado!$D:$D,MATCH(C2026,[1]Detallado!$B:$B,0))</f>
        <v>Lan Airlines</v>
      </c>
      <c r="I2026" s="28"/>
      <c r="J2026" s="184" t="str">
        <f t="shared" si="63"/>
        <v>RVIBU</v>
      </c>
    </row>
    <row r="2027" spans="3:10" x14ac:dyDescent="0.25">
      <c r="C2027" s="28" t="s">
        <v>4247</v>
      </c>
      <c r="D2027" s="188" t="str">
        <f>+INDEX([1]Detallado!$F:$F,MATCH($C2027,[1]Detallado!$B:$B,0))</f>
        <v>Renta Variable</v>
      </c>
      <c r="E2027" s="31" t="str">
        <f>+INDEX([1]Detallado!$Q:$Q,MATCH($C2027,[1]Detallado!$B:$B,0))</f>
        <v>RVI</v>
      </c>
      <c r="F2027" s="185" t="s">
        <v>4357</v>
      </c>
      <c r="G2027" s="186" t="str">
        <f t="shared" si="62"/>
        <v>33RVI</v>
      </c>
      <c r="H2027" s="187" t="str">
        <f>+INDEX([1]Detallado!$D:$D,MATCH(C2027,[1]Detallado!$B:$B,0))</f>
        <v>Banco Santander</v>
      </c>
      <c r="I2027" s="28"/>
      <c r="J2027" s="184" t="str">
        <f t="shared" si="63"/>
        <v>RVIBU</v>
      </c>
    </row>
    <row r="2028" spans="3:10" x14ac:dyDescent="0.25">
      <c r="C2028" s="28" t="s">
        <v>4248</v>
      </c>
      <c r="D2028" s="188" t="str">
        <f>+INDEX([1]Detallado!$F:$F,MATCH($C2028,[1]Detallado!$B:$B,0))</f>
        <v>Renta Variable</v>
      </c>
      <c r="E2028" s="31" t="str">
        <f>+INDEX([1]Detallado!$Q:$Q,MATCH($C2028,[1]Detallado!$B:$B,0))</f>
        <v>RVI</v>
      </c>
      <c r="F2028" s="185" t="s">
        <v>4357</v>
      </c>
      <c r="G2028" s="186" t="str">
        <f t="shared" si="62"/>
        <v>33RVI</v>
      </c>
      <c r="H2028" s="187" t="str">
        <f>+INDEX([1]Detallado!$D:$D,MATCH(C2028,[1]Detallado!$B:$B,0))</f>
        <v>Avianca Holdings SA</v>
      </c>
      <c r="I2028" s="28"/>
      <c r="J2028" s="184" t="str">
        <f t="shared" si="63"/>
        <v>RVIBU</v>
      </c>
    </row>
    <row r="2029" spans="3:10" x14ac:dyDescent="0.25">
      <c r="C2029" s="28" t="s">
        <v>4249</v>
      </c>
      <c r="D2029" s="188" t="str">
        <f>+INDEX([1]Detallado!$F:$F,MATCH($C2029,[1]Detallado!$B:$B,0))</f>
        <v>Renta Variable</v>
      </c>
      <c r="E2029" s="31" t="str">
        <f>+INDEX([1]Detallado!$Q:$Q,MATCH($C2029,[1]Detallado!$B:$B,0))</f>
        <v>RVI</v>
      </c>
      <c r="F2029" s="185" t="s">
        <v>4357</v>
      </c>
      <c r="G2029" s="186" t="str">
        <f t="shared" si="62"/>
        <v>45RVI</v>
      </c>
      <c r="H2029" s="187" t="str">
        <f>+INDEX([1]Detallado!$D:$D,MATCH(C2029,[1]Detallado!$B:$B,0))</f>
        <v>Avianca Holdings SA</v>
      </c>
      <c r="I2029" s="28"/>
      <c r="J2029" s="184" t="str">
        <f t="shared" si="63"/>
        <v>RVIBU</v>
      </c>
    </row>
    <row r="2030" spans="3:10" x14ac:dyDescent="0.25">
      <c r="C2030" s="28" t="s">
        <v>4250</v>
      </c>
      <c r="D2030" s="188" t="str">
        <f>+INDEX([1]Detallado!$F:$F,MATCH($C2030,[1]Detallado!$B:$B,0))</f>
        <v>Renta Variable</v>
      </c>
      <c r="E2030" s="31" t="str">
        <f>+INDEX([1]Detallado!$Q:$Q,MATCH($C2030,[1]Detallado!$B:$B,0))</f>
        <v>RVI</v>
      </c>
      <c r="F2030" s="185" t="s">
        <v>4357</v>
      </c>
      <c r="G2030" s="186" t="str">
        <f t="shared" si="62"/>
        <v>34RVI</v>
      </c>
      <c r="H2030" s="187" t="str">
        <f>+INDEX([1]Detallado!$D:$D,MATCH(C2030,[1]Detallado!$B:$B,0))</f>
        <v>Pacific Rubiales Corp.</v>
      </c>
      <c r="I2030" s="28"/>
      <c r="J2030" s="184" t="str">
        <f t="shared" si="63"/>
        <v>RVIBU</v>
      </c>
    </row>
    <row r="2031" spans="3:10" x14ac:dyDescent="0.25">
      <c r="C2031" s="28" t="s">
        <v>4251</v>
      </c>
      <c r="D2031" s="188" t="str">
        <f>+INDEX([1]Detallado!$F:$F,MATCH($C2031,[1]Detallado!$B:$B,0))</f>
        <v>Renta Variable</v>
      </c>
      <c r="E2031" s="31" t="str">
        <f>+INDEX([1]Detallado!$Q:$Q,MATCH($C2031,[1]Detallado!$B:$B,0))</f>
        <v>RVI</v>
      </c>
      <c r="F2031" s="185" t="s">
        <v>4357</v>
      </c>
      <c r="G2031" s="186" t="str">
        <f t="shared" si="62"/>
        <v>33RVI</v>
      </c>
      <c r="H2031" s="187" t="str">
        <f>+INDEX([1]Detallado!$D:$D,MATCH(C2031,[1]Detallado!$B:$B,0))</f>
        <v>Bancolombia SA</v>
      </c>
      <c r="I2031" s="28"/>
      <c r="J2031" s="184" t="str">
        <f t="shared" si="63"/>
        <v>RVIBU</v>
      </c>
    </row>
    <row r="2032" spans="3:10" x14ac:dyDescent="0.25">
      <c r="C2032" s="28" t="s">
        <v>4252</v>
      </c>
      <c r="D2032" s="188" t="str">
        <f>+INDEX([1]Detallado!$F:$F,MATCH($C2032,[1]Detallado!$B:$B,0))</f>
        <v>Renta Variable</v>
      </c>
      <c r="E2032" s="31" t="str">
        <f>+INDEX([1]Detallado!$Q:$Q,MATCH($C2032,[1]Detallado!$B:$B,0))</f>
        <v>RVI</v>
      </c>
      <c r="F2032" s="185" t="s">
        <v>4357</v>
      </c>
      <c r="G2032" s="186" t="str">
        <f t="shared" si="62"/>
        <v>33RVI</v>
      </c>
      <c r="H2032" s="187" t="str">
        <f>+INDEX([1]Detallado!$D:$D,MATCH(C2032,[1]Detallado!$B:$B,0))</f>
        <v>Grupo AVAL</v>
      </c>
      <c r="I2032" s="28"/>
      <c r="J2032" s="184" t="str">
        <f t="shared" si="63"/>
        <v>RVIBU</v>
      </c>
    </row>
    <row r="2033" spans="3:10" x14ac:dyDescent="0.25">
      <c r="C2033" s="28" t="s">
        <v>4253</v>
      </c>
      <c r="D2033" s="188" t="str">
        <f>+INDEX([1]Detallado!$F:$F,MATCH($C2033,[1]Detallado!$B:$B,0))</f>
        <v>Renta Variable</v>
      </c>
      <c r="E2033" s="31" t="str">
        <f>+INDEX([1]Detallado!$Q:$Q,MATCH($C2033,[1]Detallado!$B:$B,0))</f>
        <v>RVI</v>
      </c>
      <c r="F2033" s="185" t="s">
        <v>4357</v>
      </c>
      <c r="G2033" s="186" t="str">
        <f t="shared" si="62"/>
        <v>45RVI</v>
      </c>
      <c r="H2033" s="187" t="str">
        <f>+INDEX([1]Detallado!$D:$D,MATCH(C2033,[1]Detallado!$B:$B,0))</f>
        <v>Davivienda</v>
      </c>
      <c r="I2033" s="28"/>
      <c r="J2033" s="184" t="str">
        <f t="shared" si="63"/>
        <v>RVIBU</v>
      </c>
    </row>
    <row r="2034" spans="3:10" x14ac:dyDescent="0.25">
      <c r="C2034" s="28" t="s">
        <v>2313</v>
      </c>
      <c r="D2034" s="188" t="str">
        <f>+INDEX([1]Detallado!$F:$F,MATCH($C2034,[1]Detallado!$B:$B,0))</f>
        <v>Renta Variable</v>
      </c>
      <c r="E2034" s="31" t="str">
        <f>+INDEX([1]Detallado!$Q:$Q,MATCH($C2034,[1]Detallado!$B:$B,0))</f>
        <v>RVI</v>
      </c>
      <c r="F2034" s="185" t="s">
        <v>4355</v>
      </c>
      <c r="G2034" s="186" t="str">
        <f t="shared" si="62"/>
        <v>52RVI</v>
      </c>
      <c r="H2034" s="187" t="str">
        <f>+INDEX([1]Detallado!$D:$D,MATCH(C2034,[1]Detallado!$B:$B,0))</f>
        <v>Larrainvial - Latin American Equity Fund I</v>
      </c>
      <c r="I2034" s="28"/>
      <c r="J2034" s="184" t="str">
        <f t="shared" si="63"/>
        <v>RVITD</v>
      </c>
    </row>
    <row r="2035" spans="3:10" x14ac:dyDescent="0.25">
      <c r="C2035" s="28" t="s">
        <v>2276</v>
      </c>
      <c r="D2035" s="188" t="str">
        <f>+INDEX([1]Detallado!$F:$F,MATCH($C2035,[1]Detallado!$B:$B,0))</f>
        <v>Renta Variable</v>
      </c>
      <c r="E2035" s="31" t="str">
        <f>+INDEX([1]Detallado!$Q:$Q,MATCH($C2035,[1]Detallado!$B:$B,0))</f>
        <v>RVI</v>
      </c>
      <c r="F2035" s="185" t="s">
        <v>4355</v>
      </c>
      <c r="G2035" s="186" t="str">
        <f t="shared" si="62"/>
        <v>52RVI</v>
      </c>
      <c r="H2035" s="187" t="str">
        <f>+INDEX([1]Detallado!$D:$D,MATCH(C2035,[1]Detallado!$B:$B,0))</f>
        <v>Larrain Vial - Small &amp; Mid Cap Latin America Equity</v>
      </c>
      <c r="I2035" s="28"/>
      <c r="J2035" s="184" t="str">
        <f t="shared" si="63"/>
        <v>RVITD</v>
      </c>
    </row>
    <row r="2036" spans="3:10" x14ac:dyDescent="0.25">
      <c r="C2036" s="28" t="s">
        <v>2212</v>
      </c>
      <c r="D2036" s="188" t="str">
        <f>+INDEX([1]Detallado!$F:$F,MATCH($C2036,[1]Detallado!$B:$B,0))</f>
        <v>Renta Variable</v>
      </c>
      <c r="E2036" s="31" t="str">
        <f>+INDEX([1]Detallado!$Q:$Q,MATCH($C2036,[1]Detallado!$B:$B,0))</f>
        <v>RVI</v>
      </c>
      <c r="F2036" s="185" t="s">
        <v>4355</v>
      </c>
      <c r="G2036" s="186" t="str">
        <f t="shared" si="62"/>
        <v>52RVI</v>
      </c>
      <c r="H2036" s="187" t="str">
        <f>+INDEX([1]Detallado!$D:$D,MATCH(C2036,[1]Detallado!$B:$B,0))</f>
        <v>Investec - Latin America Smaller Companies</v>
      </c>
      <c r="I2036" s="28"/>
      <c r="J2036" s="184" t="str">
        <f t="shared" si="63"/>
        <v>RVITD</v>
      </c>
    </row>
    <row r="2037" spans="3:10" x14ac:dyDescent="0.25">
      <c r="C2037" s="28" t="s">
        <v>2516</v>
      </c>
      <c r="D2037" s="188" t="str">
        <f>+INDEX([1]Detallado!$F:$F,MATCH($C2037,[1]Detallado!$B:$B,0))</f>
        <v>Renta Variable</v>
      </c>
      <c r="E2037" s="31" t="str">
        <f>+INDEX([1]Detallado!$Q:$Q,MATCH($C2037,[1]Detallado!$B:$B,0))</f>
        <v>RVI</v>
      </c>
      <c r="F2037" s="185" t="s">
        <v>4355</v>
      </c>
      <c r="G2037" s="186" t="str">
        <f t="shared" si="62"/>
        <v>52RVI</v>
      </c>
      <c r="H2037" s="187" t="str">
        <f>+INDEX([1]Detallado!$D:$D,MATCH(C2037,[1]Detallado!$B:$B,0))</f>
        <v>DWS - Invest Latin American Equities - FC50</v>
      </c>
      <c r="I2037" s="28"/>
      <c r="J2037" s="184" t="str">
        <f t="shared" si="63"/>
        <v>RVITD</v>
      </c>
    </row>
    <row r="2038" spans="3:10" x14ac:dyDescent="0.25">
      <c r="C2038" s="28" t="s">
        <v>1240</v>
      </c>
      <c r="D2038" s="188" t="str">
        <f>+INDEX([1]Detallado!$F:$F,MATCH($C2038,[1]Detallado!$B:$B,0))</f>
        <v>Renta Variable</v>
      </c>
      <c r="E2038" s="31" t="str">
        <f>+INDEX([1]Detallado!$Q:$Q,MATCH($C2038,[1]Detallado!$B:$B,0))</f>
        <v>RVI</v>
      </c>
      <c r="F2038" s="185" t="s">
        <v>4355</v>
      </c>
      <c r="G2038" s="186" t="str">
        <f t="shared" si="62"/>
        <v>52RVI</v>
      </c>
      <c r="H2038" s="187" t="str">
        <f>+INDEX([1]Detallado!$D:$D,MATCH(C2038,[1]Detallado!$B:$B,0))</f>
        <v>BlackRock - iShares MSCI LATAM 40</v>
      </c>
      <c r="I2038" s="28"/>
      <c r="J2038" s="184" t="str">
        <f t="shared" si="63"/>
        <v>RVITD</v>
      </c>
    </row>
    <row r="2039" spans="3:10" x14ac:dyDescent="0.25">
      <c r="C2039" s="28" t="s">
        <v>2424</v>
      </c>
      <c r="D2039" s="188" t="str">
        <f>+INDEX([1]Detallado!$F:$F,MATCH($C2039,[1]Detallado!$B:$B,0))</f>
        <v>Renta Variable</v>
      </c>
      <c r="E2039" s="31" t="str">
        <f>+INDEX([1]Detallado!$Q:$Q,MATCH($C2039,[1]Detallado!$B:$B,0))</f>
        <v>RVI</v>
      </c>
      <c r="F2039" s="185" t="s">
        <v>4355</v>
      </c>
      <c r="G2039" s="186" t="str">
        <f t="shared" si="62"/>
        <v>52RVI</v>
      </c>
      <c r="H2039" s="187" t="str">
        <f>+INDEX([1]Detallado!$D:$D,MATCH(C2039,[1]Detallado!$B:$B,0))</f>
        <v>Moneda AM - Latin America Equities</v>
      </c>
      <c r="I2039" s="28"/>
      <c r="J2039" s="184" t="str">
        <f t="shared" si="63"/>
        <v>RVITD</v>
      </c>
    </row>
    <row r="2040" spans="3:10" x14ac:dyDescent="0.25">
      <c r="C2040" s="28" t="s">
        <v>4254</v>
      </c>
      <c r="D2040" s="188" t="str">
        <f>+INDEX([1]Detallado!$F:$F,MATCH($C2040,[1]Detallado!$B:$B,0))</f>
        <v>Renta Variable</v>
      </c>
      <c r="E2040" s="31" t="str">
        <f>+INDEX([1]Detallado!$Q:$Q,MATCH($C2040,[1]Detallado!$B:$B,0))</f>
        <v>RVI</v>
      </c>
      <c r="F2040" s="185" t="s">
        <v>4355</v>
      </c>
      <c r="G2040" s="186" t="str">
        <f t="shared" si="62"/>
        <v>52RVI</v>
      </c>
      <c r="H2040" s="187" t="str">
        <f>+INDEX([1]Detallado!$D:$D,MATCH(C2040,[1]Detallado!$B:$B,0))</f>
        <v>Waystone - Credicorp Capital_Latin American Equity Fund</v>
      </c>
      <c r="I2040" s="28"/>
      <c r="J2040" s="184" t="str">
        <f t="shared" si="63"/>
        <v>RVITD</v>
      </c>
    </row>
    <row r="2041" spans="3:10" x14ac:dyDescent="0.25">
      <c r="C2041" s="28" t="s">
        <v>4255</v>
      </c>
      <c r="D2041" s="188" t="str">
        <f>+INDEX([1]Detallado!$F:$F,MATCH($C2041,[1]Detallado!$B:$B,0))</f>
        <v>Renta Variable</v>
      </c>
      <c r="E2041" s="31" t="str">
        <f>+INDEX([1]Detallado!$Q:$Q,MATCH($C2041,[1]Detallado!$B:$B,0))</f>
        <v>RVI</v>
      </c>
      <c r="F2041" s="185" t="s">
        <v>4355</v>
      </c>
      <c r="G2041" s="186" t="str">
        <f t="shared" si="62"/>
        <v>52RVI</v>
      </c>
      <c r="H2041" s="187" t="str">
        <f>+INDEX([1]Detallado!$D:$D,MATCH(C2041,[1]Detallado!$B:$B,0))</f>
        <v xml:space="preserve"> MDO - Credicorp Capital - Latin American Equity Fund</v>
      </c>
      <c r="I2041" s="28"/>
      <c r="J2041" s="184" t="str">
        <f t="shared" si="63"/>
        <v>RVITD</v>
      </c>
    </row>
    <row r="2042" spans="3:10" x14ac:dyDescent="0.25">
      <c r="C2042" s="28" t="s">
        <v>2110</v>
      </c>
      <c r="D2042" s="188" t="str">
        <f>+INDEX([1]Detallado!$F:$F,MATCH($C2042,[1]Detallado!$B:$B,0))</f>
        <v>Renta Variable</v>
      </c>
      <c r="E2042" s="31" t="str">
        <f>+INDEX([1]Detallado!$Q:$Q,MATCH($C2042,[1]Detallado!$B:$B,0))</f>
        <v>RVI</v>
      </c>
      <c r="F2042" s="185" t="s">
        <v>4355</v>
      </c>
      <c r="G2042" s="186" t="str">
        <f t="shared" si="62"/>
        <v>52RVI</v>
      </c>
      <c r="H2042" s="187" t="str">
        <f>+INDEX([1]Detallado!$D:$D,MATCH(C2042,[1]Detallado!$B:$B,0))</f>
        <v>Investec - Latin American Equity</v>
      </c>
      <c r="I2042" s="28"/>
      <c r="J2042" s="184" t="str">
        <f t="shared" si="63"/>
        <v>RVITD</v>
      </c>
    </row>
    <row r="2043" spans="3:10" x14ac:dyDescent="0.25">
      <c r="C2043" s="28" t="s">
        <v>4256</v>
      </c>
      <c r="D2043" s="188" t="str">
        <f>+INDEX([1]Detallado!$F:$F,MATCH($C2043,[1]Detallado!$B:$B,0))</f>
        <v>Renta Variable</v>
      </c>
      <c r="E2043" s="31" t="str">
        <f>+INDEX([1]Detallado!$Q:$Q,MATCH($C2043,[1]Detallado!$B:$B,0))</f>
        <v>RVI</v>
      </c>
      <c r="F2043" s="185" t="s">
        <v>4355</v>
      </c>
      <c r="G2043" s="186" t="str">
        <f t="shared" si="62"/>
        <v>4ARVI</v>
      </c>
      <c r="H2043" s="187" t="str">
        <f>+INDEX([1]Detallado!$D:$D,MATCH(C2043,[1]Detallado!$B:$B,0))</f>
        <v>Moneda S.A. Administradora General de Fondos - Certificado de suscripción OP</v>
      </c>
      <c r="I2043" s="28"/>
      <c r="J2043" s="184" t="str">
        <f t="shared" si="63"/>
        <v>RVITD</v>
      </c>
    </row>
    <row r="2044" spans="3:10" x14ac:dyDescent="0.25">
      <c r="C2044" s="28" t="s">
        <v>4257</v>
      </c>
      <c r="D2044" s="188" t="str">
        <f>+INDEX([1]Detallado!$F:$F,MATCH($C2044,[1]Detallado!$B:$B,0))</f>
        <v>Renta Variable</v>
      </c>
      <c r="E2044" s="31" t="str">
        <f>+INDEX([1]Detallado!$Q:$Q,MATCH($C2044,[1]Detallado!$B:$B,0))</f>
        <v>RVI</v>
      </c>
      <c r="F2044" s="185" t="s">
        <v>4355</v>
      </c>
      <c r="G2044" s="186" t="str">
        <f t="shared" si="62"/>
        <v>52RVI</v>
      </c>
      <c r="H2044" s="187" t="str">
        <f>+INDEX([1]Detallado!$D:$D,MATCH(C2044,[1]Detallado!$B:$B,0))</f>
        <v>Moneda Small Cap Latam</v>
      </c>
      <c r="I2044" s="28"/>
      <c r="J2044" s="184" t="str">
        <f t="shared" si="63"/>
        <v>RVITD</v>
      </c>
    </row>
    <row r="2045" spans="3:10" x14ac:dyDescent="0.25">
      <c r="C2045" s="28" t="s">
        <v>4258</v>
      </c>
      <c r="D2045" s="188" t="str">
        <f>+INDEX([1]Detallado!$F:$F,MATCH($C2045,[1]Detallado!$B:$B,0))</f>
        <v>Renta Variable</v>
      </c>
      <c r="E2045" s="31" t="str">
        <f>+INDEX([1]Detallado!$Q:$Q,MATCH($C2045,[1]Detallado!$B:$B,0))</f>
        <v>RVI</v>
      </c>
      <c r="F2045" s="185" t="s">
        <v>4357</v>
      </c>
      <c r="G2045" s="186" t="str">
        <f t="shared" si="62"/>
        <v>34RVI</v>
      </c>
      <c r="H2045" s="187" t="str">
        <f>+INDEX([1]Detallado!$D:$D,MATCH(C2045,[1]Detallado!$B:$B,0))</f>
        <v>Gruma S.A.B. de C.V.</v>
      </c>
      <c r="I2045" s="28"/>
      <c r="J2045" s="184" t="str">
        <f t="shared" si="63"/>
        <v>RVIBU</v>
      </c>
    </row>
    <row r="2046" spans="3:10" x14ac:dyDescent="0.25">
      <c r="C2046" s="28" t="s">
        <v>4259</v>
      </c>
      <c r="D2046" s="188" t="str">
        <f>+INDEX([1]Detallado!$F:$F,MATCH($C2046,[1]Detallado!$B:$B,0))</f>
        <v>Renta Variable</v>
      </c>
      <c r="E2046" s="31" t="str">
        <f>+INDEX([1]Detallado!$Q:$Q,MATCH($C2046,[1]Detallado!$B:$B,0))</f>
        <v>RVI</v>
      </c>
      <c r="F2046" s="185" t="s">
        <v>4357</v>
      </c>
      <c r="G2046" s="186" t="str">
        <f t="shared" si="62"/>
        <v>33RVI</v>
      </c>
      <c r="H2046" s="187" t="str">
        <f>+INDEX([1]Detallado!$D:$D,MATCH(C2046,[1]Detallado!$B:$B,0))</f>
        <v>Fomento Economico Mexicano SAB de CV</v>
      </c>
      <c r="I2046" s="28"/>
      <c r="J2046" s="184" t="str">
        <f t="shared" si="63"/>
        <v>RVIBU</v>
      </c>
    </row>
    <row r="2047" spans="3:10" x14ac:dyDescent="0.25">
      <c r="C2047" s="28" t="s">
        <v>4260</v>
      </c>
      <c r="D2047" s="188" t="str">
        <f>+INDEX([1]Detallado!$F:$F,MATCH($C2047,[1]Detallado!$B:$B,0))</f>
        <v>Renta Variable</v>
      </c>
      <c r="E2047" s="31" t="str">
        <f>+INDEX([1]Detallado!$Q:$Q,MATCH($C2047,[1]Detallado!$B:$B,0))</f>
        <v>RVI</v>
      </c>
      <c r="F2047" s="185" t="s">
        <v>4357</v>
      </c>
      <c r="G2047" s="186" t="str">
        <f t="shared" si="62"/>
        <v>34RVI</v>
      </c>
      <c r="H2047" s="187" t="str">
        <f>+INDEX([1]Detallado!$D:$D,MATCH(C2047,[1]Detallado!$B:$B,0))</f>
        <v>Wal-Mart México</v>
      </c>
      <c r="I2047" s="28"/>
      <c r="J2047" s="184" t="str">
        <f t="shared" si="63"/>
        <v>RVIBU</v>
      </c>
    </row>
    <row r="2048" spans="3:10" x14ac:dyDescent="0.25">
      <c r="C2048" s="28" t="s">
        <v>4261</v>
      </c>
      <c r="D2048" s="188" t="str">
        <f>+INDEX([1]Detallado!$F:$F,MATCH($C2048,[1]Detallado!$B:$B,0))</f>
        <v>Renta Variable</v>
      </c>
      <c r="E2048" s="31" t="str">
        <f>+INDEX([1]Detallado!$Q:$Q,MATCH($C2048,[1]Detallado!$B:$B,0))</f>
        <v>RVI</v>
      </c>
      <c r="F2048" s="185" t="s">
        <v>4357</v>
      </c>
      <c r="G2048" s="186" t="str">
        <f t="shared" si="62"/>
        <v>33RVI</v>
      </c>
      <c r="H2048" s="187" t="str">
        <f>+INDEX([1]Detallado!$D:$D,MATCH(C2048,[1]Detallado!$B:$B,0))</f>
        <v>Coca-Cola Femsa SAB</v>
      </c>
      <c r="I2048" s="28"/>
      <c r="J2048" s="184" t="str">
        <f t="shared" si="63"/>
        <v>RVIBU</v>
      </c>
    </row>
    <row r="2049" spans="3:10" x14ac:dyDescent="0.25">
      <c r="C2049" s="28" t="s">
        <v>929</v>
      </c>
      <c r="D2049" s="188" t="str">
        <f>+INDEX([1]Detallado!$F:$F,MATCH($C2049,[1]Detallado!$B:$B,0))</f>
        <v>Renta Variable</v>
      </c>
      <c r="E2049" s="31" t="str">
        <f>+INDEX([1]Detallado!$Q:$Q,MATCH($C2049,[1]Detallado!$B:$B,0))</f>
        <v>RVI</v>
      </c>
      <c r="F2049" s="185" t="s">
        <v>4355</v>
      </c>
      <c r="G2049" s="186" t="str">
        <f t="shared" si="62"/>
        <v>52RVI</v>
      </c>
      <c r="H2049" s="187" t="str">
        <f>+INDEX([1]Detallado!$D:$D,MATCH(C2049,[1]Detallado!$B:$B,0))</f>
        <v>BlackRock - iShares MSCI Mexico</v>
      </c>
      <c r="I2049" s="28"/>
      <c r="J2049" s="184" t="str">
        <f t="shared" si="63"/>
        <v>RVITD</v>
      </c>
    </row>
    <row r="2050" spans="3:10" x14ac:dyDescent="0.25">
      <c r="C2050" s="28" t="s">
        <v>2302</v>
      </c>
      <c r="D2050" s="188" t="str">
        <f>+INDEX([1]Detallado!$F:$F,MATCH($C2050,[1]Detallado!$B:$B,0))</f>
        <v>Renta Variable</v>
      </c>
      <c r="E2050" s="31" t="str">
        <f>+INDEX([1]Detallado!$Q:$Q,MATCH($C2050,[1]Detallado!$B:$B,0))</f>
        <v>RVI</v>
      </c>
      <c r="F2050" s="185" t="s">
        <v>4355</v>
      </c>
      <c r="G2050" s="186" t="str">
        <f t="shared" si="62"/>
        <v>52RVI</v>
      </c>
      <c r="H2050" s="187" t="str">
        <f>+INDEX([1]Detallado!$D:$D,MATCH(C2050,[1]Detallado!$B:$B,0))</f>
        <v>GBM - Mexico</v>
      </c>
      <c r="I2050" s="28"/>
      <c r="J2050" s="184" t="str">
        <f t="shared" si="63"/>
        <v>RVITD</v>
      </c>
    </row>
    <row r="2051" spans="3:10" x14ac:dyDescent="0.25">
      <c r="C2051" s="28" t="s">
        <v>4262</v>
      </c>
      <c r="D2051" s="188" t="str">
        <f>+INDEX([1]Detallado!$F:$F,MATCH($C2051,[1]Detallado!$B:$B,0))</f>
        <v>Renta Variable</v>
      </c>
      <c r="E2051" s="31" t="str">
        <f>+INDEX([1]Detallado!$Q:$Q,MATCH($C2051,[1]Detallado!$B:$B,0))</f>
        <v>RVI</v>
      </c>
      <c r="F2051" s="185" t="s">
        <v>4357</v>
      </c>
      <c r="G2051" s="186" t="str">
        <f t="shared" si="62"/>
        <v>34RVI</v>
      </c>
      <c r="H2051" s="187" t="str">
        <f>+INDEX([1]Detallado!$D:$D,MATCH(C2051,[1]Detallado!$B:$B,0))</f>
        <v>Pinfra</v>
      </c>
      <c r="I2051" s="28"/>
      <c r="J2051" s="184" t="str">
        <f t="shared" si="63"/>
        <v>RVIBU</v>
      </c>
    </row>
    <row r="2052" spans="3:10" x14ac:dyDescent="0.25">
      <c r="C2052" s="28" t="s">
        <v>4263</v>
      </c>
      <c r="D2052" s="188" t="str">
        <f>+INDEX([1]Detallado!$F:$F,MATCH($C2052,[1]Detallado!$B:$B,0))</f>
        <v>Renta Variable</v>
      </c>
      <c r="E2052" s="31" t="str">
        <f>+INDEX([1]Detallado!$Q:$Q,MATCH($C2052,[1]Detallado!$B:$B,0))</f>
        <v>RVI</v>
      </c>
      <c r="F2052" s="185" t="s">
        <v>4357</v>
      </c>
      <c r="G2052" s="186" t="str">
        <f t="shared" si="62"/>
        <v>34RVI</v>
      </c>
      <c r="H2052" s="187" t="str">
        <f>+INDEX([1]Detallado!$D:$D,MATCH(C2052,[1]Detallado!$B:$B,0))</f>
        <v>Vesta</v>
      </c>
      <c r="I2052" s="28"/>
      <c r="J2052" s="184" t="str">
        <f t="shared" si="63"/>
        <v>RVIBU</v>
      </c>
    </row>
    <row r="2053" spans="3:10" x14ac:dyDescent="0.25">
      <c r="C2053" s="28" t="s">
        <v>4264</v>
      </c>
      <c r="D2053" s="188" t="str">
        <f>+INDEX([1]Detallado!$F:$F,MATCH($C2053,[1]Detallado!$B:$B,0))</f>
        <v>Renta Variable</v>
      </c>
      <c r="E2053" s="31" t="str">
        <f>+INDEX([1]Detallado!$Q:$Q,MATCH($C2053,[1]Detallado!$B:$B,0))</f>
        <v>RVI</v>
      </c>
      <c r="F2053" s="185" t="s">
        <v>4357</v>
      </c>
      <c r="G2053" s="186" t="str">
        <f t="shared" si="62"/>
        <v>33RVI</v>
      </c>
      <c r="H2053" s="187" t="str">
        <f>+INDEX([1]Detallado!$D:$D,MATCH(C2053,[1]Detallado!$B:$B,0))</f>
        <v>CEMEX</v>
      </c>
      <c r="I2053" s="28"/>
      <c r="J2053" s="184" t="str">
        <f t="shared" si="63"/>
        <v>RVIBU</v>
      </c>
    </row>
    <row r="2054" spans="3:10" x14ac:dyDescent="0.25">
      <c r="C2054" s="28" t="s">
        <v>4265</v>
      </c>
      <c r="D2054" s="188" t="str">
        <f>+INDEX([1]Detallado!$F:$F,MATCH($C2054,[1]Detallado!$B:$B,0))</f>
        <v>Renta Variable</v>
      </c>
      <c r="E2054" s="31" t="str">
        <f>+INDEX([1]Detallado!$Q:$Q,MATCH($C2054,[1]Detallado!$B:$B,0))</f>
        <v>RVI</v>
      </c>
      <c r="F2054" s="185" t="s">
        <v>4357</v>
      </c>
      <c r="G2054" s="186" t="str">
        <f t="shared" si="62"/>
        <v>34RVI</v>
      </c>
      <c r="H2054" s="187" t="str">
        <f>+INDEX([1]Detallado!$D:$D,MATCH(C2054,[1]Detallado!$B:$B,0))</f>
        <v>CEMEX</v>
      </c>
      <c r="I2054" s="28"/>
      <c r="J2054" s="184" t="str">
        <f t="shared" si="63"/>
        <v>RVIBU</v>
      </c>
    </row>
    <row r="2055" spans="3:10" x14ac:dyDescent="0.25">
      <c r="C2055" s="28" t="s">
        <v>4266</v>
      </c>
      <c r="D2055" s="188" t="str">
        <f>+INDEX([1]Detallado!$F:$F,MATCH($C2055,[1]Detallado!$B:$B,0))</f>
        <v>Renta Variable</v>
      </c>
      <c r="E2055" s="31" t="str">
        <f>+INDEX([1]Detallado!$Q:$Q,MATCH($C2055,[1]Detallado!$B:$B,0))</f>
        <v>RVI</v>
      </c>
      <c r="F2055" s="185" t="s">
        <v>4357</v>
      </c>
      <c r="G2055" s="186" t="str">
        <f t="shared" si="62"/>
        <v>34RVI</v>
      </c>
      <c r="H2055" s="187" t="str">
        <f>+INDEX([1]Detallado!$D:$D,MATCH(C2055,[1]Detallado!$B:$B,0))</f>
        <v>Grupo Mexico SAB</v>
      </c>
      <c r="I2055" s="28"/>
      <c r="J2055" s="184" t="str">
        <f t="shared" si="63"/>
        <v>RVIBU</v>
      </c>
    </row>
    <row r="2056" spans="3:10" x14ac:dyDescent="0.25">
      <c r="C2056" s="28" t="s">
        <v>4267</v>
      </c>
      <c r="D2056" s="188" t="str">
        <f>+INDEX([1]Detallado!$F:$F,MATCH($C2056,[1]Detallado!$B:$B,0))</f>
        <v>Renta Variable</v>
      </c>
      <c r="E2056" s="31" t="str">
        <f>+INDEX([1]Detallado!$Q:$Q,MATCH($C2056,[1]Detallado!$B:$B,0))</f>
        <v>RVI</v>
      </c>
      <c r="F2056" s="185" t="s">
        <v>4357</v>
      </c>
      <c r="G2056" s="186" t="str">
        <f t="shared" si="62"/>
        <v>34RVI</v>
      </c>
      <c r="H2056" s="187" t="str">
        <f>+INDEX([1]Detallado!$D:$D,MATCH(C2056,[1]Detallado!$B:$B,0))</f>
        <v>Southern Copper Corporation</v>
      </c>
      <c r="I2056" s="28"/>
      <c r="J2056" s="184" t="str">
        <f t="shared" si="63"/>
        <v>RVIBU</v>
      </c>
    </row>
    <row r="2057" spans="3:10" x14ac:dyDescent="0.25">
      <c r="C2057" s="28" t="s">
        <v>4268</v>
      </c>
      <c r="D2057" s="188" t="str">
        <f>+INDEX([1]Detallado!$F:$F,MATCH($C2057,[1]Detallado!$B:$B,0))</f>
        <v>Renta Variable</v>
      </c>
      <c r="E2057" s="31" t="str">
        <f>+INDEX([1]Detallado!$Q:$Q,MATCH($C2057,[1]Detallado!$B:$B,0))</f>
        <v>RVI</v>
      </c>
      <c r="F2057" s="185" t="s">
        <v>4357</v>
      </c>
      <c r="G2057" s="186" t="str">
        <f t="shared" si="62"/>
        <v>34RVI</v>
      </c>
      <c r="H2057" s="187" t="str">
        <f>+INDEX([1]Detallado!$D:$D,MATCH(C2057,[1]Detallado!$B:$B,0))</f>
        <v>Mexichem</v>
      </c>
      <c r="I2057" s="28"/>
      <c r="J2057" s="184" t="str">
        <f t="shared" si="63"/>
        <v>RVIBU</v>
      </c>
    </row>
    <row r="2058" spans="3:10" x14ac:dyDescent="0.25">
      <c r="C2058" s="28" t="s">
        <v>4269</v>
      </c>
      <c r="D2058" s="188" t="str">
        <f>+INDEX([1]Detallado!$F:$F,MATCH($C2058,[1]Detallado!$B:$B,0))</f>
        <v>Renta Variable</v>
      </c>
      <c r="E2058" s="31" t="str">
        <f>+INDEX([1]Detallado!$Q:$Q,MATCH($C2058,[1]Detallado!$B:$B,0))</f>
        <v>RVI</v>
      </c>
      <c r="F2058" s="185" t="s">
        <v>4357</v>
      </c>
      <c r="G2058" s="186" t="str">
        <f t="shared" ref="G2058:G2121" si="64">LEFT(C2058,2)&amp;E2058</f>
        <v>33RVI</v>
      </c>
      <c r="H2058" s="187" t="str">
        <f>+INDEX([1]Detallado!$D:$D,MATCH(C2058,[1]Detallado!$B:$B,0))</f>
        <v>Santander México</v>
      </c>
      <c r="I2058" s="28"/>
      <c r="J2058" s="184" t="str">
        <f t="shared" ref="J2058:J2121" si="65">IF(E2058="ALT",LEFT(E2058,3),LEFT(E2058,3)&amp;F2058)</f>
        <v>RVIBU</v>
      </c>
    </row>
    <row r="2059" spans="3:10" x14ac:dyDescent="0.25">
      <c r="C2059" s="28" t="s">
        <v>4270</v>
      </c>
      <c r="D2059" s="188" t="str">
        <f>+INDEX([1]Detallado!$F:$F,MATCH($C2059,[1]Detallado!$B:$B,0))</f>
        <v>Renta Variable</v>
      </c>
      <c r="E2059" s="31" t="str">
        <f>+INDEX([1]Detallado!$Q:$Q,MATCH($C2059,[1]Detallado!$B:$B,0))</f>
        <v>RVI</v>
      </c>
      <c r="F2059" s="185" t="s">
        <v>4357</v>
      </c>
      <c r="G2059" s="186" t="str">
        <f t="shared" si="64"/>
        <v>34RVI</v>
      </c>
      <c r="H2059" s="187" t="str">
        <f>+INDEX([1]Detallado!$D:$D,MATCH(C2059,[1]Detallado!$B:$B,0))</f>
        <v>Grupo Financiero Banorte</v>
      </c>
      <c r="I2059" s="28"/>
      <c r="J2059" s="184" t="str">
        <f t="shared" si="65"/>
        <v>RVIBU</v>
      </c>
    </row>
    <row r="2060" spans="3:10" x14ac:dyDescent="0.25">
      <c r="C2060" s="28" t="s">
        <v>4271</v>
      </c>
      <c r="D2060" s="188" t="str">
        <f>+INDEX([1]Detallado!$F:$F,MATCH($C2060,[1]Detallado!$B:$B,0))</f>
        <v>Renta Variable</v>
      </c>
      <c r="E2060" s="31" t="str">
        <f>+INDEX([1]Detallado!$Q:$Q,MATCH($C2060,[1]Detallado!$B:$B,0))</f>
        <v>RVI</v>
      </c>
      <c r="F2060" s="185" t="s">
        <v>4357</v>
      </c>
      <c r="G2060" s="186" t="str">
        <f t="shared" si="64"/>
        <v>34RVI</v>
      </c>
      <c r="H2060" s="187" t="str">
        <f>+INDEX([1]Detallado!$D:$D,MATCH(C2060,[1]Detallado!$B:$B,0))</f>
        <v>Copa Airlines</v>
      </c>
      <c r="I2060" s="28"/>
      <c r="J2060" s="184" t="str">
        <f t="shared" si="65"/>
        <v>RVIBU</v>
      </c>
    </row>
    <row r="2061" spans="3:10" x14ac:dyDescent="0.25">
      <c r="C2061" s="28" t="s">
        <v>926</v>
      </c>
      <c r="D2061" s="188" t="str">
        <f>+INDEX([1]Detallado!$F:$F,MATCH($C2061,[1]Detallado!$B:$B,0))</f>
        <v>Renta Variable</v>
      </c>
      <c r="E2061" s="31" t="str">
        <f>+INDEX([1]Detallado!$Q:$Q,MATCH($C2061,[1]Detallado!$B:$B,0))</f>
        <v>RVL</v>
      </c>
      <c r="F2061" s="185" t="s">
        <v>4357</v>
      </c>
      <c r="G2061" s="186" t="str">
        <f t="shared" si="64"/>
        <v>50RVL</v>
      </c>
      <c r="H2061" s="187" t="str">
        <f>+INDEX([1]Detallado!$D:$D,MATCH(C2061,[1]Detallado!$B:$B,0))</f>
        <v>Van Eck - El Dorado Peru</v>
      </c>
      <c r="I2061" s="28"/>
      <c r="J2061" s="184" t="str">
        <f t="shared" si="65"/>
        <v>RVLBU</v>
      </c>
    </row>
    <row r="2062" spans="3:10" x14ac:dyDescent="0.25">
      <c r="C2062" s="28" t="s">
        <v>821</v>
      </c>
      <c r="D2062" s="188" t="str">
        <f>+INDEX([1]Detallado!$F:$F,MATCH($C2062,[1]Detallado!$B:$B,0))</f>
        <v>Renta Variable</v>
      </c>
      <c r="E2062" s="31" t="str">
        <f>+INDEX([1]Detallado!$Q:$Q,MATCH($C2062,[1]Detallado!$B:$B,0))</f>
        <v>RVL</v>
      </c>
      <c r="F2062" s="185" t="s">
        <v>4357</v>
      </c>
      <c r="G2062" s="186" t="str">
        <f t="shared" si="64"/>
        <v>54RVL</v>
      </c>
      <c r="H2062" s="187" t="str">
        <f>+INDEX([1]Detallado!$D:$D,MATCH(C2062,[1]Detallado!$B:$B,0))</f>
        <v>BlackRock - iShares MSCI Peru</v>
      </c>
      <c r="I2062" s="28"/>
      <c r="J2062" s="184" t="str">
        <f t="shared" si="65"/>
        <v>RVLBU</v>
      </c>
    </row>
    <row r="2063" spans="3:10" x14ac:dyDescent="0.25">
      <c r="C2063" s="28" t="s">
        <v>4272</v>
      </c>
      <c r="D2063" s="188" t="str">
        <f>+INDEX([1]Detallado!$F:$F,MATCH($C2063,[1]Detallado!$B:$B,0))</f>
        <v>Renta Variable</v>
      </c>
      <c r="E2063" s="31" t="str">
        <f>+INDEX([1]Detallado!$Q:$Q,MATCH($C2063,[1]Detallado!$B:$B,0))</f>
        <v>RVL</v>
      </c>
      <c r="F2063" s="185" t="s">
        <v>4357</v>
      </c>
      <c r="G2063" s="186" t="str">
        <f t="shared" si="64"/>
        <v>30RVL</v>
      </c>
      <c r="H2063" s="187" t="str">
        <f>+INDEX([1]Detallado!$D:$D,MATCH(C2063,[1]Detallado!$B:$B,0))</f>
        <v>Alicorp S.A.</v>
      </c>
      <c r="I2063" s="28"/>
      <c r="J2063" s="184" t="str">
        <f t="shared" si="65"/>
        <v>RVLBU</v>
      </c>
    </row>
    <row r="2064" spans="3:10" x14ac:dyDescent="0.25">
      <c r="C2064" s="28" t="s">
        <v>434</v>
      </c>
      <c r="D2064" s="188" t="str">
        <f>+INDEX([1]Detallado!$F:$F,MATCH($C2064,[1]Detallado!$B:$B,0))</f>
        <v>Renta Variable</v>
      </c>
      <c r="E2064" s="31" t="str">
        <f>+INDEX([1]Detallado!$Q:$Q,MATCH($C2064,[1]Detallado!$B:$B,0))</f>
        <v>RVL</v>
      </c>
      <c r="F2064" s="185" t="s">
        <v>4357</v>
      </c>
      <c r="G2064" s="186" t="str">
        <f t="shared" si="64"/>
        <v>30RVL</v>
      </c>
      <c r="H2064" s="187" t="str">
        <f>+INDEX([1]Detallado!$D:$D,MATCH(C2064,[1]Detallado!$B:$B,0))</f>
        <v>Alicorp S.A.</v>
      </c>
      <c r="I2064" s="28"/>
      <c r="J2064" s="184" t="str">
        <f t="shared" si="65"/>
        <v>RVLBU</v>
      </c>
    </row>
    <row r="2065" spans="3:10" x14ac:dyDescent="0.25">
      <c r="C2065" s="28" t="s">
        <v>4273</v>
      </c>
      <c r="D2065" s="188" t="str">
        <f>+INDEX([1]Detallado!$F:$F,MATCH($C2065,[1]Detallado!$B:$B,0))</f>
        <v>Renta Variable</v>
      </c>
      <c r="E2065" s="31" t="str">
        <f>+INDEX([1]Detallado!$Q:$Q,MATCH($C2065,[1]Detallado!$B:$B,0))</f>
        <v>RVL</v>
      </c>
      <c r="F2065" s="185" t="s">
        <v>4357</v>
      </c>
      <c r="G2065" s="186" t="str">
        <f t="shared" si="64"/>
        <v>31RVL</v>
      </c>
      <c r="H2065" s="187" t="str">
        <f>+INDEX([1]Detallado!$D:$D,MATCH(C2065,[1]Detallado!$B:$B,0))</f>
        <v>Alicorp S.A.</v>
      </c>
      <c r="I2065" s="28"/>
      <c r="J2065" s="184" t="str">
        <f t="shared" si="65"/>
        <v>RVLBU</v>
      </c>
    </row>
    <row r="2066" spans="3:10" x14ac:dyDescent="0.25">
      <c r="C2066" s="28" t="s">
        <v>4274</v>
      </c>
      <c r="D2066" s="188" t="str">
        <f>+INDEX([1]Detallado!$F:$F,MATCH($C2066,[1]Detallado!$B:$B,0))</f>
        <v>Renta Variable</v>
      </c>
      <c r="E2066" s="31" t="str">
        <f>+INDEX([1]Detallado!$Q:$Q,MATCH($C2066,[1]Detallado!$B:$B,0))</f>
        <v>RVL</v>
      </c>
      <c r="F2066" s="185" t="s">
        <v>4357</v>
      </c>
      <c r="G2066" s="186" t="str">
        <f t="shared" si="64"/>
        <v>31RVL</v>
      </c>
      <c r="H2066" s="187" t="str">
        <f>+INDEX([1]Detallado!$D:$D,MATCH(C2066,[1]Detallado!$B:$B,0))</f>
        <v>Union de Cervecerias Peruanas Backus y Johnston S.A.</v>
      </c>
      <c r="I2066" s="28"/>
      <c r="J2066" s="184" t="str">
        <f t="shared" si="65"/>
        <v>RVLBU</v>
      </c>
    </row>
    <row r="2067" spans="3:10" x14ac:dyDescent="0.25">
      <c r="C2067" s="28" t="s">
        <v>424</v>
      </c>
      <c r="D2067" s="188" t="str">
        <f>+INDEX([1]Detallado!$F:$F,MATCH($C2067,[1]Detallado!$B:$B,0))</f>
        <v>Renta Variable</v>
      </c>
      <c r="E2067" s="31" t="str">
        <f>+INDEX([1]Detallado!$Q:$Q,MATCH($C2067,[1]Detallado!$B:$B,0))</f>
        <v>RVL</v>
      </c>
      <c r="F2067" s="185" t="s">
        <v>4357</v>
      </c>
      <c r="G2067" s="186" t="str">
        <f t="shared" si="64"/>
        <v>30RVL</v>
      </c>
      <c r="H2067" s="187" t="str">
        <f>+INDEX([1]Detallado!$D:$D,MATCH(C2067,[1]Detallado!$B:$B,0))</f>
        <v>Inretail Peru Corp</v>
      </c>
      <c r="I2067" s="28"/>
      <c r="J2067" s="184" t="str">
        <f t="shared" si="65"/>
        <v>RVLBU</v>
      </c>
    </row>
    <row r="2068" spans="3:10" x14ac:dyDescent="0.25">
      <c r="C2068" s="28" t="s">
        <v>4275</v>
      </c>
      <c r="D2068" s="188" t="str">
        <f>+INDEX([1]Detallado!$F:$F,MATCH($C2068,[1]Detallado!$B:$B,0))</f>
        <v>Renta Variable</v>
      </c>
      <c r="E2068" s="31" t="str">
        <f>+INDEX([1]Detallado!$Q:$Q,MATCH($C2068,[1]Detallado!$B:$B,0))</f>
        <v>RVL</v>
      </c>
      <c r="F2068" s="185" t="s">
        <v>4357</v>
      </c>
      <c r="G2068" s="186" t="str">
        <f t="shared" si="64"/>
        <v>30RVL</v>
      </c>
      <c r="H2068" s="187" t="str">
        <f>+INDEX([1]Detallado!$D:$D,MATCH(C2068,[1]Detallado!$B:$B,0))</f>
        <v>Refinería La Pampilla S.A.</v>
      </c>
      <c r="I2068" s="28"/>
      <c r="J2068" s="184" t="str">
        <f t="shared" si="65"/>
        <v>RVLBU</v>
      </c>
    </row>
    <row r="2069" spans="3:10" x14ac:dyDescent="0.25">
      <c r="C2069" s="28" t="s">
        <v>4276</v>
      </c>
      <c r="D2069" s="188" t="str">
        <f>+INDEX([1]Detallado!$F:$F,MATCH($C2069,[1]Detallado!$B:$B,0))</f>
        <v>Renta Variable</v>
      </c>
      <c r="E2069" s="31" t="str">
        <f>+INDEX([1]Detallado!$Q:$Q,MATCH($C2069,[1]Detallado!$B:$B,0))</f>
        <v>RVL</v>
      </c>
      <c r="F2069" s="185" t="s">
        <v>4357</v>
      </c>
      <c r="G2069" s="186" t="str">
        <f t="shared" si="64"/>
        <v>30RVL</v>
      </c>
      <c r="H2069" s="187" t="str">
        <f>+INDEX([1]Detallado!$D:$D,MATCH(C2069,[1]Detallado!$B:$B,0))</f>
        <v>Maple Energy</v>
      </c>
      <c r="I2069" s="28"/>
      <c r="J2069" s="184" t="str">
        <f t="shared" si="65"/>
        <v>RVLBU</v>
      </c>
    </row>
    <row r="2070" spans="3:10" x14ac:dyDescent="0.25">
      <c r="C2070" s="28" t="s">
        <v>4277</v>
      </c>
      <c r="D2070" s="188" t="str">
        <f>+INDEX([1]Detallado!$F:$F,MATCH($C2070,[1]Detallado!$B:$B,0))</f>
        <v>Renta Variable</v>
      </c>
      <c r="E2070" s="31" t="str">
        <f>+INDEX([1]Detallado!$Q:$Q,MATCH($C2070,[1]Detallado!$B:$B,0))</f>
        <v>RVL</v>
      </c>
      <c r="F2070" s="185" t="s">
        <v>4357</v>
      </c>
      <c r="G2070" s="186" t="str">
        <f t="shared" si="64"/>
        <v>40RVL</v>
      </c>
      <c r="H2070" s="187" t="str">
        <f>+INDEX([1]Detallado!$D:$D,MATCH(C2070,[1]Detallado!$B:$B,0))</f>
        <v>Refinería La Pampilla S.A.</v>
      </c>
      <c r="I2070" s="28"/>
      <c r="J2070" s="184" t="str">
        <f t="shared" si="65"/>
        <v>RVLBU</v>
      </c>
    </row>
    <row r="2071" spans="3:10" x14ac:dyDescent="0.25">
      <c r="C2071" s="28" t="s">
        <v>4278</v>
      </c>
      <c r="D2071" s="188" t="str">
        <f>+INDEX([1]Detallado!$F:$F,MATCH($C2071,[1]Detallado!$B:$B,0))</f>
        <v>Renta Variable</v>
      </c>
      <c r="E2071" s="31" t="str">
        <f>+INDEX([1]Detallado!$Q:$Q,MATCH($C2071,[1]Detallado!$B:$B,0))</f>
        <v>RVL</v>
      </c>
      <c r="F2071" s="185" t="s">
        <v>4357</v>
      </c>
      <c r="G2071" s="186" t="str">
        <f t="shared" si="64"/>
        <v>30RVL</v>
      </c>
      <c r="H2071" s="187" t="str">
        <f>+INDEX([1]Detallado!$D:$D,MATCH(C2071,[1]Detallado!$B:$B,0))</f>
        <v>Scotiabank</v>
      </c>
      <c r="I2071" s="28"/>
      <c r="J2071" s="184" t="str">
        <f t="shared" si="65"/>
        <v>RVLBU</v>
      </c>
    </row>
    <row r="2072" spans="3:10" x14ac:dyDescent="0.25">
      <c r="C2072" s="28" t="s">
        <v>452</v>
      </c>
      <c r="D2072" s="188" t="str">
        <f>+INDEX([1]Detallado!$F:$F,MATCH($C2072,[1]Detallado!$B:$B,0))</f>
        <v>Renta Variable</v>
      </c>
      <c r="E2072" s="31" t="str">
        <f>+INDEX([1]Detallado!$Q:$Q,MATCH($C2072,[1]Detallado!$B:$B,0))</f>
        <v>RVL</v>
      </c>
      <c r="F2072" s="185" t="s">
        <v>4357</v>
      </c>
      <c r="G2072" s="186" t="str">
        <f t="shared" si="64"/>
        <v>30RVL</v>
      </c>
      <c r="H2072" s="187" t="str">
        <f>+INDEX([1]Detallado!$D:$D,MATCH(C2072,[1]Detallado!$B:$B,0))</f>
        <v>Banco Continental</v>
      </c>
      <c r="I2072" s="28"/>
      <c r="J2072" s="184" t="str">
        <f t="shared" si="65"/>
        <v>RVLBU</v>
      </c>
    </row>
    <row r="2073" spans="3:10" x14ac:dyDescent="0.25">
      <c r="C2073" s="28" t="s">
        <v>4279</v>
      </c>
      <c r="D2073" s="188" t="str">
        <f>+INDEX([1]Detallado!$F:$F,MATCH($C2073,[1]Detallado!$B:$B,0))</f>
        <v>Renta Variable</v>
      </c>
      <c r="E2073" s="31" t="str">
        <f>+INDEX([1]Detallado!$Q:$Q,MATCH($C2073,[1]Detallado!$B:$B,0))</f>
        <v>RVL</v>
      </c>
      <c r="F2073" s="185" t="s">
        <v>4357</v>
      </c>
      <c r="G2073" s="186" t="str">
        <f t="shared" si="64"/>
        <v>30RVL</v>
      </c>
      <c r="H2073" s="187" t="str">
        <f>+INDEX([1]Detallado!$D:$D,MATCH(C2073,[1]Detallado!$B:$B,0))</f>
        <v>Intergroup</v>
      </c>
      <c r="I2073" s="28"/>
      <c r="J2073" s="184" t="str">
        <f t="shared" si="65"/>
        <v>RVLBU</v>
      </c>
    </row>
    <row r="2074" spans="3:10" x14ac:dyDescent="0.25">
      <c r="C2074" s="28" t="s">
        <v>477</v>
      </c>
      <c r="D2074" s="188" t="str">
        <f>+INDEX([1]Detallado!$F:$F,MATCH($C2074,[1]Detallado!$B:$B,0))</f>
        <v>Renta Variable</v>
      </c>
      <c r="E2074" s="31" t="str">
        <f>+INDEX([1]Detallado!$Q:$Q,MATCH($C2074,[1]Detallado!$B:$B,0))</f>
        <v>RVL</v>
      </c>
      <c r="F2074" s="185" t="s">
        <v>4357</v>
      </c>
      <c r="G2074" s="186" t="str">
        <f t="shared" si="64"/>
        <v>30RVL</v>
      </c>
      <c r="H2074" s="187" t="str">
        <f>+INDEX([1]Detallado!$D:$D,MATCH(C2074,[1]Detallado!$B:$B,0))</f>
        <v>Intergroup</v>
      </c>
      <c r="I2074" s="28"/>
      <c r="J2074" s="184" t="str">
        <f t="shared" si="65"/>
        <v>RVLBU</v>
      </c>
    </row>
    <row r="2075" spans="3:10" x14ac:dyDescent="0.25">
      <c r="C2075" s="28" t="s">
        <v>458</v>
      </c>
      <c r="D2075" s="188" t="str">
        <f>+INDEX([1]Detallado!$F:$F,MATCH($C2075,[1]Detallado!$B:$B,0))</f>
        <v>Renta Variable</v>
      </c>
      <c r="E2075" s="31" t="str">
        <f>+INDEX([1]Detallado!$Q:$Q,MATCH($C2075,[1]Detallado!$B:$B,0))</f>
        <v>RVL</v>
      </c>
      <c r="F2075" s="185" t="s">
        <v>4357</v>
      </c>
      <c r="G2075" s="186" t="str">
        <f t="shared" si="64"/>
        <v>30RVL</v>
      </c>
      <c r="H2075" s="187" t="str">
        <f>+INDEX([1]Detallado!$D:$D,MATCH(C2075,[1]Detallado!$B:$B,0))</f>
        <v>Credicorp LTD.</v>
      </c>
      <c r="I2075" s="28"/>
      <c r="J2075" s="184" t="str">
        <f t="shared" si="65"/>
        <v>RVLBU</v>
      </c>
    </row>
    <row r="2076" spans="3:10" x14ac:dyDescent="0.25">
      <c r="C2076" s="28" t="s">
        <v>447</v>
      </c>
      <c r="D2076" s="188" t="str">
        <f>+INDEX([1]Detallado!$F:$F,MATCH($C2076,[1]Detallado!$B:$B,0))</f>
        <v>Renta Variable</v>
      </c>
      <c r="E2076" s="31" t="str">
        <f>+INDEX([1]Detallado!$Q:$Q,MATCH($C2076,[1]Detallado!$B:$B,0))</f>
        <v>RVL</v>
      </c>
      <c r="F2076" s="185" t="s">
        <v>4357</v>
      </c>
      <c r="G2076" s="186" t="str">
        <f t="shared" si="64"/>
        <v>30RVL</v>
      </c>
      <c r="H2076" s="187" t="str">
        <f>+INDEX([1]Detallado!$D:$D,MATCH(C2076,[1]Detallado!$B:$B,0))</f>
        <v>Unión Andina de Cementos</v>
      </c>
      <c r="I2076" s="28"/>
      <c r="J2076" s="184" t="str">
        <f t="shared" si="65"/>
        <v>RVLBU</v>
      </c>
    </row>
    <row r="2077" spans="3:10" x14ac:dyDescent="0.25">
      <c r="C2077" s="28" t="s">
        <v>4280</v>
      </c>
      <c r="D2077" s="188" t="str">
        <f>+INDEX([1]Detallado!$F:$F,MATCH($C2077,[1]Detallado!$B:$B,0))</f>
        <v>Renta Variable</v>
      </c>
      <c r="E2077" s="31" t="str">
        <f>+INDEX([1]Detallado!$Q:$Q,MATCH($C2077,[1]Detallado!$B:$B,0))</f>
        <v>RVL</v>
      </c>
      <c r="F2077" s="185" t="s">
        <v>4357</v>
      </c>
      <c r="G2077" s="186" t="str">
        <f t="shared" si="64"/>
        <v>4BRVL</v>
      </c>
      <c r="H2077" s="187" t="str">
        <f>+INDEX([1]Detallado!$D:$D,MATCH(C2077,[1]Detallado!$B:$B,0))</f>
        <v>Aenza SA</v>
      </c>
      <c r="I2077" s="28"/>
      <c r="J2077" s="184" t="str">
        <f t="shared" si="65"/>
        <v>RVLBU</v>
      </c>
    </row>
    <row r="2078" spans="3:10" x14ac:dyDescent="0.25">
      <c r="C2078" s="28" t="s">
        <v>472</v>
      </c>
      <c r="D2078" s="188" t="str">
        <f>+INDEX([1]Detallado!$F:$F,MATCH($C2078,[1]Detallado!$B:$B,0))</f>
        <v>Renta Variable</v>
      </c>
      <c r="E2078" s="31" t="str">
        <f>+INDEX([1]Detallado!$Q:$Q,MATCH($C2078,[1]Detallado!$B:$B,0))</f>
        <v>RVL</v>
      </c>
      <c r="F2078" s="185" t="s">
        <v>4357</v>
      </c>
      <c r="G2078" s="186" t="str">
        <f t="shared" si="64"/>
        <v>30RVL</v>
      </c>
      <c r="H2078" s="187" t="str">
        <f>+INDEX([1]Detallado!$D:$D,MATCH(C2078,[1]Detallado!$B:$B,0))</f>
        <v>Graña y Montero S.A.A.</v>
      </c>
      <c r="I2078" s="28"/>
      <c r="J2078" s="184" t="str">
        <f t="shared" si="65"/>
        <v>RVLBU</v>
      </c>
    </row>
    <row r="2079" spans="3:10" x14ac:dyDescent="0.25">
      <c r="C2079" s="28" t="s">
        <v>4281</v>
      </c>
      <c r="D2079" s="188" t="str">
        <f>+INDEX([1]Detallado!$F:$F,MATCH($C2079,[1]Detallado!$B:$B,0))</f>
        <v>Renta Variable</v>
      </c>
      <c r="E2079" s="31" t="str">
        <f>+INDEX([1]Detallado!$Q:$Q,MATCH($C2079,[1]Detallado!$B:$B,0))</f>
        <v>RVL</v>
      </c>
      <c r="F2079" s="185" t="s">
        <v>4357</v>
      </c>
      <c r="G2079" s="186" t="str">
        <f t="shared" si="64"/>
        <v>40RVL</v>
      </c>
      <c r="H2079" s="187" t="str">
        <f>+INDEX([1]Detallado!$D:$D,MATCH(C2079,[1]Detallado!$B:$B,0))</f>
        <v>Graña y Montero S.A.A.</v>
      </c>
      <c r="I2079" s="28"/>
      <c r="J2079" s="184" t="str">
        <f t="shared" si="65"/>
        <v>RVLBU</v>
      </c>
    </row>
    <row r="2080" spans="3:10" x14ac:dyDescent="0.25">
      <c r="C2080" s="28" t="s">
        <v>4282</v>
      </c>
      <c r="D2080" s="188" t="str">
        <f>+INDEX([1]Detallado!$F:$F,MATCH($C2080,[1]Detallado!$B:$B,0))</f>
        <v>Renta Variable</v>
      </c>
      <c r="E2080" s="31" t="str">
        <f>+INDEX([1]Detallado!$Q:$Q,MATCH($C2080,[1]Detallado!$B:$B,0))</f>
        <v>RVL</v>
      </c>
      <c r="F2080" s="185" t="s">
        <v>4357</v>
      </c>
      <c r="G2080" s="186" t="str">
        <f t="shared" si="64"/>
        <v>40RVL</v>
      </c>
      <c r="H2080" s="187" t="str">
        <f>+INDEX([1]Detallado!$D:$D,MATCH(C2080,[1]Detallado!$B:$B,0))</f>
        <v>Graña y Montero S.A.A.</v>
      </c>
      <c r="I2080" s="28"/>
      <c r="J2080" s="184" t="str">
        <f t="shared" si="65"/>
        <v>RVLBU</v>
      </c>
    </row>
    <row r="2081" spans="3:10" x14ac:dyDescent="0.25">
      <c r="C2081" s="28" t="s">
        <v>4283</v>
      </c>
      <c r="D2081" s="188" t="str">
        <f>+INDEX([1]Detallado!$F:$F,MATCH($C2081,[1]Detallado!$B:$B,0))</f>
        <v>Renta Variable</v>
      </c>
      <c r="E2081" s="31" t="str">
        <f>+INDEX([1]Detallado!$Q:$Q,MATCH($C2081,[1]Detallado!$B:$B,0))</f>
        <v>RVL</v>
      </c>
      <c r="F2081" s="185" t="s">
        <v>4357</v>
      </c>
      <c r="G2081" s="186" t="str">
        <f t="shared" si="64"/>
        <v>31RVL</v>
      </c>
      <c r="H2081" s="187" t="str">
        <f>+INDEX([1]Detallado!$D:$D,MATCH(C2081,[1]Detallado!$B:$B,0))</f>
        <v>CORPORACION ACEROS AREQUIPA S.A.</v>
      </c>
      <c r="I2081" s="28"/>
      <c r="J2081" s="184" t="str">
        <f t="shared" si="65"/>
        <v>RVLBU</v>
      </c>
    </row>
    <row r="2082" spans="3:10" x14ac:dyDescent="0.25">
      <c r="C2082" s="28" t="s">
        <v>455</v>
      </c>
      <c r="D2082" s="188" t="str">
        <f>+INDEX([1]Detallado!$F:$F,MATCH($C2082,[1]Detallado!$B:$B,0))</f>
        <v>Renta Variable</v>
      </c>
      <c r="E2082" s="31" t="str">
        <f>+INDEX([1]Detallado!$Q:$Q,MATCH($C2082,[1]Detallado!$B:$B,0))</f>
        <v>RVL</v>
      </c>
      <c r="F2082" s="185" t="s">
        <v>4357</v>
      </c>
      <c r="G2082" s="186" t="str">
        <f t="shared" si="64"/>
        <v>30RVL</v>
      </c>
      <c r="H2082" s="187" t="str">
        <f>+INDEX([1]Detallado!$D:$D,MATCH(C2082,[1]Detallado!$B:$B,0))</f>
        <v>Cementos Pacasmayo-CM</v>
      </c>
      <c r="I2082" s="28"/>
      <c r="J2082" s="184" t="str">
        <f t="shared" si="65"/>
        <v>RVLBU</v>
      </c>
    </row>
    <row r="2083" spans="3:10" x14ac:dyDescent="0.25">
      <c r="C2083" s="28" t="s">
        <v>429</v>
      </c>
      <c r="D2083" s="188" t="str">
        <f>+INDEX([1]Detallado!$F:$F,MATCH($C2083,[1]Detallado!$B:$B,0))</f>
        <v>Renta Variable</v>
      </c>
      <c r="E2083" s="31" t="str">
        <f>+INDEX([1]Detallado!$Q:$Q,MATCH($C2083,[1]Detallado!$B:$B,0))</f>
        <v>RVL</v>
      </c>
      <c r="F2083" s="185" t="s">
        <v>4357</v>
      </c>
      <c r="G2083" s="186" t="str">
        <f t="shared" si="64"/>
        <v>30RVL</v>
      </c>
      <c r="H2083" s="187" t="str">
        <f>+INDEX([1]Detallado!$D:$D,MATCH(C2083,[1]Detallado!$B:$B,0))</f>
        <v>Ferreyros S.A.A.</v>
      </c>
      <c r="I2083" s="28"/>
      <c r="J2083" s="184" t="str">
        <f t="shared" si="65"/>
        <v>RVLBU</v>
      </c>
    </row>
    <row r="2084" spans="3:10" x14ac:dyDescent="0.25">
      <c r="C2084" s="28" t="s">
        <v>4284</v>
      </c>
      <c r="D2084" s="188" t="str">
        <f>+INDEX([1]Detallado!$F:$F,MATCH($C2084,[1]Detallado!$B:$B,0))</f>
        <v>Renta Variable</v>
      </c>
      <c r="E2084" s="31" t="str">
        <f>+INDEX([1]Detallado!$Q:$Q,MATCH($C2084,[1]Detallado!$B:$B,0))</f>
        <v>RVL</v>
      </c>
      <c r="F2084" s="185" t="s">
        <v>4357</v>
      </c>
      <c r="G2084" s="186" t="str">
        <f t="shared" si="64"/>
        <v>31RVL</v>
      </c>
      <c r="H2084" s="187" t="str">
        <f>+INDEX([1]Detallado!$D:$D,MATCH(C2084,[1]Detallado!$B:$B,0))</f>
        <v>Cementos Pacasmayo-IN</v>
      </c>
      <c r="I2084" s="28"/>
      <c r="J2084" s="184" t="str">
        <f t="shared" si="65"/>
        <v>RVLBU</v>
      </c>
    </row>
    <row r="2085" spans="3:10" x14ac:dyDescent="0.25">
      <c r="C2085" s="28" t="s">
        <v>4285</v>
      </c>
      <c r="D2085" s="188" t="str">
        <f>+INDEX([1]Detallado!$F:$F,MATCH($C2085,[1]Detallado!$B:$B,0))</f>
        <v>Renta Variable</v>
      </c>
      <c r="E2085" s="31" t="str">
        <f>+INDEX([1]Detallado!$Q:$Q,MATCH($C2085,[1]Detallado!$B:$B,0))</f>
        <v>RVL</v>
      </c>
      <c r="F2085" s="185" t="s">
        <v>4357</v>
      </c>
      <c r="G2085" s="186" t="str">
        <f t="shared" si="64"/>
        <v>32RVL</v>
      </c>
      <c r="H2085" s="187" t="str">
        <f>+INDEX([1]Detallado!$D:$D,MATCH(C2085,[1]Detallado!$B:$B,0))</f>
        <v>Graña y Montero S.A.A.</v>
      </c>
      <c r="I2085" s="28"/>
      <c r="J2085" s="184" t="str">
        <f t="shared" si="65"/>
        <v>RVLBU</v>
      </c>
    </row>
    <row r="2086" spans="3:10" x14ac:dyDescent="0.25">
      <c r="C2086" s="28" t="s">
        <v>509</v>
      </c>
      <c r="D2086" s="188" t="str">
        <f>+INDEX([1]Detallado!$F:$F,MATCH($C2086,[1]Detallado!$B:$B,0))</f>
        <v>Renta Variable</v>
      </c>
      <c r="E2086" s="31" t="str">
        <f>+INDEX([1]Detallado!$Q:$Q,MATCH($C2086,[1]Detallado!$B:$B,0))</f>
        <v>RVL</v>
      </c>
      <c r="F2086" s="185" t="s">
        <v>4357</v>
      </c>
      <c r="G2086" s="186" t="str">
        <f t="shared" si="64"/>
        <v>32RVL</v>
      </c>
      <c r="H2086" s="187" t="str">
        <f>+INDEX([1]Detallado!$D:$D,MATCH(C2086,[1]Detallado!$B:$B,0))</f>
        <v>Cementos Pacasmayo-ADR</v>
      </c>
      <c r="I2086" s="28"/>
      <c r="J2086" s="184" t="str">
        <f t="shared" si="65"/>
        <v>RVLBU</v>
      </c>
    </row>
    <row r="2087" spans="3:10" x14ac:dyDescent="0.25">
      <c r="C2087" s="28" t="s">
        <v>493</v>
      </c>
      <c r="D2087" s="188" t="str">
        <f>+INDEX([1]Detallado!$F:$F,MATCH($C2087,[1]Detallado!$B:$B,0))</f>
        <v>Renta Variable</v>
      </c>
      <c r="E2087" s="31" t="str">
        <f>+INDEX([1]Detallado!$Q:$Q,MATCH($C2087,[1]Detallado!$B:$B,0))</f>
        <v>RVL</v>
      </c>
      <c r="F2087" s="185" t="s">
        <v>4357</v>
      </c>
      <c r="G2087" s="186" t="str">
        <f t="shared" si="64"/>
        <v>31RVL</v>
      </c>
      <c r="H2087" s="187" t="str">
        <f>+INDEX([1]Detallado!$D:$D,MATCH(C2087,[1]Detallado!$B:$B,0))</f>
        <v>El Comercio</v>
      </c>
      <c r="I2087" s="28"/>
      <c r="J2087" s="184" t="str">
        <f t="shared" si="65"/>
        <v>RVLBU</v>
      </c>
    </row>
    <row r="2088" spans="3:10" x14ac:dyDescent="0.25">
      <c r="C2088" s="28" t="s">
        <v>488</v>
      </c>
      <c r="D2088" s="188" t="str">
        <f>+INDEX([1]Detallado!$F:$F,MATCH($C2088,[1]Detallado!$B:$B,0))</f>
        <v>Renta Variable</v>
      </c>
      <c r="E2088" s="31" t="str">
        <f>+INDEX([1]Detallado!$Q:$Q,MATCH($C2088,[1]Detallado!$B:$B,0))</f>
        <v>RVL</v>
      </c>
      <c r="F2088" s="185" t="s">
        <v>4357</v>
      </c>
      <c r="G2088" s="186" t="str">
        <f t="shared" si="64"/>
        <v>30RVL</v>
      </c>
      <c r="H2088" s="187" t="str">
        <f>+INDEX([1]Detallado!$D:$D,MATCH(C2088,[1]Detallado!$B:$B,0))</f>
        <v>Volcan A</v>
      </c>
      <c r="I2088" s="28"/>
      <c r="J2088" s="184" t="str">
        <f t="shared" si="65"/>
        <v>RVLBU</v>
      </c>
    </row>
    <row r="2089" spans="3:10" x14ac:dyDescent="0.25">
      <c r="C2089" s="28" t="s">
        <v>485</v>
      </c>
      <c r="D2089" s="188" t="str">
        <f>+INDEX([1]Detallado!$F:$F,MATCH($C2089,[1]Detallado!$B:$B,0))</f>
        <v>Renta Variable</v>
      </c>
      <c r="E2089" s="31" t="str">
        <f>+INDEX([1]Detallado!$Q:$Q,MATCH($C2089,[1]Detallado!$B:$B,0))</f>
        <v>RVL</v>
      </c>
      <c r="F2089" s="185" t="s">
        <v>4357</v>
      </c>
      <c r="G2089" s="186" t="str">
        <f t="shared" si="64"/>
        <v>30RVL</v>
      </c>
      <c r="H2089" s="187" t="str">
        <f>+INDEX([1]Detallado!$D:$D,MATCH(C2089,[1]Detallado!$B:$B,0))</f>
        <v>Volcan B</v>
      </c>
      <c r="I2089" s="28"/>
      <c r="J2089" s="184" t="str">
        <f t="shared" si="65"/>
        <v>RVLBU</v>
      </c>
    </row>
    <row r="2090" spans="3:10" x14ac:dyDescent="0.25">
      <c r="C2090" s="28" t="s">
        <v>437</v>
      </c>
      <c r="D2090" s="188" t="str">
        <f>+INDEX([1]Detallado!$F:$F,MATCH($C2090,[1]Detallado!$B:$B,0))</f>
        <v>Renta Variable</v>
      </c>
      <c r="E2090" s="31" t="str">
        <f>+INDEX([1]Detallado!$Q:$Q,MATCH($C2090,[1]Detallado!$B:$B,0))</f>
        <v>RVL</v>
      </c>
      <c r="F2090" s="185" t="s">
        <v>4357</v>
      </c>
      <c r="G2090" s="186" t="str">
        <f t="shared" si="64"/>
        <v>30RVL</v>
      </c>
      <c r="H2090" s="187" t="str">
        <f>+INDEX([1]Detallado!$D:$D,MATCH(C2090,[1]Detallado!$B:$B,0))</f>
        <v>Atacocha A</v>
      </c>
      <c r="I2090" s="28"/>
      <c r="J2090" s="184" t="str">
        <f t="shared" si="65"/>
        <v>RVLBU</v>
      </c>
    </row>
    <row r="2091" spans="3:10" x14ac:dyDescent="0.25">
      <c r="C2091" s="28" t="s">
        <v>4286</v>
      </c>
      <c r="D2091" s="188" t="str">
        <f>+INDEX([1]Detallado!$F:$F,MATCH($C2091,[1]Detallado!$B:$B,0))</f>
        <v>Renta Variable</v>
      </c>
      <c r="E2091" s="31" t="str">
        <f>+INDEX([1]Detallado!$Q:$Q,MATCH($C2091,[1]Detallado!$B:$B,0))</f>
        <v>RVL</v>
      </c>
      <c r="F2091" s="185" t="s">
        <v>4357</v>
      </c>
      <c r="G2091" s="186" t="str">
        <f t="shared" si="64"/>
        <v>30RVL</v>
      </c>
      <c r="H2091" s="187" t="str">
        <f>+INDEX([1]Detallado!$D:$D,MATCH(C2091,[1]Detallado!$B:$B,0))</f>
        <v>Atacocha B</v>
      </c>
      <c r="I2091" s="28"/>
      <c r="J2091" s="184" t="str">
        <f t="shared" si="65"/>
        <v>RVLBU</v>
      </c>
    </row>
    <row r="2092" spans="3:10" x14ac:dyDescent="0.25">
      <c r="C2092" s="28" t="s">
        <v>4287</v>
      </c>
      <c r="D2092" s="188" t="str">
        <f>+INDEX([1]Detallado!$F:$F,MATCH($C2092,[1]Detallado!$B:$B,0))</f>
        <v>Renta Variable</v>
      </c>
      <c r="E2092" s="31" t="str">
        <f>+INDEX([1]Detallado!$Q:$Q,MATCH($C2092,[1]Detallado!$B:$B,0))</f>
        <v>RVL</v>
      </c>
      <c r="F2092" s="185" t="s">
        <v>4357</v>
      </c>
      <c r="G2092" s="186" t="str">
        <f t="shared" si="64"/>
        <v>30RVL</v>
      </c>
      <c r="H2092" s="187" t="str">
        <f>+INDEX([1]Detallado!$D:$D,MATCH(C2092,[1]Detallado!$B:$B,0))</f>
        <v>Brocal - CM</v>
      </c>
      <c r="I2092" s="28"/>
      <c r="J2092" s="184" t="str">
        <f t="shared" si="65"/>
        <v>RVLBU</v>
      </c>
    </row>
    <row r="2093" spans="3:10" x14ac:dyDescent="0.25">
      <c r="C2093" s="28" t="s">
        <v>480</v>
      </c>
      <c r="D2093" s="188" t="str">
        <f>+INDEX([1]Detallado!$F:$F,MATCH($C2093,[1]Detallado!$B:$B,0))</f>
        <v>Renta Variable</v>
      </c>
      <c r="E2093" s="31" t="str">
        <f>+INDEX([1]Detallado!$Q:$Q,MATCH($C2093,[1]Detallado!$B:$B,0))</f>
        <v>RVL</v>
      </c>
      <c r="F2093" s="185" t="s">
        <v>4357</v>
      </c>
      <c r="G2093" s="186" t="str">
        <f t="shared" si="64"/>
        <v>30RVL</v>
      </c>
      <c r="H2093" s="187" t="str">
        <f>+INDEX([1]Detallado!$D:$D,MATCH(C2093,[1]Detallado!$B:$B,0))</f>
        <v>Nexa Perú (Milpo)</v>
      </c>
      <c r="I2093" s="28"/>
      <c r="J2093" s="184" t="str">
        <f t="shared" si="65"/>
        <v>RVLBU</v>
      </c>
    </row>
    <row r="2094" spans="3:10" x14ac:dyDescent="0.25">
      <c r="C2094" s="28" t="s">
        <v>498</v>
      </c>
      <c r="D2094" s="188" t="str">
        <f>+INDEX([1]Detallado!$F:$F,MATCH($C2094,[1]Detallado!$B:$B,0))</f>
        <v>Renta Variable</v>
      </c>
      <c r="E2094" s="31" t="str">
        <f>+INDEX([1]Detallado!$Q:$Q,MATCH($C2094,[1]Detallado!$B:$B,0))</f>
        <v>RVL</v>
      </c>
      <c r="F2094" s="185" t="s">
        <v>4357</v>
      </c>
      <c r="G2094" s="186" t="str">
        <f t="shared" si="64"/>
        <v>31RVL</v>
      </c>
      <c r="H2094" s="187" t="str">
        <f>+INDEX([1]Detallado!$D:$D,MATCH(C2094,[1]Detallado!$B:$B,0))</f>
        <v>Minsur S.A.</v>
      </c>
      <c r="I2094" s="28"/>
      <c r="J2094" s="184" t="str">
        <f t="shared" si="65"/>
        <v>RVLBU</v>
      </c>
    </row>
    <row r="2095" spans="3:10" x14ac:dyDescent="0.25">
      <c r="C2095" s="28" t="s">
        <v>442</v>
      </c>
      <c r="D2095" s="188" t="str">
        <f>+INDEX([1]Detallado!$F:$F,MATCH($C2095,[1]Detallado!$B:$B,0))</f>
        <v>Renta Variable</v>
      </c>
      <c r="E2095" s="31" t="str">
        <f>+INDEX([1]Detallado!$Q:$Q,MATCH($C2095,[1]Detallado!$B:$B,0))</f>
        <v>RVL</v>
      </c>
      <c r="F2095" s="185" t="s">
        <v>4357</v>
      </c>
      <c r="G2095" s="186" t="str">
        <f t="shared" si="64"/>
        <v>30RVL</v>
      </c>
      <c r="H2095" s="187" t="str">
        <f>+INDEX([1]Detallado!$D:$D,MATCH(C2095,[1]Detallado!$B:$B,0))</f>
        <v>Sociedad Minera Cerro Verde S.A.A.</v>
      </c>
      <c r="I2095" s="28"/>
      <c r="J2095" s="184" t="str">
        <f t="shared" si="65"/>
        <v>RVLBU</v>
      </c>
    </row>
    <row r="2096" spans="3:10" x14ac:dyDescent="0.25">
      <c r="C2096" s="28" t="s">
        <v>4288</v>
      </c>
      <c r="D2096" s="188" t="str">
        <f>+INDEX([1]Detallado!$F:$F,MATCH($C2096,[1]Detallado!$B:$B,0))</f>
        <v>Renta Variable</v>
      </c>
      <c r="E2096" s="31" t="str">
        <f>+INDEX([1]Detallado!$Q:$Q,MATCH($C2096,[1]Detallado!$B:$B,0))</f>
        <v>RVL</v>
      </c>
      <c r="F2096" s="185" t="s">
        <v>4357</v>
      </c>
      <c r="G2096" s="186" t="str">
        <f t="shared" si="64"/>
        <v>39RVL</v>
      </c>
      <c r="H2096" s="187" t="str">
        <f>+INDEX([1]Detallado!$D:$D,MATCH(C2096,[1]Detallado!$B:$B,0))</f>
        <v>Sierra Metals Inc</v>
      </c>
      <c r="I2096" s="28"/>
      <c r="J2096" s="184" t="str">
        <f t="shared" si="65"/>
        <v>RVLBU</v>
      </c>
    </row>
    <row r="2097" spans="3:10" x14ac:dyDescent="0.25">
      <c r="C2097" s="28" t="s">
        <v>4289</v>
      </c>
      <c r="D2097" s="188" t="str">
        <f>+INDEX([1]Detallado!$F:$F,MATCH($C2097,[1]Detallado!$B:$B,0))</f>
        <v>Renta Variable</v>
      </c>
      <c r="E2097" s="31" t="str">
        <f>+INDEX([1]Detallado!$Q:$Q,MATCH($C2097,[1]Detallado!$B:$B,0))</f>
        <v>RVL</v>
      </c>
      <c r="F2097" s="185" t="s">
        <v>4357</v>
      </c>
      <c r="G2097" s="186" t="str">
        <f t="shared" si="64"/>
        <v>39RVL</v>
      </c>
      <c r="H2097" s="187" t="str">
        <f>+INDEX([1]Detallado!$D:$D,MATCH(C2097,[1]Detallado!$B:$B,0))</f>
        <v>Sierra Metals Inc</v>
      </c>
      <c r="I2097" s="28"/>
      <c r="J2097" s="184" t="str">
        <f t="shared" si="65"/>
        <v>RVLBU</v>
      </c>
    </row>
    <row r="2098" spans="3:10" x14ac:dyDescent="0.25">
      <c r="C2098" s="28" t="s">
        <v>520</v>
      </c>
      <c r="D2098" s="188" t="str">
        <f>+INDEX([1]Detallado!$F:$F,MATCH($C2098,[1]Detallado!$B:$B,0))</f>
        <v>Renta Variable</v>
      </c>
      <c r="E2098" s="31" t="str">
        <f>+INDEX([1]Detallado!$Q:$Q,MATCH($C2098,[1]Detallado!$B:$B,0))</f>
        <v>RVL</v>
      </c>
      <c r="F2098" s="185" t="s">
        <v>4357</v>
      </c>
      <c r="G2098" s="186" t="str">
        <f t="shared" si="64"/>
        <v>39RVL</v>
      </c>
      <c r="H2098" s="187" t="str">
        <f>+INDEX([1]Detallado!$D:$D,MATCH(C2098,[1]Detallado!$B:$B,0))</f>
        <v>Nexa ADR</v>
      </c>
      <c r="I2098" s="28"/>
      <c r="J2098" s="184" t="str">
        <f t="shared" si="65"/>
        <v>RVLBU</v>
      </c>
    </row>
    <row r="2099" spans="3:10" x14ac:dyDescent="0.25">
      <c r="C2099" s="28" t="s">
        <v>4290</v>
      </c>
      <c r="D2099" s="188" t="str">
        <f>+INDEX([1]Detallado!$F:$F,MATCH($C2099,[1]Detallado!$B:$B,0))</f>
        <v>Renta Variable</v>
      </c>
      <c r="E2099" s="31" t="str">
        <f>+INDEX([1]Detallado!$Q:$Q,MATCH($C2099,[1]Detallado!$B:$B,0))</f>
        <v>RVL</v>
      </c>
      <c r="F2099" s="185" t="s">
        <v>4357</v>
      </c>
      <c r="G2099" s="186" t="str">
        <f t="shared" si="64"/>
        <v>40RVL</v>
      </c>
      <c r="H2099" s="187" t="str">
        <f>+INDEX([1]Detallado!$D:$D,MATCH(C2099,[1]Detallado!$B:$B,0))</f>
        <v>Sociedad Minera El Brocal</v>
      </c>
      <c r="I2099" s="28"/>
      <c r="J2099" s="184" t="str">
        <f t="shared" si="65"/>
        <v>RVLBU</v>
      </c>
    </row>
    <row r="2100" spans="3:10" x14ac:dyDescent="0.25">
      <c r="C2100" s="28" t="s">
        <v>4291</v>
      </c>
      <c r="D2100" s="188" t="str">
        <f>+INDEX([1]Detallado!$F:$F,MATCH($C2100,[1]Detallado!$B:$B,0))</f>
        <v>Renta Variable</v>
      </c>
      <c r="E2100" s="31" t="str">
        <f>+INDEX([1]Detallado!$Q:$Q,MATCH($C2100,[1]Detallado!$B:$B,0))</f>
        <v>RVL</v>
      </c>
      <c r="F2100" s="185" t="s">
        <v>4357</v>
      </c>
      <c r="G2100" s="186" t="str">
        <f t="shared" si="64"/>
        <v>40RVL</v>
      </c>
      <c r="H2100" s="187" t="str">
        <f>+INDEX([1]Detallado!$D:$D,MATCH(C2100,[1]Detallado!$B:$B,0))</f>
        <v>Sociedad Minera El Brocal</v>
      </c>
      <c r="I2100" s="28"/>
      <c r="J2100" s="184" t="str">
        <f t="shared" si="65"/>
        <v>RVLBU</v>
      </c>
    </row>
    <row r="2101" spans="3:10" x14ac:dyDescent="0.25">
      <c r="C2101" s="28" t="s">
        <v>439</v>
      </c>
      <c r="D2101" s="188" t="str">
        <f>+INDEX([1]Detallado!$F:$F,MATCH($C2101,[1]Detallado!$B:$B,0))</f>
        <v>Renta Variable</v>
      </c>
      <c r="E2101" s="31" t="str">
        <f>+INDEX([1]Detallado!$Q:$Q,MATCH($C2101,[1]Detallado!$B:$B,0))</f>
        <v>RVL</v>
      </c>
      <c r="F2101" s="185" t="s">
        <v>4357</v>
      </c>
      <c r="G2101" s="186" t="str">
        <f t="shared" si="64"/>
        <v>30RVL</v>
      </c>
      <c r="H2101" s="187" t="str">
        <f>+INDEX([1]Detallado!$D:$D,MATCH(C2101,[1]Detallado!$B:$B,0))</f>
        <v>Buenaventura</v>
      </c>
      <c r="I2101" s="28"/>
      <c r="J2101" s="184" t="str">
        <f t="shared" si="65"/>
        <v>RVLBU</v>
      </c>
    </row>
    <row r="2102" spans="3:10" x14ac:dyDescent="0.25">
      <c r="C2102" s="28" t="s">
        <v>4292</v>
      </c>
      <c r="D2102" s="188" t="str">
        <f>+INDEX([1]Detallado!$F:$F,MATCH($C2102,[1]Detallado!$B:$B,0))</f>
        <v>Renta Variable</v>
      </c>
      <c r="E2102" s="31" t="str">
        <f>+INDEX([1]Detallado!$Q:$Q,MATCH($C2102,[1]Detallado!$B:$B,0))</f>
        <v>RVL</v>
      </c>
      <c r="F2102" s="185" t="s">
        <v>4357</v>
      </c>
      <c r="G2102" s="186" t="str">
        <f t="shared" si="64"/>
        <v>30RVL</v>
      </c>
      <c r="H2102" s="187" t="str">
        <f>+INDEX([1]Detallado!$D:$D,MATCH(C2102,[1]Detallado!$B:$B,0))</f>
        <v>Hocshild Minning Corp.</v>
      </c>
      <c r="I2102" s="28"/>
      <c r="J2102" s="184" t="str">
        <f t="shared" si="65"/>
        <v>RVLBU</v>
      </c>
    </row>
    <row r="2103" spans="3:10" x14ac:dyDescent="0.25">
      <c r="C2103" s="28" t="s">
        <v>506</v>
      </c>
      <c r="D2103" s="188" t="str">
        <f>+INDEX([1]Detallado!$F:$F,MATCH($C2103,[1]Detallado!$B:$B,0))</f>
        <v>Renta Variable</v>
      </c>
      <c r="E2103" s="31" t="str">
        <f>+INDEX([1]Detallado!$Q:$Q,MATCH($C2103,[1]Detallado!$B:$B,0))</f>
        <v>RVL</v>
      </c>
      <c r="F2103" s="185" t="s">
        <v>4357</v>
      </c>
      <c r="G2103" s="186" t="str">
        <f t="shared" si="64"/>
        <v>32RVL</v>
      </c>
      <c r="H2103" s="187" t="str">
        <f>+INDEX([1]Detallado!$D:$D,MATCH(C2103,[1]Detallado!$B:$B,0))</f>
        <v>Buenaventura ADR</v>
      </c>
      <c r="I2103" s="28"/>
      <c r="J2103" s="184" t="str">
        <f t="shared" si="65"/>
        <v>RVLBU</v>
      </c>
    </row>
    <row r="2104" spans="3:10" x14ac:dyDescent="0.25">
      <c r="C2104" s="28" t="s">
        <v>4293</v>
      </c>
      <c r="D2104" s="188" t="str">
        <f>+INDEX([1]Detallado!$F:$F,MATCH($C2104,[1]Detallado!$B:$B,0))</f>
        <v>Renta Variable</v>
      </c>
      <c r="E2104" s="31" t="str">
        <f>+INDEX([1]Detallado!$Q:$Q,MATCH($C2104,[1]Detallado!$B:$B,0))</f>
        <v>RVL</v>
      </c>
      <c r="F2104" s="185" t="s">
        <v>4357</v>
      </c>
      <c r="G2104" s="186" t="str">
        <f t="shared" si="64"/>
        <v>4ARVL</v>
      </c>
      <c r="H2104" s="187" t="str">
        <f>+INDEX([1]Detallado!$D:$D,MATCH(C2104,[1]Detallado!$B:$B,0))</f>
        <v>Hocshild Minning Corp.</v>
      </c>
      <c r="I2104" s="28"/>
      <c r="J2104" s="184" t="str">
        <f t="shared" si="65"/>
        <v>RVLBU</v>
      </c>
    </row>
    <row r="2105" spans="3:10" x14ac:dyDescent="0.25">
      <c r="C2105" s="28" t="s">
        <v>4294</v>
      </c>
      <c r="D2105" s="188" t="str">
        <f>+INDEX([1]Detallado!$F:$F,MATCH($C2105,[1]Detallado!$B:$B,0))</f>
        <v>Renta Variable</v>
      </c>
      <c r="E2105" s="31" t="str">
        <f>+INDEX([1]Detallado!$Q:$Q,MATCH($C2105,[1]Detallado!$B:$B,0))</f>
        <v>RVL</v>
      </c>
      <c r="F2105" s="185" t="s">
        <v>4357</v>
      </c>
      <c r="G2105" s="186" t="str">
        <f t="shared" si="64"/>
        <v>30RVL</v>
      </c>
      <c r="H2105" s="187" t="str">
        <f>+INDEX([1]Detallado!$D:$D,MATCH(C2105,[1]Detallado!$B:$B,0))</f>
        <v>Fossal SA</v>
      </c>
      <c r="I2105" s="28"/>
      <c r="J2105" s="184" t="str">
        <f t="shared" si="65"/>
        <v>RVLBU</v>
      </c>
    </row>
    <row r="2106" spans="3:10" x14ac:dyDescent="0.25">
      <c r="C2106" s="28" t="s">
        <v>503</v>
      </c>
      <c r="D2106" s="188" t="str">
        <f>+INDEX([1]Detallado!$F:$F,MATCH($C2106,[1]Detallado!$B:$B,0))</f>
        <v>Renta Variable</v>
      </c>
      <c r="E2106" s="31" t="str">
        <f>+INDEX([1]Detallado!$Q:$Q,MATCH($C2106,[1]Detallado!$B:$B,0))</f>
        <v>RVL</v>
      </c>
      <c r="F2106" s="185" t="s">
        <v>4357</v>
      </c>
      <c r="G2106" s="186" t="str">
        <f t="shared" si="64"/>
        <v>32RVL</v>
      </c>
      <c r="H2106" s="187" t="str">
        <f>+INDEX([1]Detallado!$D:$D,MATCH(C2106,[1]Detallado!$B:$B,0))</f>
        <v>Fossal SA</v>
      </c>
      <c r="I2106" s="28"/>
      <c r="J2106" s="184" t="str">
        <f t="shared" si="65"/>
        <v>RVLBU</v>
      </c>
    </row>
    <row r="2107" spans="3:10" x14ac:dyDescent="0.25">
      <c r="C2107" s="28" t="s">
        <v>4295</v>
      </c>
      <c r="D2107" s="188" t="str">
        <f>+INDEX([1]Detallado!$F:$F,MATCH($C2107,[1]Detallado!$B:$B,0))</f>
        <v>Renta Variable</v>
      </c>
      <c r="E2107" s="31" t="str">
        <f>+INDEX([1]Detallado!$Q:$Q,MATCH($C2107,[1]Detallado!$B:$B,0))</f>
        <v>RVL</v>
      </c>
      <c r="F2107" s="185" t="s">
        <v>4357</v>
      </c>
      <c r="G2107" s="186" t="str">
        <f t="shared" si="64"/>
        <v>30RVL</v>
      </c>
      <c r="H2107" s="187" t="str">
        <f>+INDEX([1]Detallado!$D:$D,MATCH(C2107,[1]Detallado!$B:$B,0))</f>
        <v>Exalmar</v>
      </c>
      <c r="I2107" s="28"/>
      <c r="J2107" s="184" t="str">
        <f t="shared" si="65"/>
        <v>RVLBU</v>
      </c>
    </row>
    <row r="2108" spans="3:10" x14ac:dyDescent="0.25">
      <c r="C2108" s="28" t="s">
        <v>4296</v>
      </c>
      <c r="D2108" s="188" t="str">
        <f>+INDEX([1]Detallado!$F:$F,MATCH($C2108,[1]Detallado!$B:$B,0))</f>
        <v>Renta Variable</v>
      </c>
      <c r="E2108" s="31" t="str">
        <f>+INDEX([1]Detallado!$Q:$Q,MATCH($C2108,[1]Detallado!$B:$B,0))</f>
        <v>RVL</v>
      </c>
      <c r="F2108" s="185" t="s">
        <v>4357</v>
      </c>
      <c r="G2108" s="186" t="str">
        <f t="shared" si="64"/>
        <v>30RVL</v>
      </c>
      <c r="H2108" s="187" t="str">
        <f>+INDEX([1]Detallado!$D:$D,MATCH(C2108,[1]Detallado!$B:$B,0))</f>
        <v>Luz del Sur S.A.A.</v>
      </c>
      <c r="I2108" s="28"/>
      <c r="J2108" s="184" t="str">
        <f t="shared" si="65"/>
        <v>RVLBU</v>
      </c>
    </row>
    <row r="2109" spans="3:10" x14ac:dyDescent="0.25">
      <c r="C2109" s="28" t="s">
        <v>466</v>
      </c>
      <c r="D2109" s="188" t="str">
        <f>+INDEX([1]Detallado!$F:$F,MATCH($C2109,[1]Detallado!$B:$B,0))</f>
        <v>Renta Variable</v>
      </c>
      <c r="E2109" s="31" t="str">
        <f>+INDEX([1]Detallado!$Q:$Q,MATCH($C2109,[1]Detallado!$B:$B,0))</f>
        <v>RVL</v>
      </c>
      <c r="F2109" s="185" t="s">
        <v>4357</v>
      </c>
      <c r="G2109" s="186" t="str">
        <f t="shared" si="64"/>
        <v>30RVL</v>
      </c>
      <c r="H2109" s="187" t="str">
        <f>+INDEX([1]Detallado!$D:$D,MATCH(C2109,[1]Detallado!$B:$B,0))</f>
        <v>Edelnor S.A.A.</v>
      </c>
      <c r="I2109" s="28"/>
      <c r="J2109" s="184" t="str">
        <f t="shared" si="65"/>
        <v>RVLBU</v>
      </c>
    </row>
    <row r="2110" spans="3:10" x14ac:dyDescent="0.25">
      <c r="C2110" s="28" t="s">
        <v>462</v>
      </c>
      <c r="D2110" s="188" t="str">
        <f>+INDEX([1]Detallado!$F:$F,MATCH($C2110,[1]Detallado!$B:$B,0))</f>
        <v>Renta Variable</v>
      </c>
      <c r="E2110" s="31" t="str">
        <f>+INDEX([1]Detallado!$Q:$Q,MATCH($C2110,[1]Detallado!$B:$B,0))</f>
        <v>RVL</v>
      </c>
      <c r="F2110" s="185" t="s">
        <v>4357</v>
      </c>
      <c r="G2110" s="186" t="str">
        <f t="shared" si="64"/>
        <v>30RVL</v>
      </c>
      <c r="H2110" s="187" t="str">
        <f>+INDEX([1]Detallado!$D:$D,MATCH(C2110,[1]Detallado!$B:$B,0))</f>
        <v>Edegel S.A.A.</v>
      </c>
      <c r="I2110" s="28"/>
      <c r="J2110" s="184" t="str">
        <f t="shared" si="65"/>
        <v>RVLBU</v>
      </c>
    </row>
    <row r="2111" spans="3:10" x14ac:dyDescent="0.25">
      <c r="C2111" s="28" t="s">
        <v>469</v>
      </c>
      <c r="D2111" s="188" t="str">
        <f>+INDEX([1]Detallado!$F:$F,MATCH($C2111,[1]Detallado!$B:$B,0))</f>
        <v>Renta Variable</v>
      </c>
      <c r="E2111" s="31" t="str">
        <f>+INDEX([1]Detallado!$Q:$Q,MATCH($C2111,[1]Detallado!$B:$B,0))</f>
        <v>RVL</v>
      </c>
      <c r="F2111" s="185" t="s">
        <v>4357</v>
      </c>
      <c r="G2111" s="186" t="str">
        <f t="shared" si="64"/>
        <v>30RVL</v>
      </c>
      <c r="H2111" s="187" t="str">
        <f>+INDEX([1]Detallado!$D:$D,MATCH(C2111,[1]Detallado!$B:$B,0))</f>
        <v>Energía del Sur S.A.</v>
      </c>
      <c r="I2111" s="28"/>
      <c r="J2111" s="184" t="str">
        <f t="shared" si="65"/>
        <v>RVLBU</v>
      </c>
    </row>
    <row r="2112" spans="3:10" x14ac:dyDescent="0.25">
      <c r="C2112" s="28" t="s">
        <v>4297</v>
      </c>
      <c r="D2112" s="188" t="str">
        <f>+INDEX([1]Detallado!$F:$F,MATCH($C2112,[1]Detallado!$B:$B,0))</f>
        <v>Renta Variable</v>
      </c>
      <c r="E2112" s="31" t="str">
        <f>+INDEX([1]Detallado!$Q:$Q,MATCH($C2112,[1]Detallado!$B:$B,0))</f>
        <v>RVI</v>
      </c>
      <c r="F2112" s="185" t="s">
        <v>4357</v>
      </c>
      <c r="G2112" s="186" t="str">
        <f t="shared" si="64"/>
        <v>34RVI</v>
      </c>
      <c r="H2112" s="187" t="str">
        <f>+INDEX([1]Detallado!$D:$D,MATCH(C2112,[1]Detallado!$B:$B,0))</f>
        <v>Teck Resources Ltd</v>
      </c>
      <c r="I2112" s="28"/>
      <c r="J2112" s="184" t="str">
        <f t="shared" si="65"/>
        <v>RVIBU</v>
      </c>
    </row>
    <row r="2113" spans="3:10" x14ac:dyDescent="0.25">
      <c r="C2113" s="28" t="s">
        <v>4298</v>
      </c>
      <c r="D2113" s="188" t="str">
        <f>+INDEX([1]Detallado!$F:$F,MATCH($C2113,[1]Detallado!$B:$B,0))</f>
        <v>Renta Variable</v>
      </c>
      <c r="E2113" s="31" t="str">
        <f>+INDEX([1]Detallado!$Q:$Q,MATCH($C2113,[1]Detallado!$B:$B,0))</f>
        <v>RVI</v>
      </c>
      <c r="F2113" s="185" t="s">
        <v>4357</v>
      </c>
      <c r="G2113" s="186" t="str">
        <f t="shared" si="64"/>
        <v>34RVI</v>
      </c>
      <c r="H2113" s="187" t="str">
        <f>+INDEX([1]Detallado!$D:$D,MATCH(C2113,[1]Detallado!$B:$B,0))</f>
        <v>Alco</v>
      </c>
      <c r="I2113" s="28"/>
      <c r="J2113" s="184" t="str">
        <f t="shared" si="65"/>
        <v>RVIBU</v>
      </c>
    </row>
    <row r="2114" spans="3:10" x14ac:dyDescent="0.25">
      <c r="C2114" s="28" t="s">
        <v>4299</v>
      </c>
      <c r="D2114" s="188" t="str">
        <f>+INDEX([1]Detallado!$F:$F,MATCH($C2114,[1]Detallado!$B:$B,0))</f>
        <v>Renta Variable</v>
      </c>
      <c r="E2114" s="31" t="str">
        <f>+INDEX([1]Detallado!$Q:$Q,MATCH($C2114,[1]Detallado!$B:$B,0))</f>
        <v>RVI</v>
      </c>
      <c r="F2114" s="185" t="s">
        <v>4357</v>
      </c>
      <c r="G2114" s="186" t="str">
        <f t="shared" si="64"/>
        <v>34RVI</v>
      </c>
      <c r="H2114" s="187" t="str">
        <f>+INDEX([1]Detallado!$D:$D,MATCH(C2114,[1]Detallado!$B:$B,0))</f>
        <v>First Quantum</v>
      </c>
      <c r="I2114" s="28"/>
      <c r="J2114" s="184" t="str">
        <f t="shared" si="65"/>
        <v>RVIBU</v>
      </c>
    </row>
    <row r="2115" spans="3:10" x14ac:dyDescent="0.25">
      <c r="C2115" s="28" t="s">
        <v>1188</v>
      </c>
      <c r="D2115" s="188" t="str">
        <f>+INDEX([1]Detallado!$F:$F,MATCH($C2115,[1]Detallado!$B:$B,0))</f>
        <v>Renta Variable</v>
      </c>
      <c r="E2115" s="31" t="str">
        <f>+INDEX([1]Detallado!$Q:$Q,MATCH($C2115,[1]Detallado!$B:$B,0))</f>
        <v>RVI</v>
      </c>
      <c r="F2115" s="185" t="s">
        <v>4355</v>
      </c>
      <c r="G2115" s="186" t="str">
        <f t="shared" si="64"/>
        <v>52RVI</v>
      </c>
      <c r="H2115" s="187" t="str">
        <f>+INDEX([1]Detallado!$D:$D,MATCH(C2115,[1]Detallado!$B:$B,0))</f>
        <v>State Street - Materials Select Sector</v>
      </c>
      <c r="I2115" s="28"/>
      <c r="J2115" s="184" t="str">
        <f t="shared" si="65"/>
        <v>RVITD</v>
      </c>
    </row>
    <row r="2116" spans="3:10" x14ac:dyDescent="0.25">
      <c r="C2116" s="28" t="s">
        <v>1313</v>
      </c>
      <c r="D2116" s="188" t="str">
        <f>+INDEX([1]Detallado!$F:$F,MATCH($C2116,[1]Detallado!$B:$B,0))</f>
        <v>Renta Variable</v>
      </c>
      <c r="E2116" s="31" t="str">
        <f>+INDEX([1]Detallado!$Q:$Q,MATCH($C2116,[1]Detallado!$B:$B,0))</f>
        <v>RVI</v>
      </c>
      <c r="F2116" s="185" t="s">
        <v>4355</v>
      </c>
      <c r="G2116" s="186" t="str">
        <f t="shared" si="64"/>
        <v>52RVI</v>
      </c>
      <c r="H2116" s="187" t="str">
        <f>+INDEX([1]Detallado!$D:$D,MATCH(C2116,[1]Detallado!$B:$B,0))</f>
        <v>Vanguard - Materials</v>
      </c>
      <c r="I2116" s="28"/>
      <c r="J2116" s="184" t="str">
        <f t="shared" si="65"/>
        <v>RVITD</v>
      </c>
    </row>
    <row r="2117" spans="3:10" x14ac:dyDescent="0.25">
      <c r="C2117" s="28" t="s">
        <v>1477</v>
      </c>
      <c r="D2117" s="188" t="str">
        <f>+INDEX([1]Detallado!$F:$F,MATCH($C2117,[1]Detallado!$B:$B,0))</f>
        <v>Renta Variable</v>
      </c>
      <c r="E2117" s="31" t="str">
        <f>+INDEX([1]Detallado!$Q:$Q,MATCH($C2117,[1]Detallado!$B:$B,0))</f>
        <v>RVI</v>
      </c>
      <c r="F2117" s="185" t="s">
        <v>4355</v>
      </c>
      <c r="G2117" s="186" t="str">
        <f t="shared" si="64"/>
        <v>52RVI</v>
      </c>
      <c r="H2117" s="187" t="str">
        <f>+INDEX([1]Detallado!$D:$D,MATCH(C2117,[1]Detallado!$B:$B,0))</f>
        <v>Global X - Copper Miners ETF</v>
      </c>
      <c r="I2117" s="28"/>
      <c r="J2117" s="184" t="str">
        <f t="shared" si="65"/>
        <v>RVITD</v>
      </c>
    </row>
    <row r="2118" spans="3:10" x14ac:dyDescent="0.25">
      <c r="C2118" s="28" t="s">
        <v>1554</v>
      </c>
      <c r="D2118" s="188" t="str">
        <f>+INDEX([1]Detallado!$F:$F,MATCH($C2118,[1]Detallado!$B:$B,0))</f>
        <v>Renta Variable</v>
      </c>
      <c r="E2118" s="31" t="str">
        <f>+INDEX([1]Detallado!$Q:$Q,MATCH($C2118,[1]Detallado!$B:$B,0))</f>
        <v>RVI</v>
      </c>
      <c r="F2118" s="185" t="s">
        <v>4355</v>
      </c>
      <c r="G2118" s="186" t="str">
        <f t="shared" si="64"/>
        <v>52RVI</v>
      </c>
      <c r="H2118" s="187" t="str">
        <f>+INDEX([1]Detallado!$D:$D,MATCH(C2118,[1]Detallado!$B:$B,0))</f>
        <v>BlackRock - iShares MSCI Global Metals &amp; Mining Producers ETF</v>
      </c>
      <c r="I2118" s="28"/>
      <c r="J2118" s="184" t="str">
        <f t="shared" si="65"/>
        <v>RVITD</v>
      </c>
    </row>
    <row r="2119" spans="3:10" x14ac:dyDescent="0.25">
      <c r="C2119" s="28" t="s">
        <v>1387</v>
      </c>
      <c r="D2119" s="188" t="str">
        <f>+INDEX([1]Detallado!$F:$F,MATCH($C2119,[1]Detallado!$B:$B,0))</f>
        <v>Renta Variable</v>
      </c>
      <c r="E2119" s="31" t="str">
        <f>+INDEX([1]Detallado!$Q:$Q,MATCH($C2119,[1]Detallado!$B:$B,0))</f>
        <v>RVI</v>
      </c>
      <c r="F2119" s="185" t="s">
        <v>4355</v>
      </c>
      <c r="G2119" s="186" t="str">
        <f t="shared" si="64"/>
        <v>52RVI</v>
      </c>
      <c r="H2119" s="187" t="str">
        <f>+INDEX([1]Detallado!$D:$D,MATCH(C2119,[1]Detallado!$B:$B,0))</f>
        <v>State Street - S&amp;P Metals &amp; Mining ETF</v>
      </c>
      <c r="I2119" s="28"/>
      <c r="J2119" s="184" t="str">
        <f t="shared" si="65"/>
        <v>RVITD</v>
      </c>
    </row>
    <row r="2120" spans="3:10" x14ac:dyDescent="0.25">
      <c r="C2120" s="28" t="s">
        <v>4300</v>
      </c>
      <c r="D2120" s="188" t="str">
        <f>+INDEX([1]Detallado!$F:$F,MATCH($C2120,[1]Detallado!$B:$B,0))</f>
        <v>Renta Variable</v>
      </c>
      <c r="E2120" s="31" t="str">
        <f>+INDEX([1]Detallado!$Q:$Q,MATCH($C2120,[1]Detallado!$B:$B,0))</f>
        <v>RVI</v>
      </c>
      <c r="F2120" s="185" t="s">
        <v>4357</v>
      </c>
      <c r="G2120" s="186" t="str">
        <f t="shared" si="64"/>
        <v>34RVI</v>
      </c>
      <c r="H2120" s="187" t="str">
        <f>+INDEX([1]Detallado!$D:$D,MATCH(C2120,[1]Detallado!$B:$B,0))</f>
        <v>Canadian Natural Resources</v>
      </c>
      <c r="I2120" s="28"/>
      <c r="J2120" s="184" t="str">
        <f t="shared" si="65"/>
        <v>RVIBU</v>
      </c>
    </row>
    <row r="2121" spans="3:10" x14ac:dyDescent="0.25">
      <c r="C2121" s="28" t="s">
        <v>4301</v>
      </c>
      <c r="D2121" s="188" t="str">
        <f>+INDEX([1]Detallado!$F:$F,MATCH($C2121,[1]Detallado!$B:$B,0))</f>
        <v>Renta Variable</v>
      </c>
      <c r="E2121" s="31" t="str">
        <f>+INDEX([1]Detallado!$Q:$Q,MATCH($C2121,[1]Detallado!$B:$B,0))</f>
        <v>RVI</v>
      </c>
      <c r="F2121" s="185" t="s">
        <v>4357</v>
      </c>
      <c r="G2121" s="186" t="str">
        <f t="shared" si="64"/>
        <v>34RVI</v>
      </c>
      <c r="H2121" s="187" t="str">
        <f>+INDEX([1]Detallado!$D:$D,MATCH(C2121,[1]Detallado!$B:$B,0))</f>
        <v>EOG Resources Inc.</v>
      </c>
      <c r="I2121" s="28"/>
      <c r="J2121" s="184" t="str">
        <f t="shared" si="65"/>
        <v>RVIBU</v>
      </c>
    </row>
    <row r="2122" spans="3:10" x14ac:dyDescent="0.25">
      <c r="C2122" s="28" t="s">
        <v>4302</v>
      </c>
      <c r="D2122" s="188" t="str">
        <f>+INDEX([1]Detallado!$F:$F,MATCH($C2122,[1]Detallado!$B:$B,0))</f>
        <v>Renta Variable</v>
      </c>
      <c r="E2122" s="31" t="str">
        <f>+INDEX([1]Detallado!$Q:$Q,MATCH($C2122,[1]Detallado!$B:$B,0))</f>
        <v>RVI</v>
      </c>
      <c r="F2122" s="185" t="s">
        <v>4357</v>
      </c>
      <c r="G2122" s="186" t="str">
        <f t="shared" ref="G2122:G2185" si="66">LEFT(C2122,2)&amp;E2122</f>
        <v>34RVI</v>
      </c>
      <c r="H2122" s="187" t="str">
        <f>+INDEX([1]Detallado!$D:$D,MATCH(C2122,[1]Detallado!$B:$B,0))</f>
        <v>Continental Resources Inc.</v>
      </c>
      <c r="I2122" s="28"/>
      <c r="J2122" s="184" t="str">
        <f t="shared" ref="J2122:J2185" si="67">IF(E2122="ALT",LEFT(E2122,3),LEFT(E2122,3)&amp;F2122)</f>
        <v>RVIBU</v>
      </c>
    </row>
    <row r="2123" spans="3:10" x14ac:dyDescent="0.25">
      <c r="C2123" s="28" t="s">
        <v>4303</v>
      </c>
      <c r="D2123" s="188" t="str">
        <f>+INDEX([1]Detallado!$F:$F,MATCH($C2123,[1]Detallado!$B:$B,0))</f>
        <v>Renta Variable</v>
      </c>
      <c r="E2123" s="31" t="str">
        <f>+INDEX([1]Detallado!$Q:$Q,MATCH($C2123,[1]Detallado!$B:$B,0))</f>
        <v>RVI</v>
      </c>
      <c r="F2123" s="185" t="s">
        <v>4357</v>
      </c>
      <c r="G2123" s="186" t="str">
        <f t="shared" si="66"/>
        <v>34RVI</v>
      </c>
      <c r="H2123" s="187" t="str">
        <f>+INDEX([1]Detallado!$D:$D,MATCH(C2123,[1]Detallado!$B:$B,0))</f>
        <v>Concho Resources</v>
      </c>
      <c r="I2123" s="28"/>
      <c r="J2123" s="184" t="str">
        <f t="shared" si="67"/>
        <v>RVIBU</v>
      </c>
    </row>
    <row r="2124" spans="3:10" x14ac:dyDescent="0.25">
      <c r="C2124" s="28" t="s">
        <v>713</v>
      </c>
      <c r="D2124" s="188" t="str">
        <f>+INDEX([1]Detallado!$F:$F,MATCH($C2124,[1]Detallado!$B:$B,0))</f>
        <v>Renta Variable</v>
      </c>
      <c r="E2124" s="31" t="str">
        <f>+INDEX([1]Detallado!$Q:$Q,MATCH($C2124,[1]Detallado!$B:$B,0))</f>
        <v>RVI</v>
      </c>
      <c r="F2124" s="185" t="s">
        <v>4355</v>
      </c>
      <c r="G2124" s="186" t="str">
        <f t="shared" si="66"/>
        <v>52RVI</v>
      </c>
      <c r="H2124" s="187" t="str">
        <f>+INDEX([1]Detallado!$D:$D,MATCH(C2124,[1]Detallado!$B:$B,0))</f>
        <v>State Street - Energy Select Sector</v>
      </c>
      <c r="I2124" s="28"/>
      <c r="J2124" s="184" t="str">
        <f t="shared" si="67"/>
        <v>RVITD</v>
      </c>
    </row>
    <row r="2125" spans="3:10" x14ac:dyDescent="0.25">
      <c r="C2125" s="28" t="s">
        <v>1417</v>
      </c>
      <c r="D2125" s="188" t="str">
        <f>+INDEX([1]Detallado!$F:$F,MATCH($C2125,[1]Detallado!$B:$B,0))</f>
        <v>Renta Variable</v>
      </c>
      <c r="E2125" s="31" t="str">
        <f>+INDEX([1]Detallado!$Q:$Q,MATCH($C2125,[1]Detallado!$B:$B,0))</f>
        <v>RVI</v>
      </c>
      <c r="F2125" s="185" t="s">
        <v>4355</v>
      </c>
      <c r="G2125" s="186" t="str">
        <f t="shared" si="66"/>
        <v>52RVI</v>
      </c>
      <c r="H2125" s="187" t="str">
        <f>+INDEX([1]Detallado!$D:$D,MATCH(C2125,[1]Detallado!$B:$B,0))</f>
        <v>First Trust - AlphaDex Energy</v>
      </c>
      <c r="I2125" s="28"/>
      <c r="J2125" s="184" t="str">
        <f t="shared" si="67"/>
        <v>RVITD</v>
      </c>
    </row>
    <row r="2126" spans="3:10" x14ac:dyDescent="0.25">
      <c r="C2126" s="28" t="s">
        <v>1389</v>
      </c>
      <c r="D2126" s="188" t="str">
        <f>+INDEX([1]Detallado!$F:$F,MATCH($C2126,[1]Detallado!$B:$B,0))</f>
        <v>Renta Variable</v>
      </c>
      <c r="E2126" s="31" t="str">
        <f>+INDEX([1]Detallado!$Q:$Q,MATCH($C2126,[1]Detallado!$B:$B,0))</f>
        <v>RVI</v>
      </c>
      <c r="F2126" s="185" t="s">
        <v>4355</v>
      </c>
      <c r="G2126" s="186" t="str">
        <f t="shared" si="66"/>
        <v>52RVI</v>
      </c>
      <c r="H2126" s="187" t="str">
        <f>+INDEX([1]Detallado!$D:$D,MATCH(C2126,[1]Detallado!$B:$B,0))</f>
        <v>State Street - Oil &amp; Gas Exploration &amp; Production</v>
      </c>
      <c r="I2126" s="28"/>
      <c r="J2126" s="184" t="str">
        <f t="shared" si="67"/>
        <v>RVITD</v>
      </c>
    </row>
    <row r="2127" spans="3:10" x14ac:dyDescent="0.25">
      <c r="C2127" s="28" t="s">
        <v>718</v>
      </c>
      <c r="D2127" s="188" t="str">
        <f>+INDEX([1]Detallado!$F:$F,MATCH($C2127,[1]Detallado!$B:$B,0))</f>
        <v>Renta Variable</v>
      </c>
      <c r="E2127" s="31" t="str">
        <f>+INDEX([1]Detallado!$Q:$Q,MATCH($C2127,[1]Detallado!$B:$B,0))</f>
        <v>RVI</v>
      </c>
      <c r="F2127" s="185" t="s">
        <v>4355</v>
      </c>
      <c r="G2127" s="186" t="str">
        <f t="shared" si="66"/>
        <v>52RVI</v>
      </c>
      <c r="H2127" s="187" t="str">
        <f>+INDEX([1]Detallado!$D:$D,MATCH(C2127,[1]Detallado!$B:$B,0))</f>
        <v>State Street - Oil &amp; Gas Exploration</v>
      </c>
      <c r="I2127" s="28"/>
      <c r="J2127" s="184" t="str">
        <f t="shared" si="67"/>
        <v>RVITD</v>
      </c>
    </row>
    <row r="2128" spans="3:10" x14ac:dyDescent="0.25">
      <c r="C2128" s="28" t="s">
        <v>1305</v>
      </c>
      <c r="D2128" s="188" t="str">
        <f>+INDEX([1]Detallado!$F:$F,MATCH($C2128,[1]Detallado!$B:$B,0))</f>
        <v>Renta Variable</v>
      </c>
      <c r="E2128" s="31" t="str">
        <f>+INDEX([1]Detallado!$Q:$Q,MATCH($C2128,[1]Detallado!$B:$B,0))</f>
        <v>RVI</v>
      </c>
      <c r="F2128" s="185" t="s">
        <v>4355</v>
      </c>
      <c r="G2128" s="186" t="str">
        <f t="shared" si="66"/>
        <v>52RVI</v>
      </c>
      <c r="H2128" s="187" t="str">
        <f>+INDEX([1]Detallado!$D:$D,MATCH(C2128,[1]Detallado!$B:$B,0))</f>
        <v>Vanguard - Energy</v>
      </c>
      <c r="I2128" s="28"/>
      <c r="J2128" s="184" t="str">
        <f t="shared" si="67"/>
        <v>RVITD</v>
      </c>
    </row>
    <row r="2129" spans="3:10" x14ac:dyDescent="0.25">
      <c r="C2129" s="28" t="s">
        <v>4304</v>
      </c>
      <c r="D2129" s="188" t="str">
        <f>+INDEX([1]Detallado!$F:$F,MATCH($C2129,[1]Detallado!$B:$B,0))</f>
        <v>Renta Variable</v>
      </c>
      <c r="E2129" s="31" t="str">
        <f>+INDEX([1]Detallado!$Q:$Q,MATCH($C2129,[1]Detallado!$B:$B,0))</f>
        <v>RVI</v>
      </c>
      <c r="F2129" s="185"/>
      <c r="G2129" s="186" t="str">
        <f t="shared" si="66"/>
        <v>PRRVI</v>
      </c>
      <c r="H2129" s="187" t="str">
        <f>+INDEX([1]Detallado!$D:$D,MATCH(C2129,[1]Detallado!$B:$B,0))</f>
        <v>Proxys FM</v>
      </c>
      <c r="I2129" s="28"/>
      <c r="J2129" s="184" t="str">
        <f t="shared" si="67"/>
        <v>RVI</v>
      </c>
    </row>
    <row r="2130" spans="3:10" x14ac:dyDescent="0.25">
      <c r="C2130" s="28" t="s">
        <v>4305</v>
      </c>
      <c r="D2130" s="188" t="str">
        <f>+INDEX([1]Detallado!$F:$F,MATCH($C2130,[1]Detallado!$B:$B,0))</f>
        <v>Renta Variable</v>
      </c>
      <c r="E2130" s="31" t="str">
        <f>+INDEX([1]Detallado!$Q:$Q,MATCH($C2130,[1]Detallado!$B:$B,0))</f>
        <v>RVI</v>
      </c>
      <c r="F2130" s="185" t="s">
        <v>4357</v>
      </c>
      <c r="G2130" s="186" t="str">
        <f t="shared" si="66"/>
        <v>34RVI</v>
      </c>
      <c r="H2130" s="187" t="str">
        <f>+INDEX([1]Detallado!$D:$D,MATCH(C2130,[1]Detallado!$B:$B,0))</f>
        <v>Tesoro Corp.</v>
      </c>
      <c r="I2130" s="28"/>
      <c r="J2130" s="184" t="str">
        <f t="shared" si="67"/>
        <v>RVIBU</v>
      </c>
    </row>
    <row r="2131" spans="3:10" x14ac:dyDescent="0.25">
      <c r="C2131" s="28" t="s">
        <v>4306</v>
      </c>
      <c r="D2131" s="188" t="str">
        <f>+INDEX([1]Detallado!$F:$F,MATCH($C2131,[1]Detallado!$B:$B,0))</f>
        <v>Renta Variable</v>
      </c>
      <c r="E2131" s="31" t="str">
        <f>+INDEX([1]Detallado!$Q:$Q,MATCH($C2131,[1]Detallado!$B:$B,0))</f>
        <v>RVI</v>
      </c>
      <c r="F2131" s="185" t="s">
        <v>4357</v>
      </c>
      <c r="G2131" s="186" t="str">
        <f t="shared" si="66"/>
        <v>34RVI</v>
      </c>
      <c r="H2131" s="187" t="str">
        <f>+INDEX([1]Detallado!$D:$D,MATCH(C2131,[1]Detallado!$B:$B,0))</f>
        <v>Halliburton Co.</v>
      </c>
      <c r="I2131" s="28"/>
      <c r="J2131" s="184" t="str">
        <f t="shared" si="67"/>
        <v>RVIBU</v>
      </c>
    </row>
    <row r="2132" spans="3:10" x14ac:dyDescent="0.25">
      <c r="C2132" s="28" t="s">
        <v>4307</v>
      </c>
      <c r="D2132" s="188" t="str">
        <f>+INDEX([1]Detallado!$F:$F,MATCH($C2132,[1]Detallado!$B:$B,0))</f>
        <v>Renta Variable</v>
      </c>
      <c r="E2132" s="31" t="str">
        <f>+INDEX([1]Detallado!$Q:$Q,MATCH($C2132,[1]Detallado!$B:$B,0))</f>
        <v>RVI</v>
      </c>
      <c r="F2132" s="185" t="s">
        <v>4357</v>
      </c>
      <c r="G2132" s="186" t="str">
        <f t="shared" si="66"/>
        <v>34RVI</v>
      </c>
      <c r="H2132" s="187" t="str">
        <f>+INDEX([1]Detallado!$D:$D,MATCH(C2132,[1]Detallado!$B:$B,0))</f>
        <v>Schlumberger Ltd.</v>
      </c>
      <c r="I2132" s="28"/>
      <c r="J2132" s="184" t="str">
        <f t="shared" si="67"/>
        <v>RVIBU</v>
      </c>
    </row>
    <row r="2133" spans="3:10" x14ac:dyDescent="0.25">
      <c r="C2133" s="28" t="s">
        <v>4308</v>
      </c>
      <c r="D2133" s="188" t="str">
        <f>+INDEX([1]Detallado!$F:$F,MATCH($C2133,[1]Detallado!$B:$B,0))</f>
        <v>Renta Variable</v>
      </c>
      <c r="E2133" s="31" t="str">
        <f>+INDEX([1]Detallado!$Q:$Q,MATCH($C2133,[1]Detallado!$B:$B,0))</f>
        <v>RVI</v>
      </c>
      <c r="F2133" s="185" t="s">
        <v>4357</v>
      </c>
      <c r="G2133" s="186" t="str">
        <f t="shared" si="66"/>
        <v>34RVI</v>
      </c>
      <c r="H2133" s="187" t="str">
        <f>+INDEX([1]Detallado!$D:$D,MATCH(C2133,[1]Detallado!$B:$B,0))</f>
        <v>Baker Hughes Inc.</v>
      </c>
      <c r="I2133" s="28"/>
      <c r="J2133" s="184" t="str">
        <f t="shared" si="67"/>
        <v>RVIBU</v>
      </c>
    </row>
    <row r="2134" spans="3:10" x14ac:dyDescent="0.25">
      <c r="C2134" s="28" t="s">
        <v>1551</v>
      </c>
      <c r="D2134" s="188" t="str">
        <f>+INDEX([1]Detallado!$F:$F,MATCH($C2134,[1]Detallado!$B:$B,0))</f>
        <v>Renta Variable</v>
      </c>
      <c r="E2134" s="31" t="str">
        <f>+INDEX([1]Detallado!$Q:$Q,MATCH($C2134,[1]Detallado!$B:$B,0))</f>
        <v>RVI</v>
      </c>
      <c r="F2134" s="185" t="s">
        <v>4355</v>
      </c>
      <c r="G2134" s="186" t="str">
        <f t="shared" si="66"/>
        <v>52RVI</v>
      </c>
      <c r="H2134" s="187" t="str">
        <f>+INDEX([1]Detallado!$D:$D,MATCH(C2134,[1]Detallado!$B:$B,0))</f>
        <v>VanEck - Oil Services ETF</v>
      </c>
      <c r="I2134" s="28"/>
      <c r="J2134" s="184" t="str">
        <f t="shared" si="67"/>
        <v>RVITD</v>
      </c>
    </row>
    <row r="2135" spans="3:10" x14ac:dyDescent="0.25">
      <c r="C2135" s="28" t="s">
        <v>4309</v>
      </c>
      <c r="D2135" s="188" t="str">
        <f>+INDEX([1]Detallado!$F:$F,MATCH($C2135,[1]Detallado!$B:$B,0))</f>
        <v>Renta Variable</v>
      </c>
      <c r="E2135" s="31" t="str">
        <f>+INDEX([1]Detallado!$Q:$Q,MATCH($C2135,[1]Detallado!$B:$B,0))</f>
        <v>RVI</v>
      </c>
      <c r="F2135" s="185" t="s">
        <v>4355</v>
      </c>
      <c r="G2135" s="186" t="str">
        <f t="shared" si="66"/>
        <v>52RVI</v>
      </c>
      <c r="H2135" s="187" t="str">
        <f>+INDEX([1]Detallado!$D:$D,MATCH(C2135,[1]Detallado!$B:$B,0))</f>
        <v>VanEck - Oil Services ETF</v>
      </c>
      <c r="I2135" s="28"/>
      <c r="J2135" s="184" t="str">
        <f t="shared" si="67"/>
        <v>RVITD</v>
      </c>
    </row>
    <row r="2136" spans="3:10" x14ac:dyDescent="0.25">
      <c r="C2136" s="28" t="s">
        <v>603</v>
      </c>
      <c r="D2136" s="188" t="str">
        <f>+INDEX([1]Detallado!$F:$F,MATCH($C2136,[1]Detallado!$B:$B,0))</f>
        <v>Renta Variable</v>
      </c>
      <c r="E2136" s="31" t="str">
        <f>+INDEX([1]Detallado!$Q:$Q,MATCH($C2136,[1]Detallado!$B:$B,0))</f>
        <v>RVI</v>
      </c>
      <c r="F2136" s="185" t="s">
        <v>4355</v>
      </c>
      <c r="G2136" s="186" t="str">
        <f t="shared" si="66"/>
        <v>52RVI</v>
      </c>
      <c r="H2136" s="187" t="str">
        <f>+INDEX([1]Detallado!$D:$D,MATCH(C2136,[1]Detallado!$B:$B,0))</f>
        <v>BlackRock - iShares US Oil &amp; Gas Exploration and Production</v>
      </c>
      <c r="I2136" s="28"/>
      <c r="J2136" s="184" t="str">
        <f t="shared" si="67"/>
        <v>RVITD</v>
      </c>
    </row>
    <row r="2137" spans="3:10" x14ac:dyDescent="0.25">
      <c r="C2137" s="28" t="s">
        <v>1269</v>
      </c>
      <c r="D2137" s="188" t="str">
        <f>+INDEX([1]Detallado!$F:$F,MATCH($C2137,[1]Detallado!$B:$B,0))</f>
        <v>Renta Variable</v>
      </c>
      <c r="E2137" s="31" t="str">
        <f>+INDEX([1]Detallado!$Q:$Q,MATCH($C2137,[1]Detallado!$B:$B,0))</f>
        <v>RVI</v>
      </c>
      <c r="F2137" s="185" t="s">
        <v>4355</v>
      </c>
      <c r="G2137" s="186" t="str">
        <f t="shared" si="66"/>
        <v>52RVI</v>
      </c>
      <c r="H2137" s="187" t="str">
        <f>+INDEX([1]Detallado!$D:$D,MATCH(C2137,[1]Detallado!$B:$B,0))</f>
        <v>BlackRock - iShares Global Energy ETF</v>
      </c>
      <c r="I2137" s="28"/>
      <c r="J2137" s="184" t="str">
        <f t="shared" si="67"/>
        <v>RVITD</v>
      </c>
    </row>
    <row r="2138" spans="3:10" x14ac:dyDescent="0.25">
      <c r="C2138" s="28" t="s">
        <v>1343</v>
      </c>
      <c r="D2138" s="188" t="str">
        <f>+INDEX([1]Detallado!$F:$F,MATCH($C2138,[1]Detallado!$B:$B,0))</f>
        <v>Renta Variable</v>
      </c>
      <c r="E2138" s="31" t="str">
        <f>+INDEX([1]Detallado!$Q:$Q,MATCH($C2138,[1]Detallado!$B:$B,0))</f>
        <v>RVI</v>
      </c>
      <c r="F2138" s="185" t="s">
        <v>4355</v>
      </c>
      <c r="G2138" s="186" t="str">
        <f t="shared" si="66"/>
        <v>52RVI</v>
      </c>
      <c r="H2138" s="187" t="str">
        <f>+INDEX([1]Detallado!$D:$D,MATCH(C2138,[1]Detallado!$B:$B,0))</f>
        <v>BlackRock - iShares US Oil Equipment &amp; Services</v>
      </c>
      <c r="I2138" s="28"/>
      <c r="J2138" s="184" t="str">
        <f t="shared" si="67"/>
        <v>RVITD</v>
      </c>
    </row>
    <row r="2139" spans="3:10" x14ac:dyDescent="0.25">
      <c r="C2139" s="28" t="s">
        <v>4310</v>
      </c>
      <c r="D2139" s="188" t="str">
        <f>+INDEX([1]Detallado!$F:$F,MATCH($C2139,[1]Detallado!$B:$B,0))</f>
        <v>Renta Variable</v>
      </c>
      <c r="E2139" s="31" t="str">
        <f>+INDEX([1]Detallado!$Q:$Q,MATCH($C2139,[1]Detallado!$B:$B,0))</f>
        <v>RVI</v>
      </c>
      <c r="F2139" s="185" t="s">
        <v>4357</v>
      </c>
      <c r="G2139" s="186" t="str">
        <f t="shared" si="66"/>
        <v>34RVI</v>
      </c>
      <c r="H2139" s="187" t="str">
        <f>+INDEX([1]Detallado!$D:$D,MATCH(C2139,[1]Detallado!$B:$B,0))</f>
        <v>The Mosaic Company</v>
      </c>
      <c r="I2139" s="28"/>
      <c r="J2139" s="184" t="str">
        <f t="shared" si="67"/>
        <v>RVIBU</v>
      </c>
    </row>
    <row r="2140" spans="3:10" x14ac:dyDescent="0.25">
      <c r="C2140" s="28" t="s">
        <v>1557</v>
      </c>
      <c r="D2140" s="188" t="str">
        <f>+INDEX([1]Detallado!$F:$F,MATCH($C2140,[1]Detallado!$B:$B,0))</f>
        <v>Renta Variable</v>
      </c>
      <c r="E2140" s="31" t="str">
        <f>+INDEX([1]Detallado!$Q:$Q,MATCH($C2140,[1]Detallado!$B:$B,0))</f>
        <v>RVI</v>
      </c>
      <c r="F2140" s="185" t="s">
        <v>4355</v>
      </c>
      <c r="G2140" s="186" t="str">
        <f t="shared" si="66"/>
        <v>52RVI</v>
      </c>
      <c r="H2140" s="187" t="str">
        <f>+INDEX([1]Detallado!$D:$D,MATCH(C2140,[1]Detallado!$B:$B,0))</f>
        <v>BlackRock - iShares MSCI Agriculture</v>
      </c>
      <c r="I2140" s="28"/>
      <c r="J2140" s="184" t="str">
        <f t="shared" si="67"/>
        <v>RVITD</v>
      </c>
    </row>
    <row r="2141" spans="3:10" x14ac:dyDescent="0.25">
      <c r="C2141" s="28" t="s">
        <v>1423</v>
      </c>
      <c r="D2141" s="188" t="str">
        <f>+INDEX([1]Detallado!$F:$F,MATCH($C2141,[1]Detallado!$B:$B,0))</f>
        <v>Renta Variable</v>
      </c>
      <c r="E2141" s="31" t="str">
        <f>+INDEX([1]Detallado!$Q:$Q,MATCH($C2141,[1]Detallado!$B:$B,0))</f>
        <v>RVI</v>
      </c>
      <c r="F2141" s="185" t="s">
        <v>4355</v>
      </c>
      <c r="G2141" s="186" t="str">
        <f t="shared" si="66"/>
        <v>52RVI</v>
      </c>
      <c r="H2141" s="187" t="str">
        <f>+INDEX([1]Detallado!$D:$D,MATCH(C2141,[1]Detallado!$B:$B,0))</f>
        <v>VanEck - Agribusiness</v>
      </c>
      <c r="I2141" s="28"/>
      <c r="J2141" s="184" t="str">
        <f t="shared" si="67"/>
        <v>RVITD</v>
      </c>
    </row>
    <row r="2142" spans="3:10" x14ac:dyDescent="0.25">
      <c r="C2142" s="28" t="s">
        <v>4311</v>
      </c>
      <c r="D2142" s="188" t="str">
        <f>+INDEX([1]Detallado!$F:$F,MATCH($C2142,[1]Detallado!$B:$B,0))</f>
        <v>Derivados</v>
      </c>
      <c r="E2142" s="31" t="str">
        <f>+INDEX([1]Detallado!$Q:$Q,MATCH($C2142,[1]Detallado!$B:$B,0))</f>
        <v>RFIG</v>
      </c>
      <c r="F2142" s="185">
        <v>0</v>
      </c>
      <c r="G2142" s="186" t="str">
        <f t="shared" si="66"/>
        <v>FTRFIG</v>
      </c>
      <c r="H2142" s="187">
        <f>+INDEX([1]Detallado!$D:$D,MATCH(C2142,[1]Detallado!$B:$B,0))</f>
        <v>0</v>
      </c>
      <c r="I2142" s="28"/>
      <c r="J2142" s="184" t="str">
        <f t="shared" si="67"/>
        <v>RFI0</v>
      </c>
    </row>
    <row r="2143" spans="3:10" x14ac:dyDescent="0.25">
      <c r="C2143" s="28" t="s">
        <v>4312</v>
      </c>
      <c r="D2143" s="188" t="str">
        <f>+INDEX([1]Detallado!$F:$F,MATCH($C2143,[1]Detallado!$B:$B,0))</f>
        <v>Derivados</v>
      </c>
      <c r="E2143" s="31" t="str">
        <f>+INDEX([1]Detallado!$Q:$Q,MATCH($C2143,[1]Detallado!$B:$B,0))</f>
        <v>RFIG</v>
      </c>
      <c r="F2143" s="185">
        <v>0</v>
      </c>
      <c r="G2143" s="186" t="str">
        <f t="shared" si="66"/>
        <v>FTRFIG</v>
      </c>
      <c r="H2143" s="187">
        <f>+INDEX([1]Detallado!$D:$D,MATCH(C2143,[1]Detallado!$B:$B,0))</f>
        <v>0</v>
      </c>
      <c r="I2143" s="28"/>
      <c r="J2143" s="184" t="str">
        <f t="shared" si="67"/>
        <v>RFI0</v>
      </c>
    </row>
    <row r="2144" spans="3:10" x14ac:dyDescent="0.25">
      <c r="C2144" s="28" t="s">
        <v>4313</v>
      </c>
      <c r="D2144" s="188" t="str">
        <f>+INDEX([1]Detallado!$F:$F,MATCH($C2144,[1]Detallado!$B:$B,0))</f>
        <v>Derivados</v>
      </c>
      <c r="E2144" s="31" t="str">
        <f>+INDEX([1]Detallado!$Q:$Q,MATCH($C2144,[1]Detallado!$B:$B,0))</f>
        <v>RFIG</v>
      </c>
      <c r="F2144" s="185">
        <v>0</v>
      </c>
      <c r="G2144" s="186" t="str">
        <f t="shared" si="66"/>
        <v>FTRFIG</v>
      </c>
      <c r="H2144" s="187">
        <f>+INDEX([1]Detallado!$D:$D,MATCH(C2144,[1]Detallado!$B:$B,0))</f>
        <v>0</v>
      </c>
      <c r="I2144" s="28"/>
      <c r="J2144" s="184" t="str">
        <f t="shared" si="67"/>
        <v>RFI0</v>
      </c>
    </row>
    <row r="2145" spans="3:10" x14ac:dyDescent="0.25">
      <c r="C2145" s="28" t="s">
        <v>4314</v>
      </c>
      <c r="D2145" s="188" t="str">
        <f>+INDEX([1]Detallado!$F:$F,MATCH($C2145,[1]Detallado!$B:$B,0))</f>
        <v>Derivados</v>
      </c>
      <c r="E2145" s="31" t="str">
        <f>+INDEX([1]Detallado!$Q:$Q,MATCH($C2145,[1]Detallado!$B:$B,0))</f>
        <v>RFIG</v>
      </c>
      <c r="F2145" s="185">
        <v>0</v>
      </c>
      <c r="G2145" s="186" t="str">
        <f t="shared" si="66"/>
        <v>FTRFIG</v>
      </c>
      <c r="H2145" s="187">
        <f>+INDEX([1]Detallado!$D:$D,MATCH(C2145,[1]Detallado!$B:$B,0))</f>
        <v>0</v>
      </c>
      <c r="I2145" s="28"/>
      <c r="J2145" s="184" t="str">
        <f t="shared" si="67"/>
        <v>RFI0</v>
      </c>
    </row>
    <row r="2146" spans="3:10" x14ac:dyDescent="0.25">
      <c r="C2146" s="28" t="s">
        <v>4315</v>
      </c>
      <c r="D2146" s="188" t="str">
        <f>+INDEX([1]Detallado!$F:$F,MATCH($C2146,[1]Detallado!$B:$B,0))</f>
        <v>Derivados</v>
      </c>
      <c r="E2146" s="31" t="str">
        <f>+INDEX([1]Detallado!$Q:$Q,MATCH($C2146,[1]Detallado!$B:$B,0))</f>
        <v>RFIG</v>
      </c>
      <c r="F2146" s="185">
        <v>0</v>
      </c>
      <c r="G2146" s="186" t="str">
        <f t="shared" si="66"/>
        <v>FTRFIG</v>
      </c>
      <c r="H2146" s="187">
        <f>+INDEX([1]Detallado!$D:$D,MATCH(C2146,[1]Detallado!$B:$B,0))</f>
        <v>0</v>
      </c>
      <c r="I2146" s="28"/>
      <c r="J2146" s="184" t="str">
        <f t="shared" si="67"/>
        <v>RFI0</v>
      </c>
    </row>
    <row r="2147" spans="3:10" x14ac:dyDescent="0.25">
      <c r="C2147" s="28" t="s">
        <v>4316</v>
      </c>
      <c r="D2147" s="188" t="str">
        <f>+INDEX([1]Detallado!$F:$F,MATCH($C2147,[1]Detallado!$B:$B,0))</f>
        <v>Derivados</v>
      </c>
      <c r="E2147" s="31" t="str">
        <f>+INDEX([1]Detallado!$Q:$Q,MATCH($C2147,[1]Detallado!$B:$B,0))</f>
        <v>RFIG</v>
      </c>
      <c r="F2147" s="185">
        <v>0</v>
      </c>
      <c r="G2147" s="186" t="str">
        <f t="shared" si="66"/>
        <v>FTRFIG</v>
      </c>
      <c r="H2147" s="187">
        <f>+INDEX([1]Detallado!$D:$D,MATCH(C2147,[1]Detallado!$B:$B,0))</f>
        <v>0</v>
      </c>
      <c r="I2147" s="28"/>
      <c r="J2147" s="184" t="str">
        <f t="shared" si="67"/>
        <v>RFI0</v>
      </c>
    </row>
    <row r="2148" spans="3:10" x14ac:dyDescent="0.25">
      <c r="C2148" s="28" t="s">
        <v>4317</v>
      </c>
      <c r="D2148" s="188" t="str">
        <f>+INDEX([1]Detallado!$F:$F,MATCH($C2148,[1]Detallado!$B:$B,0))</f>
        <v>Derivados</v>
      </c>
      <c r="E2148" s="31" t="str">
        <f>+INDEX([1]Detallado!$Q:$Q,MATCH($C2148,[1]Detallado!$B:$B,0))</f>
        <v>RFIG</v>
      </c>
      <c r="F2148" s="185">
        <v>0</v>
      </c>
      <c r="G2148" s="186" t="str">
        <f t="shared" si="66"/>
        <v>FTRFIG</v>
      </c>
      <c r="H2148" s="187">
        <f>+INDEX([1]Detallado!$D:$D,MATCH(C2148,[1]Detallado!$B:$B,0))</f>
        <v>0</v>
      </c>
      <c r="I2148" s="28"/>
      <c r="J2148" s="184" t="str">
        <f t="shared" si="67"/>
        <v>RFI0</v>
      </c>
    </row>
    <row r="2149" spans="3:10" x14ac:dyDescent="0.25">
      <c r="C2149" s="28" t="s">
        <v>4318</v>
      </c>
      <c r="D2149" s="188" t="str">
        <f>+INDEX([1]Detallado!$F:$F,MATCH($C2149,[1]Detallado!$B:$B,0))</f>
        <v>Derivados</v>
      </c>
      <c r="E2149" s="31" t="str">
        <f>+INDEX([1]Detallado!$Q:$Q,MATCH($C2149,[1]Detallado!$B:$B,0))</f>
        <v>RFIG</v>
      </c>
      <c r="F2149" s="185">
        <v>0</v>
      </c>
      <c r="G2149" s="186" t="str">
        <f t="shared" si="66"/>
        <v>FTRFIG</v>
      </c>
      <c r="H2149" s="187">
        <f>+INDEX([1]Detallado!$D:$D,MATCH(C2149,[1]Detallado!$B:$B,0))</f>
        <v>0</v>
      </c>
      <c r="I2149" s="28"/>
      <c r="J2149" s="184" t="str">
        <f t="shared" si="67"/>
        <v>RFI0</v>
      </c>
    </row>
    <row r="2150" spans="3:10" x14ac:dyDescent="0.25">
      <c r="C2150" s="28" t="s">
        <v>4319</v>
      </c>
      <c r="D2150" s="188" t="str">
        <f>+INDEX([1]Detallado!$F:$F,MATCH($C2150,[1]Detallado!$B:$B,0))</f>
        <v>Derivados</v>
      </c>
      <c r="E2150" s="31" t="str">
        <f>+INDEX([1]Detallado!$Q:$Q,MATCH($C2150,[1]Detallado!$B:$B,0))</f>
        <v>RFIG</v>
      </c>
      <c r="F2150" s="185">
        <v>0</v>
      </c>
      <c r="G2150" s="186" t="str">
        <f t="shared" si="66"/>
        <v>FTRFIG</v>
      </c>
      <c r="H2150" s="187">
        <f>+INDEX([1]Detallado!$D:$D,MATCH(C2150,[1]Detallado!$B:$B,0))</f>
        <v>0</v>
      </c>
      <c r="I2150" s="28"/>
      <c r="J2150" s="184" t="str">
        <f t="shared" si="67"/>
        <v>RFI0</v>
      </c>
    </row>
    <row r="2151" spans="3:10" x14ac:dyDescent="0.25">
      <c r="C2151" s="28" t="s">
        <v>4320</v>
      </c>
      <c r="D2151" s="188" t="str">
        <f>+INDEX([1]Detallado!$F:$F,MATCH($C2151,[1]Detallado!$B:$B,0))</f>
        <v>Derivados</v>
      </c>
      <c r="E2151" s="31" t="str">
        <f>+INDEX([1]Detallado!$Q:$Q,MATCH($C2151,[1]Detallado!$B:$B,0))</f>
        <v>RFIG</v>
      </c>
      <c r="F2151" s="185">
        <v>0</v>
      </c>
      <c r="G2151" s="186" t="str">
        <f t="shared" si="66"/>
        <v>FTRFIG</v>
      </c>
      <c r="H2151" s="187">
        <f>+INDEX([1]Detallado!$D:$D,MATCH(C2151,[1]Detallado!$B:$B,0))</f>
        <v>0</v>
      </c>
      <c r="I2151" s="28"/>
      <c r="J2151" s="184" t="str">
        <f t="shared" si="67"/>
        <v>RFI0</v>
      </c>
    </row>
    <row r="2152" spans="3:10" x14ac:dyDescent="0.25">
      <c r="C2152" s="28" t="s">
        <v>4321</v>
      </c>
      <c r="D2152" s="188" t="str">
        <f>+INDEX([1]Detallado!$F:$F,MATCH($C2152,[1]Detallado!$B:$B,0))</f>
        <v>Derivados</v>
      </c>
      <c r="E2152" s="31" t="str">
        <f>+INDEX([1]Detallado!$Q:$Q,MATCH($C2152,[1]Detallado!$B:$B,0))</f>
        <v>RFIG</v>
      </c>
      <c r="F2152" s="185">
        <v>0</v>
      </c>
      <c r="G2152" s="186" t="str">
        <f t="shared" si="66"/>
        <v>FTRFIG</v>
      </c>
      <c r="H2152" s="187">
        <f>+INDEX([1]Detallado!$D:$D,MATCH(C2152,[1]Detallado!$B:$B,0))</f>
        <v>0</v>
      </c>
      <c r="I2152" s="28"/>
      <c r="J2152" s="184" t="str">
        <f t="shared" si="67"/>
        <v>RFI0</v>
      </c>
    </row>
    <row r="2153" spans="3:10" x14ac:dyDescent="0.25">
      <c r="C2153" s="28" t="s">
        <v>4322</v>
      </c>
      <c r="D2153" s="188" t="str">
        <f>+INDEX([1]Detallado!$F:$F,MATCH($C2153,[1]Detallado!$B:$B,0))</f>
        <v>Derivados</v>
      </c>
      <c r="E2153" s="31" t="str">
        <f>+INDEX([1]Detallado!$Q:$Q,MATCH($C2153,[1]Detallado!$B:$B,0))</f>
        <v>RFIG</v>
      </c>
      <c r="F2153" s="185">
        <v>0</v>
      </c>
      <c r="G2153" s="186" t="str">
        <f t="shared" si="66"/>
        <v>FTRFIG</v>
      </c>
      <c r="H2153" s="187">
        <f>+INDEX([1]Detallado!$D:$D,MATCH(C2153,[1]Detallado!$B:$B,0))</f>
        <v>0</v>
      </c>
      <c r="I2153" s="28"/>
      <c r="J2153" s="184" t="str">
        <f t="shared" si="67"/>
        <v>RFI0</v>
      </c>
    </row>
    <row r="2154" spans="3:10" x14ac:dyDescent="0.25">
      <c r="C2154" s="28" t="s">
        <v>4323</v>
      </c>
      <c r="D2154" s="188" t="str">
        <f>+INDEX([1]Detallado!$F:$F,MATCH($C2154,[1]Detallado!$B:$B,0))</f>
        <v>Derivados</v>
      </c>
      <c r="E2154" s="31" t="str">
        <f>+INDEX([1]Detallado!$Q:$Q,MATCH($C2154,[1]Detallado!$B:$B,0))</f>
        <v>RFIG</v>
      </c>
      <c r="F2154" s="185">
        <v>0</v>
      </c>
      <c r="G2154" s="186" t="str">
        <f t="shared" si="66"/>
        <v>FTRFIG</v>
      </c>
      <c r="H2154" s="187">
        <f>+INDEX([1]Detallado!$D:$D,MATCH(C2154,[1]Detallado!$B:$B,0))</f>
        <v>0</v>
      </c>
      <c r="I2154" s="28"/>
      <c r="J2154" s="184" t="str">
        <f t="shared" si="67"/>
        <v>RFI0</v>
      </c>
    </row>
    <row r="2155" spans="3:10" x14ac:dyDescent="0.25">
      <c r="C2155" s="28" t="s">
        <v>4324</v>
      </c>
      <c r="D2155" s="188" t="str">
        <f>+INDEX([1]Detallado!$F:$F,MATCH($C2155,[1]Detallado!$B:$B,0))</f>
        <v>Derivados</v>
      </c>
      <c r="E2155" s="31" t="str">
        <f>+INDEX([1]Detallado!$Q:$Q,MATCH($C2155,[1]Detallado!$B:$B,0))</f>
        <v>RFIG</v>
      </c>
      <c r="F2155" s="185">
        <v>0</v>
      </c>
      <c r="G2155" s="186" t="str">
        <f t="shared" si="66"/>
        <v>FTRFIG</v>
      </c>
      <c r="H2155" s="187">
        <f>+INDEX([1]Detallado!$D:$D,MATCH(C2155,[1]Detallado!$B:$B,0))</f>
        <v>0</v>
      </c>
      <c r="I2155" s="28"/>
      <c r="J2155" s="184" t="str">
        <f t="shared" si="67"/>
        <v>RFI0</v>
      </c>
    </row>
    <row r="2156" spans="3:10" x14ac:dyDescent="0.25">
      <c r="C2156" s="28" t="s">
        <v>4327</v>
      </c>
      <c r="D2156" s="188" t="str">
        <f>+INDEX([1]Detallado!$F:$F,MATCH($C2156,[1]Detallado!$B:$B,0))</f>
        <v>Derivados</v>
      </c>
      <c r="E2156" s="31" t="str">
        <f>+INDEX([1]Detallado!$Q:$Q,MATCH($C2156,[1]Detallado!$B:$B,0))</f>
        <v>RFIG</v>
      </c>
      <c r="F2156" s="185">
        <v>0</v>
      </c>
      <c r="G2156" s="186" t="str">
        <f t="shared" si="66"/>
        <v>FTRFIG</v>
      </c>
      <c r="H2156" s="187">
        <f>+INDEX([1]Detallado!$D:$D,MATCH(C2156,[1]Detallado!$B:$B,0))</f>
        <v>0</v>
      </c>
      <c r="I2156" s="28"/>
      <c r="J2156" s="184" t="str">
        <f t="shared" si="67"/>
        <v>RFI0</v>
      </c>
    </row>
    <row r="2157" spans="3:10" x14ac:dyDescent="0.25">
      <c r="C2157" s="28" t="s">
        <v>4328</v>
      </c>
      <c r="D2157" s="188" t="str">
        <f>+INDEX([1]Detallado!$F:$F,MATCH($C2157,[1]Detallado!$B:$B,0))</f>
        <v>Derivados</v>
      </c>
      <c r="E2157" s="31" t="str">
        <f>+INDEX([1]Detallado!$Q:$Q,MATCH($C2157,[1]Detallado!$B:$B,0))</f>
        <v>RFIG</v>
      </c>
      <c r="F2157" s="185">
        <v>0</v>
      </c>
      <c r="G2157" s="186" t="str">
        <f t="shared" si="66"/>
        <v>FTRFIG</v>
      </c>
      <c r="H2157" s="187">
        <f>+INDEX([1]Detallado!$D:$D,MATCH(C2157,[1]Detallado!$B:$B,0))</f>
        <v>0</v>
      </c>
      <c r="I2157" s="28"/>
      <c r="J2157" s="184" t="str">
        <f t="shared" si="67"/>
        <v>RFI0</v>
      </c>
    </row>
    <row r="2158" spans="3:10" x14ac:dyDescent="0.25">
      <c r="C2158" s="28" t="s">
        <v>4329</v>
      </c>
      <c r="D2158" s="188" t="str">
        <f>+INDEX([1]Detallado!$F:$F,MATCH($C2158,[1]Detallado!$B:$B,0))</f>
        <v>Derivados</v>
      </c>
      <c r="E2158" s="31" t="str">
        <f>+INDEX([1]Detallado!$Q:$Q,MATCH($C2158,[1]Detallado!$B:$B,0))</f>
        <v>RFIG</v>
      </c>
      <c r="F2158" s="185">
        <v>0</v>
      </c>
      <c r="G2158" s="186" t="str">
        <f t="shared" si="66"/>
        <v>FTRFIG</v>
      </c>
      <c r="H2158" s="187">
        <f>+INDEX([1]Detallado!$D:$D,MATCH(C2158,[1]Detallado!$B:$B,0))</f>
        <v>0</v>
      </c>
      <c r="I2158" s="28"/>
      <c r="J2158" s="184" t="str">
        <f t="shared" si="67"/>
        <v>RFI0</v>
      </c>
    </row>
    <row r="2159" spans="3:10" x14ac:dyDescent="0.25">
      <c r="C2159" s="28" t="s">
        <v>4330</v>
      </c>
      <c r="D2159" s="188" t="str">
        <f>+INDEX([1]Detallado!$F:$F,MATCH($C2159,[1]Detallado!$B:$B,0))</f>
        <v>Derivados</v>
      </c>
      <c r="E2159" s="31" t="str">
        <f>+INDEX([1]Detallado!$Q:$Q,MATCH($C2159,[1]Detallado!$B:$B,0))</f>
        <v>RFIG</v>
      </c>
      <c r="F2159" s="185">
        <v>0</v>
      </c>
      <c r="G2159" s="186" t="str">
        <f t="shared" si="66"/>
        <v>FTRFIG</v>
      </c>
      <c r="H2159" s="187">
        <f>+INDEX([1]Detallado!$D:$D,MATCH(C2159,[1]Detallado!$B:$B,0))</f>
        <v>0</v>
      </c>
      <c r="I2159" s="28"/>
      <c r="J2159" s="184" t="str">
        <f t="shared" si="67"/>
        <v>RFI0</v>
      </c>
    </row>
    <row r="2160" spans="3:10" x14ac:dyDescent="0.25">
      <c r="C2160" s="28" t="s">
        <v>4331</v>
      </c>
      <c r="D2160" s="188" t="str">
        <f>+INDEX([1]Detallado!$F:$F,MATCH($C2160,[1]Detallado!$B:$B,0))</f>
        <v>Derivados</v>
      </c>
      <c r="E2160" s="31" t="str">
        <f>+INDEX([1]Detallado!$Q:$Q,MATCH($C2160,[1]Detallado!$B:$B,0))</f>
        <v>RFIG</v>
      </c>
      <c r="F2160" s="185">
        <v>0</v>
      </c>
      <c r="G2160" s="186" t="str">
        <f t="shared" si="66"/>
        <v>FTRFIG</v>
      </c>
      <c r="H2160" s="187">
        <f>+INDEX([1]Detallado!$D:$D,MATCH(C2160,[1]Detallado!$B:$B,0))</f>
        <v>0</v>
      </c>
      <c r="I2160" s="28"/>
      <c r="J2160" s="184" t="str">
        <f t="shared" si="67"/>
        <v>RFI0</v>
      </c>
    </row>
    <row r="2161" spans="3:10" x14ac:dyDescent="0.25">
      <c r="C2161" s="28" t="s">
        <v>4332</v>
      </c>
      <c r="D2161" s="188" t="str">
        <f>+INDEX([1]Detallado!$F:$F,MATCH($C2161,[1]Detallado!$B:$B,0))</f>
        <v>Derivados</v>
      </c>
      <c r="E2161" s="31" t="str">
        <f>+INDEX([1]Detallado!$Q:$Q,MATCH($C2161,[1]Detallado!$B:$B,0))</f>
        <v>RFIG</v>
      </c>
      <c r="F2161" s="185">
        <v>0</v>
      </c>
      <c r="G2161" s="186" t="str">
        <f t="shared" si="66"/>
        <v>FTRFIG</v>
      </c>
      <c r="H2161" s="187">
        <f>+INDEX([1]Detallado!$D:$D,MATCH(C2161,[1]Detallado!$B:$B,0))</f>
        <v>0</v>
      </c>
      <c r="I2161" s="28"/>
      <c r="J2161" s="184" t="str">
        <f t="shared" si="67"/>
        <v>RFI0</v>
      </c>
    </row>
    <row r="2162" spans="3:10" x14ac:dyDescent="0.25">
      <c r="C2162" s="28" t="s">
        <v>4333</v>
      </c>
      <c r="D2162" s="188" t="str">
        <f>+INDEX([1]Detallado!$F:$F,MATCH($C2162,[1]Detallado!$B:$B,0))</f>
        <v>Derivados</v>
      </c>
      <c r="E2162" s="31" t="str">
        <f>+INDEX([1]Detallado!$Q:$Q,MATCH($C2162,[1]Detallado!$B:$B,0))</f>
        <v>RFIG</v>
      </c>
      <c r="F2162" s="185">
        <v>0</v>
      </c>
      <c r="G2162" s="186" t="str">
        <f t="shared" si="66"/>
        <v>FTRFIG</v>
      </c>
      <c r="H2162" s="187" t="str">
        <f>+INDEX([1]Detallado!$D:$D,MATCH(C2162,[1]Detallado!$B:$B,0))</f>
        <v>US Ultra Bond CBT Jun17</v>
      </c>
      <c r="I2162" s="28"/>
      <c r="J2162" s="184" t="str">
        <f t="shared" si="67"/>
        <v>RFI0</v>
      </c>
    </row>
    <row r="2163" spans="3:10" x14ac:dyDescent="0.25">
      <c r="C2163" s="28" t="s">
        <v>4334</v>
      </c>
      <c r="D2163" s="188" t="str">
        <f>+INDEX([1]Detallado!$F:$F,MATCH($C2163,[1]Detallado!$B:$B,0))</f>
        <v>Derivados</v>
      </c>
      <c r="E2163" s="31" t="str">
        <f>+INDEX([1]Detallado!$Q:$Q,MATCH($C2163,[1]Detallado!$B:$B,0))</f>
        <v>RFIG</v>
      </c>
      <c r="F2163" s="185">
        <v>0</v>
      </c>
      <c r="G2163" s="186" t="str">
        <f t="shared" si="66"/>
        <v>FTRFIG</v>
      </c>
      <c r="H2163" s="187" t="str">
        <f>+INDEX([1]Detallado!$D:$D,MATCH(C2163,[1]Detallado!$B:$B,0))</f>
        <v>US Ultra Bond CBT Sep17</v>
      </c>
      <c r="I2163" s="28"/>
      <c r="J2163" s="184" t="str">
        <f t="shared" si="67"/>
        <v>RFI0</v>
      </c>
    </row>
    <row r="2164" spans="3:10" x14ac:dyDescent="0.25">
      <c r="C2164" s="28" t="s">
        <v>4335</v>
      </c>
      <c r="D2164" s="188" t="str">
        <f>+INDEX([1]Detallado!$F:$F,MATCH($C2164,[1]Detallado!$B:$B,0))</f>
        <v>Derivados</v>
      </c>
      <c r="E2164" s="31" t="str">
        <f>+INDEX([1]Detallado!$Q:$Q,MATCH($C2164,[1]Detallado!$B:$B,0))</f>
        <v>RFIG</v>
      </c>
      <c r="F2164" s="185">
        <v>0</v>
      </c>
      <c r="G2164" s="186" t="str">
        <f t="shared" si="66"/>
        <v>FTRFIG</v>
      </c>
      <c r="H2164" s="187" t="str">
        <f>+INDEX([1]Detallado!$D:$D,MATCH(C2164,[1]Detallado!$B:$B,0))</f>
        <v>US Ultra Bond CBT Dec17</v>
      </c>
      <c r="I2164" s="28"/>
      <c r="J2164" s="184" t="str">
        <f t="shared" si="67"/>
        <v>RFI0</v>
      </c>
    </row>
    <row r="2165" spans="3:10" x14ac:dyDescent="0.25">
      <c r="C2165" s="28" t="s">
        <v>4336</v>
      </c>
      <c r="D2165" s="188" t="str">
        <f>+INDEX([1]Detallado!$F:$F,MATCH($C2165,[1]Detallado!$B:$B,0))</f>
        <v>Derivados</v>
      </c>
      <c r="E2165" s="31" t="str">
        <f>+INDEX([1]Detallado!$Q:$Q,MATCH($C2165,[1]Detallado!$B:$B,0))</f>
        <v>RFIG</v>
      </c>
      <c r="F2165" s="185">
        <v>0</v>
      </c>
      <c r="G2165" s="186" t="str">
        <f t="shared" si="66"/>
        <v>FTRFIG</v>
      </c>
      <c r="H2165" s="187" t="str">
        <f>+INDEX([1]Detallado!$D:$D,MATCH(C2165,[1]Detallado!$B:$B,0))</f>
        <v>US Ultra Bond CBT Mar17</v>
      </c>
      <c r="I2165" s="28"/>
      <c r="J2165" s="184" t="str">
        <f t="shared" si="67"/>
        <v>RFI0</v>
      </c>
    </row>
    <row r="2166" spans="3:10" x14ac:dyDescent="0.25">
      <c r="C2166" s="28" t="s">
        <v>4337</v>
      </c>
      <c r="D2166" s="188" t="str">
        <f>+INDEX([1]Detallado!$F:$F,MATCH($C2166,[1]Detallado!$B:$B,0))</f>
        <v>Derivados</v>
      </c>
      <c r="E2166" s="31" t="str">
        <f>+INDEX([1]Detallado!$Q:$Q,MATCH($C2166,[1]Detallado!$B:$B,0))</f>
        <v>RFIG</v>
      </c>
      <c r="F2166" s="185">
        <v>0</v>
      </c>
      <c r="G2166" s="186" t="str">
        <f t="shared" si="66"/>
        <v>FTRFIG</v>
      </c>
      <c r="H2166" s="187" t="str">
        <f>+INDEX([1]Detallado!$D:$D,MATCH(C2166,[1]Detallado!$B:$B,0))</f>
        <v>US 10Yr Note CBT Jun18</v>
      </c>
      <c r="I2166" s="28"/>
      <c r="J2166" s="184" t="str">
        <f t="shared" si="67"/>
        <v>RFI0</v>
      </c>
    </row>
    <row r="2167" spans="3:10" x14ac:dyDescent="0.25">
      <c r="C2167" s="28" t="s">
        <v>4338</v>
      </c>
      <c r="D2167" s="188" t="str">
        <f>+INDEX([1]Detallado!$F:$F,MATCH($C2167,[1]Detallado!$B:$B,0))</f>
        <v>Derivados</v>
      </c>
      <c r="E2167" s="31" t="str">
        <f>+INDEX([1]Detallado!$Q:$Q,MATCH($C2167,[1]Detallado!$B:$B,0))</f>
        <v>RFIG</v>
      </c>
      <c r="F2167" s="185">
        <v>0</v>
      </c>
      <c r="G2167" s="186" t="str">
        <f t="shared" si="66"/>
        <v>FTRFIG</v>
      </c>
      <c r="H2167" s="187" t="str">
        <f>+INDEX([1]Detallado!$D:$D,MATCH(C2167,[1]Detallado!$B:$B,0))</f>
        <v>US 10Yr Note CBT Jun19</v>
      </c>
      <c r="I2167" s="28"/>
      <c r="J2167" s="184" t="str">
        <f t="shared" si="67"/>
        <v>RFI0</v>
      </c>
    </row>
    <row r="2168" spans="3:10" x14ac:dyDescent="0.25">
      <c r="C2168" s="28" t="s">
        <v>4339</v>
      </c>
      <c r="D2168" s="188" t="str">
        <f>+INDEX([1]Detallado!$F:$F,MATCH($C2168,[1]Detallado!$B:$B,0))</f>
        <v>Derivados</v>
      </c>
      <c r="E2168" s="31" t="str">
        <f>+INDEX([1]Detallado!$Q:$Q,MATCH($C2168,[1]Detallado!$B:$B,0))</f>
        <v>RFIG</v>
      </c>
      <c r="F2168" s="185">
        <v>0</v>
      </c>
      <c r="G2168" s="186" t="str">
        <f t="shared" si="66"/>
        <v>FTRFIG</v>
      </c>
      <c r="H2168" s="187">
        <f>+INDEX([1]Detallado!$D:$D,MATCH(C2168,[1]Detallado!$B:$B,0))</f>
        <v>0</v>
      </c>
      <c r="I2168" s="28"/>
      <c r="J2168" s="184" t="str">
        <f t="shared" si="67"/>
        <v>RFI0</v>
      </c>
    </row>
    <row r="2169" spans="3:10" x14ac:dyDescent="0.25">
      <c r="C2169" s="28" t="s">
        <v>4340</v>
      </c>
      <c r="D2169" s="188" t="str">
        <f>+INDEX([1]Detallado!$F:$F,MATCH($C2169,[1]Detallado!$B:$B,0))</f>
        <v>Derivados</v>
      </c>
      <c r="E2169" s="31" t="str">
        <f>+INDEX([1]Detallado!$Q:$Q,MATCH($C2169,[1]Detallado!$B:$B,0))</f>
        <v>RFIG</v>
      </c>
      <c r="F2169" s="185">
        <v>0</v>
      </c>
      <c r="G2169" s="186" t="str">
        <f t="shared" si="66"/>
        <v>FTRFIG</v>
      </c>
      <c r="H2169" s="187">
        <f>+INDEX([1]Detallado!$D:$D,MATCH(C2169,[1]Detallado!$B:$B,0))</f>
        <v>0</v>
      </c>
      <c r="I2169" s="28"/>
      <c r="J2169" s="184" t="str">
        <f t="shared" si="67"/>
        <v>RFI0</v>
      </c>
    </row>
    <row r="2170" spans="3:10" x14ac:dyDescent="0.25">
      <c r="C2170" s="28" t="s">
        <v>4341</v>
      </c>
      <c r="D2170" s="188" t="str">
        <f>+INDEX([1]Detallado!$F:$F,MATCH($C2170,[1]Detallado!$B:$B,0))</f>
        <v>Derivados</v>
      </c>
      <c r="E2170" s="31" t="str">
        <f>+INDEX([1]Detallado!$Q:$Q,MATCH($C2170,[1]Detallado!$B:$B,0))</f>
        <v>RFIG</v>
      </c>
      <c r="F2170" s="185">
        <v>0</v>
      </c>
      <c r="G2170" s="186" t="str">
        <f t="shared" si="66"/>
        <v>FTRFIG</v>
      </c>
      <c r="H2170" s="187">
        <f>+INDEX([1]Detallado!$D:$D,MATCH(C2170,[1]Detallado!$B:$B,0))</f>
        <v>0</v>
      </c>
      <c r="I2170" s="28"/>
      <c r="J2170" s="184" t="str">
        <f t="shared" si="67"/>
        <v>RFI0</v>
      </c>
    </row>
    <row r="2171" spans="3:10" x14ac:dyDescent="0.25">
      <c r="C2171" s="28" t="s">
        <v>4342</v>
      </c>
      <c r="D2171" s="188" t="str">
        <f>+INDEX([1]Detallado!$F:$F,MATCH($C2171,[1]Detallado!$B:$B,0))</f>
        <v>Derivados</v>
      </c>
      <c r="E2171" s="31" t="str">
        <f>+INDEX([1]Detallado!$Q:$Q,MATCH($C2171,[1]Detallado!$B:$B,0))</f>
        <v>RFIG</v>
      </c>
      <c r="F2171" s="185">
        <v>0</v>
      </c>
      <c r="G2171" s="186" t="str">
        <f t="shared" si="66"/>
        <v>FTRFIG</v>
      </c>
      <c r="H2171" s="187">
        <f>+INDEX([1]Detallado!$D:$D,MATCH(C2171,[1]Detallado!$B:$B,0))</f>
        <v>0</v>
      </c>
      <c r="I2171" s="28"/>
      <c r="J2171" s="184" t="str">
        <f t="shared" si="67"/>
        <v>RFI0</v>
      </c>
    </row>
    <row r="2172" spans="3:10" x14ac:dyDescent="0.25">
      <c r="C2172" s="28" t="s">
        <v>4343</v>
      </c>
      <c r="D2172" s="188" t="str">
        <f>+INDEX([1]Detallado!$F:$F,MATCH($C2172,[1]Detallado!$B:$B,0))</f>
        <v>Derivados</v>
      </c>
      <c r="E2172" s="31" t="str">
        <f>+INDEX([1]Detallado!$Q:$Q,MATCH($C2172,[1]Detallado!$B:$B,0))</f>
        <v>RFIG</v>
      </c>
      <c r="F2172" s="185">
        <v>0</v>
      </c>
      <c r="G2172" s="186" t="str">
        <f t="shared" si="66"/>
        <v>FTRFIG</v>
      </c>
      <c r="H2172" s="187" t="str">
        <f>+INDEX([1]Detallado!$D:$D,MATCH(C2172,[1]Detallado!$B:$B,0))</f>
        <v>US 10Yr Note CBT Set19</v>
      </c>
      <c r="I2172" s="28"/>
      <c r="J2172" s="184" t="str">
        <f t="shared" si="67"/>
        <v>RFI0</v>
      </c>
    </row>
    <row r="2173" spans="3:10" x14ac:dyDescent="0.25">
      <c r="C2173" s="28" t="s">
        <v>4344</v>
      </c>
      <c r="D2173" s="188" t="str">
        <f>+INDEX([1]Detallado!$F:$F,MATCH($C2173,[1]Detallado!$B:$B,0))</f>
        <v>Derivados</v>
      </c>
      <c r="E2173" s="31" t="str">
        <f>+INDEX([1]Detallado!$Q:$Q,MATCH($C2173,[1]Detallado!$B:$B,0))</f>
        <v>RFIG</v>
      </c>
      <c r="F2173" s="185" t="s">
        <v>4356</v>
      </c>
      <c r="G2173" s="186" t="str">
        <f t="shared" si="66"/>
        <v>08RFIG</v>
      </c>
      <c r="H2173" s="187" t="str">
        <f>+INDEX([1]Detallado!$D:$D,MATCH(C2173,[1]Detallado!$B:$B,0))</f>
        <v>-</v>
      </c>
      <c r="I2173" s="28"/>
      <c r="J2173" s="184" t="str">
        <f t="shared" si="67"/>
        <v>RFIGOB</v>
      </c>
    </row>
    <row r="2174" spans="3:10" x14ac:dyDescent="0.25">
      <c r="C2174" s="28" t="s">
        <v>4345</v>
      </c>
      <c r="D2174" s="188" t="str">
        <f>+INDEX([1]Detallado!$F:$F,MATCH($C2174,[1]Detallado!$B:$B,0))</f>
        <v>Derivados</v>
      </c>
      <c r="E2174" s="31" t="str">
        <f>+INDEX([1]Detallado!$Q:$Q,MATCH($C2174,[1]Detallado!$B:$B,0))</f>
        <v>RFIG</v>
      </c>
      <c r="F2174" s="185">
        <v>0</v>
      </c>
      <c r="G2174" s="186" t="str">
        <f t="shared" si="66"/>
        <v>FTRFIG</v>
      </c>
      <c r="H2174" s="187" t="str">
        <f>+INDEX([1]Detallado!$D:$D,MATCH(C2174,[1]Detallado!$B:$B,0))</f>
        <v>US 10Yr Note CBT Sep18</v>
      </c>
      <c r="I2174" s="28"/>
      <c r="J2174" s="184" t="str">
        <f t="shared" si="67"/>
        <v>RFI0</v>
      </c>
    </row>
    <row r="2175" spans="3:10" x14ac:dyDescent="0.25">
      <c r="C2175" s="28" t="s">
        <v>4346</v>
      </c>
      <c r="D2175" s="188" t="str">
        <f>+INDEX([1]Detallado!$F:$F,MATCH($C2175,[1]Detallado!$B:$B,0))</f>
        <v>Derivados</v>
      </c>
      <c r="E2175" s="31" t="str">
        <f>+INDEX([1]Detallado!$Q:$Q,MATCH($C2175,[1]Detallado!$B:$B,0))</f>
        <v>RFIG</v>
      </c>
      <c r="F2175" s="185">
        <v>0</v>
      </c>
      <c r="G2175" s="186" t="str">
        <f t="shared" si="66"/>
        <v>FTRFIG</v>
      </c>
      <c r="H2175" s="187" t="str">
        <f>+INDEX([1]Detallado!$D:$D,MATCH(C2175,[1]Detallado!$B:$B,0))</f>
        <v>US Treasury Note 10 Yr Dec18</v>
      </c>
      <c r="I2175" s="28"/>
      <c r="J2175" s="184" t="str">
        <f t="shared" si="67"/>
        <v>RFI0</v>
      </c>
    </row>
    <row r="2176" spans="3:10" x14ac:dyDescent="0.25">
      <c r="C2176" s="28" t="s">
        <v>4347</v>
      </c>
      <c r="D2176" s="188" t="str">
        <f>+INDEX([1]Detallado!$F:$F,MATCH($C2176,[1]Detallado!$B:$B,0))</f>
        <v>Derivados</v>
      </c>
      <c r="E2176" s="31" t="str">
        <f>+INDEX([1]Detallado!$Q:$Q,MATCH($C2176,[1]Detallado!$B:$B,0))</f>
        <v>RFIG</v>
      </c>
      <c r="F2176" s="185">
        <v>0</v>
      </c>
      <c r="G2176" s="186" t="str">
        <f t="shared" si="66"/>
        <v>FTRFIG</v>
      </c>
      <c r="H2176" s="187" t="str">
        <f>+INDEX([1]Detallado!$D:$D,MATCH(C2176,[1]Detallado!$B:$B,0))</f>
        <v>US Treasury Note 10 Yr Mar19</v>
      </c>
      <c r="I2176" s="28"/>
      <c r="J2176" s="184" t="str">
        <f t="shared" si="67"/>
        <v>RFI0</v>
      </c>
    </row>
    <row r="2177" spans="3:10" x14ac:dyDescent="0.25">
      <c r="C2177" s="28" t="s">
        <v>4348</v>
      </c>
      <c r="D2177" s="188" t="str">
        <f>+INDEX([1]Detallado!$F:$F,MATCH($C2177,[1]Detallado!$B:$B,0))</f>
        <v>Derivados</v>
      </c>
      <c r="E2177" s="31" t="str">
        <f>+INDEX([1]Detallado!$Q:$Q,MATCH($C2177,[1]Detallado!$B:$B,0))</f>
        <v>RFIG</v>
      </c>
      <c r="F2177" s="185">
        <v>0</v>
      </c>
      <c r="G2177" s="186" t="str">
        <f t="shared" si="66"/>
        <v>FTRFIG</v>
      </c>
      <c r="H2177" s="187" t="str">
        <f>+INDEX([1]Detallado!$D:$D,MATCH(C2177,[1]Detallado!$B:$B,0))</f>
        <v>US Treasury Note 10 Yr Mar20</v>
      </c>
      <c r="I2177" s="28"/>
      <c r="J2177" s="184" t="str">
        <f t="shared" si="67"/>
        <v>RFI0</v>
      </c>
    </row>
    <row r="2178" spans="3:10" x14ac:dyDescent="0.25">
      <c r="C2178" s="28" t="s">
        <v>4349</v>
      </c>
      <c r="D2178" s="188" t="str">
        <f>+INDEX([1]Detallado!$F:$F,MATCH($C2178,[1]Detallado!$B:$B,0))</f>
        <v>Derivados</v>
      </c>
      <c r="E2178" s="31" t="str">
        <f>+INDEX([1]Detallado!$Q:$Q,MATCH($C2178,[1]Detallado!$B:$B,0))</f>
        <v>RFIG</v>
      </c>
      <c r="F2178" s="185">
        <v>0</v>
      </c>
      <c r="G2178" s="186" t="str">
        <f t="shared" si="66"/>
        <v>FTRFIG</v>
      </c>
      <c r="H2178" s="187" t="str">
        <f>+INDEX([1]Detallado!$D:$D,MATCH(C2178,[1]Detallado!$B:$B,0))</f>
        <v>US Treasury Note 10 Yr Jun20</v>
      </c>
      <c r="I2178" s="28"/>
      <c r="J2178" s="184" t="str">
        <f t="shared" si="67"/>
        <v>RFI0</v>
      </c>
    </row>
    <row r="2179" spans="3:10" x14ac:dyDescent="0.25">
      <c r="C2179" s="28" t="s">
        <v>4350</v>
      </c>
      <c r="D2179" s="188" t="str">
        <f>+INDEX([1]Detallado!$F:$F,MATCH($C2179,[1]Detallado!$B:$B,0))</f>
        <v>Derivados</v>
      </c>
      <c r="E2179" s="31" t="str">
        <f>+INDEX([1]Detallado!$Q:$Q,MATCH($C2179,[1]Detallado!$B:$B,0))</f>
        <v>RFIG</v>
      </c>
      <c r="F2179" s="185">
        <v>0</v>
      </c>
      <c r="G2179" s="186" t="str">
        <f t="shared" si="66"/>
        <v>FTRFIG</v>
      </c>
      <c r="H2179" s="187" t="str">
        <f>+INDEX([1]Detallado!$D:$D,MATCH(C2179,[1]Detallado!$B:$B,0))</f>
        <v>US Treasury Note 10 Yr Jun20</v>
      </c>
      <c r="I2179" s="28"/>
      <c r="J2179" s="184" t="str">
        <f t="shared" si="67"/>
        <v>RFI0</v>
      </c>
    </row>
    <row r="2180" spans="3:10" x14ac:dyDescent="0.25">
      <c r="C2180" s="28" t="s">
        <v>1520</v>
      </c>
      <c r="D2180" s="188" t="str">
        <f>+INDEX([1]Detallado!$F:$F,MATCH($C2180,[1]Detallado!$B:$B,0))</f>
        <v>Renta Fija</v>
      </c>
      <c r="E2180" s="31" t="str">
        <f>+INDEX([1]Detallado!$Q:$Q,MATCH($C2180,[1]Detallado!$B:$B,0))</f>
        <v>RFIG</v>
      </c>
      <c r="F2180" s="185"/>
      <c r="G2180" s="186" t="str">
        <f t="shared" si="66"/>
        <v>52RFIG</v>
      </c>
      <c r="H2180" s="187" t="str">
        <f>+INDEX([1]Detallado!$D:$D,MATCH(C2180,[1]Detallado!$B:$B,0))</f>
        <v>BlackRock - iShares 0-5 Year TIPS Bond ETF</v>
      </c>
      <c r="I2180" s="28"/>
      <c r="J2180" s="184" t="str">
        <f t="shared" si="67"/>
        <v>RFI</v>
      </c>
    </row>
    <row r="2181" spans="3:10" x14ac:dyDescent="0.25">
      <c r="C2181" s="28" t="s">
        <v>1638</v>
      </c>
      <c r="D2181" s="188" t="str">
        <f>+INDEX([1]Detallado!$F:$F,MATCH($C2181,[1]Detallado!$B:$B,0))</f>
        <v>Renta Fija</v>
      </c>
      <c r="E2181" s="31" t="str">
        <f>+INDEX([1]Detallado!$Q:$Q,MATCH($C2181,[1]Detallado!$B:$B,0))</f>
        <v>RFIG</v>
      </c>
      <c r="F2181" s="185" t="s">
        <v>4355</v>
      </c>
      <c r="G2181" s="186" t="str">
        <f t="shared" si="66"/>
        <v>52RFIG</v>
      </c>
      <c r="H2181" s="187" t="str">
        <f>+INDEX([1]Detallado!$D:$D,MATCH(C2181,[1]Detallado!$B:$B,0))</f>
        <v>BlackRock - iShares Fallen Angels USD Bond ETF</v>
      </c>
      <c r="I2181" s="28"/>
      <c r="J2181" s="184" t="str">
        <f t="shared" si="67"/>
        <v>RFITD</v>
      </c>
    </row>
    <row r="2182" spans="3:10" x14ac:dyDescent="0.25">
      <c r="C2182" s="28" t="s">
        <v>875</v>
      </c>
      <c r="D2182" s="188" t="str">
        <f>+INDEX([1]Detallado!$F:$F,MATCH($C2182,[1]Detallado!$B:$B,0))</f>
        <v>Renta Fija</v>
      </c>
      <c r="E2182" s="31" t="str">
        <f>+INDEX([1]Detallado!$Q:$Q,MATCH($C2182,[1]Detallado!$B:$B,0))</f>
        <v>RFIG</v>
      </c>
      <c r="F2182" s="185" t="s">
        <v>4356</v>
      </c>
      <c r="G2182" s="186" t="str">
        <f t="shared" si="66"/>
        <v>08RFIG</v>
      </c>
      <c r="H2182" s="187" t="str">
        <f>+INDEX([1]Detallado!$D:$D,MATCH(C2182,[1]Detallado!$B:$B,0))</f>
        <v>Gobierno de Japon</v>
      </c>
      <c r="I2182" s="28"/>
      <c r="J2182" s="184" t="str">
        <f t="shared" si="67"/>
        <v>RFIGOB</v>
      </c>
    </row>
    <row r="2183" spans="3:10" x14ac:dyDescent="0.25">
      <c r="C2183" s="28" t="s">
        <v>2947</v>
      </c>
      <c r="D2183" s="188" t="str">
        <f>+INDEX([1]Detallado!$F:$F,MATCH($C2183,[1]Detallado!$B:$B,0))</f>
        <v>Renta Fija</v>
      </c>
      <c r="E2183" s="31" t="str">
        <f>+INDEX([1]Detallado!$Q:$Q,MATCH($C2183,[1]Detallado!$B:$B,0))</f>
        <v>RFIG</v>
      </c>
      <c r="F2183" s="185" t="s">
        <v>4356</v>
      </c>
      <c r="G2183" s="186" t="str">
        <f t="shared" si="66"/>
        <v>08RFIG</v>
      </c>
      <c r="H2183" s="187" t="str">
        <f>+INDEX([1]Detallado!$D:$D,MATCH(C2183,[1]Detallado!$B:$B,0))</f>
        <v>Gobierno de los Estados Unidos</v>
      </c>
      <c r="I2183" s="28"/>
      <c r="J2183" s="184" t="str">
        <f t="shared" si="67"/>
        <v>RFIGOB</v>
      </c>
    </row>
    <row r="2184" spans="3:10" x14ac:dyDescent="0.25">
      <c r="C2184" s="28" t="s">
        <v>2949</v>
      </c>
      <c r="D2184" s="188" t="str">
        <f>+INDEX([1]Detallado!$F:$F,MATCH($C2184,[1]Detallado!$B:$B,0))</f>
        <v>Renta Fija</v>
      </c>
      <c r="E2184" s="31" t="str">
        <f>+INDEX([1]Detallado!$Q:$Q,MATCH($C2184,[1]Detallado!$B:$B,0))</f>
        <v>RFIG</v>
      </c>
      <c r="F2184" s="185" t="s">
        <v>4356</v>
      </c>
      <c r="G2184" s="186" t="str">
        <f t="shared" si="66"/>
        <v>08RFIG</v>
      </c>
      <c r="H2184" s="187" t="str">
        <f>+INDEX([1]Detallado!$D:$D,MATCH(C2184,[1]Detallado!$B:$B,0))</f>
        <v>Gobierno de los Estados Unidos</v>
      </c>
      <c r="I2184" s="28"/>
      <c r="J2184" s="184" t="str">
        <f t="shared" si="67"/>
        <v>RFIGOB</v>
      </c>
    </row>
    <row r="2185" spans="3:10" x14ac:dyDescent="0.25">
      <c r="C2185" s="28" t="s">
        <v>901</v>
      </c>
      <c r="D2185" s="188" t="str">
        <f>+INDEX([1]Detallado!$F:$F,MATCH($C2185,[1]Detallado!$B:$B,0))</f>
        <v>Renta Fija</v>
      </c>
      <c r="E2185" s="31" t="str">
        <f>+INDEX([1]Detallado!$Q:$Q,MATCH($C2185,[1]Detallado!$B:$B,0))</f>
        <v>RFIG</v>
      </c>
      <c r="F2185" s="185" t="s">
        <v>4356</v>
      </c>
      <c r="G2185" s="186" t="str">
        <f t="shared" si="66"/>
        <v>08RFIG</v>
      </c>
      <c r="H2185" s="187" t="str">
        <f>+INDEX([1]Detallado!$D:$D,MATCH(C2185,[1]Detallado!$B:$B,0))</f>
        <v>Gobierno de los Estados Unidos</v>
      </c>
      <c r="I2185" s="28"/>
      <c r="J2185" s="184" t="str">
        <f t="shared" si="67"/>
        <v>RFIGOB</v>
      </c>
    </row>
    <row r="2186" spans="3:10" x14ac:dyDescent="0.25">
      <c r="C2186" s="28" t="s">
        <v>2999</v>
      </c>
      <c r="D2186" s="188" t="str">
        <f>+INDEX([1]Detallado!$F:$F,MATCH($C2186,[1]Detallado!$B:$B,0))</f>
        <v>Renta Fija</v>
      </c>
      <c r="E2186" s="31" t="str">
        <f>+INDEX([1]Detallado!$Q:$Q,MATCH($C2186,[1]Detallado!$B:$B,0))</f>
        <v>RFIG</v>
      </c>
      <c r="F2186" s="185"/>
      <c r="G2186" s="186" t="str">
        <f t="shared" ref="G2186:G2249" si="68">LEFT(C2186,2)&amp;E2186</f>
        <v>52RFIG</v>
      </c>
      <c r="H2186" s="187" t="str">
        <f>+INDEX([1]Detallado!$D:$D,MATCH(C2186,[1]Detallado!$B:$B,0))</f>
        <v>Colchester Local Markets Bond Fund USD Unhedged</v>
      </c>
      <c r="I2186" s="28"/>
      <c r="J2186" s="184" t="str">
        <f t="shared" ref="J2186:J2212" si="69">IF(E2186="ALT",LEFT(E2186,3),LEFT(E2186,3)&amp;F2186)</f>
        <v>RFI</v>
      </c>
    </row>
    <row r="2187" spans="3:10" x14ac:dyDescent="0.25">
      <c r="C2187" s="28" t="s">
        <v>949</v>
      </c>
      <c r="D2187" s="188" t="str">
        <f>+INDEX([1]Detallado!$F:$F,MATCH($C2187,[1]Detallado!$B:$B,0))</f>
        <v>Renta Fija</v>
      </c>
      <c r="E2187" s="31" t="str">
        <f>+INDEX([1]Detallado!$Q:$Q,MATCH($C2187,[1]Detallado!$B:$B,0))</f>
        <v>RFIG</v>
      </c>
      <c r="F2187" s="185" t="s">
        <v>4355</v>
      </c>
      <c r="G2187" s="186" t="str">
        <f t="shared" si="68"/>
        <v>52RFIG</v>
      </c>
      <c r="H2187" s="187" t="str">
        <f>+INDEX([1]Detallado!$D:$D,MATCH(C2187,[1]Detallado!$B:$B,0))</f>
        <v>Moneda - Latam High Yield</v>
      </c>
      <c r="I2187" s="28"/>
      <c r="J2187" s="184" t="str">
        <f t="shared" si="69"/>
        <v>RFITD</v>
      </c>
    </row>
    <row r="2188" spans="3:10" x14ac:dyDescent="0.25">
      <c r="C2188" s="28" t="s">
        <v>3007</v>
      </c>
      <c r="D2188" s="188" t="str">
        <f>+INDEX([1]Detallado!$F:$F,MATCH($C2188,[1]Detallado!$B:$B,0))</f>
        <v>Renta Fija</v>
      </c>
      <c r="E2188" s="31" t="str">
        <f>+INDEX([1]Detallado!$Q:$Q,MATCH($C2188,[1]Detallado!$B:$B,0))</f>
        <v>RFIC</v>
      </c>
      <c r="F2188" s="185" t="s">
        <v>4357</v>
      </c>
      <c r="G2188" s="186" t="str">
        <f t="shared" si="68"/>
        <v>12RFIC</v>
      </c>
      <c r="H2188" s="187" t="str">
        <f>+INDEX([1]Detallado!$D:$D,MATCH(C2188,[1]Detallado!$B:$B,0))</f>
        <v>Braskem</v>
      </c>
      <c r="I2188" s="28"/>
      <c r="J2188" s="184" t="str">
        <f t="shared" si="69"/>
        <v>RFIBU</v>
      </c>
    </row>
    <row r="2189" spans="3:10" x14ac:dyDescent="0.25">
      <c r="C2189" s="28" t="s">
        <v>903</v>
      </c>
      <c r="D2189" s="188" t="str">
        <f>+INDEX([1]Detallado!$F:$F,MATCH($C2189,[1]Detallado!$B:$B,0))</f>
        <v>Renta Fija</v>
      </c>
      <c r="E2189" s="31" t="str">
        <f>+INDEX([1]Detallado!$Q:$Q,MATCH($C2189,[1]Detallado!$B:$B,0))</f>
        <v>RFIC</v>
      </c>
      <c r="F2189" s="185" t="s">
        <v>4357</v>
      </c>
      <c r="G2189" s="186" t="str">
        <f t="shared" si="68"/>
        <v>15RFIC</v>
      </c>
      <c r="H2189" s="187" t="str">
        <f>+INDEX([1]Detallado!$D:$D,MATCH(C2189,[1]Detallado!$B:$B,0))</f>
        <v>Grupo Financiero Banorte</v>
      </c>
      <c r="I2189" s="28"/>
      <c r="J2189" s="184" t="str">
        <f t="shared" si="69"/>
        <v>RFIBU</v>
      </c>
    </row>
    <row r="2190" spans="3:10" x14ac:dyDescent="0.25">
      <c r="C2190" s="28" t="s">
        <v>3058</v>
      </c>
      <c r="D2190" s="188" t="str">
        <f>+INDEX([1]Detallado!$F:$F,MATCH($C2190,[1]Detallado!$B:$B,0))</f>
        <v>Renta Fija</v>
      </c>
      <c r="E2190" s="31" t="str">
        <f>+INDEX([1]Detallado!$Q:$Q,MATCH($C2190,[1]Detallado!$B:$B,0))</f>
        <v>RFIC</v>
      </c>
      <c r="F2190" s="185" t="s">
        <v>4357</v>
      </c>
      <c r="G2190" s="186" t="str">
        <f t="shared" si="68"/>
        <v>12RFIC</v>
      </c>
      <c r="H2190" s="187" t="str">
        <f>+INDEX([1]Detallado!$D:$D,MATCH(C2190,[1]Detallado!$B:$B,0))</f>
        <v>Grupo Energia Bogota</v>
      </c>
      <c r="I2190" s="28"/>
      <c r="J2190" s="184" t="str">
        <f t="shared" si="69"/>
        <v>RFIBU</v>
      </c>
    </row>
    <row r="2191" spans="3:10" x14ac:dyDescent="0.25">
      <c r="C2191" s="28" t="s">
        <v>3108</v>
      </c>
      <c r="D2191" s="188" t="str">
        <f>+INDEX([1]Detallado!$F:$F,MATCH($C2191,[1]Detallado!$B:$B,0))</f>
        <v>Renta Fija</v>
      </c>
      <c r="E2191" s="31" t="str">
        <f>+INDEX([1]Detallado!$Q:$Q,MATCH($C2191,[1]Detallado!$B:$B,0))</f>
        <v>RFIC</v>
      </c>
      <c r="F2191" s="185" t="s">
        <v>4357</v>
      </c>
      <c r="G2191" s="186" t="str">
        <f t="shared" si="68"/>
        <v>12RFIC</v>
      </c>
      <c r="H2191" s="187" t="str">
        <f>+INDEX([1]Detallado!$D:$D,MATCH(C2191,[1]Detallado!$B:$B,0))</f>
        <v>Fresnillo PLC</v>
      </c>
      <c r="I2191" s="28"/>
      <c r="J2191" s="184" t="str">
        <f t="shared" si="69"/>
        <v>RFIBU</v>
      </c>
    </row>
    <row r="2192" spans="3:10" x14ac:dyDescent="0.25">
      <c r="C2192" s="28" t="s">
        <v>3140</v>
      </c>
      <c r="D2192" s="188" t="str">
        <f>+INDEX([1]Detallado!$F:$F,MATCH($C2192,[1]Detallado!$B:$B,0))</f>
        <v>Renta Fija</v>
      </c>
      <c r="E2192" s="31" t="str">
        <f>+INDEX([1]Detallado!$Q:$Q,MATCH($C2192,[1]Detallado!$B:$B,0))</f>
        <v>RFIG</v>
      </c>
      <c r="F2192" s="185" t="s">
        <v>4356</v>
      </c>
      <c r="G2192" s="186" t="str">
        <f t="shared" si="68"/>
        <v>08RFIG</v>
      </c>
      <c r="H2192" s="187" t="str">
        <f>+INDEX([1]Detallado!$D:$D,MATCH(C2192,[1]Detallado!$B:$B,0))</f>
        <v>Gobierno de Colombia</v>
      </c>
      <c r="I2192" s="28"/>
      <c r="J2192" s="184" t="str">
        <f t="shared" si="69"/>
        <v>RFIGOB</v>
      </c>
    </row>
    <row r="2193" spans="3:10" x14ac:dyDescent="0.25">
      <c r="C2193" s="28" t="s">
        <v>883</v>
      </c>
      <c r="D2193" s="188" t="str">
        <f>+INDEX([1]Detallado!$F:$F,MATCH($C2193,[1]Detallado!$B:$B,0))</f>
        <v>Renta Fija</v>
      </c>
      <c r="E2193" s="31" t="str">
        <f>+INDEX([1]Detallado!$Q:$Q,MATCH($C2193,[1]Detallado!$B:$B,0))</f>
        <v>RFIG</v>
      </c>
      <c r="F2193" s="185" t="s">
        <v>4356</v>
      </c>
      <c r="G2193" s="186" t="str">
        <f t="shared" si="68"/>
        <v>08RFIG</v>
      </c>
      <c r="H2193" s="187" t="str">
        <f>+INDEX([1]Detallado!$D:$D,MATCH(C2193,[1]Detallado!$B:$B,0))</f>
        <v>Gobierno de Colombia</v>
      </c>
      <c r="I2193" s="28"/>
      <c r="J2193" s="184" t="str">
        <f t="shared" si="69"/>
        <v>RFIGOB</v>
      </c>
    </row>
    <row r="2194" spans="3:10" x14ac:dyDescent="0.25">
      <c r="C2194" s="28" t="s">
        <v>885</v>
      </c>
      <c r="D2194" s="188" t="str">
        <f>+INDEX([1]Detallado!$F:$F,MATCH($C2194,[1]Detallado!$B:$B,0))</f>
        <v>Renta Fija</v>
      </c>
      <c r="E2194" s="31" t="str">
        <f>+INDEX([1]Detallado!$Q:$Q,MATCH($C2194,[1]Detallado!$B:$B,0))</f>
        <v>RFIG</v>
      </c>
      <c r="F2194" s="185" t="s">
        <v>4356</v>
      </c>
      <c r="G2194" s="186" t="str">
        <f t="shared" si="68"/>
        <v>08RFIG</v>
      </c>
      <c r="H2194" s="187" t="str">
        <f>+INDEX([1]Detallado!$D:$D,MATCH(C2194,[1]Detallado!$B:$B,0))</f>
        <v>Gobierno de Colombia</v>
      </c>
      <c r="I2194" s="28"/>
      <c r="J2194" s="184" t="str">
        <f t="shared" si="69"/>
        <v>RFIGOB</v>
      </c>
    </row>
    <row r="2195" spans="3:10" x14ac:dyDescent="0.25">
      <c r="C2195" s="28" t="s">
        <v>3161</v>
      </c>
      <c r="D2195" s="188" t="str">
        <f>+INDEX([1]Detallado!$F:$F,MATCH($C2195,[1]Detallado!$B:$B,0))</f>
        <v>Renta Fija</v>
      </c>
      <c r="E2195" s="31" t="str">
        <f>+INDEX([1]Detallado!$Q:$Q,MATCH($C2195,[1]Detallado!$B:$B,0))</f>
        <v>RFIG</v>
      </c>
      <c r="F2195" s="185" t="s">
        <v>4356</v>
      </c>
      <c r="G2195" s="186" t="str">
        <f t="shared" si="68"/>
        <v>08RFIG</v>
      </c>
      <c r="H2195" s="187" t="str">
        <f>+INDEX([1]Detallado!$D:$D,MATCH(C2195,[1]Detallado!$B:$B,0))</f>
        <v>Gobierno de Mexico</v>
      </c>
      <c r="I2195" s="28"/>
      <c r="J2195" s="184" t="str">
        <f t="shared" si="69"/>
        <v>RFIGOB</v>
      </c>
    </row>
    <row r="2196" spans="3:10" x14ac:dyDescent="0.25">
      <c r="C2196" s="28" t="s">
        <v>3162</v>
      </c>
      <c r="D2196" s="188" t="str">
        <f>+INDEX([1]Detallado!$F:$F,MATCH($C2196,[1]Detallado!$B:$B,0))</f>
        <v>Renta Fija</v>
      </c>
      <c r="E2196" s="31" t="str">
        <f>+INDEX([1]Detallado!$Q:$Q,MATCH($C2196,[1]Detallado!$B:$B,0))</f>
        <v>RFIG</v>
      </c>
      <c r="F2196" s="185" t="s">
        <v>4356</v>
      </c>
      <c r="G2196" s="186" t="str">
        <f t="shared" si="68"/>
        <v>08RFIG</v>
      </c>
      <c r="H2196" s="187" t="str">
        <f>+INDEX([1]Detallado!$D:$D,MATCH(C2196,[1]Detallado!$B:$B,0))</f>
        <v>Gobierno de Mexico</v>
      </c>
      <c r="I2196" s="28"/>
      <c r="J2196" s="184" t="str">
        <f t="shared" si="69"/>
        <v>RFIGOB</v>
      </c>
    </row>
    <row r="2197" spans="3:10" x14ac:dyDescent="0.25">
      <c r="C2197" s="28" t="s">
        <v>3196</v>
      </c>
      <c r="D2197" s="188" t="str">
        <f>+INDEX([1]Detallado!$F:$F,MATCH($C2197,[1]Detallado!$B:$B,0))</f>
        <v>Renta Fija</v>
      </c>
      <c r="E2197" s="31" t="str">
        <f>+INDEX([1]Detallado!$Q:$Q,MATCH($C2197,[1]Detallado!$B:$B,0))</f>
        <v>RFLG</v>
      </c>
      <c r="F2197" s="185"/>
      <c r="G2197" s="186" t="str">
        <f t="shared" si="68"/>
        <v>49RFLG</v>
      </c>
      <c r="H2197" s="187" t="str">
        <f>+INDEX([1]Detallado!$D:$D,MATCH(C2197,[1]Detallado!$B:$B,0))</f>
        <v>Compass - Fondo de Inversión Acreencias High Yield</v>
      </c>
      <c r="I2197" s="28"/>
      <c r="J2197" s="184" t="str">
        <f t="shared" si="69"/>
        <v>RFL</v>
      </c>
    </row>
    <row r="2198" spans="3:10" x14ac:dyDescent="0.25">
      <c r="C2198" s="28" t="s">
        <v>914</v>
      </c>
      <c r="D2198" s="188" t="str">
        <f>+INDEX([1]Detallado!$F:$F,MATCH($C2198,[1]Detallado!$B:$B,0))</f>
        <v>Renta Fija</v>
      </c>
      <c r="E2198" s="31" t="str">
        <f>+INDEX([1]Detallado!$Q:$Q,MATCH($C2198,[1]Detallado!$B:$B,0))</f>
        <v>RFLC</v>
      </c>
      <c r="F2198" s="185" t="s">
        <v>4357</v>
      </c>
      <c r="G2198" s="186" t="str">
        <f t="shared" si="68"/>
        <v>22RFLC</v>
      </c>
      <c r="H2198" s="187" t="str">
        <f>+INDEX([1]Detallado!$D:$D,MATCH(C2198,[1]Detallado!$B:$B,0))</f>
        <v>Site del Perú</v>
      </c>
      <c r="I2198" s="28"/>
      <c r="J2198" s="184" t="str">
        <f t="shared" si="69"/>
        <v>RFLBU</v>
      </c>
    </row>
    <row r="2199" spans="3:10" x14ac:dyDescent="0.25">
      <c r="C2199" s="28" t="s">
        <v>4149</v>
      </c>
      <c r="D2199" s="188" t="str">
        <f>+INDEX([1]Detallado!$F:$F,MATCH($C2199,[1]Detallado!$B:$B,0))</f>
        <v>Derivados</v>
      </c>
      <c r="E2199" s="31" t="str">
        <f>+INDEX([1]Detallado!$Q:$Q,MATCH($C2199,[1]Detallado!$B:$B,0))</f>
        <v>RVI</v>
      </c>
      <c r="F2199" s="185" t="s">
        <v>4355</v>
      </c>
      <c r="G2199" s="186" t="str">
        <f t="shared" si="68"/>
        <v>PTRVI</v>
      </c>
      <c r="H2199" s="187" t="str">
        <f>+INDEX([1]Detallado!$D:$D,MATCH(C2199,[1]Detallado!$B:$B,0))</f>
        <v>SPY US 01/19/24 C440</v>
      </c>
      <c r="I2199" s="28"/>
      <c r="J2199" s="184" t="str">
        <f t="shared" si="69"/>
        <v>RVITD</v>
      </c>
    </row>
    <row r="2200" spans="3:10" x14ac:dyDescent="0.25">
      <c r="C2200" s="28" t="s">
        <v>4150</v>
      </c>
      <c r="D2200" s="188" t="str">
        <f>+INDEX([1]Detallado!$F:$F,MATCH($C2200,[1]Detallado!$B:$B,0))</f>
        <v>Derivados</v>
      </c>
      <c r="E2200" s="31" t="str">
        <f>+INDEX([1]Detallado!$Q:$Q,MATCH($C2200,[1]Detallado!$B:$B,0))</f>
        <v>RVI</v>
      </c>
      <c r="F2200" s="185" t="s">
        <v>4355</v>
      </c>
      <c r="G2200" s="186" t="str">
        <f t="shared" si="68"/>
        <v>PTRVI</v>
      </c>
      <c r="H2200" s="187" t="str">
        <f>+INDEX([1]Detallado!$D:$D,MATCH(C2200,[1]Detallado!$B:$B,0))</f>
        <v>SPY US 01/19/24 C430</v>
      </c>
      <c r="I2200" s="28"/>
      <c r="J2200" s="184" t="str">
        <f t="shared" si="69"/>
        <v>RVITD</v>
      </c>
    </row>
    <row r="2201" spans="3:10" x14ac:dyDescent="0.25">
      <c r="C2201" s="28" t="s">
        <v>4151</v>
      </c>
      <c r="D2201" s="188" t="str">
        <f>+INDEX([1]Detallado!$F:$F,MATCH($C2201,[1]Detallado!$B:$B,0))</f>
        <v>Derivados</v>
      </c>
      <c r="E2201" s="31" t="str">
        <f>+INDEX([1]Detallado!$Q:$Q,MATCH($C2201,[1]Detallado!$B:$B,0))</f>
        <v>RVI</v>
      </c>
      <c r="F2201" s="185" t="s">
        <v>4355</v>
      </c>
      <c r="G2201" s="186" t="str">
        <f t="shared" si="68"/>
        <v>PTRVI</v>
      </c>
      <c r="H2201" s="187" t="str">
        <f>+INDEX([1]Detallado!$D:$D,MATCH(C2201,[1]Detallado!$B:$B,0))</f>
        <v>SPY US 01/19/24 C450</v>
      </c>
      <c r="I2201" s="28"/>
      <c r="J2201" s="184" t="str">
        <f t="shared" si="69"/>
        <v>RVITD</v>
      </c>
    </row>
    <row r="2202" spans="3:10" x14ac:dyDescent="0.25">
      <c r="C2202" s="28" t="s">
        <v>4152</v>
      </c>
      <c r="D2202" s="188" t="str">
        <f>+INDEX([1]Detallado!$F:$F,MATCH($C2202,[1]Detallado!$B:$B,0))</f>
        <v>Derivados</v>
      </c>
      <c r="E2202" s="31" t="str">
        <f>+INDEX([1]Detallado!$Q:$Q,MATCH($C2202,[1]Detallado!$B:$B,0))</f>
        <v>RVI</v>
      </c>
      <c r="F2202" s="185" t="s">
        <v>4355</v>
      </c>
      <c r="G2202" s="186" t="str">
        <f t="shared" si="68"/>
        <v>PTRVI</v>
      </c>
      <c r="H2202" s="187" t="str">
        <f>+INDEX([1]Detallado!$D:$D,MATCH(C2202,[1]Detallado!$B:$B,0))</f>
        <v>SPY US 03/15/24 C460</v>
      </c>
      <c r="I2202" s="28"/>
      <c r="J2202" s="184" t="str">
        <f t="shared" si="69"/>
        <v>RVITD</v>
      </c>
    </row>
    <row r="2203" spans="3:10" x14ac:dyDescent="0.25">
      <c r="C2203" s="28" t="s">
        <v>4155</v>
      </c>
      <c r="D2203" s="188" t="str">
        <f>+INDEX([1]Detallado!$F:$F,MATCH($C2203,[1]Detallado!$B:$B,0))</f>
        <v>Derivados</v>
      </c>
      <c r="E2203" s="31" t="str">
        <f>+INDEX([1]Detallado!$Q:$Q,MATCH($C2203,[1]Detallado!$B:$B,0))</f>
        <v>RVI</v>
      </c>
      <c r="F2203" s="185" t="s">
        <v>4355</v>
      </c>
      <c r="G2203" s="186" t="str">
        <f t="shared" si="68"/>
        <v>PTRVI</v>
      </c>
      <c r="H2203" s="187" t="str">
        <f>+INDEX([1]Detallado!$D:$D,MATCH(C2203,[1]Detallado!$B:$B,0))</f>
        <v>SPY US 12/15/23 C450</v>
      </c>
      <c r="I2203" s="28"/>
      <c r="J2203" s="184" t="str">
        <f t="shared" si="69"/>
        <v>RVITD</v>
      </c>
    </row>
    <row r="2204" spans="3:10" x14ac:dyDescent="0.25">
      <c r="C2204" s="28" t="s">
        <v>921</v>
      </c>
      <c r="D2204" s="188" t="str">
        <f>+INDEX([1]Detallado!$F:$F,MATCH($C2204,[1]Detallado!$B:$B,0))</f>
        <v>Renta Variable</v>
      </c>
      <c r="E2204" s="31" t="str">
        <f>+INDEX([1]Detallado!$Q:$Q,MATCH($C2204,[1]Detallado!$B:$B,0))</f>
        <v>RVL</v>
      </c>
      <c r="F2204" s="185" t="s">
        <v>4357</v>
      </c>
      <c r="G2204" s="186" t="str">
        <f t="shared" si="68"/>
        <v>40RVL</v>
      </c>
      <c r="H2204" s="187" t="str">
        <f>+INDEX([1]Detallado!$D:$D,MATCH(C2204,[1]Detallado!$B:$B,0))</f>
        <v>Graña y Montero S.A.A.</v>
      </c>
      <c r="I2204" s="28"/>
      <c r="J2204" s="184" t="str">
        <f t="shared" si="69"/>
        <v>RVLBU</v>
      </c>
    </row>
    <row r="2205" spans="3:10" x14ac:dyDescent="0.25">
      <c r="C2205" s="28" t="s">
        <v>4325</v>
      </c>
      <c r="D2205" s="188" t="str">
        <f>+INDEX([1]Detallado!$F:$F,MATCH($C2205,[1]Detallado!$B:$B,0))</f>
        <v>Derivados</v>
      </c>
      <c r="E2205" s="31" t="str">
        <f>+INDEX([1]Detallado!$Q:$Q,MATCH($C2205,[1]Detallado!$B:$B,0))</f>
        <v>RFIG</v>
      </c>
      <c r="F2205" s="185">
        <v>0</v>
      </c>
      <c r="G2205" s="186" t="str">
        <f t="shared" si="68"/>
        <v>FTRFIG</v>
      </c>
      <c r="H2205" s="187">
        <f>+INDEX([1]Detallado!$D:$D,MATCH(C2205,[1]Detallado!$B:$B,0))</f>
        <v>0</v>
      </c>
      <c r="I2205" s="28"/>
      <c r="J2205" s="184" t="str">
        <f t="shared" si="69"/>
        <v>RFI0</v>
      </c>
    </row>
    <row r="2206" spans="3:10" x14ac:dyDescent="0.25">
      <c r="C2206" s="28" t="s">
        <v>4326</v>
      </c>
      <c r="D2206" s="188" t="str">
        <f>+INDEX([1]Detallado!$F:$F,MATCH($C2206,[1]Detallado!$B:$B,0))</f>
        <v>Derivados</v>
      </c>
      <c r="E2206" s="31" t="str">
        <f>+INDEX([1]Detallado!$Q:$Q,MATCH($C2206,[1]Detallado!$B:$B,0))</f>
        <v>RFIG</v>
      </c>
      <c r="F2206" s="185">
        <v>0</v>
      </c>
      <c r="G2206" s="186" t="str">
        <f t="shared" si="68"/>
        <v>FTRFIG</v>
      </c>
      <c r="H2206" s="187">
        <f>+INDEX([1]Detallado!$D:$D,MATCH(C2206,[1]Detallado!$B:$B,0))</f>
        <v>0</v>
      </c>
      <c r="I2206" s="28"/>
      <c r="J2206" s="184" t="str">
        <f t="shared" si="69"/>
        <v>RFI0</v>
      </c>
    </row>
    <row r="2207" spans="3:10" x14ac:dyDescent="0.25">
      <c r="C2207" s="28" t="s">
        <v>895</v>
      </c>
      <c r="D2207" s="188" t="str">
        <f>+INDEX([1]Detallado!$F:$F,MATCH($C2207,[1]Detallado!$B:$B,0))</f>
        <v>Renta Fija</v>
      </c>
      <c r="E2207" s="31" t="str">
        <f>+INDEX([1]Detallado!$Q:$Q,MATCH($C2207,[1]Detallado!$B:$B,0))</f>
        <v>RFIG</v>
      </c>
      <c r="F2207" s="185" t="s">
        <v>4356</v>
      </c>
      <c r="G2207" s="186" t="str">
        <f t="shared" si="68"/>
        <v>08RFIG</v>
      </c>
      <c r="H2207" s="187" t="str">
        <f>+INDEX([1]Detallado!$D:$D,MATCH(C2207,[1]Detallado!$B:$B,0))</f>
        <v>Gobierno de Mexico</v>
      </c>
      <c r="I2207" s="28"/>
      <c r="J2207" s="184" t="str">
        <f t="shared" si="69"/>
        <v>RFIGOB</v>
      </c>
    </row>
    <row r="2208" spans="3:10" x14ac:dyDescent="0.25">
      <c r="C2208" s="28" t="s">
        <v>916</v>
      </c>
      <c r="D2208" s="188" t="e">
        <f>+INDEX([1]Detallado!$F:$F,MATCH($C2208,[1]Detallado!$B:$B,0))</f>
        <v>#N/A</v>
      </c>
      <c r="E2208" s="31" t="e">
        <f>+INDEX([1]Detallado!$Q:$Q,MATCH($C2208,[1]Detallado!$B:$B,0))</f>
        <v>#N/A</v>
      </c>
      <c r="F2208" s="185" t="s">
        <v>4357</v>
      </c>
      <c r="G2208" s="186" t="e">
        <f t="shared" si="68"/>
        <v>#N/A</v>
      </c>
      <c r="H2208" s="187" t="e">
        <f>+INDEX([1]Detallado!$D:$D,MATCH(C2208,[1]Detallado!$B:$B,0))</f>
        <v>#N/A</v>
      </c>
      <c r="I2208" s="28"/>
      <c r="J2208" s="184" t="e">
        <f t="shared" si="69"/>
        <v>#N/A</v>
      </c>
    </row>
    <row r="2209" spans="3:10" x14ac:dyDescent="0.25">
      <c r="C2209" s="28" t="s">
        <v>917</v>
      </c>
      <c r="D2209" s="188" t="e">
        <f>+INDEX([1]Detallado!$F:$F,MATCH($C2209,[1]Detallado!$B:$B,0))</f>
        <v>#N/A</v>
      </c>
      <c r="E2209" s="31" t="e">
        <f>+INDEX([1]Detallado!$Q:$Q,MATCH($C2209,[1]Detallado!$B:$B,0))</f>
        <v>#N/A</v>
      </c>
      <c r="F2209" s="185" t="s">
        <v>4357</v>
      </c>
      <c r="G2209" s="186" t="e">
        <f t="shared" si="68"/>
        <v>#N/A</v>
      </c>
      <c r="H2209" s="187" t="e">
        <f>+INDEX([1]Detallado!$D:$D,MATCH(C2209,[1]Detallado!$B:$B,0))</f>
        <v>#N/A</v>
      </c>
      <c r="I2209" s="28"/>
      <c r="J2209" s="184" t="e">
        <f t="shared" si="69"/>
        <v>#N/A</v>
      </c>
    </row>
    <row r="2210" spans="3:10" x14ac:dyDescent="0.25">
      <c r="C2210" s="28" t="s">
        <v>918</v>
      </c>
      <c r="D2210" s="188" t="e">
        <f>+INDEX([1]Detallado!$F:$F,MATCH($C2210,[1]Detallado!$B:$B,0))</f>
        <v>#N/A</v>
      </c>
      <c r="E2210" s="31" t="e">
        <f>+INDEX([1]Detallado!$Q:$Q,MATCH($C2210,[1]Detallado!$B:$B,0))</f>
        <v>#N/A</v>
      </c>
      <c r="F2210" s="185" t="s">
        <v>4357</v>
      </c>
      <c r="G2210" s="186" t="e">
        <f t="shared" si="68"/>
        <v>#N/A</v>
      </c>
      <c r="H2210" s="187" t="e">
        <f>+INDEX([1]Detallado!$D:$D,MATCH(C2210,[1]Detallado!$B:$B,0))</f>
        <v>#N/A</v>
      </c>
      <c r="I2210" s="28"/>
      <c r="J2210" s="184" t="e">
        <f t="shared" si="69"/>
        <v>#N/A</v>
      </c>
    </row>
    <row r="2211" spans="3:10" x14ac:dyDescent="0.25">
      <c r="C2211" s="28" t="s">
        <v>919</v>
      </c>
      <c r="D2211" s="188" t="e">
        <f>+INDEX([1]Detallado!$F:$F,MATCH($C2211,[1]Detallado!$B:$B,0))</f>
        <v>#N/A</v>
      </c>
      <c r="E2211" s="31" t="e">
        <f>+INDEX([1]Detallado!$Q:$Q,MATCH($C2211,[1]Detallado!$B:$B,0))</f>
        <v>#N/A</v>
      </c>
      <c r="F2211" s="185" t="s">
        <v>4357</v>
      </c>
      <c r="G2211" s="186" t="e">
        <f t="shared" si="68"/>
        <v>#N/A</v>
      </c>
      <c r="H2211" s="187" t="e">
        <f>+INDEX([1]Detallado!$D:$D,MATCH(C2211,[1]Detallado!$B:$B,0))</f>
        <v>#N/A</v>
      </c>
      <c r="I2211" s="28"/>
      <c r="J2211" s="184" t="e">
        <f t="shared" si="69"/>
        <v>#N/A</v>
      </c>
    </row>
    <row r="2212" spans="3:10" x14ac:dyDescent="0.25">
      <c r="C2212" s="28" t="s">
        <v>920</v>
      </c>
      <c r="D2212" s="188" t="e">
        <f>+INDEX([1]Detallado!$F:$F,MATCH($C2212,[1]Detallado!$B:$B,0))</f>
        <v>#N/A</v>
      </c>
      <c r="E2212" s="31" t="e">
        <f>+INDEX([1]Detallado!$Q:$Q,MATCH($C2212,[1]Detallado!$B:$B,0))</f>
        <v>#N/A</v>
      </c>
      <c r="F2212" s="185" t="s">
        <v>4357</v>
      </c>
      <c r="G2212" s="186" t="e">
        <f t="shared" si="68"/>
        <v>#N/A</v>
      </c>
      <c r="H2212" s="187" t="e">
        <f>+INDEX([1]Detallado!$D:$D,MATCH(C2212,[1]Detallado!$B:$B,0))</f>
        <v>#N/A</v>
      </c>
      <c r="I2212" s="28"/>
      <c r="J2212" s="184" t="e">
        <f t="shared" si="69"/>
        <v>#N/A</v>
      </c>
    </row>
    <row r="2213" spans="3:10" x14ac:dyDescent="0.25">
      <c r="C2213" s="28" t="s">
        <v>4642</v>
      </c>
      <c r="D2213" s="188" t="e">
        <f>+INDEX([1]Detallado!$F:$F,MATCH($C2213,[1]Detallado!$B:$B,0))</f>
        <v>#N/A</v>
      </c>
      <c r="E2213" s="31" t="e">
        <f>+INDEX([1]Detallado!$Q:$Q,MATCH($C2213,[1]Detallado!$B:$B,0))</f>
        <v>#N/A</v>
      </c>
      <c r="F2213" s="185" t="s">
        <v>4357</v>
      </c>
      <c r="G2213" s="186" t="e">
        <f t="shared" si="68"/>
        <v>#N/A</v>
      </c>
      <c r="H2213" s="187" t="s">
        <v>2795</v>
      </c>
      <c r="I2213" s="28"/>
      <c r="J2213" s="184" t="s">
        <v>4357</v>
      </c>
    </row>
    <row r="2214" spans="3:10" x14ac:dyDescent="0.25">
      <c r="C2214" s="28" t="s">
        <v>4643</v>
      </c>
      <c r="D2214" s="188" t="e">
        <f>+INDEX([1]Detallado!$F:$F,MATCH($C2214,[1]Detallado!$B:$B,0))</f>
        <v>#N/A</v>
      </c>
      <c r="E2214" s="31" t="e">
        <f>+INDEX([1]Detallado!$Q:$Q,MATCH($C2214,[1]Detallado!$B:$B,0))</f>
        <v>#N/A</v>
      </c>
      <c r="F2214" s="185" t="s">
        <v>4357</v>
      </c>
      <c r="G2214" s="186" t="e">
        <f t="shared" si="68"/>
        <v>#N/A</v>
      </c>
      <c r="H2214" s="187" t="e">
        <f>+INDEX([1]Detallado!$D:$D,MATCH(C2214,[1]Detallado!$B:$B,0))</f>
        <v>#N/A</v>
      </c>
      <c r="I2214" s="28"/>
      <c r="J2214" s="184" t="e">
        <f t="shared" ref="J2214:J2217" si="70">IF(E2214="ALT",LEFT(E2214,3),LEFT(E2214,3)&amp;F2214)</f>
        <v>#N/A</v>
      </c>
    </row>
    <row r="2215" spans="3:10" x14ac:dyDescent="0.25">
      <c r="C2215" s="28" t="s">
        <v>4644</v>
      </c>
      <c r="D2215" s="188" t="e">
        <f>+INDEX([1]Detallado!$F:$F,MATCH($C2215,[1]Detallado!$B:$B,0))</f>
        <v>#N/A</v>
      </c>
      <c r="E2215" s="31" t="e">
        <f>+INDEX([1]Detallado!$Q:$Q,MATCH($C2215,[1]Detallado!$B:$B,0))</f>
        <v>#N/A</v>
      </c>
      <c r="F2215" s="185" t="s">
        <v>4357</v>
      </c>
      <c r="G2215" s="186" t="e">
        <f t="shared" si="68"/>
        <v>#N/A</v>
      </c>
      <c r="H2215" s="187" t="e">
        <f>+INDEX([1]Detallado!$D:$D,MATCH(C2215,[1]Detallado!$B:$B,0))</f>
        <v>#N/A</v>
      </c>
      <c r="I2215" s="28"/>
      <c r="J2215" s="184" t="e">
        <f t="shared" si="70"/>
        <v>#N/A</v>
      </c>
    </row>
    <row r="2216" spans="3:10" x14ac:dyDescent="0.25">
      <c r="C2216" s="28" t="s">
        <v>1525</v>
      </c>
      <c r="D2216" s="188" t="str">
        <f>+INDEX([1]Detallado!$F:$F,MATCH($C2216,[1]Detallado!$B:$B,0))</f>
        <v>Renta Variable</v>
      </c>
      <c r="E2216" s="31" t="str">
        <f>+INDEX([1]Detallado!$Q:$Q,MATCH($C2216,[1]Detallado!$B:$B,0))</f>
        <v>RVI</v>
      </c>
      <c r="F2216" s="185" t="s">
        <v>4355</v>
      </c>
      <c r="G2216" s="186" t="str">
        <f t="shared" si="68"/>
        <v>52RVI</v>
      </c>
      <c r="H2216" s="187" t="str">
        <f>+INDEX([1]Detallado!$D:$D,MATCH(C2216,[1]Detallado!$B:$B,0))</f>
        <v>XHE US - Health Care Equipment</v>
      </c>
      <c r="I2216" s="28"/>
      <c r="J2216" s="184" t="str">
        <f t="shared" si="70"/>
        <v>RVITD</v>
      </c>
    </row>
    <row r="2217" spans="3:10" x14ac:dyDescent="0.25">
      <c r="C2217" s="28" t="s">
        <v>2529</v>
      </c>
      <c r="D2217" s="188" t="str">
        <f>+INDEX([1]Detallado!$F:$F,MATCH($C2217,[1]Detallado!$B:$B,0))</f>
        <v>Renta Fija</v>
      </c>
      <c r="E2217" s="31" t="str">
        <f>+INDEX([1]Detallado!$Q:$Q,MATCH($C2217,[1]Detallado!$B:$B,0))</f>
        <v>RFIG</v>
      </c>
      <c r="F2217" s="185" t="s">
        <v>4355</v>
      </c>
      <c r="G2217" s="186" t="str">
        <f t="shared" si="68"/>
        <v>52RFIG</v>
      </c>
      <c r="H2217" s="187" t="str">
        <f>+INDEX([1]Detallado!$D:$D,MATCH(C2217,[1]Detallado!$B:$B,0))</f>
        <v>AT1 LN - Global Convertible</v>
      </c>
      <c r="I2217" s="28"/>
      <c r="J2217" s="184" t="str">
        <f t="shared" si="70"/>
        <v>RFITD</v>
      </c>
    </row>
    <row r="2218" spans="3:10" x14ac:dyDescent="0.25">
      <c r="C2218" s="28" t="s">
        <v>4776</v>
      </c>
      <c r="D2218" s="188" t="e">
        <f>+INDEX([1]Detallado!$F:$F,MATCH($C2218,[1]Detallado!$B:$B,0))</f>
        <v>#N/A</v>
      </c>
      <c r="E2218" s="31" t="e">
        <f>+INDEX([1]Detallado!$Q:$Q,MATCH($C2218,[1]Detallado!$B:$B,0))</f>
        <v>#N/A</v>
      </c>
      <c r="F2218" s="185" t="s">
        <v>4357</v>
      </c>
      <c r="G2218" s="186" t="e">
        <f t="shared" si="68"/>
        <v>#N/A</v>
      </c>
      <c r="H2218" s="187" t="e">
        <f>+INDEX([1]Detallado!$D:$D,MATCH(C2218,[1]Detallado!$B:$B,0))</f>
        <v>#N/A</v>
      </c>
      <c r="I2218" s="28"/>
      <c r="J2218" s="184" t="e">
        <f t="shared" ref="J2218:J2223" si="71">IF(E2218="ALT",LEFT(E2218,3),LEFT(E2218,3)&amp;F2218)</f>
        <v>#N/A</v>
      </c>
    </row>
    <row r="2219" spans="3:10" x14ac:dyDescent="0.25">
      <c r="C2219" s="28" t="s">
        <v>4714</v>
      </c>
      <c r="D2219" s="188" t="str">
        <f>+INDEX([1]Detallado!$F:$F,MATCH($C2219,[1]Detallado!$B:$B,0))</f>
        <v>Renta Fija</v>
      </c>
      <c r="E2219" s="31" t="str">
        <f>+INDEX([1]Detallado!$Q:$Q,MATCH($C2219,[1]Detallado!$B:$B,0))</f>
        <v>RFLC</v>
      </c>
      <c r="F2219" s="185" t="s">
        <v>4357</v>
      </c>
      <c r="G2219" s="186" t="str">
        <f t="shared" si="68"/>
        <v>22RFLC</v>
      </c>
      <c r="H2219" s="187" t="str">
        <f>+INDEX([1]Detallado!$D:$D,MATCH(C2219,[1]Detallado!$B:$B,0))</f>
        <v>AUNA</v>
      </c>
      <c r="I2219" s="28"/>
      <c r="J2219" s="184" t="str">
        <f t="shared" si="71"/>
        <v>RFLBU</v>
      </c>
    </row>
    <row r="2220" spans="3:10" x14ac:dyDescent="0.25">
      <c r="C2220" s="28" t="s">
        <v>4714</v>
      </c>
      <c r="D2220" s="188" t="str">
        <f>+INDEX([1]Detallado!$F:$F,MATCH($C2220,[1]Detallado!$B:$B,0))</f>
        <v>Renta Fija</v>
      </c>
      <c r="E2220" s="31" t="str">
        <f>+INDEX([1]Detallado!$Q:$Q,MATCH($C2220,[1]Detallado!$B:$B,0))</f>
        <v>RFLC</v>
      </c>
      <c r="F2220" s="185" t="s">
        <v>4357</v>
      </c>
      <c r="G2220" s="186" t="str">
        <f t="shared" si="68"/>
        <v>22RFLC</v>
      </c>
      <c r="H2220" s="187" t="str">
        <f>+INDEX([1]Detallado!$D:$D,MATCH(C2220,[1]Detallado!$B:$B,0))</f>
        <v>AUNA</v>
      </c>
      <c r="I2220" s="28"/>
      <c r="J2220" s="184" t="str">
        <f t="shared" si="71"/>
        <v>RFLBU</v>
      </c>
    </row>
    <row r="2221" spans="3:10" x14ac:dyDescent="0.25">
      <c r="C2221" s="28" t="s">
        <v>4715</v>
      </c>
      <c r="D2221" s="188" t="e">
        <f>+INDEX([1]Detallado!$F:$F,MATCH($C2221,[1]Detallado!$B:$B,0))</f>
        <v>#N/A</v>
      </c>
      <c r="E2221" s="31" t="e">
        <f>+INDEX([1]Detallado!$Q:$Q,MATCH($C2221,[1]Detallado!$B:$B,0))</f>
        <v>#N/A</v>
      </c>
      <c r="F2221" s="185" t="s">
        <v>4357</v>
      </c>
      <c r="G2221" s="186" t="e">
        <f t="shared" si="68"/>
        <v>#N/A</v>
      </c>
      <c r="H2221" s="187" t="e">
        <f>+INDEX([1]Detallado!$D:$D,MATCH(C2221,[1]Detallado!$B:$B,0))</f>
        <v>#N/A</v>
      </c>
      <c r="I2221" s="28"/>
      <c r="J2221" s="184" t="e">
        <f t="shared" si="71"/>
        <v>#N/A</v>
      </c>
    </row>
    <row r="2222" spans="3:10" x14ac:dyDescent="0.25">
      <c r="C2222" s="28" t="s">
        <v>4716</v>
      </c>
      <c r="D2222" s="188" t="e">
        <f>+INDEX([1]Detallado!$F:$F,MATCH($C2222,[1]Detallado!$B:$B,0))</f>
        <v>#N/A</v>
      </c>
      <c r="E2222" s="31" t="e">
        <f>+INDEX([1]Detallado!$Q:$Q,MATCH($C2222,[1]Detallado!$B:$B,0))</f>
        <v>#N/A</v>
      </c>
      <c r="F2222" s="185" t="s">
        <v>4357</v>
      </c>
      <c r="G2222" s="186" t="e">
        <f t="shared" si="68"/>
        <v>#N/A</v>
      </c>
      <c r="H2222" s="187" t="e">
        <f>+INDEX([1]Detallado!$D:$D,MATCH(C2222,[1]Detallado!$B:$B,0))</f>
        <v>#N/A</v>
      </c>
      <c r="I2222" s="28"/>
      <c r="J2222" s="184" t="e">
        <f t="shared" si="71"/>
        <v>#N/A</v>
      </c>
    </row>
    <row r="2223" spans="3:10" x14ac:dyDescent="0.25">
      <c r="C2223" s="28" t="s">
        <v>251</v>
      </c>
      <c r="D2223" s="188" t="str">
        <f>+INDEX([1]Detallado!$F:$F,MATCH($C2223,[1]Detallado!$B:$B,0))</f>
        <v>Renta Fija</v>
      </c>
      <c r="E2223" s="31" t="str">
        <f>+INDEX([1]Detallado!$Q:$Q,MATCH($C2223,[1]Detallado!$B:$B,0))</f>
        <v>RFLC</v>
      </c>
      <c r="F2223" s="185" t="s">
        <v>4357</v>
      </c>
      <c r="G2223" s="186" t="str">
        <f t="shared" si="68"/>
        <v>22RFLC</v>
      </c>
      <c r="H2223" s="187" t="str">
        <f>+INDEX([1]Detallado!$D:$D,MATCH(C2223,[1]Detallado!$B:$B,0))</f>
        <v>Calidda</v>
      </c>
      <c r="I2223" s="28"/>
      <c r="J2223" s="184" t="str">
        <f t="shared" si="71"/>
        <v>RFLBU</v>
      </c>
    </row>
    <row r="2224" spans="3:10" x14ac:dyDescent="0.25">
      <c r="C2224" s="28" t="s">
        <v>280</v>
      </c>
      <c r="D2224" s="188" t="str">
        <f>+INDEX([1]Detallado!$F:$F,MATCH($C2224,[1]Detallado!$B:$B,0))</f>
        <v>Renta Fija</v>
      </c>
      <c r="E2224" s="31" t="str">
        <f>+INDEX([1]Detallado!$Q:$Q,MATCH($C2224,[1]Detallado!$B:$B,0))</f>
        <v>RFLC</v>
      </c>
      <c r="F2224" s="185" t="s">
        <v>4357</v>
      </c>
      <c r="G2224" s="186" t="str">
        <f t="shared" si="68"/>
        <v>22RFLC</v>
      </c>
      <c r="H2224" s="187" t="str">
        <f>+INDEX([1]Detallado!$D:$D,MATCH(C2224,[1]Detallado!$B:$B,0))</f>
        <v>Hermes</v>
      </c>
      <c r="I2224" s="28"/>
      <c r="J2224" s="184" t="str">
        <f t="shared" ref="J2224:J2287" si="72">IF(E2224="ALT",LEFT(E2224,3),LEFT(E2224,3)&amp;F2224)</f>
        <v>RFLBU</v>
      </c>
    </row>
    <row r="2225" spans="3:10" x14ac:dyDescent="0.25">
      <c r="C2225" s="28" t="s">
        <v>284</v>
      </c>
      <c r="D2225" s="188" t="str">
        <f>+INDEX([1]Detallado!$F:$F,MATCH($C2225,[1]Detallado!$B:$B,0))</f>
        <v>Renta Fija</v>
      </c>
      <c r="E2225" s="31" t="str">
        <f>+INDEX([1]Detallado!$Q:$Q,MATCH($C2225,[1]Detallado!$B:$B,0))</f>
        <v>RFLC</v>
      </c>
      <c r="F2225" s="185" t="s">
        <v>4357</v>
      </c>
      <c r="G2225" s="186" t="str">
        <f t="shared" si="68"/>
        <v>22RFLC</v>
      </c>
      <c r="H2225" s="187" t="str">
        <f>+INDEX([1]Detallado!$D:$D,MATCH(C2225,[1]Detallado!$B:$B,0))</f>
        <v>Inca Rail</v>
      </c>
      <c r="I2225" s="28"/>
      <c r="J2225" s="184" t="str">
        <f t="shared" si="72"/>
        <v>RFLBU</v>
      </c>
    </row>
    <row r="2226" spans="3:10" x14ac:dyDescent="0.25">
      <c r="C2226" s="28" t="s">
        <v>3406</v>
      </c>
      <c r="D2226" s="188" t="str">
        <f>+INDEX([1]Detallado!$F:$F,MATCH($C2226,[1]Detallado!$B:$B,0))</f>
        <v>Renta Fija</v>
      </c>
      <c r="E2226" s="31" t="str">
        <f>+INDEX([1]Detallado!$Q:$Q,MATCH($C2226,[1]Detallado!$B:$B,0))</f>
        <v>RFLC</v>
      </c>
      <c r="F2226" s="185" t="s">
        <v>4357</v>
      </c>
      <c r="G2226" s="186" t="str">
        <f t="shared" si="68"/>
        <v>22RFLC</v>
      </c>
      <c r="H2226" s="187" t="str">
        <f>+INDEX([1]Detallado!$D:$D,MATCH(C2226,[1]Detallado!$B:$B,0))</f>
        <v>Hunt Oil</v>
      </c>
      <c r="I2226" s="28"/>
      <c r="J2226" s="184" t="str">
        <f t="shared" si="72"/>
        <v>RFLBU</v>
      </c>
    </row>
    <row r="2227" spans="3:10" x14ac:dyDescent="0.25">
      <c r="C2227" s="28" t="s">
        <v>295</v>
      </c>
      <c r="D2227" s="188" t="str">
        <f>+INDEX([1]Detallado!$F:$F,MATCH($C2227,[1]Detallado!$B:$B,0))</f>
        <v>Renta Fija</v>
      </c>
      <c r="E2227" s="31" t="str">
        <f>+INDEX([1]Detallado!$Q:$Q,MATCH($C2227,[1]Detallado!$B:$B,0))</f>
        <v>RFLC</v>
      </c>
      <c r="F2227" s="185" t="s">
        <v>4357</v>
      </c>
      <c r="G2227" s="186" t="str">
        <f t="shared" si="68"/>
        <v>22RFLC</v>
      </c>
      <c r="H2227" s="187" t="str">
        <f>+INDEX([1]Detallado!$D:$D,MATCH(C2227,[1]Detallado!$B:$B,0))</f>
        <v>Palo Alto</v>
      </c>
      <c r="I2227" s="28"/>
      <c r="J2227" s="184" t="str">
        <f t="shared" si="72"/>
        <v>RFLBU</v>
      </c>
    </row>
    <row r="2228" spans="3:10" x14ac:dyDescent="0.25">
      <c r="C2228" s="28" t="s">
        <v>297</v>
      </c>
      <c r="D2228" s="188" t="str">
        <f>+INDEX([1]Detallado!$F:$F,MATCH($C2228,[1]Detallado!$B:$B,0))</f>
        <v>Renta Fija</v>
      </c>
      <c r="E2228" s="31" t="str">
        <f>+INDEX([1]Detallado!$Q:$Q,MATCH($C2228,[1]Detallado!$B:$B,0))</f>
        <v>RFLC</v>
      </c>
      <c r="F2228" s="185" t="s">
        <v>4357</v>
      </c>
      <c r="G2228" s="186" t="str">
        <f t="shared" si="68"/>
        <v>22RFLC</v>
      </c>
      <c r="H2228" s="187" t="str">
        <f>+INDEX([1]Detallado!$D:$D,MATCH(C2228,[1]Detallado!$B:$B,0))</f>
        <v>Tecsup</v>
      </c>
      <c r="I2228" s="28"/>
      <c r="J2228" s="184" t="str">
        <f t="shared" si="72"/>
        <v>RFLBU</v>
      </c>
    </row>
    <row r="2229" spans="3:10" x14ac:dyDescent="0.25">
      <c r="C2229" s="28" t="s">
        <v>914</v>
      </c>
      <c r="D2229" s="188" t="str">
        <f>+INDEX([1]Detallado!$F:$F,MATCH($C2229,[1]Detallado!$B:$B,0))</f>
        <v>Renta Fija</v>
      </c>
      <c r="E2229" s="31" t="str">
        <f>+INDEX([1]Detallado!$Q:$Q,MATCH($C2229,[1]Detallado!$B:$B,0))</f>
        <v>RFLC</v>
      </c>
      <c r="F2229" s="185" t="s">
        <v>4357</v>
      </c>
      <c r="G2229" s="186" t="str">
        <f t="shared" si="68"/>
        <v>22RFLC</v>
      </c>
      <c r="H2229" s="187" t="str">
        <f>+INDEX([1]Detallado!$D:$D,MATCH(C2229,[1]Detallado!$B:$B,0))</f>
        <v>Site del Perú</v>
      </c>
      <c r="I2229" s="28"/>
      <c r="J2229" s="184" t="str">
        <f t="shared" si="72"/>
        <v>RFLBU</v>
      </c>
    </row>
    <row r="2230" spans="3:10" x14ac:dyDescent="0.25">
      <c r="C2230" s="28" t="s">
        <v>493</v>
      </c>
      <c r="D2230" s="188" t="str">
        <f>+INDEX([1]Detallado!$F:$F,MATCH($C2230,[1]Detallado!$B:$B,0))</f>
        <v>Renta Variable</v>
      </c>
      <c r="E2230" s="31" t="str">
        <f>+INDEX([1]Detallado!$Q:$Q,MATCH($C2230,[1]Detallado!$B:$B,0))</f>
        <v>RVL</v>
      </c>
      <c r="F2230" s="185" t="s">
        <v>4357</v>
      </c>
      <c r="G2230" s="186" t="str">
        <f t="shared" si="68"/>
        <v>31RVL</v>
      </c>
      <c r="H2230" s="187" t="str">
        <f>+INDEX([1]Detallado!$D:$D,MATCH(C2230,[1]Detallado!$B:$B,0))</f>
        <v>El Comercio</v>
      </c>
      <c r="I2230" s="28"/>
      <c r="J2230" s="184" t="str">
        <f t="shared" si="72"/>
        <v>RVLBU</v>
      </c>
    </row>
    <row r="2231" spans="3:10" x14ac:dyDescent="0.25">
      <c r="C2231" s="28" t="s">
        <v>503</v>
      </c>
      <c r="D2231" s="188" t="str">
        <f>+INDEX([1]Detallado!$F:$F,MATCH($C2231,[1]Detallado!$B:$B,0))</f>
        <v>Renta Variable</v>
      </c>
      <c r="E2231" s="31" t="str">
        <f>+INDEX([1]Detallado!$Q:$Q,MATCH($C2231,[1]Detallado!$B:$B,0))</f>
        <v>RVL</v>
      </c>
      <c r="F2231" s="185" t="s">
        <v>4357</v>
      </c>
      <c r="G2231" s="186" t="str">
        <f t="shared" si="68"/>
        <v>32RVL</v>
      </c>
      <c r="H2231" s="187" t="str">
        <f>+INDEX([1]Detallado!$D:$D,MATCH(C2231,[1]Detallado!$B:$B,0))</f>
        <v>Fossal SA</v>
      </c>
      <c r="I2231" s="28"/>
      <c r="J2231" s="184" t="str">
        <f t="shared" si="72"/>
        <v>RVLBU</v>
      </c>
    </row>
    <row r="2232" spans="3:10" x14ac:dyDescent="0.25">
      <c r="C2232" s="28" t="s">
        <v>514</v>
      </c>
      <c r="D2232" s="188" t="str">
        <f>+INDEX([1]Detallado!$F:$F,MATCH($C2232,[1]Detallado!$B:$B,0))</f>
        <v>Renta Variable</v>
      </c>
      <c r="E2232" s="31" t="str">
        <f>+INDEX([1]Detallado!$Q:$Q,MATCH($C2232,[1]Detallado!$B:$B,0))</f>
        <v>RVL</v>
      </c>
      <c r="F2232" s="185" t="s">
        <v>4357</v>
      </c>
      <c r="G2232" s="186" t="str">
        <f t="shared" si="68"/>
        <v>34RVL</v>
      </c>
      <c r="H2232" s="187" t="str">
        <f>+INDEX([1]Detallado!$D:$D,MATCH(C2232,[1]Detallado!$B:$B,0))</f>
        <v>Aclara Resources Inc.</v>
      </c>
      <c r="I2232" s="28"/>
      <c r="J2232" s="184" t="str">
        <f t="shared" si="72"/>
        <v>RVLBU</v>
      </c>
    </row>
    <row r="2233" spans="3:10" x14ac:dyDescent="0.25">
      <c r="C2233" s="28" t="s">
        <v>261</v>
      </c>
      <c r="D2233" s="188" t="str">
        <f>+INDEX([1]Detallado!$F:$F,MATCH($C2233,[1]Detallado!$B:$B,0))</f>
        <v>Renta Fija</v>
      </c>
      <c r="E2233" s="31" t="str">
        <f>+INDEX([1]Detallado!$Q:$Q,MATCH($C2233,[1]Detallado!$B:$B,0))</f>
        <v>RFLC</v>
      </c>
      <c r="F2233" s="185" t="s">
        <v>4357</v>
      </c>
      <c r="G2233" s="186" t="str">
        <f t="shared" si="68"/>
        <v>22RFLC</v>
      </c>
      <c r="H2233" s="187" t="str">
        <f>+INDEX([1]Detallado!$D:$D,MATCH(C2233,[1]Detallado!$B:$B,0))</f>
        <v>Norvial</v>
      </c>
      <c r="I2233" s="28"/>
      <c r="J2233" s="184" t="str">
        <f t="shared" si="72"/>
        <v>RFLBU</v>
      </c>
    </row>
    <row r="2234" spans="3:10" x14ac:dyDescent="0.25">
      <c r="C2234" s="28" t="s">
        <v>412</v>
      </c>
      <c r="D2234" s="188" t="str">
        <f>+INDEX([1]Detallado!$F:$F,MATCH($C2234,[1]Detallado!$B:$B,0))</f>
        <v>Renta Fija</v>
      </c>
      <c r="E2234" s="31" t="str">
        <f>+INDEX([1]Detallado!$Q:$Q,MATCH($C2234,[1]Detallado!$B:$B,0))</f>
        <v>RFLC</v>
      </c>
      <c r="F2234" s="185" t="s">
        <v>4357</v>
      </c>
      <c r="G2234" s="186" t="str">
        <f t="shared" si="68"/>
        <v>27RFLC</v>
      </c>
      <c r="H2234" s="187" t="str">
        <f>+INDEX([1]Detallado!$D:$D,MATCH(C2234,[1]Detallado!$B:$B,0))</f>
        <v>Colegios Peruanos - Internacional de Titulos Soc. Titulizadora</v>
      </c>
      <c r="I2234" s="28"/>
      <c r="J2234" s="184" t="str">
        <f t="shared" si="72"/>
        <v>RFLBU</v>
      </c>
    </row>
    <row r="2235" spans="3:10" x14ac:dyDescent="0.25">
      <c r="C2235" s="28" t="s">
        <v>408</v>
      </c>
      <c r="D2235" s="188" t="str">
        <f>+INDEX([1]Detallado!$F:$F,MATCH($C2235,[1]Detallado!$B:$B,0))</f>
        <v>Renta Fija</v>
      </c>
      <c r="E2235" s="31" t="str">
        <f>+INDEX([1]Detallado!$Q:$Q,MATCH($C2235,[1]Detallado!$B:$B,0))</f>
        <v>RFLC</v>
      </c>
      <c r="F2235" s="185" t="s">
        <v>4357</v>
      </c>
      <c r="G2235" s="186" t="str">
        <f t="shared" si="68"/>
        <v>27RFLC</v>
      </c>
      <c r="H2235" s="187" t="str">
        <f>+INDEX([1]Detallado!$D:$D,MATCH(C2235,[1]Detallado!$B:$B,0))</f>
        <v>Internacional de Titulos Soc. Titulizadora</v>
      </c>
      <c r="I2235" s="28"/>
      <c r="J2235" s="184" t="str">
        <f t="shared" si="72"/>
        <v>RFLBU</v>
      </c>
    </row>
    <row r="2236" spans="3:10" x14ac:dyDescent="0.25">
      <c r="C2236" s="28" t="s">
        <v>220</v>
      </c>
      <c r="D2236" s="188" t="str">
        <f>+INDEX([1]Detallado!$F:$F,MATCH($C2236,[1]Detallado!$B:$B,0))</f>
        <v>Renta Fija</v>
      </c>
      <c r="E2236" s="31" t="str">
        <f>+INDEX([1]Detallado!$Q:$Q,MATCH($C2236,[1]Detallado!$B:$B,0))</f>
        <v>RFLC</v>
      </c>
      <c r="F2236" s="185" t="s">
        <v>4357</v>
      </c>
      <c r="G2236" s="186" t="str">
        <f t="shared" si="68"/>
        <v>18RFLC</v>
      </c>
      <c r="H2236" s="187" t="str">
        <f>+INDEX([1]Detallado!$D:$D,MATCH(C2236,[1]Detallado!$B:$B,0))</f>
        <v>Línea Amarilla S.A.C.</v>
      </c>
      <c r="I2236" s="28"/>
      <c r="J2236" s="184" t="str">
        <f t="shared" si="72"/>
        <v>RFLBU</v>
      </c>
    </row>
    <row r="2237" spans="3:10" x14ac:dyDescent="0.25">
      <c r="C2237" s="28" t="s">
        <v>402</v>
      </c>
      <c r="D2237" s="188" t="str">
        <f>+INDEX([1]Detallado!$F:$F,MATCH($C2237,[1]Detallado!$B:$B,0))</f>
        <v>Renta Fija</v>
      </c>
      <c r="E2237" s="31" t="str">
        <f>+INDEX([1]Detallado!$Q:$Q,MATCH($C2237,[1]Detallado!$B:$B,0))</f>
        <v>RFLC</v>
      </c>
      <c r="F2237" s="185" t="s">
        <v>4357</v>
      </c>
      <c r="G2237" s="186" t="str">
        <f t="shared" si="68"/>
        <v>27RFLC</v>
      </c>
      <c r="H2237" s="187" t="str">
        <f>+INDEX([1]Detallado!$D:$D,MATCH(C2237,[1]Detallado!$B:$B,0))</f>
        <v>ADP</v>
      </c>
      <c r="I2237" s="28"/>
      <c r="J2237" s="184" t="str">
        <f t="shared" si="72"/>
        <v>RFLBU</v>
      </c>
    </row>
    <row r="2238" spans="3:10" x14ac:dyDescent="0.25">
      <c r="C2238" s="28" t="s">
        <v>274</v>
      </c>
      <c r="D2238" s="188" t="str">
        <f>+INDEX([1]Detallado!$F:$F,MATCH($C2238,[1]Detallado!$B:$B,0))</f>
        <v>Renta Fija</v>
      </c>
      <c r="E2238" s="31" t="str">
        <f>+INDEX([1]Detallado!$Q:$Q,MATCH($C2238,[1]Detallado!$B:$B,0))</f>
        <v>RFLC</v>
      </c>
      <c r="F2238" s="185" t="s">
        <v>4357</v>
      </c>
      <c r="G2238" s="186" t="str">
        <f t="shared" si="68"/>
        <v>22RFLC</v>
      </c>
      <c r="H2238" s="187" t="str">
        <f>+INDEX([1]Detallado!$D:$D,MATCH(C2238,[1]Detallado!$B:$B,0))</f>
        <v xml:space="preserve">Concesionario Trasvase Olmos </v>
      </c>
      <c r="I2238" s="28"/>
      <c r="J2238" s="184" t="str">
        <f t="shared" si="72"/>
        <v>RFLBU</v>
      </c>
    </row>
    <row r="2239" spans="3:10" x14ac:dyDescent="0.25">
      <c r="C2239" s="28" t="s">
        <v>272</v>
      </c>
      <c r="D2239" s="188" t="str">
        <f>+INDEX([1]Detallado!$F:$F,MATCH($C2239,[1]Detallado!$B:$B,0))</f>
        <v>Renta Fija</v>
      </c>
      <c r="E2239" s="31" t="str">
        <f>+INDEX([1]Detallado!$Q:$Q,MATCH($C2239,[1]Detallado!$B:$B,0))</f>
        <v>RFLC</v>
      </c>
      <c r="F2239" s="185" t="s">
        <v>4357</v>
      </c>
      <c r="G2239" s="186" t="str">
        <f t="shared" si="68"/>
        <v>22RFLC</v>
      </c>
      <c r="H2239" s="187" t="str">
        <f>+INDEX([1]Detallado!$D:$D,MATCH(C2239,[1]Detallado!$B:$B,0))</f>
        <v xml:space="preserve">Concesionario Trasvase Olmos </v>
      </c>
      <c r="I2239" s="28"/>
      <c r="J2239" s="184" t="str">
        <f t="shared" si="72"/>
        <v>RFLBU</v>
      </c>
    </row>
    <row r="2240" spans="3:10" x14ac:dyDescent="0.25">
      <c r="C2240" s="28" t="s">
        <v>538</v>
      </c>
      <c r="D2240" s="188" t="str">
        <f>+INDEX([1]Detallado!$F:$F,MATCH($C2240,[1]Detallado!$B:$B,0))</f>
        <v>Renta Fija</v>
      </c>
      <c r="E2240" s="31" t="str">
        <f>+INDEX([1]Detallado!$Q:$Q,MATCH($C2240,[1]Detallado!$B:$B,0))</f>
        <v>RFLG</v>
      </c>
      <c r="F2240" s="185" t="s">
        <v>4357</v>
      </c>
      <c r="G2240" s="186" t="str">
        <f t="shared" si="68"/>
        <v>49RFLG</v>
      </c>
      <c r="H2240" s="187" t="str">
        <f>+INDEX([1]Detallado!$D:$D,MATCH(C2240,[1]Detallado!$B:$B,0))</f>
        <v>Macrocapitales SAFI S.A.</v>
      </c>
      <c r="I2240" s="28"/>
      <c r="J2240" s="184" t="str">
        <f t="shared" si="72"/>
        <v>RFLBU</v>
      </c>
    </row>
    <row r="2241" spans="3:10" x14ac:dyDescent="0.25">
      <c r="C2241" s="28" t="s">
        <v>541</v>
      </c>
      <c r="D2241" s="188" t="str">
        <f>+INDEX([1]Detallado!$F:$F,MATCH($C2241,[1]Detallado!$B:$B,0))</f>
        <v>Renta Fija</v>
      </c>
      <c r="E2241" s="31" t="str">
        <f>+INDEX([1]Detallado!$Q:$Q,MATCH($C2241,[1]Detallado!$B:$B,0))</f>
        <v>RFLG</v>
      </c>
      <c r="F2241" s="185" t="s">
        <v>4357</v>
      </c>
      <c r="G2241" s="186" t="str">
        <f t="shared" si="68"/>
        <v>49RFLG</v>
      </c>
      <c r="H2241" s="187" t="str">
        <f>+INDEX([1]Detallado!$D:$D,MATCH(C2241,[1]Detallado!$B:$B,0))</f>
        <v>BD Capital - Senior Loans C</v>
      </c>
      <c r="I2241" s="28"/>
      <c r="J2241" s="184" t="str">
        <f t="shared" si="72"/>
        <v>RFLBU</v>
      </c>
    </row>
    <row r="2242" spans="3:10" x14ac:dyDescent="0.25">
      <c r="C2242" s="28" t="s">
        <v>544</v>
      </c>
      <c r="D2242" s="188" t="str">
        <f>+INDEX([1]Detallado!$F:$F,MATCH($C2242,[1]Detallado!$B:$B,0))</f>
        <v>Renta Fija</v>
      </c>
      <c r="E2242" s="31" t="str">
        <f>+INDEX([1]Detallado!$Q:$Q,MATCH($C2242,[1]Detallado!$B:$B,0))</f>
        <v>RFLG</v>
      </c>
      <c r="F2242" s="185" t="s">
        <v>4357</v>
      </c>
      <c r="G2242" s="186" t="str">
        <f t="shared" si="68"/>
        <v>49RFLG</v>
      </c>
      <c r="H2242" s="187" t="str">
        <f>+INDEX([1]Detallado!$D:$D,MATCH(C2242,[1]Detallado!$B:$B,0))</f>
        <v>Sigma - Leasing Operativo</v>
      </c>
      <c r="I2242" s="28"/>
      <c r="J2242" s="184" t="str">
        <f t="shared" si="72"/>
        <v>RFLBU</v>
      </c>
    </row>
    <row r="2243" spans="3:10" x14ac:dyDescent="0.25">
      <c r="C2243" s="28" t="s">
        <v>926</v>
      </c>
      <c r="D2243" s="188" t="str">
        <f>+INDEX([1]Detallado!$F:$F,MATCH($C2243,[1]Detallado!$B:$B,0))</f>
        <v>Renta Variable</v>
      </c>
      <c r="E2243" s="31" t="str">
        <f>+INDEX([1]Detallado!$Q:$Q,MATCH($C2243,[1]Detallado!$B:$B,0))</f>
        <v>RVL</v>
      </c>
      <c r="F2243" s="185" t="s">
        <v>4357</v>
      </c>
      <c r="G2243" s="186" t="str">
        <f t="shared" si="68"/>
        <v>50RVL</v>
      </c>
      <c r="H2243" s="187" t="str">
        <f>+INDEX([1]Detallado!$D:$D,MATCH(C2243,[1]Detallado!$B:$B,0))</f>
        <v>Van Eck - El Dorado Peru</v>
      </c>
      <c r="I2243" s="28"/>
      <c r="J2243" s="184" t="str">
        <f t="shared" si="72"/>
        <v>RVLBU</v>
      </c>
    </row>
    <row r="2244" spans="3:10" x14ac:dyDescent="0.25">
      <c r="C2244" s="28" t="s">
        <v>264</v>
      </c>
      <c r="D2244" s="188" t="str">
        <f>+INDEX([1]Detallado!$F:$F,MATCH($C2244,[1]Detallado!$B:$B,0))</f>
        <v>Renta Fija</v>
      </c>
      <c r="E2244" s="31" t="str">
        <f>+INDEX([1]Detallado!$Q:$Q,MATCH($C2244,[1]Detallado!$B:$B,0))</f>
        <v>RFLC</v>
      </c>
      <c r="F2244" s="185" t="s">
        <v>4357</v>
      </c>
      <c r="G2244" s="186" t="str">
        <f t="shared" si="68"/>
        <v>22RFLC</v>
      </c>
      <c r="H2244" s="187" t="str">
        <f>+INDEX([1]Detallado!$D:$D,MATCH(C2244,[1]Detallado!$B:$B,0))</f>
        <v>Jockey Plaza</v>
      </c>
      <c r="I2244" s="28"/>
      <c r="J2244" s="184" t="str">
        <f t="shared" si="72"/>
        <v>RFLBU</v>
      </c>
    </row>
    <row r="2245" spans="3:10" x14ac:dyDescent="0.25">
      <c r="C2245" s="28" t="s">
        <v>269</v>
      </c>
      <c r="D2245" s="188" t="str">
        <f>+INDEX([1]Detallado!$F:$F,MATCH($C2245,[1]Detallado!$B:$B,0))</f>
        <v>Renta Fija</v>
      </c>
      <c r="E2245" s="31" t="str">
        <f>+INDEX([1]Detallado!$Q:$Q,MATCH($C2245,[1]Detallado!$B:$B,0))</f>
        <v>RFLC</v>
      </c>
      <c r="F2245" s="185" t="s">
        <v>4357</v>
      </c>
      <c r="G2245" s="186" t="str">
        <f t="shared" si="68"/>
        <v>22RFLC</v>
      </c>
      <c r="H2245" s="187" t="str">
        <f>+INDEX([1]Detallado!$D:$D,MATCH(C2245,[1]Detallado!$B:$B,0))</f>
        <v>Jockey Plaza</v>
      </c>
      <c r="I2245" s="28"/>
      <c r="J2245" s="184" t="str">
        <f t="shared" si="72"/>
        <v>RFLBU</v>
      </c>
    </row>
    <row r="2246" spans="3:10" x14ac:dyDescent="0.25">
      <c r="C2246" s="28" t="s">
        <v>288</v>
      </c>
      <c r="D2246" s="188" t="str">
        <f>+INDEX([1]Detallado!$F:$F,MATCH($C2246,[1]Detallado!$B:$B,0))</f>
        <v>Renta Fija</v>
      </c>
      <c r="E2246" s="31" t="str">
        <f>+INDEX([1]Detallado!$Q:$Q,MATCH($C2246,[1]Detallado!$B:$B,0))</f>
        <v>RFLC</v>
      </c>
      <c r="F2246" s="185" t="s">
        <v>4357</v>
      </c>
      <c r="G2246" s="186" t="str">
        <f t="shared" si="68"/>
        <v>22RFLC</v>
      </c>
      <c r="H2246" s="187" t="str">
        <f>+INDEX([1]Detallado!$D:$D,MATCH(C2246,[1]Detallado!$B:$B,0))</f>
        <v>InRetail Pharma</v>
      </c>
      <c r="I2246" s="28"/>
      <c r="J2246" s="184" t="str">
        <f t="shared" si="72"/>
        <v>RFLBU</v>
      </c>
    </row>
    <row r="2247" spans="3:10" x14ac:dyDescent="0.25">
      <c r="C2247" s="28" t="s">
        <v>381</v>
      </c>
      <c r="D2247" s="188" t="str">
        <f>+INDEX([1]Detallado!$F:$F,MATCH($C2247,[1]Detallado!$B:$B,0))</f>
        <v>Renta Fija</v>
      </c>
      <c r="E2247" s="31" t="str">
        <f>+INDEX([1]Detallado!$Q:$Q,MATCH($C2247,[1]Detallado!$B:$B,0))</f>
        <v>RFLC</v>
      </c>
      <c r="F2247" s="185" t="s">
        <v>4357</v>
      </c>
      <c r="G2247" s="186" t="str">
        <f t="shared" si="68"/>
        <v>27RFLC</v>
      </c>
      <c r="H2247" s="187" t="str">
        <f>+INDEX([1]Detallado!$D:$D,MATCH(C2247,[1]Detallado!$B:$B,0))</f>
        <v>TITIRSM1 - InRetail</v>
      </c>
      <c r="I2247" s="28"/>
      <c r="J2247" s="184" t="str">
        <f t="shared" si="72"/>
        <v>RFLBU</v>
      </c>
    </row>
    <row r="2248" spans="3:10" x14ac:dyDescent="0.25">
      <c r="C2248" s="28" t="s">
        <v>387</v>
      </c>
      <c r="D2248" s="188" t="str">
        <f>+INDEX([1]Detallado!$F:$F,MATCH($C2248,[1]Detallado!$B:$B,0))</f>
        <v>Renta Fija</v>
      </c>
      <c r="E2248" s="31" t="str">
        <f>+INDEX([1]Detallado!$Q:$Q,MATCH($C2248,[1]Detallado!$B:$B,0))</f>
        <v>RFLC</v>
      </c>
      <c r="F2248" s="185" t="s">
        <v>4357</v>
      </c>
      <c r="G2248" s="186" t="str">
        <f t="shared" si="68"/>
        <v>27RFLC</v>
      </c>
      <c r="H2248" s="187" t="str">
        <f>+INDEX([1]Detallado!$D:$D,MATCH(C2248,[1]Detallado!$B:$B,0))</f>
        <v>SINT1INR1U - InRetail</v>
      </c>
      <c r="I2248" s="28"/>
      <c r="J2248" s="184" t="str">
        <f t="shared" si="72"/>
        <v>RFLBU</v>
      </c>
    </row>
    <row r="2249" spans="3:10" x14ac:dyDescent="0.25">
      <c r="C2249" s="28" t="s">
        <v>4083</v>
      </c>
      <c r="D2249" s="188" t="str">
        <f>+INDEX([1]Detallado!$F:$F,MATCH($C2249,[1]Detallado!$B:$B,0))</f>
        <v>Renta Fija</v>
      </c>
      <c r="E2249" s="31" t="str">
        <f>+INDEX([1]Detallado!$Q:$Q,MATCH($C2249,[1]Detallado!$B:$B,0))</f>
        <v>RFLC</v>
      </c>
      <c r="F2249" s="185" t="s">
        <v>4357</v>
      </c>
      <c r="G2249" s="186" t="str">
        <f t="shared" si="68"/>
        <v>22RFLC</v>
      </c>
      <c r="H2249" s="187" t="str">
        <f>+INDEX([1]Detallado!$D:$D,MATCH(C2249,[1]Detallado!$B:$B,0))</f>
        <v>GYMFERROVIAS</v>
      </c>
      <c r="I2249" s="28"/>
      <c r="J2249" s="184" t="str">
        <f t="shared" si="72"/>
        <v>RFLBU</v>
      </c>
    </row>
    <row r="2250" spans="3:10" x14ac:dyDescent="0.25">
      <c r="C2250" s="28" t="s">
        <v>4714</v>
      </c>
      <c r="D2250" s="188" t="str">
        <f>+INDEX([1]Detallado!$F:$F,MATCH($C2250,[1]Detallado!$B:$B,0))</f>
        <v>Renta Fija</v>
      </c>
      <c r="E2250" s="31" t="str">
        <f>+INDEX([1]Detallado!$Q:$Q,MATCH($C2250,[1]Detallado!$B:$B,0))</f>
        <v>RFLC</v>
      </c>
      <c r="F2250" s="185" t="s">
        <v>4357</v>
      </c>
      <c r="G2250" s="186" t="str">
        <f t="shared" ref="G2250:G2313" si="73">LEFT(C2250,2)&amp;E2250</f>
        <v>22RFLC</v>
      </c>
      <c r="H2250" s="187" t="str">
        <f>+INDEX([1]Detallado!$D:$D,MATCH(C2250,[1]Detallado!$B:$B,0))</f>
        <v>AUNA</v>
      </c>
      <c r="I2250" s="28"/>
      <c r="J2250" s="184" t="str">
        <f t="shared" si="72"/>
        <v>RFLBU</v>
      </c>
    </row>
    <row r="2251" spans="3:10" x14ac:dyDescent="0.25">
      <c r="C2251" s="28" t="s">
        <v>397</v>
      </c>
      <c r="D2251" s="188" t="str">
        <f>+INDEX([1]Detallado!$F:$F,MATCH($C2251,[1]Detallado!$B:$B,0))</f>
        <v>Renta Fija</v>
      </c>
      <c r="E2251" s="31" t="str">
        <f>+INDEX([1]Detallado!$Q:$Q,MATCH($C2251,[1]Detallado!$B:$B,0))</f>
        <v>RFLC</v>
      </c>
      <c r="F2251" s="185" t="s">
        <v>4357</v>
      </c>
      <c r="G2251" s="186" t="str">
        <f t="shared" si="73"/>
        <v>27RFLC</v>
      </c>
      <c r="H2251" s="187" t="str">
        <f>+INDEX([1]Detallado!$D:$D,MATCH(C2251,[1]Detallado!$B:$B,0))</f>
        <v>Huascacocha Finance Limited</v>
      </c>
      <c r="I2251" s="28"/>
      <c r="J2251" s="184" t="str">
        <f t="shared" si="72"/>
        <v>RFLBU</v>
      </c>
    </row>
    <row r="2252" spans="3:10" x14ac:dyDescent="0.25">
      <c r="C2252" s="28" t="s">
        <v>393</v>
      </c>
      <c r="D2252" s="188" t="str">
        <f>+INDEX([1]Detallado!$F:$F,MATCH($C2252,[1]Detallado!$B:$B,0))</f>
        <v>Renta Fija</v>
      </c>
      <c r="E2252" s="31" t="str">
        <f>+INDEX([1]Detallado!$Q:$Q,MATCH($C2252,[1]Detallado!$B:$B,0))</f>
        <v>RFLC</v>
      </c>
      <c r="F2252" s="185" t="s">
        <v>4357</v>
      </c>
      <c r="G2252" s="186" t="str">
        <f t="shared" si="73"/>
        <v>27RFLC</v>
      </c>
      <c r="H2252" s="187" t="str">
        <f>+INDEX([1]Detallado!$D:$D,MATCH(C2252,[1]Detallado!$B:$B,0))</f>
        <v>Huascacocha Finance Limited</v>
      </c>
      <c r="I2252" s="28"/>
      <c r="J2252" s="184" t="str">
        <f t="shared" si="72"/>
        <v>RFLBU</v>
      </c>
    </row>
    <row r="2253" spans="3:10" x14ac:dyDescent="0.25">
      <c r="C2253" s="28" t="s">
        <v>400</v>
      </c>
      <c r="D2253" s="188" t="str">
        <f>+INDEX([1]Detallado!$F:$F,MATCH($C2253,[1]Detallado!$B:$B,0))</f>
        <v>Renta Fija</v>
      </c>
      <c r="E2253" s="31" t="str">
        <f>+INDEX([1]Detallado!$Q:$Q,MATCH($C2253,[1]Detallado!$B:$B,0))</f>
        <v>RFLC</v>
      </c>
      <c r="F2253" s="185" t="s">
        <v>4357</v>
      </c>
      <c r="G2253" s="186" t="str">
        <f t="shared" si="73"/>
        <v>27RFLC</v>
      </c>
      <c r="H2253" s="187" t="str">
        <f>+INDEX([1]Detallado!$D:$D,MATCH(C2253,[1]Detallado!$B:$B,0))</f>
        <v>Taboada Finance Limited</v>
      </c>
      <c r="I2253" s="28"/>
      <c r="J2253" s="184" t="str">
        <f t="shared" si="72"/>
        <v>RFLBU</v>
      </c>
    </row>
    <row r="2254" spans="3:10" x14ac:dyDescent="0.25">
      <c r="C2254" s="28" t="s">
        <v>407</v>
      </c>
      <c r="D2254" s="188" t="str">
        <f>+INDEX([1]Detallado!$F:$F,MATCH($C2254,[1]Detallado!$B:$B,0))</f>
        <v>Renta Fija</v>
      </c>
      <c r="E2254" s="31" t="str">
        <f>+INDEX([1]Detallado!$Q:$Q,MATCH($C2254,[1]Detallado!$B:$B,0))</f>
        <v>RFLC</v>
      </c>
      <c r="F2254" s="185" t="s">
        <v>4357</v>
      </c>
      <c r="G2254" s="186" t="str">
        <f t="shared" si="73"/>
        <v>27RFLC</v>
      </c>
      <c r="H2254" s="187" t="str">
        <f>+INDEX([1]Detallado!$D:$D,MATCH(C2254,[1]Detallado!$B:$B,0))</f>
        <v>Interoceanica IV Finance Limited</v>
      </c>
      <c r="I2254" s="28"/>
      <c r="J2254" s="184" t="str">
        <f t="shared" si="72"/>
        <v>RFLBU</v>
      </c>
    </row>
    <row r="2255" spans="3:10" x14ac:dyDescent="0.25">
      <c r="C2255" s="28" t="s">
        <v>406</v>
      </c>
      <c r="D2255" s="188" t="str">
        <f>+INDEX([1]Detallado!$F:$F,MATCH($C2255,[1]Detallado!$B:$B,0))</f>
        <v>Renta Fija</v>
      </c>
      <c r="E2255" s="31" t="str">
        <f>+INDEX([1]Detallado!$Q:$Q,MATCH($C2255,[1]Detallado!$B:$B,0))</f>
        <v>RFLC</v>
      </c>
      <c r="F2255" s="185" t="s">
        <v>4357</v>
      </c>
      <c r="G2255" s="186" t="str">
        <f t="shared" si="73"/>
        <v>27RFLC</v>
      </c>
      <c r="H2255" s="187" t="str">
        <f>+INDEX([1]Detallado!$D:$D,MATCH(C2255,[1]Detallado!$B:$B,0))</f>
        <v>Interoceanica IV Finance Limited</v>
      </c>
      <c r="I2255" s="28"/>
      <c r="J2255" s="184" t="str">
        <f t="shared" si="72"/>
        <v>RFLBU</v>
      </c>
    </row>
    <row r="2256" spans="3:10" x14ac:dyDescent="0.25">
      <c r="C2256" s="28" t="s">
        <v>274</v>
      </c>
      <c r="D2256" s="188" t="str">
        <f>+INDEX([1]Detallado!$F:$F,MATCH($C2256,[1]Detallado!$B:$B,0))</f>
        <v>Renta Fija</v>
      </c>
      <c r="E2256" s="31" t="str">
        <f>+INDEX([1]Detallado!$Q:$Q,MATCH($C2256,[1]Detallado!$B:$B,0))</f>
        <v>RFLC</v>
      </c>
      <c r="F2256" s="185" t="s">
        <v>4357</v>
      </c>
      <c r="G2256" s="186" t="str">
        <f t="shared" si="73"/>
        <v>22RFLC</v>
      </c>
      <c r="H2256" s="187" t="str">
        <f>+INDEX([1]Detallado!$D:$D,MATCH(C2256,[1]Detallado!$B:$B,0))</f>
        <v xml:space="preserve">Concesionario Trasvase Olmos </v>
      </c>
      <c r="I2256" s="28"/>
      <c r="J2256" s="184" t="str">
        <f t="shared" si="72"/>
        <v>RFLBU</v>
      </c>
    </row>
    <row r="2257" spans="3:10" x14ac:dyDescent="0.25">
      <c r="C2257" s="28" t="s">
        <v>949</v>
      </c>
      <c r="D2257" s="188" t="str">
        <f>+INDEX([1]Detallado!$F:$F,MATCH($C2257,[1]Detallado!$B:$B,0))</f>
        <v>Renta Fija</v>
      </c>
      <c r="E2257" s="31" t="str">
        <f>+INDEX([1]Detallado!$Q:$Q,MATCH($C2257,[1]Detallado!$B:$B,0))</f>
        <v>RFIG</v>
      </c>
      <c r="F2257" s="185" t="s">
        <v>4355</v>
      </c>
      <c r="G2257" s="186" t="str">
        <f t="shared" si="73"/>
        <v>52RFIG</v>
      </c>
      <c r="H2257" s="187" t="str">
        <f>+INDEX([1]Detallado!$D:$D,MATCH(C2257,[1]Detallado!$B:$B,0))</f>
        <v>Moneda - Latam High Yield</v>
      </c>
      <c r="I2257" s="28"/>
      <c r="J2257" s="184" t="str">
        <f t="shared" si="72"/>
        <v>RFITD</v>
      </c>
    </row>
    <row r="2258" spans="3:10" x14ac:dyDescent="0.25">
      <c r="C2258" s="28" t="s">
        <v>676</v>
      </c>
      <c r="D2258" s="188" t="str">
        <f>+INDEX([1]Detallado!$F:$F,MATCH($C2258,[1]Detallado!$B:$B,0))</f>
        <v>Renta Fija</v>
      </c>
      <c r="E2258" s="31" t="str">
        <f>+INDEX([1]Detallado!$Q:$Q,MATCH($C2258,[1]Detallado!$B:$B,0))</f>
        <v>RFLG</v>
      </c>
      <c r="F2258" s="185" t="s">
        <v>4355</v>
      </c>
      <c r="G2258" s="186" t="str">
        <f t="shared" si="73"/>
        <v>52RFLG</v>
      </c>
      <c r="H2258" s="187" t="str">
        <f>+INDEX([1]Detallado!$D:$D,MATCH(C2258,[1]Detallado!$B:$B,0))</f>
        <v>Moneda - Deuda Latam LCC</v>
      </c>
      <c r="I2258" s="28"/>
      <c r="J2258" s="184" t="str">
        <f t="shared" si="72"/>
        <v>RFLTD</v>
      </c>
    </row>
    <row r="2259" spans="3:10" x14ac:dyDescent="0.25">
      <c r="C2259" s="28" t="s">
        <v>673</v>
      </c>
      <c r="D2259" s="188" t="str">
        <f>+INDEX([1]Detallado!$F:$F,MATCH($C2259,[1]Detallado!$B:$B,0))</f>
        <v>Renta Fija</v>
      </c>
      <c r="E2259" s="31" t="str">
        <f>+INDEX([1]Detallado!$Q:$Q,MATCH($C2259,[1]Detallado!$B:$B,0))</f>
        <v>RFIG</v>
      </c>
      <c r="F2259" s="185" t="s">
        <v>4355</v>
      </c>
      <c r="G2259" s="186" t="str">
        <f t="shared" si="73"/>
        <v>52RFIG</v>
      </c>
      <c r="H2259" s="187" t="str">
        <f>+INDEX([1]Detallado!$D:$D,MATCH(C2259,[1]Detallado!$B:$B,0))</f>
        <v>Moneda S.A. Administradora General de Fondos - Deuda Latam</v>
      </c>
      <c r="I2259" s="28"/>
      <c r="J2259" s="184" t="str">
        <f t="shared" si="72"/>
        <v>RFITD</v>
      </c>
    </row>
    <row r="2260" spans="3:10" x14ac:dyDescent="0.25">
      <c r="C2260" s="28" t="s">
        <v>813</v>
      </c>
      <c r="D2260" s="188" t="str">
        <f>+INDEX([1]Detallado!$F:$F,MATCH($C2260,[1]Detallado!$B:$B,0))</f>
        <v>Alternativos</v>
      </c>
      <c r="E2260" s="31" t="str">
        <f>+INDEX([1]Detallado!$Q:$Q,MATCH($C2260,[1]Detallado!$B:$B,0))</f>
        <v>ALT</v>
      </c>
      <c r="F2260" s="185" t="s">
        <v>4794</v>
      </c>
      <c r="G2260" s="186" t="str">
        <f t="shared" si="73"/>
        <v>53ALT</v>
      </c>
      <c r="H2260" s="187" t="str">
        <f>+INDEX([1]Detallado!$D:$D,MATCH(C2260,[1]Detallado!$B:$B,0))</f>
        <v>Blackstone Real Estate Associates Europe VI</v>
      </c>
      <c r="I2260" s="28"/>
      <c r="J2260" s="184" t="str">
        <f t="shared" si="72"/>
        <v>ALT</v>
      </c>
    </row>
    <row r="2261" spans="3:10" x14ac:dyDescent="0.25">
      <c r="C2261" s="28" t="s">
        <v>789</v>
      </c>
      <c r="D2261" s="188" t="str">
        <f>+INDEX([1]Detallado!$F:$F,MATCH($C2261,[1]Detallado!$B:$B,0))</f>
        <v>Alternativos</v>
      </c>
      <c r="E2261" s="31" t="str">
        <f>+INDEX([1]Detallado!$Q:$Q,MATCH($C2261,[1]Detallado!$B:$B,0))</f>
        <v>ALT</v>
      </c>
      <c r="F2261" s="185" t="s">
        <v>4794</v>
      </c>
      <c r="G2261" s="186" t="str">
        <f t="shared" si="73"/>
        <v>53ALT</v>
      </c>
      <c r="H2261" s="187" t="str">
        <f>+INDEX([1]Detallado!$D:$D,MATCH(C2261,[1]Detallado!$B:$B,0))</f>
        <v>Carlyle Realty Partners - VIII</v>
      </c>
      <c r="I2261" s="28"/>
      <c r="J2261" s="184" t="str">
        <f t="shared" si="72"/>
        <v>ALT</v>
      </c>
    </row>
    <row r="2262" spans="3:10" x14ac:dyDescent="0.25">
      <c r="C2262" s="28" t="s">
        <v>754</v>
      </c>
      <c r="D2262" s="188" t="str">
        <f>+INDEX([1]Detallado!$F:$F,MATCH($C2262,[1]Detallado!$B:$B,0))</f>
        <v>Alternativos</v>
      </c>
      <c r="E2262" s="31" t="str">
        <f>+INDEX([1]Detallado!$Q:$Q,MATCH($C2262,[1]Detallado!$B:$B,0))</f>
        <v>ALT</v>
      </c>
      <c r="F2262" s="185" t="s">
        <v>4794</v>
      </c>
      <c r="G2262" s="186" t="str">
        <f t="shared" si="73"/>
        <v>53ALT</v>
      </c>
      <c r="H2262" s="187" t="str">
        <f>+INDEX([1]Detallado!$D:$D,MATCH(C2262,[1]Detallado!$B:$B,0))</f>
        <v>Apax VIII</v>
      </c>
      <c r="I2262" s="28"/>
      <c r="J2262" s="184" t="str">
        <f t="shared" si="72"/>
        <v>ALT</v>
      </c>
    </row>
    <row r="2263" spans="3:10" x14ac:dyDescent="0.25">
      <c r="C2263" s="28" t="s">
        <v>781</v>
      </c>
      <c r="D2263" s="188" t="str">
        <f>+INDEX([1]Detallado!$F:$F,MATCH($C2263,[1]Detallado!$B:$B,0))</f>
        <v>Alternativos</v>
      </c>
      <c r="E2263" s="31" t="str">
        <f>+INDEX([1]Detallado!$Q:$Q,MATCH($C2263,[1]Detallado!$B:$B,0))</f>
        <v>ALT</v>
      </c>
      <c r="F2263" s="185" t="s">
        <v>4794</v>
      </c>
      <c r="G2263" s="186" t="str">
        <f t="shared" si="73"/>
        <v>53ALT</v>
      </c>
      <c r="H2263" s="187" t="str">
        <f>+INDEX([1]Detallado!$D:$D,MATCH(C2263,[1]Detallado!$B:$B,0))</f>
        <v xml:space="preserve">Apax IX </v>
      </c>
      <c r="I2263" s="28"/>
      <c r="J2263" s="184" t="str">
        <f t="shared" si="72"/>
        <v>ALT</v>
      </c>
    </row>
    <row r="2264" spans="3:10" x14ac:dyDescent="0.25">
      <c r="C2264" s="28" t="s">
        <v>809</v>
      </c>
      <c r="D2264" s="188" t="str">
        <f>+INDEX([1]Detallado!$F:$F,MATCH($C2264,[1]Detallado!$B:$B,0))</f>
        <v>Alternativos</v>
      </c>
      <c r="E2264" s="31" t="str">
        <f>+INDEX([1]Detallado!$Q:$Q,MATCH($C2264,[1]Detallado!$B:$B,0))</f>
        <v>ALT</v>
      </c>
      <c r="F2264" s="185" t="s">
        <v>4794</v>
      </c>
      <c r="G2264" s="186" t="str">
        <f t="shared" si="73"/>
        <v>53ALT</v>
      </c>
      <c r="H2264" s="187" t="str">
        <f>+INDEX([1]Detallado!$D:$D,MATCH(C2264,[1]Detallado!$B:$B,0))</f>
        <v>Apax X</v>
      </c>
      <c r="I2264" s="28"/>
      <c r="J2264" s="184" t="str">
        <f t="shared" si="72"/>
        <v>ALT</v>
      </c>
    </row>
    <row r="2265" spans="3:10" x14ac:dyDescent="0.25">
      <c r="C2265" s="28" t="s">
        <v>729</v>
      </c>
      <c r="D2265" s="188" t="str">
        <f>+INDEX([1]Detallado!$F:$F,MATCH($C2265,[1]Detallado!$B:$B,0))</f>
        <v>Alternativos</v>
      </c>
      <c r="E2265" s="31" t="str">
        <f>+INDEX([1]Detallado!$Q:$Q,MATCH($C2265,[1]Detallado!$B:$B,0))</f>
        <v>ALT</v>
      </c>
      <c r="F2265" s="185" t="s">
        <v>4794</v>
      </c>
      <c r="G2265" s="186" t="str">
        <f t="shared" si="73"/>
        <v>53ALT</v>
      </c>
      <c r="H2265" s="187" t="str">
        <f>+INDEX([1]Detallado!$D:$D,MATCH(C2265,[1]Detallado!$B:$B,0))</f>
        <v>ASF VIII GP Limited</v>
      </c>
      <c r="I2265" s="28"/>
      <c r="J2265" s="184" t="str">
        <f t="shared" si="72"/>
        <v>ALT</v>
      </c>
    </row>
    <row r="2266" spans="3:10" x14ac:dyDescent="0.25">
      <c r="C2266" s="28" t="s">
        <v>744</v>
      </c>
      <c r="D2266" s="188" t="str">
        <f>+INDEX([1]Detallado!$F:$F,MATCH($C2266,[1]Detallado!$B:$B,0))</f>
        <v>Alternativos</v>
      </c>
      <c r="E2266" s="31" t="str">
        <f>+INDEX([1]Detallado!$Q:$Q,MATCH($C2266,[1]Detallado!$B:$B,0))</f>
        <v>ALT</v>
      </c>
      <c r="F2266" s="185" t="s">
        <v>4794</v>
      </c>
      <c r="G2266" s="186" t="str">
        <f t="shared" si="73"/>
        <v>53ALT</v>
      </c>
      <c r="H2266" s="187" t="str">
        <f>+INDEX([1]Detallado!$D:$D,MATCH(C2266,[1]Detallado!$B:$B,0))</f>
        <v>ARCM - ARC Fund II</v>
      </c>
      <c r="I2266" s="28"/>
      <c r="J2266" s="184" t="str">
        <f t="shared" si="72"/>
        <v>ALT</v>
      </c>
    </row>
    <row r="2267" spans="3:10" x14ac:dyDescent="0.25">
      <c r="C2267" s="28" t="s">
        <v>815</v>
      </c>
      <c r="D2267" s="188" t="str">
        <f>+INDEX([1]Detallado!$F:$F,MATCH($C2267,[1]Detallado!$B:$B,0))</f>
        <v>Alternativos</v>
      </c>
      <c r="E2267" s="31" t="str">
        <f>+INDEX([1]Detallado!$Q:$Q,MATCH($C2267,[1]Detallado!$B:$B,0))</f>
        <v>ALT</v>
      </c>
      <c r="F2267" s="185" t="s">
        <v>4794</v>
      </c>
      <c r="G2267" s="186" t="str">
        <f t="shared" si="73"/>
        <v>53ALT</v>
      </c>
      <c r="H2267" s="187" t="str">
        <f>+INDEX([1]Detallado!$D:$D,MATCH(C2267,[1]Detallado!$B:$B,0))</f>
        <v>ASF Cosmos Co-Invest L.P.</v>
      </c>
      <c r="I2267" s="28"/>
      <c r="J2267" s="184" t="str">
        <f t="shared" si="72"/>
        <v>ALT</v>
      </c>
    </row>
    <row r="2268" spans="3:10" x14ac:dyDescent="0.25">
      <c r="C2268" s="28" t="s">
        <v>797</v>
      </c>
      <c r="D2268" s="188" t="str">
        <f>+INDEX([1]Detallado!$F:$F,MATCH($C2268,[1]Detallado!$B:$B,0))</f>
        <v>Alternativos</v>
      </c>
      <c r="E2268" s="31" t="str">
        <f>+INDEX([1]Detallado!$Q:$Q,MATCH($C2268,[1]Detallado!$B:$B,0))</f>
        <v>ALT</v>
      </c>
      <c r="F2268" s="185" t="s">
        <v>4794</v>
      </c>
      <c r="G2268" s="186" t="str">
        <f t="shared" si="73"/>
        <v>53ALT</v>
      </c>
      <c r="H2268" s="187" t="str">
        <f>+INDEX([1]Detallado!$D:$D,MATCH(C2268,[1]Detallado!$B:$B,0))</f>
        <v>CEP V LUX</v>
      </c>
      <c r="I2268" s="28"/>
      <c r="J2268" s="184" t="str">
        <f t="shared" si="72"/>
        <v>ALT</v>
      </c>
    </row>
    <row r="2269" spans="3:10" x14ac:dyDescent="0.25">
      <c r="C2269" s="28" t="s">
        <v>791</v>
      </c>
      <c r="D2269" s="188" t="str">
        <f>+INDEX([1]Detallado!$F:$F,MATCH($C2269,[1]Detallado!$B:$B,0))</f>
        <v>Alternativos</v>
      </c>
      <c r="E2269" s="31" t="str">
        <f>+INDEX([1]Detallado!$Q:$Q,MATCH($C2269,[1]Detallado!$B:$B,0))</f>
        <v>ALT</v>
      </c>
      <c r="F2269" s="185" t="s">
        <v>4794</v>
      </c>
      <c r="G2269" s="186" t="str">
        <f t="shared" si="73"/>
        <v>53ALT</v>
      </c>
      <c r="H2269" s="187" t="str">
        <f>+INDEX([1]Detallado!$D:$D,MATCH(C2269,[1]Detallado!$B:$B,0))</f>
        <v>Carlyle Partners VII</v>
      </c>
      <c r="I2269" s="28"/>
      <c r="J2269" s="184" t="str">
        <f t="shared" si="72"/>
        <v>ALT</v>
      </c>
    </row>
    <row r="2270" spans="3:10" x14ac:dyDescent="0.25">
      <c r="C2270" s="28" t="s">
        <v>748</v>
      </c>
      <c r="D2270" s="188" t="str">
        <f>+INDEX([1]Detallado!$F:$F,MATCH($C2270,[1]Detallado!$B:$B,0))</f>
        <v>Alternativos</v>
      </c>
      <c r="E2270" s="31" t="str">
        <f>+INDEX([1]Detallado!$Q:$Q,MATCH($C2270,[1]Detallado!$B:$B,0))</f>
        <v>ALT</v>
      </c>
      <c r="F2270" s="185" t="s">
        <v>4794</v>
      </c>
      <c r="G2270" s="186" t="str">
        <f t="shared" si="73"/>
        <v>53ALT</v>
      </c>
      <c r="H2270" s="187" t="str">
        <f>+INDEX([1]Detallado!$D:$D,MATCH(C2270,[1]Detallado!$B:$B,0))</f>
        <v>Coller - Coller VI</v>
      </c>
      <c r="I2270" s="28"/>
      <c r="J2270" s="184" t="str">
        <f t="shared" si="72"/>
        <v>ALT</v>
      </c>
    </row>
    <row r="2271" spans="3:10" x14ac:dyDescent="0.25">
      <c r="C2271" s="28" t="s">
        <v>778</v>
      </c>
      <c r="D2271" s="188" t="str">
        <f>+INDEX([1]Detallado!$F:$F,MATCH($C2271,[1]Detallado!$B:$B,0))</f>
        <v>Alternativos</v>
      </c>
      <c r="E2271" s="31" t="str">
        <f>+INDEX([1]Detallado!$Q:$Q,MATCH($C2271,[1]Detallado!$B:$B,0))</f>
        <v>ALT</v>
      </c>
      <c r="F2271" s="185" t="s">
        <v>4794</v>
      </c>
      <c r="G2271" s="186" t="str">
        <f t="shared" si="73"/>
        <v>53ALT</v>
      </c>
      <c r="H2271" s="187" t="str">
        <f>+INDEX([1]Detallado!$D:$D,MATCH(C2271,[1]Detallado!$B:$B,0))</f>
        <v>Coller</v>
      </c>
      <c r="I2271" s="28"/>
      <c r="J2271" s="184" t="str">
        <f t="shared" si="72"/>
        <v>ALT</v>
      </c>
    </row>
    <row r="2272" spans="3:10" x14ac:dyDescent="0.25">
      <c r="C2272" s="28" t="s">
        <v>805</v>
      </c>
      <c r="D2272" s="188" t="str">
        <f>+INDEX([1]Detallado!$F:$F,MATCH($C2272,[1]Detallado!$B:$B,0))</f>
        <v>Alternativos</v>
      </c>
      <c r="E2272" s="31" t="str">
        <f>+INDEX([1]Detallado!$Q:$Q,MATCH($C2272,[1]Detallado!$B:$B,0))</f>
        <v>ALT</v>
      </c>
      <c r="F2272" s="185" t="s">
        <v>4794</v>
      </c>
      <c r="G2272" s="186" t="str">
        <f t="shared" si="73"/>
        <v>53ALT</v>
      </c>
      <c r="H2272" s="187" t="str">
        <f>+INDEX([1]Detallado!$D:$D,MATCH(C2272,[1]Detallado!$B:$B,0))</f>
        <v>Coller - Coller VIII</v>
      </c>
      <c r="I2272" s="28"/>
      <c r="J2272" s="184" t="str">
        <f t="shared" si="72"/>
        <v>ALT</v>
      </c>
    </row>
    <row r="2273" spans="3:10" x14ac:dyDescent="0.25">
      <c r="C2273" s="28" t="s">
        <v>787</v>
      </c>
      <c r="D2273" s="188" t="str">
        <f>+INDEX([1]Detallado!$F:$F,MATCH($C2273,[1]Detallado!$B:$B,0))</f>
        <v>Alternativos</v>
      </c>
      <c r="E2273" s="31" t="str">
        <f>+INDEX([1]Detallado!$Q:$Q,MATCH($C2273,[1]Detallado!$B:$B,0))</f>
        <v>ALT</v>
      </c>
      <c r="F2273" s="185" t="s">
        <v>4794</v>
      </c>
      <c r="G2273" s="186" t="str">
        <f t="shared" si="73"/>
        <v>53ALT</v>
      </c>
      <c r="H2273" s="187" t="str">
        <f>+INDEX([1]Detallado!$D:$D,MATCH(C2273,[1]Detallado!$B:$B,0))</f>
        <v>CVC Capital Partners - VII Limited</v>
      </c>
      <c r="I2273" s="28"/>
      <c r="J2273" s="184" t="str">
        <f t="shared" si="72"/>
        <v>ALT</v>
      </c>
    </row>
    <row r="2274" spans="3:10" x14ac:dyDescent="0.25">
      <c r="C2274" s="28" t="s">
        <v>785</v>
      </c>
      <c r="D2274" s="188" t="str">
        <f>+INDEX([1]Detallado!$F:$F,MATCH($C2274,[1]Detallado!$B:$B,0))</f>
        <v>Alternativos</v>
      </c>
      <c r="E2274" s="31" t="str">
        <f>+INDEX([1]Detallado!$Q:$Q,MATCH($C2274,[1]Detallado!$B:$B,0))</f>
        <v>ALT</v>
      </c>
      <c r="F2274" s="185" t="s">
        <v>4794</v>
      </c>
      <c r="G2274" s="186" t="str">
        <f t="shared" si="73"/>
        <v>53ALT</v>
      </c>
      <c r="H2274" s="187" t="str">
        <f>+INDEX([1]Detallado!$D:$D,MATCH(C2274,[1]Detallado!$B:$B,0))</f>
        <v>HarbourVest Co-Investment Fund IV</v>
      </c>
      <c r="I2274" s="28"/>
      <c r="J2274" s="184" t="str">
        <f t="shared" si="72"/>
        <v>ALT</v>
      </c>
    </row>
    <row r="2275" spans="3:10" x14ac:dyDescent="0.25">
      <c r="C2275" s="28" t="s">
        <v>802</v>
      </c>
      <c r="D2275" s="188" t="str">
        <f>+INDEX([1]Detallado!$F:$F,MATCH($C2275,[1]Detallado!$B:$B,0))</f>
        <v>Alternativos</v>
      </c>
      <c r="E2275" s="31" t="str">
        <f>+INDEX([1]Detallado!$Q:$Q,MATCH($C2275,[1]Detallado!$B:$B,0))</f>
        <v>ALT</v>
      </c>
      <c r="F2275" s="185" t="s">
        <v>4794</v>
      </c>
      <c r="G2275" s="186" t="str">
        <f t="shared" si="73"/>
        <v>53ALT</v>
      </c>
      <c r="H2275" s="187" t="str">
        <f>+INDEX([1]Detallado!$D:$D,MATCH(C2275,[1]Detallado!$B:$B,0))</f>
        <v>Hellman &amp; Friedman</v>
      </c>
      <c r="I2275" s="28"/>
      <c r="J2275" s="184" t="str">
        <f t="shared" si="72"/>
        <v>ALT</v>
      </c>
    </row>
    <row r="2276" spans="3:10" x14ac:dyDescent="0.25">
      <c r="C2276" s="28" t="s">
        <v>783</v>
      </c>
      <c r="D2276" s="188" t="str">
        <f>+INDEX([1]Detallado!$F:$F,MATCH($C2276,[1]Detallado!$B:$B,0))</f>
        <v>Alternativos</v>
      </c>
      <c r="E2276" s="31" t="str">
        <f>+INDEX([1]Detallado!$Q:$Q,MATCH($C2276,[1]Detallado!$B:$B,0))</f>
        <v>ALT</v>
      </c>
      <c r="F2276" s="185" t="s">
        <v>4794</v>
      </c>
      <c r="G2276" s="186" t="str">
        <f t="shared" si="73"/>
        <v>53ALT</v>
      </c>
      <c r="H2276" s="187" t="str">
        <f>+INDEX([1]Detallado!$D:$D,MATCH(C2276,[1]Detallado!$B:$B,0))</f>
        <v>KKR</v>
      </c>
      <c r="I2276" s="28"/>
      <c r="J2276" s="184" t="str">
        <f t="shared" si="72"/>
        <v>ALT</v>
      </c>
    </row>
    <row r="2277" spans="3:10" x14ac:dyDescent="0.25">
      <c r="C2277" s="28" t="s">
        <v>817</v>
      </c>
      <c r="D2277" s="188" t="str">
        <f>+INDEX([1]Detallado!$F:$F,MATCH($C2277,[1]Detallado!$B:$B,0))</f>
        <v>Alternativos</v>
      </c>
      <c r="E2277" s="31" t="str">
        <f>+INDEX([1]Detallado!$Q:$Q,MATCH($C2277,[1]Detallado!$B:$B,0))</f>
        <v>ALT</v>
      </c>
      <c r="F2277" s="185" t="s">
        <v>4794</v>
      </c>
      <c r="G2277" s="186" t="str">
        <f t="shared" si="73"/>
        <v>53ALT</v>
      </c>
      <c r="H2277" s="187" t="str">
        <f>+INDEX([1]Detallado!$D:$D,MATCH(C2277,[1]Detallado!$B:$B,0))</f>
        <v>LarraínVial - Energía I</v>
      </c>
      <c r="I2277" s="28"/>
      <c r="J2277" s="184" t="str">
        <f t="shared" si="72"/>
        <v>ALT</v>
      </c>
    </row>
    <row r="2278" spans="3:10" x14ac:dyDescent="0.25">
      <c r="C2278" s="28" t="s">
        <v>758</v>
      </c>
      <c r="D2278" s="188" t="str">
        <f>+INDEX([1]Detallado!$F:$F,MATCH($C2278,[1]Detallado!$B:$B,0))</f>
        <v>Alternativos</v>
      </c>
      <c r="E2278" s="31" t="str">
        <f>+INDEX([1]Detallado!$Q:$Q,MATCH($C2278,[1]Detallado!$B:$B,0))</f>
        <v>ALT</v>
      </c>
      <c r="F2278" s="185" t="s">
        <v>4794</v>
      </c>
      <c r="G2278" s="186" t="str">
        <f t="shared" si="73"/>
        <v>53ALT</v>
      </c>
      <c r="H2278" s="187" t="str">
        <f>+INDEX([1]Detallado!$D:$D,MATCH(C2278,[1]Detallado!$B:$B,0))</f>
        <v>Lexington Partners GP Holdings VIII LLC</v>
      </c>
      <c r="I2278" s="28"/>
      <c r="J2278" s="184" t="str">
        <f t="shared" si="72"/>
        <v>ALT</v>
      </c>
    </row>
    <row r="2279" spans="3:10" x14ac:dyDescent="0.25">
      <c r="C2279" s="28" t="s">
        <v>799</v>
      </c>
      <c r="D2279" s="188" t="str">
        <f>+INDEX([1]Detallado!$F:$F,MATCH($C2279,[1]Detallado!$B:$B,0))</f>
        <v>Alternativos</v>
      </c>
      <c r="E2279" s="31" t="str">
        <f>+INDEX([1]Detallado!$Q:$Q,MATCH($C2279,[1]Detallado!$B:$B,0))</f>
        <v>ALT</v>
      </c>
      <c r="F2279" s="185" t="s">
        <v>4794</v>
      </c>
      <c r="G2279" s="186" t="str">
        <f t="shared" si="73"/>
        <v>53ALT</v>
      </c>
      <c r="H2279" s="187" t="str">
        <f>+INDEX([1]Detallado!$D:$D,MATCH(C2279,[1]Detallado!$B:$B,0))</f>
        <v>PRIVFAELCPIX</v>
      </c>
      <c r="I2279" s="28"/>
      <c r="J2279" s="184" t="str">
        <f t="shared" si="72"/>
        <v>ALT</v>
      </c>
    </row>
    <row r="2280" spans="3:10" x14ac:dyDescent="0.25">
      <c r="C2280" s="28" t="s">
        <v>793</v>
      </c>
      <c r="D2280" s="188" t="str">
        <f>+INDEX([1]Detallado!$F:$F,MATCH($C2280,[1]Detallado!$B:$B,0))</f>
        <v>Alternativos</v>
      </c>
      <c r="E2280" s="31" t="str">
        <f>+INDEX([1]Detallado!$Q:$Q,MATCH($C2280,[1]Detallado!$B:$B,0))</f>
        <v>ALT</v>
      </c>
      <c r="F2280" s="185" t="s">
        <v>4794</v>
      </c>
      <c r="G2280" s="186" t="str">
        <f t="shared" si="73"/>
        <v>53ALT</v>
      </c>
      <c r="H2280" s="187" t="str">
        <f>+INDEX([1]Detallado!$D:$D,MATCH(C2280,[1]Detallado!$B:$B,0))</f>
        <v>PAI Europe VII</v>
      </c>
      <c r="I2280" s="28"/>
      <c r="J2280" s="184" t="str">
        <f t="shared" si="72"/>
        <v>ALT</v>
      </c>
    </row>
    <row r="2281" spans="3:10" x14ac:dyDescent="0.25">
      <c r="C2281" s="28" t="s">
        <v>795</v>
      </c>
      <c r="D2281" s="188" t="str">
        <f>+INDEX([1]Detallado!$F:$F,MATCH($C2281,[1]Detallado!$B:$B,0))</f>
        <v>Alternativos</v>
      </c>
      <c r="E2281" s="31" t="str">
        <f>+INDEX([1]Detallado!$Q:$Q,MATCH($C2281,[1]Detallado!$B:$B,0))</f>
        <v>ALT</v>
      </c>
      <c r="F2281" s="185" t="s">
        <v>4794</v>
      </c>
      <c r="G2281" s="186" t="str">
        <f t="shared" si="73"/>
        <v>53ALT</v>
      </c>
      <c r="H2281" s="187" t="str">
        <f>+INDEX([1]Detallado!$D:$D,MATCH(C2281,[1]Detallado!$B:$B,0))</f>
        <v>PAI Europe VII</v>
      </c>
      <c r="I2281" s="28"/>
      <c r="J2281" s="184" t="str">
        <f t="shared" si="72"/>
        <v>ALT</v>
      </c>
    </row>
    <row r="2282" spans="3:10" x14ac:dyDescent="0.25">
      <c r="C2282" s="28" t="s">
        <v>741</v>
      </c>
      <c r="D2282" s="188" t="str">
        <f>+INDEX([1]Detallado!$F:$F,MATCH($C2282,[1]Detallado!$B:$B,0))</f>
        <v>Alternativos</v>
      </c>
      <c r="E2282" s="31" t="str">
        <f>+INDEX([1]Detallado!$Q:$Q,MATCH($C2282,[1]Detallado!$B:$B,0))</f>
        <v>ALT</v>
      </c>
      <c r="F2282" s="185" t="s">
        <v>4794</v>
      </c>
      <c r="G2282" s="186" t="str">
        <f t="shared" si="73"/>
        <v>53ALT</v>
      </c>
      <c r="H2282" s="187" t="str">
        <f>+INDEX([1]Detallado!$D:$D,MATCH(C2282,[1]Detallado!$B:$B,0))</f>
        <v>Pantheon - PASIA VI</v>
      </c>
      <c r="I2282" s="28"/>
      <c r="J2282" s="184" t="str">
        <f t="shared" si="72"/>
        <v>ALT</v>
      </c>
    </row>
    <row r="2283" spans="3:10" x14ac:dyDescent="0.25">
      <c r="C2283" s="28" t="s">
        <v>735</v>
      </c>
      <c r="D2283" s="188" t="str">
        <f>+INDEX([1]Detallado!$F:$F,MATCH($C2283,[1]Detallado!$B:$B,0))</f>
        <v>Alternativos</v>
      </c>
      <c r="E2283" s="31" t="str">
        <f>+INDEX([1]Detallado!$Q:$Q,MATCH($C2283,[1]Detallado!$B:$B,0))</f>
        <v>ALT</v>
      </c>
      <c r="F2283" s="185" t="s">
        <v>4794</v>
      </c>
      <c r="G2283" s="186" t="str">
        <f t="shared" si="73"/>
        <v>53ALT</v>
      </c>
      <c r="H2283" s="187" t="str">
        <f>+INDEX([1]Detallado!$D:$D,MATCH(C2283,[1]Detallado!$B:$B,0))</f>
        <v>Partners - PGD 2009</v>
      </c>
      <c r="I2283" s="28"/>
      <c r="J2283" s="184" t="str">
        <f t="shared" si="72"/>
        <v>ALT</v>
      </c>
    </row>
    <row r="2284" spans="3:10" x14ac:dyDescent="0.25">
      <c r="C2284" s="28" t="s">
        <v>752</v>
      </c>
      <c r="D2284" s="188" t="str">
        <f>+INDEX([1]Detallado!$F:$F,MATCH($C2284,[1]Detallado!$B:$B,0))</f>
        <v>Alternativos</v>
      </c>
      <c r="E2284" s="31" t="str">
        <f>+INDEX([1]Detallado!$Q:$Q,MATCH($C2284,[1]Detallado!$B:$B,0))</f>
        <v>ALT</v>
      </c>
      <c r="F2284" s="185" t="s">
        <v>4794</v>
      </c>
      <c r="G2284" s="186" t="str">
        <f t="shared" si="73"/>
        <v>53ALT</v>
      </c>
      <c r="H2284" s="187" t="str">
        <f>+INDEX([1]Detallado!$D:$D,MATCH(C2284,[1]Detallado!$B:$B,0))</f>
        <v>Partners - PG Secondary 2011</v>
      </c>
      <c r="I2284" s="28"/>
      <c r="J2284" s="184" t="str">
        <f t="shared" si="72"/>
        <v>ALT</v>
      </c>
    </row>
    <row r="2285" spans="3:10" x14ac:dyDescent="0.25">
      <c r="C2285" s="28" t="s">
        <v>765</v>
      </c>
      <c r="D2285" s="188" t="str">
        <f>+INDEX([1]Detallado!$F:$F,MATCH($C2285,[1]Detallado!$B:$B,0))</f>
        <v>Alternativos</v>
      </c>
      <c r="E2285" s="31" t="str">
        <f>+INDEX([1]Detallado!$Q:$Q,MATCH($C2285,[1]Detallado!$B:$B,0))</f>
        <v>ALT</v>
      </c>
      <c r="F2285" s="185" t="s">
        <v>4794</v>
      </c>
      <c r="G2285" s="186" t="str">
        <f t="shared" si="73"/>
        <v>53ALT</v>
      </c>
      <c r="H2285" s="187" t="str">
        <f>+INDEX([1]Detallado!$D:$D,MATCH(C2285,[1]Detallado!$B:$B,0))</f>
        <v>Partners - PG Secondary 2015</v>
      </c>
      <c r="I2285" s="28"/>
      <c r="J2285" s="184" t="str">
        <f t="shared" si="72"/>
        <v>ALT</v>
      </c>
    </row>
    <row r="2286" spans="3:10" x14ac:dyDescent="0.25">
      <c r="C2286" s="28" t="s">
        <v>731</v>
      </c>
      <c r="D2286" s="188" t="str">
        <f>+INDEX([1]Detallado!$F:$F,MATCH($C2286,[1]Detallado!$B:$B,0))</f>
        <v>Alternativos</v>
      </c>
      <c r="E2286" s="31" t="str">
        <f>+INDEX([1]Detallado!$Q:$Q,MATCH($C2286,[1]Detallado!$B:$B,0))</f>
        <v>ALT</v>
      </c>
      <c r="F2286" s="185" t="s">
        <v>4794</v>
      </c>
      <c r="G2286" s="186" t="str">
        <f t="shared" si="73"/>
        <v>53ALT</v>
      </c>
      <c r="H2286" s="187" t="str">
        <f>+INDEX([1]Detallado!$D:$D,MATCH(C2286,[1]Detallado!$B:$B,0))</f>
        <v>TRG Rohatyn - LAPEF I</v>
      </c>
      <c r="I2286" s="28"/>
      <c r="J2286" s="184" t="str">
        <f t="shared" si="72"/>
        <v>ALT</v>
      </c>
    </row>
    <row r="2287" spans="3:10" x14ac:dyDescent="0.25">
      <c r="C2287" s="28" t="s">
        <v>807</v>
      </c>
      <c r="D2287" s="188" t="str">
        <f>+INDEX([1]Detallado!$F:$F,MATCH($C2287,[1]Detallado!$B:$B,0))</f>
        <v>Alternativos</v>
      </c>
      <c r="E2287" s="31" t="str">
        <f>+INDEX([1]Detallado!$Q:$Q,MATCH($C2287,[1]Detallado!$B:$B,0))</f>
        <v>ALT</v>
      </c>
      <c r="F2287" s="185" t="s">
        <v>4794</v>
      </c>
      <c r="G2287" s="186" t="str">
        <f t="shared" si="73"/>
        <v>53ALT</v>
      </c>
      <c r="H2287" s="187" t="str">
        <f>+INDEX([1]Detallado!$D:$D,MATCH(C2287,[1]Detallado!$B:$B,0))</f>
        <v>Vista Equity Partners Fund VII GP, L.P.</v>
      </c>
      <c r="I2287" s="28"/>
      <c r="J2287" s="184" t="str">
        <f t="shared" si="72"/>
        <v>ALT</v>
      </c>
    </row>
    <row r="2288" spans="3:10" x14ac:dyDescent="0.25">
      <c r="C2288" s="28" t="s">
        <v>556</v>
      </c>
      <c r="D2288" s="188" t="str">
        <f>+INDEX([1]Detallado!$F:$F,MATCH($C2288,[1]Detallado!$B:$B,0))</f>
        <v>Alternativos</v>
      </c>
      <c r="E2288" s="31" t="str">
        <f>+INDEX([1]Detallado!$Q:$Q,MATCH($C2288,[1]Detallado!$B:$B,0))</f>
        <v>ALT</v>
      </c>
      <c r="F2288" s="185" t="s">
        <v>4794</v>
      </c>
      <c r="G2288" s="186" t="str">
        <f t="shared" si="73"/>
        <v>51ALT</v>
      </c>
      <c r="H2288" s="187" t="str">
        <f>+INDEX([1]Detallado!$D:$D,MATCH(C2288,[1]Detallado!$B:$B,0))</f>
        <v>Sura Credicorp Infraestructura</v>
      </c>
      <c r="I2288" s="28"/>
      <c r="J2288" s="184" t="str">
        <f t="shared" ref="J2288:J2315" si="74">IF(E2288="ALT",LEFT(E2288,3),LEFT(E2288,3)&amp;F2288)</f>
        <v>ALT</v>
      </c>
    </row>
    <row r="2289" spans="3:10" x14ac:dyDescent="0.25">
      <c r="C2289" s="28" t="s">
        <v>584</v>
      </c>
      <c r="D2289" s="188" t="str">
        <f>+INDEX([1]Detallado!$F:$F,MATCH($C2289,[1]Detallado!$B:$B,0))</f>
        <v>Alternativos</v>
      </c>
      <c r="E2289" s="31" t="str">
        <f>+INDEX([1]Detallado!$Q:$Q,MATCH($C2289,[1]Detallado!$B:$B,0))</f>
        <v>ALT</v>
      </c>
      <c r="F2289" s="185" t="s">
        <v>4794</v>
      </c>
      <c r="G2289" s="186" t="str">
        <f t="shared" si="73"/>
        <v>51ALT</v>
      </c>
      <c r="H2289" s="187" t="str">
        <f>+INDEX([1]Detallado!$D:$D,MATCH(C2289,[1]Detallado!$B:$B,0))</f>
        <v>Sigma- Infraestructura</v>
      </c>
      <c r="I2289" s="28"/>
      <c r="J2289" s="184" t="str">
        <f t="shared" si="74"/>
        <v>ALT</v>
      </c>
    </row>
    <row r="2290" spans="3:10" x14ac:dyDescent="0.25">
      <c r="C2290" s="28" t="s">
        <v>559</v>
      </c>
      <c r="D2290" s="188" t="str">
        <f>+INDEX([1]Detallado!$F:$F,MATCH($C2290,[1]Detallado!$B:$B,0))</f>
        <v>Alternativos</v>
      </c>
      <c r="E2290" s="31" t="str">
        <f>+INDEX([1]Detallado!$Q:$Q,MATCH($C2290,[1]Detallado!$B:$B,0))</f>
        <v>ALT</v>
      </c>
      <c r="F2290" s="185" t="s">
        <v>4794</v>
      </c>
      <c r="G2290" s="186" t="str">
        <f t="shared" si="73"/>
        <v>51ALT</v>
      </c>
      <c r="H2290" s="187" t="str">
        <f>+INDEX([1]Detallado!$D:$D,MATCH(C2290,[1]Detallado!$B:$B,0))</f>
        <v>AC Capitales - Infraestructura II</v>
      </c>
      <c r="I2290" s="28"/>
      <c r="J2290" s="184" t="str">
        <f t="shared" si="74"/>
        <v>ALT</v>
      </c>
    </row>
    <row r="2291" spans="3:10" x14ac:dyDescent="0.25">
      <c r="C2291" s="28" t="s">
        <v>564</v>
      </c>
      <c r="D2291" s="188" t="str">
        <f>+INDEX([1]Detallado!$F:$F,MATCH($C2291,[1]Detallado!$B:$B,0))</f>
        <v>Alternativos</v>
      </c>
      <c r="E2291" s="31" t="str">
        <f>+INDEX([1]Detallado!$Q:$Q,MATCH($C2291,[1]Detallado!$B:$B,0))</f>
        <v>ALT</v>
      </c>
      <c r="F2291" s="185" t="s">
        <v>4794</v>
      </c>
      <c r="G2291" s="186" t="str">
        <f t="shared" si="73"/>
        <v>51ALT</v>
      </c>
      <c r="H2291" s="187" t="str">
        <f>+INDEX([1]Detallado!$D:$D,MATCH(C2291,[1]Detallado!$B:$B,0))</f>
        <v>AC Capitales - Infraestructura</v>
      </c>
      <c r="I2291" s="28"/>
      <c r="J2291" s="184" t="str">
        <f t="shared" si="74"/>
        <v>ALT</v>
      </c>
    </row>
    <row r="2292" spans="3:10" x14ac:dyDescent="0.25">
      <c r="C2292" s="28" t="s">
        <v>549</v>
      </c>
      <c r="D2292" s="188" t="str">
        <f>+INDEX([1]Detallado!$F:$F,MATCH($C2292,[1]Detallado!$B:$B,0))</f>
        <v>Alternativos</v>
      </c>
      <c r="E2292" s="31" t="str">
        <f>+INDEX([1]Detallado!$Q:$Q,MATCH($C2292,[1]Detallado!$B:$B,0))</f>
        <v>ALT</v>
      </c>
      <c r="F2292" s="185" t="s">
        <v>4794</v>
      </c>
      <c r="G2292" s="186" t="str">
        <f t="shared" si="73"/>
        <v>51ALT</v>
      </c>
      <c r="H2292" s="187" t="str">
        <f>+INDEX([1]Detallado!$D:$D,MATCH(C2292,[1]Detallado!$B:$B,0))</f>
        <v>Macrocapitales - Fortaleza</v>
      </c>
      <c r="I2292" s="28"/>
      <c r="J2292" s="184" t="str">
        <f t="shared" si="74"/>
        <v>ALT</v>
      </c>
    </row>
    <row r="2293" spans="3:10" x14ac:dyDescent="0.25">
      <c r="C2293" s="28" t="s">
        <v>551</v>
      </c>
      <c r="D2293" s="188" t="str">
        <f>+INDEX([1]Detallado!$F:$F,MATCH($C2293,[1]Detallado!$B:$B,0))</f>
        <v>Alternativos</v>
      </c>
      <c r="E2293" s="31" t="str">
        <f>+INDEX([1]Detallado!$Q:$Q,MATCH($C2293,[1]Detallado!$B:$B,0))</f>
        <v>ALT</v>
      </c>
      <c r="F2293" s="185" t="s">
        <v>4794</v>
      </c>
      <c r="G2293" s="186" t="str">
        <f t="shared" si="73"/>
        <v>51ALT</v>
      </c>
      <c r="H2293" s="187" t="str">
        <f>+INDEX([1]Detallado!$D:$D,MATCH(C2293,[1]Detallado!$B:$B,0))</f>
        <v>Kandeo - II Private Equity</v>
      </c>
      <c r="I2293" s="28"/>
      <c r="J2293" s="184" t="str">
        <f t="shared" si="74"/>
        <v>ALT</v>
      </c>
    </row>
    <row r="2294" spans="3:10" x14ac:dyDescent="0.25">
      <c r="C2294" s="28" t="s">
        <v>576</v>
      </c>
      <c r="D2294" s="188" t="str">
        <f>+INDEX([1]Detallado!$F:$F,MATCH($C2294,[1]Detallado!$B:$B,0))</f>
        <v>Alternativos</v>
      </c>
      <c r="E2294" s="31" t="str">
        <f>+INDEX([1]Detallado!$Q:$Q,MATCH($C2294,[1]Detallado!$B:$B,0))</f>
        <v>ALT</v>
      </c>
      <c r="F2294" s="185" t="s">
        <v>4794</v>
      </c>
      <c r="G2294" s="186" t="str">
        <f t="shared" si="73"/>
        <v>51ALT</v>
      </c>
      <c r="H2294" s="187" t="str">
        <f>+INDEX([1]Detallado!$D:$D,MATCH(C2294,[1]Detallado!$B:$B,0))</f>
        <v xml:space="preserve">Faro Capital - Fondo de Inversión Retail </v>
      </c>
      <c r="I2294" s="28"/>
      <c r="J2294" s="184" t="str">
        <f t="shared" si="74"/>
        <v>ALT</v>
      </c>
    </row>
    <row r="2295" spans="3:10" x14ac:dyDescent="0.25">
      <c r="C2295" s="28" t="s">
        <v>574</v>
      </c>
      <c r="D2295" s="188" t="str">
        <f>+INDEX([1]Detallado!$F:$F,MATCH($C2295,[1]Detallado!$B:$B,0))</f>
        <v>Alternativos</v>
      </c>
      <c r="E2295" s="31" t="str">
        <f>+INDEX([1]Detallado!$Q:$Q,MATCH($C2295,[1]Detallado!$B:$B,0))</f>
        <v>ALT</v>
      </c>
      <c r="F2295" s="185" t="s">
        <v>4794</v>
      </c>
      <c r="G2295" s="186" t="str">
        <f t="shared" si="73"/>
        <v>51ALT</v>
      </c>
      <c r="H2295" s="187" t="str">
        <f>+INDEX([1]Detallado!$D:$D,MATCH(C2295,[1]Detallado!$B:$B,0))</f>
        <v>Enfoca - Descubridor 2</v>
      </c>
      <c r="I2295" s="28"/>
      <c r="J2295" s="184" t="str">
        <f t="shared" si="74"/>
        <v>ALT</v>
      </c>
    </row>
    <row r="2296" spans="3:10" x14ac:dyDescent="0.25">
      <c r="C2296" s="28" t="s">
        <v>571</v>
      </c>
      <c r="D2296" s="188" t="str">
        <f>+INDEX([1]Detallado!$F:$F,MATCH($C2296,[1]Detallado!$B:$B,0))</f>
        <v>Alternativos</v>
      </c>
      <c r="E2296" s="31" t="str">
        <f>+INDEX([1]Detallado!$Q:$Q,MATCH($C2296,[1]Detallado!$B:$B,0))</f>
        <v>ALT</v>
      </c>
      <c r="F2296" s="185" t="s">
        <v>4794</v>
      </c>
      <c r="G2296" s="186" t="str">
        <f t="shared" si="73"/>
        <v>51ALT</v>
      </c>
      <c r="H2296" s="187" t="str">
        <f>+INDEX([1]Detallado!$D:$D,MATCH(C2296,[1]Detallado!$B:$B,0))</f>
        <v>Enfoca - Descubridor 1</v>
      </c>
      <c r="I2296" s="28"/>
      <c r="J2296" s="184" t="str">
        <f t="shared" si="74"/>
        <v>ALT</v>
      </c>
    </row>
    <row r="2297" spans="3:10" x14ac:dyDescent="0.25">
      <c r="C2297" s="28" t="s">
        <v>534</v>
      </c>
      <c r="D2297" s="188" t="str">
        <f>+INDEX([1]Detallado!$F:$F,MATCH($C2297,[1]Detallado!$B:$B,0))</f>
        <v>Alternativos</v>
      </c>
      <c r="E2297" s="31" t="str">
        <f>+INDEX([1]Detallado!$Q:$Q,MATCH($C2297,[1]Detallado!$B:$B,0))</f>
        <v>ALT</v>
      </c>
      <c r="F2297" s="185" t="s">
        <v>4794</v>
      </c>
      <c r="G2297" s="186" t="str">
        <f t="shared" si="73"/>
        <v>48ALT</v>
      </c>
      <c r="H2297" s="187" t="str">
        <f>+INDEX([1]Detallado!$D:$D,MATCH(C2297,[1]Detallado!$B:$B,0))</f>
        <v>Carlyle Peru</v>
      </c>
      <c r="I2297" s="28"/>
      <c r="J2297" s="184" t="str">
        <f t="shared" si="74"/>
        <v>ALT</v>
      </c>
    </row>
    <row r="2298" spans="3:10" x14ac:dyDescent="0.25">
      <c r="C2298" s="28" t="s">
        <v>582</v>
      </c>
      <c r="D2298" s="188" t="str">
        <f>+INDEX([1]Detallado!$F:$F,MATCH($C2298,[1]Detallado!$B:$B,0))</f>
        <v>Alternativos</v>
      </c>
      <c r="E2298" s="31" t="str">
        <f>+INDEX([1]Detallado!$Q:$Q,MATCH($C2298,[1]Detallado!$B:$B,0))</f>
        <v>ALT</v>
      </c>
      <c r="F2298" s="185" t="s">
        <v>4794</v>
      </c>
      <c r="G2298" s="186" t="str">
        <f t="shared" si="73"/>
        <v>51ALT</v>
      </c>
      <c r="H2298" s="187" t="str">
        <f>+INDEX([1]Detallado!$D:$D,MATCH(C2298,[1]Detallado!$B:$B,0))</f>
        <v>LarraínVial Colliers - Fibra III</v>
      </c>
      <c r="I2298" s="28"/>
      <c r="J2298" s="184" t="str">
        <f t="shared" si="74"/>
        <v>ALT</v>
      </c>
    </row>
    <row r="2299" spans="3:10" x14ac:dyDescent="0.25">
      <c r="C2299" s="28" t="s">
        <v>580</v>
      </c>
      <c r="D2299" s="188" t="str">
        <f>+INDEX([1]Detallado!$F:$F,MATCH($C2299,[1]Detallado!$B:$B,0))</f>
        <v>Alternativos</v>
      </c>
      <c r="E2299" s="31" t="str">
        <f>+INDEX([1]Detallado!$Q:$Q,MATCH($C2299,[1]Detallado!$B:$B,0))</f>
        <v>ALT</v>
      </c>
      <c r="F2299" s="185" t="s">
        <v>4794</v>
      </c>
      <c r="G2299" s="186" t="str">
        <f t="shared" si="73"/>
        <v>51ALT</v>
      </c>
      <c r="H2299" s="187" t="str">
        <f>+INDEX([1]Detallado!$D:$D,MATCH(C2299,[1]Detallado!$B:$B,0))</f>
        <v>LarraínVial Colliers - Fibra II</v>
      </c>
      <c r="I2299" s="28"/>
      <c r="J2299" s="184" t="str">
        <f t="shared" si="74"/>
        <v>ALT</v>
      </c>
    </row>
    <row r="2300" spans="3:10" x14ac:dyDescent="0.25">
      <c r="C2300" s="28" t="s">
        <v>553</v>
      </c>
      <c r="D2300" s="188" t="str">
        <f>+INDEX([1]Detallado!$F:$F,MATCH($C2300,[1]Detallado!$B:$B,0))</f>
        <v>Alternativos</v>
      </c>
      <c r="E2300" s="31" t="str">
        <f>+INDEX([1]Detallado!$Q:$Q,MATCH($C2300,[1]Detallado!$B:$B,0))</f>
        <v>ALT</v>
      </c>
      <c r="F2300" s="185" t="s">
        <v>4794</v>
      </c>
      <c r="G2300" s="186" t="str">
        <f t="shared" si="73"/>
        <v>51ALT</v>
      </c>
      <c r="H2300" s="187" t="str">
        <f>+INDEX([1]Detallado!$D:$D,MATCH(C2300,[1]Detallado!$B:$B,0))</f>
        <v>W Capital - Fondo Inmobiliario</v>
      </c>
      <c r="I2300" s="28"/>
      <c r="J2300" s="184" t="str">
        <f t="shared" si="74"/>
        <v>ALT</v>
      </c>
    </row>
    <row r="2301" spans="3:10" x14ac:dyDescent="0.25">
      <c r="C2301" s="28" t="s">
        <v>568</v>
      </c>
      <c r="D2301" s="188" t="str">
        <f>+INDEX([1]Detallado!$F:$F,MATCH($C2301,[1]Detallado!$B:$B,0))</f>
        <v>Alternativos</v>
      </c>
      <c r="E2301" s="31" t="str">
        <f>+INDEX([1]Detallado!$Q:$Q,MATCH($C2301,[1]Detallado!$B:$B,0))</f>
        <v>ALT</v>
      </c>
      <c r="F2301" s="185" t="s">
        <v>4794</v>
      </c>
      <c r="G2301" s="186" t="str">
        <f t="shared" si="73"/>
        <v>51ALT</v>
      </c>
      <c r="H2301" s="187" t="str">
        <f>+INDEX([1]Detallado!$D:$D,MATCH(C2301,[1]Detallado!$B:$B,0))</f>
        <v>BCP Fondo Inmobiliario</v>
      </c>
      <c r="I2301" s="28"/>
      <c r="J2301" s="184" t="str">
        <f t="shared" si="74"/>
        <v>ALT</v>
      </c>
    </row>
    <row r="2302" spans="3:10" x14ac:dyDescent="0.25">
      <c r="C2302" s="28" t="s">
        <v>566</v>
      </c>
      <c r="D2302" s="188" t="str">
        <f>+INDEX([1]Detallado!$F:$F,MATCH($C2302,[1]Detallado!$B:$B,0))</f>
        <v>Alternativos</v>
      </c>
      <c r="E2302" s="31" t="str">
        <f>+INDEX([1]Detallado!$Q:$Q,MATCH($C2302,[1]Detallado!$B:$B,0))</f>
        <v>ALT</v>
      </c>
      <c r="F2302" s="185" t="s">
        <v>4794</v>
      </c>
      <c r="G2302" s="186" t="str">
        <f t="shared" si="73"/>
        <v>51ALT</v>
      </c>
      <c r="H2302" s="187" t="str">
        <f>+INDEX([1]Detallado!$D:$D,MATCH(C2302,[1]Detallado!$B:$B,0))</f>
        <v>Compass - Inmobiliario B</v>
      </c>
      <c r="I2302" s="28"/>
      <c r="J2302" s="184" t="str">
        <f t="shared" si="74"/>
        <v>ALT</v>
      </c>
    </row>
    <row r="2303" spans="3:10" x14ac:dyDescent="0.25">
      <c r="C2303" s="28" t="s">
        <v>562</v>
      </c>
      <c r="D2303" s="188" t="str">
        <f>+INDEX([1]Detallado!$F:$F,MATCH($C2303,[1]Detallado!$B:$B,0))</f>
        <v>Alternativos</v>
      </c>
      <c r="E2303" s="31" t="str">
        <f>+INDEX([1]Detallado!$Q:$Q,MATCH($C2303,[1]Detallado!$B:$B,0))</f>
        <v>ALT</v>
      </c>
      <c r="F2303" s="185" t="s">
        <v>4794</v>
      </c>
      <c r="G2303" s="186" t="str">
        <f t="shared" si="73"/>
        <v>51ALT</v>
      </c>
      <c r="H2303" s="187" t="str">
        <f>+INDEX([1]Detallado!$D:$D,MATCH(C2303,[1]Detallado!$B:$B,0))</f>
        <v>AC Capitales - Inmobiliario II</v>
      </c>
      <c r="I2303" s="28"/>
      <c r="J2303" s="184" t="str">
        <f t="shared" si="74"/>
        <v>ALT</v>
      </c>
    </row>
    <row r="2304" spans="3:10" x14ac:dyDescent="0.25">
      <c r="C2304" s="28" t="s">
        <v>811</v>
      </c>
      <c r="D2304" s="188" t="str">
        <f>+INDEX([1]Detallado!$F:$F,MATCH($C2304,[1]Detallado!$B:$B,0))</f>
        <v>Alternativos</v>
      </c>
      <c r="E2304" s="31" t="str">
        <f>+INDEX([1]Detallado!$Q:$Q,MATCH($C2304,[1]Detallado!$B:$B,0))</f>
        <v>ALT</v>
      </c>
      <c r="F2304" s="185" t="s">
        <v>4794</v>
      </c>
      <c r="G2304" s="186" t="str">
        <f t="shared" si="73"/>
        <v>53ALT</v>
      </c>
      <c r="H2304" s="187" t="str">
        <f>+INDEX([1]Detallado!$D:$D,MATCH(C2304,[1]Detallado!$B:$B,0))</f>
        <v>Global Infrastructure GP IV, L.P.</v>
      </c>
      <c r="I2304" s="28"/>
      <c r="J2304" s="184" t="str">
        <f t="shared" si="74"/>
        <v>ALT</v>
      </c>
    </row>
    <row r="2305" spans="3:10" x14ac:dyDescent="0.25">
      <c r="C2305" s="28" t="s">
        <v>739</v>
      </c>
      <c r="D2305" s="188" t="str">
        <f>+INDEX([1]Detallado!$F:$F,MATCH($C2305,[1]Detallado!$B:$B,0))</f>
        <v>Alternativos</v>
      </c>
      <c r="E2305" s="31" t="str">
        <f>+INDEX([1]Detallado!$Q:$Q,MATCH($C2305,[1]Detallado!$B:$B,0))</f>
        <v>ALT</v>
      </c>
      <c r="F2305" s="185" t="s">
        <v>4794</v>
      </c>
      <c r="G2305" s="186" t="str">
        <f t="shared" si="73"/>
        <v>53ALT</v>
      </c>
      <c r="H2305" s="187" t="str">
        <f>+INDEX([1]Detallado!$D:$D,MATCH(C2305,[1]Detallado!$B:$B,0))</f>
        <v xml:space="preserve">PineBridge - Credit Opportunities II </v>
      </c>
      <c r="I2305" s="28"/>
      <c r="J2305" s="184" t="str">
        <f t="shared" si="74"/>
        <v>ALT</v>
      </c>
    </row>
    <row r="2306" spans="3:10" x14ac:dyDescent="0.25">
      <c r="C2306" s="28" t="s">
        <v>768</v>
      </c>
      <c r="D2306" s="188" t="str">
        <f>+INDEX([1]Detallado!$F:$F,MATCH($C2306,[1]Detallado!$B:$B,0))</f>
        <v>Alternativos</v>
      </c>
      <c r="E2306" s="31" t="str">
        <f>+INDEX([1]Detallado!$Q:$Q,MATCH($C2306,[1]Detallado!$B:$B,0))</f>
        <v>ALT</v>
      </c>
      <c r="F2306" s="185" t="s">
        <v>4794</v>
      </c>
      <c r="G2306" s="186" t="str">
        <f t="shared" si="73"/>
        <v>53ALT</v>
      </c>
      <c r="H2306" s="187" t="str">
        <f>+INDEX([1]Detallado!$D:$D,MATCH(C2306,[1]Detallado!$B:$B,0))</f>
        <v>Oaktree Principal Fund VI GP, L.P.</v>
      </c>
      <c r="I2306" s="28"/>
      <c r="J2306" s="184" t="str">
        <f t="shared" si="74"/>
        <v>ALT</v>
      </c>
    </row>
    <row r="2307" spans="3:10" x14ac:dyDescent="0.25">
      <c r="C2307" s="28" t="s">
        <v>774</v>
      </c>
      <c r="D2307" s="188" t="str">
        <f>+INDEX([1]Detallado!$F:$F,MATCH($C2307,[1]Detallado!$B:$B,0))</f>
        <v>Alternativos</v>
      </c>
      <c r="E2307" s="31" t="str">
        <f>+INDEX([1]Detallado!$Q:$Q,MATCH($C2307,[1]Detallado!$B:$B,0))</f>
        <v>ALT</v>
      </c>
      <c r="F2307" s="185" t="s">
        <v>4794</v>
      </c>
      <c r="G2307" s="186" t="str">
        <f t="shared" si="73"/>
        <v>53ALT</v>
      </c>
      <c r="H2307" s="187" t="str">
        <f>+INDEX([1]Detallado!$D:$D,MATCH(C2307,[1]Detallado!$B:$B,0))</f>
        <v>Avenue - Europe Capital Partners III, LLC</v>
      </c>
      <c r="I2307" s="28"/>
      <c r="J2307" s="184" t="str">
        <f t="shared" si="74"/>
        <v>ALT</v>
      </c>
    </row>
    <row r="2308" spans="3:10" x14ac:dyDescent="0.25">
      <c r="C2308" s="28" t="s">
        <v>772</v>
      </c>
      <c r="D2308" s="188" t="str">
        <f>+INDEX([1]Detallado!$F:$F,MATCH($C2308,[1]Detallado!$B:$B,0))</f>
        <v>Alternativos</v>
      </c>
      <c r="E2308" s="31" t="str">
        <f>+INDEX([1]Detallado!$Q:$Q,MATCH($C2308,[1]Detallado!$B:$B,0))</f>
        <v>ALT</v>
      </c>
      <c r="F2308" s="185" t="s">
        <v>4794</v>
      </c>
      <c r="G2308" s="186" t="str">
        <f t="shared" si="73"/>
        <v>53ALT</v>
      </c>
      <c r="H2308" s="187" t="str">
        <f>+INDEX([1]Detallado!$D:$D,MATCH(C2308,[1]Detallado!$B:$B,0))</f>
        <v>ASSF - Operating Manager IV, LP</v>
      </c>
      <c r="I2308" s="28"/>
      <c r="J2308" s="184" t="str">
        <f t="shared" si="74"/>
        <v>ALT</v>
      </c>
    </row>
    <row r="2309" spans="3:10" x14ac:dyDescent="0.25">
      <c r="C2309" s="28" t="s">
        <v>761</v>
      </c>
      <c r="D2309" s="188" t="str">
        <f>+INDEX([1]Detallado!$F:$F,MATCH($C2309,[1]Detallado!$B:$B,0))</f>
        <v>Alternativos</v>
      </c>
      <c r="E2309" s="31" t="str">
        <f>+INDEX([1]Detallado!$Q:$Q,MATCH($C2309,[1]Detallado!$B:$B,0))</f>
        <v>ALT</v>
      </c>
      <c r="F2309" s="185" t="s">
        <v>4794</v>
      </c>
      <c r="G2309" s="186" t="str">
        <f t="shared" si="73"/>
        <v>53ALT</v>
      </c>
      <c r="H2309" s="187" t="str">
        <f>+INDEX([1]Detallado!$D:$D,MATCH(C2309,[1]Detallado!$B:$B,0))</f>
        <v>Apollo Credit Opportunity III</v>
      </c>
      <c r="I2309" s="28"/>
      <c r="J2309" s="184" t="str">
        <f t="shared" si="74"/>
        <v>ALT</v>
      </c>
    </row>
    <row r="2310" spans="3:10" x14ac:dyDescent="0.25">
      <c r="C2310" s="28" t="s">
        <v>4844</v>
      </c>
      <c r="D2310" s="188" t="str">
        <f>+INDEX([1]Detallado!$F:$F,MATCH($C2310,[1]Detallado!$B:$B,0))</f>
        <v>Renta Fija</v>
      </c>
      <c r="E2310" s="31" t="str">
        <f>+INDEX([1]Detallado!$Q:$Q,MATCH($C2310,[1]Detallado!$B:$B,0))</f>
        <v>RFIG</v>
      </c>
      <c r="F2310" s="185" t="s">
        <v>4356</v>
      </c>
      <c r="G2310" s="186" t="str">
        <f t="shared" si="73"/>
        <v>08RFIG</v>
      </c>
      <c r="H2310" s="187" t="str">
        <f>+INDEX([1]Detallado!$D:$D,MATCH(C2310,[1]Detallado!$B:$B,0))</f>
        <v>Gobierno de Brasil</v>
      </c>
      <c r="I2310" s="28"/>
      <c r="J2310" s="184" t="str">
        <f t="shared" si="74"/>
        <v>RFIGOB</v>
      </c>
    </row>
    <row r="2311" spans="3:10" x14ac:dyDescent="0.25">
      <c r="C2311" s="28" t="s">
        <v>4990</v>
      </c>
      <c r="D2311" s="188" t="str">
        <f>+INDEX([1]Detallado!$F:$F,MATCH($C2311,[1]Detallado!$B:$B,0))</f>
        <v>Renta Fija</v>
      </c>
      <c r="E2311" s="31" t="str">
        <f>+INDEX([1]Detallado!$Q:$Q,MATCH($C2311,[1]Detallado!$B:$B,0))</f>
        <v>RFIG</v>
      </c>
      <c r="F2311" s="185" t="s">
        <v>4357</v>
      </c>
      <c r="G2311" s="186" t="str">
        <f t="shared" si="73"/>
        <v>08RFIG</v>
      </c>
      <c r="H2311" s="187" t="str">
        <f>+INDEX([1]Detallado!$D:$D,MATCH(C2311,[1]Detallado!$B:$B,0))</f>
        <v>Gobierno de los Estados Unidos</v>
      </c>
      <c r="I2311" s="28"/>
      <c r="J2311" s="184" t="str">
        <f t="shared" si="74"/>
        <v>RFIBU</v>
      </c>
    </row>
    <row r="2312" spans="3:10" x14ac:dyDescent="0.25">
      <c r="C2312" s="28" t="s">
        <v>4817</v>
      </c>
      <c r="D2312" s="188" t="str">
        <f>+INDEX([1]Detallado!$F:$F,MATCH($C2312,[1]Detallado!$B:$B,0))</f>
        <v>Renta Fija</v>
      </c>
      <c r="E2312" s="31" t="str">
        <f>+INDEX([1]Detallado!$Q:$Q,MATCH($C2312,[1]Detallado!$B:$B,0))</f>
        <v>RFIC</v>
      </c>
      <c r="F2312" s="185" t="s">
        <v>4357</v>
      </c>
      <c r="G2312" s="186" t="str">
        <f t="shared" si="73"/>
        <v>59RFIC</v>
      </c>
      <c r="H2312" s="187" t="str">
        <f>+INDEX([1]Detallado!$D:$D,MATCH(C2312,[1]Detallado!$B:$B,0))</f>
        <v>Ecopetrol</v>
      </c>
      <c r="I2312" s="28"/>
      <c r="J2312" s="184" t="str">
        <f t="shared" si="74"/>
        <v>RFIBU</v>
      </c>
    </row>
    <row r="2313" spans="3:10" x14ac:dyDescent="0.25">
      <c r="C2313" s="28" t="s">
        <v>4993</v>
      </c>
      <c r="D2313" s="188" t="str">
        <f>+INDEX([1]Detallado!$F:$F,MATCH($C2313,[1]Detallado!$B:$B,0))</f>
        <v>Renta Fija</v>
      </c>
      <c r="E2313" s="31" t="str">
        <f>+INDEX([1]Detallado!$Q:$Q,MATCH($C2313,[1]Detallado!$B:$B,0))</f>
        <v>RFLC</v>
      </c>
      <c r="F2313" s="185" t="s">
        <v>4357</v>
      </c>
      <c r="G2313" s="186" t="str">
        <f t="shared" si="73"/>
        <v>21RFLC</v>
      </c>
      <c r="H2313" s="187" t="str">
        <f>+INDEX([1]Detallado!$D:$D,MATCH(C2313,[1]Detallado!$B:$B,0))</f>
        <v>Banco Continental</v>
      </c>
      <c r="I2313" s="28"/>
      <c r="J2313" s="184" t="str">
        <f t="shared" si="74"/>
        <v>RFLBU</v>
      </c>
    </row>
    <row r="2314" spans="3:10" x14ac:dyDescent="0.25">
      <c r="C2314" s="28" t="s">
        <v>4845</v>
      </c>
      <c r="D2314" s="188" t="str">
        <f>+INDEX([1]Detallado!$F:$F,MATCH($C2314,[1]Detallado!$B:$B,0))</f>
        <v>Renta Fija</v>
      </c>
      <c r="E2314" s="31" t="str">
        <f>+INDEX([1]Detallado!$Q:$Q,MATCH($C2314,[1]Detallado!$B:$B,0))</f>
        <v>RFLC</v>
      </c>
      <c r="F2314" s="185" t="s">
        <v>4357</v>
      </c>
      <c r="G2314" s="186" t="str">
        <f t="shared" ref="G2314:G2377" si="75">LEFT(C2314,2)&amp;E2314</f>
        <v>25RFLC</v>
      </c>
      <c r="H2314" s="187" t="str">
        <f>+INDEX([1]Detallado!$D:$D,MATCH(C2314,[1]Detallado!$B:$B,0))</f>
        <v>Banco de Crédito del Perú</v>
      </c>
      <c r="I2314" s="28"/>
      <c r="J2314" s="184" t="str">
        <f t="shared" si="74"/>
        <v>RFLBU</v>
      </c>
    </row>
    <row r="2315" spans="3:10" x14ac:dyDescent="0.25">
      <c r="C2315" s="28" t="s">
        <v>5000</v>
      </c>
      <c r="D2315" s="188" t="str">
        <f>+INDEX([1]Detallado!$F:$F,MATCH($C2315,[1]Detallado!$B:$B,0))</f>
        <v>Renta Variable</v>
      </c>
      <c r="E2315" s="31" t="str">
        <f>+INDEX([1]Detallado!$Q:$Q,MATCH($C2315,[1]Detallado!$B:$B,0))</f>
        <v>RVI</v>
      </c>
      <c r="F2315" s="185" t="s">
        <v>4355</v>
      </c>
      <c r="G2315" s="186" t="str">
        <f t="shared" si="75"/>
        <v>52RVI</v>
      </c>
      <c r="H2315" s="187" t="str">
        <f>+INDEX([1]Detallado!$D:$D,MATCH(C2315,[1]Detallado!$B:$B,0))</f>
        <v>Joh Berenberg - European Focus Fund</v>
      </c>
      <c r="I2315" s="28"/>
      <c r="J2315" s="184" t="str">
        <f t="shared" si="74"/>
        <v>RVITD</v>
      </c>
    </row>
    <row r="2316" spans="3:10" x14ac:dyDescent="0.25">
      <c r="C2316" s="28" t="s">
        <v>4821</v>
      </c>
      <c r="D2316" s="188" t="str">
        <f>+INDEX([1]Detallado!$F:$F,MATCH($C2316,[1]Detallado!$B:$B,0))</f>
        <v>Renta Fija</v>
      </c>
      <c r="E2316" s="31" t="str">
        <f>+INDEX([1]Detallado!$Q:$Q,MATCH($C2316,[1]Detallado!$B:$B,0))</f>
        <v>RFIG</v>
      </c>
      <c r="F2316" s="185" t="s">
        <v>4355</v>
      </c>
      <c r="G2316" s="186" t="str">
        <f t="shared" si="75"/>
        <v>08RFIG</v>
      </c>
      <c r="H2316" s="187" t="str">
        <f>+INDEX([1]Detallado!$D:$D,MATCH(C2316,[1]Detallado!$B:$B,0))</f>
        <v>Gobierno de Australia</v>
      </c>
      <c r="I2316" s="28"/>
      <c r="J2316" s="184" t="str">
        <f t="shared" ref="J2316:J2318" si="76">IF(E2316="ALT",LEFT(E2316,3),LEFT(E2316,3)&amp;F2316)</f>
        <v>RFITD</v>
      </c>
    </row>
    <row r="2317" spans="3:10" x14ac:dyDescent="0.25">
      <c r="C2317" s="28" t="s">
        <v>5087</v>
      </c>
      <c r="D2317" s="188" t="str">
        <f>+INDEX([1]Detallado!$F:$F,MATCH($C2317,[1]Detallado!$B:$B,0))</f>
        <v>Renta Fija</v>
      </c>
      <c r="E2317" s="31" t="str">
        <f>+INDEX([1]Detallado!$Q:$Q,MATCH($C2317,[1]Detallado!$B:$B,0))</f>
        <v>RFIG</v>
      </c>
      <c r="F2317" s="185" t="s">
        <v>4355</v>
      </c>
      <c r="G2317" s="186" t="str">
        <f t="shared" si="75"/>
        <v>08RFIG</v>
      </c>
      <c r="H2317" s="187" t="str">
        <f>+INDEX([1]Detallado!$D:$D,MATCH(C2317,[1]Detallado!$B:$B,0))</f>
        <v>Gobierno de los Estados Unidos</v>
      </c>
      <c r="I2317" s="28"/>
      <c r="J2317" s="184" t="str">
        <f t="shared" si="76"/>
        <v>RFITD</v>
      </c>
    </row>
    <row r="2318" spans="3:10" x14ac:dyDescent="0.25">
      <c r="C2318" s="28" t="s">
        <v>5174</v>
      </c>
      <c r="D2318" s="188" t="str">
        <f>+INDEX([1]Detallado!$F:$F,MATCH($C2318,[1]Detallado!$B:$B,0))</f>
        <v>Renta Variable</v>
      </c>
      <c r="E2318" s="31" t="str">
        <f>+INDEX([1]Detallado!$Q:$Q,MATCH($C2318,[1]Detallado!$B:$B,0))</f>
        <v>RVL</v>
      </c>
      <c r="F2318" s="185" t="s">
        <v>4357</v>
      </c>
      <c r="G2318" s="186" t="str">
        <f t="shared" si="75"/>
        <v>34RVL</v>
      </c>
      <c r="H2318" s="187" t="str">
        <f>+INDEX([1]Detallado!$D:$D,MATCH(C2318,[1]Detallado!$B:$B,0))</f>
        <v>AUNA SA</v>
      </c>
      <c r="I2318" s="28"/>
      <c r="J2318" s="184" t="str">
        <f t="shared" si="76"/>
        <v>RVLBU</v>
      </c>
    </row>
    <row r="2319" spans="3:10" x14ac:dyDescent="0.25">
      <c r="C2319" s="28" t="s">
        <v>5270</v>
      </c>
      <c r="D2319" s="188" t="str">
        <f>+INDEX([1]Detallado!$F:$F,MATCH($C2319,[1]Detallado!$B:$B,0))</f>
        <v>Renta Fija</v>
      </c>
      <c r="E2319" s="31" t="str">
        <f>+INDEX([1]Detallado!$Q:$Q,MATCH($C2319,[1]Detallado!$B:$B,0))</f>
        <v>RFIG</v>
      </c>
      <c r="F2319" s="185" t="s">
        <v>4355</v>
      </c>
      <c r="G2319" s="186" t="str">
        <f t="shared" si="75"/>
        <v>08RFIG</v>
      </c>
      <c r="H2319" s="187" t="str">
        <f>+INDEX([1]Detallado!$D:$D,MATCH(C2319,[1]Detallado!$B:$B,0))</f>
        <v>Gobierno del Reino Unido</v>
      </c>
      <c r="I2319" s="28"/>
      <c r="J2319" s="184" t="str">
        <f t="shared" ref="J2319:J2354" si="77">IF(E2319="ALT",LEFT(E2319,3),LEFT(E2319,3)&amp;F2319)</f>
        <v>RFITD</v>
      </c>
    </row>
    <row r="2320" spans="3:10" x14ac:dyDescent="0.25">
      <c r="C2320" s="28" t="s">
        <v>5270</v>
      </c>
      <c r="D2320" s="188" t="str">
        <f>+INDEX([1]Detallado!$F:$F,MATCH($C2320,[1]Detallado!$B:$B,0))</f>
        <v>Renta Fija</v>
      </c>
      <c r="E2320" s="31" t="str">
        <f>+INDEX([1]Detallado!$Q:$Q,MATCH($C2320,[1]Detallado!$B:$B,0))</f>
        <v>RFIG</v>
      </c>
      <c r="F2320" s="185" t="s">
        <v>4355</v>
      </c>
      <c r="G2320" s="186" t="str">
        <f t="shared" si="75"/>
        <v>08RFIG</v>
      </c>
      <c r="H2320" s="187" t="str">
        <f>+INDEX([1]Detallado!$D:$D,MATCH(C2320,[1]Detallado!$B:$B,0))</f>
        <v>Gobierno del Reino Unido</v>
      </c>
      <c r="I2320" s="28"/>
      <c r="J2320" s="184" t="str">
        <f t="shared" si="77"/>
        <v>RFITD</v>
      </c>
    </row>
    <row r="2321" spans="3:10" x14ac:dyDescent="0.25">
      <c r="C2321" s="28" t="s">
        <v>4824</v>
      </c>
      <c r="D2321" s="188" t="str">
        <f>+INDEX([1]Detallado!$F:$F,MATCH($C2321,[1]Detallado!$B:$B,0))</f>
        <v>Renta Fija</v>
      </c>
      <c r="E2321" s="31" t="str">
        <f>+INDEX([1]Detallado!$Q:$Q,MATCH($C2321,[1]Detallado!$B:$B,0))</f>
        <v>RFIG</v>
      </c>
      <c r="F2321" s="185" t="s">
        <v>4355</v>
      </c>
      <c r="G2321" s="186" t="str">
        <f t="shared" si="75"/>
        <v>08RFIG</v>
      </c>
      <c r="H2321" s="187" t="str">
        <f>+INDEX([1]Detallado!$D:$D,MATCH(C2321,[1]Detallado!$B:$B,0))</f>
        <v>Gobierno de Chile</v>
      </c>
      <c r="I2321" s="28"/>
      <c r="J2321" s="184" t="str">
        <f t="shared" si="77"/>
        <v>RFITD</v>
      </c>
    </row>
    <row r="2322" spans="3:10" x14ac:dyDescent="0.25">
      <c r="C2322" s="28" t="s">
        <v>5279</v>
      </c>
      <c r="D2322" s="188" t="str">
        <f>+INDEX([1]Detallado!$F:$F,MATCH($C2322,[1]Detallado!$B:$B,0))</f>
        <v>Renta Variable</v>
      </c>
      <c r="E2322" s="31" t="str">
        <f>+INDEX([1]Detallado!$Q:$Q,MATCH($C2322,[1]Detallado!$B:$B,0))</f>
        <v>RVL</v>
      </c>
      <c r="F2322" s="185" t="s">
        <v>4357</v>
      </c>
      <c r="G2322" s="186" t="str">
        <f t="shared" si="75"/>
        <v>30RVL</v>
      </c>
      <c r="H2322" s="187" t="str">
        <f>+INDEX([1]Detallado!$D:$D,MATCH(C2322,[1]Detallado!$B:$B,0))</f>
        <v>Puerto Chancay A</v>
      </c>
      <c r="I2322" s="28"/>
      <c r="J2322" s="184" t="str">
        <f t="shared" si="77"/>
        <v>RVLBU</v>
      </c>
    </row>
    <row r="2323" spans="3:10" x14ac:dyDescent="0.25">
      <c r="C2323" s="28" t="s">
        <v>5279</v>
      </c>
      <c r="D2323" s="188" t="str">
        <f>+INDEX([1]Detallado!$F:$F,MATCH($C2323,[1]Detallado!$B:$B,0))</f>
        <v>Renta Variable</v>
      </c>
      <c r="E2323" s="31" t="str">
        <f>+INDEX([1]Detallado!$Q:$Q,MATCH($C2323,[1]Detallado!$B:$B,0))</f>
        <v>RVL</v>
      </c>
      <c r="F2323" s="185" t="s">
        <v>4357</v>
      </c>
      <c r="G2323" s="186" t="str">
        <f t="shared" si="75"/>
        <v>30RVL</v>
      </c>
      <c r="H2323" s="187" t="str">
        <f>+INDEX([1]Detallado!$D:$D,MATCH(C2323,[1]Detallado!$B:$B,0))</f>
        <v>Puerto Chancay A</v>
      </c>
      <c r="I2323" s="28"/>
      <c r="J2323" s="184" t="str">
        <f t="shared" si="77"/>
        <v>RVLBU</v>
      </c>
    </row>
    <row r="2324" spans="3:10" x14ac:dyDescent="0.25">
      <c r="C2324" s="28" t="s">
        <v>5279</v>
      </c>
      <c r="D2324" s="188" t="str">
        <f>+INDEX([1]Detallado!$F:$F,MATCH($C2324,[1]Detallado!$B:$B,0))</f>
        <v>Renta Variable</v>
      </c>
      <c r="E2324" s="31" t="str">
        <f>+INDEX([1]Detallado!$Q:$Q,MATCH($C2324,[1]Detallado!$B:$B,0))</f>
        <v>RVL</v>
      </c>
      <c r="F2324" s="185" t="s">
        <v>4357</v>
      </c>
      <c r="G2324" s="186" t="str">
        <f t="shared" si="75"/>
        <v>30RVL</v>
      </c>
      <c r="H2324" s="187" t="str">
        <f>+INDEX([1]Detallado!$D:$D,MATCH(C2324,[1]Detallado!$B:$B,0))</f>
        <v>Puerto Chancay A</v>
      </c>
      <c r="I2324" s="28"/>
      <c r="J2324" s="184" t="str">
        <f t="shared" si="77"/>
        <v>RVLBU</v>
      </c>
    </row>
    <row r="2325" spans="3:10" x14ac:dyDescent="0.25">
      <c r="C2325" s="28" t="s">
        <v>5283</v>
      </c>
      <c r="D2325" s="188" t="str">
        <f>+INDEX([1]Detallado!$F:$F,MATCH($C2325,[1]Detallado!$B:$B,0))</f>
        <v>Renta Variable</v>
      </c>
      <c r="E2325" s="31" t="str">
        <f>+INDEX([1]Detallado!$Q:$Q,MATCH($C2325,[1]Detallado!$B:$B,0))</f>
        <v>RVL</v>
      </c>
      <c r="F2325" s="185" t="s">
        <v>4357</v>
      </c>
      <c r="G2325" s="186" t="str">
        <f t="shared" si="75"/>
        <v>30RVL</v>
      </c>
      <c r="H2325" s="187" t="str">
        <f>+INDEX([1]Detallado!$D:$D,MATCH(C2325,[1]Detallado!$B:$B,0))</f>
        <v>Puerto Chancay B</v>
      </c>
      <c r="I2325" s="28"/>
      <c r="J2325" s="184" t="str">
        <f t="shared" si="77"/>
        <v>RVLBU</v>
      </c>
    </row>
    <row r="2326" spans="3:10" x14ac:dyDescent="0.25">
      <c r="C2326" s="28" t="s">
        <v>5283</v>
      </c>
      <c r="D2326" s="188" t="str">
        <f>+INDEX([1]Detallado!$F:$F,MATCH($C2326,[1]Detallado!$B:$B,0))</f>
        <v>Renta Variable</v>
      </c>
      <c r="E2326" s="31" t="str">
        <f>+INDEX([1]Detallado!$Q:$Q,MATCH($C2326,[1]Detallado!$B:$B,0))</f>
        <v>RVL</v>
      </c>
      <c r="F2326" s="185" t="s">
        <v>4357</v>
      </c>
      <c r="G2326" s="186" t="str">
        <f t="shared" si="75"/>
        <v>30RVL</v>
      </c>
      <c r="H2326" s="187" t="str">
        <f>+INDEX([1]Detallado!$D:$D,MATCH(C2326,[1]Detallado!$B:$B,0))</f>
        <v>Puerto Chancay B</v>
      </c>
      <c r="I2326" s="28"/>
      <c r="J2326" s="184" t="str">
        <f t="shared" si="77"/>
        <v>RVLBU</v>
      </c>
    </row>
    <row r="2327" spans="3:10" x14ac:dyDescent="0.25">
      <c r="C2327" s="28" t="s">
        <v>5283</v>
      </c>
      <c r="D2327" s="188" t="str">
        <f>+INDEX([1]Detallado!$F:$F,MATCH($C2327,[1]Detallado!$B:$B,0))</f>
        <v>Renta Variable</v>
      </c>
      <c r="E2327" s="31" t="str">
        <f>+INDEX([1]Detallado!$Q:$Q,MATCH($C2327,[1]Detallado!$B:$B,0))</f>
        <v>RVL</v>
      </c>
      <c r="F2327" s="185" t="s">
        <v>4357</v>
      </c>
      <c r="G2327" s="186" t="str">
        <f t="shared" si="75"/>
        <v>30RVL</v>
      </c>
      <c r="H2327" s="187" t="str">
        <f>+INDEX([1]Detallado!$D:$D,MATCH(C2327,[1]Detallado!$B:$B,0))</f>
        <v>Puerto Chancay B</v>
      </c>
      <c r="I2327" s="28"/>
      <c r="J2327" s="184" t="str">
        <f t="shared" si="77"/>
        <v>RVLBU</v>
      </c>
    </row>
    <row r="2328" spans="3:10" x14ac:dyDescent="0.25">
      <c r="C2328" s="28" t="s">
        <v>5267</v>
      </c>
      <c r="D2328" s="188" t="str">
        <f>+INDEX([1]Detallado!$F:$F,MATCH($C2328,[1]Detallado!$B:$B,0))</f>
        <v>Renta Fija</v>
      </c>
      <c r="E2328" s="31" t="str">
        <f>+INDEX([1]Detallado!$Q:$Q,MATCH($C2328,[1]Detallado!$B:$B,0))</f>
        <v>RFLG</v>
      </c>
      <c r="F2328" s="185" t="s">
        <v>4356</v>
      </c>
      <c r="G2328" s="186" t="str">
        <f t="shared" si="75"/>
        <v>01RFLG</v>
      </c>
      <c r="H2328" s="187" t="str">
        <f>+INDEX([1]Detallado!$D:$D,MATCH(C2328,[1]Detallado!$B:$B,0))</f>
        <v>Gobierno Central</v>
      </c>
      <c r="I2328" s="28"/>
      <c r="J2328" s="184" t="str">
        <f t="shared" si="77"/>
        <v>RFLGOB</v>
      </c>
    </row>
    <row r="2329" spans="3:10" x14ac:dyDescent="0.25">
      <c r="C2329" s="28" t="s">
        <v>5080</v>
      </c>
      <c r="D2329" s="188" t="str">
        <f>+INDEX([1]Detallado!$F:$F,MATCH($C2329,[1]Detallado!$B:$B,0))</f>
        <v>Renta Fija</v>
      </c>
      <c r="E2329" s="31" t="str">
        <f>+INDEX([1]Detallado!$Q:$Q,MATCH($C2329,[1]Detallado!$B:$B,0))</f>
        <v>RFIG</v>
      </c>
      <c r="F2329" s="185" t="s">
        <v>4356</v>
      </c>
      <c r="G2329" s="186" t="str">
        <f t="shared" si="75"/>
        <v>08RFIG</v>
      </c>
      <c r="H2329" s="187" t="str">
        <f>+INDEX([1]Detallado!$D:$D,MATCH(C2329,[1]Detallado!$B:$B,0))</f>
        <v>Gobierno de México</v>
      </c>
      <c r="I2329" s="28"/>
      <c r="J2329" s="184" t="str">
        <f t="shared" si="77"/>
        <v>RFIGOB</v>
      </c>
    </row>
    <row r="2330" spans="3:10" x14ac:dyDescent="0.25">
      <c r="C2330" s="28" t="s">
        <v>5259</v>
      </c>
      <c r="D2330" s="188" t="str">
        <f>+INDEX([1]Detallado!$F:$F,MATCH($C2330,[1]Detallado!$B:$B,0))</f>
        <v>Renta Fija</v>
      </c>
      <c r="E2330" s="31" t="str">
        <f>+INDEX([1]Detallado!$Q:$Q,MATCH($C2330,[1]Detallado!$B:$B,0))</f>
        <v>RFIC</v>
      </c>
      <c r="F2330" s="185" t="s">
        <v>4356</v>
      </c>
      <c r="G2330" s="186" t="str">
        <f t="shared" si="75"/>
        <v>15RFIC</v>
      </c>
      <c r="H2330" s="187" t="str">
        <f>+INDEX([1]Detallado!$D:$D,MATCH(C2330,[1]Detallado!$B:$B,0))</f>
        <v>Banco de Colombia</v>
      </c>
      <c r="I2330" s="28"/>
      <c r="J2330" s="184" t="str">
        <f t="shared" si="77"/>
        <v>RFIGOB</v>
      </c>
    </row>
    <row r="2331" spans="3:10" x14ac:dyDescent="0.25">
      <c r="C2331" s="28" t="s">
        <v>5415</v>
      </c>
      <c r="D2331" s="188" t="str">
        <f>+INDEX([1]Detallado!$F:$F,MATCH($C2331,[1]Detallado!$B:$B,0))</f>
        <v>Renta Fija</v>
      </c>
      <c r="E2331" s="31" t="str">
        <f>+INDEX([1]Detallado!$Q:$Q,MATCH($C2331,[1]Detallado!$B:$B,0))</f>
        <v>RFIG</v>
      </c>
      <c r="F2331" s="185" t="s">
        <v>4356</v>
      </c>
      <c r="G2331" s="186" t="str">
        <f t="shared" si="75"/>
        <v>08RFIG</v>
      </c>
      <c r="H2331" s="187" t="str">
        <f>+INDEX([1]Detallado!$D:$D,MATCH(C2331,[1]Detallado!$B:$B,0))</f>
        <v>Gobierno del Reino Unido</v>
      </c>
      <c r="I2331" s="28"/>
      <c r="J2331" s="184" t="str">
        <f t="shared" si="77"/>
        <v>RFIGOB</v>
      </c>
    </row>
    <row r="2332" spans="3:10" x14ac:dyDescent="0.25">
      <c r="C2332" s="28" t="s">
        <v>5411</v>
      </c>
      <c r="D2332" s="188" t="str">
        <f>+INDEX([1]Detallado!$F:$F,MATCH($C2332,[1]Detallado!$B:$B,0))</f>
        <v>Renta Fija</v>
      </c>
      <c r="E2332" s="31" t="str">
        <f>+INDEX([1]Detallado!$Q:$Q,MATCH($C2332,[1]Detallado!$B:$B,0))</f>
        <v>RFIG</v>
      </c>
      <c r="F2332" s="185" t="s">
        <v>4356</v>
      </c>
      <c r="G2332" s="186" t="str">
        <f t="shared" si="75"/>
        <v>08RFIG</v>
      </c>
      <c r="H2332" s="187" t="str">
        <f>+INDEX([1]Detallado!$D:$D,MATCH(C2332,[1]Detallado!$B:$B,0))</f>
        <v>Gobierno de Australia</v>
      </c>
      <c r="I2332" s="28"/>
      <c r="J2332" s="184" t="str">
        <f t="shared" si="77"/>
        <v>RFIGOB</v>
      </c>
    </row>
    <row r="2333" spans="3:10" x14ac:dyDescent="0.25">
      <c r="C2333" s="28" t="s">
        <v>5436</v>
      </c>
      <c r="D2333" s="188" t="str">
        <f>+INDEX([1]Detallado!$F:$F,MATCH($C2333,[1]Detallado!$B:$B,0))</f>
        <v>Renta Fija</v>
      </c>
      <c r="E2333" s="31" t="str">
        <f>+INDEX([1]Detallado!$Q:$Q,MATCH($C2333,[1]Detallado!$B:$B,0))</f>
        <v>RFIG</v>
      </c>
      <c r="F2333" s="185" t="s">
        <v>4356</v>
      </c>
      <c r="G2333" s="186" t="str">
        <f t="shared" si="75"/>
        <v>08RFIG</v>
      </c>
      <c r="H2333" s="187" t="str">
        <f>+INDEX([1]Detallado!$D:$D,MATCH(C2333,[1]Detallado!$B:$B,0))</f>
        <v>Gobierno de Colombia</v>
      </c>
      <c r="I2333" s="28"/>
      <c r="J2333" s="184" t="str">
        <f t="shared" si="77"/>
        <v>RFIGOB</v>
      </c>
    </row>
    <row r="2334" spans="3:10" x14ac:dyDescent="0.25">
      <c r="C2334" s="28" t="s">
        <v>5436</v>
      </c>
      <c r="D2334" s="188" t="str">
        <f>+INDEX([1]Detallado!$F:$F,MATCH($C2334,[1]Detallado!$B:$B,0))</f>
        <v>Renta Fija</v>
      </c>
      <c r="E2334" s="31" t="str">
        <f>+INDEX([1]Detallado!$Q:$Q,MATCH($C2334,[1]Detallado!$B:$B,0))</f>
        <v>RFIG</v>
      </c>
      <c r="F2334" s="185" t="s">
        <v>4356</v>
      </c>
      <c r="G2334" s="186" t="str">
        <f t="shared" si="75"/>
        <v>08RFIG</v>
      </c>
      <c r="H2334" s="187" t="str">
        <f>+INDEX([1]Detallado!$D:$D,MATCH(C2334,[1]Detallado!$B:$B,0))</f>
        <v>Gobierno de Colombia</v>
      </c>
      <c r="I2334" s="28"/>
      <c r="J2334" s="184" t="str">
        <f t="shared" si="77"/>
        <v>RFIGOB</v>
      </c>
    </row>
    <row r="2335" spans="3:10" x14ac:dyDescent="0.25">
      <c r="C2335" s="28" t="s">
        <v>5418</v>
      </c>
      <c r="D2335" s="188" t="str">
        <f>+INDEX([1]Detallado!$F:$F,MATCH($C2335,[1]Detallado!$B:$B,0))</f>
        <v>Renta Fija</v>
      </c>
      <c r="E2335" s="31" t="str">
        <f>+INDEX([1]Detallado!$Q:$Q,MATCH($C2335,[1]Detallado!$B:$B,0))</f>
        <v>RFIG</v>
      </c>
      <c r="F2335" s="185" t="s">
        <v>4356</v>
      </c>
      <c r="G2335" s="186" t="str">
        <f t="shared" si="75"/>
        <v>08RFIG</v>
      </c>
      <c r="H2335" s="187" t="str">
        <f>+INDEX([1]Detallado!$D:$D,MATCH(C2335,[1]Detallado!$B:$B,0))</f>
        <v>Gobierno de los Estados Unidos</v>
      </c>
      <c r="I2335" s="28"/>
      <c r="J2335" s="184" t="str">
        <f t="shared" si="77"/>
        <v>RFIGOB</v>
      </c>
    </row>
    <row r="2336" spans="3:10" x14ac:dyDescent="0.25">
      <c r="C2336" s="28" t="s">
        <v>5259</v>
      </c>
      <c r="D2336" s="188" t="str">
        <f>+INDEX([1]Detallado!$F:$F,MATCH($C2336,[1]Detallado!$B:$B,0))</f>
        <v>Renta Fija</v>
      </c>
      <c r="E2336" s="31" t="str">
        <f>+INDEX([1]Detallado!$Q:$Q,MATCH($C2336,[1]Detallado!$B:$B,0))</f>
        <v>RFIC</v>
      </c>
      <c r="F2336" s="185" t="s">
        <v>4355</v>
      </c>
      <c r="G2336" s="186" t="str">
        <f t="shared" si="75"/>
        <v>15RFIC</v>
      </c>
      <c r="H2336" s="187" t="str">
        <f>+INDEX([1]Detallado!$D:$D,MATCH(C2336,[1]Detallado!$B:$B,0))</f>
        <v>Banco de Colombia</v>
      </c>
      <c r="I2336" s="28"/>
      <c r="J2336" s="184" t="str">
        <f t="shared" si="77"/>
        <v>RFITD</v>
      </c>
    </row>
    <row r="2337" spans="3:10" x14ac:dyDescent="0.25">
      <c r="C2337" s="28" t="s">
        <v>5259</v>
      </c>
      <c r="D2337" s="188" t="str">
        <f>+INDEX([1]Detallado!$F:$F,MATCH($C2337,[1]Detallado!$B:$B,0))</f>
        <v>Renta Fija</v>
      </c>
      <c r="E2337" s="31" t="str">
        <f>+INDEX([1]Detallado!$Q:$Q,MATCH($C2337,[1]Detallado!$B:$B,0))</f>
        <v>RFIC</v>
      </c>
      <c r="F2337" s="185" t="s">
        <v>4355</v>
      </c>
      <c r="G2337" s="186" t="str">
        <f t="shared" si="75"/>
        <v>15RFIC</v>
      </c>
      <c r="H2337" s="187" t="str">
        <f>+INDEX([1]Detallado!$D:$D,MATCH(C2337,[1]Detallado!$B:$B,0))</f>
        <v>Banco de Colombia</v>
      </c>
      <c r="I2337" s="28"/>
      <c r="J2337" s="184" t="str">
        <f t="shared" si="77"/>
        <v>RFITD</v>
      </c>
    </row>
    <row r="2338" spans="3:10" x14ac:dyDescent="0.25">
      <c r="C2338" s="28" t="s">
        <v>5381</v>
      </c>
      <c r="D2338" s="188" t="str">
        <f>+INDEX([1]Detallado!$F:$F,MATCH($C2338,[1]Detallado!$B:$B,0))</f>
        <v>Renta Fija</v>
      </c>
      <c r="E2338" s="31" t="str">
        <f>+INDEX([1]Detallado!$Q:$Q,MATCH($C2338,[1]Detallado!$B:$B,0))</f>
        <v>RFLC</v>
      </c>
      <c r="F2338" s="185" t="s">
        <v>4357</v>
      </c>
      <c r="G2338" s="186" t="str">
        <f t="shared" si="75"/>
        <v>21RFLC</v>
      </c>
      <c r="H2338" s="187" t="str">
        <f>+INDEX([1]Detallado!$D:$D,MATCH(C2338,[1]Detallado!$B:$B,0))</f>
        <v>Banco de Crédito del Perú</v>
      </c>
      <c r="I2338" s="28"/>
      <c r="J2338" s="184" t="str">
        <f t="shared" si="77"/>
        <v>RFLBU</v>
      </c>
    </row>
    <row r="2339" spans="3:10" x14ac:dyDescent="0.25">
      <c r="C2339" s="28" t="s">
        <v>5381</v>
      </c>
      <c r="D2339" s="188" t="str">
        <f>+INDEX([1]Detallado!$F:$F,MATCH($C2339,[1]Detallado!$B:$B,0))</f>
        <v>Renta Fija</v>
      </c>
      <c r="E2339" s="31" t="str">
        <f>+INDEX([1]Detallado!$Q:$Q,MATCH($C2339,[1]Detallado!$B:$B,0))</f>
        <v>RFLC</v>
      </c>
      <c r="F2339" s="185" t="s">
        <v>4357</v>
      </c>
      <c r="G2339" s="186" t="str">
        <f t="shared" si="75"/>
        <v>21RFLC</v>
      </c>
      <c r="H2339" s="187" t="str">
        <f>+INDEX([1]Detallado!$D:$D,MATCH(C2339,[1]Detallado!$B:$B,0))</f>
        <v>Banco de Crédito del Perú</v>
      </c>
      <c r="I2339" s="28"/>
      <c r="J2339" s="184" t="str">
        <f t="shared" si="77"/>
        <v>RFLBU</v>
      </c>
    </row>
    <row r="2340" spans="3:10" x14ac:dyDescent="0.25">
      <c r="C2340" s="28" t="s">
        <v>5482</v>
      </c>
      <c r="D2340" s="188" t="str">
        <f>+INDEX([1]Detallado!$F:$F,MATCH($C2340,[1]Detallado!$B:$B,0))</f>
        <v>Renta Variable</v>
      </c>
      <c r="E2340" s="31" t="str">
        <f>+INDEX([1]Detallado!$Q:$Q,MATCH($C2340,[1]Detallado!$B:$B,0))</f>
        <v>RVL</v>
      </c>
      <c r="F2340" s="185" t="s">
        <v>4357</v>
      </c>
      <c r="G2340" s="186" t="str">
        <f t="shared" si="75"/>
        <v>40RVL</v>
      </c>
      <c r="H2340" s="187" t="str">
        <f>+INDEX([1]Detallado!$D:$D,MATCH(C2340,[1]Detallado!$B:$B,0))</f>
        <v>Aenza SA</v>
      </c>
      <c r="I2340" s="28"/>
      <c r="J2340" s="184" t="str">
        <f t="shared" si="77"/>
        <v>RVLBU</v>
      </c>
    </row>
    <row r="2341" spans="3:10" x14ac:dyDescent="0.25">
      <c r="C2341" s="28" t="s">
        <v>5482</v>
      </c>
      <c r="D2341" s="188" t="str">
        <f>+INDEX([1]Detallado!$F:$F,MATCH($C2341,[1]Detallado!$B:$B,0))</f>
        <v>Renta Variable</v>
      </c>
      <c r="E2341" s="31" t="str">
        <f>+INDEX([1]Detallado!$Q:$Q,MATCH($C2341,[1]Detallado!$B:$B,0))</f>
        <v>RVL</v>
      </c>
      <c r="F2341" s="185" t="s">
        <v>4357</v>
      </c>
      <c r="G2341" s="186" t="str">
        <f t="shared" si="75"/>
        <v>40RVL</v>
      </c>
      <c r="H2341" s="187" t="str">
        <f>+INDEX([1]Detallado!$D:$D,MATCH(C2341,[1]Detallado!$B:$B,0))</f>
        <v>Aenza SA</v>
      </c>
      <c r="I2341" s="28"/>
      <c r="J2341" s="184" t="str">
        <f t="shared" si="77"/>
        <v>RVLBU</v>
      </c>
    </row>
    <row r="2342" spans="3:10" x14ac:dyDescent="0.25">
      <c r="C2342" s="28" t="s">
        <v>5482</v>
      </c>
      <c r="D2342" s="188" t="str">
        <f>+INDEX([1]Detallado!$F:$F,MATCH($C2342,[1]Detallado!$B:$B,0))</f>
        <v>Renta Variable</v>
      </c>
      <c r="E2342" s="31" t="str">
        <f>+INDEX([1]Detallado!$Q:$Q,MATCH($C2342,[1]Detallado!$B:$B,0))</f>
        <v>RVL</v>
      </c>
      <c r="F2342" s="185" t="s">
        <v>4357</v>
      </c>
      <c r="G2342" s="186" t="str">
        <f t="shared" si="75"/>
        <v>40RVL</v>
      </c>
      <c r="H2342" s="187" t="str">
        <f>+INDEX([1]Detallado!$D:$D,MATCH(C2342,[1]Detallado!$B:$B,0))</f>
        <v>Aenza SA</v>
      </c>
      <c r="I2342" s="28"/>
      <c r="J2342" s="184" t="str">
        <f t="shared" si="77"/>
        <v>RVLBU</v>
      </c>
    </row>
    <row r="2343" spans="3:10" x14ac:dyDescent="0.25">
      <c r="C2343" s="28" t="s">
        <v>5431</v>
      </c>
      <c r="D2343" s="188" t="str">
        <f>+INDEX([1]Detallado!$F:$F,MATCH($C2343,[1]Detallado!$B:$B,0))</f>
        <v>Renta Fija</v>
      </c>
      <c r="E2343" s="31" t="str">
        <f>+INDEX([1]Detallado!$Q:$Q,MATCH($C2343,[1]Detallado!$B:$B,0))</f>
        <v>RFIG</v>
      </c>
      <c r="F2343" s="185" t="s">
        <v>4355</v>
      </c>
      <c r="G2343" s="186" t="str">
        <f t="shared" si="75"/>
        <v>52RFIG</v>
      </c>
      <c r="H2343" s="187" t="str">
        <f>+INDEX([1]Detallado!$D:$D,MATCH(C2343,[1]Detallado!$B:$B,0))</f>
        <v>Pimco - GIS Income Fund</v>
      </c>
      <c r="I2343" s="28"/>
      <c r="J2343" s="184" t="str">
        <f t="shared" si="77"/>
        <v>RFITD</v>
      </c>
    </row>
    <row r="2344" spans="3:10" x14ac:dyDescent="0.25">
      <c r="C2344" s="28" t="s">
        <v>5431</v>
      </c>
      <c r="D2344" s="188" t="str">
        <f>+INDEX([1]Detallado!$F:$F,MATCH($C2344,[1]Detallado!$B:$B,0))</f>
        <v>Renta Fija</v>
      </c>
      <c r="E2344" s="31" t="str">
        <f>+INDEX([1]Detallado!$Q:$Q,MATCH($C2344,[1]Detallado!$B:$B,0))</f>
        <v>RFIG</v>
      </c>
      <c r="F2344" s="185" t="s">
        <v>4355</v>
      </c>
      <c r="G2344" s="186" t="str">
        <f t="shared" si="75"/>
        <v>52RFIG</v>
      </c>
      <c r="H2344" s="187" t="str">
        <f>+INDEX([1]Detallado!$D:$D,MATCH(C2344,[1]Detallado!$B:$B,0))</f>
        <v>Pimco - GIS Income Fund</v>
      </c>
      <c r="I2344" s="28"/>
      <c r="J2344" s="184" t="str">
        <f t="shared" si="77"/>
        <v>RFITD</v>
      </c>
    </row>
    <row r="2345" spans="3:10" x14ac:dyDescent="0.25">
      <c r="C2345" s="28" t="s">
        <v>5067</v>
      </c>
      <c r="D2345" s="188" t="str">
        <f>+INDEX([1]Detallado!$F:$F,MATCH($C2345,[1]Detallado!$B:$B,0))</f>
        <v>Renta Variable</v>
      </c>
      <c r="E2345" s="31" t="str">
        <f>+INDEX([1]Detallado!$Q:$Q,MATCH($C2345,[1]Detallado!$B:$B,0))</f>
        <v>RVI</v>
      </c>
      <c r="F2345" s="185" t="s">
        <v>4355</v>
      </c>
      <c r="G2345" s="186" t="str">
        <f t="shared" si="75"/>
        <v>52RVI</v>
      </c>
      <c r="H2345" s="187" t="str">
        <f>+INDEX([1]Detallado!$D:$D,MATCH(C2345,[1]Detallado!$B:$B,0))</f>
        <v>Invesco - Nasdaq 100 ETF</v>
      </c>
      <c r="I2345" s="28"/>
      <c r="J2345" s="184" t="str">
        <f t="shared" si="77"/>
        <v>RVITD</v>
      </c>
    </row>
    <row r="2346" spans="3:10" x14ac:dyDescent="0.25">
      <c r="C2346" s="28" t="s">
        <v>5067</v>
      </c>
      <c r="D2346" s="188" t="str">
        <f>+INDEX([1]Detallado!$F:$F,MATCH($C2346,[1]Detallado!$B:$B,0))</f>
        <v>Renta Variable</v>
      </c>
      <c r="E2346" s="31" t="str">
        <f>+INDEX([1]Detallado!$Q:$Q,MATCH($C2346,[1]Detallado!$B:$B,0))</f>
        <v>RVI</v>
      </c>
      <c r="F2346" s="185" t="s">
        <v>4355</v>
      </c>
      <c r="G2346" s="186" t="str">
        <f t="shared" si="75"/>
        <v>52RVI</v>
      </c>
      <c r="H2346" s="187" t="str">
        <f>+INDEX([1]Detallado!$D:$D,MATCH(C2346,[1]Detallado!$B:$B,0))</f>
        <v>Invesco - Nasdaq 100 ETF</v>
      </c>
      <c r="I2346" s="28"/>
      <c r="J2346" s="184" t="str">
        <f t="shared" si="77"/>
        <v>RVITD</v>
      </c>
    </row>
    <row r="2347" spans="3:10" x14ac:dyDescent="0.25">
      <c r="C2347" s="28" t="s">
        <v>5067</v>
      </c>
      <c r="D2347" s="188" t="str">
        <f>+INDEX([1]Detallado!$F:$F,MATCH($C2347,[1]Detallado!$B:$B,0))</f>
        <v>Renta Variable</v>
      </c>
      <c r="E2347" s="31" t="str">
        <f>+INDEX([1]Detallado!$Q:$Q,MATCH($C2347,[1]Detallado!$B:$B,0))</f>
        <v>RVI</v>
      </c>
      <c r="F2347" s="185" t="s">
        <v>4355</v>
      </c>
      <c r="G2347" s="186" t="str">
        <f t="shared" si="75"/>
        <v>52RVI</v>
      </c>
      <c r="H2347" s="187" t="str">
        <f>+INDEX([1]Detallado!$D:$D,MATCH(C2347,[1]Detallado!$B:$B,0))</f>
        <v>Invesco - Nasdaq 100 ETF</v>
      </c>
      <c r="I2347" s="28"/>
      <c r="J2347" s="184" t="str">
        <f t="shared" si="77"/>
        <v>RVITD</v>
      </c>
    </row>
    <row r="2348" spans="3:10" x14ac:dyDescent="0.25">
      <c r="C2348" s="28" t="s">
        <v>5000</v>
      </c>
      <c r="D2348" s="188" t="str">
        <f>+INDEX([1]Detallado!$F:$F,MATCH($C2348,[1]Detallado!$B:$B,0))</f>
        <v>Renta Variable</v>
      </c>
      <c r="E2348" s="31" t="str">
        <f>+INDEX([1]Detallado!$Q:$Q,MATCH($C2348,[1]Detallado!$B:$B,0))</f>
        <v>RVI</v>
      </c>
      <c r="F2348" s="185" t="s">
        <v>4355</v>
      </c>
      <c r="G2348" s="186" t="str">
        <f t="shared" si="75"/>
        <v>52RVI</v>
      </c>
      <c r="H2348" s="187" t="str">
        <f>+INDEX([1]Detallado!$D:$D,MATCH(C2348,[1]Detallado!$B:$B,0))</f>
        <v>Joh Berenberg - European Focus Fund</v>
      </c>
      <c r="I2348" s="28"/>
      <c r="J2348" s="184" t="str">
        <f t="shared" si="77"/>
        <v>RVITD</v>
      </c>
    </row>
    <row r="2349" spans="3:10" x14ac:dyDescent="0.25">
      <c r="C2349" s="28" t="s">
        <v>5000</v>
      </c>
      <c r="D2349" s="188" t="str">
        <f>+INDEX([1]Detallado!$F:$F,MATCH($C2349,[1]Detallado!$B:$B,0))</f>
        <v>Renta Variable</v>
      </c>
      <c r="E2349" s="31" t="str">
        <f>+INDEX([1]Detallado!$Q:$Q,MATCH($C2349,[1]Detallado!$B:$B,0))</f>
        <v>RVI</v>
      </c>
      <c r="F2349" s="185" t="s">
        <v>4355</v>
      </c>
      <c r="G2349" s="186" t="str">
        <f t="shared" si="75"/>
        <v>52RVI</v>
      </c>
      <c r="H2349" s="187" t="str">
        <f>+INDEX([1]Detallado!$D:$D,MATCH(C2349,[1]Detallado!$B:$B,0))</f>
        <v>Joh Berenberg - European Focus Fund</v>
      </c>
      <c r="I2349" s="28"/>
      <c r="J2349" s="184" t="str">
        <f t="shared" si="77"/>
        <v>RVITD</v>
      </c>
    </row>
    <row r="2350" spans="3:10" x14ac:dyDescent="0.25">
      <c r="C2350" s="28" t="s">
        <v>5460</v>
      </c>
      <c r="D2350" s="188" t="str">
        <f>+INDEX([1]Detallado!$F:$F,MATCH($C2350,[1]Detallado!$B:$B,0))</f>
        <v>Renta Variable</v>
      </c>
      <c r="E2350" s="31" t="str">
        <f>+INDEX([1]Detallado!$Q:$Q,MATCH($C2350,[1]Detallado!$B:$B,0))</f>
        <v>RVI</v>
      </c>
      <c r="F2350" s="185" t="s">
        <v>4355</v>
      </c>
      <c r="G2350" s="186" t="str">
        <f t="shared" si="75"/>
        <v>52RVI</v>
      </c>
      <c r="H2350" s="187" t="str">
        <f>+INDEX([1]Detallado!$D:$D,MATCH(C2350,[1]Detallado!$B:$B,0))</f>
        <v>Premier Miton - European Opportunities Fund</v>
      </c>
      <c r="I2350" s="28"/>
      <c r="J2350" s="184" t="str">
        <f t="shared" si="77"/>
        <v>RVITD</v>
      </c>
    </row>
    <row r="2351" spans="3:10" x14ac:dyDescent="0.25">
      <c r="C2351" s="28" t="s">
        <v>5460</v>
      </c>
      <c r="D2351" s="188" t="str">
        <f>+INDEX([1]Detallado!$F:$F,MATCH($C2351,[1]Detallado!$B:$B,0))</f>
        <v>Renta Variable</v>
      </c>
      <c r="E2351" s="31" t="str">
        <f>+INDEX([1]Detallado!$Q:$Q,MATCH($C2351,[1]Detallado!$B:$B,0))</f>
        <v>RVI</v>
      </c>
      <c r="F2351" s="185" t="s">
        <v>4355</v>
      </c>
      <c r="G2351" s="186" t="str">
        <f t="shared" si="75"/>
        <v>52RVI</v>
      </c>
      <c r="H2351" s="187" t="str">
        <f>+INDEX([1]Detallado!$D:$D,MATCH(C2351,[1]Detallado!$B:$B,0))</f>
        <v>Premier Miton - European Opportunities Fund</v>
      </c>
      <c r="I2351" s="28"/>
      <c r="J2351" s="184" t="str">
        <f t="shared" si="77"/>
        <v>RVITD</v>
      </c>
    </row>
    <row r="2352" spans="3:10" x14ac:dyDescent="0.25">
      <c r="C2352" s="28" t="s">
        <v>5384</v>
      </c>
      <c r="D2352" s="188" t="str">
        <f>+INDEX([1]Detallado!$F:$F,MATCH($C2352,[1]Detallado!$B:$B,0))</f>
        <v>Renta Fija</v>
      </c>
      <c r="E2352" s="31" t="str">
        <f>+INDEX([1]Detallado!$Q:$Q,MATCH($C2352,[1]Detallado!$B:$B,0))</f>
        <v>RFIG</v>
      </c>
      <c r="F2352" s="185" t="s">
        <v>4355</v>
      </c>
      <c r="G2352" s="186" t="str">
        <f t="shared" si="75"/>
        <v>52RFIG</v>
      </c>
      <c r="H2352" s="187" t="str">
        <f>+INDEX([1]Detallado!$D:$D,MATCH(C2352,[1]Detallado!$B:$B,0))</f>
        <v>Vanguard - Extended Duration Treasury ETF</v>
      </c>
      <c r="I2352" s="28"/>
      <c r="J2352" s="184" t="str">
        <f t="shared" si="77"/>
        <v>RFITD</v>
      </c>
    </row>
    <row r="2353" spans="3:10" x14ac:dyDescent="0.25">
      <c r="C2353" s="28" t="s">
        <v>4842</v>
      </c>
      <c r="D2353" s="188" t="str">
        <f>+INDEX([1]Detallado!$F:$F,MATCH($C2353,[1]Detallado!$B:$B,0))</f>
        <v>Renta Fija</v>
      </c>
      <c r="E2353" s="31" t="str">
        <f>+INDEX([1]Detallado!$Q:$Q,MATCH($C2353,[1]Detallado!$B:$B,0))</f>
        <v>RFIC</v>
      </c>
      <c r="F2353" s="185" t="s">
        <v>4357</v>
      </c>
      <c r="G2353" s="186" t="str">
        <f t="shared" si="75"/>
        <v>15RFIC</v>
      </c>
      <c r="H2353" s="187" t="str">
        <f>+INDEX([1]Detallado!$D:$D,MATCH(C2353,[1]Detallado!$B:$B,0))</f>
        <v>BBVA Bancomer</v>
      </c>
      <c r="I2353" s="28"/>
      <c r="J2353" s="184" t="str">
        <f t="shared" si="77"/>
        <v>RFIBU</v>
      </c>
    </row>
    <row r="2354" spans="3:10" x14ac:dyDescent="0.25">
      <c r="C2354" s="28" t="s">
        <v>5564</v>
      </c>
      <c r="D2354" s="188" t="str">
        <f>+INDEX([1]Detallado!$F:$F,MATCH($C2354,[1]Detallado!$B:$B,0))</f>
        <v>Renta Fija</v>
      </c>
      <c r="E2354" s="31" t="str">
        <f>+INDEX([1]Detallado!$Q:$Q,MATCH($C2354,[1]Detallado!$B:$B,0))</f>
        <v>RFIG</v>
      </c>
      <c r="F2354" s="185" t="s">
        <v>4355</v>
      </c>
      <c r="G2354" s="186" t="str">
        <f t="shared" si="75"/>
        <v>52RFIG</v>
      </c>
      <c r="H2354" s="187" t="str">
        <f>+INDEX([1]Detallado!$D:$D,MATCH(C2354,[1]Detallado!$B:$B,0))</f>
        <v>Neuberger Berman - CLO Income Fund</v>
      </c>
      <c r="I2354" s="28"/>
      <c r="J2354" s="184" t="str">
        <f t="shared" si="77"/>
        <v>RFITD</v>
      </c>
    </row>
    <row r="2355" spans="3:10" x14ac:dyDescent="0.25">
      <c r="C2355" s="28" t="s">
        <v>5559</v>
      </c>
      <c r="D2355" s="188" t="str">
        <f>+INDEX([1]Detallado!$F:$F,MATCH($C2355,[1]Detallado!$B:$B,0))</f>
        <v>Renta Fija</v>
      </c>
      <c r="E2355" s="31" t="str">
        <f>+INDEX([1]Detallado!$Q:$Q,MATCH($C2355,[1]Detallado!$B:$B,0))</f>
        <v>RFIG</v>
      </c>
      <c r="F2355" s="185" t="s">
        <v>4356</v>
      </c>
      <c r="G2355" s="186" t="str">
        <f t="shared" si="75"/>
        <v>08RFIG</v>
      </c>
      <c r="H2355" s="187" t="str">
        <f>+INDEX([1]Detallado!$D:$D,MATCH(C2355,[1]Detallado!$B:$B,0))</f>
        <v>Gobierno de Chile</v>
      </c>
      <c r="I2355" s="28"/>
      <c r="J2355" s="184" t="str">
        <f t="shared" ref="J2355" si="78">IF(E2355="ALT",LEFT(E2355,3),LEFT(E2355,3)&amp;F2355)</f>
        <v>RFIGOB</v>
      </c>
    </row>
    <row r="2356" spans="3:10" x14ac:dyDescent="0.25">
      <c r="C2356" s="28" t="s">
        <v>5561</v>
      </c>
      <c r="D2356" s="188" t="str">
        <f>+INDEX([1]Detallado!$F:$F,MATCH($C2356,[1]Detallado!$B:$B,0))</f>
        <v>Renta Fija</v>
      </c>
      <c r="E2356" s="31" t="str">
        <f>+INDEX([1]Detallado!$Q:$Q,MATCH($C2356,[1]Detallado!$B:$B,0))</f>
        <v>RFIG</v>
      </c>
      <c r="F2356" s="185" t="s">
        <v>4356</v>
      </c>
      <c r="G2356" s="186" t="str">
        <f t="shared" si="75"/>
        <v>08RFIG</v>
      </c>
      <c r="H2356" s="187" t="str">
        <f>+INDEX([1]Detallado!$D:$D,MATCH(C2356,[1]Detallado!$B:$B,0))</f>
        <v>Gobierno de Chile</v>
      </c>
      <c r="I2356" s="28"/>
      <c r="J2356" s="184" t="str">
        <f t="shared" ref="J2356" si="79">IF(E2356="ALT",LEFT(E2356,3),LEFT(E2356,3)&amp;F2356)</f>
        <v>RFIGOB</v>
      </c>
    </row>
    <row r="2357" spans="3:10" x14ac:dyDescent="0.25">
      <c r="C2357" s="28" t="s">
        <v>5385</v>
      </c>
      <c r="D2357" s="188" t="str">
        <f>+INDEX([1]Detallado!$F:$F,MATCH($C2357,[1]Detallado!$B:$B,0))</f>
        <v>Renta Variable</v>
      </c>
      <c r="E2357" s="31" t="str">
        <f>+INDEX([1]Detallado!$Q:$Q,MATCH($C2357,[1]Detallado!$B:$B,0))</f>
        <v>RVI</v>
      </c>
      <c r="F2357" s="185" t="s">
        <v>4355</v>
      </c>
      <c r="G2357" s="186" t="str">
        <f t="shared" si="75"/>
        <v>52RVI</v>
      </c>
      <c r="H2357" s="187" t="str">
        <f>+INDEX([1]Detallado!$D:$D,MATCH(C2357,[1]Detallado!$B:$B,0))</f>
        <v>Baillie Gifford &amp; Co Ltd - Overseas Growth Funds ICVC - Pacific Fund</v>
      </c>
      <c r="I2357" s="28"/>
      <c r="J2357" s="184" t="str">
        <f t="shared" ref="J2357" si="80">IF(E2357="ALT",LEFT(E2357,3),LEFT(E2357,3)&amp;F2357)</f>
        <v>RVITD</v>
      </c>
    </row>
    <row r="2358" spans="3:10" x14ac:dyDescent="0.25">
      <c r="C2358" s="28" t="s">
        <v>5413</v>
      </c>
      <c r="D2358" s="188" t="str">
        <f>+INDEX([1]Detallado!$F:$F,MATCH($C2358,[1]Detallado!$B:$B,0))</f>
        <v>Renta Variable</v>
      </c>
      <c r="E2358" s="31" t="str">
        <f>+INDEX([1]Detallado!$Q:$Q,MATCH($C2358,[1]Detallado!$B:$B,0))</f>
        <v>RVI</v>
      </c>
      <c r="F2358" s="185" t="s">
        <v>4355</v>
      </c>
      <c r="G2358" s="186" t="str">
        <f t="shared" si="75"/>
        <v>52RVI</v>
      </c>
      <c r="H2358" s="187" t="str">
        <f>+INDEX([1]Detallado!$D:$D,MATCH(C2358,[1]Detallado!$B:$B,0))</f>
        <v>Liontrust - European Dynamic</v>
      </c>
      <c r="I2358" s="28"/>
      <c r="J2358" s="184" t="str">
        <f t="shared" ref="J2358" si="81">IF(E2358="ALT",LEFT(E2358,3),LEFT(E2358,3)&amp;F2358)</f>
        <v>RVITD</v>
      </c>
    </row>
    <row r="2359" spans="3:10" x14ac:dyDescent="0.25">
      <c r="C2359" s="28" t="s">
        <v>5673</v>
      </c>
      <c r="D2359" s="188" t="str">
        <f>+INDEX([1]Detallado!$F:$F,MATCH($C2359,[1]Detallado!$B:$B,0))</f>
        <v>Renta Fija</v>
      </c>
      <c r="E2359" s="31" t="str">
        <f>+INDEX([1]Detallado!$Q:$Q,MATCH($C2359,[1]Detallado!$B:$B,0))</f>
        <v>RFIC</v>
      </c>
      <c r="F2359" s="185" t="s">
        <v>4357</v>
      </c>
      <c r="G2359" s="186" t="str">
        <f t="shared" si="75"/>
        <v>15RFIC</v>
      </c>
      <c r="H2359" s="187" t="str">
        <f>+INDEX([1]Detallado!$D:$D,MATCH(C2359,[1]Detallado!$B:$B,0))</f>
        <v>Grupo Financiero Banorte</v>
      </c>
      <c r="I2359" s="28"/>
      <c r="J2359" s="184" t="str">
        <f t="shared" ref="J2359:J2367" si="82">IF(E2359="ALT",LEFT(E2359,3),LEFT(E2359,3)&amp;F2359)</f>
        <v>RFIBU</v>
      </c>
    </row>
    <row r="2360" spans="3:10" x14ac:dyDescent="0.25">
      <c r="C2360" s="28" t="s">
        <v>5673</v>
      </c>
      <c r="D2360" s="188" t="str">
        <f>+INDEX([1]Detallado!$F:$F,MATCH($C2360,[1]Detallado!$B:$B,0))</f>
        <v>Renta Fija</v>
      </c>
      <c r="E2360" s="31" t="str">
        <f>+INDEX([1]Detallado!$Q:$Q,MATCH($C2360,[1]Detallado!$B:$B,0))</f>
        <v>RFIC</v>
      </c>
      <c r="F2360" s="185" t="s">
        <v>4357</v>
      </c>
      <c r="G2360" s="186" t="str">
        <f t="shared" si="75"/>
        <v>15RFIC</v>
      </c>
      <c r="H2360" s="187" t="str">
        <f>+INDEX([1]Detallado!$D:$D,MATCH(C2360,[1]Detallado!$B:$B,0))</f>
        <v>Grupo Financiero Banorte</v>
      </c>
      <c r="I2360" s="28"/>
      <c r="J2360" s="184" t="str">
        <f t="shared" si="82"/>
        <v>RFIBU</v>
      </c>
    </row>
    <row r="2361" spans="3:10" x14ac:dyDescent="0.25">
      <c r="C2361" s="28" t="s">
        <v>5680</v>
      </c>
      <c r="D2361" s="188" t="str">
        <f>+INDEX([1]Detallado!$F:$F,MATCH($C2361,[1]Detallado!$B:$B,0))</f>
        <v>Renta Fija</v>
      </c>
      <c r="E2361" s="31" t="str">
        <f>+INDEX([1]Detallado!$Q:$Q,MATCH($C2361,[1]Detallado!$B:$B,0))</f>
        <v>RFIG</v>
      </c>
      <c r="F2361" s="185" t="s">
        <v>4355</v>
      </c>
      <c r="G2361" s="186" t="str">
        <f t="shared" si="75"/>
        <v>52RFIG</v>
      </c>
      <c r="H2361" s="187" t="str">
        <f>+INDEX([1]Detallado!$D:$D,MATCH(C2361,[1]Detallado!$B:$B,0))</f>
        <v>AXA World Funds - US Dynamic High Yield</v>
      </c>
      <c r="I2361" s="28"/>
      <c r="J2361" s="184" t="str">
        <f t="shared" si="82"/>
        <v>RFITD</v>
      </c>
    </row>
    <row r="2362" spans="3:10" x14ac:dyDescent="0.25">
      <c r="C2362" s="28" t="s">
        <v>5680</v>
      </c>
      <c r="D2362" s="188" t="str">
        <f>+INDEX([1]Detallado!$F:$F,MATCH($C2362,[1]Detallado!$B:$B,0))</f>
        <v>Renta Fija</v>
      </c>
      <c r="E2362" s="31" t="str">
        <f>+INDEX([1]Detallado!$Q:$Q,MATCH($C2362,[1]Detallado!$B:$B,0))</f>
        <v>RFIG</v>
      </c>
      <c r="F2362" s="185" t="s">
        <v>4355</v>
      </c>
      <c r="G2362" s="186" t="str">
        <f t="shared" si="75"/>
        <v>52RFIG</v>
      </c>
      <c r="H2362" s="187" t="str">
        <f>+INDEX([1]Detallado!$D:$D,MATCH(C2362,[1]Detallado!$B:$B,0))</f>
        <v>AXA World Funds - US Dynamic High Yield</v>
      </c>
      <c r="I2362" s="28"/>
      <c r="J2362" s="184" t="str">
        <f t="shared" si="82"/>
        <v>RFITD</v>
      </c>
    </row>
    <row r="2363" spans="3:10" x14ac:dyDescent="0.25">
      <c r="C2363" s="28" t="s">
        <v>2546</v>
      </c>
      <c r="D2363" s="188" t="str">
        <f>+INDEX([1]Detallado!$F:$F,MATCH($C2363,[1]Detallado!$B:$B,0))</f>
        <v>Renta Variable</v>
      </c>
      <c r="E2363" s="31" t="str">
        <f>+INDEX([1]Detallado!$Q:$Q,MATCH($C2363,[1]Detallado!$B:$B,0))</f>
        <v>RVI</v>
      </c>
      <c r="F2363" s="185" t="s">
        <v>4355</v>
      </c>
      <c r="G2363" s="186" t="str">
        <f t="shared" si="75"/>
        <v>52RVI</v>
      </c>
      <c r="H2363" s="187" t="str">
        <f>+INDEX([1]Detallado!$D:$D,MATCH(C2363,[1]Detallado!$B:$B,0))</f>
        <v>BlackRock - iShares MSCI Brazil UCITS</v>
      </c>
      <c r="I2363" s="28"/>
      <c r="J2363" s="184" t="str">
        <f t="shared" si="82"/>
        <v>RVITD</v>
      </c>
    </row>
    <row r="2364" spans="3:10" x14ac:dyDescent="0.25">
      <c r="C2364" s="28" t="s">
        <v>2546</v>
      </c>
      <c r="D2364" s="188" t="str">
        <f>+INDEX([1]Detallado!$F:$F,MATCH($C2364,[1]Detallado!$B:$B,0))</f>
        <v>Renta Variable</v>
      </c>
      <c r="E2364" s="31" t="str">
        <f>+INDEX([1]Detallado!$Q:$Q,MATCH($C2364,[1]Detallado!$B:$B,0))</f>
        <v>RVI</v>
      </c>
      <c r="F2364" s="185" t="s">
        <v>4355</v>
      </c>
      <c r="G2364" s="186" t="str">
        <f t="shared" si="75"/>
        <v>52RVI</v>
      </c>
      <c r="H2364" s="187" t="str">
        <f>+INDEX([1]Detallado!$D:$D,MATCH(C2364,[1]Detallado!$B:$B,0))</f>
        <v>BlackRock - iShares MSCI Brazil UCITS</v>
      </c>
      <c r="I2364" s="28"/>
      <c r="J2364" s="184" t="str">
        <f t="shared" si="82"/>
        <v>RVITD</v>
      </c>
    </row>
    <row r="2365" spans="3:10" x14ac:dyDescent="0.25">
      <c r="C2365" s="28" t="s">
        <v>2546</v>
      </c>
      <c r="D2365" s="188" t="str">
        <f>+INDEX([1]Detallado!$F:$F,MATCH($C2365,[1]Detallado!$B:$B,0))</f>
        <v>Renta Variable</v>
      </c>
      <c r="E2365" s="31" t="str">
        <f>+INDEX([1]Detallado!$Q:$Q,MATCH($C2365,[1]Detallado!$B:$B,0))</f>
        <v>RVI</v>
      </c>
      <c r="F2365" s="185" t="s">
        <v>4355</v>
      </c>
      <c r="G2365" s="186" t="str">
        <f t="shared" si="75"/>
        <v>52RVI</v>
      </c>
      <c r="H2365" s="187" t="str">
        <f>+INDEX([1]Detallado!$D:$D,MATCH(C2365,[1]Detallado!$B:$B,0))</f>
        <v>BlackRock - iShares MSCI Brazil UCITS</v>
      </c>
      <c r="I2365" s="28"/>
      <c r="J2365" s="184" t="str">
        <f t="shared" si="82"/>
        <v>RVITD</v>
      </c>
    </row>
    <row r="2366" spans="3:10" x14ac:dyDescent="0.25">
      <c r="C2366" s="28" t="s">
        <v>5685</v>
      </c>
      <c r="D2366" s="188" t="str">
        <f>+INDEX([1]Detallado!$F:$F,MATCH($C2366,[1]Detallado!$B:$B,0))</f>
        <v>Renta Variable</v>
      </c>
      <c r="E2366" s="31" t="str">
        <f>+INDEX([1]Detallado!$Q:$Q,MATCH($C2366,[1]Detallado!$B:$B,0))</f>
        <v>RVI</v>
      </c>
      <c r="F2366" s="185" t="s">
        <v>4355</v>
      </c>
      <c r="G2366" s="186" t="str">
        <f t="shared" si="75"/>
        <v>52RVI</v>
      </c>
      <c r="H2366" s="187" t="str">
        <f>+INDEX([1]Detallado!$D:$D,MATCH(C2366,[1]Detallado!$B:$B,0))</f>
        <v>Goldman Sachs - India Equity Portfolio</v>
      </c>
      <c r="I2366" s="28"/>
      <c r="J2366" s="184" t="str">
        <f t="shared" si="82"/>
        <v>RVITD</v>
      </c>
    </row>
    <row r="2367" spans="3:10" x14ac:dyDescent="0.25">
      <c r="C2367" s="28" t="s">
        <v>5685</v>
      </c>
      <c r="D2367" s="188" t="str">
        <f>+INDEX([1]Detallado!$F:$F,MATCH($C2367,[1]Detallado!$B:$B,0))</f>
        <v>Renta Variable</v>
      </c>
      <c r="E2367" s="31" t="str">
        <f>+INDEX([1]Detallado!$Q:$Q,MATCH($C2367,[1]Detallado!$B:$B,0))</f>
        <v>RVI</v>
      </c>
      <c r="F2367" s="185" t="s">
        <v>4355</v>
      </c>
      <c r="G2367" s="186" t="str">
        <f t="shared" si="75"/>
        <v>52RVI</v>
      </c>
      <c r="H2367" s="187" t="str">
        <f>+INDEX([1]Detallado!$D:$D,MATCH(C2367,[1]Detallado!$B:$B,0))</f>
        <v>Goldman Sachs - India Equity Portfolio</v>
      </c>
      <c r="I2367" s="28"/>
      <c r="J2367" s="184" t="str">
        <f t="shared" si="82"/>
        <v>RVITD</v>
      </c>
    </row>
    <row r="2368" spans="3:10" x14ac:dyDescent="0.25">
      <c r="C2368" s="28" t="s">
        <v>5680</v>
      </c>
      <c r="D2368" s="188" t="str">
        <f>+INDEX([1]Detallado!$F:$F,MATCH($C2368,[1]Detallado!$B:$B,0))</f>
        <v>Renta Fija</v>
      </c>
      <c r="E2368" s="31" t="str">
        <f>+INDEX([1]Detallado!$Q:$Q,MATCH($C2368,[1]Detallado!$B:$B,0))</f>
        <v>RFIG</v>
      </c>
      <c r="F2368" s="185" t="s">
        <v>4355</v>
      </c>
      <c r="G2368" s="186" t="str">
        <f t="shared" si="75"/>
        <v>52RFIG</v>
      </c>
      <c r="H2368" s="187" t="str">
        <f>+INDEX([1]Detallado!$D:$D,MATCH(C2368,[1]Detallado!$B:$B,0))</f>
        <v>AXA World Funds - US Dynamic High Yield</v>
      </c>
      <c r="I2368" s="28"/>
      <c r="J2368" s="184" t="str">
        <f>IF(E2368="ALT",LEFT(E2368,3),LEFT(E2368,3)&amp;F2368)</f>
        <v>RFITD</v>
      </c>
    </row>
    <row r="2369" spans="3:10" x14ac:dyDescent="0.25">
      <c r="C2369" s="28" t="s">
        <v>2546</v>
      </c>
      <c r="D2369" s="188" t="str">
        <f>+INDEX([1]Detallado!$F:$F,MATCH($C2369,[1]Detallado!$B:$B,0))</f>
        <v>Renta Variable</v>
      </c>
      <c r="E2369" s="31" t="str">
        <f>+INDEX([1]Detallado!$Q:$Q,MATCH($C2369,[1]Detallado!$B:$B,0))</f>
        <v>RVI</v>
      </c>
      <c r="F2369" s="185" t="s">
        <v>4355</v>
      </c>
      <c r="G2369" s="186" t="str">
        <f t="shared" si="75"/>
        <v>52RVI</v>
      </c>
      <c r="H2369" s="187" t="str">
        <f>+INDEX([1]Detallado!$D:$D,MATCH(C2369,[1]Detallado!$B:$B,0))</f>
        <v>BlackRock - iShares MSCI Brazil UCITS</v>
      </c>
      <c r="I2369" s="28"/>
      <c r="J2369" s="184" t="str">
        <f>IF(E2369="ALT",LEFT(E2369,3),LEFT(E2369,3)&amp;F2369)</f>
        <v>RVITD</v>
      </c>
    </row>
    <row r="2370" spans="3:10" x14ac:dyDescent="0.25">
      <c r="C2370" s="28" t="s">
        <v>5685</v>
      </c>
      <c r="D2370" s="188" t="str">
        <f>+INDEX([1]Detallado!$F:$F,MATCH($C2370,[1]Detallado!$B:$B,0))</f>
        <v>Renta Variable</v>
      </c>
      <c r="E2370" s="31" t="str">
        <f>+INDEX([1]Detallado!$Q:$Q,MATCH($C2370,[1]Detallado!$B:$B,0))</f>
        <v>RVI</v>
      </c>
      <c r="F2370" s="185" t="s">
        <v>4355</v>
      </c>
      <c r="G2370" s="186" t="str">
        <f t="shared" si="75"/>
        <v>52RVI</v>
      </c>
      <c r="H2370" s="187" t="str">
        <f>+INDEX([1]Detallado!$D:$D,MATCH(C2370,[1]Detallado!$B:$B,0))</f>
        <v>Goldman Sachs - India Equity Portfolio</v>
      </c>
      <c r="I2370" s="28"/>
      <c r="J2370" s="184" t="str">
        <f>IF(E2370="ALT",LEFT(E2370,3),LEFT(E2370,3)&amp;F2370)</f>
        <v>RVITD</v>
      </c>
    </row>
    <row r="2371" spans="3:10" x14ac:dyDescent="0.25">
      <c r="C2371" s="28" t="s">
        <v>5857</v>
      </c>
      <c r="D2371" s="188" t="str">
        <f>+INDEX([1]Detallado!$F:$F,MATCH($C2371,[1]Detallado!$B:$B,0))</f>
        <v>Renta Fija</v>
      </c>
      <c r="E2371" s="31" t="str">
        <f>+INDEX([1]Detallado!$Q:$Q,MATCH($C2371,[1]Detallado!$B:$B,0))</f>
        <v>RFIG</v>
      </c>
      <c r="F2371" s="185" t="s">
        <v>4355</v>
      </c>
      <c r="G2371" s="186" t="str">
        <f t="shared" si="75"/>
        <v>52RFIG</v>
      </c>
      <c r="H2371" s="187" t="s">
        <v>4521</v>
      </c>
      <c r="I2371" s="28"/>
      <c r="J2371" s="184" t="str">
        <f>IF(E2371="ALT",LEFT(E2371,3),LEFT(E2371,3)&amp;F2371)</f>
        <v>RFITD</v>
      </c>
    </row>
    <row r="2372" spans="3:10" x14ac:dyDescent="0.25">
      <c r="C2372" s="28" t="s">
        <v>5940</v>
      </c>
      <c r="D2372" s="188" t="str">
        <f>+INDEX([1]Detallado!$F:$F,MATCH($C2372,[1]Detallado!$B:$B,0))</f>
        <v>Renta Fija</v>
      </c>
      <c r="E2372" s="31" t="str">
        <f>+INDEX([1]Detallado!$Q:$Q,MATCH($C2372,[1]Detallado!$B:$B,0))</f>
        <v>RFIG</v>
      </c>
      <c r="F2372" s="185" t="s">
        <v>4355</v>
      </c>
      <c r="G2372" s="186" t="str">
        <f t="shared" si="75"/>
        <v>08RFIG</v>
      </c>
      <c r="H2372" s="187" t="str">
        <f>+INDEX([1]Detallado!$D:$D,MATCH(C2372,[1]Detallado!$B:$B,0))</f>
        <v>Gobierno de Colombia</v>
      </c>
      <c r="I2372" s="28"/>
      <c r="J2372" s="184" t="str">
        <f>IF(E2372="ALT",LEFT(E2372,3),LEFT(E2372,3)&amp;F2372)</f>
        <v>RFITD</v>
      </c>
    </row>
    <row r="2373" spans="3:10" x14ac:dyDescent="0.25">
      <c r="C2373" s="28" t="s">
        <v>5944</v>
      </c>
      <c r="D2373" s="188" t="str">
        <f>+INDEX([1]Detallado!$F:$F,MATCH($C2373,[1]Detallado!$B:$B,0))</f>
        <v>Renta Fija</v>
      </c>
      <c r="E2373" s="31" t="str">
        <f>+INDEX([1]Detallado!$Q:$Q,MATCH($C2373,[1]Detallado!$B:$B,0))</f>
        <v>RFLC</v>
      </c>
      <c r="F2373" s="185" t="s">
        <v>4357</v>
      </c>
      <c r="G2373" s="186" t="str">
        <f t="shared" si="75"/>
        <v>12RFLC</v>
      </c>
      <c r="H2373" s="187" t="str">
        <f>+INDEX([1]Detallado!$D:$D,MATCH(C2373,[1]Detallado!$B:$B,0))</f>
        <v>Nexa Resources</v>
      </c>
      <c r="I2373" s="28"/>
      <c r="J2373" s="184" t="str">
        <f t="shared" ref="J2373" si="83">IF(E2373="ALT",LEFT(E2373,3),LEFT(E2373,3)&amp;F2373)</f>
        <v>RFLBU</v>
      </c>
    </row>
    <row r="2374" spans="3:10" x14ac:dyDescent="0.25">
      <c r="C2374" s="28" t="s">
        <v>5948</v>
      </c>
      <c r="D2374" s="188" t="str">
        <f>+INDEX([1]Detallado!$F:$F,MATCH($C2374,[1]Detallado!$B:$B,0))</f>
        <v>Renta Fija</v>
      </c>
      <c r="E2374" s="31" t="str">
        <f>+INDEX([1]Detallado!$Q:$Q,MATCH($C2374,[1]Detallado!$B:$B,0))</f>
        <v>RFLC</v>
      </c>
      <c r="F2374" s="185" t="s">
        <v>4357</v>
      </c>
      <c r="G2374" s="186" t="str">
        <f t="shared" si="75"/>
        <v>21RFLC</v>
      </c>
      <c r="H2374" s="187" t="str">
        <f>+INDEX([1]Detallado!$D:$D,MATCH(C2374,[1]Detallado!$B:$B,0))</f>
        <v>Banco de Crédito del Perú</v>
      </c>
      <c r="I2374" s="28"/>
      <c r="J2374" s="184" t="str">
        <f t="shared" ref="J2374" si="84">IF(E2374="ALT",LEFT(E2374,3),LEFT(E2374,3)&amp;F2374)</f>
        <v>RFLBU</v>
      </c>
    </row>
    <row r="2375" spans="3:10" x14ac:dyDescent="0.25">
      <c r="C2375" s="28" t="s">
        <v>5951</v>
      </c>
      <c r="D2375" s="188" t="str">
        <f>+INDEX([1]Detallado!$F:$F,MATCH($C2375,[1]Detallado!$B:$B,0))</f>
        <v>Renta Fija</v>
      </c>
      <c r="E2375" s="31" t="str">
        <f>+INDEX([1]Detallado!$Q:$Q,MATCH($C2375,[1]Detallado!$B:$B,0))</f>
        <v>RFLC</v>
      </c>
      <c r="F2375" s="185" t="s">
        <v>4357</v>
      </c>
      <c r="G2375" s="186" t="str">
        <f t="shared" si="75"/>
        <v>22RFLC</v>
      </c>
      <c r="H2375" s="187" t="str">
        <f>+INDEX([1]Detallado!$D:$D,MATCH(C2375,[1]Detallado!$B:$B,0))</f>
        <v>Hunt Oil</v>
      </c>
      <c r="I2375" s="28"/>
      <c r="J2375" s="184" t="str">
        <f t="shared" ref="J2375:J2376" si="85">IF(E2375="ALT",LEFT(E2375,3),LEFT(E2375,3)&amp;F2375)</f>
        <v>RFLBU</v>
      </c>
    </row>
    <row r="2376" spans="3:10" x14ac:dyDescent="0.25">
      <c r="C2376" s="28" t="s">
        <v>5962</v>
      </c>
      <c r="D2376" s="188" t="str">
        <f>+INDEX([1]Detallado!$F:$F,MATCH($C2376,[1]Detallado!$B:$B,0))</f>
        <v>Renta Fija</v>
      </c>
      <c r="E2376" s="31" t="str">
        <f>+INDEX([1]Detallado!$Q:$Q,MATCH($C2376,[1]Detallado!$B:$B,0))</f>
        <v>RFIG</v>
      </c>
      <c r="F2376" s="185" t="s">
        <v>4355</v>
      </c>
      <c r="G2376" s="186" t="str">
        <f t="shared" si="75"/>
        <v>52RFIG</v>
      </c>
      <c r="H2376" s="187" t="str">
        <f>+INDEX([1]Detallado!$D:$D,MATCH(C2376,[1]Detallado!$B:$B,0))</f>
        <v>Arcano Fund - European Income Fund, ESG Selection</v>
      </c>
      <c r="I2376" s="28"/>
      <c r="J2376" s="184" t="str">
        <f t="shared" si="85"/>
        <v>RFITD</v>
      </c>
    </row>
    <row r="2377" spans="3:10" x14ac:dyDescent="0.25">
      <c r="C2377" s="28" t="s">
        <v>5965</v>
      </c>
      <c r="D2377" s="188" t="str">
        <f>+INDEX([1]Detallado!$F:$F,MATCH($C2377,[1]Detallado!$B:$B,0))</f>
        <v>Renta Variable</v>
      </c>
      <c r="E2377" s="31" t="str">
        <f>+INDEX([1]Detallado!$Q:$Q,MATCH($C2377,[1]Detallado!$B:$B,0))</f>
        <v>RVI</v>
      </c>
      <c r="F2377" s="185" t="s">
        <v>4355</v>
      </c>
      <c r="G2377" s="186" t="str">
        <f t="shared" si="75"/>
        <v>52RVI</v>
      </c>
      <c r="H2377" s="187" t="str">
        <f>+INDEX([1]Detallado!$D:$D,MATCH(C2377,[1]Detallado!$B:$B,0))</f>
        <v>India Small-Cap</v>
      </c>
      <c r="I2377" s="28"/>
      <c r="J2377" s="184" t="str">
        <f t="shared" ref="J2377" si="86">IF(E2377="ALT",LEFT(E2377,3),LEFT(E2377,3)&amp;F2377)</f>
        <v>RVITD</v>
      </c>
    </row>
    <row r="2378" spans="3:10" x14ac:dyDescent="0.25">
      <c r="C2378" s="28" t="s">
        <v>5633</v>
      </c>
      <c r="D2378" s="188" t="str">
        <f>+INDEX([1]Detallado!$F:$F,MATCH($C2378,[1]Detallado!$B:$B,0))</f>
        <v>Renta Variable</v>
      </c>
      <c r="E2378" s="31" t="str">
        <f>+INDEX([1]Detallado!$Q:$Q,MATCH($C2378,[1]Detallado!$B:$B,0))</f>
        <v>RVI</v>
      </c>
      <c r="F2378" s="185" t="s">
        <v>4355</v>
      </c>
      <c r="G2378" s="186" t="str">
        <f t="shared" ref="G2378:G2382" si="87">LEFT(C2378,2)&amp;E2378</f>
        <v>52RVI</v>
      </c>
      <c r="H2378" s="187" t="str">
        <f>+INDEX([1]Detallado!$D:$D,MATCH(C2378,[1]Detallado!$B:$B,0))</f>
        <v>AIRR US - First Trust American Industrial Rennaisance</v>
      </c>
      <c r="I2378" s="28"/>
      <c r="J2378" s="184" t="str">
        <f>IF(E2378="ALT",LEFT(E2378,3),LEFT(E2378,3)&amp;F2378)</f>
        <v>RVITD</v>
      </c>
    </row>
    <row r="2379" spans="3:10" x14ac:dyDescent="0.25">
      <c r="C2379" s="28" t="s">
        <v>5248</v>
      </c>
      <c r="D2379" s="188" t="str">
        <f>+INDEX([1]Detallado!$F:$F,MATCH($C2379,[1]Detallado!$B:$B,0))</f>
        <v>Renta Fija</v>
      </c>
      <c r="E2379" s="31" t="str">
        <f>+INDEX([1]Detallado!$Q:$Q,MATCH($C2379,[1]Detallado!$B:$B,0))</f>
        <v>RFIG</v>
      </c>
      <c r="F2379" s="185" t="s">
        <v>4355</v>
      </c>
      <c r="G2379" s="186" t="str">
        <f t="shared" si="87"/>
        <v>08RFIG</v>
      </c>
      <c r="H2379" s="187" t="str">
        <f>+INDEX([1]Detallado!$D:$D,MATCH(C2379,[1]Detallado!$B:$B,0))</f>
        <v>Gobierno de Colombia</v>
      </c>
      <c r="I2379" s="28"/>
      <c r="J2379" s="184" t="str">
        <f>IF(E2379="ALT",LEFT(E2379,3),LEFT(E2379,3)&amp;F2379)</f>
        <v>RFITD</v>
      </c>
    </row>
    <row r="2380" spans="3:10" x14ac:dyDescent="0.25">
      <c r="C2380" s="28" t="s">
        <v>5782</v>
      </c>
      <c r="D2380" s="188" t="str">
        <f>+INDEX([1]Detallado!$F:$F,MATCH($C2380,[1]Detallado!$B:$B,0))</f>
        <v>Renta Fija</v>
      </c>
      <c r="E2380" s="31" t="str">
        <f>+INDEX([1]Detallado!$Q:$Q,MATCH($C2380,[1]Detallado!$B:$B,0))</f>
        <v>RFLC</v>
      </c>
      <c r="F2380" s="185" t="s">
        <v>4357</v>
      </c>
      <c r="G2380" s="186" t="str">
        <f t="shared" si="87"/>
        <v>21RFLC</v>
      </c>
      <c r="H2380" s="187" t="str">
        <f>+INDEX([1]Detallado!$D:$D,MATCH(C2380,[1]Detallado!$B:$B,0))</f>
        <v xml:space="preserve">Banco Internacional del Perú </v>
      </c>
      <c r="I2380" s="28"/>
      <c r="J2380" s="184" t="str">
        <f t="shared" ref="J2380" si="88">IF(E2380="ALT",LEFT(E2380,3),LEFT(E2380,3)&amp;F2380)</f>
        <v>RFLBU</v>
      </c>
    </row>
    <row r="2381" spans="3:10" x14ac:dyDescent="0.25">
      <c r="C2381" s="28" t="s">
        <v>5779</v>
      </c>
      <c r="D2381" s="188" t="str">
        <f>+INDEX([1]Detallado!$F:$F,MATCH($C2381,[1]Detallado!$B:$B,0))</f>
        <v>Renta Fija</v>
      </c>
      <c r="E2381" s="31" t="str">
        <f>+INDEX([1]Detallado!$Q:$Q,MATCH($C2381,[1]Detallado!$B:$B,0))</f>
        <v>RFLC</v>
      </c>
      <c r="F2381" s="185" t="s">
        <v>4357</v>
      </c>
      <c r="G2381" s="186" t="str">
        <f t="shared" si="87"/>
        <v>22RFLC</v>
      </c>
      <c r="H2381" s="187" t="str">
        <f>+INDEX([1]Detallado!$D:$D,MATCH(C2381,[1]Detallado!$B:$B,0))</f>
        <v>Buenaventura</v>
      </c>
      <c r="I2381" s="28"/>
      <c r="J2381" s="184" t="str">
        <f t="shared" ref="J2381" si="89">IF(E2381="ALT",LEFT(E2381,3),LEFT(E2381,3)&amp;F2381)</f>
        <v>RFLBU</v>
      </c>
    </row>
    <row r="2382" spans="3:10" x14ac:dyDescent="0.25">
      <c r="C2382" s="28" t="s">
        <v>5623</v>
      </c>
      <c r="D2382" s="188" t="str">
        <f>+INDEX([1]Detallado!$F:$F,MATCH($C2382,[1]Detallado!$B:$B,0))</f>
        <v>Renta Fija</v>
      </c>
      <c r="E2382" s="31" t="str">
        <f>+INDEX([1]Detallado!$Q:$Q,MATCH($C2382,[1]Detallado!$B:$B,0))</f>
        <v>RFIC</v>
      </c>
      <c r="F2382" s="185" t="s">
        <v>4357</v>
      </c>
      <c r="G2382" s="186" t="str">
        <f t="shared" si="87"/>
        <v>59RFIC</v>
      </c>
      <c r="H2382" s="187" t="str">
        <f>+INDEX([1]Detallado!$D:$D,MATCH(C2382,[1]Detallado!$B:$B,0))</f>
        <v>Ecopetrol</v>
      </c>
      <c r="I2382" s="28"/>
      <c r="J2382" s="184" t="str">
        <f t="shared" ref="J2382" si="90">IF(E2382="ALT",LEFT(E2382,3),LEFT(E2382,3)&amp;F2382)</f>
        <v>RFIBU</v>
      </c>
    </row>
    <row r="2383" spans="3:10" x14ac:dyDescent="0.25">
      <c r="C2383" s="28" t="s">
        <v>5002</v>
      </c>
      <c r="D2383" s="188"/>
      <c r="E2383" s="31"/>
      <c r="F2383" s="185" t="s">
        <v>4360</v>
      </c>
      <c r="G2383" s="186"/>
      <c r="H2383" s="187"/>
      <c r="I2383" s="28"/>
      <c r="J2383" s="184" t="s">
        <v>4360</v>
      </c>
    </row>
    <row r="2384" spans="3:10" x14ac:dyDescent="0.25">
      <c r="C2384" s="28" t="s">
        <v>5003</v>
      </c>
      <c r="D2384" s="188"/>
      <c r="E2384" s="31"/>
      <c r="F2384" s="185" t="s">
        <v>4360</v>
      </c>
      <c r="G2384" s="186"/>
      <c r="H2384" s="187"/>
      <c r="I2384" s="28"/>
      <c r="J2384" s="184" t="s">
        <v>4360</v>
      </c>
    </row>
    <row r="2385" spans="3:10" x14ac:dyDescent="0.25">
      <c r="C2385" s="28" t="s">
        <v>5004</v>
      </c>
      <c r="D2385" s="188"/>
      <c r="E2385" s="31"/>
      <c r="F2385" s="185" t="s">
        <v>4360</v>
      </c>
      <c r="G2385" s="186"/>
      <c r="H2385" s="187"/>
      <c r="I2385" s="28"/>
      <c r="J2385" s="184" t="s">
        <v>4360</v>
      </c>
    </row>
    <row r="2386" spans="3:10" x14ac:dyDescent="0.25">
      <c r="C2386" s="28" t="s">
        <v>5037</v>
      </c>
      <c r="D2386" s="188"/>
      <c r="E2386" s="31"/>
      <c r="F2386" s="185" t="s">
        <v>4360</v>
      </c>
      <c r="G2386" s="186"/>
      <c r="H2386" s="187"/>
      <c r="I2386" s="28"/>
      <c r="J2386" s="184" t="s">
        <v>4360</v>
      </c>
    </row>
    <row r="2387" spans="3:10" x14ac:dyDescent="0.25">
      <c r="C2387" s="28" t="s">
        <v>5031</v>
      </c>
      <c r="D2387" s="188"/>
      <c r="E2387" s="31"/>
      <c r="F2387" s="185" t="s">
        <v>4360</v>
      </c>
      <c r="G2387" s="186"/>
      <c r="H2387" s="187"/>
      <c r="I2387" s="28"/>
      <c r="J2387" s="184" t="s">
        <v>4360</v>
      </c>
    </row>
    <row r="2388" spans="3:10" x14ac:dyDescent="0.25">
      <c r="C2388" s="28" t="s">
        <v>5032</v>
      </c>
      <c r="D2388" s="188"/>
      <c r="E2388" s="31"/>
      <c r="F2388" s="185" t="s">
        <v>4360</v>
      </c>
      <c r="G2388" s="186"/>
      <c r="H2388" s="187"/>
      <c r="I2388" s="28"/>
      <c r="J2388" s="184" t="s">
        <v>4360</v>
      </c>
    </row>
    <row r="2389" spans="3:10" x14ac:dyDescent="0.25">
      <c r="C2389" s="28" t="s">
        <v>5033</v>
      </c>
      <c r="D2389" s="188"/>
      <c r="E2389" s="31"/>
      <c r="F2389" s="185" t="s">
        <v>4360</v>
      </c>
      <c r="G2389" s="186"/>
      <c r="H2389" s="187"/>
      <c r="I2389" s="28"/>
      <c r="J2389" s="184" t="s">
        <v>4360</v>
      </c>
    </row>
    <row r="2390" spans="3:10" x14ac:dyDescent="0.25">
      <c r="C2390" s="28" t="s">
        <v>5034</v>
      </c>
      <c r="D2390" s="188"/>
      <c r="E2390" s="31"/>
      <c r="F2390" s="185" t="s">
        <v>4360</v>
      </c>
      <c r="G2390" s="186"/>
      <c r="H2390" s="187"/>
      <c r="I2390" s="28"/>
      <c r="J2390" s="184" t="s">
        <v>4360</v>
      </c>
    </row>
    <row r="2391" spans="3:10" x14ac:dyDescent="0.25">
      <c r="C2391" s="28" t="s">
        <v>5035</v>
      </c>
      <c r="D2391" s="188"/>
      <c r="E2391" s="31"/>
      <c r="F2391" s="185" t="s">
        <v>4360</v>
      </c>
      <c r="G2391" s="186"/>
      <c r="H2391" s="187"/>
      <c r="I2391" s="28"/>
      <c r="J2391" s="184" t="s">
        <v>4360</v>
      </c>
    </row>
    <row r="2392" spans="3:10" x14ac:dyDescent="0.25">
      <c r="C2392" s="28" t="s">
        <v>5106</v>
      </c>
      <c r="D2392" s="188"/>
      <c r="E2392" s="31"/>
      <c r="F2392" s="185" t="s">
        <v>4360</v>
      </c>
      <c r="G2392" s="186"/>
      <c r="H2392" s="187"/>
      <c r="I2392" s="28"/>
      <c r="J2392" s="184" t="s">
        <v>4360</v>
      </c>
    </row>
    <row r="2393" spans="3:10" x14ac:dyDescent="0.25">
      <c r="C2393" s="28" t="s">
        <v>5107</v>
      </c>
      <c r="D2393" s="188"/>
      <c r="E2393" s="31"/>
      <c r="F2393" s="185" t="s">
        <v>4360</v>
      </c>
      <c r="G2393" s="186"/>
      <c r="H2393" s="187"/>
      <c r="I2393" s="28"/>
      <c r="J2393" s="184" t="s">
        <v>4360</v>
      </c>
    </row>
    <row r="2394" spans="3:10" x14ac:dyDescent="0.25">
      <c r="C2394" s="28" t="s">
        <v>5108</v>
      </c>
      <c r="D2394" s="188"/>
      <c r="E2394" s="31"/>
      <c r="F2394" s="185" t="s">
        <v>4360</v>
      </c>
      <c r="G2394" s="186"/>
      <c r="H2394" s="187"/>
      <c r="I2394" s="28"/>
      <c r="J2394" s="184" t="s">
        <v>4360</v>
      </c>
    </row>
    <row r="2395" spans="3:10" x14ac:dyDescent="0.25">
      <c r="C2395" s="28" t="s">
        <v>5109</v>
      </c>
      <c r="D2395" s="188"/>
      <c r="E2395" s="31"/>
      <c r="F2395" s="185" t="s">
        <v>4360</v>
      </c>
      <c r="G2395" s="186"/>
      <c r="H2395" s="187"/>
      <c r="I2395" s="28"/>
      <c r="J2395" s="184" t="s">
        <v>4360</v>
      </c>
    </row>
    <row r="2396" spans="3:10" x14ac:dyDescent="0.25">
      <c r="C2396" s="28" t="s">
        <v>5110</v>
      </c>
      <c r="D2396" s="188"/>
      <c r="E2396" s="31"/>
      <c r="F2396" s="185" t="s">
        <v>4360</v>
      </c>
      <c r="G2396" s="186"/>
      <c r="H2396" s="187"/>
      <c r="I2396" s="28"/>
      <c r="J2396" s="184" t="s">
        <v>4360</v>
      </c>
    </row>
    <row r="2397" spans="3:10" x14ac:dyDescent="0.25">
      <c r="C2397" s="28" t="s">
        <v>5111</v>
      </c>
      <c r="D2397" s="188"/>
      <c r="E2397" s="31"/>
      <c r="F2397" s="185" t="s">
        <v>4360</v>
      </c>
      <c r="G2397" s="186"/>
      <c r="H2397" s="187"/>
      <c r="I2397" s="28"/>
      <c r="J2397" s="184" t="s">
        <v>4360</v>
      </c>
    </row>
    <row r="2398" spans="3:10" x14ac:dyDescent="0.25">
      <c r="C2398" s="28" t="s">
        <v>5112</v>
      </c>
      <c r="D2398" s="188"/>
      <c r="E2398" s="31"/>
      <c r="F2398" s="185" t="s">
        <v>4360</v>
      </c>
      <c r="G2398" s="186"/>
      <c r="H2398" s="187"/>
      <c r="I2398" s="28"/>
      <c r="J2398" s="184" t="s">
        <v>4360</v>
      </c>
    </row>
    <row r="2399" spans="3:10" x14ac:dyDescent="0.25">
      <c r="C2399" s="28" t="s">
        <v>5113</v>
      </c>
      <c r="D2399" s="188"/>
      <c r="E2399" s="31"/>
      <c r="F2399" s="185" t="s">
        <v>4360</v>
      </c>
      <c r="G2399" s="186"/>
      <c r="H2399" s="187"/>
      <c r="I2399" s="28"/>
      <c r="J2399" s="184" t="s">
        <v>4360</v>
      </c>
    </row>
    <row r="2400" spans="3:10" x14ac:dyDescent="0.25">
      <c r="C2400" s="28" t="s">
        <v>5114</v>
      </c>
      <c r="D2400" s="188"/>
      <c r="E2400" s="31"/>
      <c r="F2400" s="185" t="s">
        <v>4360</v>
      </c>
      <c r="G2400" s="186"/>
      <c r="H2400" s="187"/>
      <c r="I2400" s="28"/>
      <c r="J2400" s="184" t="s">
        <v>4360</v>
      </c>
    </row>
    <row r="2401" spans="3:10" x14ac:dyDescent="0.25">
      <c r="C2401" s="28" t="s">
        <v>5115</v>
      </c>
      <c r="D2401" s="188"/>
      <c r="E2401" s="31"/>
      <c r="F2401" s="185" t="s">
        <v>4360</v>
      </c>
      <c r="G2401" s="186"/>
      <c r="H2401" s="187"/>
      <c r="I2401" s="28"/>
      <c r="J2401" s="184" t="s">
        <v>4360</v>
      </c>
    </row>
    <row r="2402" spans="3:10" x14ac:dyDescent="0.25">
      <c r="C2402" s="28" t="s">
        <v>5036</v>
      </c>
      <c r="D2402" s="188"/>
      <c r="E2402" s="31"/>
      <c r="F2402" s="185" t="s">
        <v>4360</v>
      </c>
      <c r="G2402" s="186"/>
      <c r="H2402" s="187"/>
      <c r="I2402" s="28"/>
      <c r="J2402" s="184" t="s">
        <v>4360</v>
      </c>
    </row>
    <row r="2403" spans="3:10" x14ac:dyDescent="0.25">
      <c r="C2403" s="28" t="s">
        <v>5027</v>
      </c>
      <c r="D2403" s="188"/>
      <c r="E2403" s="31"/>
      <c r="F2403" s="185" t="s">
        <v>4360</v>
      </c>
      <c r="G2403" s="186"/>
      <c r="H2403" s="187"/>
      <c r="I2403" s="28"/>
      <c r="J2403" s="184" t="s">
        <v>4360</v>
      </c>
    </row>
    <row r="2404" spans="3:10" x14ac:dyDescent="0.25">
      <c r="C2404" s="28" t="s">
        <v>5028</v>
      </c>
      <c r="D2404" s="188"/>
      <c r="E2404" s="31"/>
      <c r="F2404" s="185" t="s">
        <v>4360</v>
      </c>
      <c r="G2404" s="186"/>
      <c r="H2404" s="187"/>
      <c r="I2404" s="28"/>
      <c r="J2404" s="184" t="s">
        <v>4360</v>
      </c>
    </row>
    <row r="2405" spans="3:10" x14ac:dyDescent="0.25">
      <c r="C2405" s="28" t="s">
        <v>5029</v>
      </c>
      <c r="D2405" s="188"/>
      <c r="E2405" s="31"/>
      <c r="F2405" s="185" t="s">
        <v>4360</v>
      </c>
      <c r="G2405" s="186"/>
      <c r="H2405" s="187"/>
      <c r="I2405" s="28"/>
      <c r="J2405" s="184" t="s">
        <v>4360</v>
      </c>
    </row>
    <row r="2406" spans="3:10" x14ac:dyDescent="0.25">
      <c r="C2406" s="28" t="s">
        <v>5030</v>
      </c>
      <c r="D2406" s="188"/>
      <c r="E2406" s="31"/>
      <c r="F2406" s="185" t="s">
        <v>4360</v>
      </c>
      <c r="G2406" s="186"/>
      <c r="H2406" s="187"/>
      <c r="I2406" s="28"/>
      <c r="J2406" s="184" t="s">
        <v>4360</v>
      </c>
    </row>
    <row r="2407" spans="3:10" x14ac:dyDescent="0.25">
      <c r="C2407" s="28" t="s">
        <v>5116</v>
      </c>
      <c r="D2407" s="188"/>
      <c r="E2407" s="31"/>
      <c r="F2407" s="185" t="s">
        <v>4360</v>
      </c>
      <c r="G2407" s="186"/>
      <c r="H2407" s="187"/>
      <c r="I2407" s="28"/>
      <c r="J2407" s="184" t="s">
        <v>4360</v>
      </c>
    </row>
    <row r="2408" spans="3:10" x14ac:dyDescent="0.25">
      <c r="C2408" s="28" t="s">
        <v>5044</v>
      </c>
      <c r="D2408" s="188"/>
      <c r="E2408" s="31"/>
      <c r="F2408" s="185" t="s">
        <v>4360</v>
      </c>
      <c r="G2408" s="186"/>
      <c r="H2408" s="187"/>
      <c r="I2408" s="28"/>
      <c r="J2408" s="184" t="s">
        <v>4360</v>
      </c>
    </row>
    <row r="2409" spans="3:10" x14ac:dyDescent="0.25">
      <c r="C2409" s="28" t="s">
        <v>5045</v>
      </c>
      <c r="D2409" s="188"/>
      <c r="E2409" s="31"/>
      <c r="F2409" s="185" t="s">
        <v>4360</v>
      </c>
      <c r="G2409" s="186"/>
      <c r="H2409" s="187"/>
      <c r="I2409" s="28"/>
      <c r="J2409" s="184" t="s">
        <v>4360</v>
      </c>
    </row>
    <row r="2410" spans="3:10" x14ac:dyDescent="0.25">
      <c r="C2410" s="28" t="s">
        <v>5046</v>
      </c>
      <c r="D2410" s="188"/>
      <c r="E2410" s="31"/>
      <c r="F2410" s="185" t="s">
        <v>4360</v>
      </c>
      <c r="G2410" s="186"/>
      <c r="H2410" s="187"/>
      <c r="I2410" s="28"/>
      <c r="J2410" s="184" t="s">
        <v>4360</v>
      </c>
    </row>
    <row r="2411" spans="3:10" x14ac:dyDescent="0.25">
      <c r="C2411" s="28" t="s">
        <v>5038</v>
      </c>
      <c r="D2411" s="188"/>
      <c r="E2411" s="31"/>
      <c r="F2411" s="185" t="s">
        <v>4360</v>
      </c>
      <c r="G2411" s="186"/>
      <c r="H2411" s="187"/>
      <c r="I2411" s="28"/>
      <c r="J2411" s="184" t="s">
        <v>4360</v>
      </c>
    </row>
    <row r="2412" spans="3:10" x14ac:dyDescent="0.25">
      <c r="C2412" s="28" t="s">
        <v>5039</v>
      </c>
      <c r="D2412" s="188"/>
      <c r="E2412" s="31"/>
      <c r="F2412" s="185" t="s">
        <v>4360</v>
      </c>
      <c r="G2412" s="186"/>
      <c r="H2412" s="187"/>
      <c r="I2412" s="28"/>
      <c r="J2412" s="184" t="s">
        <v>4360</v>
      </c>
    </row>
    <row r="2413" spans="3:10" x14ac:dyDescent="0.25">
      <c r="C2413" s="28" t="s">
        <v>5040</v>
      </c>
      <c r="D2413" s="188"/>
      <c r="E2413" s="31"/>
      <c r="F2413" s="185" t="s">
        <v>4360</v>
      </c>
      <c r="G2413" s="186"/>
      <c r="H2413" s="187"/>
      <c r="I2413" s="28"/>
      <c r="J2413" s="184" t="s">
        <v>4360</v>
      </c>
    </row>
    <row r="2414" spans="3:10" x14ac:dyDescent="0.25">
      <c r="C2414" s="28" t="s">
        <v>5117</v>
      </c>
      <c r="D2414" s="188"/>
      <c r="E2414" s="31"/>
      <c r="F2414" s="185" t="s">
        <v>4360</v>
      </c>
      <c r="G2414" s="186"/>
      <c r="H2414" s="187"/>
      <c r="I2414" s="28"/>
      <c r="J2414" s="184" t="s">
        <v>4360</v>
      </c>
    </row>
    <row r="2415" spans="3:10" x14ac:dyDescent="0.25">
      <c r="C2415" s="28" t="s">
        <v>5118</v>
      </c>
      <c r="D2415" s="188"/>
      <c r="E2415" s="31"/>
      <c r="F2415" s="185" t="s">
        <v>4360</v>
      </c>
      <c r="G2415" s="186"/>
      <c r="H2415" s="187"/>
      <c r="I2415" s="28"/>
      <c r="J2415" s="184" t="s">
        <v>4360</v>
      </c>
    </row>
    <row r="2416" spans="3:10" x14ac:dyDescent="0.25">
      <c r="C2416" s="28" t="s">
        <v>5119</v>
      </c>
      <c r="D2416" s="188"/>
      <c r="E2416" s="31"/>
      <c r="F2416" s="185" t="s">
        <v>4360</v>
      </c>
      <c r="G2416" s="186"/>
      <c r="H2416" s="187"/>
      <c r="I2416" s="28"/>
      <c r="J2416" s="184" t="s">
        <v>4360</v>
      </c>
    </row>
    <row r="2417" spans="3:10" x14ac:dyDescent="0.25">
      <c r="C2417" s="28" t="s">
        <v>5120</v>
      </c>
      <c r="D2417" s="188"/>
      <c r="E2417" s="31"/>
      <c r="F2417" s="185" t="s">
        <v>4360</v>
      </c>
      <c r="G2417" s="186"/>
      <c r="H2417" s="187"/>
      <c r="I2417" s="28"/>
      <c r="J2417" s="184" t="s">
        <v>4360</v>
      </c>
    </row>
    <row r="2418" spans="3:10" x14ac:dyDescent="0.25">
      <c r="C2418" s="28" t="s">
        <v>5121</v>
      </c>
      <c r="D2418" s="188"/>
      <c r="E2418" s="31"/>
      <c r="F2418" s="185" t="s">
        <v>4360</v>
      </c>
      <c r="G2418" s="186"/>
      <c r="H2418" s="187"/>
      <c r="I2418" s="28"/>
      <c r="J2418" s="184" t="s">
        <v>4360</v>
      </c>
    </row>
    <row r="2419" spans="3:10" x14ac:dyDescent="0.25">
      <c r="C2419" s="28" t="s">
        <v>5122</v>
      </c>
      <c r="D2419" s="188"/>
      <c r="E2419" s="31"/>
      <c r="F2419" s="185" t="s">
        <v>4360</v>
      </c>
      <c r="G2419" s="186"/>
      <c r="H2419" s="187"/>
      <c r="I2419" s="28"/>
      <c r="J2419" s="184" t="s">
        <v>4360</v>
      </c>
    </row>
    <row r="2420" spans="3:10" x14ac:dyDescent="0.25">
      <c r="C2420" s="28" t="s">
        <v>5041</v>
      </c>
      <c r="D2420" s="188"/>
      <c r="E2420" s="31"/>
      <c r="F2420" s="185" t="s">
        <v>4360</v>
      </c>
      <c r="G2420" s="186"/>
      <c r="H2420" s="187"/>
      <c r="I2420" s="28"/>
      <c r="J2420" s="184" t="s">
        <v>4360</v>
      </c>
    </row>
    <row r="2421" spans="3:10" x14ac:dyDescent="0.25">
      <c r="C2421" s="28" t="s">
        <v>5042</v>
      </c>
      <c r="D2421" s="188"/>
      <c r="E2421" s="31"/>
      <c r="F2421" s="185" t="s">
        <v>4360</v>
      </c>
      <c r="G2421" s="186"/>
      <c r="H2421" s="187"/>
      <c r="I2421" s="28"/>
      <c r="J2421" s="184" t="s">
        <v>4360</v>
      </c>
    </row>
    <row r="2422" spans="3:10" x14ac:dyDescent="0.25">
      <c r="C2422" s="28" t="s">
        <v>5043</v>
      </c>
      <c r="D2422" s="188"/>
      <c r="E2422" s="31"/>
      <c r="F2422" s="185" t="s">
        <v>4360</v>
      </c>
      <c r="G2422" s="186"/>
      <c r="H2422" s="187"/>
      <c r="I2422" s="28"/>
      <c r="J2422" s="184" t="s">
        <v>4360</v>
      </c>
    </row>
    <row r="2423" spans="3:10" x14ac:dyDescent="0.25">
      <c r="C2423" s="28" t="s">
        <v>5123</v>
      </c>
      <c r="D2423" s="188"/>
      <c r="E2423" s="31"/>
      <c r="F2423" s="185" t="s">
        <v>4360</v>
      </c>
      <c r="G2423" s="186"/>
      <c r="H2423" s="187"/>
      <c r="I2423" s="28"/>
      <c r="J2423" s="184" t="s">
        <v>4360</v>
      </c>
    </row>
    <row r="2424" spans="3:10" x14ac:dyDescent="0.25">
      <c r="C2424" s="28" t="s">
        <v>5124</v>
      </c>
      <c r="D2424" s="188"/>
      <c r="E2424" s="31"/>
      <c r="F2424" s="185" t="s">
        <v>4360</v>
      </c>
      <c r="G2424" s="186"/>
      <c r="H2424" s="187"/>
      <c r="I2424" s="28"/>
      <c r="J2424" s="184" t="s">
        <v>4360</v>
      </c>
    </row>
    <row r="2425" spans="3:10" x14ac:dyDescent="0.25">
      <c r="C2425" s="28" t="s">
        <v>5125</v>
      </c>
      <c r="D2425" s="188"/>
      <c r="E2425" s="31"/>
      <c r="F2425" s="185" t="s">
        <v>4360</v>
      </c>
      <c r="G2425" s="186"/>
      <c r="H2425" s="187"/>
      <c r="I2425" s="28"/>
      <c r="J2425" s="184" t="s">
        <v>4360</v>
      </c>
    </row>
    <row r="2426" spans="3:10" x14ac:dyDescent="0.25">
      <c r="C2426" s="28" t="s">
        <v>5056</v>
      </c>
      <c r="D2426" s="188"/>
      <c r="E2426" s="31"/>
      <c r="F2426" s="185" t="s">
        <v>4360</v>
      </c>
      <c r="G2426" s="186"/>
      <c r="H2426" s="187"/>
      <c r="I2426" s="28"/>
      <c r="J2426" s="184" t="s">
        <v>4360</v>
      </c>
    </row>
    <row r="2427" spans="3:10" x14ac:dyDescent="0.25">
      <c r="C2427" s="28" t="s">
        <v>5050</v>
      </c>
      <c r="D2427" s="188"/>
      <c r="E2427" s="31"/>
      <c r="F2427" s="185" t="s">
        <v>4360</v>
      </c>
      <c r="G2427" s="186"/>
      <c r="H2427" s="187"/>
      <c r="I2427" s="28"/>
      <c r="J2427" s="184" t="s">
        <v>4360</v>
      </c>
    </row>
    <row r="2428" spans="3:10" x14ac:dyDescent="0.25">
      <c r="C2428" s="28" t="s">
        <v>5051</v>
      </c>
      <c r="D2428" s="188"/>
      <c r="E2428" s="31"/>
      <c r="F2428" s="185" t="s">
        <v>4360</v>
      </c>
      <c r="G2428" s="186"/>
      <c r="H2428" s="187"/>
      <c r="I2428" s="28"/>
      <c r="J2428" s="184" t="s">
        <v>4360</v>
      </c>
    </row>
    <row r="2429" spans="3:10" x14ac:dyDescent="0.25">
      <c r="C2429" s="28" t="s">
        <v>5052</v>
      </c>
      <c r="D2429" s="188"/>
      <c r="E2429" s="31"/>
      <c r="F2429" s="185" t="s">
        <v>4360</v>
      </c>
      <c r="G2429" s="186"/>
      <c r="H2429" s="187"/>
      <c r="I2429" s="28"/>
      <c r="J2429" s="184" t="s">
        <v>4360</v>
      </c>
    </row>
    <row r="2430" spans="3:10" x14ac:dyDescent="0.25">
      <c r="C2430" s="28" t="s">
        <v>5053</v>
      </c>
      <c r="D2430" s="188"/>
      <c r="E2430" s="31"/>
      <c r="F2430" s="185" t="s">
        <v>4360</v>
      </c>
      <c r="G2430" s="186"/>
      <c r="H2430" s="187"/>
      <c r="I2430" s="28"/>
      <c r="J2430" s="184" t="s">
        <v>4360</v>
      </c>
    </row>
    <row r="2431" spans="3:10" x14ac:dyDescent="0.25">
      <c r="C2431" s="28" t="s">
        <v>5054</v>
      </c>
      <c r="D2431" s="188"/>
      <c r="E2431" s="31"/>
      <c r="F2431" s="185" t="s">
        <v>4360</v>
      </c>
      <c r="G2431" s="186"/>
      <c r="H2431" s="187"/>
      <c r="I2431" s="28"/>
      <c r="J2431" s="184" t="s">
        <v>4360</v>
      </c>
    </row>
    <row r="2432" spans="3:10" x14ac:dyDescent="0.25">
      <c r="C2432" s="28" t="s">
        <v>5126</v>
      </c>
      <c r="D2432" s="188"/>
      <c r="E2432" s="31"/>
      <c r="F2432" s="185" t="s">
        <v>4360</v>
      </c>
      <c r="G2432" s="186"/>
      <c r="H2432" s="187"/>
      <c r="I2432" s="28"/>
      <c r="J2432" s="184" t="s">
        <v>4360</v>
      </c>
    </row>
    <row r="2433" spans="3:10" x14ac:dyDescent="0.25">
      <c r="C2433" s="28" t="s">
        <v>5127</v>
      </c>
      <c r="D2433" s="188"/>
      <c r="E2433" s="31"/>
      <c r="F2433" s="185" t="s">
        <v>4360</v>
      </c>
      <c r="G2433" s="186"/>
      <c r="H2433" s="187"/>
      <c r="I2433" s="28"/>
      <c r="J2433" s="184" t="s">
        <v>4360</v>
      </c>
    </row>
    <row r="2434" spans="3:10" x14ac:dyDescent="0.25">
      <c r="C2434" s="28" t="s">
        <v>5128</v>
      </c>
      <c r="D2434" s="188"/>
      <c r="E2434" s="31"/>
      <c r="F2434" s="185" t="s">
        <v>4360</v>
      </c>
      <c r="G2434" s="186"/>
      <c r="H2434" s="187"/>
      <c r="I2434" s="28"/>
      <c r="J2434" s="184" t="s">
        <v>4360</v>
      </c>
    </row>
    <row r="2435" spans="3:10" x14ac:dyDescent="0.25">
      <c r="C2435" s="28" t="s">
        <v>5129</v>
      </c>
      <c r="D2435" s="188"/>
      <c r="E2435" s="31"/>
      <c r="F2435" s="185" t="s">
        <v>4360</v>
      </c>
      <c r="G2435" s="186"/>
      <c r="H2435" s="187"/>
      <c r="I2435" s="28"/>
      <c r="J2435" s="184" t="s">
        <v>4360</v>
      </c>
    </row>
    <row r="2436" spans="3:10" x14ac:dyDescent="0.25">
      <c r="C2436" s="28" t="s">
        <v>5130</v>
      </c>
      <c r="D2436" s="188"/>
      <c r="E2436" s="31"/>
      <c r="F2436" s="185" t="s">
        <v>4360</v>
      </c>
      <c r="G2436" s="186"/>
      <c r="H2436" s="187"/>
      <c r="I2436" s="28"/>
      <c r="J2436" s="184" t="s">
        <v>4360</v>
      </c>
    </row>
    <row r="2437" spans="3:10" x14ac:dyDescent="0.25">
      <c r="C2437" s="28" t="s">
        <v>5131</v>
      </c>
      <c r="D2437" s="188"/>
      <c r="E2437" s="31"/>
      <c r="F2437" s="185" t="s">
        <v>4360</v>
      </c>
      <c r="G2437" s="186"/>
      <c r="H2437" s="187"/>
      <c r="I2437" s="28"/>
      <c r="J2437" s="184" t="s">
        <v>4360</v>
      </c>
    </row>
    <row r="2438" spans="3:10" x14ac:dyDescent="0.25">
      <c r="C2438" s="28" t="s">
        <v>5132</v>
      </c>
      <c r="D2438" s="188"/>
      <c r="E2438" s="31"/>
      <c r="F2438" s="185" t="s">
        <v>4360</v>
      </c>
      <c r="G2438" s="186"/>
      <c r="H2438" s="187"/>
      <c r="I2438" s="28"/>
      <c r="J2438" s="184" t="s">
        <v>4360</v>
      </c>
    </row>
    <row r="2439" spans="3:10" x14ac:dyDescent="0.25">
      <c r="C2439" s="28" t="s">
        <v>5133</v>
      </c>
      <c r="D2439" s="188"/>
      <c r="E2439" s="31"/>
      <c r="F2439" s="185" t="s">
        <v>4360</v>
      </c>
      <c r="G2439" s="186"/>
      <c r="H2439" s="187"/>
      <c r="I2439" s="28"/>
      <c r="J2439" s="184" t="s">
        <v>4360</v>
      </c>
    </row>
    <row r="2440" spans="3:10" x14ac:dyDescent="0.25">
      <c r="C2440" s="28" t="s">
        <v>5134</v>
      </c>
      <c r="D2440" s="188"/>
      <c r="E2440" s="31"/>
      <c r="F2440" s="185" t="s">
        <v>4360</v>
      </c>
      <c r="G2440" s="186"/>
      <c r="H2440" s="187"/>
      <c r="I2440" s="28"/>
      <c r="J2440" s="184" t="s">
        <v>4360</v>
      </c>
    </row>
    <row r="2441" spans="3:10" x14ac:dyDescent="0.25">
      <c r="C2441" s="28" t="s">
        <v>5055</v>
      </c>
      <c r="D2441" s="188"/>
      <c r="E2441" s="31"/>
      <c r="F2441" s="185" t="s">
        <v>4360</v>
      </c>
      <c r="G2441" s="186"/>
      <c r="H2441" s="187"/>
      <c r="I2441" s="28"/>
      <c r="J2441" s="184" t="s">
        <v>4360</v>
      </c>
    </row>
    <row r="2442" spans="3:10" x14ac:dyDescent="0.25">
      <c r="C2442" s="28" t="s">
        <v>5047</v>
      </c>
      <c r="D2442" s="188"/>
      <c r="E2442" s="31"/>
      <c r="F2442" s="185" t="s">
        <v>4360</v>
      </c>
      <c r="G2442" s="186"/>
      <c r="H2442" s="187"/>
      <c r="I2442" s="28"/>
      <c r="J2442" s="184" t="s">
        <v>4360</v>
      </c>
    </row>
    <row r="2443" spans="3:10" x14ac:dyDescent="0.25">
      <c r="C2443" s="28" t="s">
        <v>5048</v>
      </c>
      <c r="D2443" s="188"/>
      <c r="E2443" s="31"/>
      <c r="F2443" s="185" t="s">
        <v>4360</v>
      </c>
      <c r="G2443" s="186"/>
      <c r="H2443" s="187"/>
      <c r="I2443" s="28"/>
      <c r="J2443" s="184" t="s">
        <v>4360</v>
      </c>
    </row>
    <row r="2444" spans="3:10" x14ac:dyDescent="0.25">
      <c r="C2444" s="28" t="s">
        <v>5049</v>
      </c>
      <c r="D2444" s="188"/>
      <c r="E2444" s="31"/>
      <c r="F2444" s="185" t="s">
        <v>4360</v>
      </c>
      <c r="G2444" s="186"/>
      <c r="H2444" s="187"/>
      <c r="I2444" s="28"/>
      <c r="J2444" s="184" t="s">
        <v>4360</v>
      </c>
    </row>
    <row r="2445" spans="3:10" x14ac:dyDescent="0.25">
      <c r="C2445" s="28" t="s">
        <v>5135</v>
      </c>
      <c r="D2445" s="188"/>
      <c r="E2445" s="31"/>
      <c r="F2445" s="185" t="s">
        <v>4360</v>
      </c>
      <c r="G2445" s="186"/>
      <c r="H2445" s="187"/>
      <c r="I2445" s="28"/>
      <c r="J2445" s="184" t="s">
        <v>4360</v>
      </c>
    </row>
    <row r="2446" spans="3:10" x14ac:dyDescent="0.25">
      <c r="C2446" s="28" t="s">
        <v>5136</v>
      </c>
      <c r="D2446" s="188"/>
      <c r="E2446" s="31"/>
      <c r="F2446" s="185" t="s">
        <v>4360</v>
      </c>
      <c r="G2446" s="186"/>
      <c r="H2446" s="187"/>
      <c r="I2446" s="28"/>
      <c r="J2446" s="184" t="s">
        <v>4360</v>
      </c>
    </row>
    <row r="2447" spans="3:10" x14ac:dyDescent="0.25">
      <c r="C2447" s="28" t="s">
        <v>4996</v>
      </c>
      <c r="D2447" s="188"/>
      <c r="E2447" s="31"/>
      <c r="F2447" s="185" t="s">
        <v>4360</v>
      </c>
      <c r="G2447" s="186"/>
      <c r="H2447" s="187"/>
      <c r="I2447" s="28"/>
      <c r="J2447" s="184" t="s">
        <v>4360</v>
      </c>
    </row>
    <row r="2448" spans="3:10" x14ac:dyDescent="0.25">
      <c r="C2448" s="28" t="s">
        <v>4997</v>
      </c>
      <c r="D2448" s="188"/>
      <c r="E2448" s="31"/>
      <c r="F2448" s="185" t="s">
        <v>4360</v>
      </c>
      <c r="G2448" s="186"/>
      <c r="H2448" s="187"/>
      <c r="I2448" s="28"/>
      <c r="J2448" s="184" t="s">
        <v>4360</v>
      </c>
    </row>
    <row r="2449" spans="3:10" x14ac:dyDescent="0.25">
      <c r="C2449" s="28" t="s">
        <v>5005</v>
      </c>
      <c r="D2449" s="188"/>
      <c r="E2449" s="31"/>
      <c r="F2449" s="185" t="s">
        <v>4360</v>
      </c>
      <c r="G2449" s="186"/>
      <c r="H2449" s="187"/>
      <c r="I2449" s="28"/>
      <c r="J2449" s="184" t="s">
        <v>4360</v>
      </c>
    </row>
    <row r="2450" spans="3:10" x14ac:dyDescent="0.25">
      <c r="C2450" s="28" t="s">
        <v>5009</v>
      </c>
      <c r="D2450" s="188"/>
      <c r="E2450" s="31"/>
      <c r="F2450" s="185" t="s">
        <v>4360</v>
      </c>
      <c r="G2450" s="186"/>
      <c r="H2450" s="187"/>
      <c r="I2450" s="28"/>
      <c r="J2450" s="184" t="s">
        <v>4360</v>
      </c>
    </row>
    <row r="2451" spans="3:10" x14ac:dyDescent="0.25">
      <c r="C2451" s="28" t="s">
        <v>5013</v>
      </c>
      <c r="D2451" s="188"/>
      <c r="E2451" s="31"/>
      <c r="F2451" s="185" t="s">
        <v>4360</v>
      </c>
      <c r="G2451" s="186"/>
      <c r="H2451" s="187"/>
      <c r="I2451" s="28"/>
      <c r="J2451" s="184" t="s">
        <v>4360</v>
      </c>
    </row>
    <row r="2452" spans="3:10" x14ac:dyDescent="0.25">
      <c r="C2452" s="28" t="s">
        <v>5014</v>
      </c>
      <c r="D2452" s="188"/>
      <c r="E2452" s="31"/>
      <c r="F2452" s="185" t="s">
        <v>4360</v>
      </c>
      <c r="G2452" s="186"/>
      <c r="H2452" s="187"/>
      <c r="I2452" s="28"/>
      <c r="J2452" s="184" t="s">
        <v>4360</v>
      </c>
    </row>
    <row r="2453" spans="3:10" x14ac:dyDescent="0.25">
      <c r="C2453" s="28" t="s">
        <v>5015</v>
      </c>
      <c r="D2453" s="188"/>
      <c r="E2453" s="31"/>
      <c r="F2453" s="185" t="s">
        <v>4360</v>
      </c>
      <c r="G2453" s="186"/>
      <c r="H2453" s="187"/>
      <c r="I2453" s="28"/>
      <c r="J2453" s="184" t="s">
        <v>4360</v>
      </c>
    </row>
    <row r="2454" spans="3:10" x14ac:dyDescent="0.25">
      <c r="C2454" s="28" t="s">
        <v>5006</v>
      </c>
      <c r="D2454" s="188"/>
      <c r="E2454" s="31"/>
      <c r="F2454" s="185" t="s">
        <v>4360</v>
      </c>
      <c r="G2454" s="186"/>
      <c r="H2454" s="187"/>
      <c r="I2454" s="28"/>
      <c r="J2454" s="184" t="s">
        <v>4360</v>
      </c>
    </row>
    <row r="2455" spans="3:10" x14ac:dyDescent="0.25">
      <c r="C2455" s="28" t="s">
        <v>5007</v>
      </c>
      <c r="D2455" s="188"/>
      <c r="E2455" s="31"/>
      <c r="F2455" s="185" t="s">
        <v>4360</v>
      </c>
      <c r="G2455" s="186"/>
      <c r="H2455" s="187"/>
      <c r="I2455" s="28"/>
      <c r="J2455" s="184" t="s">
        <v>4360</v>
      </c>
    </row>
    <row r="2456" spans="3:10" x14ac:dyDescent="0.25">
      <c r="C2456" s="28" t="s">
        <v>5008</v>
      </c>
      <c r="D2456" s="188"/>
      <c r="E2456" s="31"/>
      <c r="F2456" s="185" t="s">
        <v>4360</v>
      </c>
      <c r="G2456" s="186"/>
      <c r="H2456" s="187"/>
      <c r="I2456" s="28"/>
      <c r="J2456" s="184" t="s">
        <v>4360</v>
      </c>
    </row>
    <row r="2457" spans="3:10" x14ac:dyDescent="0.25">
      <c r="C2457" s="28" t="s">
        <v>5019</v>
      </c>
      <c r="D2457" s="188"/>
      <c r="E2457" s="31"/>
      <c r="F2457" s="185" t="s">
        <v>4360</v>
      </c>
      <c r="G2457" s="186"/>
      <c r="H2457" s="187"/>
      <c r="I2457" s="28"/>
      <c r="J2457" s="184" t="s">
        <v>4360</v>
      </c>
    </row>
    <row r="2458" spans="3:10" x14ac:dyDescent="0.25">
      <c r="C2458" s="28" t="s">
        <v>5020</v>
      </c>
      <c r="D2458" s="188"/>
      <c r="E2458" s="31"/>
      <c r="F2458" s="185" t="s">
        <v>4360</v>
      </c>
      <c r="G2458" s="186"/>
      <c r="H2458" s="187"/>
      <c r="I2458" s="28"/>
      <c r="J2458" s="184" t="s">
        <v>4360</v>
      </c>
    </row>
    <row r="2459" spans="3:10" x14ac:dyDescent="0.25">
      <c r="C2459" s="28" t="s">
        <v>5021</v>
      </c>
      <c r="D2459" s="188"/>
      <c r="E2459" s="31"/>
      <c r="F2459" s="185" t="s">
        <v>4360</v>
      </c>
      <c r="G2459" s="186"/>
      <c r="H2459" s="187"/>
      <c r="I2459" s="28"/>
      <c r="J2459" s="184" t="s">
        <v>4360</v>
      </c>
    </row>
    <row r="2460" spans="3:10" x14ac:dyDescent="0.25">
      <c r="C2460" s="28" t="s">
        <v>5010</v>
      </c>
      <c r="D2460" s="188"/>
      <c r="E2460" s="31"/>
      <c r="F2460" s="185" t="s">
        <v>4360</v>
      </c>
      <c r="G2460" s="186"/>
      <c r="H2460" s="187"/>
      <c r="I2460" s="28"/>
      <c r="J2460" s="184" t="s">
        <v>4360</v>
      </c>
    </row>
    <row r="2461" spans="3:10" x14ac:dyDescent="0.25">
      <c r="C2461" s="28" t="s">
        <v>5011</v>
      </c>
      <c r="D2461" s="188"/>
      <c r="E2461" s="31"/>
      <c r="F2461" s="185" t="s">
        <v>4360</v>
      </c>
      <c r="G2461" s="186"/>
      <c r="H2461" s="187"/>
      <c r="I2461" s="28"/>
      <c r="J2461" s="184" t="s">
        <v>4360</v>
      </c>
    </row>
    <row r="2462" spans="3:10" x14ac:dyDescent="0.25">
      <c r="C2462" s="28" t="s">
        <v>5012</v>
      </c>
      <c r="D2462" s="188"/>
      <c r="E2462" s="31"/>
      <c r="F2462" s="185" t="s">
        <v>4360</v>
      </c>
      <c r="G2462" s="186"/>
      <c r="H2462" s="187"/>
      <c r="I2462" s="28"/>
      <c r="J2462" s="184" t="s">
        <v>4360</v>
      </c>
    </row>
    <row r="2463" spans="3:10" x14ac:dyDescent="0.25">
      <c r="C2463" s="28" t="s">
        <v>5022</v>
      </c>
      <c r="D2463" s="188"/>
      <c r="E2463" s="31"/>
      <c r="F2463" s="185" t="s">
        <v>4360</v>
      </c>
      <c r="G2463" s="186"/>
      <c r="H2463" s="187"/>
      <c r="I2463" s="28"/>
      <c r="J2463" s="184" t="s">
        <v>4360</v>
      </c>
    </row>
    <row r="2464" spans="3:10" x14ac:dyDescent="0.25">
      <c r="C2464" s="28" t="s">
        <v>5023</v>
      </c>
      <c r="D2464" s="188"/>
      <c r="E2464" s="31"/>
      <c r="F2464" s="185" t="s">
        <v>4360</v>
      </c>
      <c r="G2464" s="186"/>
      <c r="H2464" s="187"/>
      <c r="I2464" s="28"/>
      <c r="J2464" s="184" t="s">
        <v>4360</v>
      </c>
    </row>
    <row r="2465" spans="3:10" x14ac:dyDescent="0.25">
      <c r="C2465" s="28" t="s">
        <v>5024</v>
      </c>
      <c r="D2465" s="188"/>
      <c r="E2465" s="31"/>
      <c r="F2465" s="185" t="s">
        <v>4360</v>
      </c>
      <c r="G2465" s="186"/>
      <c r="H2465" s="187"/>
      <c r="I2465" s="28"/>
      <c r="J2465" s="184" t="s">
        <v>4360</v>
      </c>
    </row>
    <row r="2466" spans="3:10" x14ac:dyDescent="0.25">
      <c r="C2466" s="28" t="s">
        <v>5016</v>
      </c>
      <c r="D2466" s="188"/>
      <c r="E2466" s="31"/>
      <c r="F2466" s="185" t="s">
        <v>4360</v>
      </c>
      <c r="G2466" s="186"/>
      <c r="H2466" s="187"/>
      <c r="I2466" s="28"/>
      <c r="J2466" s="184" t="s">
        <v>4360</v>
      </c>
    </row>
    <row r="2467" spans="3:10" x14ac:dyDescent="0.25">
      <c r="C2467" s="28" t="s">
        <v>5017</v>
      </c>
      <c r="D2467" s="188"/>
      <c r="E2467" s="31"/>
      <c r="F2467" s="185" t="s">
        <v>4360</v>
      </c>
      <c r="G2467" s="186"/>
      <c r="H2467" s="187"/>
      <c r="I2467" s="28"/>
      <c r="J2467" s="184" t="s">
        <v>4360</v>
      </c>
    </row>
    <row r="2468" spans="3:10" x14ac:dyDescent="0.25">
      <c r="C2468" s="28" t="s">
        <v>5018</v>
      </c>
      <c r="D2468" s="188"/>
      <c r="E2468" s="31"/>
      <c r="F2468" s="185" t="s">
        <v>4360</v>
      </c>
      <c r="G2468" s="186"/>
      <c r="H2468" s="187"/>
      <c r="I2468" s="28"/>
      <c r="J2468" s="184" t="s">
        <v>4360</v>
      </c>
    </row>
    <row r="2469" spans="3:10" x14ac:dyDescent="0.25">
      <c r="C2469" s="28" t="s">
        <v>5025</v>
      </c>
      <c r="D2469" s="188"/>
      <c r="E2469" s="31"/>
      <c r="F2469" s="185" t="s">
        <v>4360</v>
      </c>
      <c r="G2469" s="186"/>
      <c r="H2469" s="187"/>
      <c r="I2469" s="28"/>
      <c r="J2469" s="184" t="s">
        <v>4360</v>
      </c>
    </row>
    <row r="2470" spans="3:10" x14ac:dyDescent="0.25">
      <c r="C2470" s="28" t="s">
        <v>5057</v>
      </c>
      <c r="D2470" s="188"/>
      <c r="E2470" s="31"/>
      <c r="F2470" s="185" t="s">
        <v>4360</v>
      </c>
      <c r="G2470" s="186"/>
      <c r="H2470" s="187"/>
      <c r="I2470" s="28"/>
      <c r="J2470" s="184" t="s">
        <v>4360</v>
      </c>
    </row>
    <row r="2471" spans="3:10" x14ac:dyDescent="0.25">
      <c r="C2471" s="28" t="s">
        <v>5153</v>
      </c>
      <c r="D2471" s="188"/>
      <c r="E2471" s="31"/>
      <c r="F2471" s="185" t="s">
        <v>4360</v>
      </c>
      <c r="G2471" s="186"/>
      <c r="H2471" s="187"/>
      <c r="I2471" s="28"/>
      <c r="J2471" s="184" t="s">
        <v>4360</v>
      </c>
    </row>
    <row r="2472" spans="3:10" x14ac:dyDescent="0.25">
      <c r="C2472" s="28" t="s">
        <v>5154</v>
      </c>
      <c r="D2472" s="188"/>
      <c r="E2472" s="31"/>
      <c r="F2472" s="185" t="s">
        <v>4360</v>
      </c>
      <c r="G2472" s="186"/>
      <c r="H2472" s="187"/>
      <c r="I2472" s="28"/>
      <c r="J2472" s="184" t="s">
        <v>4360</v>
      </c>
    </row>
    <row r="2473" spans="3:10" x14ac:dyDescent="0.25">
      <c r="C2473" s="28" t="s">
        <v>5155</v>
      </c>
      <c r="D2473" s="188"/>
      <c r="E2473" s="31"/>
      <c r="F2473" s="185" t="s">
        <v>4360</v>
      </c>
      <c r="G2473" s="186"/>
      <c r="H2473" s="187"/>
      <c r="I2473" s="28"/>
      <c r="J2473" s="184" t="s">
        <v>4360</v>
      </c>
    </row>
    <row r="2474" spans="3:10" x14ac:dyDescent="0.25">
      <c r="C2474" s="28" t="s">
        <v>5156</v>
      </c>
      <c r="D2474" s="188"/>
      <c r="E2474" s="31"/>
      <c r="F2474" s="185" t="s">
        <v>4360</v>
      </c>
      <c r="G2474" s="186"/>
      <c r="H2474" s="187"/>
      <c r="I2474" s="28"/>
      <c r="J2474" s="184" t="s">
        <v>4360</v>
      </c>
    </row>
    <row r="2475" spans="3:10" x14ac:dyDescent="0.25">
      <c r="C2475" s="28" t="s">
        <v>5157</v>
      </c>
      <c r="D2475" s="188"/>
      <c r="E2475" s="31"/>
      <c r="F2475" s="185" t="s">
        <v>4360</v>
      </c>
      <c r="G2475" s="186"/>
      <c r="H2475" s="187"/>
      <c r="I2475" s="28"/>
      <c r="J2475" s="184" t="s">
        <v>4360</v>
      </c>
    </row>
    <row r="2476" spans="3:10" x14ac:dyDescent="0.25">
      <c r="C2476" s="28" t="s">
        <v>5158</v>
      </c>
      <c r="D2476" s="188"/>
      <c r="E2476" s="31"/>
      <c r="F2476" s="185" t="s">
        <v>4360</v>
      </c>
      <c r="G2476" s="186"/>
      <c r="H2476" s="187"/>
      <c r="I2476" s="28"/>
      <c r="J2476" s="184" t="s">
        <v>4360</v>
      </c>
    </row>
    <row r="2477" spans="3:10" x14ac:dyDescent="0.25">
      <c r="C2477" s="28" t="s">
        <v>5159</v>
      </c>
      <c r="D2477" s="188"/>
      <c r="E2477" s="31"/>
      <c r="F2477" s="185" t="s">
        <v>4360</v>
      </c>
      <c r="G2477" s="186"/>
      <c r="H2477" s="187"/>
      <c r="I2477" s="28"/>
      <c r="J2477" s="184" t="s">
        <v>4360</v>
      </c>
    </row>
    <row r="2478" spans="3:10" x14ac:dyDescent="0.25">
      <c r="C2478" s="28" t="s">
        <v>5160</v>
      </c>
      <c r="D2478" s="188"/>
      <c r="E2478" s="31"/>
      <c r="F2478" s="185" t="s">
        <v>4360</v>
      </c>
      <c r="G2478" s="186"/>
      <c r="H2478" s="187"/>
      <c r="I2478" s="28"/>
      <c r="J2478" s="184" t="s">
        <v>4360</v>
      </c>
    </row>
    <row r="2479" spans="3:10" x14ac:dyDescent="0.25">
      <c r="C2479" s="28" t="s">
        <v>5161</v>
      </c>
      <c r="D2479" s="188"/>
      <c r="E2479" s="31"/>
      <c r="F2479" s="185" t="s">
        <v>4360</v>
      </c>
      <c r="G2479" s="186"/>
      <c r="H2479" s="187"/>
      <c r="I2479" s="28"/>
      <c r="J2479" s="184" t="s">
        <v>4360</v>
      </c>
    </row>
    <row r="2480" spans="3:10" x14ac:dyDescent="0.25">
      <c r="C2480" s="28" t="s">
        <v>5162</v>
      </c>
      <c r="D2480" s="188"/>
      <c r="E2480" s="31"/>
      <c r="F2480" s="185" t="s">
        <v>4360</v>
      </c>
      <c r="G2480" s="186"/>
      <c r="H2480" s="187"/>
      <c r="I2480" s="28"/>
      <c r="J2480" s="184" t="s">
        <v>4360</v>
      </c>
    </row>
    <row r="2481" spans="3:10" x14ac:dyDescent="0.25">
      <c r="C2481" s="28" t="s">
        <v>5163</v>
      </c>
      <c r="D2481" s="188"/>
      <c r="E2481" s="31"/>
      <c r="F2481" s="185" t="s">
        <v>4360</v>
      </c>
      <c r="G2481" s="186"/>
      <c r="H2481" s="187"/>
      <c r="I2481" s="28"/>
      <c r="J2481" s="184" t="s">
        <v>4360</v>
      </c>
    </row>
    <row r="2482" spans="3:10" x14ac:dyDescent="0.25">
      <c r="C2482" s="28" t="s">
        <v>5164</v>
      </c>
      <c r="D2482" s="188"/>
      <c r="E2482" s="31"/>
      <c r="F2482" s="185" t="s">
        <v>4360</v>
      </c>
      <c r="G2482" s="186"/>
      <c r="H2482" s="187"/>
      <c r="I2482" s="28"/>
      <c r="J2482" s="184" t="s">
        <v>4360</v>
      </c>
    </row>
    <row r="2483" spans="3:10" x14ac:dyDescent="0.25">
      <c r="C2483" s="28" t="s">
        <v>5165</v>
      </c>
      <c r="D2483" s="188"/>
      <c r="E2483" s="31"/>
      <c r="F2483" s="185" t="s">
        <v>4360</v>
      </c>
      <c r="G2483" s="186"/>
      <c r="H2483" s="187"/>
      <c r="I2483" s="28"/>
      <c r="J2483" s="184" t="s">
        <v>4360</v>
      </c>
    </row>
    <row r="2484" spans="3:10" x14ac:dyDescent="0.25">
      <c r="C2484" s="28" t="s">
        <v>5166</v>
      </c>
      <c r="D2484" s="188"/>
      <c r="E2484" s="31"/>
      <c r="F2484" s="185" t="s">
        <v>4360</v>
      </c>
      <c r="G2484" s="186"/>
      <c r="H2484" s="187"/>
      <c r="I2484" s="28"/>
      <c r="J2484" s="184" t="s">
        <v>4360</v>
      </c>
    </row>
    <row r="2485" spans="3:10" x14ac:dyDescent="0.25">
      <c r="C2485" s="28" t="s">
        <v>5167</v>
      </c>
      <c r="D2485" s="188"/>
      <c r="E2485" s="31"/>
      <c r="F2485" s="185" t="s">
        <v>4360</v>
      </c>
      <c r="G2485" s="186"/>
      <c r="H2485" s="187"/>
      <c r="I2485" s="28"/>
      <c r="J2485" s="184" t="s">
        <v>4360</v>
      </c>
    </row>
    <row r="2486" spans="3:10" x14ac:dyDescent="0.25">
      <c r="C2486" s="28" t="s">
        <v>5168</v>
      </c>
      <c r="D2486" s="188"/>
      <c r="E2486" s="31"/>
      <c r="F2486" s="185" t="s">
        <v>4360</v>
      </c>
      <c r="G2486" s="186"/>
      <c r="H2486" s="187"/>
      <c r="I2486" s="28"/>
      <c r="J2486" s="184" t="s">
        <v>4360</v>
      </c>
    </row>
    <row r="2487" spans="3:10" x14ac:dyDescent="0.25">
      <c r="C2487" s="28" t="s">
        <v>5169</v>
      </c>
      <c r="D2487" s="188"/>
      <c r="E2487" s="31"/>
      <c r="F2487" s="185" t="s">
        <v>4360</v>
      </c>
      <c r="G2487" s="186"/>
      <c r="H2487" s="187"/>
      <c r="I2487" s="28"/>
      <c r="J2487" s="184" t="s">
        <v>4360</v>
      </c>
    </row>
    <row r="2488" spans="3:10" x14ac:dyDescent="0.25">
      <c r="C2488" s="28" t="s">
        <v>5170</v>
      </c>
      <c r="D2488" s="188"/>
      <c r="E2488" s="31"/>
      <c r="F2488" s="185" t="s">
        <v>4360</v>
      </c>
      <c r="G2488" s="186"/>
      <c r="H2488" s="187"/>
      <c r="I2488" s="28"/>
      <c r="J2488" s="184" t="s">
        <v>4360</v>
      </c>
    </row>
    <row r="2489" spans="3:10" x14ac:dyDescent="0.25">
      <c r="C2489" s="28" t="s">
        <v>5177</v>
      </c>
      <c r="D2489" s="188"/>
      <c r="E2489" s="31"/>
      <c r="F2489" s="185" t="s">
        <v>4360</v>
      </c>
      <c r="G2489" s="186"/>
      <c r="H2489" s="187"/>
      <c r="I2489" s="28"/>
      <c r="J2489" s="184" t="s">
        <v>4360</v>
      </c>
    </row>
    <row r="2490" spans="3:10" x14ac:dyDescent="0.25">
      <c r="C2490" s="28" t="s">
        <v>5178</v>
      </c>
      <c r="D2490" s="188"/>
      <c r="E2490" s="31"/>
      <c r="F2490" s="185" t="s">
        <v>4360</v>
      </c>
      <c r="G2490" s="186"/>
      <c r="H2490" s="187"/>
      <c r="I2490" s="28"/>
      <c r="J2490" s="184" t="s">
        <v>4360</v>
      </c>
    </row>
    <row r="2491" spans="3:10" x14ac:dyDescent="0.25">
      <c r="C2491" s="28" t="s">
        <v>5179</v>
      </c>
      <c r="D2491" s="188"/>
      <c r="E2491" s="31"/>
      <c r="F2491" s="185" t="s">
        <v>4360</v>
      </c>
      <c r="G2491" s="186"/>
      <c r="H2491" s="187"/>
      <c r="I2491" s="28"/>
      <c r="J2491" s="184" t="s">
        <v>4360</v>
      </c>
    </row>
    <row r="2492" spans="3:10" x14ac:dyDescent="0.25">
      <c r="C2492" s="28" t="s">
        <v>5180</v>
      </c>
      <c r="D2492" s="188"/>
      <c r="E2492" s="31"/>
      <c r="F2492" s="185" t="s">
        <v>4360</v>
      </c>
      <c r="G2492" s="186"/>
      <c r="H2492" s="187"/>
      <c r="I2492" s="28"/>
      <c r="J2492" s="184" t="s">
        <v>4360</v>
      </c>
    </row>
    <row r="2493" spans="3:10" x14ac:dyDescent="0.25">
      <c r="C2493" s="28" t="s">
        <v>5181</v>
      </c>
      <c r="D2493" s="188"/>
      <c r="E2493" s="31"/>
      <c r="F2493" s="185" t="s">
        <v>4360</v>
      </c>
      <c r="G2493" s="186"/>
      <c r="H2493" s="187"/>
      <c r="I2493" s="28"/>
      <c r="J2493" s="184" t="s">
        <v>4360</v>
      </c>
    </row>
    <row r="2494" spans="3:10" x14ac:dyDescent="0.25">
      <c r="C2494" s="28" t="s">
        <v>5182</v>
      </c>
      <c r="D2494" s="188"/>
      <c r="E2494" s="31"/>
      <c r="F2494" s="185" t="s">
        <v>4360</v>
      </c>
      <c r="G2494" s="186"/>
      <c r="H2494" s="187"/>
      <c r="I2494" s="28"/>
      <c r="J2494" s="184" t="s">
        <v>4360</v>
      </c>
    </row>
    <row r="2495" spans="3:10" x14ac:dyDescent="0.25">
      <c r="C2495" s="28" t="s">
        <v>5183</v>
      </c>
      <c r="D2495" s="188"/>
      <c r="E2495" s="31"/>
      <c r="F2495" s="185" t="s">
        <v>4360</v>
      </c>
      <c r="G2495" s="186"/>
      <c r="H2495" s="187"/>
      <c r="I2495" s="28"/>
      <c r="J2495" s="184" t="s">
        <v>4360</v>
      </c>
    </row>
    <row r="2496" spans="3:10" x14ac:dyDescent="0.25">
      <c r="C2496" s="28" t="s">
        <v>5187</v>
      </c>
      <c r="D2496" s="188"/>
      <c r="E2496" s="31"/>
      <c r="F2496" s="185" t="s">
        <v>4360</v>
      </c>
      <c r="G2496" s="186"/>
      <c r="H2496" s="187"/>
      <c r="I2496" s="28"/>
      <c r="J2496" s="184" t="s">
        <v>4360</v>
      </c>
    </row>
    <row r="2497" spans="3:10" x14ac:dyDescent="0.25">
      <c r="C2497" s="28" t="s">
        <v>5188</v>
      </c>
      <c r="D2497" s="188"/>
      <c r="E2497" s="31"/>
      <c r="F2497" s="185" t="s">
        <v>4360</v>
      </c>
      <c r="G2497" s="186"/>
      <c r="H2497" s="187"/>
      <c r="I2497" s="28"/>
      <c r="J2497" s="184" t="s">
        <v>4360</v>
      </c>
    </row>
    <row r="2498" spans="3:10" x14ac:dyDescent="0.25">
      <c r="C2498" s="28" t="s">
        <v>5189</v>
      </c>
      <c r="D2498" s="188"/>
      <c r="E2498" s="31"/>
      <c r="F2498" s="185" t="s">
        <v>4360</v>
      </c>
      <c r="G2498" s="186"/>
      <c r="H2498" s="187"/>
      <c r="I2498" s="28"/>
      <c r="J2498" s="184" t="s">
        <v>4360</v>
      </c>
    </row>
    <row r="2499" spans="3:10" x14ac:dyDescent="0.25">
      <c r="C2499" s="28" t="s">
        <v>5190</v>
      </c>
      <c r="D2499" s="188"/>
      <c r="E2499" s="31"/>
      <c r="F2499" s="185" t="s">
        <v>4360</v>
      </c>
      <c r="G2499" s="186"/>
      <c r="H2499" s="187"/>
      <c r="I2499" s="28"/>
      <c r="J2499" s="184" t="s">
        <v>4360</v>
      </c>
    </row>
    <row r="2500" spans="3:10" x14ac:dyDescent="0.25">
      <c r="C2500" s="28" t="s">
        <v>5191</v>
      </c>
      <c r="D2500" s="188"/>
      <c r="E2500" s="31"/>
      <c r="F2500" s="185" t="s">
        <v>4360</v>
      </c>
      <c r="G2500" s="186"/>
      <c r="H2500" s="187"/>
      <c r="I2500" s="28"/>
      <c r="J2500" s="184" t="s">
        <v>4360</v>
      </c>
    </row>
    <row r="2501" spans="3:10" x14ac:dyDescent="0.25">
      <c r="C2501" s="28" t="s">
        <v>5192</v>
      </c>
      <c r="D2501" s="188"/>
      <c r="E2501" s="31"/>
      <c r="F2501" s="185" t="s">
        <v>4360</v>
      </c>
      <c r="G2501" s="186"/>
      <c r="H2501" s="187"/>
      <c r="I2501" s="28"/>
      <c r="J2501" s="184" t="s">
        <v>4360</v>
      </c>
    </row>
    <row r="2502" spans="3:10" x14ac:dyDescent="0.25">
      <c r="C2502" s="28" t="s">
        <v>5193</v>
      </c>
      <c r="D2502" s="188"/>
      <c r="E2502" s="31"/>
      <c r="F2502" s="185" t="s">
        <v>4360</v>
      </c>
      <c r="G2502" s="186"/>
      <c r="H2502" s="187"/>
      <c r="I2502" s="28"/>
      <c r="J2502" s="184" t="s">
        <v>4360</v>
      </c>
    </row>
    <row r="2503" spans="3:10" x14ac:dyDescent="0.25">
      <c r="C2503" s="28" t="s">
        <v>5194</v>
      </c>
      <c r="D2503" s="188"/>
      <c r="E2503" s="31"/>
      <c r="F2503" s="185" t="s">
        <v>4360</v>
      </c>
      <c r="G2503" s="186"/>
      <c r="H2503" s="187"/>
      <c r="I2503" s="28"/>
      <c r="J2503" s="184" t="s">
        <v>4360</v>
      </c>
    </row>
    <row r="2504" spans="3:10" x14ac:dyDescent="0.25">
      <c r="C2504" s="28" t="s">
        <v>5195</v>
      </c>
      <c r="D2504" s="188"/>
      <c r="E2504" s="31"/>
      <c r="F2504" s="185" t="s">
        <v>4360</v>
      </c>
      <c r="G2504" s="186"/>
      <c r="H2504" s="187"/>
      <c r="I2504" s="28"/>
      <c r="J2504" s="184" t="s">
        <v>4360</v>
      </c>
    </row>
    <row r="2505" spans="3:10" x14ac:dyDescent="0.25">
      <c r="C2505" s="28" t="s">
        <v>5196</v>
      </c>
      <c r="D2505" s="188"/>
      <c r="E2505" s="31"/>
      <c r="F2505" s="185" t="s">
        <v>4360</v>
      </c>
      <c r="G2505" s="186"/>
      <c r="H2505" s="187"/>
      <c r="I2505" s="28"/>
      <c r="J2505" s="184" t="s">
        <v>4360</v>
      </c>
    </row>
    <row r="2506" spans="3:10" x14ac:dyDescent="0.25">
      <c r="C2506" s="28" t="s">
        <v>5197</v>
      </c>
      <c r="D2506" s="188"/>
      <c r="E2506" s="31"/>
      <c r="F2506" s="185" t="s">
        <v>4360</v>
      </c>
      <c r="G2506" s="186"/>
      <c r="H2506" s="187"/>
      <c r="I2506" s="28"/>
      <c r="J2506" s="184" t="s">
        <v>4360</v>
      </c>
    </row>
    <row r="2507" spans="3:10" x14ac:dyDescent="0.25">
      <c r="C2507" s="28" t="s">
        <v>5198</v>
      </c>
      <c r="D2507" s="188"/>
      <c r="E2507" s="31"/>
      <c r="F2507" s="185" t="s">
        <v>4360</v>
      </c>
      <c r="G2507" s="186"/>
      <c r="H2507" s="187"/>
      <c r="I2507" s="28"/>
      <c r="J2507" s="184" t="s">
        <v>4360</v>
      </c>
    </row>
    <row r="2508" spans="3:10" x14ac:dyDescent="0.25">
      <c r="C2508" s="28" t="s">
        <v>5199</v>
      </c>
      <c r="D2508" s="188"/>
      <c r="E2508" s="31"/>
      <c r="F2508" s="185" t="s">
        <v>4360</v>
      </c>
      <c r="G2508" s="186"/>
      <c r="H2508" s="187"/>
      <c r="I2508" s="28"/>
      <c r="J2508" s="184" t="s">
        <v>4360</v>
      </c>
    </row>
    <row r="2509" spans="3:10" x14ac:dyDescent="0.25">
      <c r="C2509" s="28" t="s">
        <v>5200</v>
      </c>
      <c r="D2509" s="188"/>
      <c r="E2509" s="31"/>
      <c r="F2509" s="185" t="s">
        <v>4360</v>
      </c>
      <c r="G2509" s="186"/>
      <c r="H2509" s="187"/>
      <c r="I2509" s="28"/>
      <c r="J2509" s="184" t="s">
        <v>4360</v>
      </c>
    </row>
    <row r="2510" spans="3:10" x14ac:dyDescent="0.25">
      <c r="C2510" s="28" t="s">
        <v>5201</v>
      </c>
      <c r="D2510" s="188"/>
      <c r="E2510" s="31"/>
      <c r="F2510" s="185" t="s">
        <v>4360</v>
      </c>
      <c r="G2510" s="186"/>
      <c r="H2510" s="187"/>
      <c r="I2510" s="28"/>
      <c r="J2510" s="184" t="s">
        <v>4360</v>
      </c>
    </row>
    <row r="2511" spans="3:10" x14ac:dyDescent="0.25">
      <c r="C2511" s="28" t="s">
        <v>5202</v>
      </c>
      <c r="D2511" s="188"/>
      <c r="E2511" s="31"/>
      <c r="F2511" s="185" t="s">
        <v>4360</v>
      </c>
      <c r="G2511" s="186"/>
      <c r="H2511" s="187"/>
      <c r="I2511" s="28"/>
      <c r="J2511" s="184" t="s">
        <v>4360</v>
      </c>
    </row>
    <row r="2512" spans="3:10" x14ac:dyDescent="0.25">
      <c r="C2512" s="28" t="s">
        <v>5203</v>
      </c>
      <c r="D2512" s="188"/>
      <c r="E2512" s="31"/>
      <c r="F2512" s="185" t="s">
        <v>4360</v>
      </c>
      <c r="G2512" s="186"/>
      <c r="H2512" s="187"/>
      <c r="I2512" s="28"/>
      <c r="J2512" s="184" t="s">
        <v>4360</v>
      </c>
    </row>
    <row r="2513" spans="3:10" x14ac:dyDescent="0.25">
      <c r="C2513" s="28" t="s">
        <v>5204</v>
      </c>
      <c r="D2513" s="188"/>
      <c r="E2513" s="31"/>
      <c r="F2513" s="185" t="s">
        <v>4360</v>
      </c>
      <c r="G2513" s="186"/>
      <c r="H2513" s="187"/>
      <c r="I2513" s="28"/>
      <c r="J2513" s="184" t="s">
        <v>4360</v>
      </c>
    </row>
    <row r="2514" spans="3:10" x14ac:dyDescent="0.25">
      <c r="C2514" s="28" t="s">
        <v>5205</v>
      </c>
      <c r="D2514" s="188"/>
      <c r="E2514" s="31"/>
      <c r="F2514" s="185" t="s">
        <v>4360</v>
      </c>
      <c r="G2514" s="186"/>
      <c r="H2514" s="187"/>
      <c r="I2514" s="28"/>
      <c r="J2514" s="184" t="s">
        <v>4360</v>
      </c>
    </row>
    <row r="2515" spans="3:10" x14ac:dyDescent="0.25">
      <c r="C2515" s="28" t="s">
        <v>5206</v>
      </c>
      <c r="D2515" s="188"/>
      <c r="E2515" s="31"/>
      <c r="F2515" s="185" t="s">
        <v>4360</v>
      </c>
      <c r="G2515" s="186"/>
      <c r="H2515" s="187"/>
      <c r="I2515" s="28"/>
      <c r="J2515" s="184" t="s">
        <v>4360</v>
      </c>
    </row>
    <row r="2516" spans="3:10" x14ac:dyDescent="0.25">
      <c r="C2516" s="28" t="s">
        <v>5207</v>
      </c>
      <c r="D2516" s="188"/>
      <c r="E2516" s="31"/>
      <c r="F2516" s="185" t="s">
        <v>4360</v>
      </c>
      <c r="G2516" s="186"/>
      <c r="H2516" s="187"/>
      <c r="I2516" s="28"/>
      <c r="J2516" s="184" t="s">
        <v>4360</v>
      </c>
    </row>
    <row r="2517" spans="3:10" x14ac:dyDescent="0.25">
      <c r="C2517" s="28" t="s">
        <v>5208</v>
      </c>
      <c r="D2517" s="188"/>
      <c r="E2517" s="31"/>
      <c r="F2517" s="185" t="s">
        <v>4360</v>
      </c>
      <c r="G2517" s="186"/>
      <c r="H2517" s="187"/>
      <c r="I2517" s="28"/>
      <c r="J2517" s="184" t="s">
        <v>4360</v>
      </c>
    </row>
    <row r="2518" spans="3:10" x14ac:dyDescent="0.25">
      <c r="C2518" s="28" t="s">
        <v>5209</v>
      </c>
      <c r="D2518" s="188"/>
      <c r="E2518" s="31"/>
      <c r="F2518" s="185" t="s">
        <v>4360</v>
      </c>
      <c r="G2518" s="186"/>
      <c r="H2518" s="187"/>
      <c r="I2518" s="28"/>
      <c r="J2518" s="184" t="s">
        <v>4360</v>
      </c>
    </row>
    <row r="2519" spans="3:10" x14ac:dyDescent="0.25">
      <c r="C2519" s="28" t="s">
        <v>5210</v>
      </c>
      <c r="D2519" s="188"/>
      <c r="E2519" s="31"/>
      <c r="F2519" s="185" t="s">
        <v>4360</v>
      </c>
      <c r="G2519" s="186"/>
      <c r="H2519" s="187"/>
      <c r="I2519" s="28"/>
      <c r="J2519" s="184" t="s">
        <v>4360</v>
      </c>
    </row>
    <row r="2520" spans="3:10" x14ac:dyDescent="0.25">
      <c r="C2520" s="28" t="s">
        <v>5211</v>
      </c>
      <c r="D2520" s="188"/>
      <c r="E2520" s="31"/>
      <c r="F2520" s="185" t="s">
        <v>4360</v>
      </c>
      <c r="G2520" s="186"/>
      <c r="H2520" s="187"/>
      <c r="I2520" s="28"/>
      <c r="J2520" s="184" t="s">
        <v>4360</v>
      </c>
    </row>
    <row r="2521" spans="3:10" x14ac:dyDescent="0.25">
      <c r="C2521" s="28" t="s">
        <v>5212</v>
      </c>
      <c r="D2521" s="188"/>
      <c r="E2521" s="31"/>
      <c r="F2521" s="185" t="s">
        <v>4360</v>
      </c>
      <c r="G2521" s="186"/>
      <c r="H2521" s="187"/>
      <c r="I2521" s="28"/>
      <c r="J2521" s="184" t="s">
        <v>4360</v>
      </c>
    </row>
    <row r="2522" spans="3:10" x14ac:dyDescent="0.25">
      <c r="C2522" s="28" t="s">
        <v>5213</v>
      </c>
      <c r="D2522" s="188"/>
      <c r="E2522" s="31"/>
      <c r="F2522" s="185" t="s">
        <v>4360</v>
      </c>
      <c r="G2522" s="186"/>
      <c r="H2522" s="187"/>
      <c r="I2522" s="28"/>
      <c r="J2522" s="184" t="s">
        <v>4360</v>
      </c>
    </row>
    <row r="2523" spans="3:10" x14ac:dyDescent="0.25">
      <c r="C2523" s="28" t="s">
        <v>5214</v>
      </c>
      <c r="D2523" s="188"/>
      <c r="E2523" s="31"/>
      <c r="F2523" s="185" t="s">
        <v>4360</v>
      </c>
      <c r="G2523" s="186"/>
      <c r="H2523" s="187"/>
      <c r="I2523" s="28"/>
      <c r="J2523" s="184" t="s">
        <v>4360</v>
      </c>
    </row>
    <row r="2524" spans="3:10" x14ac:dyDescent="0.25">
      <c r="C2524" s="28" t="s">
        <v>5215</v>
      </c>
      <c r="D2524" s="188"/>
      <c r="E2524" s="31"/>
      <c r="F2524" s="185" t="s">
        <v>4360</v>
      </c>
      <c r="G2524" s="186"/>
      <c r="H2524" s="187"/>
      <c r="I2524" s="28"/>
      <c r="J2524" s="184" t="s">
        <v>4360</v>
      </c>
    </row>
    <row r="2525" spans="3:10" x14ac:dyDescent="0.25">
      <c r="C2525" s="28" t="s">
        <v>5216</v>
      </c>
      <c r="D2525" s="188"/>
      <c r="E2525" s="31"/>
      <c r="F2525" s="185" t="s">
        <v>4360</v>
      </c>
      <c r="G2525" s="186"/>
      <c r="H2525" s="187"/>
      <c r="I2525" s="28"/>
      <c r="J2525" s="184" t="s">
        <v>4360</v>
      </c>
    </row>
    <row r="2526" spans="3:10" x14ac:dyDescent="0.25">
      <c r="C2526" s="28" t="s">
        <v>5217</v>
      </c>
      <c r="D2526" s="188"/>
      <c r="E2526" s="31"/>
      <c r="F2526" s="185" t="s">
        <v>4360</v>
      </c>
      <c r="G2526" s="186"/>
      <c r="H2526" s="187"/>
      <c r="I2526" s="28"/>
      <c r="J2526" s="184" t="s">
        <v>4360</v>
      </c>
    </row>
    <row r="2527" spans="3:10" x14ac:dyDescent="0.25">
      <c r="C2527" s="28" t="s">
        <v>5218</v>
      </c>
      <c r="D2527" s="188"/>
      <c r="E2527" s="31"/>
      <c r="F2527" s="185" t="s">
        <v>4360</v>
      </c>
      <c r="G2527" s="186"/>
      <c r="H2527" s="187"/>
      <c r="I2527" s="28"/>
      <c r="J2527" s="184" t="s">
        <v>4360</v>
      </c>
    </row>
    <row r="2528" spans="3:10" x14ac:dyDescent="0.25">
      <c r="C2528" s="28" t="s">
        <v>5219</v>
      </c>
      <c r="D2528" s="188"/>
      <c r="E2528" s="31"/>
      <c r="F2528" s="185" t="s">
        <v>4360</v>
      </c>
      <c r="G2528" s="186"/>
      <c r="H2528" s="187"/>
      <c r="I2528" s="28"/>
      <c r="J2528" s="184" t="s">
        <v>4360</v>
      </c>
    </row>
    <row r="2529" spans="3:10" x14ac:dyDescent="0.25">
      <c r="C2529" s="28" t="s">
        <v>5220</v>
      </c>
      <c r="D2529" s="188"/>
      <c r="E2529" s="31"/>
      <c r="F2529" s="185" t="s">
        <v>4360</v>
      </c>
      <c r="G2529" s="186"/>
      <c r="H2529" s="187"/>
      <c r="I2529" s="28"/>
      <c r="J2529" s="184" t="s">
        <v>4360</v>
      </c>
    </row>
    <row r="2530" spans="3:10" x14ac:dyDescent="0.25">
      <c r="C2530" s="28" t="s">
        <v>5221</v>
      </c>
      <c r="D2530" s="188"/>
      <c r="E2530" s="31"/>
      <c r="F2530" s="185" t="s">
        <v>4360</v>
      </c>
      <c r="G2530" s="186"/>
      <c r="H2530" s="187"/>
      <c r="I2530" s="28"/>
      <c r="J2530" s="184" t="s">
        <v>4360</v>
      </c>
    </row>
    <row r="2531" spans="3:10" x14ac:dyDescent="0.25">
      <c r="C2531" s="28" t="s">
        <v>5222</v>
      </c>
      <c r="D2531" s="188"/>
      <c r="E2531" s="31"/>
      <c r="F2531" s="185" t="s">
        <v>4360</v>
      </c>
      <c r="G2531" s="186"/>
      <c r="H2531" s="187"/>
      <c r="I2531" s="28"/>
      <c r="J2531" s="184" t="s">
        <v>4360</v>
      </c>
    </row>
    <row r="2532" spans="3:10" x14ac:dyDescent="0.25">
      <c r="C2532" s="28" t="s">
        <v>5223</v>
      </c>
      <c r="D2532" s="188"/>
      <c r="E2532" s="31"/>
      <c r="F2532" s="185" t="s">
        <v>4360</v>
      </c>
      <c r="G2532" s="186"/>
      <c r="H2532" s="187"/>
      <c r="I2532" s="28"/>
      <c r="J2532" s="184" t="s">
        <v>4360</v>
      </c>
    </row>
    <row r="2533" spans="3:10" x14ac:dyDescent="0.25">
      <c r="C2533" s="28" t="s">
        <v>5224</v>
      </c>
      <c r="D2533" s="188"/>
      <c r="E2533" s="31"/>
      <c r="F2533" s="185" t="s">
        <v>4360</v>
      </c>
      <c r="G2533" s="186"/>
      <c r="H2533" s="187"/>
      <c r="I2533" s="28"/>
      <c r="J2533" s="184" t="s">
        <v>4360</v>
      </c>
    </row>
    <row r="2534" spans="3:10" x14ac:dyDescent="0.25">
      <c r="C2534" s="28" t="s">
        <v>5225</v>
      </c>
      <c r="D2534" s="188"/>
      <c r="E2534" s="31"/>
      <c r="F2534" s="185" t="s">
        <v>4360</v>
      </c>
      <c r="G2534" s="186"/>
      <c r="H2534" s="187"/>
      <c r="I2534" s="28"/>
      <c r="J2534" s="184" t="s">
        <v>4360</v>
      </c>
    </row>
    <row r="2535" spans="3:10" x14ac:dyDescent="0.25">
      <c r="C2535" s="28" t="s">
        <v>5226</v>
      </c>
      <c r="D2535" s="188"/>
      <c r="E2535" s="31"/>
      <c r="F2535" s="185" t="s">
        <v>4360</v>
      </c>
      <c r="G2535" s="186"/>
      <c r="H2535" s="187"/>
      <c r="I2535" s="28"/>
      <c r="J2535" s="184" t="s">
        <v>4360</v>
      </c>
    </row>
    <row r="2536" spans="3:10" x14ac:dyDescent="0.25">
      <c r="C2536" s="28" t="s">
        <v>5227</v>
      </c>
      <c r="D2536" s="188"/>
      <c r="E2536" s="31"/>
      <c r="F2536" s="185" t="s">
        <v>4360</v>
      </c>
      <c r="G2536" s="186"/>
      <c r="H2536" s="187"/>
      <c r="I2536" s="28"/>
      <c r="J2536" s="184" t="s">
        <v>4360</v>
      </c>
    </row>
    <row r="2537" spans="3:10" x14ac:dyDescent="0.25">
      <c r="C2537" s="28" t="s">
        <v>5228</v>
      </c>
      <c r="D2537" s="188"/>
      <c r="E2537" s="31"/>
      <c r="F2537" s="185" t="s">
        <v>4360</v>
      </c>
      <c r="G2537" s="186"/>
      <c r="H2537" s="187"/>
      <c r="I2537" s="28"/>
      <c r="J2537" s="184" t="s">
        <v>4360</v>
      </c>
    </row>
    <row r="2538" spans="3:10" x14ac:dyDescent="0.25">
      <c r="C2538" s="28" t="s">
        <v>5229</v>
      </c>
      <c r="D2538" s="188"/>
      <c r="E2538" s="31"/>
      <c r="F2538" s="185" t="s">
        <v>4360</v>
      </c>
      <c r="G2538" s="186"/>
      <c r="H2538" s="187"/>
      <c r="I2538" s="28"/>
      <c r="J2538" s="184" t="s">
        <v>4360</v>
      </c>
    </row>
    <row r="2539" spans="3:10" x14ac:dyDescent="0.25">
      <c r="C2539" s="28" t="s">
        <v>5230</v>
      </c>
      <c r="D2539" s="188"/>
      <c r="E2539" s="31"/>
      <c r="F2539" s="185" t="s">
        <v>4360</v>
      </c>
      <c r="G2539" s="186"/>
      <c r="H2539" s="187"/>
      <c r="I2539" s="28"/>
      <c r="J2539" s="184" t="s">
        <v>4360</v>
      </c>
    </row>
    <row r="2540" spans="3:10" x14ac:dyDescent="0.25">
      <c r="C2540" s="28" t="s">
        <v>5231</v>
      </c>
      <c r="D2540" s="188"/>
      <c r="E2540" s="31"/>
      <c r="F2540" s="185" t="s">
        <v>4360</v>
      </c>
      <c r="G2540" s="186"/>
      <c r="H2540" s="187"/>
      <c r="I2540" s="28"/>
      <c r="J2540" s="184" t="s">
        <v>4360</v>
      </c>
    </row>
    <row r="2541" spans="3:10" x14ac:dyDescent="0.25">
      <c r="C2541" s="28" t="s">
        <v>5232</v>
      </c>
      <c r="D2541" s="188"/>
      <c r="E2541" s="31"/>
      <c r="F2541" s="185" t="s">
        <v>4360</v>
      </c>
      <c r="G2541" s="186"/>
      <c r="H2541" s="187"/>
      <c r="I2541" s="28"/>
      <c r="J2541" s="184" t="s">
        <v>4360</v>
      </c>
    </row>
    <row r="2542" spans="3:10" x14ac:dyDescent="0.25">
      <c r="C2542" s="28" t="s">
        <v>5233</v>
      </c>
      <c r="D2542" s="188"/>
      <c r="E2542" s="31"/>
      <c r="F2542" s="185" t="s">
        <v>4360</v>
      </c>
      <c r="G2542" s="186"/>
      <c r="H2542" s="187"/>
      <c r="I2542" s="28"/>
      <c r="J2542" s="184" t="s">
        <v>4360</v>
      </c>
    </row>
    <row r="2543" spans="3:10" x14ac:dyDescent="0.25">
      <c r="C2543" s="28" t="s">
        <v>5234</v>
      </c>
      <c r="D2543" s="188"/>
      <c r="E2543" s="31"/>
      <c r="F2543" s="185" t="s">
        <v>4360</v>
      </c>
      <c r="G2543" s="186"/>
      <c r="H2543" s="187"/>
      <c r="I2543" s="28"/>
      <c r="J2543" s="184" t="s">
        <v>4360</v>
      </c>
    </row>
    <row r="2544" spans="3:10" x14ac:dyDescent="0.25">
      <c r="C2544" s="28" t="s">
        <v>5235</v>
      </c>
      <c r="D2544" s="188"/>
      <c r="E2544" s="31"/>
      <c r="F2544" s="185" t="s">
        <v>4360</v>
      </c>
      <c r="G2544" s="186"/>
      <c r="H2544" s="187"/>
      <c r="I2544" s="28"/>
      <c r="J2544" s="184" t="s">
        <v>4360</v>
      </c>
    </row>
    <row r="2545" spans="3:10" x14ac:dyDescent="0.25">
      <c r="C2545" s="28" t="s">
        <v>5236</v>
      </c>
      <c r="D2545" s="188"/>
      <c r="E2545" s="31"/>
      <c r="F2545" s="185" t="s">
        <v>4360</v>
      </c>
      <c r="G2545" s="186"/>
      <c r="H2545" s="187"/>
      <c r="I2545" s="28"/>
      <c r="J2545" s="184" t="s">
        <v>4360</v>
      </c>
    </row>
    <row r="2546" spans="3:10" x14ac:dyDescent="0.25">
      <c r="C2546" s="28" t="s">
        <v>5237</v>
      </c>
      <c r="D2546" s="188"/>
      <c r="E2546" s="31"/>
      <c r="F2546" s="185" t="s">
        <v>4360</v>
      </c>
      <c r="G2546" s="186"/>
      <c r="H2546" s="187"/>
      <c r="I2546" s="28"/>
      <c r="J2546" s="184" t="s">
        <v>4360</v>
      </c>
    </row>
    <row r="2547" spans="3:10" x14ac:dyDescent="0.25">
      <c r="C2547" s="28" t="s">
        <v>5238</v>
      </c>
      <c r="D2547" s="188"/>
      <c r="E2547" s="31"/>
      <c r="F2547" s="185" t="s">
        <v>4360</v>
      </c>
      <c r="G2547" s="186"/>
      <c r="H2547" s="187"/>
      <c r="I2547" s="28"/>
      <c r="J2547" s="184" t="s">
        <v>4360</v>
      </c>
    </row>
    <row r="2548" spans="3:10" x14ac:dyDescent="0.25">
      <c r="C2548" s="28" t="s">
        <v>5239</v>
      </c>
      <c r="D2548" s="188"/>
      <c r="E2548" s="31"/>
      <c r="F2548" s="185" t="s">
        <v>4360</v>
      </c>
      <c r="G2548" s="186"/>
      <c r="H2548" s="187"/>
      <c r="I2548" s="28"/>
      <c r="J2548" s="184" t="s">
        <v>4360</v>
      </c>
    </row>
    <row r="2549" spans="3:10" x14ac:dyDescent="0.25">
      <c r="C2549" s="28" t="s">
        <v>5240</v>
      </c>
      <c r="D2549" s="188"/>
      <c r="E2549" s="31"/>
      <c r="F2549" s="185" t="s">
        <v>4360</v>
      </c>
      <c r="G2549" s="186"/>
      <c r="H2549" s="187"/>
      <c r="I2549" s="28"/>
      <c r="J2549" s="184" t="s">
        <v>4360</v>
      </c>
    </row>
    <row r="2550" spans="3:10" x14ac:dyDescent="0.25">
      <c r="C2550" s="28" t="s">
        <v>5241</v>
      </c>
      <c r="D2550" s="188"/>
      <c r="E2550" s="31"/>
      <c r="F2550" s="185" t="s">
        <v>4360</v>
      </c>
      <c r="G2550" s="186"/>
      <c r="H2550" s="187"/>
      <c r="I2550" s="28"/>
      <c r="J2550" s="184" t="s">
        <v>4360</v>
      </c>
    </row>
    <row r="2551" spans="3:10" x14ac:dyDescent="0.25">
      <c r="C2551" s="28" t="s">
        <v>5242</v>
      </c>
      <c r="D2551" s="188"/>
      <c r="E2551" s="31"/>
      <c r="F2551" s="185" t="s">
        <v>4360</v>
      </c>
      <c r="G2551" s="186"/>
      <c r="H2551" s="187"/>
      <c r="I2551" s="28"/>
      <c r="J2551" s="184" t="s">
        <v>4360</v>
      </c>
    </row>
    <row r="2552" spans="3:10" x14ac:dyDescent="0.25">
      <c r="C2552" s="28" t="s">
        <v>5243</v>
      </c>
      <c r="D2552" s="188"/>
      <c r="E2552" s="31"/>
      <c r="F2552" s="185" t="s">
        <v>4360</v>
      </c>
      <c r="G2552" s="186"/>
      <c r="H2552" s="187"/>
      <c r="I2552" s="28"/>
      <c r="J2552" s="184" t="s">
        <v>4360</v>
      </c>
    </row>
    <row r="2553" spans="3:10" x14ac:dyDescent="0.25">
      <c r="C2553" s="28" t="s">
        <v>5244</v>
      </c>
      <c r="D2553" s="188"/>
      <c r="E2553" s="31"/>
      <c r="F2553" s="185" t="s">
        <v>4360</v>
      </c>
      <c r="G2553" s="186"/>
      <c r="H2553" s="187"/>
      <c r="I2553" s="28"/>
      <c r="J2553" s="184" t="s">
        <v>4360</v>
      </c>
    </row>
    <row r="2554" spans="3:10" x14ac:dyDescent="0.25">
      <c r="C2554" s="28" t="s">
        <v>963</v>
      </c>
      <c r="D2554" s="188"/>
      <c r="E2554" s="31"/>
      <c r="F2554" s="185" t="s">
        <v>4360</v>
      </c>
      <c r="G2554" s="186"/>
      <c r="H2554" s="187"/>
      <c r="I2554" s="28"/>
      <c r="J2554" s="184" t="s">
        <v>4360</v>
      </c>
    </row>
    <row r="2555" spans="3:10" x14ac:dyDescent="0.25">
      <c r="C2555" s="28" t="s">
        <v>965</v>
      </c>
      <c r="D2555" s="188"/>
      <c r="E2555" s="31"/>
      <c r="F2555" s="185" t="s">
        <v>4360</v>
      </c>
      <c r="G2555" s="186"/>
      <c r="H2555" s="187"/>
      <c r="I2555" s="28"/>
      <c r="J2555" s="184" t="s">
        <v>4360</v>
      </c>
    </row>
    <row r="2556" spans="3:10" x14ac:dyDescent="0.25">
      <c r="C2556" s="28" t="s">
        <v>966</v>
      </c>
      <c r="D2556" s="188"/>
      <c r="E2556" s="31"/>
      <c r="F2556" s="185" t="s">
        <v>4360</v>
      </c>
      <c r="G2556" s="186"/>
      <c r="H2556" s="187"/>
      <c r="I2556" s="28"/>
      <c r="J2556" s="184" t="s">
        <v>4360</v>
      </c>
    </row>
    <row r="2557" spans="3:10" x14ac:dyDescent="0.25">
      <c r="C2557" s="28" t="s">
        <v>964</v>
      </c>
      <c r="D2557" s="188"/>
      <c r="E2557" s="31"/>
      <c r="F2557" s="185" t="s">
        <v>4360</v>
      </c>
      <c r="G2557" s="186"/>
      <c r="H2557" s="187"/>
      <c r="I2557" s="28"/>
      <c r="J2557" s="184" t="s">
        <v>4360</v>
      </c>
    </row>
    <row r="2558" spans="3:10" x14ac:dyDescent="0.25">
      <c r="C2558" s="28" t="s">
        <v>969</v>
      </c>
      <c r="D2558" s="188"/>
      <c r="E2558" s="31"/>
      <c r="F2558" s="185" t="s">
        <v>4360</v>
      </c>
      <c r="G2558" s="186"/>
      <c r="H2558" s="187"/>
      <c r="I2558" s="28"/>
      <c r="J2558" s="184" t="s">
        <v>4360</v>
      </c>
    </row>
    <row r="2559" spans="3:10" x14ac:dyDescent="0.25">
      <c r="C2559" s="28" t="s">
        <v>970</v>
      </c>
      <c r="D2559" s="188"/>
      <c r="E2559" s="31"/>
      <c r="F2559" s="185" t="s">
        <v>4360</v>
      </c>
      <c r="G2559" s="186"/>
      <c r="H2559" s="187"/>
      <c r="I2559" s="28"/>
      <c r="J2559" s="184" t="s">
        <v>4360</v>
      </c>
    </row>
    <row r="2560" spans="3:10" x14ac:dyDescent="0.25">
      <c r="C2560" s="28" t="s">
        <v>971</v>
      </c>
      <c r="D2560" s="188"/>
      <c r="E2560" s="31"/>
      <c r="F2560" s="185" t="s">
        <v>4360</v>
      </c>
      <c r="G2560" s="186"/>
      <c r="H2560" s="187"/>
      <c r="I2560" s="28"/>
      <c r="J2560" s="184" t="s">
        <v>4360</v>
      </c>
    </row>
    <row r="2561" spans="3:10" x14ac:dyDescent="0.25">
      <c r="C2561" s="28" t="s">
        <v>972</v>
      </c>
      <c r="D2561" s="188"/>
      <c r="E2561" s="31"/>
      <c r="F2561" s="185" t="s">
        <v>4360</v>
      </c>
      <c r="G2561" s="186"/>
      <c r="H2561" s="187"/>
      <c r="I2561" s="28"/>
      <c r="J2561" s="184" t="s">
        <v>4360</v>
      </c>
    </row>
    <row r="2562" spans="3:10" x14ac:dyDescent="0.25">
      <c r="C2562" s="28" t="s">
        <v>973</v>
      </c>
      <c r="D2562" s="188"/>
      <c r="E2562" s="31"/>
      <c r="F2562" s="185" t="s">
        <v>4360</v>
      </c>
      <c r="G2562" s="186"/>
      <c r="H2562" s="187"/>
      <c r="I2562" s="28"/>
      <c r="J2562" s="184" t="s">
        <v>4360</v>
      </c>
    </row>
    <row r="2563" spans="3:10" x14ac:dyDescent="0.25">
      <c r="C2563" s="28" t="s">
        <v>974</v>
      </c>
      <c r="D2563" s="188"/>
      <c r="E2563" s="31"/>
      <c r="F2563" s="185" t="s">
        <v>4360</v>
      </c>
      <c r="G2563" s="186"/>
      <c r="H2563" s="187"/>
      <c r="I2563" s="28"/>
      <c r="J2563" s="184" t="s">
        <v>4360</v>
      </c>
    </row>
    <row r="2564" spans="3:10" x14ac:dyDescent="0.25">
      <c r="C2564" s="28" t="s">
        <v>1019</v>
      </c>
      <c r="D2564" s="188"/>
      <c r="E2564" s="31"/>
      <c r="F2564" s="185" t="s">
        <v>4360</v>
      </c>
      <c r="G2564" s="186"/>
      <c r="H2564" s="187"/>
      <c r="I2564" s="28"/>
      <c r="J2564" s="184" t="s">
        <v>4360</v>
      </c>
    </row>
    <row r="2565" spans="3:10" x14ac:dyDescent="0.25">
      <c r="C2565" s="28" t="s">
        <v>1020</v>
      </c>
      <c r="D2565" s="188"/>
      <c r="E2565" s="31"/>
      <c r="F2565" s="185" t="s">
        <v>4360</v>
      </c>
      <c r="G2565" s="186"/>
      <c r="H2565" s="187"/>
      <c r="I2565" s="28"/>
      <c r="J2565" s="184" t="s">
        <v>4360</v>
      </c>
    </row>
    <row r="2566" spans="3:10" x14ac:dyDescent="0.25">
      <c r="C2566" s="28" t="s">
        <v>1015</v>
      </c>
      <c r="D2566" s="188"/>
      <c r="E2566" s="31"/>
      <c r="F2566" s="185" t="s">
        <v>4360</v>
      </c>
      <c r="G2566" s="186"/>
      <c r="H2566" s="187"/>
      <c r="I2566" s="28"/>
      <c r="J2566" s="184" t="s">
        <v>4360</v>
      </c>
    </row>
    <row r="2567" spans="3:10" x14ac:dyDescent="0.25">
      <c r="C2567" s="28" t="s">
        <v>967</v>
      </c>
      <c r="D2567" s="188"/>
      <c r="E2567" s="31"/>
      <c r="F2567" s="185" t="s">
        <v>4360</v>
      </c>
      <c r="G2567" s="186"/>
      <c r="H2567" s="187"/>
      <c r="I2567" s="28"/>
      <c r="J2567" s="184" t="s">
        <v>4360</v>
      </c>
    </row>
    <row r="2568" spans="3:10" x14ac:dyDescent="0.25">
      <c r="C2568" s="28" t="s">
        <v>968</v>
      </c>
      <c r="D2568" s="188"/>
      <c r="E2568" s="31"/>
      <c r="F2568" s="185" t="s">
        <v>4360</v>
      </c>
      <c r="G2568" s="186"/>
      <c r="H2568" s="187"/>
      <c r="I2568" s="28"/>
      <c r="J2568" s="184" t="s">
        <v>4360</v>
      </c>
    </row>
    <row r="2569" spans="3:10" x14ac:dyDescent="0.25">
      <c r="C2569" s="28" t="s">
        <v>1016</v>
      </c>
      <c r="D2569" s="188"/>
      <c r="E2569" s="31"/>
      <c r="F2569" s="185" t="s">
        <v>4360</v>
      </c>
      <c r="G2569" s="186"/>
      <c r="H2569" s="187"/>
      <c r="I2569" s="28"/>
      <c r="J2569" s="184" t="s">
        <v>4360</v>
      </c>
    </row>
    <row r="2570" spans="3:10" x14ac:dyDescent="0.25">
      <c r="C2570" s="28" t="s">
        <v>1003</v>
      </c>
      <c r="D2570" s="188"/>
      <c r="E2570" s="31"/>
      <c r="F2570" s="185" t="s">
        <v>4360</v>
      </c>
      <c r="G2570" s="186"/>
      <c r="H2570" s="187"/>
      <c r="I2570" s="28"/>
      <c r="J2570" s="184" t="s">
        <v>4360</v>
      </c>
    </row>
    <row r="2571" spans="3:10" x14ac:dyDescent="0.25">
      <c r="C2571" s="28" t="s">
        <v>1002</v>
      </c>
      <c r="D2571" s="188"/>
      <c r="E2571" s="31"/>
      <c r="F2571" s="185" t="s">
        <v>4360</v>
      </c>
      <c r="G2571" s="186"/>
      <c r="H2571" s="187"/>
      <c r="I2571" s="28"/>
      <c r="J2571" s="184" t="s">
        <v>4360</v>
      </c>
    </row>
    <row r="2572" spans="3:10" x14ac:dyDescent="0.25">
      <c r="C2572" s="28" t="s">
        <v>1001</v>
      </c>
      <c r="D2572" s="188"/>
      <c r="E2572" s="31"/>
      <c r="F2572" s="185" t="s">
        <v>4360</v>
      </c>
      <c r="G2572" s="186"/>
      <c r="H2572" s="187"/>
      <c r="I2572" s="28"/>
      <c r="J2572" s="184" t="s">
        <v>4360</v>
      </c>
    </row>
    <row r="2573" spans="3:10" x14ac:dyDescent="0.25">
      <c r="C2573" s="28" t="s">
        <v>1017</v>
      </c>
      <c r="D2573" s="188"/>
      <c r="E2573" s="31"/>
      <c r="F2573" s="185" t="s">
        <v>4360</v>
      </c>
      <c r="G2573" s="186"/>
      <c r="H2573" s="187"/>
      <c r="I2573" s="28"/>
      <c r="J2573" s="184" t="s">
        <v>4360</v>
      </c>
    </row>
    <row r="2574" spans="3:10" x14ac:dyDescent="0.25">
      <c r="C2574" s="28" t="s">
        <v>1018</v>
      </c>
      <c r="D2574" s="188"/>
      <c r="E2574" s="31"/>
      <c r="F2574" s="185" t="s">
        <v>4360</v>
      </c>
      <c r="G2574" s="186"/>
      <c r="H2574" s="187"/>
      <c r="I2574" s="28"/>
      <c r="J2574" s="184" t="s">
        <v>4360</v>
      </c>
    </row>
    <row r="2575" spans="3:10" x14ac:dyDescent="0.25">
      <c r="C2575" s="28" t="s">
        <v>1014</v>
      </c>
      <c r="D2575" s="188"/>
      <c r="E2575" s="31"/>
      <c r="F2575" s="185" t="s">
        <v>4360</v>
      </c>
      <c r="G2575" s="186"/>
      <c r="H2575" s="187"/>
      <c r="I2575" s="28"/>
      <c r="J2575" s="184" t="s">
        <v>4360</v>
      </c>
    </row>
    <row r="2576" spans="3:10" x14ac:dyDescent="0.25">
      <c r="C2576" s="28" t="s">
        <v>1009</v>
      </c>
      <c r="D2576" s="188"/>
      <c r="E2576" s="31"/>
      <c r="F2576" s="185" t="s">
        <v>4360</v>
      </c>
      <c r="G2576" s="186"/>
      <c r="H2576" s="187"/>
      <c r="I2576" s="28"/>
      <c r="J2576" s="184" t="s">
        <v>4360</v>
      </c>
    </row>
    <row r="2577" spans="3:10" x14ac:dyDescent="0.25">
      <c r="C2577" s="28" t="s">
        <v>1008</v>
      </c>
      <c r="D2577" s="188"/>
      <c r="E2577" s="31"/>
      <c r="F2577" s="185" t="s">
        <v>4360</v>
      </c>
      <c r="G2577" s="186"/>
      <c r="H2577" s="187"/>
      <c r="I2577" s="28"/>
      <c r="J2577" s="184" t="s">
        <v>4360</v>
      </c>
    </row>
    <row r="2578" spans="3:10" x14ac:dyDescent="0.25">
      <c r="C2578" s="28" t="s">
        <v>1007</v>
      </c>
      <c r="D2578" s="188"/>
      <c r="E2578" s="31"/>
      <c r="F2578" s="185" t="s">
        <v>4360</v>
      </c>
      <c r="G2578" s="186"/>
      <c r="H2578" s="187"/>
      <c r="I2578" s="28"/>
      <c r="J2578" s="184" t="s">
        <v>4360</v>
      </c>
    </row>
    <row r="2579" spans="3:10" x14ac:dyDescent="0.25">
      <c r="C2579" s="28" t="s">
        <v>1006</v>
      </c>
      <c r="D2579" s="188"/>
      <c r="E2579" s="31"/>
      <c r="F2579" s="185" t="s">
        <v>4360</v>
      </c>
      <c r="G2579" s="186"/>
      <c r="H2579" s="187"/>
      <c r="I2579" s="28"/>
      <c r="J2579" s="184" t="s">
        <v>4360</v>
      </c>
    </row>
    <row r="2580" spans="3:10" x14ac:dyDescent="0.25">
      <c r="C2580" s="28" t="s">
        <v>1005</v>
      </c>
      <c r="D2580" s="188"/>
      <c r="E2580" s="31"/>
      <c r="F2580" s="185" t="s">
        <v>4360</v>
      </c>
      <c r="G2580" s="186"/>
      <c r="H2580" s="187"/>
      <c r="I2580" s="28"/>
      <c r="J2580" s="184" t="s">
        <v>4360</v>
      </c>
    </row>
    <row r="2581" spans="3:10" x14ac:dyDescent="0.25">
      <c r="C2581" s="28" t="s">
        <v>1004</v>
      </c>
      <c r="D2581" s="188"/>
      <c r="E2581" s="31"/>
      <c r="F2581" s="185" t="s">
        <v>4360</v>
      </c>
      <c r="G2581" s="186"/>
      <c r="H2581" s="187"/>
      <c r="I2581" s="28"/>
      <c r="J2581" s="184" t="s">
        <v>4360</v>
      </c>
    </row>
    <row r="2582" spans="3:10" x14ac:dyDescent="0.25">
      <c r="C2582" s="28" t="s">
        <v>998</v>
      </c>
      <c r="D2582" s="188"/>
      <c r="E2582" s="31"/>
      <c r="F2582" s="185" t="s">
        <v>4360</v>
      </c>
      <c r="G2582" s="186"/>
      <c r="H2582" s="187"/>
      <c r="I2582" s="28"/>
      <c r="J2582" s="184" t="s">
        <v>4360</v>
      </c>
    </row>
    <row r="2583" spans="3:10" x14ac:dyDescent="0.25">
      <c r="C2583" s="28" t="s">
        <v>999</v>
      </c>
      <c r="D2583" s="188"/>
      <c r="E2583" s="31"/>
      <c r="F2583" s="185" t="s">
        <v>4360</v>
      </c>
      <c r="G2583" s="186"/>
      <c r="H2583" s="187"/>
      <c r="I2583" s="28"/>
      <c r="J2583" s="184" t="s">
        <v>4360</v>
      </c>
    </row>
    <row r="2584" spans="3:10" x14ac:dyDescent="0.25">
      <c r="C2584" s="28" t="s">
        <v>1000</v>
      </c>
      <c r="D2584" s="188"/>
      <c r="E2584" s="31"/>
      <c r="F2584" s="185" t="s">
        <v>4360</v>
      </c>
      <c r="G2584" s="186"/>
      <c r="H2584" s="187"/>
      <c r="I2584" s="28"/>
      <c r="J2584" s="184" t="s">
        <v>4360</v>
      </c>
    </row>
    <row r="2585" spans="3:10" x14ac:dyDescent="0.25">
      <c r="C2585" s="28" t="s">
        <v>1012</v>
      </c>
      <c r="D2585" s="188"/>
      <c r="E2585" s="31"/>
      <c r="F2585" s="185" t="s">
        <v>4360</v>
      </c>
      <c r="G2585" s="186"/>
      <c r="H2585" s="187"/>
      <c r="I2585" s="28"/>
      <c r="J2585" s="184" t="s">
        <v>4360</v>
      </c>
    </row>
    <row r="2586" spans="3:10" x14ac:dyDescent="0.25">
      <c r="C2586" s="28" t="s">
        <v>1011</v>
      </c>
      <c r="D2586" s="188"/>
      <c r="E2586" s="31"/>
      <c r="F2586" s="185" t="s">
        <v>4360</v>
      </c>
      <c r="G2586" s="186"/>
      <c r="H2586" s="187"/>
      <c r="I2586" s="28"/>
      <c r="J2586" s="184" t="s">
        <v>4360</v>
      </c>
    </row>
    <row r="2587" spans="3:10" x14ac:dyDescent="0.25">
      <c r="C2587" s="28" t="s">
        <v>1010</v>
      </c>
      <c r="D2587" s="188"/>
      <c r="E2587" s="31"/>
      <c r="F2587" s="185" t="s">
        <v>4360</v>
      </c>
      <c r="G2587" s="186"/>
      <c r="H2587" s="187"/>
      <c r="I2587" s="28"/>
      <c r="J2587" s="184" t="s">
        <v>4360</v>
      </c>
    </row>
    <row r="2588" spans="3:10" x14ac:dyDescent="0.25">
      <c r="C2588" s="28" t="s">
        <v>992</v>
      </c>
      <c r="D2588" s="188"/>
      <c r="E2588" s="31"/>
      <c r="F2588" s="185" t="s">
        <v>4360</v>
      </c>
      <c r="G2588" s="186"/>
      <c r="H2588" s="187"/>
      <c r="I2588" s="28"/>
      <c r="J2588" s="184" t="s">
        <v>4360</v>
      </c>
    </row>
    <row r="2589" spans="3:10" x14ac:dyDescent="0.25">
      <c r="C2589" s="28" t="s">
        <v>993</v>
      </c>
      <c r="D2589" s="188"/>
      <c r="E2589" s="31"/>
      <c r="F2589" s="185" t="s">
        <v>4360</v>
      </c>
      <c r="G2589" s="186"/>
      <c r="H2589" s="187"/>
      <c r="I2589" s="28"/>
      <c r="J2589" s="184" t="s">
        <v>4360</v>
      </c>
    </row>
    <row r="2590" spans="3:10" x14ac:dyDescent="0.25">
      <c r="C2590" s="28" t="s">
        <v>994</v>
      </c>
      <c r="D2590" s="188"/>
      <c r="E2590" s="31"/>
      <c r="F2590" s="185" t="s">
        <v>4360</v>
      </c>
      <c r="G2590" s="186"/>
      <c r="H2590" s="187"/>
      <c r="I2590" s="28"/>
      <c r="J2590" s="184" t="s">
        <v>4360</v>
      </c>
    </row>
    <row r="2591" spans="3:10" x14ac:dyDescent="0.25">
      <c r="C2591" s="28" t="s">
        <v>995</v>
      </c>
      <c r="D2591" s="188"/>
      <c r="E2591" s="31"/>
      <c r="F2591" s="185" t="s">
        <v>4360</v>
      </c>
      <c r="G2591" s="186"/>
      <c r="H2591" s="187"/>
      <c r="I2591" s="28"/>
      <c r="J2591" s="184" t="s">
        <v>4360</v>
      </c>
    </row>
    <row r="2592" spans="3:10" x14ac:dyDescent="0.25">
      <c r="C2592" s="28" t="s">
        <v>996</v>
      </c>
      <c r="D2592" s="188"/>
      <c r="E2592" s="31"/>
      <c r="F2592" s="185" t="s">
        <v>4360</v>
      </c>
      <c r="G2592" s="186"/>
      <c r="H2592" s="187"/>
      <c r="I2592" s="28"/>
      <c r="J2592" s="184" t="s">
        <v>4360</v>
      </c>
    </row>
    <row r="2593" spans="3:10" x14ac:dyDescent="0.25">
      <c r="C2593" s="28" t="s">
        <v>997</v>
      </c>
      <c r="D2593" s="188"/>
      <c r="E2593" s="31"/>
      <c r="F2593" s="185" t="s">
        <v>4360</v>
      </c>
      <c r="G2593" s="186"/>
      <c r="H2593" s="187"/>
      <c r="I2593" s="28"/>
      <c r="J2593" s="184" t="s">
        <v>4360</v>
      </c>
    </row>
    <row r="2594" spans="3:10" x14ac:dyDescent="0.25">
      <c r="C2594" s="28" t="s">
        <v>986</v>
      </c>
      <c r="D2594" s="188"/>
      <c r="E2594" s="31"/>
      <c r="F2594" s="185" t="s">
        <v>4360</v>
      </c>
      <c r="G2594" s="186"/>
      <c r="H2594" s="187"/>
      <c r="I2594" s="28"/>
      <c r="J2594" s="184" t="s">
        <v>4360</v>
      </c>
    </row>
    <row r="2595" spans="3:10" x14ac:dyDescent="0.25">
      <c r="C2595" s="28" t="s">
        <v>987</v>
      </c>
      <c r="D2595" s="188"/>
      <c r="E2595" s="31"/>
      <c r="F2595" s="185" t="s">
        <v>4360</v>
      </c>
      <c r="G2595" s="186"/>
      <c r="H2595" s="187"/>
      <c r="I2595" s="28"/>
      <c r="J2595" s="184" t="s">
        <v>4360</v>
      </c>
    </row>
    <row r="2596" spans="3:10" x14ac:dyDescent="0.25">
      <c r="C2596" s="28" t="s">
        <v>988</v>
      </c>
      <c r="D2596" s="188"/>
      <c r="E2596" s="31"/>
      <c r="F2596" s="185" t="s">
        <v>4360</v>
      </c>
      <c r="G2596" s="186"/>
      <c r="H2596" s="187"/>
      <c r="I2596" s="28"/>
      <c r="J2596" s="184" t="s">
        <v>4360</v>
      </c>
    </row>
    <row r="2597" spans="3:10" x14ac:dyDescent="0.25">
      <c r="C2597" s="28" t="s">
        <v>989</v>
      </c>
      <c r="D2597" s="188"/>
      <c r="E2597" s="31"/>
      <c r="F2597" s="185" t="s">
        <v>4360</v>
      </c>
      <c r="G2597" s="186"/>
      <c r="H2597" s="187"/>
      <c r="I2597" s="28"/>
      <c r="J2597" s="184" t="s">
        <v>4360</v>
      </c>
    </row>
    <row r="2598" spans="3:10" x14ac:dyDescent="0.25">
      <c r="C2598" s="28" t="s">
        <v>990</v>
      </c>
      <c r="D2598" s="188"/>
      <c r="E2598" s="31"/>
      <c r="F2598" s="185" t="s">
        <v>4360</v>
      </c>
      <c r="G2598" s="186"/>
      <c r="H2598" s="187"/>
      <c r="I2598" s="28"/>
      <c r="J2598" s="184" t="s">
        <v>4360</v>
      </c>
    </row>
    <row r="2599" spans="3:10" x14ac:dyDescent="0.25">
      <c r="C2599" s="28" t="s">
        <v>991</v>
      </c>
      <c r="D2599" s="188"/>
      <c r="E2599" s="31"/>
      <c r="F2599" s="185" t="s">
        <v>4360</v>
      </c>
      <c r="G2599" s="186"/>
      <c r="H2599" s="187"/>
      <c r="I2599" s="28"/>
      <c r="J2599" s="184" t="s">
        <v>4360</v>
      </c>
    </row>
    <row r="2600" spans="3:10" x14ac:dyDescent="0.25">
      <c r="C2600" s="28" t="s">
        <v>980</v>
      </c>
      <c r="D2600" s="188"/>
      <c r="E2600" s="31"/>
      <c r="F2600" s="185" t="s">
        <v>4360</v>
      </c>
      <c r="G2600" s="186"/>
      <c r="H2600" s="187"/>
      <c r="I2600" s="28"/>
      <c r="J2600" s="184" t="s">
        <v>4360</v>
      </c>
    </row>
    <row r="2601" spans="3:10" x14ac:dyDescent="0.25">
      <c r="C2601" s="28" t="s">
        <v>981</v>
      </c>
      <c r="D2601" s="188"/>
      <c r="E2601" s="31"/>
      <c r="F2601" s="185" t="s">
        <v>4360</v>
      </c>
      <c r="G2601" s="186"/>
      <c r="H2601" s="187"/>
      <c r="I2601" s="28"/>
      <c r="J2601" s="184" t="s">
        <v>4360</v>
      </c>
    </row>
    <row r="2602" spans="3:10" x14ac:dyDescent="0.25">
      <c r="C2602" s="28" t="s">
        <v>982</v>
      </c>
      <c r="D2602" s="188"/>
      <c r="E2602" s="31"/>
      <c r="F2602" s="185" t="s">
        <v>4360</v>
      </c>
      <c r="G2602" s="186"/>
      <c r="H2602" s="187"/>
      <c r="I2602" s="28"/>
      <c r="J2602" s="184" t="s">
        <v>4360</v>
      </c>
    </row>
    <row r="2603" spans="3:10" x14ac:dyDescent="0.25">
      <c r="C2603" s="28" t="s">
        <v>983</v>
      </c>
      <c r="D2603" s="188"/>
      <c r="E2603" s="31"/>
      <c r="F2603" s="185" t="s">
        <v>4360</v>
      </c>
      <c r="G2603" s="186"/>
      <c r="H2603" s="187"/>
      <c r="I2603" s="28"/>
      <c r="J2603" s="184" t="s">
        <v>4360</v>
      </c>
    </row>
    <row r="2604" spans="3:10" x14ac:dyDescent="0.25">
      <c r="C2604" s="28" t="s">
        <v>984</v>
      </c>
      <c r="D2604" s="188"/>
      <c r="E2604" s="31"/>
      <c r="F2604" s="185" t="s">
        <v>4360</v>
      </c>
      <c r="G2604" s="186"/>
      <c r="H2604" s="187"/>
      <c r="I2604" s="28"/>
      <c r="J2604" s="184" t="s">
        <v>4360</v>
      </c>
    </row>
    <row r="2605" spans="3:10" x14ac:dyDescent="0.25">
      <c r="C2605" s="28" t="s">
        <v>985</v>
      </c>
      <c r="D2605" s="188"/>
      <c r="E2605" s="31"/>
      <c r="F2605" s="185" t="s">
        <v>4360</v>
      </c>
      <c r="G2605" s="186"/>
      <c r="H2605" s="187"/>
      <c r="I2605" s="28"/>
      <c r="J2605" s="184" t="s">
        <v>4360</v>
      </c>
    </row>
    <row r="2606" spans="3:10" x14ac:dyDescent="0.25">
      <c r="C2606" s="28" t="s">
        <v>975</v>
      </c>
      <c r="D2606" s="188"/>
      <c r="E2606" s="31"/>
      <c r="F2606" s="185" t="s">
        <v>4360</v>
      </c>
      <c r="G2606" s="186"/>
      <c r="H2606" s="187"/>
      <c r="I2606" s="28"/>
      <c r="J2606" s="184" t="s">
        <v>4360</v>
      </c>
    </row>
    <row r="2607" spans="3:10" x14ac:dyDescent="0.25">
      <c r="C2607" s="28" t="s">
        <v>976</v>
      </c>
      <c r="D2607" s="188"/>
      <c r="E2607" s="31"/>
      <c r="F2607" s="185" t="s">
        <v>4360</v>
      </c>
      <c r="G2607" s="186"/>
      <c r="H2607" s="187"/>
      <c r="I2607" s="28"/>
      <c r="J2607" s="184" t="s">
        <v>4360</v>
      </c>
    </row>
    <row r="2608" spans="3:10" x14ac:dyDescent="0.25">
      <c r="C2608" s="28" t="s">
        <v>1013</v>
      </c>
      <c r="D2608" s="188"/>
      <c r="E2608" s="31"/>
      <c r="F2608" s="185" t="s">
        <v>4360</v>
      </c>
      <c r="G2608" s="186"/>
      <c r="H2608" s="187"/>
      <c r="I2608" s="28"/>
      <c r="J2608" s="184" t="s">
        <v>4360</v>
      </c>
    </row>
    <row r="2609" spans="3:10" x14ac:dyDescent="0.25">
      <c r="C2609" s="28" t="s">
        <v>977</v>
      </c>
      <c r="D2609" s="188"/>
      <c r="E2609" s="31"/>
      <c r="F2609" s="185" t="s">
        <v>4360</v>
      </c>
      <c r="G2609" s="186"/>
      <c r="H2609" s="187"/>
      <c r="I2609" s="28"/>
      <c r="J2609" s="184" t="s">
        <v>4360</v>
      </c>
    </row>
    <row r="2610" spans="3:10" x14ac:dyDescent="0.25">
      <c r="C2610" s="28" t="s">
        <v>978</v>
      </c>
      <c r="D2610" s="188"/>
      <c r="E2610" s="31"/>
      <c r="F2610" s="185" t="s">
        <v>4360</v>
      </c>
      <c r="G2610" s="186"/>
      <c r="H2610" s="187"/>
      <c r="I2610" s="28"/>
      <c r="J2610" s="184" t="s">
        <v>4360</v>
      </c>
    </row>
    <row r="2611" spans="3:10" x14ac:dyDescent="0.25">
      <c r="C2611" s="28" t="s">
        <v>979</v>
      </c>
      <c r="D2611" s="188"/>
      <c r="E2611" s="31"/>
      <c r="F2611" s="185" t="s">
        <v>4360</v>
      </c>
      <c r="G2611" s="186"/>
      <c r="H2611" s="187"/>
      <c r="I2611" s="28"/>
      <c r="J2611" s="184" t="s">
        <v>4360</v>
      </c>
    </row>
    <row r="2612" spans="3:10" x14ac:dyDescent="0.25">
      <c r="C2612" s="28" t="s">
        <v>1021</v>
      </c>
      <c r="D2612" s="188"/>
      <c r="E2612" s="31"/>
      <c r="F2612" s="185" t="s">
        <v>4360</v>
      </c>
      <c r="G2612" s="186"/>
      <c r="H2612" s="187"/>
      <c r="I2612" s="28"/>
      <c r="J2612" s="184" t="s">
        <v>4360</v>
      </c>
    </row>
    <row r="2613" spans="3:10" x14ac:dyDescent="0.25">
      <c r="C2613" s="28" t="s">
        <v>1022</v>
      </c>
      <c r="D2613" s="188"/>
      <c r="E2613" s="31"/>
      <c r="F2613" s="185" t="s">
        <v>4360</v>
      </c>
      <c r="G2613" s="186"/>
      <c r="H2613" s="187"/>
      <c r="I2613" s="28"/>
      <c r="J2613" s="184" t="s">
        <v>4360</v>
      </c>
    </row>
    <row r="2614" spans="3:10" x14ac:dyDescent="0.25">
      <c r="C2614" s="28" t="s">
        <v>1024</v>
      </c>
      <c r="D2614" s="188"/>
      <c r="E2614" s="31"/>
      <c r="F2614" s="185" t="s">
        <v>4360</v>
      </c>
      <c r="G2614" s="186"/>
      <c r="H2614" s="187"/>
      <c r="I2614" s="28"/>
      <c r="J2614" s="184" t="s">
        <v>4360</v>
      </c>
    </row>
    <row r="2615" spans="3:10" x14ac:dyDescent="0.25">
      <c r="C2615" s="28" t="s">
        <v>1025</v>
      </c>
      <c r="D2615" s="188"/>
      <c r="E2615" s="31"/>
      <c r="F2615" s="185" t="s">
        <v>4360</v>
      </c>
      <c r="G2615" s="186"/>
      <c r="H2615" s="187"/>
      <c r="I2615" s="28"/>
      <c r="J2615" s="184" t="s">
        <v>4360</v>
      </c>
    </row>
    <row r="2616" spans="3:10" x14ac:dyDescent="0.25">
      <c r="C2616" s="28" t="s">
        <v>1023</v>
      </c>
      <c r="D2616" s="188"/>
      <c r="E2616" s="31"/>
      <c r="F2616" s="185" t="s">
        <v>4360</v>
      </c>
      <c r="G2616" s="186"/>
      <c r="H2616" s="187"/>
      <c r="I2616" s="28"/>
      <c r="J2616" s="184" t="s">
        <v>4360</v>
      </c>
    </row>
    <row r="2617" spans="3:10" x14ac:dyDescent="0.25">
      <c r="C2617" s="28" t="s">
        <v>1026</v>
      </c>
      <c r="D2617" s="188"/>
      <c r="E2617" s="31"/>
      <c r="F2617" s="185" t="s">
        <v>4360</v>
      </c>
      <c r="G2617" s="186"/>
      <c r="H2617" s="187"/>
      <c r="I2617" s="28"/>
      <c r="J2617" s="184" t="s">
        <v>4360</v>
      </c>
    </row>
    <row r="2618" spans="3:10" x14ac:dyDescent="0.25">
      <c r="C2618" s="28" t="s">
        <v>1027</v>
      </c>
      <c r="D2618" s="188"/>
      <c r="E2618" s="31"/>
      <c r="F2618" s="185" t="s">
        <v>4360</v>
      </c>
      <c r="G2618" s="186"/>
      <c r="H2618" s="187"/>
      <c r="I2618" s="28"/>
      <c r="J2618" s="184" t="s">
        <v>4360</v>
      </c>
    </row>
    <row r="2619" spans="3:10" x14ac:dyDescent="0.25">
      <c r="C2619" s="28" t="s">
        <v>1028</v>
      </c>
      <c r="D2619" s="188"/>
      <c r="E2619" s="31"/>
      <c r="F2619" s="185" t="s">
        <v>4360</v>
      </c>
      <c r="G2619" s="186"/>
      <c r="H2619" s="187"/>
      <c r="I2619" s="28"/>
      <c r="J2619" s="184" t="s">
        <v>4360</v>
      </c>
    </row>
    <row r="2620" spans="3:10" x14ac:dyDescent="0.25">
      <c r="C2620" s="28" t="s">
        <v>1029</v>
      </c>
      <c r="D2620" s="188"/>
      <c r="E2620" s="31"/>
      <c r="F2620" s="185" t="s">
        <v>4360</v>
      </c>
      <c r="G2620" s="186"/>
      <c r="H2620" s="187"/>
      <c r="I2620" s="28"/>
      <c r="J2620" s="184" t="s">
        <v>4360</v>
      </c>
    </row>
    <row r="2621" spans="3:10" x14ac:dyDescent="0.25">
      <c r="C2621" s="28" t="s">
        <v>1031</v>
      </c>
      <c r="D2621" s="188"/>
      <c r="E2621" s="31"/>
      <c r="F2621" s="185" t="s">
        <v>4360</v>
      </c>
      <c r="G2621" s="186"/>
      <c r="H2621" s="187"/>
      <c r="I2621" s="28"/>
      <c r="J2621" s="184" t="s">
        <v>4360</v>
      </c>
    </row>
    <row r="2622" spans="3:10" x14ac:dyDescent="0.25">
      <c r="C2622" s="28" t="s">
        <v>1033</v>
      </c>
      <c r="D2622" s="188"/>
      <c r="E2622" s="31"/>
      <c r="F2622" s="185" t="s">
        <v>4360</v>
      </c>
      <c r="G2622" s="186"/>
      <c r="H2622" s="187"/>
      <c r="I2622" s="28"/>
      <c r="J2622" s="184" t="s">
        <v>4360</v>
      </c>
    </row>
    <row r="2623" spans="3:10" x14ac:dyDescent="0.25">
      <c r="C2623" s="28" t="s">
        <v>1032</v>
      </c>
      <c r="D2623" s="188"/>
      <c r="E2623" s="31"/>
      <c r="F2623" s="185" t="s">
        <v>4360</v>
      </c>
      <c r="G2623" s="186"/>
      <c r="H2623" s="187"/>
      <c r="I2623" s="28"/>
      <c r="J2623" s="184" t="s">
        <v>4360</v>
      </c>
    </row>
    <row r="2624" spans="3:10" x14ac:dyDescent="0.25">
      <c r="C2624" s="28" t="s">
        <v>1034</v>
      </c>
      <c r="D2624" s="188"/>
      <c r="E2624" s="31"/>
      <c r="F2624" s="185" t="s">
        <v>4360</v>
      </c>
      <c r="G2624" s="186"/>
      <c r="H2624" s="187"/>
      <c r="I2624" s="28"/>
      <c r="J2624" s="184" t="s">
        <v>4360</v>
      </c>
    </row>
    <row r="2625" spans="3:10" x14ac:dyDescent="0.25">
      <c r="C2625" s="28" t="s">
        <v>1030</v>
      </c>
      <c r="D2625" s="188"/>
      <c r="E2625" s="31"/>
      <c r="F2625" s="185" t="s">
        <v>4360</v>
      </c>
      <c r="G2625" s="186"/>
      <c r="H2625" s="187"/>
      <c r="I2625" s="28"/>
      <c r="J2625" s="184" t="s">
        <v>4360</v>
      </c>
    </row>
    <row r="2626" spans="3:10" x14ac:dyDescent="0.25">
      <c r="C2626" s="28" t="s">
        <v>4654</v>
      </c>
      <c r="D2626" s="188"/>
      <c r="E2626" s="31"/>
      <c r="F2626" s="185" t="s">
        <v>4360</v>
      </c>
      <c r="G2626" s="186"/>
      <c r="H2626" s="187"/>
      <c r="I2626" s="28"/>
      <c r="J2626" s="184" t="s">
        <v>4360</v>
      </c>
    </row>
    <row r="2627" spans="3:10" x14ac:dyDescent="0.25">
      <c r="C2627" s="28" t="s">
        <v>4655</v>
      </c>
      <c r="D2627" s="188"/>
      <c r="E2627" s="31"/>
      <c r="F2627" s="185" t="s">
        <v>4360</v>
      </c>
      <c r="G2627" s="186"/>
      <c r="H2627" s="187"/>
      <c r="I2627" s="28"/>
      <c r="J2627" s="184" t="s">
        <v>4360</v>
      </c>
    </row>
    <row r="2628" spans="3:10" x14ac:dyDescent="0.25">
      <c r="C2628" s="28" t="s">
        <v>4656</v>
      </c>
      <c r="D2628" s="188"/>
      <c r="E2628" s="31"/>
      <c r="F2628" s="185" t="s">
        <v>4360</v>
      </c>
      <c r="G2628" s="186"/>
      <c r="H2628" s="187"/>
      <c r="I2628" s="28"/>
      <c r="J2628" s="184" t="s">
        <v>4360</v>
      </c>
    </row>
    <row r="2629" spans="3:10" x14ac:dyDescent="0.25">
      <c r="C2629" s="28" t="s">
        <v>4657</v>
      </c>
      <c r="D2629" s="188"/>
      <c r="E2629" s="31"/>
      <c r="F2629" s="185" t="s">
        <v>4360</v>
      </c>
      <c r="G2629" s="186"/>
      <c r="H2629" s="187"/>
      <c r="I2629" s="28"/>
      <c r="J2629" s="184" t="s">
        <v>4360</v>
      </c>
    </row>
    <row r="2630" spans="3:10" x14ac:dyDescent="0.25">
      <c r="C2630" s="28" t="s">
        <v>4658</v>
      </c>
      <c r="D2630" s="188"/>
      <c r="E2630" s="31"/>
      <c r="F2630" s="185" t="s">
        <v>4360</v>
      </c>
      <c r="G2630" s="186"/>
      <c r="H2630" s="187"/>
      <c r="I2630" s="28"/>
      <c r="J2630" s="184" t="s">
        <v>4360</v>
      </c>
    </row>
    <row r="2631" spans="3:10" x14ac:dyDescent="0.25">
      <c r="C2631" s="28" t="s">
        <v>4659</v>
      </c>
      <c r="D2631" s="188"/>
      <c r="E2631" s="31"/>
      <c r="F2631" s="185" t="s">
        <v>4360</v>
      </c>
      <c r="G2631" s="186"/>
      <c r="H2631" s="187"/>
      <c r="I2631" s="28"/>
      <c r="J2631" s="184" t="s">
        <v>4360</v>
      </c>
    </row>
    <row r="2632" spans="3:10" x14ac:dyDescent="0.25">
      <c r="C2632" s="28" t="s">
        <v>4660</v>
      </c>
      <c r="D2632" s="188"/>
      <c r="E2632" s="31"/>
      <c r="F2632" s="185" t="s">
        <v>4360</v>
      </c>
      <c r="G2632" s="186"/>
      <c r="H2632" s="187"/>
      <c r="I2632" s="28"/>
      <c r="J2632" s="184" t="s">
        <v>4360</v>
      </c>
    </row>
    <row r="2633" spans="3:10" x14ac:dyDescent="0.25">
      <c r="C2633" s="28" t="s">
        <v>4645</v>
      </c>
      <c r="D2633" s="188"/>
      <c r="E2633" s="31"/>
      <c r="F2633" s="185" t="s">
        <v>4360</v>
      </c>
      <c r="G2633" s="186"/>
      <c r="H2633" s="187"/>
      <c r="I2633" s="28"/>
      <c r="J2633" s="184" t="s">
        <v>4360</v>
      </c>
    </row>
    <row r="2634" spans="3:10" x14ac:dyDescent="0.25">
      <c r="C2634" s="28" t="s">
        <v>4661</v>
      </c>
      <c r="D2634" s="188"/>
      <c r="E2634" s="31"/>
      <c r="F2634" s="185" t="s">
        <v>4360</v>
      </c>
      <c r="G2634" s="186"/>
      <c r="H2634" s="187"/>
      <c r="I2634" s="28"/>
      <c r="J2634" s="184" t="s">
        <v>4360</v>
      </c>
    </row>
    <row r="2635" spans="3:10" x14ac:dyDescent="0.25">
      <c r="C2635" s="28" t="s">
        <v>4662</v>
      </c>
      <c r="D2635" s="188"/>
      <c r="E2635" s="31"/>
      <c r="F2635" s="185" t="s">
        <v>4360</v>
      </c>
      <c r="G2635" s="186"/>
      <c r="H2635" s="187"/>
      <c r="I2635" s="28"/>
      <c r="J2635" s="184" t="s">
        <v>4360</v>
      </c>
    </row>
    <row r="2636" spans="3:10" x14ac:dyDescent="0.25">
      <c r="C2636" s="28" t="s">
        <v>4663</v>
      </c>
      <c r="D2636" s="188"/>
      <c r="E2636" s="31"/>
      <c r="F2636" s="185" t="s">
        <v>4360</v>
      </c>
      <c r="G2636" s="186"/>
      <c r="H2636" s="187"/>
      <c r="I2636" s="28"/>
      <c r="J2636" s="184" t="s">
        <v>4360</v>
      </c>
    </row>
    <row r="2637" spans="3:10" x14ac:dyDescent="0.25">
      <c r="C2637" s="28" t="s">
        <v>4664</v>
      </c>
      <c r="D2637" s="188"/>
      <c r="E2637" s="31"/>
      <c r="F2637" s="185" t="s">
        <v>4360</v>
      </c>
      <c r="G2637" s="186"/>
      <c r="H2637" s="187"/>
      <c r="I2637" s="28"/>
      <c r="J2637" s="184" t="s">
        <v>4360</v>
      </c>
    </row>
    <row r="2638" spans="3:10" x14ac:dyDescent="0.25">
      <c r="C2638" s="28" t="s">
        <v>4646</v>
      </c>
      <c r="D2638" s="188"/>
      <c r="E2638" s="31"/>
      <c r="F2638" s="185" t="s">
        <v>4360</v>
      </c>
      <c r="G2638" s="186"/>
      <c r="H2638" s="187"/>
      <c r="I2638" s="28"/>
      <c r="J2638" s="184" t="s">
        <v>4360</v>
      </c>
    </row>
    <row r="2639" spans="3:10" x14ac:dyDescent="0.25">
      <c r="C2639" s="28" t="s">
        <v>4647</v>
      </c>
      <c r="D2639" s="188"/>
      <c r="E2639" s="31"/>
      <c r="F2639" s="185" t="s">
        <v>4360</v>
      </c>
      <c r="G2639" s="186"/>
      <c r="H2639" s="187"/>
      <c r="I2639" s="28"/>
      <c r="J2639" s="184" t="s">
        <v>4360</v>
      </c>
    </row>
    <row r="2640" spans="3:10" x14ac:dyDescent="0.25">
      <c r="C2640" s="28" t="s">
        <v>4648</v>
      </c>
      <c r="D2640" s="188"/>
      <c r="E2640" s="31"/>
      <c r="F2640" s="185" t="s">
        <v>4360</v>
      </c>
      <c r="G2640" s="186"/>
      <c r="H2640" s="187"/>
      <c r="I2640" s="28"/>
      <c r="J2640" s="184" t="s">
        <v>4360</v>
      </c>
    </row>
    <row r="2641" spans="3:10" x14ac:dyDescent="0.25">
      <c r="C2641" s="28" t="s">
        <v>4649</v>
      </c>
      <c r="D2641" s="188"/>
      <c r="E2641" s="31"/>
      <c r="F2641" s="185" t="s">
        <v>4360</v>
      </c>
      <c r="G2641" s="186"/>
      <c r="H2641" s="187"/>
      <c r="I2641" s="28"/>
      <c r="J2641" s="184" t="s">
        <v>4360</v>
      </c>
    </row>
    <row r="2642" spans="3:10" x14ac:dyDescent="0.25">
      <c r="C2642" s="28" t="s">
        <v>4665</v>
      </c>
      <c r="D2642" s="188"/>
      <c r="E2642" s="31"/>
      <c r="F2642" s="185" t="s">
        <v>4360</v>
      </c>
      <c r="G2642" s="186"/>
      <c r="H2642" s="187"/>
      <c r="I2642" s="28"/>
      <c r="J2642" s="184" t="s">
        <v>4360</v>
      </c>
    </row>
    <row r="2643" spans="3:10" x14ac:dyDescent="0.25">
      <c r="C2643" s="28" t="s">
        <v>4666</v>
      </c>
      <c r="D2643" s="188"/>
      <c r="E2643" s="31"/>
      <c r="F2643" s="185" t="s">
        <v>4360</v>
      </c>
      <c r="G2643" s="186"/>
      <c r="H2643" s="187"/>
      <c r="I2643" s="28"/>
      <c r="J2643" s="184" t="s">
        <v>4360</v>
      </c>
    </row>
    <row r="2644" spans="3:10" x14ac:dyDescent="0.25">
      <c r="C2644" s="28" t="s">
        <v>4667</v>
      </c>
      <c r="D2644" s="188"/>
      <c r="E2644" s="31"/>
      <c r="F2644" s="185" t="s">
        <v>4360</v>
      </c>
      <c r="G2644" s="186"/>
      <c r="H2644" s="187"/>
      <c r="I2644" s="28"/>
      <c r="J2644" s="184" t="s">
        <v>4360</v>
      </c>
    </row>
    <row r="2645" spans="3:10" x14ac:dyDescent="0.25">
      <c r="C2645" s="28" t="s">
        <v>4668</v>
      </c>
      <c r="D2645" s="188"/>
      <c r="E2645" s="31"/>
      <c r="F2645" s="185" t="s">
        <v>4360</v>
      </c>
      <c r="G2645" s="186"/>
      <c r="H2645" s="187"/>
      <c r="I2645" s="28"/>
      <c r="J2645" s="184" t="s">
        <v>4360</v>
      </c>
    </row>
    <row r="2646" spans="3:10" x14ac:dyDescent="0.25">
      <c r="C2646" s="28" t="s">
        <v>4669</v>
      </c>
      <c r="D2646" s="188"/>
      <c r="E2646" s="31"/>
      <c r="F2646" s="185" t="s">
        <v>4360</v>
      </c>
      <c r="G2646" s="186"/>
      <c r="H2646" s="187"/>
      <c r="I2646" s="28"/>
      <c r="J2646" s="184" t="s">
        <v>4360</v>
      </c>
    </row>
    <row r="2647" spans="3:10" x14ac:dyDescent="0.25">
      <c r="C2647" s="28" t="s">
        <v>4670</v>
      </c>
      <c r="D2647" s="188"/>
      <c r="E2647" s="31"/>
      <c r="F2647" s="185" t="s">
        <v>4360</v>
      </c>
      <c r="G2647" s="186"/>
      <c r="H2647" s="187"/>
      <c r="I2647" s="28"/>
      <c r="J2647" s="184" t="s">
        <v>4360</v>
      </c>
    </row>
    <row r="2648" spans="3:10" x14ac:dyDescent="0.25">
      <c r="C2648" s="28" t="s">
        <v>4671</v>
      </c>
      <c r="D2648" s="188"/>
      <c r="E2648" s="31"/>
      <c r="F2648" s="185" t="s">
        <v>4360</v>
      </c>
      <c r="G2648" s="186"/>
      <c r="H2648" s="187"/>
      <c r="I2648" s="28"/>
      <c r="J2648" s="184" t="s">
        <v>4360</v>
      </c>
    </row>
    <row r="2649" spans="3:10" x14ac:dyDescent="0.25">
      <c r="C2649" s="28" t="s">
        <v>4672</v>
      </c>
      <c r="D2649" s="188"/>
      <c r="E2649" s="31"/>
      <c r="F2649" s="185" t="s">
        <v>4360</v>
      </c>
      <c r="G2649" s="186"/>
      <c r="H2649" s="187"/>
      <c r="I2649" s="28"/>
      <c r="J2649" s="184" t="s">
        <v>4360</v>
      </c>
    </row>
    <row r="2650" spans="3:10" x14ac:dyDescent="0.25">
      <c r="C2650" s="28" t="s">
        <v>4673</v>
      </c>
      <c r="D2650" s="188"/>
      <c r="E2650" s="31"/>
      <c r="F2650" s="185" t="s">
        <v>4360</v>
      </c>
      <c r="G2650" s="186"/>
      <c r="H2650" s="187"/>
      <c r="I2650" s="28"/>
      <c r="J2650" s="184" t="s">
        <v>4360</v>
      </c>
    </row>
    <row r="2651" spans="3:10" x14ac:dyDescent="0.25">
      <c r="C2651" s="28" t="s">
        <v>4674</v>
      </c>
      <c r="D2651" s="188"/>
      <c r="E2651" s="31"/>
      <c r="F2651" s="185" t="s">
        <v>4360</v>
      </c>
      <c r="G2651" s="186"/>
      <c r="H2651" s="187"/>
      <c r="I2651" s="28"/>
      <c r="J2651" s="184" t="s">
        <v>4360</v>
      </c>
    </row>
    <row r="2652" spans="3:10" x14ac:dyDescent="0.25">
      <c r="C2652" s="28" t="s">
        <v>4675</v>
      </c>
      <c r="D2652" s="188"/>
      <c r="E2652" s="31"/>
      <c r="F2652" s="185" t="s">
        <v>4360</v>
      </c>
      <c r="G2652" s="186"/>
      <c r="H2652" s="187"/>
      <c r="I2652" s="28"/>
      <c r="J2652" s="184" t="s">
        <v>4360</v>
      </c>
    </row>
    <row r="2653" spans="3:10" x14ac:dyDescent="0.25">
      <c r="C2653" s="28" t="s">
        <v>4676</v>
      </c>
      <c r="D2653" s="188"/>
      <c r="E2653" s="31"/>
      <c r="F2653" s="185" t="s">
        <v>4360</v>
      </c>
      <c r="G2653" s="186"/>
      <c r="H2653" s="187"/>
      <c r="I2653" s="28"/>
      <c r="J2653" s="184" t="s">
        <v>4360</v>
      </c>
    </row>
    <row r="2654" spans="3:10" x14ac:dyDescent="0.25">
      <c r="C2654" s="28" t="s">
        <v>4677</v>
      </c>
      <c r="D2654" s="188"/>
      <c r="E2654" s="31"/>
      <c r="F2654" s="185" t="s">
        <v>4360</v>
      </c>
      <c r="G2654" s="186"/>
      <c r="H2654" s="187"/>
      <c r="I2654" s="28"/>
      <c r="J2654" s="184" t="s">
        <v>4360</v>
      </c>
    </row>
    <row r="2655" spans="3:10" x14ac:dyDescent="0.25">
      <c r="C2655" s="28" t="s">
        <v>4678</v>
      </c>
      <c r="D2655" s="188"/>
      <c r="E2655" s="31"/>
      <c r="F2655" s="185" t="s">
        <v>4360</v>
      </c>
      <c r="G2655" s="186"/>
      <c r="H2655" s="187"/>
      <c r="I2655" s="28"/>
      <c r="J2655" s="184" t="s">
        <v>4360</v>
      </c>
    </row>
    <row r="2656" spans="3:10" x14ac:dyDescent="0.25">
      <c r="C2656" s="28" t="s">
        <v>4679</v>
      </c>
      <c r="D2656" s="188"/>
      <c r="E2656" s="31"/>
      <c r="F2656" s="185" t="s">
        <v>4360</v>
      </c>
      <c r="G2656" s="186"/>
      <c r="H2656" s="187"/>
      <c r="I2656" s="28"/>
      <c r="J2656" s="184" t="s">
        <v>4360</v>
      </c>
    </row>
    <row r="2657" spans="3:10" x14ac:dyDescent="0.25">
      <c r="C2657" s="28" t="s">
        <v>4680</v>
      </c>
      <c r="D2657" s="188"/>
      <c r="E2657" s="31"/>
      <c r="F2657" s="185" t="s">
        <v>4360</v>
      </c>
      <c r="G2657" s="186"/>
      <c r="H2657" s="187"/>
      <c r="I2657" s="28"/>
      <c r="J2657" s="184" t="s">
        <v>4360</v>
      </c>
    </row>
    <row r="2658" spans="3:10" x14ac:dyDescent="0.25">
      <c r="C2658" s="28" t="s">
        <v>4681</v>
      </c>
      <c r="D2658" s="188"/>
      <c r="E2658" s="31"/>
      <c r="F2658" s="185" t="s">
        <v>4360</v>
      </c>
      <c r="G2658" s="186"/>
      <c r="H2658" s="187"/>
      <c r="I2658" s="28"/>
      <c r="J2658" s="184" t="s">
        <v>4360</v>
      </c>
    </row>
    <row r="2659" spans="3:10" x14ac:dyDescent="0.25">
      <c r="C2659" s="28" t="s">
        <v>4682</v>
      </c>
      <c r="D2659" s="188"/>
      <c r="E2659" s="31"/>
      <c r="F2659" s="185" t="s">
        <v>4360</v>
      </c>
      <c r="G2659" s="186"/>
      <c r="H2659" s="187"/>
      <c r="I2659" s="28"/>
      <c r="J2659" s="184" t="s">
        <v>4360</v>
      </c>
    </row>
    <row r="2660" spans="3:10" x14ac:dyDescent="0.25">
      <c r="C2660" s="28" t="s">
        <v>4683</v>
      </c>
      <c r="D2660" s="188"/>
      <c r="E2660" s="31"/>
      <c r="F2660" s="185" t="s">
        <v>4360</v>
      </c>
      <c r="G2660" s="186"/>
      <c r="H2660" s="187"/>
      <c r="I2660" s="28"/>
      <c r="J2660" s="184" t="s">
        <v>4360</v>
      </c>
    </row>
    <row r="2661" spans="3:10" x14ac:dyDescent="0.25">
      <c r="C2661" s="28" t="s">
        <v>4684</v>
      </c>
      <c r="D2661" s="188"/>
      <c r="E2661" s="31"/>
      <c r="F2661" s="185" t="s">
        <v>4360</v>
      </c>
      <c r="G2661" s="186"/>
      <c r="H2661" s="187"/>
      <c r="I2661" s="28"/>
      <c r="J2661" s="184" t="s">
        <v>4360</v>
      </c>
    </row>
    <row r="2662" spans="3:10" x14ac:dyDescent="0.25">
      <c r="C2662" s="28" t="s">
        <v>4685</v>
      </c>
      <c r="D2662" s="188"/>
      <c r="E2662" s="31"/>
      <c r="F2662" s="185" t="s">
        <v>4360</v>
      </c>
      <c r="G2662" s="186"/>
      <c r="H2662" s="187"/>
      <c r="I2662" s="28"/>
      <c r="J2662" s="184" t="s">
        <v>4360</v>
      </c>
    </row>
    <row r="2663" spans="3:10" x14ac:dyDescent="0.25">
      <c r="C2663" s="28" t="s">
        <v>4686</v>
      </c>
      <c r="D2663" s="188"/>
      <c r="E2663" s="31"/>
      <c r="F2663" s="185" t="s">
        <v>4360</v>
      </c>
      <c r="G2663" s="186"/>
      <c r="H2663" s="187"/>
      <c r="I2663" s="28"/>
      <c r="J2663" s="184" t="s">
        <v>4360</v>
      </c>
    </row>
    <row r="2664" spans="3:10" x14ac:dyDescent="0.25">
      <c r="C2664" s="28" t="s">
        <v>4687</v>
      </c>
      <c r="D2664" s="188"/>
      <c r="E2664" s="31"/>
      <c r="F2664" s="185" t="s">
        <v>4360</v>
      </c>
      <c r="G2664" s="186"/>
      <c r="H2664" s="187"/>
      <c r="I2664" s="28"/>
      <c r="J2664" s="184" t="s">
        <v>4360</v>
      </c>
    </row>
    <row r="2665" spans="3:10" x14ac:dyDescent="0.25">
      <c r="C2665" s="28" t="s">
        <v>4688</v>
      </c>
      <c r="D2665" s="188"/>
      <c r="E2665" s="31"/>
      <c r="F2665" s="185" t="s">
        <v>4360</v>
      </c>
      <c r="G2665" s="186"/>
      <c r="H2665" s="187"/>
      <c r="I2665" s="28"/>
      <c r="J2665" s="184" t="s">
        <v>4360</v>
      </c>
    </row>
    <row r="2666" spans="3:10" x14ac:dyDescent="0.25">
      <c r="C2666" s="28" t="s">
        <v>4689</v>
      </c>
      <c r="D2666" s="188"/>
      <c r="E2666" s="31"/>
      <c r="F2666" s="185" t="s">
        <v>4360</v>
      </c>
      <c r="G2666" s="186"/>
      <c r="H2666" s="187"/>
      <c r="I2666" s="28"/>
      <c r="J2666" s="184" t="s">
        <v>4360</v>
      </c>
    </row>
    <row r="2667" spans="3:10" x14ac:dyDescent="0.25">
      <c r="C2667" s="28" t="s">
        <v>4690</v>
      </c>
      <c r="D2667" s="188"/>
      <c r="E2667" s="31"/>
      <c r="F2667" s="185" t="s">
        <v>4360</v>
      </c>
      <c r="G2667" s="186"/>
      <c r="H2667" s="187"/>
      <c r="I2667" s="28"/>
      <c r="J2667" s="184" t="s">
        <v>4360</v>
      </c>
    </row>
    <row r="2668" spans="3:10" x14ac:dyDescent="0.25">
      <c r="C2668" s="28" t="s">
        <v>4691</v>
      </c>
      <c r="D2668" s="188"/>
      <c r="E2668" s="31"/>
      <c r="F2668" s="185" t="s">
        <v>4360</v>
      </c>
      <c r="G2668" s="186"/>
      <c r="H2668" s="187"/>
      <c r="I2668" s="28"/>
      <c r="J2668" s="184" t="s">
        <v>4360</v>
      </c>
    </row>
    <row r="2669" spans="3:10" x14ac:dyDescent="0.25">
      <c r="C2669" s="28" t="s">
        <v>4692</v>
      </c>
      <c r="D2669" s="188"/>
      <c r="E2669" s="31"/>
      <c r="F2669" s="185" t="s">
        <v>4360</v>
      </c>
      <c r="G2669" s="186"/>
      <c r="H2669" s="187"/>
      <c r="I2669" s="28"/>
      <c r="J2669" s="184" t="s">
        <v>4360</v>
      </c>
    </row>
    <row r="2670" spans="3:10" x14ac:dyDescent="0.25">
      <c r="C2670" s="28" t="s">
        <v>4693</v>
      </c>
      <c r="D2670" s="188"/>
      <c r="E2670" s="31"/>
      <c r="F2670" s="185" t="s">
        <v>4360</v>
      </c>
      <c r="G2670" s="186"/>
      <c r="H2670" s="187"/>
      <c r="I2670" s="28"/>
      <c r="J2670" s="184" t="s">
        <v>4360</v>
      </c>
    </row>
    <row r="2671" spans="3:10" x14ac:dyDescent="0.25">
      <c r="C2671" s="28" t="s">
        <v>4694</v>
      </c>
      <c r="D2671" s="188"/>
      <c r="E2671" s="31"/>
      <c r="F2671" s="185" t="s">
        <v>4360</v>
      </c>
      <c r="G2671" s="186"/>
      <c r="H2671" s="187"/>
      <c r="I2671" s="28"/>
      <c r="J2671" s="184" t="s">
        <v>4360</v>
      </c>
    </row>
    <row r="2672" spans="3:10" x14ac:dyDescent="0.25">
      <c r="C2672" s="28" t="s">
        <v>4695</v>
      </c>
      <c r="D2672" s="188"/>
      <c r="E2672" s="31"/>
      <c r="F2672" s="185" t="s">
        <v>4360</v>
      </c>
      <c r="G2672" s="186"/>
      <c r="H2672" s="187"/>
      <c r="I2672" s="28"/>
      <c r="J2672" s="184" t="s">
        <v>4360</v>
      </c>
    </row>
    <row r="2673" spans="3:10" x14ac:dyDescent="0.25">
      <c r="C2673" s="28" t="s">
        <v>4696</v>
      </c>
      <c r="D2673" s="188"/>
      <c r="E2673" s="31"/>
      <c r="F2673" s="185" t="s">
        <v>4360</v>
      </c>
      <c r="G2673" s="186"/>
      <c r="H2673" s="187"/>
      <c r="I2673" s="28"/>
      <c r="J2673" s="184" t="s">
        <v>4360</v>
      </c>
    </row>
    <row r="2674" spans="3:10" x14ac:dyDescent="0.25">
      <c r="C2674" s="28" t="s">
        <v>4697</v>
      </c>
      <c r="D2674" s="188"/>
      <c r="E2674" s="31"/>
      <c r="F2674" s="185" t="s">
        <v>4360</v>
      </c>
      <c r="G2674" s="186"/>
      <c r="H2674" s="187"/>
      <c r="I2674" s="28"/>
      <c r="J2674" s="184" t="s">
        <v>4360</v>
      </c>
    </row>
    <row r="2675" spans="3:10" x14ac:dyDescent="0.25">
      <c r="C2675" s="28" t="s">
        <v>4698</v>
      </c>
      <c r="D2675" s="188"/>
      <c r="E2675" s="31"/>
      <c r="F2675" s="185" t="s">
        <v>4360</v>
      </c>
      <c r="G2675" s="186"/>
      <c r="H2675" s="187"/>
      <c r="I2675" s="28"/>
      <c r="J2675" s="184" t="s">
        <v>4360</v>
      </c>
    </row>
    <row r="2676" spans="3:10" x14ac:dyDescent="0.25">
      <c r="C2676" s="28" t="s">
        <v>4699</v>
      </c>
      <c r="D2676" s="188"/>
      <c r="E2676" s="31"/>
      <c r="F2676" s="185" t="s">
        <v>4360</v>
      </c>
      <c r="G2676" s="186"/>
      <c r="H2676" s="187"/>
      <c r="I2676" s="28"/>
      <c r="J2676" s="184" t="s">
        <v>4360</v>
      </c>
    </row>
    <row r="2677" spans="3:10" x14ac:dyDescent="0.25">
      <c r="C2677" s="28" t="s">
        <v>4700</v>
      </c>
      <c r="D2677" s="188"/>
      <c r="E2677" s="31"/>
      <c r="F2677" s="185" t="s">
        <v>4360</v>
      </c>
      <c r="G2677" s="186"/>
      <c r="H2677" s="187"/>
      <c r="I2677" s="28"/>
      <c r="J2677" s="184" t="s">
        <v>4360</v>
      </c>
    </row>
    <row r="2678" spans="3:10" x14ac:dyDescent="0.25">
      <c r="C2678" s="28" t="s">
        <v>4701</v>
      </c>
      <c r="D2678" s="188"/>
      <c r="E2678" s="31"/>
      <c r="F2678" s="185" t="s">
        <v>4360</v>
      </c>
      <c r="G2678" s="186"/>
      <c r="H2678" s="187"/>
      <c r="I2678" s="28"/>
      <c r="J2678" s="184" t="s">
        <v>4360</v>
      </c>
    </row>
    <row r="2679" spans="3:10" x14ac:dyDescent="0.25">
      <c r="C2679" s="28" t="s">
        <v>4702</v>
      </c>
      <c r="D2679" s="188"/>
      <c r="E2679" s="31"/>
      <c r="F2679" s="185" t="s">
        <v>4360</v>
      </c>
      <c r="G2679" s="186"/>
      <c r="H2679" s="187"/>
      <c r="I2679" s="28"/>
      <c r="J2679" s="184" t="s">
        <v>4360</v>
      </c>
    </row>
    <row r="2680" spans="3:10" x14ac:dyDescent="0.25">
      <c r="C2680" s="28" t="s">
        <v>4703</v>
      </c>
      <c r="D2680" s="188"/>
      <c r="E2680" s="31"/>
      <c r="F2680" s="185" t="s">
        <v>4360</v>
      </c>
      <c r="G2680" s="186"/>
      <c r="H2680" s="187"/>
      <c r="I2680" s="28"/>
      <c r="J2680" s="184" t="s">
        <v>4360</v>
      </c>
    </row>
    <row r="2681" spans="3:10" x14ac:dyDescent="0.25">
      <c r="C2681" s="28" t="s">
        <v>4704</v>
      </c>
      <c r="D2681" s="188"/>
      <c r="E2681" s="31"/>
      <c r="F2681" s="185" t="s">
        <v>4360</v>
      </c>
      <c r="G2681" s="186"/>
      <c r="H2681" s="187"/>
      <c r="I2681" s="28"/>
      <c r="J2681" s="184" t="s">
        <v>4360</v>
      </c>
    </row>
    <row r="2682" spans="3:10" x14ac:dyDescent="0.25">
      <c r="C2682" s="28" t="s">
        <v>4705</v>
      </c>
      <c r="D2682" s="188"/>
      <c r="E2682" s="31"/>
      <c r="F2682" s="185" t="s">
        <v>4360</v>
      </c>
      <c r="G2682" s="186"/>
      <c r="H2682" s="187"/>
      <c r="I2682" s="28"/>
      <c r="J2682" s="184" t="s">
        <v>4360</v>
      </c>
    </row>
    <row r="2683" spans="3:10" x14ac:dyDescent="0.25">
      <c r="C2683" s="28" t="s">
        <v>4706</v>
      </c>
      <c r="D2683" s="188"/>
      <c r="E2683" s="31"/>
      <c r="F2683" s="185" t="s">
        <v>4360</v>
      </c>
      <c r="G2683" s="186"/>
      <c r="H2683" s="187"/>
      <c r="I2683" s="28"/>
      <c r="J2683" s="184" t="s">
        <v>4360</v>
      </c>
    </row>
    <row r="2684" spans="3:10" x14ac:dyDescent="0.25">
      <c r="C2684" s="28" t="s">
        <v>4707</v>
      </c>
      <c r="D2684" s="188"/>
      <c r="E2684" s="31"/>
      <c r="F2684" s="185" t="s">
        <v>4360</v>
      </c>
      <c r="G2684" s="186"/>
      <c r="H2684" s="187"/>
      <c r="I2684" s="28"/>
      <c r="J2684" s="184" t="s">
        <v>4360</v>
      </c>
    </row>
    <row r="2685" spans="3:10" x14ac:dyDescent="0.25">
      <c r="C2685" s="28" t="s">
        <v>4708</v>
      </c>
      <c r="D2685" s="188"/>
      <c r="E2685" s="31"/>
      <c r="F2685" s="185" t="s">
        <v>4360</v>
      </c>
      <c r="G2685" s="186"/>
      <c r="H2685" s="187"/>
      <c r="I2685" s="28"/>
      <c r="J2685" s="184" t="s">
        <v>4360</v>
      </c>
    </row>
    <row r="2686" spans="3:10" x14ac:dyDescent="0.25">
      <c r="C2686" s="28" t="s">
        <v>4709</v>
      </c>
      <c r="D2686" s="188"/>
      <c r="E2686" s="31"/>
      <c r="F2686" s="185" t="s">
        <v>4360</v>
      </c>
      <c r="G2686" s="186"/>
      <c r="H2686" s="187"/>
      <c r="I2686" s="28"/>
      <c r="J2686" s="184" t="s">
        <v>4360</v>
      </c>
    </row>
    <row r="2687" spans="3:10" x14ac:dyDescent="0.25">
      <c r="C2687" s="28" t="s">
        <v>4710</v>
      </c>
      <c r="D2687" s="188"/>
      <c r="E2687" s="31"/>
      <c r="F2687" s="185" t="s">
        <v>4360</v>
      </c>
      <c r="G2687" s="186"/>
      <c r="H2687" s="187"/>
      <c r="I2687" s="28"/>
      <c r="J2687" s="184" t="s">
        <v>4360</v>
      </c>
    </row>
    <row r="2688" spans="3:10" x14ac:dyDescent="0.25">
      <c r="C2688" s="28" t="s">
        <v>4711</v>
      </c>
      <c r="D2688" s="188"/>
      <c r="E2688" s="31"/>
      <c r="F2688" s="185" t="s">
        <v>4360</v>
      </c>
      <c r="G2688" s="186"/>
      <c r="H2688" s="187"/>
      <c r="I2688" s="28"/>
      <c r="J2688" s="184" t="s">
        <v>4360</v>
      </c>
    </row>
    <row r="2689" spans="3:10" x14ac:dyDescent="0.25">
      <c r="C2689" s="28" t="s">
        <v>4650</v>
      </c>
      <c r="D2689" s="188"/>
      <c r="E2689" s="31"/>
      <c r="F2689" s="185" t="s">
        <v>4360</v>
      </c>
      <c r="G2689" s="186"/>
      <c r="H2689" s="187"/>
      <c r="I2689" s="28"/>
      <c r="J2689" s="184" t="s">
        <v>4360</v>
      </c>
    </row>
    <row r="2690" spans="3:10" x14ac:dyDescent="0.25">
      <c r="C2690" s="28" t="s">
        <v>4651</v>
      </c>
      <c r="D2690" s="188"/>
      <c r="E2690" s="31"/>
      <c r="F2690" s="185" t="s">
        <v>4360</v>
      </c>
      <c r="G2690" s="186"/>
      <c r="H2690" s="187"/>
      <c r="I2690" s="28"/>
      <c r="J2690" s="184" t="s">
        <v>4360</v>
      </c>
    </row>
    <row r="2691" spans="3:10" x14ac:dyDescent="0.25">
      <c r="C2691" s="28" t="s">
        <v>4785</v>
      </c>
      <c r="D2691" s="188"/>
      <c r="E2691" s="31"/>
      <c r="F2691" s="185" t="s">
        <v>4360</v>
      </c>
      <c r="G2691" s="186"/>
      <c r="H2691" s="187"/>
      <c r="I2691" s="28"/>
      <c r="J2691" s="184" t="s">
        <v>4360</v>
      </c>
    </row>
    <row r="2692" spans="3:10" x14ac:dyDescent="0.25">
      <c r="C2692" s="28" t="s">
        <v>4719</v>
      </c>
      <c r="D2692" s="188"/>
      <c r="E2692" s="31"/>
      <c r="F2692" s="185" t="s">
        <v>4360</v>
      </c>
      <c r="G2692" s="186"/>
      <c r="H2692" s="187"/>
      <c r="I2692" s="28"/>
      <c r="J2692" s="184" t="s">
        <v>4360</v>
      </c>
    </row>
    <row r="2693" spans="3:10" x14ac:dyDescent="0.25">
      <c r="C2693" s="28" t="s">
        <v>4720</v>
      </c>
      <c r="D2693" s="188"/>
      <c r="E2693" s="31"/>
      <c r="F2693" s="185" t="s">
        <v>4360</v>
      </c>
      <c r="G2693" s="186"/>
      <c r="H2693" s="187"/>
      <c r="I2693" s="28"/>
      <c r="J2693" s="184" t="s">
        <v>4360</v>
      </c>
    </row>
    <row r="2694" spans="3:10" x14ac:dyDescent="0.25">
      <c r="C2694" s="28" t="s">
        <v>4721</v>
      </c>
      <c r="D2694" s="188"/>
      <c r="E2694" s="31"/>
      <c r="F2694" s="185" t="s">
        <v>4360</v>
      </c>
      <c r="G2694" s="186"/>
      <c r="H2694" s="187"/>
      <c r="I2694" s="28"/>
      <c r="J2694" s="184" t="s">
        <v>4360</v>
      </c>
    </row>
    <row r="2695" spans="3:10" x14ac:dyDescent="0.25">
      <c r="C2695" s="28" t="s">
        <v>4722</v>
      </c>
      <c r="D2695" s="188"/>
      <c r="E2695" s="31"/>
      <c r="F2695" s="185" t="s">
        <v>4360</v>
      </c>
      <c r="G2695" s="186"/>
      <c r="H2695" s="187"/>
      <c r="I2695" s="28"/>
      <c r="J2695" s="184" t="s">
        <v>4360</v>
      </c>
    </row>
    <row r="2696" spans="3:10" x14ac:dyDescent="0.25">
      <c r="C2696" s="28" t="s">
        <v>4723</v>
      </c>
      <c r="D2696" s="188"/>
      <c r="E2696" s="31"/>
      <c r="F2696" s="185" t="s">
        <v>4360</v>
      </c>
      <c r="G2696" s="186"/>
      <c r="H2696" s="187"/>
      <c r="I2696" s="28"/>
      <c r="J2696" s="184" t="s">
        <v>4360</v>
      </c>
    </row>
    <row r="2697" spans="3:10" x14ac:dyDescent="0.25">
      <c r="C2697" s="28" t="s">
        <v>4724</v>
      </c>
      <c r="D2697" s="188"/>
      <c r="E2697" s="31"/>
      <c r="F2697" s="185" t="s">
        <v>4360</v>
      </c>
      <c r="G2697" s="186"/>
      <c r="H2697" s="187"/>
      <c r="I2697" s="28"/>
      <c r="J2697" s="184" t="s">
        <v>4360</v>
      </c>
    </row>
    <row r="2698" spans="3:10" x14ac:dyDescent="0.25">
      <c r="C2698" s="28" t="s">
        <v>4725</v>
      </c>
      <c r="D2698" s="188"/>
      <c r="E2698" s="31"/>
      <c r="F2698" s="185" t="s">
        <v>4360</v>
      </c>
      <c r="G2698" s="186"/>
      <c r="H2698" s="187"/>
      <c r="I2698" s="28"/>
      <c r="J2698" s="184" t="s">
        <v>4360</v>
      </c>
    </row>
    <row r="2699" spans="3:10" x14ac:dyDescent="0.25">
      <c r="C2699" s="28" t="s">
        <v>4726</v>
      </c>
      <c r="D2699" s="188"/>
      <c r="E2699" s="31"/>
      <c r="F2699" s="185" t="s">
        <v>4360</v>
      </c>
      <c r="G2699" s="186"/>
      <c r="H2699" s="187"/>
      <c r="I2699" s="28"/>
      <c r="J2699" s="184" t="s">
        <v>4360</v>
      </c>
    </row>
    <row r="2700" spans="3:10" x14ac:dyDescent="0.25">
      <c r="C2700" s="28" t="s">
        <v>4727</v>
      </c>
      <c r="D2700" s="188"/>
      <c r="E2700" s="31"/>
      <c r="F2700" s="185" t="s">
        <v>4360</v>
      </c>
      <c r="G2700" s="186"/>
      <c r="H2700" s="187"/>
      <c r="I2700" s="28"/>
      <c r="J2700" s="184" t="s">
        <v>4360</v>
      </c>
    </row>
    <row r="2701" spans="3:10" x14ac:dyDescent="0.25">
      <c r="C2701" s="28" t="s">
        <v>4728</v>
      </c>
      <c r="D2701" s="188"/>
      <c r="E2701" s="31"/>
      <c r="F2701" s="185" t="s">
        <v>4360</v>
      </c>
      <c r="G2701" s="186"/>
      <c r="H2701" s="187"/>
      <c r="I2701" s="28"/>
      <c r="J2701" s="184" t="s">
        <v>4360</v>
      </c>
    </row>
    <row r="2702" spans="3:10" x14ac:dyDescent="0.25">
      <c r="C2702" s="28" t="s">
        <v>4729</v>
      </c>
      <c r="D2702" s="188"/>
      <c r="E2702" s="31"/>
      <c r="F2702" s="185" t="s">
        <v>4360</v>
      </c>
      <c r="G2702" s="186"/>
      <c r="H2702" s="187"/>
      <c r="I2702" s="28"/>
      <c r="J2702" s="184" t="s">
        <v>4360</v>
      </c>
    </row>
    <row r="2703" spans="3:10" x14ac:dyDescent="0.25">
      <c r="C2703" s="28" t="s">
        <v>4730</v>
      </c>
      <c r="D2703" s="188"/>
      <c r="E2703" s="31"/>
      <c r="F2703" s="185" t="s">
        <v>4360</v>
      </c>
      <c r="G2703" s="186"/>
      <c r="H2703" s="187"/>
      <c r="I2703" s="28"/>
      <c r="J2703" s="184" t="s">
        <v>4360</v>
      </c>
    </row>
    <row r="2704" spans="3:10" x14ac:dyDescent="0.25">
      <c r="C2704" s="28" t="s">
        <v>4731</v>
      </c>
      <c r="D2704" s="188"/>
      <c r="E2704" s="31"/>
      <c r="F2704" s="185" t="s">
        <v>4360</v>
      </c>
      <c r="G2704" s="186"/>
      <c r="H2704" s="187"/>
      <c r="I2704" s="28"/>
      <c r="J2704" s="184" t="s">
        <v>4360</v>
      </c>
    </row>
    <row r="2705" spans="3:10" x14ac:dyDescent="0.25">
      <c r="C2705" s="28" t="s">
        <v>4732</v>
      </c>
      <c r="D2705" s="188"/>
      <c r="E2705" s="31"/>
      <c r="F2705" s="185" t="s">
        <v>4360</v>
      </c>
      <c r="G2705" s="186"/>
      <c r="H2705" s="187"/>
      <c r="I2705" s="28"/>
      <c r="J2705" s="184" t="s">
        <v>4360</v>
      </c>
    </row>
    <row r="2706" spans="3:10" x14ac:dyDescent="0.25">
      <c r="C2706" s="28" t="s">
        <v>4733</v>
      </c>
      <c r="D2706" s="188"/>
      <c r="E2706" s="31"/>
      <c r="F2706" s="185" t="s">
        <v>4360</v>
      </c>
      <c r="G2706" s="186"/>
      <c r="H2706" s="187"/>
      <c r="I2706" s="28"/>
      <c r="J2706" s="184" t="s">
        <v>4360</v>
      </c>
    </row>
    <row r="2707" spans="3:10" x14ac:dyDescent="0.25">
      <c r="C2707" s="28" t="s">
        <v>4734</v>
      </c>
      <c r="D2707" s="188"/>
      <c r="E2707" s="31"/>
      <c r="F2707" s="185" t="s">
        <v>4360</v>
      </c>
      <c r="G2707" s="186"/>
      <c r="H2707" s="187"/>
      <c r="I2707" s="28"/>
      <c r="J2707" s="184" t="s">
        <v>4360</v>
      </c>
    </row>
    <row r="2708" spans="3:10" x14ac:dyDescent="0.25">
      <c r="C2708" s="28" t="s">
        <v>4735</v>
      </c>
      <c r="D2708" s="188"/>
      <c r="E2708" s="31"/>
      <c r="F2708" s="185" t="s">
        <v>4360</v>
      </c>
      <c r="G2708" s="186"/>
      <c r="H2708" s="187"/>
      <c r="I2708" s="28"/>
      <c r="J2708" s="184" t="s">
        <v>4360</v>
      </c>
    </row>
    <row r="2709" spans="3:10" x14ac:dyDescent="0.25">
      <c r="C2709" s="28" t="s">
        <v>4736</v>
      </c>
      <c r="D2709" s="188"/>
      <c r="E2709" s="31"/>
      <c r="F2709" s="185" t="s">
        <v>4360</v>
      </c>
      <c r="G2709" s="186"/>
      <c r="H2709" s="187"/>
      <c r="I2709" s="28"/>
      <c r="J2709" s="184" t="s">
        <v>4360</v>
      </c>
    </row>
    <row r="2710" spans="3:10" x14ac:dyDescent="0.25">
      <c r="C2710" s="28" t="s">
        <v>4737</v>
      </c>
      <c r="D2710" s="188"/>
      <c r="E2710" s="31"/>
      <c r="F2710" s="185" t="s">
        <v>4360</v>
      </c>
      <c r="G2710" s="186"/>
      <c r="H2710" s="187"/>
      <c r="I2710" s="28"/>
      <c r="J2710" s="184" t="s">
        <v>4360</v>
      </c>
    </row>
    <row r="2711" spans="3:10" x14ac:dyDescent="0.25">
      <c r="C2711" s="28" t="s">
        <v>4738</v>
      </c>
      <c r="D2711" s="188"/>
      <c r="E2711" s="31"/>
      <c r="F2711" s="185" t="s">
        <v>4360</v>
      </c>
      <c r="G2711" s="186"/>
      <c r="H2711" s="187"/>
      <c r="I2711" s="28"/>
      <c r="J2711" s="184" t="s">
        <v>4360</v>
      </c>
    </row>
    <row r="2712" spans="3:10" x14ac:dyDescent="0.25">
      <c r="C2712" s="28" t="s">
        <v>4748</v>
      </c>
      <c r="D2712" s="188"/>
      <c r="E2712" s="31"/>
      <c r="F2712" s="185" t="s">
        <v>4360</v>
      </c>
      <c r="G2712" s="186"/>
      <c r="H2712" s="187"/>
      <c r="I2712" s="28"/>
      <c r="J2712" s="184" t="s">
        <v>4360</v>
      </c>
    </row>
    <row r="2713" spans="3:10" x14ac:dyDescent="0.25">
      <c r="C2713" s="28" t="s">
        <v>4747</v>
      </c>
      <c r="D2713" s="188"/>
      <c r="E2713" s="31"/>
      <c r="F2713" s="185" t="s">
        <v>4360</v>
      </c>
      <c r="G2713" s="186"/>
      <c r="H2713" s="187"/>
      <c r="I2713" s="28"/>
      <c r="J2713" s="184" t="s">
        <v>4360</v>
      </c>
    </row>
    <row r="2714" spans="3:10" x14ac:dyDescent="0.25">
      <c r="C2714" s="28" t="s">
        <v>4746</v>
      </c>
      <c r="D2714" s="188"/>
      <c r="E2714" s="31"/>
      <c r="F2714" s="185" t="s">
        <v>4360</v>
      </c>
      <c r="G2714" s="186"/>
      <c r="H2714" s="187"/>
      <c r="I2714" s="28"/>
      <c r="J2714" s="184" t="s">
        <v>4360</v>
      </c>
    </row>
    <row r="2715" spans="3:10" x14ac:dyDescent="0.25">
      <c r="C2715" s="28" t="s">
        <v>4745</v>
      </c>
      <c r="D2715" s="188"/>
      <c r="E2715" s="31"/>
      <c r="F2715" s="185" t="s">
        <v>4360</v>
      </c>
      <c r="G2715" s="186"/>
      <c r="H2715" s="187"/>
      <c r="I2715" s="28"/>
      <c r="J2715" s="184" t="s">
        <v>4360</v>
      </c>
    </row>
    <row r="2716" spans="3:10" x14ac:dyDescent="0.25">
      <c r="C2716" s="28" t="s">
        <v>4744</v>
      </c>
      <c r="D2716" s="188"/>
      <c r="E2716" s="31"/>
      <c r="F2716" s="185" t="s">
        <v>4360</v>
      </c>
      <c r="G2716" s="186"/>
      <c r="H2716" s="187"/>
      <c r="I2716" s="28"/>
      <c r="J2716" s="184" t="s">
        <v>4360</v>
      </c>
    </row>
    <row r="2717" spans="3:10" x14ac:dyDescent="0.25">
      <c r="C2717" s="28" t="s">
        <v>4743</v>
      </c>
      <c r="D2717" s="188"/>
      <c r="E2717" s="31"/>
      <c r="F2717" s="185" t="s">
        <v>4360</v>
      </c>
      <c r="G2717" s="186"/>
      <c r="H2717" s="187"/>
      <c r="I2717" s="28"/>
      <c r="J2717" s="184" t="s">
        <v>4360</v>
      </c>
    </row>
    <row r="2718" spans="3:10" x14ac:dyDescent="0.25">
      <c r="C2718" s="28" t="s">
        <v>4739</v>
      </c>
      <c r="D2718" s="188"/>
      <c r="E2718" s="31"/>
      <c r="F2718" s="185" t="s">
        <v>4360</v>
      </c>
      <c r="G2718" s="186"/>
      <c r="H2718" s="187"/>
      <c r="I2718" s="28"/>
      <c r="J2718" s="184" t="s">
        <v>4360</v>
      </c>
    </row>
    <row r="2719" spans="3:10" x14ac:dyDescent="0.25">
      <c r="C2719" s="28" t="s">
        <v>4740</v>
      </c>
      <c r="D2719" s="188"/>
      <c r="E2719" s="31"/>
      <c r="F2719" s="185" t="s">
        <v>4360</v>
      </c>
      <c r="G2719" s="186"/>
      <c r="H2719" s="187"/>
      <c r="I2719" s="28"/>
      <c r="J2719" s="184" t="s">
        <v>4360</v>
      </c>
    </row>
    <row r="2720" spans="3:10" x14ac:dyDescent="0.25">
      <c r="C2720" s="28" t="s">
        <v>4741</v>
      </c>
      <c r="D2720" s="188"/>
      <c r="E2720" s="31"/>
      <c r="F2720" s="185" t="s">
        <v>4360</v>
      </c>
      <c r="G2720" s="186"/>
      <c r="H2720" s="187"/>
      <c r="I2720" s="28"/>
      <c r="J2720" s="184" t="s">
        <v>4360</v>
      </c>
    </row>
    <row r="2721" spans="3:10" x14ac:dyDescent="0.25">
      <c r="C2721" s="28" t="s">
        <v>4742</v>
      </c>
      <c r="D2721" s="188"/>
      <c r="E2721" s="31"/>
      <c r="F2721" s="185" t="s">
        <v>4360</v>
      </c>
      <c r="G2721" s="186"/>
      <c r="H2721" s="187"/>
      <c r="I2721" s="28"/>
      <c r="J2721" s="184" t="s">
        <v>4360</v>
      </c>
    </row>
    <row r="2722" spans="3:10" x14ac:dyDescent="0.25">
      <c r="C2722" s="28" t="s">
        <v>4749</v>
      </c>
      <c r="D2722" s="188"/>
      <c r="E2722" s="31"/>
      <c r="F2722" s="185" t="s">
        <v>4360</v>
      </c>
      <c r="G2722" s="186"/>
      <c r="H2722" s="187"/>
      <c r="I2722" s="28"/>
      <c r="J2722" s="184" t="s">
        <v>4360</v>
      </c>
    </row>
    <row r="2723" spans="3:10" x14ac:dyDescent="0.25">
      <c r="C2723" s="28" t="s">
        <v>4750</v>
      </c>
      <c r="D2723" s="188"/>
      <c r="E2723" s="31"/>
      <c r="F2723" s="185" t="s">
        <v>4360</v>
      </c>
      <c r="G2723" s="186"/>
      <c r="H2723" s="187"/>
      <c r="I2723" s="28"/>
      <c r="J2723" s="184" t="s">
        <v>4360</v>
      </c>
    </row>
    <row r="2724" spans="3:10" x14ac:dyDescent="0.25">
      <c r="C2724" s="28" t="s">
        <v>4751</v>
      </c>
      <c r="D2724" s="188"/>
      <c r="E2724" s="31"/>
      <c r="F2724" s="185" t="s">
        <v>4360</v>
      </c>
      <c r="G2724" s="186"/>
      <c r="H2724" s="187"/>
      <c r="I2724" s="28"/>
      <c r="J2724" s="184" t="s">
        <v>4360</v>
      </c>
    </row>
    <row r="2725" spans="3:10" x14ac:dyDescent="0.25">
      <c r="C2725" s="28" t="s">
        <v>4752</v>
      </c>
      <c r="D2725" s="188"/>
      <c r="E2725" s="31"/>
      <c r="F2725" s="185" t="s">
        <v>4360</v>
      </c>
      <c r="G2725" s="186"/>
      <c r="H2725" s="187"/>
      <c r="I2725" s="28"/>
      <c r="J2725" s="184" t="s">
        <v>4360</v>
      </c>
    </row>
    <row r="2726" spans="3:10" x14ac:dyDescent="0.25">
      <c r="C2726" s="28" t="s">
        <v>4753</v>
      </c>
      <c r="D2726" s="188"/>
      <c r="E2726" s="31"/>
      <c r="F2726" s="185" t="s">
        <v>4360</v>
      </c>
      <c r="G2726" s="186"/>
      <c r="H2726" s="187"/>
      <c r="I2726" s="28"/>
      <c r="J2726" s="184" t="s">
        <v>4360</v>
      </c>
    </row>
    <row r="2727" spans="3:10" x14ac:dyDescent="0.25">
      <c r="C2727" s="28" t="s">
        <v>4754</v>
      </c>
      <c r="D2727" s="188"/>
      <c r="E2727" s="31"/>
      <c r="F2727" s="185" t="s">
        <v>4360</v>
      </c>
      <c r="G2727" s="186"/>
      <c r="H2727" s="187"/>
      <c r="I2727" s="28"/>
      <c r="J2727" s="184" t="s">
        <v>4360</v>
      </c>
    </row>
    <row r="2728" spans="3:10" x14ac:dyDescent="0.25">
      <c r="C2728" s="28" t="s">
        <v>4755</v>
      </c>
      <c r="D2728" s="188"/>
      <c r="E2728" s="31"/>
      <c r="F2728" s="185" t="s">
        <v>4360</v>
      </c>
      <c r="G2728" s="186"/>
      <c r="H2728" s="187"/>
      <c r="I2728" s="28"/>
      <c r="J2728" s="184" t="s">
        <v>4360</v>
      </c>
    </row>
    <row r="2729" spans="3:10" x14ac:dyDescent="0.25">
      <c r="C2729" s="28" t="s">
        <v>4756</v>
      </c>
      <c r="D2729" s="188"/>
      <c r="E2729" s="31"/>
      <c r="F2729" s="185" t="s">
        <v>4360</v>
      </c>
      <c r="G2729" s="186"/>
      <c r="H2729" s="187"/>
      <c r="I2729" s="28"/>
      <c r="J2729" s="184" t="s">
        <v>4360</v>
      </c>
    </row>
    <row r="2730" spans="3:10" x14ac:dyDescent="0.25">
      <c r="C2730" s="28" t="s">
        <v>4757</v>
      </c>
      <c r="D2730" s="188"/>
      <c r="E2730" s="31"/>
      <c r="F2730" s="185" t="s">
        <v>4360</v>
      </c>
      <c r="G2730" s="186"/>
      <c r="H2730" s="187"/>
      <c r="I2730" s="28"/>
      <c r="J2730" s="184" t="s">
        <v>4360</v>
      </c>
    </row>
    <row r="2731" spans="3:10" x14ac:dyDescent="0.25">
      <c r="C2731" s="28" t="s">
        <v>4758</v>
      </c>
      <c r="D2731" s="188"/>
      <c r="E2731" s="31"/>
      <c r="F2731" s="185" t="s">
        <v>4360</v>
      </c>
      <c r="G2731" s="186"/>
      <c r="H2731" s="187"/>
      <c r="I2731" s="28"/>
      <c r="J2731" s="184" t="s">
        <v>4360</v>
      </c>
    </row>
    <row r="2732" spans="3:10" x14ac:dyDescent="0.25">
      <c r="C2732" s="28" t="s">
        <v>4760</v>
      </c>
      <c r="D2732" s="188"/>
      <c r="E2732" s="31"/>
      <c r="F2732" s="185" t="s">
        <v>4360</v>
      </c>
      <c r="G2732" s="186"/>
      <c r="H2732" s="187"/>
      <c r="I2732" s="28"/>
      <c r="J2732" s="184" t="s">
        <v>4360</v>
      </c>
    </row>
    <row r="2733" spans="3:10" x14ac:dyDescent="0.25">
      <c r="C2733" s="28" t="s">
        <v>4759</v>
      </c>
      <c r="D2733" s="188"/>
      <c r="E2733" s="31"/>
      <c r="F2733" s="185" t="s">
        <v>4360</v>
      </c>
      <c r="G2733" s="186"/>
      <c r="H2733" s="187"/>
      <c r="I2733" s="28"/>
      <c r="J2733" s="184" t="s">
        <v>4360</v>
      </c>
    </row>
    <row r="2734" spans="3:10" x14ac:dyDescent="0.25">
      <c r="C2734" s="28" t="s">
        <v>4761</v>
      </c>
      <c r="D2734" s="188"/>
      <c r="E2734" s="31"/>
      <c r="F2734" s="185" t="s">
        <v>4360</v>
      </c>
      <c r="G2734" s="186"/>
      <c r="H2734" s="187"/>
      <c r="I2734" s="28"/>
      <c r="J2734" s="184" t="s">
        <v>4360</v>
      </c>
    </row>
    <row r="2735" spans="3:10" x14ac:dyDescent="0.25">
      <c r="C2735" s="28" t="s">
        <v>4764</v>
      </c>
      <c r="D2735" s="188"/>
      <c r="E2735" s="31"/>
      <c r="F2735" s="185" t="s">
        <v>4360</v>
      </c>
      <c r="G2735" s="186"/>
      <c r="H2735" s="187"/>
      <c r="I2735" s="28"/>
      <c r="J2735" s="184" t="s">
        <v>4360</v>
      </c>
    </row>
    <row r="2736" spans="3:10" x14ac:dyDescent="0.25">
      <c r="C2736" s="28" t="s">
        <v>4763</v>
      </c>
      <c r="D2736" s="188"/>
      <c r="E2736" s="31"/>
      <c r="F2736" s="185" t="s">
        <v>4360</v>
      </c>
      <c r="G2736" s="186"/>
      <c r="H2736" s="187"/>
      <c r="I2736" s="28"/>
      <c r="J2736" s="184" t="s">
        <v>4360</v>
      </c>
    </row>
    <row r="2737" spans="3:10" x14ac:dyDescent="0.25">
      <c r="C2737" s="28" t="s">
        <v>4762</v>
      </c>
      <c r="D2737" s="188"/>
      <c r="E2737" s="31"/>
      <c r="F2737" s="185" t="s">
        <v>4360</v>
      </c>
      <c r="G2737" s="186"/>
      <c r="H2737" s="187"/>
      <c r="I2737" s="28"/>
      <c r="J2737" s="184" t="s">
        <v>4360</v>
      </c>
    </row>
    <row r="2738" spans="3:10" x14ac:dyDescent="0.25">
      <c r="C2738" s="28" t="s">
        <v>4765</v>
      </c>
      <c r="D2738" s="188"/>
      <c r="E2738" s="31"/>
      <c r="F2738" s="185" t="s">
        <v>4360</v>
      </c>
      <c r="G2738" s="186"/>
      <c r="H2738" s="187"/>
      <c r="I2738" s="28"/>
      <c r="J2738" s="184" t="s">
        <v>4360</v>
      </c>
    </row>
    <row r="2739" spans="3:10" x14ac:dyDescent="0.25">
      <c r="C2739" s="28" t="s">
        <v>4766</v>
      </c>
      <c r="D2739" s="188"/>
      <c r="E2739" s="31"/>
      <c r="F2739" s="185" t="s">
        <v>4360</v>
      </c>
      <c r="G2739" s="186"/>
      <c r="H2739" s="187"/>
      <c r="I2739" s="28"/>
      <c r="J2739" s="184" t="s">
        <v>4360</v>
      </c>
    </row>
    <row r="2740" spans="3:10" x14ac:dyDescent="0.25">
      <c r="C2740" s="28" t="s">
        <v>4767</v>
      </c>
      <c r="D2740" s="188"/>
      <c r="E2740" s="31"/>
      <c r="F2740" s="185" t="s">
        <v>4360</v>
      </c>
      <c r="G2740" s="186"/>
      <c r="H2740" s="187"/>
      <c r="I2740" s="28"/>
      <c r="J2740" s="184" t="s">
        <v>4360</v>
      </c>
    </row>
    <row r="2741" spans="3:10" x14ac:dyDescent="0.25">
      <c r="C2741" s="28" t="s">
        <v>4768</v>
      </c>
      <c r="D2741" s="188"/>
      <c r="E2741" s="31"/>
      <c r="F2741" s="185" t="s">
        <v>4360</v>
      </c>
      <c r="G2741" s="186"/>
      <c r="H2741" s="187"/>
      <c r="I2741" s="28"/>
      <c r="J2741" s="184" t="s">
        <v>4360</v>
      </c>
    </row>
    <row r="2742" spans="3:10" x14ac:dyDescent="0.25">
      <c r="C2742" s="28" t="s">
        <v>4769</v>
      </c>
      <c r="D2742" s="188"/>
      <c r="E2742" s="31"/>
      <c r="F2742" s="185" t="s">
        <v>4360</v>
      </c>
      <c r="G2742" s="186"/>
      <c r="H2742" s="187"/>
      <c r="I2742" s="28"/>
      <c r="J2742" s="184" t="s">
        <v>4360</v>
      </c>
    </row>
    <row r="2743" spans="3:10" x14ac:dyDescent="0.25">
      <c r="C2743" s="28" t="s">
        <v>4770</v>
      </c>
      <c r="D2743" s="188"/>
      <c r="E2743" s="31"/>
      <c r="F2743" s="185" t="s">
        <v>4360</v>
      </c>
      <c r="G2743" s="186"/>
      <c r="H2743" s="187"/>
      <c r="I2743" s="28"/>
      <c r="J2743" s="184" t="s">
        <v>4360</v>
      </c>
    </row>
    <row r="2744" spans="3:10" x14ac:dyDescent="0.25">
      <c r="C2744" s="28" t="s">
        <v>4771</v>
      </c>
      <c r="D2744" s="188"/>
      <c r="E2744" s="31"/>
      <c r="F2744" s="185" t="s">
        <v>4360</v>
      </c>
      <c r="G2744" s="186"/>
      <c r="H2744" s="187"/>
      <c r="I2744" s="28"/>
      <c r="J2744" s="184" t="s">
        <v>4360</v>
      </c>
    </row>
    <row r="2745" spans="3:10" x14ac:dyDescent="0.25">
      <c r="C2745" s="28" t="s">
        <v>4772</v>
      </c>
      <c r="D2745" s="188"/>
      <c r="E2745" s="31"/>
      <c r="F2745" s="185" t="s">
        <v>4360</v>
      </c>
      <c r="G2745" s="186"/>
      <c r="H2745" s="187"/>
      <c r="I2745" s="28"/>
      <c r="J2745" s="184" t="s">
        <v>4360</v>
      </c>
    </row>
    <row r="2746" spans="3:10" x14ac:dyDescent="0.25">
      <c r="C2746" s="28" t="s">
        <v>4773</v>
      </c>
      <c r="D2746" s="188"/>
      <c r="E2746" s="31"/>
      <c r="F2746" s="185" t="s">
        <v>4360</v>
      </c>
      <c r="G2746" s="186"/>
      <c r="H2746" s="187"/>
      <c r="I2746" s="28"/>
      <c r="J2746" s="184" t="s">
        <v>4360</v>
      </c>
    </row>
    <row r="2747" spans="3:10" x14ac:dyDescent="0.25">
      <c r="C2747" s="28" t="s">
        <v>4774</v>
      </c>
      <c r="D2747" s="188"/>
      <c r="E2747" s="31"/>
      <c r="F2747" s="185" t="s">
        <v>4360</v>
      </c>
      <c r="G2747" s="186"/>
      <c r="H2747" s="187"/>
      <c r="I2747" s="28"/>
      <c r="J2747" s="184" t="s">
        <v>4360</v>
      </c>
    </row>
    <row r="2748" spans="3:10" x14ac:dyDescent="0.25">
      <c r="C2748" s="28" t="s">
        <v>4775</v>
      </c>
      <c r="D2748" s="188"/>
      <c r="E2748" s="31"/>
      <c r="F2748" s="185" t="s">
        <v>4360</v>
      </c>
      <c r="G2748" s="186"/>
      <c r="H2748" s="187"/>
      <c r="I2748" s="28"/>
      <c r="J2748" s="184" t="s">
        <v>4360</v>
      </c>
    </row>
    <row r="2749" spans="3:10" x14ac:dyDescent="0.25">
      <c r="C2749" s="28" t="s">
        <v>5287</v>
      </c>
      <c r="D2749" s="188"/>
      <c r="E2749" s="31"/>
      <c r="F2749" s="185" t="s">
        <v>4360</v>
      </c>
      <c r="G2749" s="186"/>
      <c r="H2749" s="187"/>
      <c r="I2749" s="28"/>
      <c r="J2749" s="184" t="s">
        <v>4360</v>
      </c>
    </row>
    <row r="2750" spans="3:10" x14ac:dyDescent="0.25">
      <c r="C2750" s="28" t="s">
        <v>5286</v>
      </c>
      <c r="D2750" s="188"/>
      <c r="E2750" s="31"/>
      <c r="F2750" s="185" t="s">
        <v>4360</v>
      </c>
      <c r="G2750" s="186"/>
      <c r="H2750" s="187"/>
      <c r="I2750" s="28"/>
      <c r="J2750" s="184" t="s">
        <v>4360</v>
      </c>
    </row>
    <row r="2751" spans="3:10" x14ac:dyDescent="0.25">
      <c r="C2751" s="28" t="s">
        <v>5288</v>
      </c>
      <c r="D2751" s="188"/>
      <c r="E2751" s="31"/>
      <c r="F2751" s="185" t="s">
        <v>4360</v>
      </c>
      <c r="G2751" s="186"/>
      <c r="H2751" s="187"/>
      <c r="I2751" s="28"/>
      <c r="J2751" s="184" t="s">
        <v>4360</v>
      </c>
    </row>
    <row r="2752" spans="3:10" x14ac:dyDescent="0.25">
      <c r="C2752" s="28" t="s">
        <v>5289</v>
      </c>
      <c r="D2752" s="188"/>
      <c r="E2752" s="31"/>
      <c r="F2752" s="185" t="s">
        <v>4360</v>
      </c>
      <c r="G2752" s="186"/>
      <c r="H2752" s="187"/>
      <c r="I2752" s="28"/>
      <c r="J2752" s="184" t="s">
        <v>4360</v>
      </c>
    </row>
    <row r="2753" spans="3:10" x14ac:dyDescent="0.25">
      <c r="C2753" s="28" t="s">
        <v>5290</v>
      </c>
      <c r="D2753" s="188"/>
      <c r="E2753" s="31"/>
      <c r="F2753" s="185" t="s">
        <v>4360</v>
      </c>
      <c r="G2753" s="186"/>
      <c r="H2753" s="187"/>
      <c r="I2753" s="28"/>
      <c r="J2753" s="184" t="s">
        <v>4360</v>
      </c>
    </row>
    <row r="2754" spans="3:10" x14ac:dyDescent="0.25">
      <c r="C2754" s="28" t="s">
        <v>5291</v>
      </c>
      <c r="D2754" s="188"/>
      <c r="E2754" s="31"/>
      <c r="F2754" s="185" t="s">
        <v>4360</v>
      </c>
      <c r="G2754" s="186"/>
      <c r="H2754" s="187"/>
      <c r="I2754" s="28"/>
      <c r="J2754" s="184" t="s">
        <v>4360</v>
      </c>
    </row>
    <row r="2755" spans="3:10" x14ac:dyDescent="0.25">
      <c r="C2755" s="28" t="s">
        <v>5300</v>
      </c>
      <c r="D2755" s="188"/>
      <c r="E2755" s="31"/>
      <c r="F2755" s="185" t="s">
        <v>4360</v>
      </c>
      <c r="G2755" s="186"/>
      <c r="H2755" s="187"/>
      <c r="I2755" s="28"/>
      <c r="J2755" s="184" t="s">
        <v>4360</v>
      </c>
    </row>
    <row r="2756" spans="3:10" x14ac:dyDescent="0.25">
      <c r="C2756" s="28" t="s">
        <v>5301</v>
      </c>
      <c r="D2756" s="188"/>
      <c r="E2756" s="31"/>
      <c r="F2756" s="185" t="s">
        <v>4360</v>
      </c>
      <c r="G2756" s="186"/>
      <c r="H2756" s="187"/>
      <c r="I2756" s="28"/>
      <c r="J2756" s="184" t="s">
        <v>4360</v>
      </c>
    </row>
    <row r="2757" spans="3:10" x14ac:dyDescent="0.25">
      <c r="C2757" s="28" t="s">
        <v>5302</v>
      </c>
      <c r="D2757" s="188"/>
      <c r="E2757" s="31"/>
      <c r="F2757" s="185" t="s">
        <v>4360</v>
      </c>
      <c r="G2757" s="186"/>
      <c r="H2757" s="187"/>
      <c r="I2757" s="28"/>
      <c r="J2757" s="184" t="s">
        <v>4360</v>
      </c>
    </row>
    <row r="2758" spans="3:10" x14ac:dyDescent="0.25">
      <c r="C2758" s="28" t="s">
        <v>5303</v>
      </c>
      <c r="D2758" s="188"/>
      <c r="E2758" s="31"/>
      <c r="F2758" s="185" t="s">
        <v>4360</v>
      </c>
      <c r="G2758" s="186"/>
      <c r="H2758" s="187"/>
      <c r="I2758" s="28"/>
      <c r="J2758" s="184" t="s">
        <v>4360</v>
      </c>
    </row>
    <row r="2759" spans="3:10" x14ac:dyDescent="0.25">
      <c r="C2759" s="28" t="s">
        <v>5310</v>
      </c>
      <c r="D2759" s="188"/>
      <c r="E2759" s="31"/>
      <c r="F2759" s="185" t="s">
        <v>4360</v>
      </c>
      <c r="G2759" s="186"/>
      <c r="H2759" s="187"/>
      <c r="I2759" s="28"/>
      <c r="J2759" s="184" t="s">
        <v>4360</v>
      </c>
    </row>
    <row r="2760" spans="3:10" x14ac:dyDescent="0.25">
      <c r="C2760" s="28" t="s">
        <v>5311</v>
      </c>
      <c r="D2760" s="188"/>
      <c r="E2760" s="31"/>
      <c r="F2760" s="185" t="s">
        <v>4360</v>
      </c>
      <c r="G2760" s="186"/>
      <c r="H2760" s="187"/>
      <c r="I2760" s="28"/>
      <c r="J2760" s="184" t="s">
        <v>4360</v>
      </c>
    </row>
    <row r="2761" spans="3:10" x14ac:dyDescent="0.25">
      <c r="C2761" s="28" t="s">
        <v>5316</v>
      </c>
      <c r="D2761" s="188"/>
      <c r="E2761" s="31"/>
      <c r="F2761" s="185" t="s">
        <v>4360</v>
      </c>
      <c r="G2761" s="186"/>
      <c r="H2761" s="187"/>
      <c r="I2761" s="28"/>
      <c r="J2761" s="184" t="s">
        <v>4360</v>
      </c>
    </row>
    <row r="2762" spans="3:10" x14ac:dyDescent="0.25">
      <c r="C2762" s="28" t="s">
        <v>5317</v>
      </c>
      <c r="D2762" s="188"/>
      <c r="E2762" s="31"/>
      <c r="F2762" s="185" t="s">
        <v>4360</v>
      </c>
      <c r="G2762" s="186"/>
      <c r="H2762" s="187"/>
      <c r="I2762" s="28"/>
      <c r="J2762" s="184" t="s">
        <v>4360</v>
      </c>
    </row>
    <row r="2763" spans="3:10" x14ac:dyDescent="0.25">
      <c r="C2763" s="28" t="s">
        <v>5318</v>
      </c>
      <c r="D2763" s="188"/>
      <c r="E2763" s="31"/>
      <c r="F2763" s="185" t="s">
        <v>4360</v>
      </c>
      <c r="G2763" s="186"/>
      <c r="H2763" s="187"/>
      <c r="I2763" s="28"/>
      <c r="J2763" s="184" t="s">
        <v>4360</v>
      </c>
    </row>
    <row r="2764" spans="3:10" x14ac:dyDescent="0.25">
      <c r="C2764" s="28" t="s">
        <v>5319</v>
      </c>
      <c r="D2764" s="188"/>
      <c r="E2764" s="31"/>
      <c r="F2764" s="185" t="s">
        <v>4360</v>
      </c>
      <c r="G2764" s="186"/>
      <c r="H2764" s="187"/>
      <c r="I2764" s="28"/>
      <c r="J2764" s="184" t="s">
        <v>4360</v>
      </c>
    </row>
    <row r="2765" spans="3:10" x14ac:dyDescent="0.25">
      <c r="C2765" s="28" t="s">
        <v>5320</v>
      </c>
      <c r="D2765" s="188"/>
      <c r="E2765" s="31"/>
      <c r="F2765" s="185" t="s">
        <v>4360</v>
      </c>
      <c r="G2765" s="186"/>
      <c r="H2765" s="187"/>
      <c r="I2765" s="28"/>
      <c r="J2765" s="184" t="s">
        <v>4360</v>
      </c>
    </row>
    <row r="2766" spans="3:10" x14ac:dyDescent="0.25">
      <c r="C2766" s="28" t="s">
        <v>5321</v>
      </c>
      <c r="D2766" s="188"/>
      <c r="E2766" s="31"/>
      <c r="F2766" s="185" t="s">
        <v>4360</v>
      </c>
      <c r="G2766" s="186"/>
      <c r="H2766" s="187"/>
      <c r="I2766" s="28"/>
      <c r="J2766" s="184" t="s">
        <v>4360</v>
      </c>
    </row>
    <row r="2767" spans="3:10" x14ac:dyDescent="0.25">
      <c r="C2767" s="28" t="s">
        <v>5322</v>
      </c>
      <c r="D2767" s="188"/>
      <c r="E2767" s="31"/>
      <c r="F2767" s="185" t="s">
        <v>4360</v>
      </c>
      <c r="G2767" s="186"/>
      <c r="H2767" s="187"/>
      <c r="I2767" s="28"/>
      <c r="J2767" s="184" t="s">
        <v>4360</v>
      </c>
    </row>
    <row r="2768" spans="3:10" x14ac:dyDescent="0.25">
      <c r="C2768" s="28" t="s">
        <v>5323</v>
      </c>
      <c r="D2768" s="188"/>
      <c r="E2768" s="31"/>
      <c r="F2768" s="185" t="s">
        <v>4360</v>
      </c>
      <c r="G2768" s="186"/>
      <c r="H2768" s="187"/>
      <c r="I2768" s="28"/>
      <c r="J2768" s="184" t="s">
        <v>4360</v>
      </c>
    </row>
    <row r="2769" spans="3:10" x14ac:dyDescent="0.25">
      <c r="C2769" s="28" t="s">
        <v>5324</v>
      </c>
      <c r="D2769" s="188"/>
      <c r="E2769" s="31"/>
      <c r="F2769" s="185" t="s">
        <v>4360</v>
      </c>
      <c r="G2769" s="186"/>
      <c r="H2769" s="187"/>
      <c r="I2769" s="28"/>
      <c r="J2769" s="184" t="s">
        <v>4360</v>
      </c>
    </row>
    <row r="2770" spans="3:10" x14ac:dyDescent="0.25">
      <c r="C2770" s="28" t="s">
        <v>5325</v>
      </c>
      <c r="D2770" s="188"/>
      <c r="E2770" s="31"/>
      <c r="F2770" s="185" t="s">
        <v>4360</v>
      </c>
      <c r="G2770" s="186"/>
      <c r="H2770" s="187"/>
      <c r="I2770" s="28"/>
      <c r="J2770" s="184" t="s">
        <v>4360</v>
      </c>
    </row>
    <row r="2771" spans="3:10" x14ac:dyDescent="0.25">
      <c r="C2771" s="28" t="s">
        <v>5326</v>
      </c>
      <c r="D2771" s="188"/>
      <c r="E2771" s="31"/>
      <c r="F2771" s="185" t="s">
        <v>4360</v>
      </c>
      <c r="G2771" s="186"/>
      <c r="H2771" s="187"/>
      <c r="I2771" s="28"/>
      <c r="J2771" s="184" t="s">
        <v>4360</v>
      </c>
    </row>
    <row r="2772" spans="3:10" x14ac:dyDescent="0.25">
      <c r="C2772" s="28" t="s">
        <v>5327</v>
      </c>
      <c r="D2772" s="188"/>
      <c r="E2772" s="31"/>
      <c r="F2772" s="185" t="s">
        <v>4360</v>
      </c>
      <c r="G2772" s="186"/>
      <c r="H2772" s="187"/>
      <c r="I2772" s="28"/>
      <c r="J2772" s="184" t="s">
        <v>4360</v>
      </c>
    </row>
    <row r="2773" spans="3:10" x14ac:dyDescent="0.25">
      <c r="C2773" s="28" t="s">
        <v>5328</v>
      </c>
      <c r="D2773" s="188"/>
      <c r="E2773" s="31"/>
      <c r="F2773" s="185" t="s">
        <v>4360</v>
      </c>
      <c r="G2773" s="186"/>
      <c r="H2773" s="187"/>
      <c r="I2773" s="28"/>
      <c r="J2773" s="184" t="s">
        <v>4360</v>
      </c>
    </row>
    <row r="2774" spans="3:10" x14ac:dyDescent="0.25">
      <c r="C2774" s="28" t="s">
        <v>5329</v>
      </c>
      <c r="D2774" s="188"/>
      <c r="E2774" s="31"/>
      <c r="F2774" s="185" t="s">
        <v>4360</v>
      </c>
      <c r="G2774" s="186"/>
      <c r="H2774" s="187"/>
      <c r="I2774" s="28"/>
      <c r="J2774" s="184" t="s">
        <v>4360</v>
      </c>
    </row>
    <row r="2775" spans="3:10" x14ac:dyDescent="0.25">
      <c r="C2775" s="28" t="s">
        <v>5330</v>
      </c>
      <c r="D2775" s="188"/>
      <c r="E2775" s="31"/>
      <c r="F2775" s="185" t="s">
        <v>4360</v>
      </c>
      <c r="G2775" s="186"/>
      <c r="H2775" s="187"/>
      <c r="I2775" s="28"/>
      <c r="J2775" s="184" t="s">
        <v>4360</v>
      </c>
    </row>
    <row r="2776" spans="3:10" x14ac:dyDescent="0.25">
      <c r="C2776" s="28" t="s">
        <v>5331</v>
      </c>
      <c r="D2776" s="188"/>
      <c r="E2776" s="31"/>
      <c r="F2776" s="185" t="s">
        <v>4360</v>
      </c>
      <c r="G2776" s="186"/>
      <c r="H2776" s="187"/>
      <c r="I2776" s="28"/>
      <c r="J2776" s="184" t="s">
        <v>4360</v>
      </c>
    </row>
    <row r="2777" spans="3:10" x14ac:dyDescent="0.25">
      <c r="C2777" s="28" t="s">
        <v>5332</v>
      </c>
      <c r="D2777" s="188"/>
      <c r="E2777" s="31"/>
      <c r="F2777" s="185" t="s">
        <v>4360</v>
      </c>
      <c r="G2777" s="186"/>
      <c r="H2777" s="187"/>
      <c r="I2777" s="28"/>
      <c r="J2777" s="184" t="s">
        <v>4360</v>
      </c>
    </row>
    <row r="2778" spans="3:10" x14ac:dyDescent="0.25">
      <c r="C2778" s="28" t="s">
        <v>5333</v>
      </c>
      <c r="D2778" s="188"/>
      <c r="E2778" s="31"/>
      <c r="F2778" s="185" t="s">
        <v>4360</v>
      </c>
      <c r="G2778" s="186"/>
      <c r="H2778" s="187"/>
      <c r="I2778" s="28"/>
      <c r="J2778" s="184" t="s">
        <v>4360</v>
      </c>
    </row>
    <row r="2779" spans="3:10" x14ac:dyDescent="0.25">
      <c r="C2779" s="28" t="s">
        <v>5334</v>
      </c>
      <c r="D2779" s="188"/>
      <c r="E2779" s="31"/>
      <c r="F2779" s="185" t="s">
        <v>4360</v>
      </c>
      <c r="G2779" s="186"/>
      <c r="H2779" s="187"/>
      <c r="I2779" s="28"/>
      <c r="J2779" s="184" t="s">
        <v>4360</v>
      </c>
    </row>
    <row r="2780" spans="3:10" x14ac:dyDescent="0.25">
      <c r="C2780" s="28" t="s">
        <v>5335</v>
      </c>
      <c r="D2780" s="188"/>
      <c r="E2780" s="31"/>
      <c r="F2780" s="185" t="s">
        <v>4360</v>
      </c>
      <c r="G2780" s="186"/>
      <c r="H2780" s="187"/>
      <c r="I2780" s="28"/>
      <c r="J2780" s="184" t="s">
        <v>4360</v>
      </c>
    </row>
    <row r="2781" spans="3:10" x14ac:dyDescent="0.25">
      <c r="C2781" s="28" t="s">
        <v>5336</v>
      </c>
      <c r="D2781" s="188"/>
      <c r="E2781" s="31"/>
      <c r="F2781" s="185" t="s">
        <v>4360</v>
      </c>
      <c r="G2781" s="186"/>
      <c r="H2781" s="187"/>
      <c r="I2781" s="28"/>
      <c r="J2781" s="184" t="s">
        <v>4360</v>
      </c>
    </row>
    <row r="2782" spans="3:10" x14ac:dyDescent="0.25">
      <c r="C2782" s="28" t="s">
        <v>5337</v>
      </c>
      <c r="D2782" s="188"/>
      <c r="E2782" s="31"/>
      <c r="F2782" s="185" t="s">
        <v>4360</v>
      </c>
      <c r="G2782" s="186"/>
      <c r="H2782" s="187"/>
      <c r="I2782" s="28"/>
      <c r="J2782" s="184" t="s">
        <v>4360</v>
      </c>
    </row>
    <row r="2783" spans="3:10" x14ac:dyDescent="0.25">
      <c r="C2783" s="28" t="s">
        <v>5338</v>
      </c>
      <c r="D2783" s="188"/>
      <c r="E2783" s="31"/>
      <c r="F2783" s="185" t="s">
        <v>4360</v>
      </c>
      <c r="G2783" s="186"/>
      <c r="H2783" s="187"/>
      <c r="I2783" s="28"/>
      <c r="J2783" s="184" t="s">
        <v>4360</v>
      </c>
    </row>
    <row r="2784" spans="3:10" x14ac:dyDescent="0.25">
      <c r="C2784" s="28" t="s">
        <v>5339</v>
      </c>
      <c r="D2784" s="188"/>
      <c r="E2784" s="31"/>
      <c r="F2784" s="185" t="s">
        <v>4360</v>
      </c>
      <c r="G2784" s="186"/>
      <c r="H2784" s="187"/>
      <c r="I2784" s="28"/>
      <c r="J2784" s="184" t="s">
        <v>4360</v>
      </c>
    </row>
    <row r="2785" spans="3:10" x14ac:dyDescent="0.25">
      <c r="C2785" s="28" t="s">
        <v>5340</v>
      </c>
      <c r="D2785" s="188"/>
      <c r="E2785" s="31"/>
      <c r="F2785" s="185" t="s">
        <v>4360</v>
      </c>
      <c r="G2785" s="186"/>
      <c r="H2785" s="187"/>
      <c r="I2785" s="28"/>
      <c r="J2785" s="184" t="s">
        <v>4360</v>
      </c>
    </row>
    <row r="2786" spans="3:10" x14ac:dyDescent="0.25">
      <c r="C2786" s="28" t="s">
        <v>5295</v>
      </c>
      <c r="D2786" s="188"/>
      <c r="E2786" s="31"/>
      <c r="F2786" s="185" t="s">
        <v>4360</v>
      </c>
      <c r="G2786" s="186"/>
      <c r="H2786" s="187"/>
      <c r="I2786" s="28"/>
      <c r="J2786" s="184" t="s">
        <v>4360</v>
      </c>
    </row>
    <row r="2787" spans="3:10" x14ac:dyDescent="0.25">
      <c r="C2787" s="28" t="s">
        <v>5296</v>
      </c>
      <c r="D2787" s="188"/>
      <c r="E2787" s="31"/>
      <c r="F2787" s="185" t="s">
        <v>4360</v>
      </c>
      <c r="G2787" s="186"/>
      <c r="H2787" s="187"/>
      <c r="I2787" s="28"/>
      <c r="J2787" s="184" t="s">
        <v>4360</v>
      </c>
    </row>
    <row r="2788" spans="3:10" x14ac:dyDescent="0.25">
      <c r="C2788" s="28" t="s">
        <v>5297</v>
      </c>
      <c r="D2788" s="188"/>
      <c r="E2788" s="31"/>
      <c r="F2788" s="185" t="s">
        <v>4360</v>
      </c>
      <c r="G2788" s="186"/>
      <c r="H2788" s="187"/>
      <c r="I2788" s="28"/>
      <c r="J2788" s="184" t="s">
        <v>4360</v>
      </c>
    </row>
    <row r="2789" spans="3:10" x14ac:dyDescent="0.25">
      <c r="C2789" s="28" t="s">
        <v>5306</v>
      </c>
      <c r="D2789" s="188"/>
      <c r="E2789" s="31"/>
      <c r="F2789" s="185" t="s">
        <v>4360</v>
      </c>
      <c r="G2789" s="186"/>
      <c r="H2789" s="187"/>
      <c r="I2789" s="28"/>
      <c r="J2789" s="184" t="s">
        <v>4360</v>
      </c>
    </row>
    <row r="2790" spans="3:10" x14ac:dyDescent="0.25">
      <c r="C2790" s="28" t="s">
        <v>5307</v>
      </c>
      <c r="D2790" s="188"/>
      <c r="E2790" s="31"/>
      <c r="F2790" s="185" t="s">
        <v>4360</v>
      </c>
      <c r="G2790" s="186"/>
      <c r="H2790" s="187"/>
      <c r="I2790" s="28"/>
      <c r="J2790" s="184" t="s">
        <v>4360</v>
      </c>
    </row>
    <row r="2791" spans="3:10" x14ac:dyDescent="0.25">
      <c r="C2791" s="28" t="s">
        <v>5308</v>
      </c>
      <c r="D2791" s="188"/>
      <c r="E2791" s="31"/>
      <c r="F2791" s="185" t="s">
        <v>4360</v>
      </c>
      <c r="G2791" s="186"/>
      <c r="H2791" s="187"/>
      <c r="I2791" s="28"/>
      <c r="J2791" s="184" t="s">
        <v>4360</v>
      </c>
    </row>
    <row r="2792" spans="3:10" x14ac:dyDescent="0.25">
      <c r="C2792" s="28" t="s">
        <v>5309</v>
      </c>
      <c r="D2792" s="188"/>
      <c r="E2792" s="31"/>
      <c r="F2792" s="185" t="s">
        <v>4360</v>
      </c>
      <c r="G2792" s="186"/>
      <c r="H2792" s="187"/>
      <c r="I2792" s="28"/>
      <c r="J2792" s="184" t="s">
        <v>4360</v>
      </c>
    </row>
    <row r="2793" spans="3:10" x14ac:dyDescent="0.25">
      <c r="C2793" s="28" t="s">
        <v>5298</v>
      </c>
      <c r="D2793" s="188"/>
      <c r="E2793" s="31"/>
      <c r="F2793" s="185" t="s">
        <v>4360</v>
      </c>
      <c r="G2793" s="186"/>
      <c r="H2793" s="187"/>
      <c r="I2793" s="28"/>
      <c r="J2793" s="184" t="s">
        <v>4360</v>
      </c>
    </row>
    <row r="2794" spans="3:10" x14ac:dyDescent="0.25">
      <c r="C2794" s="28" t="s">
        <v>5299</v>
      </c>
      <c r="D2794" s="188"/>
      <c r="E2794" s="31"/>
      <c r="F2794" s="185" t="s">
        <v>4360</v>
      </c>
      <c r="G2794" s="186"/>
      <c r="H2794" s="187"/>
      <c r="I2794" s="28"/>
      <c r="J2794" s="184" t="s">
        <v>4360</v>
      </c>
    </row>
    <row r="2795" spans="3:10" x14ac:dyDescent="0.25">
      <c r="C2795" s="28" t="s">
        <v>5312</v>
      </c>
      <c r="D2795" s="188"/>
      <c r="E2795" s="31"/>
      <c r="F2795" s="185" t="s">
        <v>4360</v>
      </c>
      <c r="G2795" s="186"/>
      <c r="H2795" s="187"/>
      <c r="I2795" s="28"/>
      <c r="J2795" s="184" t="s">
        <v>4360</v>
      </c>
    </row>
    <row r="2796" spans="3:10" x14ac:dyDescent="0.25">
      <c r="C2796" s="28" t="s">
        <v>5313</v>
      </c>
      <c r="D2796" s="188"/>
      <c r="E2796" s="31"/>
      <c r="F2796" s="185" t="s">
        <v>4360</v>
      </c>
      <c r="G2796" s="186"/>
      <c r="H2796" s="187"/>
      <c r="I2796" s="28"/>
      <c r="J2796" s="184" t="s">
        <v>4360</v>
      </c>
    </row>
    <row r="2797" spans="3:10" x14ac:dyDescent="0.25">
      <c r="C2797" s="28" t="s">
        <v>5314</v>
      </c>
      <c r="D2797" s="188"/>
      <c r="E2797" s="31"/>
      <c r="F2797" s="185" t="s">
        <v>4360</v>
      </c>
      <c r="G2797" s="186"/>
      <c r="H2797" s="187"/>
      <c r="I2797" s="28"/>
      <c r="J2797" s="184" t="s">
        <v>4360</v>
      </c>
    </row>
    <row r="2798" spans="3:10" x14ac:dyDescent="0.25">
      <c r="C2798" s="28" t="s">
        <v>5315</v>
      </c>
      <c r="D2798" s="188"/>
      <c r="E2798" s="31"/>
      <c r="F2798" s="185" t="s">
        <v>4360</v>
      </c>
      <c r="G2798" s="186"/>
      <c r="H2798" s="187"/>
      <c r="I2798" s="28"/>
      <c r="J2798" s="184" t="s">
        <v>4360</v>
      </c>
    </row>
    <row r="2799" spans="3:10" x14ac:dyDescent="0.25">
      <c r="C2799" s="28" t="s">
        <v>5304</v>
      </c>
      <c r="D2799" s="188"/>
      <c r="E2799" s="31"/>
      <c r="F2799" s="185" t="s">
        <v>4360</v>
      </c>
      <c r="G2799" s="186"/>
      <c r="H2799" s="187"/>
      <c r="I2799" s="28"/>
      <c r="J2799" s="184" t="s">
        <v>4360</v>
      </c>
    </row>
    <row r="2800" spans="3:10" x14ac:dyDescent="0.25">
      <c r="C2800" s="28" t="s">
        <v>5305</v>
      </c>
      <c r="D2800" s="188"/>
      <c r="E2800" s="31"/>
      <c r="F2800" s="185" t="s">
        <v>4360</v>
      </c>
      <c r="G2800" s="186"/>
      <c r="H2800" s="187"/>
      <c r="I2800" s="28"/>
      <c r="J2800" s="184" t="s">
        <v>4360</v>
      </c>
    </row>
    <row r="2801" spans="3:10" x14ac:dyDescent="0.25">
      <c r="C2801" s="28" t="s">
        <v>5485</v>
      </c>
      <c r="D2801" s="188"/>
      <c r="E2801" s="31"/>
      <c r="F2801" s="185" t="s">
        <v>4360</v>
      </c>
      <c r="G2801" s="186"/>
      <c r="H2801" s="187"/>
      <c r="I2801" s="28"/>
      <c r="J2801" s="184" t="s">
        <v>4360</v>
      </c>
    </row>
    <row r="2802" spans="3:10" x14ac:dyDescent="0.25">
      <c r="C2802" s="28" t="s">
        <v>5486</v>
      </c>
      <c r="D2802" s="188"/>
      <c r="E2802" s="31"/>
      <c r="F2802" s="185" t="s">
        <v>4360</v>
      </c>
      <c r="G2802" s="186"/>
      <c r="H2802" s="187"/>
      <c r="I2802" s="28"/>
      <c r="J2802" s="184" t="s">
        <v>4360</v>
      </c>
    </row>
    <row r="2803" spans="3:10" x14ac:dyDescent="0.25">
      <c r="C2803" s="28" t="s">
        <v>5487</v>
      </c>
      <c r="D2803" s="188"/>
      <c r="E2803" s="31"/>
      <c r="F2803" s="185" t="s">
        <v>4360</v>
      </c>
      <c r="G2803" s="186"/>
      <c r="H2803" s="187"/>
      <c r="I2803" s="28"/>
      <c r="J2803" s="184" t="s">
        <v>4360</v>
      </c>
    </row>
    <row r="2804" spans="3:10" x14ac:dyDescent="0.25">
      <c r="C2804" s="28" t="s">
        <v>5488</v>
      </c>
      <c r="D2804" s="188"/>
      <c r="E2804" s="31"/>
      <c r="F2804" s="185" t="s">
        <v>4360</v>
      </c>
      <c r="G2804" s="186"/>
      <c r="H2804" s="187"/>
      <c r="I2804" s="28"/>
      <c r="J2804" s="184" t="s">
        <v>4360</v>
      </c>
    </row>
    <row r="2805" spans="3:10" x14ac:dyDescent="0.25">
      <c r="C2805" s="28" t="s">
        <v>5489</v>
      </c>
      <c r="D2805" s="188"/>
      <c r="E2805" s="31"/>
      <c r="F2805" s="185" t="s">
        <v>4360</v>
      </c>
      <c r="G2805" s="186"/>
      <c r="H2805" s="187"/>
      <c r="I2805" s="28"/>
      <c r="J2805" s="184" t="s">
        <v>4360</v>
      </c>
    </row>
    <row r="2806" spans="3:10" x14ac:dyDescent="0.25">
      <c r="C2806" s="28" t="s">
        <v>5490</v>
      </c>
      <c r="D2806" s="188"/>
      <c r="E2806" s="31"/>
      <c r="F2806" s="185" t="s">
        <v>4360</v>
      </c>
      <c r="G2806" s="186"/>
      <c r="H2806" s="187"/>
      <c r="I2806" s="28"/>
      <c r="J2806" s="184" t="s">
        <v>4360</v>
      </c>
    </row>
    <row r="2807" spans="3:10" x14ac:dyDescent="0.25">
      <c r="C2807" s="28" t="s">
        <v>5491</v>
      </c>
      <c r="D2807" s="188"/>
      <c r="E2807" s="31"/>
      <c r="F2807" s="185" t="s">
        <v>4360</v>
      </c>
      <c r="G2807" s="186"/>
      <c r="H2807" s="187"/>
      <c r="I2807" s="28"/>
      <c r="J2807" s="184" t="s">
        <v>4360</v>
      </c>
    </row>
    <row r="2808" spans="3:10" x14ac:dyDescent="0.25">
      <c r="C2808" s="28" t="s">
        <v>5492</v>
      </c>
      <c r="D2808" s="188"/>
      <c r="E2808" s="31"/>
      <c r="F2808" s="185" t="s">
        <v>4360</v>
      </c>
      <c r="G2808" s="186"/>
      <c r="H2808" s="187"/>
      <c r="I2808" s="28"/>
      <c r="J2808" s="184" t="s">
        <v>4360</v>
      </c>
    </row>
    <row r="2809" spans="3:10" x14ac:dyDescent="0.25">
      <c r="C2809" s="28" t="s">
        <v>5493</v>
      </c>
      <c r="D2809" s="188"/>
      <c r="E2809" s="31"/>
      <c r="F2809" s="185" t="s">
        <v>4360</v>
      </c>
      <c r="G2809" s="186"/>
      <c r="H2809" s="187"/>
      <c r="I2809" s="28"/>
      <c r="J2809" s="184" t="s">
        <v>4360</v>
      </c>
    </row>
    <row r="2810" spans="3:10" x14ac:dyDescent="0.25">
      <c r="C2810" s="28" t="s">
        <v>5494</v>
      </c>
      <c r="D2810" s="188"/>
      <c r="E2810" s="31"/>
      <c r="F2810" s="185" t="s">
        <v>4360</v>
      </c>
      <c r="G2810" s="186"/>
      <c r="H2810" s="187"/>
      <c r="I2810" s="28"/>
      <c r="J2810" s="184" t="s">
        <v>4360</v>
      </c>
    </row>
    <row r="2811" spans="3:10" x14ac:dyDescent="0.25">
      <c r="C2811" s="28" t="s">
        <v>5502</v>
      </c>
      <c r="D2811" s="188"/>
      <c r="E2811" s="31"/>
      <c r="F2811" s="185" t="s">
        <v>4360</v>
      </c>
      <c r="G2811" s="186"/>
      <c r="H2811" s="187"/>
      <c r="I2811" s="28"/>
      <c r="J2811" s="184" t="s">
        <v>4360</v>
      </c>
    </row>
    <row r="2812" spans="3:10" x14ac:dyDescent="0.25">
      <c r="C2812" s="28" t="s">
        <v>5503</v>
      </c>
      <c r="D2812" s="188"/>
      <c r="E2812" s="31"/>
      <c r="F2812" s="185" t="s">
        <v>4360</v>
      </c>
      <c r="G2812" s="186"/>
      <c r="H2812" s="187"/>
      <c r="I2812" s="28"/>
      <c r="J2812" s="184" t="s">
        <v>4360</v>
      </c>
    </row>
    <row r="2813" spans="3:10" x14ac:dyDescent="0.25">
      <c r="C2813" s="28" t="s">
        <v>5504</v>
      </c>
      <c r="D2813" s="188"/>
      <c r="E2813" s="31"/>
      <c r="F2813" s="185" t="s">
        <v>4360</v>
      </c>
      <c r="G2813" s="186"/>
      <c r="H2813" s="187"/>
      <c r="I2813" s="28"/>
      <c r="J2813" s="184" t="s">
        <v>4360</v>
      </c>
    </row>
    <row r="2814" spans="3:10" x14ac:dyDescent="0.25">
      <c r="C2814" s="28" t="s">
        <v>5505</v>
      </c>
      <c r="D2814" s="188"/>
      <c r="E2814" s="31"/>
      <c r="F2814" s="185" t="s">
        <v>4360</v>
      </c>
      <c r="G2814" s="186"/>
      <c r="H2814" s="187"/>
      <c r="I2814" s="28"/>
      <c r="J2814" s="184" t="s">
        <v>4360</v>
      </c>
    </row>
    <row r="2815" spans="3:10" x14ac:dyDescent="0.25">
      <c r="C2815" s="28" t="s">
        <v>5506</v>
      </c>
      <c r="D2815" s="188"/>
      <c r="E2815" s="31"/>
      <c r="F2815" s="185" t="s">
        <v>4360</v>
      </c>
      <c r="G2815" s="186"/>
      <c r="H2815" s="187"/>
      <c r="I2815" s="28"/>
      <c r="J2815" s="184" t="s">
        <v>4360</v>
      </c>
    </row>
    <row r="2816" spans="3:10" x14ac:dyDescent="0.25">
      <c r="C2816" s="28" t="s">
        <v>5507</v>
      </c>
      <c r="D2816" s="188"/>
      <c r="E2816" s="31"/>
      <c r="F2816" s="185" t="s">
        <v>4360</v>
      </c>
      <c r="G2816" s="186"/>
      <c r="H2816" s="187"/>
      <c r="I2816" s="28"/>
      <c r="J2816" s="184" t="s">
        <v>4360</v>
      </c>
    </row>
    <row r="2817" spans="3:10" x14ac:dyDescent="0.25">
      <c r="C2817" s="28" t="s">
        <v>5508</v>
      </c>
      <c r="D2817" s="188"/>
      <c r="E2817" s="31"/>
      <c r="F2817" s="185" t="s">
        <v>4360</v>
      </c>
      <c r="G2817" s="186"/>
      <c r="H2817" s="187"/>
      <c r="I2817" s="28"/>
      <c r="J2817" s="184" t="s">
        <v>4360</v>
      </c>
    </row>
    <row r="2818" spans="3:10" x14ac:dyDescent="0.25">
      <c r="C2818" s="28" t="s">
        <v>5509</v>
      </c>
      <c r="D2818" s="188"/>
      <c r="E2818" s="31"/>
      <c r="F2818" s="185" t="s">
        <v>4360</v>
      </c>
      <c r="G2818" s="186"/>
      <c r="H2818" s="187"/>
      <c r="I2818" s="28"/>
      <c r="J2818" s="184" t="s">
        <v>4360</v>
      </c>
    </row>
    <row r="2819" spans="3:10" x14ac:dyDescent="0.25">
      <c r="C2819" s="28" t="s">
        <v>5510</v>
      </c>
      <c r="D2819" s="188"/>
      <c r="E2819" s="31"/>
      <c r="F2819" s="185" t="s">
        <v>4360</v>
      </c>
      <c r="G2819" s="186"/>
      <c r="H2819" s="187"/>
      <c r="I2819" s="28"/>
      <c r="J2819" s="184" t="s">
        <v>4360</v>
      </c>
    </row>
    <row r="2820" spans="3:10" x14ac:dyDescent="0.25">
      <c r="C2820" s="28" t="s">
        <v>5511</v>
      </c>
      <c r="D2820" s="188"/>
      <c r="E2820" s="31"/>
      <c r="F2820" s="185" t="s">
        <v>4360</v>
      </c>
      <c r="G2820" s="186"/>
      <c r="H2820" s="187"/>
      <c r="I2820" s="28"/>
      <c r="J2820" s="184" t="s">
        <v>4360</v>
      </c>
    </row>
    <row r="2821" spans="3:10" x14ac:dyDescent="0.25">
      <c r="C2821" s="28" t="s">
        <v>5512</v>
      </c>
      <c r="D2821" s="188"/>
      <c r="E2821" s="31"/>
      <c r="F2821" s="185" t="s">
        <v>4360</v>
      </c>
      <c r="G2821" s="186"/>
      <c r="H2821" s="187"/>
      <c r="I2821" s="28"/>
      <c r="J2821" s="184" t="s">
        <v>4360</v>
      </c>
    </row>
    <row r="2822" spans="3:10" x14ac:dyDescent="0.25">
      <c r="C2822" s="28" t="s">
        <v>5513</v>
      </c>
      <c r="D2822" s="188"/>
      <c r="E2822" s="31"/>
      <c r="F2822" s="185" t="s">
        <v>4360</v>
      </c>
      <c r="G2822" s="186"/>
      <c r="H2822" s="187"/>
      <c r="I2822" s="28"/>
      <c r="J2822" s="184" t="s">
        <v>4360</v>
      </c>
    </row>
    <row r="2823" spans="3:10" x14ac:dyDescent="0.25">
      <c r="C2823" s="28" t="s">
        <v>5514</v>
      </c>
      <c r="D2823" s="188"/>
      <c r="E2823" s="31"/>
      <c r="F2823" s="185" t="s">
        <v>4360</v>
      </c>
      <c r="G2823" s="186"/>
      <c r="H2823" s="187"/>
      <c r="I2823" s="28"/>
      <c r="J2823" s="184" t="s">
        <v>4360</v>
      </c>
    </row>
    <row r="2824" spans="3:10" x14ac:dyDescent="0.25">
      <c r="C2824" s="28" t="s">
        <v>5515</v>
      </c>
      <c r="D2824" s="188"/>
      <c r="E2824" s="31"/>
      <c r="F2824" s="185" t="s">
        <v>4360</v>
      </c>
      <c r="G2824" s="186"/>
      <c r="H2824" s="187"/>
      <c r="I2824" s="28"/>
      <c r="J2824" s="184" t="s">
        <v>4360</v>
      </c>
    </row>
    <row r="2825" spans="3:10" x14ac:dyDescent="0.25">
      <c r="C2825" s="28" t="s">
        <v>5516</v>
      </c>
      <c r="D2825" s="188"/>
      <c r="E2825" s="31"/>
      <c r="F2825" s="185" t="s">
        <v>4360</v>
      </c>
      <c r="G2825" s="186"/>
      <c r="H2825" s="187"/>
      <c r="I2825" s="28"/>
      <c r="J2825" s="184" t="s">
        <v>4360</v>
      </c>
    </row>
    <row r="2826" spans="3:10" x14ac:dyDescent="0.25">
      <c r="C2826" s="28" t="s">
        <v>5517</v>
      </c>
      <c r="D2826" s="188"/>
      <c r="E2826" s="31"/>
      <c r="F2826" s="185" t="s">
        <v>4360</v>
      </c>
      <c r="G2826" s="186"/>
      <c r="H2826" s="187"/>
      <c r="I2826" s="28"/>
      <c r="J2826" s="184" t="s">
        <v>4360</v>
      </c>
    </row>
    <row r="2827" spans="3:10" x14ac:dyDescent="0.25">
      <c r="C2827" s="28" t="s">
        <v>5518</v>
      </c>
      <c r="D2827" s="188"/>
      <c r="E2827" s="31"/>
      <c r="F2827" s="185" t="s">
        <v>4360</v>
      </c>
      <c r="G2827" s="186"/>
      <c r="H2827" s="187"/>
      <c r="I2827" s="28"/>
      <c r="J2827" s="184" t="s">
        <v>4360</v>
      </c>
    </row>
    <row r="2828" spans="3:10" x14ac:dyDescent="0.25">
      <c r="C2828" s="28" t="s">
        <v>5519</v>
      </c>
      <c r="D2828" s="188"/>
      <c r="E2828" s="31"/>
      <c r="F2828" s="185" t="s">
        <v>4360</v>
      </c>
      <c r="G2828" s="186"/>
      <c r="H2828" s="187"/>
      <c r="I2828" s="28"/>
      <c r="J2828" s="184" t="s">
        <v>4360</v>
      </c>
    </row>
    <row r="2829" spans="3:10" x14ac:dyDescent="0.25">
      <c r="C2829" s="28" t="s">
        <v>5520</v>
      </c>
      <c r="D2829" s="188"/>
      <c r="E2829" s="31"/>
      <c r="F2829" s="185" t="s">
        <v>4360</v>
      </c>
      <c r="G2829" s="186"/>
      <c r="H2829" s="187"/>
      <c r="I2829" s="28"/>
      <c r="J2829" s="184" t="s">
        <v>4360</v>
      </c>
    </row>
    <row r="2830" spans="3:10" x14ac:dyDescent="0.25">
      <c r="C2830" s="28" t="s">
        <v>5521</v>
      </c>
      <c r="D2830" s="188"/>
      <c r="E2830" s="31"/>
      <c r="F2830" s="185" t="s">
        <v>4360</v>
      </c>
      <c r="G2830" s="186"/>
      <c r="H2830" s="187"/>
      <c r="I2830" s="28"/>
      <c r="J2830" s="184" t="s">
        <v>4360</v>
      </c>
    </row>
    <row r="2831" spans="3:10" x14ac:dyDescent="0.25">
      <c r="C2831" s="28" t="s">
        <v>5522</v>
      </c>
      <c r="D2831" s="188"/>
      <c r="E2831" s="31"/>
      <c r="F2831" s="185" t="s">
        <v>4360</v>
      </c>
      <c r="G2831" s="186"/>
      <c r="H2831" s="187"/>
      <c r="I2831" s="28"/>
      <c r="J2831" s="184" t="s">
        <v>4360</v>
      </c>
    </row>
    <row r="2832" spans="3:10" x14ac:dyDescent="0.25">
      <c r="C2832" s="28" t="s">
        <v>5523</v>
      </c>
      <c r="D2832" s="188"/>
      <c r="E2832" s="31"/>
      <c r="F2832" s="185" t="s">
        <v>4360</v>
      </c>
      <c r="G2832" s="186"/>
      <c r="H2832" s="187"/>
      <c r="I2832" s="28"/>
      <c r="J2832" s="184" t="s">
        <v>4360</v>
      </c>
    </row>
    <row r="2833" spans="3:10" x14ac:dyDescent="0.25">
      <c r="C2833" s="28" t="s">
        <v>5524</v>
      </c>
      <c r="D2833" s="188"/>
      <c r="E2833" s="31"/>
      <c r="F2833" s="185" t="s">
        <v>4360</v>
      </c>
      <c r="G2833" s="186"/>
      <c r="H2833" s="187"/>
      <c r="I2833" s="28"/>
      <c r="J2833" s="184" t="s">
        <v>4360</v>
      </c>
    </row>
    <row r="2834" spans="3:10" x14ac:dyDescent="0.25">
      <c r="C2834" s="28" t="s">
        <v>5525</v>
      </c>
      <c r="D2834" s="188"/>
      <c r="E2834" s="31"/>
      <c r="F2834" s="185" t="s">
        <v>4360</v>
      </c>
      <c r="G2834" s="186"/>
      <c r="H2834" s="187"/>
      <c r="I2834" s="28"/>
      <c r="J2834" s="184" t="s">
        <v>4360</v>
      </c>
    </row>
    <row r="2835" spans="3:10" x14ac:dyDescent="0.25">
      <c r="C2835" s="28" t="s">
        <v>5526</v>
      </c>
      <c r="D2835" s="188"/>
      <c r="E2835" s="31"/>
      <c r="F2835" s="185" t="s">
        <v>4360</v>
      </c>
      <c r="G2835" s="186"/>
      <c r="H2835" s="187"/>
      <c r="I2835" s="28"/>
      <c r="J2835" s="184" t="s">
        <v>4360</v>
      </c>
    </row>
    <row r="2836" spans="3:10" x14ac:dyDescent="0.25">
      <c r="C2836" s="28" t="s">
        <v>5527</v>
      </c>
      <c r="D2836" s="188"/>
      <c r="E2836" s="31"/>
      <c r="F2836" s="185" t="s">
        <v>4360</v>
      </c>
      <c r="G2836" s="186"/>
      <c r="H2836" s="187"/>
      <c r="I2836" s="28"/>
      <c r="J2836" s="184" t="s">
        <v>4360</v>
      </c>
    </row>
    <row r="2837" spans="3:10" x14ac:dyDescent="0.25">
      <c r="C2837" s="28" t="s">
        <v>5528</v>
      </c>
      <c r="D2837" s="188"/>
      <c r="E2837" s="31"/>
      <c r="F2837" s="185" t="s">
        <v>4360</v>
      </c>
      <c r="G2837" s="186"/>
      <c r="H2837" s="187"/>
      <c r="I2837" s="28"/>
      <c r="J2837" s="184" t="s">
        <v>4360</v>
      </c>
    </row>
    <row r="2838" spans="3:10" x14ac:dyDescent="0.25">
      <c r="C2838" s="28" t="s">
        <v>5529</v>
      </c>
      <c r="D2838" s="188"/>
      <c r="E2838" s="31"/>
      <c r="F2838" s="185" t="s">
        <v>4360</v>
      </c>
      <c r="G2838" s="186"/>
      <c r="H2838" s="187"/>
      <c r="I2838" s="28"/>
      <c r="J2838" s="184" t="s">
        <v>4360</v>
      </c>
    </row>
    <row r="2839" spans="3:10" x14ac:dyDescent="0.25">
      <c r="C2839" s="28" t="s">
        <v>5530</v>
      </c>
      <c r="D2839" s="188"/>
      <c r="E2839" s="31"/>
      <c r="F2839" s="185" t="s">
        <v>4360</v>
      </c>
      <c r="G2839" s="186"/>
      <c r="H2839" s="187"/>
      <c r="I2839" s="28"/>
      <c r="J2839" s="184" t="s">
        <v>4360</v>
      </c>
    </row>
    <row r="2840" spans="3:10" x14ac:dyDescent="0.25">
      <c r="C2840" s="28" t="s">
        <v>5531</v>
      </c>
      <c r="D2840" s="188"/>
      <c r="E2840" s="31"/>
      <c r="F2840" s="185" t="s">
        <v>4360</v>
      </c>
      <c r="G2840" s="186"/>
      <c r="H2840" s="187"/>
      <c r="I2840" s="28"/>
      <c r="J2840" s="184" t="s">
        <v>4360</v>
      </c>
    </row>
    <row r="2841" spans="3:10" x14ac:dyDescent="0.25">
      <c r="C2841" s="28" t="s">
        <v>5532</v>
      </c>
      <c r="D2841" s="188"/>
      <c r="E2841" s="31"/>
      <c r="F2841" s="185" t="s">
        <v>4360</v>
      </c>
      <c r="G2841" s="186"/>
      <c r="H2841" s="187"/>
      <c r="I2841" s="28"/>
      <c r="J2841" s="184" t="s">
        <v>4360</v>
      </c>
    </row>
    <row r="2842" spans="3:10" x14ac:dyDescent="0.25">
      <c r="C2842" s="28" t="s">
        <v>5533</v>
      </c>
      <c r="D2842" s="188"/>
      <c r="E2842" s="31"/>
      <c r="F2842" s="185" t="s">
        <v>4360</v>
      </c>
      <c r="G2842" s="186"/>
      <c r="H2842" s="187"/>
      <c r="I2842" s="28"/>
      <c r="J2842" s="184" t="s">
        <v>4360</v>
      </c>
    </row>
    <row r="2843" spans="3:10" x14ac:dyDescent="0.25">
      <c r="C2843" s="28" t="s">
        <v>5534</v>
      </c>
      <c r="D2843" s="188"/>
      <c r="E2843" s="31"/>
      <c r="F2843" s="185" t="s">
        <v>4360</v>
      </c>
      <c r="G2843" s="186"/>
      <c r="H2843" s="187"/>
      <c r="I2843" s="28"/>
      <c r="J2843" s="184" t="s">
        <v>4360</v>
      </c>
    </row>
    <row r="2844" spans="3:10" x14ac:dyDescent="0.25">
      <c r="C2844" s="28" t="s">
        <v>5535</v>
      </c>
      <c r="D2844" s="188"/>
      <c r="E2844" s="31"/>
      <c r="F2844" s="185" t="s">
        <v>4360</v>
      </c>
      <c r="G2844" s="186"/>
      <c r="H2844" s="187"/>
      <c r="I2844" s="28"/>
      <c r="J2844" s="184" t="s">
        <v>4360</v>
      </c>
    </row>
    <row r="2845" spans="3:10" x14ac:dyDescent="0.25">
      <c r="C2845" s="28" t="s">
        <v>5536</v>
      </c>
      <c r="D2845" s="188"/>
      <c r="E2845" s="31"/>
      <c r="F2845" s="185" t="s">
        <v>4360</v>
      </c>
      <c r="G2845" s="186"/>
      <c r="H2845" s="187"/>
      <c r="I2845" s="28"/>
      <c r="J2845" s="184" t="s">
        <v>4360</v>
      </c>
    </row>
    <row r="2846" spans="3:10" x14ac:dyDescent="0.25">
      <c r="C2846" s="28" t="s">
        <v>5537</v>
      </c>
      <c r="D2846" s="188"/>
      <c r="E2846" s="31"/>
      <c r="F2846" s="185" t="s">
        <v>4360</v>
      </c>
      <c r="G2846" s="186"/>
      <c r="H2846" s="187"/>
      <c r="I2846" s="28"/>
      <c r="J2846" s="184" t="s">
        <v>4360</v>
      </c>
    </row>
    <row r="2847" spans="3:10" x14ac:dyDescent="0.25">
      <c r="C2847" s="28" t="s">
        <v>5538</v>
      </c>
      <c r="D2847" s="188"/>
      <c r="E2847" s="31"/>
      <c r="F2847" s="185" t="s">
        <v>4360</v>
      </c>
      <c r="G2847" s="186"/>
      <c r="H2847" s="187"/>
      <c r="I2847" s="28"/>
      <c r="J2847" s="184" t="s">
        <v>4360</v>
      </c>
    </row>
    <row r="2848" spans="3:10" x14ac:dyDescent="0.25">
      <c r="C2848" s="28" t="s">
        <v>5539</v>
      </c>
      <c r="D2848" s="188"/>
      <c r="E2848" s="31"/>
      <c r="F2848" s="185" t="s">
        <v>4360</v>
      </c>
      <c r="G2848" s="186"/>
      <c r="H2848" s="187"/>
      <c r="I2848" s="28"/>
      <c r="J2848" s="184" t="s">
        <v>4360</v>
      </c>
    </row>
    <row r="2849" spans="3:10" x14ac:dyDescent="0.25">
      <c r="C2849" s="28" t="s">
        <v>5540</v>
      </c>
      <c r="D2849" s="188"/>
      <c r="E2849" s="31"/>
      <c r="F2849" s="185" t="s">
        <v>4360</v>
      </c>
      <c r="G2849" s="186"/>
      <c r="H2849" s="187"/>
      <c r="I2849" s="28"/>
      <c r="J2849" s="184" t="s">
        <v>4360</v>
      </c>
    </row>
    <row r="2850" spans="3:10" x14ac:dyDescent="0.25">
      <c r="C2850" s="28" t="s">
        <v>5541</v>
      </c>
      <c r="D2850" s="188"/>
      <c r="E2850" s="31"/>
      <c r="F2850" s="185" t="s">
        <v>4360</v>
      </c>
      <c r="G2850" s="186"/>
      <c r="H2850" s="187"/>
      <c r="I2850" s="28"/>
      <c r="J2850" s="184" t="s">
        <v>4360</v>
      </c>
    </row>
    <row r="2851" spans="3:10" x14ac:dyDescent="0.25">
      <c r="C2851" s="28" t="s">
        <v>5542</v>
      </c>
      <c r="D2851" s="188"/>
      <c r="E2851" s="31"/>
      <c r="F2851" s="185" t="s">
        <v>4360</v>
      </c>
      <c r="G2851" s="186"/>
      <c r="H2851" s="187"/>
      <c r="I2851" s="28"/>
      <c r="J2851" s="184" t="s">
        <v>4360</v>
      </c>
    </row>
    <row r="2852" spans="3:10" x14ac:dyDescent="0.25">
      <c r="C2852" s="28" t="s">
        <v>5543</v>
      </c>
      <c r="D2852" s="188"/>
      <c r="E2852" s="31"/>
      <c r="F2852" s="185" t="s">
        <v>4360</v>
      </c>
      <c r="G2852" s="186"/>
      <c r="H2852" s="187"/>
      <c r="I2852" s="28"/>
      <c r="J2852" s="184" t="s">
        <v>4360</v>
      </c>
    </row>
    <row r="2853" spans="3:10" x14ac:dyDescent="0.25">
      <c r="C2853" s="28" t="s">
        <v>5544</v>
      </c>
      <c r="D2853" s="188"/>
      <c r="E2853" s="31"/>
      <c r="F2853" s="185" t="s">
        <v>4360</v>
      </c>
      <c r="G2853" s="186"/>
      <c r="H2853" s="187"/>
      <c r="I2853" s="28"/>
      <c r="J2853" s="184" t="s">
        <v>4360</v>
      </c>
    </row>
    <row r="2854" spans="3:10" x14ac:dyDescent="0.25">
      <c r="C2854" s="28" t="s">
        <v>5567</v>
      </c>
      <c r="D2854" s="188"/>
      <c r="E2854" s="31"/>
      <c r="F2854" s="185" t="s">
        <v>4360</v>
      </c>
      <c r="G2854" s="186"/>
      <c r="H2854" s="187"/>
      <c r="I2854" s="28"/>
      <c r="J2854" s="184" t="s">
        <v>4360</v>
      </c>
    </row>
    <row r="2855" spans="3:10" x14ac:dyDescent="0.25">
      <c r="C2855" s="28" t="s">
        <v>5568</v>
      </c>
      <c r="D2855" s="188"/>
      <c r="E2855" s="31"/>
      <c r="F2855" s="185" t="s">
        <v>4360</v>
      </c>
      <c r="G2855" s="186"/>
      <c r="H2855" s="187"/>
      <c r="I2855" s="28"/>
      <c r="J2855" s="184" t="s">
        <v>4360</v>
      </c>
    </row>
    <row r="2856" spans="3:10" x14ac:dyDescent="0.25">
      <c r="C2856" s="28" t="s">
        <v>5570</v>
      </c>
      <c r="D2856" s="188"/>
      <c r="E2856" s="31"/>
      <c r="F2856" s="185" t="s">
        <v>4360</v>
      </c>
      <c r="G2856" s="186"/>
      <c r="H2856" s="187"/>
      <c r="I2856" s="28"/>
      <c r="J2856" s="184" t="s">
        <v>4360</v>
      </c>
    </row>
    <row r="2857" spans="3:10" x14ac:dyDescent="0.25">
      <c r="C2857" s="28" t="s">
        <v>5571</v>
      </c>
      <c r="D2857" s="188"/>
      <c r="E2857" s="31"/>
      <c r="F2857" s="185" t="s">
        <v>4360</v>
      </c>
      <c r="G2857" s="186"/>
      <c r="H2857" s="187"/>
      <c r="I2857" s="28"/>
      <c r="J2857" s="184" t="s">
        <v>4360</v>
      </c>
    </row>
    <row r="2858" spans="3:10" x14ac:dyDescent="0.25">
      <c r="C2858" s="28" t="s">
        <v>5584</v>
      </c>
      <c r="D2858" s="188"/>
      <c r="E2858" s="31"/>
      <c r="F2858" s="185" t="s">
        <v>4360</v>
      </c>
      <c r="G2858" s="186"/>
      <c r="H2858" s="187"/>
      <c r="I2858" s="28"/>
      <c r="J2858" s="184" t="s">
        <v>4360</v>
      </c>
    </row>
    <row r="2859" spans="3:10" x14ac:dyDescent="0.25">
      <c r="C2859" s="28" t="s">
        <v>5585</v>
      </c>
      <c r="D2859" s="188"/>
      <c r="E2859" s="31"/>
      <c r="F2859" s="185" t="s">
        <v>4360</v>
      </c>
      <c r="G2859" s="186"/>
      <c r="H2859" s="187"/>
      <c r="I2859" s="28"/>
      <c r="J2859" s="184" t="s">
        <v>4360</v>
      </c>
    </row>
    <row r="2860" spans="3:10" x14ac:dyDescent="0.25">
      <c r="C2860" s="28" t="s">
        <v>5586</v>
      </c>
      <c r="D2860" s="188"/>
      <c r="E2860" s="31"/>
      <c r="F2860" s="185" t="s">
        <v>4360</v>
      </c>
      <c r="G2860" s="186"/>
      <c r="H2860" s="187"/>
      <c r="I2860" s="28"/>
      <c r="J2860" s="184" t="s">
        <v>4360</v>
      </c>
    </row>
    <row r="2861" spans="3:10" x14ac:dyDescent="0.25">
      <c r="C2861" s="28" t="s">
        <v>5587</v>
      </c>
      <c r="D2861" s="188"/>
      <c r="E2861" s="31"/>
      <c r="F2861" s="185" t="s">
        <v>4360</v>
      </c>
      <c r="G2861" s="186"/>
      <c r="H2861" s="187"/>
      <c r="I2861" s="28"/>
      <c r="J2861" s="184" t="s">
        <v>4360</v>
      </c>
    </row>
    <row r="2862" spans="3:10" x14ac:dyDescent="0.25">
      <c r="C2862" s="28" t="s">
        <v>5588</v>
      </c>
      <c r="D2862" s="188"/>
      <c r="E2862" s="31"/>
      <c r="F2862" s="185" t="s">
        <v>4360</v>
      </c>
      <c r="G2862" s="186"/>
      <c r="H2862" s="187"/>
      <c r="I2862" s="28"/>
      <c r="J2862" s="184" t="s">
        <v>4360</v>
      </c>
    </row>
    <row r="2863" spans="3:10" x14ac:dyDescent="0.25">
      <c r="C2863" s="28" t="s">
        <v>5589</v>
      </c>
      <c r="D2863" s="188"/>
      <c r="E2863" s="31"/>
      <c r="F2863" s="185" t="s">
        <v>4360</v>
      </c>
      <c r="G2863" s="186"/>
      <c r="H2863" s="187"/>
      <c r="I2863" s="28"/>
      <c r="J2863" s="184" t="s">
        <v>4360</v>
      </c>
    </row>
    <row r="2864" spans="3:10" x14ac:dyDescent="0.25">
      <c r="C2864" s="28" t="s">
        <v>5590</v>
      </c>
      <c r="D2864" s="188"/>
      <c r="E2864" s="31"/>
      <c r="F2864" s="185" t="s">
        <v>4360</v>
      </c>
      <c r="G2864" s="186"/>
      <c r="H2864" s="187"/>
      <c r="I2864" s="28"/>
      <c r="J2864" s="184" t="s">
        <v>4360</v>
      </c>
    </row>
    <row r="2865" spans="3:10" x14ac:dyDescent="0.25">
      <c r="C2865" s="28" t="s">
        <v>5591</v>
      </c>
      <c r="D2865" s="188"/>
      <c r="E2865" s="31"/>
      <c r="F2865" s="185" t="s">
        <v>4360</v>
      </c>
      <c r="G2865" s="186"/>
      <c r="H2865" s="187"/>
      <c r="I2865" s="28"/>
      <c r="J2865" s="184" t="s">
        <v>4360</v>
      </c>
    </row>
    <row r="2866" spans="3:10" x14ac:dyDescent="0.25">
      <c r="C2866" s="28" t="s">
        <v>5592</v>
      </c>
      <c r="D2866" s="188"/>
      <c r="E2866" s="31"/>
      <c r="F2866" s="185" t="s">
        <v>4360</v>
      </c>
      <c r="G2866" s="186"/>
      <c r="H2866" s="187"/>
      <c r="I2866" s="28"/>
      <c r="J2866" s="184" t="s">
        <v>4360</v>
      </c>
    </row>
    <row r="2867" spans="3:10" x14ac:dyDescent="0.25">
      <c r="C2867" s="28" t="s">
        <v>5593</v>
      </c>
      <c r="D2867" s="188"/>
      <c r="E2867" s="31"/>
      <c r="F2867" s="185" t="s">
        <v>4360</v>
      </c>
      <c r="G2867" s="186"/>
      <c r="H2867" s="187"/>
      <c r="I2867" s="28"/>
      <c r="J2867" s="184" t="s">
        <v>4360</v>
      </c>
    </row>
    <row r="2868" spans="3:10" x14ac:dyDescent="0.25">
      <c r="C2868" s="28" t="s">
        <v>5594</v>
      </c>
      <c r="D2868" s="188"/>
      <c r="E2868" s="31"/>
      <c r="F2868" s="185" t="s">
        <v>4360</v>
      </c>
      <c r="G2868" s="186"/>
      <c r="H2868" s="187"/>
      <c r="I2868" s="28"/>
      <c r="J2868" s="184" t="s">
        <v>4360</v>
      </c>
    </row>
    <row r="2869" spans="3:10" x14ac:dyDescent="0.25">
      <c r="C2869" s="28" t="s">
        <v>5595</v>
      </c>
      <c r="D2869" s="188"/>
      <c r="E2869" s="31"/>
      <c r="F2869" s="185" t="s">
        <v>4360</v>
      </c>
      <c r="G2869" s="186"/>
      <c r="H2869" s="187"/>
      <c r="I2869" s="28"/>
      <c r="J2869" s="184" t="s">
        <v>4360</v>
      </c>
    </row>
    <row r="2870" spans="3:10" x14ac:dyDescent="0.25">
      <c r="C2870" s="28" t="s">
        <v>5596</v>
      </c>
      <c r="D2870" s="188"/>
      <c r="E2870" s="31"/>
      <c r="F2870" s="185" t="s">
        <v>4360</v>
      </c>
      <c r="G2870" s="186"/>
      <c r="H2870" s="187"/>
      <c r="I2870" s="28"/>
      <c r="J2870" s="184" t="s">
        <v>4360</v>
      </c>
    </row>
    <row r="2871" spans="3:10" x14ac:dyDescent="0.25">
      <c r="C2871" s="28" t="s">
        <v>5597</v>
      </c>
      <c r="D2871" s="188"/>
      <c r="E2871" s="31"/>
      <c r="F2871" s="185" t="s">
        <v>4360</v>
      </c>
      <c r="G2871" s="186"/>
      <c r="H2871" s="187"/>
      <c r="I2871" s="28"/>
      <c r="J2871" s="184" t="s">
        <v>4360</v>
      </c>
    </row>
    <row r="2872" spans="3:10" x14ac:dyDescent="0.25">
      <c r="C2872" s="28" t="s">
        <v>5598</v>
      </c>
      <c r="D2872" s="188"/>
      <c r="E2872" s="31"/>
      <c r="F2872" s="185" t="s">
        <v>4360</v>
      </c>
      <c r="G2872" s="186"/>
      <c r="H2872" s="187"/>
      <c r="I2872" s="28"/>
      <c r="J2872" s="184" t="s">
        <v>4360</v>
      </c>
    </row>
    <row r="2873" spans="3:10" x14ac:dyDescent="0.25">
      <c r="C2873" s="28" t="s">
        <v>5599</v>
      </c>
      <c r="D2873" s="188"/>
      <c r="E2873" s="31"/>
      <c r="F2873" s="185" t="s">
        <v>4360</v>
      </c>
      <c r="G2873" s="186"/>
      <c r="H2873" s="187"/>
      <c r="I2873" s="28"/>
      <c r="J2873" s="184" t="s">
        <v>4360</v>
      </c>
    </row>
    <row r="2874" spans="3:10" x14ac:dyDescent="0.25">
      <c r="C2874" s="28" t="s">
        <v>5600</v>
      </c>
      <c r="D2874" s="188"/>
      <c r="E2874" s="31"/>
      <c r="F2874" s="185" t="s">
        <v>4360</v>
      </c>
      <c r="G2874" s="186"/>
      <c r="H2874" s="187"/>
      <c r="I2874" s="28"/>
      <c r="J2874" s="184" t="s">
        <v>4360</v>
      </c>
    </row>
    <row r="2875" spans="3:10" x14ac:dyDescent="0.25">
      <c r="C2875" s="28" t="s">
        <v>5601</v>
      </c>
      <c r="D2875" s="188"/>
      <c r="E2875" s="31"/>
      <c r="F2875" s="185" t="s">
        <v>4360</v>
      </c>
      <c r="G2875" s="186"/>
      <c r="H2875" s="187"/>
      <c r="I2875" s="28"/>
      <c r="J2875" s="184" t="s">
        <v>4360</v>
      </c>
    </row>
    <row r="2876" spans="3:10" x14ac:dyDescent="0.25">
      <c r="C2876" s="28" t="s">
        <v>5602</v>
      </c>
      <c r="D2876" s="188"/>
      <c r="E2876" s="31"/>
      <c r="F2876" s="185" t="s">
        <v>4360</v>
      </c>
      <c r="G2876" s="186"/>
      <c r="H2876" s="187"/>
      <c r="I2876" s="28"/>
      <c r="J2876" s="184" t="s">
        <v>4360</v>
      </c>
    </row>
    <row r="2877" spans="3:10" x14ac:dyDescent="0.25">
      <c r="C2877" s="28" t="s">
        <v>5603</v>
      </c>
      <c r="D2877" s="188"/>
      <c r="E2877" s="31"/>
      <c r="F2877" s="185" t="s">
        <v>4360</v>
      </c>
      <c r="G2877" s="186"/>
      <c r="H2877" s="187"/>
      <c r="I2877" s="28"/>
      <c r="J2877" s="184" t="s">
        <v>4360</v>
      </c>
    </row>
    <row r="2878" spans="3:10" x14ac:dyDescent="0.25">
      <c r="C2878" s="28" t="s">
        <v>5604</v>
      </c>
      <c r="D2878" s="188"/>
      <c r="E2878" s="31"/>
      <c r="F2878" s="185" t="s">
        <v>4360</v>
      </c>
      <c r="G2878" s="186"/>
      <c r="H2878" s="187"/>
      <c r="I2878" s="28"/>
      <c r="J2878" s="184" t="s">
        <v>4360</v>
      </c>
    </row>
    <row r="2879" spans="3:10" x14ac:dyDescent="0.25">
      <c r="C2879" s="28" t="s">
        <v>5605</v>
      </c>
      <c r="D2879" s="188"/>
      <c r="E2879" s="31"/>
      <c r="F2879" s="185" t="s">
        <v>4360</v>
      </c>
      <c r="G2879" s="186"/>
      <c r="H2879" s="187"/>
      <c r="I2879" s="28"/>
      <c r="J2879" s="184" t="s">
        <v>4360</v>
      </c>
    </row>
    <row r="2880" spans="3:10" x14ac:dyDescent="0.25">
      <c r="C2880" s="28" t="s">
        <v>5606</v>
      </c>
      <c r="D2880" s="188"/>
      <c r="E2880" s="31"/>
      <c r="F2880" s="185" t="s">
        <v>4360</v>
      </c>
      <c r="G2880" s="186"/>
      <c r="H2880" s="187"/>
      <c r="I2880" s="28"/>
      <c r="J2880" s="184" t="s">
        <v>4360</v>
      </c>
    </row>
    <row r="2881" spans="3:10" x14ac:dyDescent="0.25">
      <c r="C2881" s="28" t="s">
        <v>5607</v>
      </c>
      <c r="D2881" s="188"/>
      <c r="E2881" s="31"/>
      <c r="F2881" s="185" t="s">
        <v>4360</v>
      </c>
      <c r="G2881" s="186"/>
      <c r="H2881" s="187"/>
      <c r="I2881" s="28"/>
      <c r="J2881" s="184" t="s">
        <v>4360</v>
      </c>
    </row>
    <row r="2882" spans="3:10" x14ac:dyDescent="0.25">
      <c r="C2882" s="28" t="s">
        <v>5608</v>
      </c>
      <c r="D2882" s="188"/>
      <c r="E2882" s="31"/>
      <c r="F2882" s="185" t="s">
        <v>4360</v>
      </c>
      <c r="G2882" s="186"/>
      <c r="H2882" s="187"/>
      <c r="I2882" s="28"/>
      <c r="J2882" s="184" t="s">
        <v>4360</v>
      </c>
    </row>
    <row r="2883" spans="3:10" x14ac:dyDescent="0.25">
      <c r="C2883" s="28" t="s">
        <v>5609</v>
      </c>
      <c r="D2883" s="188"/>
      <c r="E2883" s="31"/>
      <c r="F2883" s="185" t="s">
        <v>4360</v>
      </c>
      <c r="G2883" s="186"/>
      <c r="H2883" s="187"/>
      <c r="I2883" s="28"/>
      <c r="J2883" s="184" t="s">
        <v>4360</v>
      </c>
    </row>
    <row r="2884" spans="3:10" x14ac:dyDescent="0.25">
      <c r="C2884" s="28" t="s">
        <v>5610</v>
      </c>
      <c r="D2884" s="188"/>
      <c r="E2884" s="31"/>
      <c r="F2884" s="185" t="s">
        <v>4360</v>
      </c>
      <c r="G2884" s="186"/>
      <c r="H2884" s="187"/>
      <c r="I2884" s="28"/>
      <c r="J2884" s="184" t="s">
        <v>4360</v>
      </c>
    </row>
    <row r="2885" spans="3:10" x14ac:dyDescent="0.25">
      <c r="C2885" s="28" t="s">
        <v>5611</v>
      </c>
      <c r="D2885" s="188"/>
      <c r="E2885" s="31"/>
      <c r="F2885" s="185" t="s">
        <v>4360</v>
      </c>
      <c r="G2885" s="186"/>
      <c r="H2885" s="187"/>
      <c r="I2885" s="28"/>
      <c r="J2885" s="184" t="s">
        <v>4360</v>
      </c>
    </row>
    <row r="2886" spans="3:10" x14ac:dyDescent="0.25">
      <c r="C2886" s="28" t="s">
        <v>5612</v>
      </c>
      <c r="D2886" s="188"/>
      <c r="E2886" s="31"/>
      <c r="F2886" s="185" t="s">
        <v>4360</v>
      </c>
      <c r="G2886" s="186"/>
      <c r="H2886" s="187"/>
      <c r="I2886" s="28"/>
      <c r="J2886" s="184" t="s">
        <v>4360</v>
      </c>
    </row>
    <row r="2887" spans="3:10" x14ac:dyDescent="0.25">
      <c r="C2887" s="28" t="s">
        <v>5613</v>
      </c>
      <c r="D2887" s="188"/>
      <c r="E2887" s="31"/>
      <c r="F2887" s="185" t="s">
        <v>4360</v>
      </c>
      <c r="G2887" s="186"/>
      <c r="H2887" s="187"/>
      <c r="I2887" s="28"/>
      <c r="J2887" s="184" t="s">
        <v>4360</v>
      </c>
    </row>
    <row r="2888" spans="3:10" x14ac:dyDescent="0.25">
      <c r="C2888" s="28" t="s">
        <v>5614</v>
      </c>
      <c r="D2888" s="188"/>
      <c r="E2888" s="31"/>
      <c r="F2888" s="185" t="s">
        <v>4360</v>
      </c>
      <c r="G2888" s="186"/>
      <c r="H2888" s="187"/>
      <c r="I2888" s="28"/>
      <c r="J2888" s="184" t="s">
        <v>4360</v>
      </c>
    </row>
    <row r="2889" spans="3:10" x14ac:dyDescent="0.25">
      <c r="C2889" s="28" t="s">
        <v>5615</v>
      </c>
      <c r="D2889" s="188"/>
      <c r="E2889" s="31"/>
      <c r="F2889" s="185" t="s">
        <v>4360</v>
      </c>
      <c r="G2889" s="186"/>
      <c r="H2889" s="187"/>
      <c r="I2889" s="28"/>
      <c r="J2889" s="184" t="s">
        <v>4360</v>
      </c>
    </row>
    <row r="2890" spans="3:10" x14ac:dyDescent="0.25">
      <c r="C2890" s="28" t="s">
        <v>5616</v>
      </c>
      <c r="D2890" s="188"/>
      <c r="E2890" s="31"/>
      <c r="F2890" s="185" t="s">
        <v>4360</v>
      </c>
      <c r="G2890" s="186"/>
      <c r="H2890" s="187"/>
      <c r="I2890" s="28"/>
      <c r="J2890" s="184" t="s">
        <v>4360</v>
      </c>
    </row>
    <row r="2891" spans="3:10" x14ac:dyDescent="0.25">
      <c r="C2891" s="28" t="s">
        <v>5617</v>
      </c>
      <c r="D2891" s="188"/>
      <c r="E2891" s="31"/>
      <c r="F2891" s="185" t="s">
        <v>4360</v>
      </c>
      <c r="G2891" s="186"/>
      <c r="H2891" s="187"/>
      <c r="I2891" s="28"/>
      <c r="J2891" s="184" t="s">
        <v>4360</v>
      </c>
    </row>
    <row r="2892" spans="3:10" x14ac:dyDescent="0.25">
      <c r="C2892" s="28" t="s">
        <v>5618</v>
      </c>
      <c r="D2892" s="188"/>
      <c r="E2892" s="31"/>
      <c r="F2892" s="185" t="s">
        <v>4360</v>
      </c>
      <c r="G2892" s="186"/>
      <c r="H2892" s="187"/>
      <c r="I2892" s="28"/>
      <c r="J2892" s="184" t="s">
        <v>4360</v>
      </c>
    </row>
    <row r="2893" spans="3:10" x14ac:dyDescent="0.25">
      <c r="C2893" s="28" t="s">
        <v>5619</v>
      </c>
      <c r="D2893" s="188"/>
      <c r="E2893" s="31"/>
      <c r="F2893" s="185" t="s">
        <v>4360</v>
      </c>
      <c r="G2893" s="186"/>
      <c r="H2893" s="187"/>
      <c r="I2893" s="28"/>
      <c r="J2893" s="184" t="s">
        <v>4360</v>
      </c>
    </row>
    <row r="2894" spans="3:10" x14ac:dyDescent="0.25">
      <c r="C2894" s="28" t="s">
        <v>5620</v>
      </c>
      <c r="D2894" s="188"/>
      <c r="E2894" s="31"/>
      <c r="F2894" s="185" t="s">
        <v>4360</v>
      </c>
      <c r="G2894" s="186"/>
      <c r="H2894" s="187"/>
      <c r="I2894" s="28"/>
      <c r="J2894" s="184" t="s">
        <v>4360</v>
      </c>
    </row>
    <row r="2895" spans="3:10" x14ac:dyDescent="0.25">
      <c r="C2895" s="28" t="s">
        <v>5621</v>
      </c>
      <c r="D2895" s="188"/>
      <c r="E2895" s="31"/>
      <c r="F2895" s="185" t="s">
        <v>4360</v>
      </c>
      <c r="G2895" s="186"/>
      <c r="H2895" s="187"/>
      <c r="I2895" s="28"/>
      <c r="J2895" s="184" t="s">
        <v>4360</v>
      </c>
    </row>
    <row r="2896" spans="3:10" x14ac:dyDescent="0.25">
      <c r="C2896" s="28" t="s">
        <v>5687</v>
      </c>
      <c r="D2896" s="188"/>
      <c r="E2896" s="31"/>
      <c r="F2896" s="185" t="s">
        <v>4360</v>
      </c>
      <c r="G2896" s="186"/>
      <c r="H2896" s="187"/>
      <c r="I2896" s="28"/>
      <c r="J2896" s="184" t="s">
        <v>4360</v>
      </c>
    </row>
    <row r="2897" spans="3:10" x14ac:dyDescent="0.25">
      <c r="C2897" s="28" t="s">
        <v>5688</v>
      </c>
      <c r="D2897" s="188"/>
      <c r="E2897" s="31"/>
      <c r="F2897" s="185" t="s">
        <v>4360</v>
      </c>
      <c r="G2897" s="186"/>
      <c r="H2897" s="187"/>
      <c r="I2897" s="28"/>
      <c r="J2897" s="184" t="s">
        <v>4360</v>
      </c>
    </row>
    <row r="2898" spans="3:10" x14ac:dyDescent="0.25">
      <c r="C2898" s="28" t="s">
        <v>5689</v>
      </c>
      <c r="D2898" s="188"/>
      <c r="E2898" s="31"/>
      <c r="F2898" s="185" t="s">
        <v>4360</v>
      </c>
      <c r="G2898" s="186"/>
      <c r="H2898" s="187"/>
      <c r="I2898" s="28"/>
      <c r="J2898" s="184" t="s">
        <v>4360</v>
      </c>
    </row>
    <row r="2899" spans="3:10" x14ac:dyDescent="0.25">
      <c r="C2899" s="28" t="s">
        <v>5690</v>
      </c>
      <c r="D2899" s="188"/>
      <c r="E2899" s="31"/>
      <c r="F2899" s="185" t="s">
        <v>4360</v>
      </c>
      <c r="G2899" s="186"/>
      <c r="H2899" s="187"/>
      <c r="I2899" s="28"/>
      <c r="J2899" s="184" t="s">
        <v>4360</v>
      </c>
    </row>
    <row r="2900" spans="3:10" x14ac:dyDescent="0.25">
      <c r="C2900" s="28" t="s">
        <v>5691</v>
      </c>
      <c r="D2900" s="188"/>
      <c r="E2900" s="31"/>
      <c r="F2900" s="185" t="s">
        <v>4360</v>
      </c>
      <c r="G2900" s="186"/>
      <c r="H2900" s="187"/>
      <c r="I2900" s="28"/>
      <c r="J2900" s="184" t="s">
        <v>4360</v>
      </c>
    </row>
    <row r="2901" spans="3:10" x14ac:dyDescent="0.25">
      <c r="C2901" s="28" t="s">
        <v>5692</v>
      </c>
      <c r="D2901" s="188"/>
      <c r="E2901" s="31"/>
      <c r="F2901" s="185" t="s">
        <v>4360</v>
      </c>
      <c r="G2901" s="186"/>
      <c r="H2901" s="187"/>
      <c r="I2901" s="28"/>
      <c r="J2901" s="184" t="s">
        <v>4360</v>
      </c>
    </row>
    <row r="2902" spans="3:10" x14ac:dyDescent="0.25">
      <c r="C2902" s="28" t="s">
        <v>5693</v>
      </c>
      <c r="D2902" s="188"/>
      <c r="E2902" s="31"/>
      <c r="F2902" s="185" t="s">
        <v>4360</v>
      </c>
      <c r="G2902" s="186"/>
      <c r="H2902" s="187"/>
      <c r="I2902" s="28"/>
      <c r="J2902" s="184" t="s">
        <v>4360</v>
      </c>
    </row>
    <row r="2903" spans="3:10" x14ac:dyDescent="0.25">
      <c r="C2903" s="28" t="s">
        <v>5694</v>
      </c>
      <c r="D2903" s="188"/>
      <c r="E2903" s="31"/>
      <c r="F2903" s="185" t="s">
        <v>4360</v>
      </c>
      <c r="G2903" s="186"/>
      <c r="H2903" s="187"/>
      <c r="I2903" s="28"/>
      <c r="J2903" s="184" t="s">
        <v>4360</v>
      </c>
    </row>
    <row r="2904" spans="3:10" x14ac:dyDescent="0.25">
      <c r="C2904" s="28" t="s">
        <v>5710</v>
      </c>
      <c r="D2904" s="188"/>
      <c r="E2904" s="31"/>
      <c r="F2904" s="185" t="s">
        <v>4360</v>
      </c>
      <c r="G2904" s="186"/>
      <c r="H2904" s="187"/>
      <c r="I2904" s="28"/>
      <c r="J2904" s="184" t="s">
        <v>4360</v>
      </c>
    </row>
    <row r="2905" spans="3:10" x14ac:dyDescent="0.25">
      <c r="C2905" s="28" t="s">
        <v>5712</v>
      </c>
      <c r="D2905" s="188"/>
      <c r="E2905" s="31"/>
      <c r="F2905" s="185" t="s">
        <v>4360</v>
      </c>
      <c r="G2905" s="186"/>
      <c r="H2905" s="187"/>
      <c r="I2905" s="28"/>
      <c r="J2905" s="184" t="s">
        <v>4360</v>
      </c>
    </row>
    <row r="2906" spans="3:10" x14ac:dyDescent="0.25">
      <c r="C2906" s="28" t="s">
        <v>5713</v>
      </c>
      <c r="D2906" s="188"/>
      <c r="E2906" s="31"/>
      <c r="F2906" s="185" t="s">
        <v>4360</v>
      </c>
      <c r="G2906" s="186"/>
      <c r="H2906" s="187"/>
      <c r="I2906" s="28"/>
      <c r="J2906" s="184" t="s">
        <v>4360</v>
      </c>
    </row>
    <row r="2907" spans="3:10" x14ac:dyDescent="0.25">
      <c r="C2907" s="28" t="s">
        <v>5714</v>
      </c>
      <c r="D2907" s="188"/>
      <c r="E2907" s="31"/>
      <c r="F2907" s="185" t="s">
        <v>4360</v>
      </c>
      <c r="G2907" s="186"/>
      <c r="H2907" s="187"/>
      <c r="I2907" s="28"/>
      <c r="J2907" s="184" t="s">
        <v>4360</v>
      </c>
    </row>
    <row r="2908" spans="3:10" x14ac:dyDescent="0.25">
      <c r="C2908" s="28" t="s">
        <v>5715</v>
      </c>
      <c r="D2908" s="188"/>
      <c r="E2908" s="31"/>
      <c r="F2908" s="185" t="s">
        <v>4360</v>
      </c>
      <c r="G2908" s="186"/>
      <c r="H2908" s="187"/>
      <c r="I2908" s="28"/>
      <c r="J2908" s="184" t="s">
        <v>4360</v>
      </c>
    </row>
    <row r="2909" spans="3:10" x14ac:dyDescent="0.25">
      <c r="C2909" s="28" t="s">
        <v>5716</v>
      </c>
      <c r="D2909" s="188"/>
      <c r="E2909" s="31"/>
      <c r="F2909" s="185" t="s">
        <v>4360</v>
      </c>
      <c r="G2909" s="186"/>
      <c r="H2909" s="187"/>
      <c r="I2909" s="28"/>
      <c r="J2909" s="184" t="s">
        <v>4360</v>
      </c>
    </row>
    <row r="2910" spans="3:10" x14ac:dyDescent="0.25">
      <c r="C2910" s="28" t="s">
        <v>5717</v>
      </c>
      <c r="D2910" s="188"/>
      <c r="E2910" s="31"/>
      <c r="F2910" s="185" t="s">
        <v>4360</v>
      </c>
      <c r="G2910" s="186"/>
      <c r="H2910" s="187"/>
      <c r="I2910" s="28"/>
      <c r="J2910" s="184" t="s">
        <v>4360</v>
      </c>
    </row>
    <row r="2911" spans="3:10" x14ac:dyDescent="0.25">
      <c r="C2911" s="28" t="s">
        <v>5718</v>
      </c>
      <c r="D2911" s="188"/>
      <c r="E2911" s="31"/>
      <c r="F2911" s="185" t="s">
        <v>4360</v>
      </c>
      <c r="G2911" s="186"/>
      <c r="H2911" s="187"/>
      <c r="I2911" s="28"/>
      <c r="J2911" s="184" t="s">
        <v>4360</v>
      </c>
    </row>
    <row r="2912" spans="3:10" x14ac:dyDescent="0.25">
      <c r="C2912" s="28" t="s">
        <v>5719</v>
      </c>
      <c r="D2912" s="188"/>
      <c r="E2912" s="31"/>
      <c r="F2912" s="185" t="s">
        <v>4360</v>
      </c>
      <c r="G2912" s="186"/>
      <c r="H2912" s="187"/>
      <c r="I2912" s="28"/>
      <c r="J2912" s="184" t="s">
        <v>4360</v>
      </c>
    </row>
    <row r="2913" spans="3:10" x14ac:dyDescent="0.25">
      <c r="C2913" s="28" t="s">
        <v>5720</v>
      </c>
      <c r="D2913" s="188"/>
      <c r="E2913" s="31"/>
      <c r="F2913" s="185" t="s">
        <v>4360</v>
      </c>
      <c r="G2913" s="186"/>
      <c r="H2913" s="187"/>
      <c r="I2913" s="28"/>
      <c r="J2913" s="184" t="s">
        <v>4360</v>
      </c>
    </row>
    <row r="2914" spans="3:10" x14ac:dyDescent="0.25">
      <c r="C2914" s="28" t="s">
        <v>5721</v>
      </c>
      <c r="D2914" s="188"/>
      <c r="E2914" s="31"/>
      <c r="F2914" s="185" t="s">
        <v>4360</v>
      </c>
      <c r="G2914" s="186"/>
      <c r="H2914" s="187"/>
      <c r="I2914" s="28"/>
      <c r="J2914" s="184" t="s">
        <v>4360</v>
      </c>
    </row>
    <row r="2915" spans="3:10" x14ac:dyDescent="0.25">
      <c r="C2915" s="28" t="s">
        <v>5722</v>
      </c>
      <c r="D2915" s="188"/>
      <c r="E2915" s="31"/>
      <c r="F2915" s="185" t="s">
        <v>4360</v>
      </c>
      <c r="G2915" s="186"/>
      <c r="H2915" s="187"/>
      <c r="I2915" s="28"/>
      <c r="J2915" s="184" t="s">
        <v>4360</v>
      </c>
    </row>
    <row r="2916" spans="3:10" x14ac:dyDescent="0.25">
      <c r="C2916" s="28" t="s">
        <v>5723</v>
      </c>
      <c r="D2916" s="188"/>
      <c r="E2916" s="31"/>
      <c r="F2916" s="185" t="s">
        <v>4360</v>
      </c>
      <c r="G2916" s="186"/>
      <c r="H2916" s="187"/>
      <c r="I2916" s="28"/>
      <c r="J2916" s="184" t="s">
        <v>4360</v>
      </c>
    </row>
    <row r="2917" spans="3:10" x14ac:dyDescent="0.25">
      <c r="C2917" s="28" t="s">
        <v>5724</v>
      </c>
      <c r="D2917" s="188"/>
      <c r="E2917" s="31"/>
      <c r="F2917" s="185" t="s">
        <v>4360</v>
      </c>
      <c r="G2917" s="186"/>
      <c r="H2917" s="187"/>
      <c r="I2917" s="28"/>
      <c r="J2917" s="184" t="s">
        <v>4360</v>
      </c>
    </row>
    <row r="2918" spans="3:10" x14ac:dyDescent="0.25">
      <c r="C2918" s="28" t="s">
        <v>5725</v>
      </c>
      <c r="D2918" s="188"/>
      <c r="E2918" s="31"/>
      <c r="F2918" s="185" t="s">
        <v>4360</v>
      </c>
      <c r="G2918" s="186"/>
      <c r="H2918" s="187"/>
      <c r="I2918" s="28"/>
      <c r="J2918" s="184" t="s">
        <v>4360</v>
      </c>
    </row>
    <row r="2919" spans="3:10" x14ac:dyDescent="0.25">
      <c r="C2919" s="28" t="s">
        <v>5726</v>
      </c>
      <c r="D2919" s="188"/>
      <c r="E2919" s="31"/>
      <c r="F2919" s="185" t="s">
        <v>4360</v>
      </c>
      <c r="G2919" s="186"/>
      <c r="H2919" s="187"/>
      <c r="I2919" s="28"/>
      <c r="J2919" s="184" t="s">
        <v>4360</v>
      </c>
    </row>
    <row r="2920" spans="3:10" x14ac:dyDescent="0.25">
      <c r="C2920" s="28" t="s">
        <v>5727</v>
      </c>
      <c r="D2920" s="188"/>
      <c r="E2920" s="31"/>
      <c r="F2920" s="185" t="s">
        <v>4360</v>
      </c>
      <c r="G2920" s="186"/>
      <c r="H2920" s="187"/>
      <c r="I2920" s="28"/>
      <c r="J2920" s="184" t="s">
        <v>4360</v>
      </c>
    </row>
    <row r="2921" spans="3:10" x14ac:dyDescent="0.25">
      <c r="C2921" s="28" t="s">
        <v>5728</v>
      </c>
      <c r="D2921" s="188"/>
      <c r="E2921" s="31"/>
      <c r="F2921" s="185" t="s">
        <v>4360</v>
      </c>
      <c r="G2921" s="186"/>
      <c r="H2921" s="187"/>
      <c r="I2921" s="28"/>
      <c r="J2921" s="184" t="s">
        <v>4360</v>
      </c>
    </row>
    <row r="2922" spans="3:10" x14ac:dyDescent="0.25">
      <c r="C2922" s="28" t="s">
        <v>5729</v>
      </c>
      <c r="D2922" s="188"/>
      <c r="E2922" s="31"/>
      <c r="F2922" s="185" t="s">
        <v>4360</v>
      </c>
      <c r="G2922" s="186"/>
      <c r="H2922" s="187"/>
      <c r="I2922" s="28"/>
      <c r="J2922" s="184" t="s">
        <v>4360</v>
      </c>
    </row>
    <row r="2923" spans="3:10" x14ac:dyDescent="0.25">
      <c r="C2923" s="28" t="s">
        <v>5730</v>
      </c>
      <c r="D2923" s="188"/>
      <c r="E2923" s="31"/>
      <c r="F2923" s="185" t="s">
        <v>4360</v>
      </c>
      <c r="G2923" s="186"/>
      <c r="H2923" s="187"/>
      <c r="I2923" s="28"/>
      <c r="J2923" s="184" t="s">
        <v>4360</v>
      </c>
    </row>
    <row r="2924" spans="3:10" x14ac:dyDescent="0.25">
      <c r="C2924" s="28" t="s">
        <v>5731</v>
      </c>
      <c r="D2924" s="188"/>
      <c r="E2924" s="31"/>
      <c r="F2924" s="185" t="s">
        <v>4360</v>
      </c>
      <c r="G2924" s="186"/>
      <c r="H2924" s="187"/>
      <c r="I2924" s="28"/>
      <c r="J2924" s="184" t="s">
        <v>4360</v>
      </c>
    </row>
    <row r="2925" spans="3:10" x14ac:dyDescent="0.25">
      <c r="C2925" s="28" t="s">
        <v>5732</v>
      </c>
      <c r="D2925" s="188"/>
      <c r="E2925" s="31"/>
      <c r="F2925" s="185" t="s">
        <v>4360</v>
      </c>
      <c r="G2925" s="186"/>
      <c r="H2925" s="187"/>
      <c r="I2925" s="28"/>
      <c r="J2925" s="184" t="s">
        <v>4360</v>
      </c>
    </row>
    <row r="2926" spans="3:10" x14ac:dyDescent="0.25">
      <c r="C2926" s="28" t="s">
        <v>5733</v>
      </c>
      <c r="D2926" s="188"/>
      <c r="E2926" s="31"/>
      <c r="F2926" s="185" t="s">
        <v>4360</v>
      </c>
      <c r="G2926" s="186"/>
      <c r="H2926" s="187"/>
      <c r="I2926" s="28"/>
      <c r="J2926" s="184" t="s">
        <v>4360</v>
      </c>
    </row>
    <row r="2927" spans="3:10" x14ac:dyDescent="0.25">
      <c r="C2927" s="28" t="s">
        <v>5734</v>
      </c>
      <c r="D2927" s="188"/>
      <c r="E2927" s="31"/>
      <c r="F2927" s="185" t="s">
        <v>4360</v>
      </c>
      <c r="G2927" s="186"/>
      <c r="H2927" s="187"/>
      <c r="I2927" s="28"/>
      <c r="J2927" s="184" t="s">
        <v>4360</v>
      </c>
    </row>
    <row r="2928" spans="3:10" x14ac:dyDescent="0.25">
      <c r="C2928" s="28" t="s">
        <v>5735</v>
      </c>
      <c r="D2928" s="188"/>
      <c r="E2928" s="31"/>
      <c r="F2928" s="185" t="s">
        <v>4360</v>
      </c>
      <c r="G2928" s="186"/>
      <c r="H2928" s="187"/>
      <c r="I2928" s="28"/>
      <c r="J2928" s="184" t="s">
        <v>4360</v>
      </c>
    </row>
    <row r="2929" spans="3:10" x14ac:dyDescent="0.25">
      <c r="C2929" s="28" t="s">
        <v>5736</v>
      </c>
      <c r="D2929" s="188"/>
      <c r="E2929" s="31"/>
      <c r="F2929" s="185" t="s">
        <v>4360</v>
      </c>
      <c r="G2929" s="186"/>
      <c r="H2929" s="187"/>
      <c r="I2929" s="28"/>
      <c r="J2929" s="184" t="s">
        <v>4360</v>
      </c>
    </row>
    <row r="2930" spans="3:10" x14ac:dyDescent="0.25">
      <c r="C2930" s="28" t="s">
        <v>5737</v>
      </c>
      <c r="D2930" s="188"/>
      <c r="E2930" s="31"/>
      <c r="F2930" s="185" t="s">
        <v>4360</v>
      </c>
      <c r="G2930" s="186"/>
      <c r="H2930" s="187"/>
      <c r="I2930" s="28"/>
      <c r="J2930" s="184" t="s">
        <v>4360</v>
      </c>
    </row>
    <row r="2931" spans="3:10" x14ac:dyDescent="0.25">
      <c r="C2931" s="28" t="s">
        <v>5738</v>
      </c>
      <c r="D2931" s="188"/>
      <c r="E2931" s="31"/>
      <c r="F2931" s="185" t="s">
        <v>4360</v>
      </c>
      <c r="G2931" s="186"/>
      <c r="H2931" s="187"/>
      <c r="I2931" s="28"/>
      <c r="J2931" s="184" t="s">
        <v>4360</v>
      </c>
    </row>
    <row r="2932" spans="3:10" x14ac:dyDescent="0.25">
      <c r="C2932" s="28" t="s">
        <v>5739</v>
      </c>
      <c r="D2932" s="188"/>
      <c r="E2932" s="31"/>
      <c r="F2932" s="185" t="s">
        <v>4360</v>
      </c>
      <c r="G2932" s="186"/>
      <c r="H2932" s="187"/>
      <c r="I2932" s="28"/>
      <c r="J2932" s="184" t="s">
        <v>4360</v>
      </c>
    </row>
    <row r="2933" spans="3:10" x14ac:dyDescent="0.25">
      <c r="C2933" s="28" t="s">
        <v>5740</v>
      </c>
      <c r="D2933" s="188"/>
      <c r="E2933" s="31"/>
      <c r="F2933" s="185" t="s">
        <v>4360</v>
      </c>
      <c r="G2933" s="186"/>
      <c r="H2933" s="187"/>
      <c r="I2933" s="28"/>
      <c r="J2933" s="184" t="s">
        <v>4360</v>
      </c>
    </row>
    <row r="2934" spans="3:10" x14ac:dyDescent="0.25">
      <c r="C2934" s="28" t="s">
        <v>5741</v>
      </c>
      <c r="D2934" s="188"/>
      <c r="E2934" s="31"/>
      <c r="F2934" s="185" t="s">
        <v>4360</v>
      </c>
      <c r="G2934" s="186"/>
      <c r="H2934" s="187"/>
      <c r="I2934" s="28"/>
      <c r="J2934" s="184" t="s">
        <v>4360</v>
      </c>
    </row>
    <row r="2935" spans="3:10" x14ac:dyDescent="0.25">
      <c r="C2935" s="28" t="s">
        <v>5742</v>
      </c>
      <c r="D2935" s="188"/>
      <c r="E2935" s="31"/>
      <c r="F2935" s="185" t="s">
        <v>4360</v>
      </c>
      <c r="G2935" s="186"/>
      <c r="H2935" s="187"/>
      <c r="I2935" s="28"/>
      <c r="J2935" s="184" t="s">
        <v>4360</v>
      </c>
    </row>
    <row r="2936" spans="3:10" x14ac:dyDescent="0.25">
      <c r="C2936" s="28" t="s">
        <v>5743</v>
      </c>
      <c r="D2936" s="188"/>
      <c r="E2936" s="31"/>
      <c r="F2936" s="185" t="s">
        <v>4360</v>
      </c>
      <c r="G2936" s="186"/>
      <c r="H2936" s="187"/>
      <c r="I2936" s="28"/>
      <c r="J2936" s="184" t="s">
        <v>4360</v>
      </c>
    </row>
    <row r="2937" spans="3:10" x14ac:dyDescent="0.25">
      <c r="C2937" s="28" t="s">
        <v>5744</v>
      </c>
      <c r="D2937" s="188"/>
      <c r="E2937" s="31"/>
      <c r="F2937" s="185" t="s">
        <v>4360</v>
      </c>
      <c r="G2937" s="186"/>
      <c r="H2937" s="187"/>
      <c r="I2937" s="28"/>
      <c r="J2937" s="184" t="s">
        <v>4360</v>
      </c>
    </row>
    <row r="2938" spans="3:10" x14ac:dyDescent="0.25">
      <c r="C2938" s="28" t="s">
        <v>5745</v>
      </c>
      <c r="D2938" s="188"/>
      <c r="E2938" s="31"/>
      <c r="F2938" s="185" t="s">
        <v>4360</v>
      </c>
      <c r="G2938" s="186"/>
      <c r="H2938" s="187"/>
      <c r="I2938" s="28"/>
      <c r="J2938" s="184" t="s">
        <v>4360</v>
      </c>
    </row>
    <row r="2939" spans="3:10" x14ac:dyDescent="0.25">
      <c r="C2939" s="28" t="s">
        <v>5746</v>
      </c>
      <c r="D2939" s="188"/>
      <c r="E2939" s="31"/>
      <c r="F2939" s="185" t="s">
        <v>4360</v>
      </c>
      <c r="G2939" s="186"/>
      <c r="H2939" s="187"/>
      <c r="I2939" s="28"/>
      <c r="J2939" s="184" t="s">
        <v>4360</v>
      </c>
    </row>
    <row r="2940" spans="3:10" x14ac:dyDescent="0.25">
      <c r="C2940" s="28" t="s">
        <v>5369</v>
      </c>
      <c r="D2940" s="188"/>
      <c r="E2940" s="31"/>
      <c r="F2940" s="185" t="s">
        <v>4360</v>
      </c>
      <c r="G2940" s="186"/>
      <c r="H2940" s="187"/>
      <c r="I2940" s="28"/>
      <c r="J2940" s="184" t="s">
        <v>4360</v>
      </c>
    </row>
    <row r="2941" spans="3:10" x14ac:dyDescent="0.25">
      <c r="C2941" s="28" t="s">
        <v>5370</v>
      </c>
      <c r="D2941" s="188"/>
      <c r="E2941" s="31"/>
      <c r="F2941" s="185" t="s">
        <v>4360</v>
      </c>
      <c r="G2941" s="186"/>
      <c r="H2941" s="187"/>
      <c r="I2941" s="28"/>
      <c r="J2941" s="184" t="s">
        <v>4360</v>
      </c>
    </row>
    <row r="2942" spans="3:10" x14ac:dyDescent="0.25">
      <c r="C2942" s="28" t="s">
        <v>5371</v>
      </c>
      <c r="D2942" s="188"/>
      <c r="E2942" s="31"/>
      <c r="F2942" s="185" t="s">
        <v>4360</v>
      </c>
      <c r="G2942" s="186"/>
      <c r="H2942" s="187"/>
      <c r="I2942" s="28"/>
      <c r="J2942" s="184" t="s">
        <v>4360</v>
      </c>
    </row>
    <row r="2943" spans="3:10" x14ac:dyDescent="0.25">
      <c r="C2943" s="28" t="s">
        <v>5495</v>
      </c>
      <c r="D2943" s="188"/>
      <c r="E2943" s="31"/>
      <c r="F2943" s="185" t="s">
        <v>4360</v>
      </c>
      <c r="G2943" s="186"/>
      <c r="H2943" s="187"/>
      <c r="I2943" s="28"/>
      <c r="J2943" s="184" t="s">
        <v>4360</v>
      </c>
    </row>
    <row r="2944" spans="3:10" x14ac:dyDescent="0.25">
      <c r="C2944" s="28" t="s">
        <v>5496</v>
      </c>
      <c r="D2944" s="188"/>
      <c r="E2944" s="31"/>
      <c r="F2944" s="185" t="s">
        <v>4360</v>
      </c>
      <c r="G2944" s="186"/>
      <c r="H2944" s="187"/>
      <c r="I2944" s="28"/>
      <c r="J2944" s="184" t="s">
        <v>4360</v>
      </c>
    </row>
    <row r="2945" spans="3:10" x14ac:dyDescent="0.25">
      <c r="C2945" s="28" t="s">
        <v>5576</v>
      </c>
      <c r="D2945" s="188"/>
      <c r="E2945" s="31"/>
      <c r="F2945" s="185" t="s">
        <v>4360</v>
      </c>
      <c r="G2945" s="186"/>
      <c r="H2945" s="187"/>
      <c r="I2945" s="28"/>
      <c r="J2945" s="184" t="s">
        <v>4360</v>
      </c>
    </row>
    <row r="2946" spans="3:10" x14ac:dyDescent="0.25">
      <c r="C2946" s="28" t="s">
        <v>5878</v>
      </c>
      <c r="D2946" s="188"/>
      <c r="E2946" s="31"/>
      <c r="F2946" s="185" t="s">
        <v>4360</v>
      </c>
      <c r="G2946" s="186"/>
      <c r="H2946" s="187"/>
      <c r="I2946" s="28"/>
      <c r="J2946" s="184" t="s">
        <v>4360</v>
      </c>
    </row>
    <row r="2947" spans="3:10" x14ac:dyDescent="0.25">
      <c r="C2947" s="28" t="s">
        <v>5877</v>
      </c>
      <c r="D2947" s="188"/>
      <c r="E2947" s="31"/>
      <c r="F2947" s="185" t="s">
        <v>4360</v>
      </c>
      <c r="G2947" s="186"/>
      <c r="H2947" s="187"/>
      <c r="I2947" s="28"/>
      <c r="J2947" s="184" t="s">
        <v>4360</v>
      </c>
    </row>
    <row r="2948" spans="3:10" x14ac:dyDescent="0.25">
      <c r="C2948" s="28" t="s">
        <v>5876</v>
      </c>
      <c r="D2948" s="188"/>
      <c r="E2948" s="31"/>
      <c r="F2948" s="185" t="s">
        <v>4360</v>
      </c>
      <c r="G2948" s="186"/>
      <c r="H2948" s="187"/>
      <c r="I2948" s="28"/>
      <c r="J2948" s="184" t="s">
        <v>4360</v>
      </c>
    </row>
    <row r="2949" spans="3:10" x14ac:dyDescent="0.25">
      <c r="C2949" s="28" t="s">
        <v>5885</v>
      </c>
      <c r="D2949" s="188"/>
      <c r="E2949" s="31"/>
      <c r="F2949" s="185" t="s">
        <v>4360</v>
      </c>
      <c r="G2949" s="186"/>
      <c r="H2949" s="187"/>
      <c r="I2949" s="28"/>
      <c r="J2949" s="184" t="s">
        <v>4360</v>
      </c>
    </row>
    <row r="2950" spans="3:10" x14ac:dyDescent="0.25">
      <c r="C2950" s="28" t="s">
        <v>5884</v>
      </c>
      <c r="D2950" s="188"/>
      <c r="E2950" s="31"/>
      <c r="F2950" s="185" t="s">
        <v>4360</v>
      </c>
      <c r="G2950" s="186"/>
      <c r="H2950" s="187"/>
      <c r="I2950" s="28"/>
      <c r="J2950" s="184" t="s">
        <v>4360</v>
      </c>
    </row>
    <row r="2951" spans="3:10" x14ac:dyDescent="0.25">
      <c r="C2951" s="28" t="s">
        <v>5882</v>
      </c>
      <c r="D2951" s="188"/>
      <c r="E2951" s="31"/>
      <c r="F2951" s="185" t="s">
        <v>4360</v>
      </c>
      <c r="G2951" s="186"/>
      <c r="H2951" s="187"/>
      <c r="I2951" s="28"/>
      <c r="J2951" s="184" t="s">
        <v>4360</v>
      </c>
    </row>
    <row r="2952" spans="3:10" x14ac:dyDescent="0.25">
      <c r="C2952" s="28" t="s">
        <v>5881</v>
      </c>
      <c r="D2952" s="188"/>
      <c r="E2952" s="31"/>
      <c r="F2952" s="185" t="s">
        <v>4360</v>
      </c>
      <c r="G2952" s="186"/>
      <c r="H2952" s="187"/>
      <c r="I2952" s="28"/>
      <c r="J2952" s="184" t="s">
        <v>4360</v>
      </c>
    </row>
    <row r="2953" spans="3:10" x14ac:dyDescent="0.25">
      <c r="C2953" s="28" t="s">
        <v>5880</v>
      </c>
      <c r="D2953" s="188"/>
      <c r="E2953" s="31"/>
      <c r="F2953" s="185" t="s">
        <v>4360</v>
      </c>
      <c r="G2953" s="186"/>
      <c r="H2953" s="187"/>
      <c r="I2953" s="28"/>
      <c r="J2953" s="184" t="s">
        <v>4360</v>
      </c>
    </row>
    <row r="2954" spans="3:10" x14ac:dyDescent="0.25">
      <c r="C2954" s="28" t="s">
        <v>5891</v>
      </c>
      <c r="D2954" s="188"/>
      <c r="E2954" s="31"/>
      <c r="F2954" s="185" t="s">
        <v>4360</v>
      </c>
      <c r="G2954" s="186"/>
      <c r="H2954" s="187"/>
      <c r="I2954" s="28"/>
      <c r="J2954" s="184" t="s">
        <v>4360</v>
      </c>
    </row>
    <row r="2955" spans="3:10" x14ac:dyDescent="0.25">
      <c r="C2955" s="28" t="s">
        <v>5890</v>
      </c>
      <c r="D2955" s="188"/>
      <c r="E2955" s="31"/>
      <c r="F2955" s="185" t="s">
        <v>4360</v>
      </c>
      <c r="G2955" s="186"/>
      <c r="H2955" s="187"/>
      <c r="I2955" s="28"/>
      <c r="J2955" s="184" t="s">
        <v>4360</v>
      </c>
    </row>
    <row r="2956" spans="3:10" x14ac:dyDescent="0.25">
      <c r="C2956" s="28" t="s">
        <v>5879</v>
      </c>
      <c r="D2956" s="188"/>
      <c r="E2956" s="31"/>
      <c r="F2956" s="185" t="s">
        <v>4360</v>
      </c>
      <c r="G2956" s="186"/>
      <c r="H2956" s="187"/>
      <c r="I2956" s="28"/>
      <c r="J2956" s="184" t="s">
        <v>4360</v>
      </c>
    </row>
    <row r="2957" spans="3:10" x14ac:dyDescent="0.25">
      <c r="C2957" s="28" t="s">
        <v>5888</v>
      </c>
      <c r="D2957" s="188"/>
      <c r="E2957" s="31"/>
      <c r="F2957" s="185" t="s">
        <v>4360</v>
      </c>
      <c r="G2957" s="186"/>
      <c r="H2957" s="187"/>
      <c r="I2957" s="28"/>
      <c r="J2957" s="184" t="s">
        <v>4360</v>
      </c>
    </row>
    <row r="2958" spans="3:10" x14ac:dyDescent="0.25">
      <c r="C2958" s="28" t="s">
        <v>5863</v>
      </c>
      <c r="D2958" s="188"/>
      <c r="E2958" s="31"/>
      <c r="F2958" s="185" t="s">
        <v>4360</v>
      </c>
      <c r="G2958" s="186"/>
      <c r="H2958" s="187"/>
      <c r="I2958" s="28"/>
      <c r="J2958" s="184" t="s">
        <v>4360</v>
      </c>
    </row>
    <row r="2959" spans="3:10" x14ac:dyDescent="0.25">
      <c r="C2959" s="28" t="s">
        <v>5864</v>
      </c>
      <c r="D2959" s="188"/>
      <c r="E2959" s="31"/>
      <c r="F2959" s="185" t="s">
        <v>4360</v>
      </c>
      <c r="G2959" s="186"/>
      <c r="H2959" s="187"/>
      <c r="I2959" s="28"/>
      <c r="J2959" s="184" t="s">
        <v>4360</v>
      </c>
    </row>
    <row r="2960" spans="3:10" x14ac:dyDescent="0.25">
      <c r="C2960" s="28" t="s">
        <v>5865</v>
      </c>
      <c r="D2960" s="188"/>
      <c r="E2960" s="31"/>
      <c r="F2960" s="185" t="s">
        <v>4360</v>
      </c>
      <c r="G2960" s="186"/>
      <c r="H2960" s="187"/>
      <c r="I2960" s="28"/>
      <c r="J2960" s="184" t="s">
        <v>4360</v>
      </c>
    </row>
    <row r="2961" spans="3:10" x14ac:dyDescent="0.25">
      <c r="C2961" s="28" t="s">
        <v>5866</v>
      </c>
      <c r="D2961" s="188"/>
      <c r="E2961" s="31"/>
      <c r="F2961" s="185" t="s">
        <v>4360</v>
      </c>
      <c r="G2961" s="186"/>
      <c r="H2961" s="187"/>
      <c r="I2961" s="28"/>
      <c r="J2961" s="184" t="s">
        <v>4360</v>
      </c>
    </row>
    <row r="2962" spans="3:10" x14ac:dyDescent="0.25">
      <c r="C2962" s="28" t="s">
        <v>5883</v>
      </c>
      <c r="D2962" s="188"/>
      <c r="E2962" s="31"/>
      <c r="F2962" s="185" t="s">
        <v>4360</v>
      </c>
      <c r="G2962" s="186"/>
      <c r="H2962" s="187"/>
      <c r="I2962" s="28"/>
      <c r="J2962" s="184" t="s">
        <v>4360</v>
      </c>
    </row>
    <row r="2963" spans="3:10" x14ac:dyDescent="0.25">
      <c r="C2963" s="28" t="s">
        <v>5868</v>
      </c>
      <c r="D2963" s="188"/>
      <c r="E2963" s="31"/>
      <c r="F2963" s="185" t="s">
        <v>4360</v>
      </c>
      <c r="G2963" s="186"/>
      <c r="H2963" s="187"/>
      <c r="I2963" s="28"/>
      <c r="J2963" s="184" t="s">
        <v>4360</v>
      </c>
    </row>
    <row r="2964" spans="3:10" x14ac:dyDescent="0.25">
      <c r="C2964" s="28" t="s">
        <v>5886</v>
      </c>
      <c r="D2964" s="188"/>
      <c r="E2964" s="31"/>
      <c r="F2964" s="185" t="s">
        <v>4360</v>
      </c>
      <c r="G2964" s="186"/>
      <c r="H2964" s="187"/>
      <c r="I2964" s="28"/>
      <c r="J2964" s="184" t="s">
        <v>4360</v>
      </c>
    </row>
    <row r="2965" spans="3:10" x14ac:dyDescent="0.25">
      <c r="C2965" s="28" t="s">
        <v>5887</v>
      </c>
      <c r="D2965" s="188"/>
      <c r="E2965" s="31"/>
      <c r="F2965" s="185" t="s">
        <v>4360</v>
      </c>
      <c r="G2965" s="186"/>
      <c r="H2965" s="187"/>
      <c r="I2965" s="28"/>
      <c r="J2965" s="184" t="s">
        <v>4360</v>
      </c>
    </row>
    <row r="2966" spans="3:10" x14ac:dyDescent="0.25">
      <c r="C2966" s="28" t="s">
        <v>5706</v>
      </c>
      <c r="D2966" s="188"/>
      <c r="E2966" s="31"/>
      <c r="F2966" s="185" t="s">
        <v>4360</v>
      </c>
      <c r="G2966" s="186"/>
      <c r="H2966" s="187"/>
      <c r="I2966" s="28"/>
      <c r="J2966" s="184" t="s">
        <v>4360</v>
      </c>
    </row>
    <row r="2967" spans="3:10" x14ac:dyDescent="0.25">
      <c r="C2967" s="28" t="s">
        <v>5707</v>
      </c>
      <c r="D2967" s="188"/>
      <c r="E2967" s="31"/>
      <c r="F2967" s="185" t="s">
        <v>4360</v>
      </c>
      <c r="G2967" s="186"/>
      <c r="H2967" s="187"/>
      <c r="I2967" s="28"/>
      <c r="J2967" s="184" t="s">
        <v>4360</v>
      </c>
    </row>
    <row r="2968" spans="3:10" x14ac:dyDescent="0.25">
      <c r="C2968" s="28" t="s">
        <v>5889</v>
      </c>
      <c r="D2968" s="188"/>
      <c r="E2968" s="31"/>
      <c r="F2968" s="185" t="s">
        <v>4360</v>
      </c>
      <c r="G2968" s="186"/>
      <c r="H2968" s="187"/>
      <c r="I2968" s="28"/>
      <c r="J2968" s="184" t="s">
        <v>4360</v>
      </c>
    </row>
    <row r="2969" spans="3:10" x14ac:dyDescent="0.25">
      <c r="C2969" s="28" t="s">
        <v>5698</v>
      </c>
      <c r="D2969" s="188"/>
      <c r="E2969" s="31"/>
      <c r="F2969" s="185" t="s">
        <v>4360</v>
      </c>
      <c r="G2969" s="186"/>
      <c r="H2969" s="187"/>
      <c r="I2969" s="28"/>
      <c r="J2969" s="184" t="s">
        <v>4360</v>
      </c>
    </row>
    <row r="2970" spans="3:10" x14ac:dyDescent="0.25">
      <c r="C2970" s="28" t="s">
        <v>5702</v>
      </c>
      <c r="D2970" s="188"/>
      <c r="E2970" s="31"/>
      <c r="F2970" s="185" t="s">
        <v>4360</v>
      </c>
      <c r="G2970" s="186"/>
      <c r="H2970" s="187"/>
      <c r="I2970" s="28"/>
      <c r="J2970" s="184" t="s">
        <v>4360</v>
      </c>
    </row>
    <row r="2971" spans="3:10" x14ac:dyDescent="0.25">
      <c r="C2971" s="28" t="s">
        <v>5703</v>
      </c>
      <c r="D2971" s="188"/>
      <c r="E2971" s="31"/>
      <c r="F2971" s="185" t="s">
        <v>4360</v>
      </c>
      <c r="G2971" s="186"/>
      <c r="H2971" s="187"/>
      <c r="I2971" s="28"/>
      <c r="J2971" s="184" t="s">
        <v>4360</v>
      </c>
    </row>
    <row r="2972" spans="3:10" x14ac:dyDescent="0.25">
      <c r="C2972" s="28" t="s">
        <v>5700</v>
      </c>
      <c r="D2972" s="188"/>
      <c r="E2972" s="31"/>
      <c r="F2972" s="185" t="s">
        <v>4360</v>
      </c>
      <c r="G2972" s="186"/>
      <c r="H2972" s="187"/>
      <c r="I2972" s="28"/>
      <c r="J2972" s="184" t="s">
        <v>4360</v>
      </c>
    </row>
    <row r="2973" spans="3:10" x14ac:dyDescent="0.25">
      <c r="C2973" s="28" t="s">
        <v>5701</v>
      </c>
      <c r="D2973" s="188"/>
      <c r="E2973" s="31"/>
      <c r="F2973" s="185" t="s">
        <v>4360</v>
      </c>
      <c r="G2973" s="186"/>
      <c r="H2973" s="187"/>
      <c r="I2973" s="28"/>
      <c r="J2973" s="184" t="s">
        <v>4360</v>
      </c>
    </row>
    <row r="2974" spans="3:10" x14ac:dyDescent="0.25">
      <c r="C2974" s="28" t="s">
        <v>5867</v>
      </c>
      <c r="D2974" s="188"/>
      <c r="E2974" s="31"/>
      <c r="F2974" s="185" t="s">
        <v>4360</v>
      </c>
      <c r="G2974" s="186"/>
      <c r="H2974" s="187"/>
      <c r="I2974" s="28"/>
      <c r="J2974" s="184" t="s">
        <v>4360</v>
      </c>
    </row>
    <row r="2975" spans="3:10" x14ac:dyDescent="0.25">
      <c r="C2975" s="28" t="s">
        <v>5696</v>
      </c>
      <c r="D2975" s="188"/>
      <c r="E2975" s="31"/>
      <c r="F2975" s="185" t="s">
        <v>4360</v>
      </c>
      <c r="G2975" s="186"/>
      <c r="H2975" s="187"/>
      <c r="I2975" s="28"/>
      <c r="J2975" s="184" t="s">
        <v>4360</v>
      </c>
    </row>
    <row r="2976" spans="3:10" x14ac:dyDescent="0.25">
      <c r="C2976" s="28" t="s">
        <v>5704</v>
      </c>
      <c r="D2976" s="188"/>
      <c r="E2976" s="31"/>
      <c r="F2976" s="185" t="s">
        <v>4360</v>
      </c>
      <c r="G2976" s="186"/>
      <c r="H2976" s="187"/>
      <c r="I2976" s="28"/>
      <c r="J2976" s="184" t="s">
        <v>4360</v>
      </c>
    </row>
    <row r="2977" spans="3:10" x14ac:dyDescent="0.25">
      <c r="C2977" s="28" t="s">
        <v>5705</v>
      </c>
      <c r="D2977" s="188"/>
      <c r="E2977" s="31"/>
      <c r="F2977" s="185" t="s">
        <v>4360</v>
      </c>
      <c r="G2977" s="186"/>
      <c r="H2977" s="187"/>
      <c r="I2977" s="28"/>
      <c r="J2977" s="184" t="s">
        <v>4360</v>
      </c>
    </row>
    <row r="2978" spans="3:10" x14ac:dyDescent="0.25">
      <c r="C2978" s="28" t="s">
        <v>5573</v>
      </c>
      <c r="D2978" s="188"/>
      <c r="E2978" s="31"/>
      <c r="F2978" s="185" t="s">
        <v>4360</v>
      </c>
      <c r="G2978" s="186"/>
      <c r="H2978" s="187"/>
      <c r="I2978" s="28"/>
      <c r="J2978" s="184" t="s">
        <v>4360</v>
      </c>
    </row>
    <row r="2979" spans="3:10" x14ac:dyDescent="0.25">
      <c r="C2979" s="28" t="s">
        <v>5574</v>
      </c>
      <c r="D2979" s="188"/>
      <c r="E2979" s="31"/>
      <c r="F2979" s="185" t="s">
        <v>4360</v>
      </c>
      <c r="G2979" s="186"/>
      <c r="H2979" s="187"/>
      <c r="I2979" s="28"/>
      <c r="J2979" s="184" t="s">
        <v>4360</v>
      </c>
    </row>
    <row r="2980" spans="3:10" x14ac:dyDescent="0.25">
      <c r="C2980" s="28" t="s">
        <v>5697</v>
      </c>
      <c r="D2980" s="188"/>
      <c r="E2980" s="31"/>
      <c r="F2980" s="185" t="s">
        <v>4360</v>
      </c>
      <c r="G2980" s="186"/>
      <c r="H2980" s="187"/>
      <c r="I2980" s="28"/>
      <c r="J2980" s="184" t="s">
        <v>4360</v>
      </c>
    </row>
    <row r="2981" spans="3:10" x14ac:dyDescent="0.25">
      <c r="C2981" s="28" t="s">
        <v>5569</v>
      </c>
      <c r="D2981" s="188"/>
      <c r="E2981" s="31"/>
      <c r="F2981" s="185" t="s">
        <v>4360</v>
      </c>
      <c r="G2981" s="186"/>
      <c r="H2981" s="187"/>
      <c r="I2981" s="28"/>
      <c r="J2981" s="184" t="s">
        <v>4360</v>
      </c>
    </row>
    <row r="2982" spans="3:10" x14ac:dyDescent="0.25">
      <c r="C2982" s="28" t="s">
        <v>5572</v>
      </c>
      <c r="D2982" s="188"/>
      <c r="E2982" s="31"/>
      <c r="F2982" s="185" t="s">
        <v>4360</v>
      </c>
      <c r="G2982" s="186"/>
      <c r="H2982" s="187"/>
      <c r="I2982" s="28"/>
      <c r="J2982" s="184" t="s">
        <v>4360</v>
      </c>
    </row>
    <row r="2983" spans="3:10" x14ac:dyDescent="0.25">
      <c r="C2983" s="28" t="s">
        <v>5699</v>
      </c>
      <c r="D2983" s="188"/>
      <c r="E2983" s="31"/>
      <c r="F2983" s="185" t="s">
        <v>4360</v>
      </c>
      <c r="G2983" s="186"/>
      <c r="H2983" s="187"/>
      <c r="I2983" s="28"/>
      <c r="J2983" s="184" t="s">
        <v>4360</v>
      </c>
    </row>
    <row r="2984" spans="3:10" x14ac:dyDescent="0.25">
      <c r="C2984" s="28" t="s">
        <v>5578</v>
      </c>
      <c r="D2984" s="188"/>
      <c r="E2984" s="31"/>
      <c r="F2984" s="185" t="s">
        <v>4360</v>
      </c>
      <c r="G2984" s="186"/>
      <c r="H2984" s="187"/>
      <c r="I2984" s="28"/>
      <c r="J2984" s="184" t="s">
        <v>4360</v>
      </c>
    </row>
    <row r="2985" spans="3:10" x14ac:dyDescent="0.25">
      <c r="C2985" s="28" t="s">
        <v>5579</v>
      </c>
      <c r="D2985" s="188"/>
      <c r="E2985" s="31"/>
      <c r="F2985" s="185" t="s">
        <v>4360</v>
      </c>
      <c r="G2985" s="186"/>
      <c r="H2985" s="187"/>
      <c r="I2985" s="28"/>
      <c r="J2985" s="184" t="s">
        <v>4360</v>
      </c>
    </row>
    <row r="2986" spans="3:10" x14ac:dyDescent="0.25">
      <c r="C2986" s="28" t="s">
        <v>5695</v>
      </c>
      <c r="D2986" s="188"/>
      <c r="E2986" s="31"/>
      <c r="F2986" s="185" t="s">
        <v>4360</v>
      </c>
      <c r="G2986" s="186"/>
      <c r="H2986" s="187"/>
      <c r="I2986" s="28"/>
      <c r="J2986" s="184" t="s">
        <v>4360</v>
      </c>
    </row>
    <row r="2987" spans="3:10" x14ac:dyDescent="0.25">
      <c r="C2987" s="28" t="s">
        <v>5581</v>
      </c>
      <c r="D2987" s="188"/>
      <c r="E2987" s="31"/>
      <c r="F2987" s="185" t="s">
        <v>4360</v>
      </c>
      <c r="G2987" s="186"/>
      <c r="H2987" s="187"/>
      <c r="I2987" s="28"/>
      <c r="J2987" s="184" t="s">
        <v>4360</v>
      </c>
    </row>
    <row r="2988" spans="3:10" x14ac:dyDescent="0.25">
      <c r="C2988" s="28" t="s">
        <v>5582</v>
      </c>
      <c r="D2988" s="188"/>
      <c r="E2988" s="31"/>
      <c r="F2988" s="185" t="s">
        <v>4360</v>
      </c>
      <c r="G2988" s="186"/>
      <c r="H2988" s="187"/>
      <c r="I2988" s="28"/>
      <c r="J2988" s="184" t="s">
        <v>4360</v>
      </c>
    </row>
    <row r="2989" spans="3:10" x14ac:dyDescent="0.25">
      <c r="C2989" s="28" t="s">
        <v>5577</v>
      </c>
      <c r="D2989" s="188"/>
      <c r="E2989" s="31"/>
      <c r="F2989" s="185" t="s">
        <v>4360</v>
      </c>
      <c r="G2989" s="186"/>
      <c r="H2989" s="187"/>
      <c r="I2989" s="28"/>
      <c r="J2989" s="184" t="s">
        <v>4360</v>
      </c>
    </row>
    <row r="2990" spans="3:10" x14ac:dyDescent="0.25">
      <c r="C2990" s="28" t="s">
        <v>5874</v>
      </c>
      <c r="D2990" s="188"/>
      <c r="E2990" s="31"/>
      <c r="F2990" s="185" t="s">
        <v>4360</v>
      </c>
      <c r="G2990" s="186"/>
      <c r="H2990" s="187"/>
      <c r="I2990" s="28"/>
      <c r="J2990" s="184" t="s">
        <v>4360</v>
      </c>
    </row>
    <row r="2991" spans="3:10" x14ac:dyDescent="0.25">
      <c r="C2991" s="28" t="s">
        <v>5875</v>
      </c>
      <c r="D2991" s="188"/>
      <c r="E2991" s="31"/>
      <c r="F2991" s="185" t="s">
        <v>4360</v>
      </c>
      <c r="G2991" s="186"/>
      <c r="H2991" s="187"/>
      <c r="I2991" s="28"/>
      <c r="J2991" s="184" t="s">
        <v>4360</v>
      </c>
    </row>
    <row r="2992" spans="3:10" x14ac:dyDescent="0.25">
      <c r="C2992" s="28" t="s">
        <v>5575</v>
      </c>
      <c r="D2992" s="188"/>
      <c r="E2992" s="31"/>
      <c r="F2992" s="185" t="s">
        <v>4360</v>
      </c>
      <c r="G2992" s="186"/>
      <c r="H2992" s="187"/>
      <c r="I2992" s="28"/>
      <c r="J2992" s="184" t="s">
        <v>4360</v>
      </c>
    </row>
    <row r="2993" spans="3:10" x14ac:dyDescent="0.25">
      <c r="C2993" s="28" t="s">
        <v>5869</v>
      </c>
      <c r="D2993" s="188"/>
      <c r="E2993" s="31"/>
      <c r="F2993" s="185" t="s">
        <v>4360</v>
      </c>
      <c r="G2993" s="186"/>
      <c r="H2993" s="187"/>
      <c r="I2993" s="28"/>
      <c r="J2993" s="184" t="s">
        <v>4360</v>
      </c>
    </row>
    <row r="2994" spans="3:10" x14ac:dyDescent="0.25">
      <c r="C2994" s="28" t="s">
        <v>5870</v>
      </c>
      <c r="D2994" s="188"/>
      <c r="E2994" s="31"/>
      <c r="F2994" s="185" t="s">
        <v>4360</v>
      </c>
      <c r="G2994" s="186"/>
      <c r="H2994" s="187"/>
      <c r="I2994" s="28"/>
      <c r="J2994" s="184" t="s">
        <v>4360</v>
      </c>
    </row>
    <row r="2995" spans="3:10" x14ac:dyDescent="0.25">
      <c r="C2995" s="28" t="s">
        <v>5871</v>
      </c>
      <c r="D2995" s="188"/>
      <c r="E2995" s="31"/>
      <c r="F2995" s="185" t="s">
        <v>4360</v>
      </c>
      <c r="G2995" s="186"/>
      <c r="H2995" s="187"/>
      <c r="I2995" s="28"/>
      <c r="J2995" s="184" t="s">
        <v>4360</v>
      </c>
    </row>
    <row r="2996" spans="3:10" x14ac:dyDescent="0.25">
      <c r="C2996" s="28" t="s">
        <v>5872</v>
      </c>
      <c r="D2996" s="188"/>
      <c r="E2996" s="31"/>
      <c r="F2996" s="185" t="s">
        <v>4360</v>
      </c>
      <c r="G2996" s="186"/>
      <c r="H2996" s="187"/>
      <c r="I2996" s="28"/>
      <c r="J2996" s="184" t="s">
        <v>4360</v>
      </c>
    </row>
    <row r="2997" spans="3:10" x14ac:dyDescent="0.25">
      <c r="C2997" s="28" t="s">
        <v>5873</v>
      </c>
      <c r="D2997" s="188"/>
      <c r="E2997" s="31"/>
      <c r="F2997" s="185" t="s">
        <v>4360</v>
      </c>
      <c r="G2997" s="186"/>
      <c r="H2997" s="187"/>
      <c r="I2997" s="28"/>
      <c r="J2997" s="184" t="s">
        <v>4360</v>
      </c>
    </row>
    <row r="2998" spans="3:10" x14ac:dyDescent="0.25">
      <c r="C2998" s="28" t="s">
        <v>5580</v>
      </c>
      <c r="D2998" s="188"/>
      <c r="E2998" s="31"/>
      <c r="F2998" s="185" t="s">
        <v>4360</v>
      </c>
      <c r="G2998" s="186"/>
      <c r="H2998" s="187"/>
      <c r="I2998" s="28"/>
      <c r="J2998" s="184" t="s">
        <v>4360</v>
      </c>
    </row>
    <row r="2999" spans="3:10" x14ac:dyDescent="0.25">
      <c r="C2999" s="28" t="s">
        <v>5497</v>
      </c>
      <c r="D2999" s="188"/>
      <c r="E2999" s="31"/>
      <c r="F2999" s="185" t="s">
        <v>4360</v>
      </c>
      <c r="G2999" s="186"/>
      <c r="H2999" s="187"/>
      <c r="I2999" s="28"/>
      <c r="J2999" s="184" t="s">
        <v>4360</v>
      </c>
    </row>
    <row r="3000" spans="3:10" x14ac:dyDescent="0.25">
      <c r="C3000" s="28" t="s">
        <v>5892</v>
      </c>
      <c r="D3000" s="188"/>
      <c r="E3000" s="31"/>
      <c r="F3000" s="185" t="s">
        <v>4360</v>
      </c>
      <c r="G3000" s="186"/>
      <c r="H3000" s="187"/>
      <c r="I3000" s="28"/>
      <c r="J3000" s="184" t="s">
        <v>4360</v>
      </c>
    </row>
    <row r="3001" spans="3:10" x14ac:dyDescent="0.25">
      <c r="C3001" s="28" t="s">
        <v>5184</v>
      </c>
      <c r="D3001" s="188"/>
      <c r="E3001" s="31"/>
      <c r="F3001" s="185" t="s">
        <v>4360</v>
      </c>
      <c r="G3001" s="186"/>
      <c r="H3001" s="187"/>
      <c r="I3001" s="28"/>
      <c r="J3001" s="184" t="s">
        <v>4360</v>
      </c>
    </row>
    <row r="3002" spans="3:10" x14ac:dyDescent="0.25">
      <c r="C3002" s="28" t="s">
        <v>5498</v>
      </c>
      <c r="D3002" s="188"/>
      <c r="E3002" s="31"/>
      <c r="F3002" s="185" t="s">
        <v>4360</v>
      </c>
      <c r="G3002" s="186"/>
      <c r="H3002" s="187"/>
      <c r="I3002" s="28"/>
      <c r="J3002" s="184" t="s">
        <v>4360</v>
      </c>
    </row>
    <row r="3003" spans="3:10" x14ac:dyDescent="0.25">
      <c r="C3003" s="28" t="s">
        <v>5895</v>
      </c>
      <c r="D3003" s="188"/>
      <c r="E3003" s="31"/>
      <c r="F3003" s="185" t="s">
        <v>4360</v>
      </c>
      <c r="G3003" s="186"/>
      <c r="H3003" s="187"/>
      <c r="I3003" s="28"/>
      <c r="J3003" s="184" t="s">
        <v>4360</v>
      </c>
    </row>
    <row r="3004" spans="3:10" x14ac:dyDescent="0.25">
      <c r="C3004" s="28" t="s">
        <v>5292</v>
      </c>
      <c r="D3004" s="188"/>
      <c r="E3004" s="31"/>
      <c r="F3004" s="185" t="s">
        <v>4360</v>
      </c>
      <c r="G3004" s="186"/>
      <c r="H3004" s="187"/>
      <c r="I3004" s="28"/>
      <c r="J3004" s="184" t="s">
        <v>4360</v>
      </c>
    </row>
    <row r="3005" spans="3:10" x14ac:dyDescent="0.25">
      <c r="C3005" s="28" t="s">
        <v>5185</v>
      </c>
      <c r="D3005" s="188"/>
      <c r="E3005" s="31"/>
      <c r="F3005" s="185" t="s">
        <v>4360</v>
      </c>
      <c r="G3005" s="186"/>
      <c r="H3005" s="187"/>
      <c r="I3005" s="28"/>
      <c r="J3005" s="184" t="s">
        <v>4360</v>
      </c>
    </row>
    <row r="3006" spans="3:10" x14ac:dyDescent="0.25">
      <c r="C3006" s="28" t="s">
        <v>5583</v>
      </c>
      <c r="D3006" s="188"/>
      <c r="E3006" s="31"/>
      <c r="F3006" s="185" t="s">
        <v>4360</v>
      </c>
      <c r="G3006" s="186"/>
      <c r="H3006" s="187"/>
      <c r="I3006" s="28"/>
      <c r="J3006" s="184" t="s">
        <v>4360</v>
      </c>
    </row>
    <row r="3007" spans="3:10" x14ac:dyDescent="0.25">
      <c r="C3007" s="28" t="s">
        <v>5708</v>
      </c>
      <c r="D3007" s="188"/>
      <c r="E3007" s="31"/>
      <c r="F3007" s="185" t="s">
        <v>4360</v>
      </c>
      <c r="G3007" s="186"/>
      <c r="H3007" s="187"/>
      <c r="I3007" s="28"/>
      <c r="J3007" s="184" t="s">
        <v>4360</v>
      </c>
    </row>
    <row r="3008" spans="3:10" x14ac:dyDescent="0.25">
      <c r="C3008" s="28" t="s">
        <v>5499</v>
      </c>
      <c r="D3008" s="188"/>
      <c r="E3008" s="31"/>
      <c r="F3008" s="185" t="s">
        <v>4360</v>
      </c>
      <c r="G3008" s="186"/>
      <c r="H3008" s="187"/>
      <c r="I3008" s="28"/>
      <c r="J3008" s="184" t="s">
        <v>4360</v>
      </c>
    </row>
    <row r="3009" spans="3:10" x14ac:dyDescent="0.25">
      <c r="C3009" s="28" t="s">
        <v>5898</v>
      </c>
      <c r="D3009" s="188"/>
      <c r="E3009" s="31"/>
      <c r="F3009" s="185" t="s">
        <v>4360</v>
      </c>
      <c r="G3009" s="186"/>
      <c r="H3009" s="187"/>
      <c r="I3009" s="28"/>
      <c r="J3009" s="184" t="s">
        <v>4360</v>
      </c>
    </row>
    <row r="3010" spans="3:10" x14ac:dyDescent="0.25">
      <c r="C3010" s="28" t="s">
        <v>5186</v>
      </c>
      <c r="D3010" s="188"/>
      <c r="E3010" s="31"/>
      <c r="F3010" s="185" t="s">
        <v>4360</v>
      </c>
      <c r="G3010" s="186"/>
      <c r="H3010" s="187"/>
      <c r="I3010" s="28"/>
      <c r="J3010" s="184" t="s">
        <v>4360</v>
      </c>
    </row>
    <row r="3011" spans="3:10" x14ac:dyDescent="0.25">
      <c r="C3011" s="28" t="s">
        <v>5293</v>
      </c>
      <c r="D3011" s="188"/>
      <c r="E3011" s="31"/>
      <c r="F3011" s="185" t="s">
        <v>4360</v>
      </c>
      <c r="G3011" s="186"/>
      <c r="H3011" s="187"/>
      <c r="I3011" s="28"/>
      <c r="J3011" s="184" t="s">
        <v>4360</v>
      </c>
    </row>
    <row r="3012" spans="3:10" x14ac:dyDescent="0.25">
      <c r="C3012" s="28" t="s">
        <v>5500</v>
      </c>
      <c r="D3012" s="188"/>
      <c r="E3012" s="31"/>
      <c r="F3012" s="185" t="s">
        <v>4360</v>
      </c>
      <c r="G3012" s="186"/>
      <c r="H3012" s="187"/>
      <c r="I3012" s="28"/>
      <c r="J3012" s="184" t="s">
        <v>4360</v>
      </c>
    </row>
    <row r="3013" spans="3:10" x14ac:dyDescent="0.25">
      <c r="C3013" s="28" t="s">
        <v>5709</v>
      </c>
      <c r="D3013" s="188"/>
      <c r="E3013" s="31"/>
      <c r="F3013" s="185" t="s">
        <v>4360</v>
      </c>
      <c r="G3013" s="186"/>
      <c r="H3013" s="187"/>
      <c r="I3013" s="28"/>
      <c r="J3013" s="184" t="s">
        <v>4360</v>
      </c>
    </row>
    <row r="3014" spans="3:10" x14ac:dyDescent="0.25">
      <c r="C3014" s="28" t="s">
        <v>5501</v>
      </c>
      <c r="D3014" s="188"/>
      <c r="E3014" s="31"/>
      <c r="F3014" s="185" t="s">
        <v>4360</v>
      </c>
      <c r="G3014" s="186"/>
      <c r="H3014" s="187"/>
      <c r="I3014" s="28"/>
      <c r="J3014" s="184" t="s">
        <v>4360</v>
      </c>
    </row>
    <row r="3015" spans="3:10" x14ac:dyDescent="0.25">
      <c r="C3015" s="28" t="s">
        <v>5294</v>
      </c>
      <c r="D3015" s="188"/>
      <c r="E3015" s="31"/>
      <c r="F3015" s="185" t="s">
        <v>4360</v>
      </c>
      <c r="G3015" s="186"/>
      <c r="H3015" s="187"/>
      <c r="I3015" s="28"/>
      <c r="J3015" s="184" t="s">
        <v>4360</v>
      </c>
    </row>
    <row r="3016" spans="3:10" x14ac:dyDescent="0.25">
      <c r="C3016" s="28" t="s">
        <v>5933</v>
      </c>
      <c r="D3016" s="188"/>
      <c r="E3016" s="31"/>
      <c r="F3016" s="185" t="s">
        <v>4360</v>
      </c>
      <c r="G3016" s="186"/>
      <c r="H3016" s="187"/>
      <c r="I3016" s="28"/>
      <c r="J3016" s="184" t="s">
        <v>4360</v>
      </c>
    </row>
    <row r="3017" spans="3:10" x14ac:dyDescent="0.25">
      <c r="C3017" s="28" t="s">
        <v>5934</v>
      </c>
      <c r="D3017" s="188"/>
      <c r="E3017" s="31"/>
      <c r="F3017" s="185" t="s">
        <v>4360</v>
      </c>
      <c r="G3017" s="186"/>
      <c r="H3017" s="187"/>
      <c r="I3017" s="28"/>
      <c r="J3017" s="184" t="s">
        <v>4360</v>
      </c>
    </row>
    <row r="3018" spans="3:10" x14ac:dyDescent="0.25">
      <c r="C3018" s="28" t="s">
        <v>5935</v>
      </c>
      <c r="D3018" s="188"/>
      <c r="E3018" s="31"/>
      <c r="F3018" s="185" t="s">
        <v>4360</v>
      </c>
      <c r="G3018" s="186"/>
      <c r="H3018" s="187"/>
      <c r="I3018" s="28"/>
      <c r="J3018" s="184" t="s">
        <v>4360</v>
      </c>
    </row>
    <row r="3019" spans="3:10" x14ac:dyDescent="0.25">
      <c r="C3019" s="28" t="s">
        <v>5936</v>
      </c>
      <c r="D3019" s="188"/>
      <c r="E3019" s="31"/>
      <c r="F3019" s="185" t="s">
        <v>4360</v>
      </c>
      <c r="G3019" s="186"/>
      <c r="H3019" s="187"/>
      <c r="I3019" s="28"/>
      <c r="J3019" s="184" t="s">
        <v>4360</v>
      </c>
    </row>
    <row r="3020" spans="3:10" x14ac:dyDescent="0.25">
      <c r="C3020" s="28" t="s">
        <v>5937</v>
      </c>
      <c r="D3020" s="188"/>
      <c r="E3020" s="31"/>
      <c r="F3020" s="185" t="s">
        <v>4360</v>
      </c>
      <c r="G3020" s="186"/>
      <c r="H3020" s="187"/>
      <c r="I3020" s="28"/>
      <c r="J3020" s="184" t="s">
        <v>4360</v>
      </c>
    </row>
    <row r="3021" spans="3:10" x14ac:dyDescent="0.25">
      <c r="C3021" s="28" t="s">
        <v>5938</v>
      </c>
      <c r="D3021" s="188"/>
      <c r="E3021" s="31"/>
      <c r="F3021" s="185" t="s">
        <v>4360</v>
      </c>
      <c r="G3021" s="186"/>
      <c r="H3021" s="187"/>
      <c r="I3021" s="28"/>
      <c r="J3021" s="184" t="s">
        <v>4360</v>
      </c>
    </row>
    <row r="3022" spans="3:10" x14ac:dyDescent="0.25">
      <c r="C3022" s="28" t="s">
        <v>5905</v>
      </c>
      <c r="D3022" s="188"/>
      <c r="E3022" s="31"/>
      <c r="F3022" s="185" t="s">
        <v>4360</v>
      </c>
      <c r="G3022" s="186"/>
      <c r="H3022" s="187"/>
      <c r="I3022" s="28"/>
      <c r="J3022" s="184" t="s">
        <v>4360</v>
      </c>
    </row>
    <row r="3023" spans="3:10" x14ac:dyDescent="0.25">
      <c r="C3023" s="28" t="s">
        <v>5932</v>
      </c>
      <c r="D3023" s="188"/>
      <c r="E3023" s="31"/>
      <c r="F3023" s="185" t="s">
        <v>4360</v>
      </c>
      <c r="G3023" s="186"/>
      <c r="H3023" s="187"/>
      <c r="I3023" s="28"/>
      <c r="J3023" s="184" t="s">
        <v>4360</v>
      </c>
    </row>
    <row r="3024" spans="3:10" x14ac:dyDescent="0.25">
      <c r="C3024" s="28" t="s">
        <v>5928</v>
      </c>
      <c r="D3024" s="188"/>
      <c r="E3024" s="31"/>
      <c r="F3024" s="185" t="s">
        <v>4360</v>
      </c>
      <c r="G3024" s="186"/>
      <c r="H3024" s="187"/>
      <c r="I3024" s="28"/>
      <c r="J3024" s="184" t="s">
        <v>4360</v>
      </c>
    </row>
    <row r="3025" spans="3:10" x14ac:dyDescent="0.25">
      <c r="C3025" s="28" t="s">
        <v>5929</v>
      </c>
      <c r="D3025" s="188"/>
      <c r="E3025" s="31"/>
      <c r="F3025" s="185" t="s">
        <v>4360</v>
      </c>
      <c r="G3025" s="186"/>
      <c r="H3025" s="187"/>
      <c r="I3025" s="28"/>
      <c r="J3025" s="184" t="s">
        <v>4360</v>
      </c>
    </row>
    <row r="3026" spans="3:10" x14ac:dyDescent="0.25">
      <c r="C3026" s="28" t="s">
        <v>5901</v>
      </c>
      <c r="D3026" s="188"/>
      <c r="E3026" s="31"/>
      <c r="F3026" s="185" t="s">
        <v>4360</v>
      </c>
      <c r="G3026" s="186"/>
      <c r="H3026" s="187"/>
      <c r="I3026" s="28"/>
      <c r="J3026" s="184" t="s">
        <v>4360</v>
      </c>
    </row>
    <row r="3027" spans="3:10" x14ac:dyDescent="0.25">
      <c r="C3027" s="28" t="s">
        <v>5902</v>
      </c>
      <c r="D3027" s="188"/>
      <c r="E3027" s="31"/>
      <c r="F3027" s="185" t="s">
        <v>4360</v>
      </c>
      <c r="G3027" s="186"/>
      <c r="H3027" s="187"/>
      <c r="I3027" s="28"/>
      <c r="J3027" s="184" t="s">
        <v>4360</v>
      </c>
    </row>
    <row r="3028" spans="3:10" x14ac:dyDescent="0.25">
      <c r="C3028" s="28" t="s">
        <v>5904</v>
      </c>
      <c r="D3028" s="188"/>
      <c r="E3028" s="31"/>
      <c r="F3028" s="185" t="s">
        <v>4360</v>
      </c>
      <c r="G3028" s="186"/>
      <c r="H3028" s="187"/>
      <c r="I3028" s="28"/>
      <c r="J3028" s="184" t="s">
        <v>4360</v>
      </c>
    </row>
    <row r="3029" spans="3:10" x14ac:dyDescent="0.25">
      <c r="C3029" s="28" t="s">
        <v>5926</v>
      </c>
      <c r="D3029" s="188"/>
      <c r="E3029" s="31"/>
      <c r="F3029" s="185" t="s">
        <v>4360</v>
      </c>
      <c r="G3029" s="186"/>
      <c r="H3029" s="187"/>
      <c r="I3029" s="28"/>
      <c r="J3029" s="184" t="s">
        <v>4360</v>
      </c>
    </row>
    <row r="3030" spans="3:10" x14ac:dyDescent="0.25">
      <c r="C3030" s="28" t="s">
        <v>5927</v>
      </c>
      <c r="D3030" s="188"/>
      <c r="E3030" s="31"/>
      <c r="F3030" s="185" t="s">
        <v>4360</v>
      </c>
      <c r="G3030" s="186"/>
      <c r="H3030" s="187"/>
      <c r="I3030" s="28"/>
      <c r="J3030" s="184" t="s">
        <v>4360</v>
      </c>
    </row>
    <row r="3031" spans="3:10" x14ac:dyDescent="0.25">
      <c r="C3031" s="28" t="s">
        <v>5906</v>
      </c>
      <c r="D3031" s="188"/>
      <c r="E3031" s="31"/>
      <c r="F3031" s="185" t="s">
        <v>4360</v>
      </c>
      <c r="G3031" s="186"/>
      <c r="H3031" s="187"/>
      <c r="I3031" s="28"/>
      <c r="J3031" s="184" t="s">
        <v>4360</v>
      </c>
    </row>
    <row r="3032" spans="3:10" x14ac:dyDescent="0.25">
      <c r="C3032" s="28" t="s">
        <v>5907</v>
      </c>
      <c r="D3032" s="188"/>
      <c r="E3032" s="31"/>
      <c r="F3032" s="185" t="s">
        <v>4360</v>
      </c>
      <c r="G3032" s="186"/>
      <c r="H3032" s="187"/>
      <c r="I3032" s="28"/>
      <c r="J3032" s="184" t="s">
        <v>4360</v>
      </c>
    </row>
    <row r="3033" spans="3:10" x14ac:dyDescent="0.25">
      <c r="C3033" s="28" t="s">
        <v>5930</v>
      </c>
      <c r="D3033" s="188"/>
      <c r="E3033" s="31"/>
      <c r="F3033" s="185" t="s">
        <v>4360</v>
      </c>
      <c r="G3033" s="186"/>
      <c r="H3033" s="187"/>
      <c r="I3033" s="28"/>
      <c r="J3033" s="184" t="s">
        <v>4360</v>
      </c>
    </row>
    <row r="3034" spans="3:10" x14ac:dyDescent="0.25">
      <c r="C3034" s="28" t="s">
        <v>5931</v>
      </c>
      <c r="D3034" s="188"/>
      <c r="E3034" s="31"/>
      <c r="F3034" s="185" t="s">
        <v>4360</v>
      </c>
      <c r="G3034" s="186"/>
      <c r="H3034" s="187"/>
      <c r="I3034" s="28"/>
      <c r="J3034" s="184" t="s">
        <v>4360</v>
      </c>
    </row>
    <row r="3035" spans="3:10" x14ac:dyDescent="0.25">
      <c r="C3035" s="28" t="s">
        <v>5920</v>
      </c>
      <c r="D3035" s="188"/>
      <c r="E3035" s="31"/>
      <c r="F3035" s="185" t="s">
        <v>4360</v>
      </c>
      <c r="G3035" s="186"/>
      <c r="H3035" s="187"/>
      <c r="I3035" s="28"/>
      <c r="J3035" s="184" t="s">
        <v>4360</v>
      </c>
    </row>
    <row r="3036" spans="3:10" x14ac:dyDescent="0.25">
      <c r="C3036" s="28" t="s">
        <v>5921</v>
      </c>
      <c r="D3036" s="188"/>
      <c r="E3036" s="31"/>
      <c r="F3036" s="185" t="s">
        <v>4360</v>
      </c>
      <c r="G3036" s="186"/>
      <c r="H3036" s="187"/>
      <c r="I3036" s="28"/>
      <c r="J3036" s="184" t="s">
        <v>4360</v>
      </c>
    </row>
    <row r="3037" spans="3:10" x14ac:dyDescent="0.25">
      <c r="C3037" s="28" t="s">
        <v>5922</v>
      </c>
      <c r="D3037" s="188"/>
      <c r="E3037" s="31"/>
      <c r="F3037" s="185" t="s">
        <v>4360</v>
      </c>
      <c r="G3037" s="186"/>
      <c r="H3037" s="187"/>
      <c r="I3037" s="28"/>
      <c r="J3037" s="184" t="s">
        <v>4360</v>
      </c>
    </row>
    <row r="3038" spans="3:10" x14ac:dyDescent="0.25">
      <c r="C3038" s="28" t="s">
        <v>5923</v>
      </c>
      <c r="D3038" s="188"/>
      <c r="E3038" s="31"/>
      <c r="F3038" s="185" t="s">
        <v>4360</v>
      </c>
      <c r="G3038" s="186"/>
      <c r="H3038" s="187"/>
      <c r="I3038" s="28"/>
      <c r="J3038" s="184" t="s">
        <v>4360</v>
      </c>
    </row>
    <row r="3039" spans="3:10" x14ac:dyDescent="0.25">
      <c r="C3039" s="28" t="s">
        <v>5924</v>
      </c>
      <c r="D3039" s="188"/>
      <c r="E3039" s="31"/>
      <c r="F3039" s="185" t="s">
        <v>4360</v>
      </c>
      <c r="G3039" s="186"/>
      <c r="H3039" s="187"/>
      <c r="I3039" s="28"/>
      <c r="J3039" s="184" t="s">
        <v>4360</v>
      </c>
    </row>
    <row r="3040" spans="3:10" x14ac:dyDescent="0.25">
      <c r="C3040" s="28" t="s">
        <v>5925</v>
      </c>
      <c r="D3040" s="188"/>
      <c r="E3040" s="31"/>
      <c r="F3040" s="185" t="s">
        <v>4360</v>
      </c>
      <c r="G3040" s="186"/>
      <c r="H3040" s="187"/>
      <c r="I3040" s="28"/>
      <c r="J3040" s="184" t="s">
        <v>4360</v>
      </c>
    </row>
    <row r="3041" spans="3:10" x14ac:dyDescent="0.25">
      <c r="C3041" s="28" t="s">
        <v>5914</v>
      </c>
      <c r="D3041" s="188"/>
      <c r="E3041" s="31"/>
      <c r="F3041" s="185" t="s">
        <v>4360</v>
      </c>
      <c r="G3041" s="186"/>
      <c r="H3041" s="187"/>
      <c r="I3041" s="28"/>
      <c r="J3041" s="184" t="s">
        <v>4360</v>
      </c>
    </row>
    <row r="3042" spans="3:10" x14ac:dyDescent="0.25">
      <c r="C3042" s="28" t="s">
        <v>5915</v>
      </c>
      <c r="D3042" s="188"/>
      <c r="E3042" s="31"/>
      <c r="F3042" s="185" t="s">
        <v>4360</v>
      </c>
      <c r="G3042" s="186"/>
      <c r="H3042" s="187"/>
      <c r="I3042" s="28"/>
      <c r="J3042" s="184" t="s">
        <v>4360</v>
      </c>
    </row>
    <row r="3043" spans="3:10" x14ac:dyDescent="0.25">
      <c r="C3043" s="28" t="s">
        <v>5916</v>
      </c>
      <c r="D3043" s="188"/>
      <c r="E3043" s="31"/>
      <c r="F3043" s="185" t="s">
        <v>4360</v>
      </c>
      <c r="G3043" s="186"/>
      <c r="H3043" s="187"/>
      <c r="I3043" s="28"/>
      <c r="J3043" s="184" t="s">
        <v>4360</v>
      </c>
    </row>
    <row r="3044" spans="3:10" x14ac:dyDescent="0.25">
      <c r="C3044" s="28" t="s">
        <v>5917</v>
      </c>
      <c r="D3044" s="188"/>
      <c r="E3044" s="31"/>
      <c r="F3044" s="185" t="s">
        <v>4360</v>
      </c>
      <c r="G3044" s="186"/>
      <c r="H3044" s="187"/>
      <c r="I3044" s="28"/>
      <c r="J3044" s="184" t="s">
        <v>4360</v>
      </c>
    </row>
    <row r="3045" spans="3:10" x14ac:dyDescent="0.25">
      <c r="C3045" s="28" t="s">
        <v>5918</v>
      </c>
      <c r="D3045" s="188"/>
      <c r="E3045" s="31"/>
      <c r="F3045" s="185" t="s">
        <v>4360</v>
      </c>
      <c r="G3045" s="186"/>
      <c r="H3045" s="187"/>
      <c r="I3045" s="28"/>
      <c r="J3045" s="184" t="s">
        <v>4360</v>
      </c>
    </row>
    <row r="3046" spans="3:10" x14ac:dyDescent="0.25">
      <c r="C3046" s="28" t="s">
        <v>5919</v>
      </c>
      <c r="D3046" s="188"/>
      <c r="E3046" s="31"/>
      <c r="F3046" s="185" t="s">
        <v>4360</v>
      </c>
      <c r="G3046" s="186"/>
      <c r="H3046" s="187"/>
      <c r="I3046" s="28"/>
      <c r="J3046" s="184" t="s">
        <v>4360</v>
      </c>
    </row>
    <row r="3047" spans="3:10" x14ac:dyDescent="0.25">
      <c r="C3047" s="28" t="s">
        <v>5908</v>
      </c>
      <c r="D3047" s="188"/>
      <c r="E3047" s="31"/>
      <c r="F3047" s="185" t="s">
        <v>4360</v>
      </c>
      <c r="G3047" s="186"/>
      <c r="H3047" s="187"/>
      <c r="I3047" s="28"/>
      <c r="J3047" s="184" t="s">
        <v>4360</v>
      </c>
    </row>
    <row r="3048" spans="3:10" x14ac:dyDescent="0.25">
      <c r="C3048" s="28" t="s">
        <v>5909</v>
      </c>
      <c r="D3048" s="188"/>
      <c r="E3048" s="31"/>
      <c r="F3048" s="185" t="s">
        <v>4360</v>
      </c>
      <c r="G3048" s="186"/>
      <c r="H3048" s="187"/>
      <c r="I3048" s="28"/>
      <c r="J3048" s="184" t="s">
        <v>4360</v>
      </c>
    </row>
    <row r="3049" spans="3:10" x14ac:dyDescent="0.25">
      <c r="C3049" s="28" t="s">
        <v>5910</v>
      </c>
      <c r="D3049" s="188"/>
      <c r="E3049" s="31"/>
      <c r="F3049" s="185" t="s">
        <v>4360</v>
      </c>
      <c r="G3049" s="186"/>
      <c r="H3049" s="187"/>
      <c r="I3049" s="28"/>
      <c r="J3049" s="184" t="s">
        <v>4360</v>
      </c>
    </row>
    <row r="3050" spans="3:10" x14ac:dyDescent="0.25">
      <c r="C3050" s="28" t="s">
        <v>5911</v>
      </c>
      <c r="D3050" s="188"/>
      <c r="E3050" s="31"/>
      <c r="F3050" s="185" t="s">
        <v>4360</v>
      </c>
      <c r="G3050" s="186"/>
      <c r="H3050" s="187"/>
      <c r="I3050" s="28"/>
      <c r="J3050" s="184" t="s">
        <v>4360</v>
      </c>
    </row>
    <row r="3051" spans="3:10" x14ac:dyDescent="0.25">
      <c r="C3051" s="28" t="s">
        <v>5912</v>
      </c>
      <c r="D3051" s="188"/>
      <c r="E3051" s="31"/>
      <c r="F3051" s="185" t="s">
        <v>4360</v>
      </c>
      <c r="G3051" s="186"/>
      <c r="H3051" s="187"/>
      <c r="I3051" s="28"/>
      <c r="J3051" s="184" t="s">
        <v>4360</v>
      </c>
    </row>
    <row r="3052" spans="3:10" x14ac:dyDescent="0.25">
      <c r="C3052" s="28" t="s">
        <v>5913</v>
      </c>
      <c r="D3052" s="188"/>
      <c r="E3052" s="31"/>
      <c r="F3052" s="185" t="s">
        <v>4360</v>
      </c>
      <c r="G3052" s="186"/>
      <c r="H3052" s="187"/>
      <c r="I3052" s="28"/>
      <c r="J3052" s="184" t="s">
        <v>4360</v>
      </c>
    </row>
    <row r="3053" spans="3:10" x14ac:dyDescent="0.25">
      <c r="C3053" s="28" t="s">
        <v>5971</v>
      </c>
      <c r="D3053" s="188"/>
      <c r="E3053" s="31"/>
      <c r="F3053" s="185" t="s">
        <v>4360</v>
      </c>
      <c r="G3053" s="186"/>
      <c r="H3053" s="187"/>
      <c r="I3053" s="28"/>
      <c r="J3053" s="184" t="s">
        <v>4360</v>
      </c>
    </row>
    <row r="3054" spans="3:10" x14ac:dyDescent="0.25">
      <c r="C3054" s="28" t="s">
        <v>5974</v>
      </c>
      <c r="D3054" s="188"/>
      <c r="E3054" s="31"/>
      <c r="F3054" s="185" t="s">
        <v>4360</v>
      </c>
      <c r="G3054" s="186"/>
      <c r="H3054" s="187"/>
      <c r="I3054" s="28"/>
      <c r="J3054" s="184" t="s">
        <v>4360</v>
      </c>
    </row>
    <row r="3055" spans="3:10" x14ac:dyDescent="0.25">
      <c r="C3055" s="28" t="s">
        <v>5975</v>
      </c>
      <c r="D3055" s="188"/>
      <c r="E3055" s="31"/>
      <c r="F3055" s="185" t="s">
        <v>4360</v>
      </c>
      <c r="G3055" s="186"/>
      <c r="H3055" s="187"/>
      <c r="I3055" s="28"/>
      <c r="J3055" s="184" t="s">
        <v>4360</v>
      </c>
    </row>
    <row r="3056" spans="3:10" x14ac:dyDescent="0.25">
      <c r="C3056" s="28" t="s">
        <v>5976</v>
      </c>
      <c r="D3056" s="188"/>
      <c r="E3056" s="31"/>
      <c r="F3056" s="185" t="s">
        <v>4360</v>
      </c>
      <c r="G3056" s="186"/>
      <c r="H3056" s="187"/>
      <c r="I3056" s="28"/>
      <c r="J3056" s="184" t="s">
        <v>4360</v>
      </c>
    </row>
    <row r="3057" spans="3:10" x14ac:dyDescent="0.25">
      <c r="C3057" s="28" t="s">
        <v>5977</v>
      </c>
      <c r="D3057" s="188"/>
      <c r="E3057" s="31"/>
      <c r="F3057" s="185" t="s">
        <v>4360</v>
      </c>
      <c r="G3057" s="186"/>
      <c r="H3057" s="187"/>
      <c r="I3057" s="28"/>
      <c r="J3057" s="184" t="s">
        <v>4360</v>
      </c>
    </row>
    <row r="3058" spans="3:10" x14ac:dyDescent="0.25">
      <c r="C3058" s="28" t="s">
        <v>5978</v>
      </c>
      <c r="D3058" s="188"/>
      <c r="E3058" s="31"/>
      <c r="F3058" s="185" t="s">
        <v>4360</v>
      </c>
      <c r="G3058" s="186"/>
      <c r="H3058" s="187"/>
      <c r="I3058" s="28"/>
      <c r="J3058" s="184" t="s">
        <v>4360</v>
      </c>
    </row>
    <row r="3059" spans="3:10" x14ac:dyDescent="0.25">
      <c r="C3059" s="28" t="s">
        <v>5979</v>
      </c>
      <c r="D3059" s="188"/>
      <c r="E3059" s="31"/>
      <c r="F3059" s="185" t="s">
        <v>4360</v>
      </c>
      <c r="G3059" s="186"/>
      <c r="H3059" s="187"/>
      <c r="I3059" s="28"/>
      <c r="J3059" s="184" t="s">
        <v>4360</v>
      </c>
    </row>
    <row r="3060" spans="3:10" x14ac:dyDescent="0.25">
      <c r="C3060" s="28" t="s">
        <v>5980</v>
      </c>
      <c r="D3060" s="188"/>
      <c r="E3060" s="31"/>
      <c r="F3060" s="185" t="s">
        <v>4360</v>
      </c>
      <c r="G3060" s="186"/>
      <c r="H3060" s="187"/>
      <c r="I3060" s="28"/>
      <c r="J3060" s="184" t="s">
        <v>4360</v>
      </c>
    </row>
    <row r="3061" spans="3:10" x14ac:dyDescent="0.25">
      <c r="C3061" s="28" t="s">
        <v>5981</v>
      </c>
      <c r="D3061" s="188"/>
      <c r="E3061" s="31"/>
      <c r="F3061" s="185" t="s">
        <v>4360</v>
      </c>
      <c r="G3061" s="186"/>
      <c r="H3061" s="187"/>
      <c r="I3061" s="28"/>
      <c r="J3061" s="184" t="s">
        <v>4360</v>
      </c>
    </row>
    <row r="3062" spans="3:10" x14ac:dyDescent="0.25">
      <c r="C3062" s="28" t="s">
        <v>5982</v>
      </c>
      <c r="D3062" s="188"/>
      <c r="E3062" s="31"/>
      <c r="F3062" s="185" t="s">
        <v>4360</v>
      </c>
      <c r="G3062" s="186"/>
      <c r="H3062" s="187"/>
      <c r="I3062" s="28"/>
      <c r="J3062" s="184" t="s">
        <v>4360</v>
      </c>
    </row>
    <row r="3063" spans="3:10" x14ac:dyDescent="0.25">
      <c r="C3063" s="28" t="s">
        <v>5983</v>
      </c>
      <c r="D3063" s="188"/>
      <c r="E3063" s="31"/>
      <c r="F3063" s="185" t="s">
        <v>4360</v>
      </c>
      <c r="G3063" s="186"/>
      <c r="H3063" s="187"/>
      <c r="I3063" s="28"/>
      <c r="J3063" s="184" t="s">
        <v>4360</v>
      </c>
    </row>
    <row r="3064" spans="3:10" x14ac:dyDescent="0.25">
      <c r="C3064" s="28" t="s">
        <v>5984</v>
      </c>
      <c r="D3064" s="188"/>
      <c r="E3064" s="31"/>
      <c r="F3064" s="185" t="s">
        <v>4360</v>
      </c>
      <c r="G3064" s="186"/>
      <c r="H3064" s="187"/>
      <c r="I3064" s="28"/>
      <c r="J3064" s="184" t="s">
        <v>4360</v>
      </c>
    </row>
    <row r="3065" spans="3:10" x14ac:dyDescent="0.25">
      <c r="C3065" s="28" t="s">
        <v>5985</v>
      </c>
      <c r="D3065" s="188"/>
      <c r="E3065" s="31"/>
      <c r="F3065" s="185" t="s">
        <v>4360</v>
      </c>
      <c r="G3065" s="186"/>
      <c r="H3065" s="187"/>
      <c r="I3065" s="28"/>
      <c r="J3065" s="184" t="s">
        <v>4360</v>
      </c>
    </row>
    <row r="3066" spans="3:10" x14ac:dyDescent="0.25">
      <c r="C3066" s="28" t="s">
        <v>5997</v>
      </c>
      <c r="D3066" s="188"/>
      <c r="E3066" s="31"/>
      <c r="F3066" s="185" t="s">
        <v>4360</v>
      </c>
      <c r="G3066" s="186"/>
      <c r="H3066" s="187"/>
      <c r="I3066" s="28"/>
      <c r="J3066" s="184" t="s">
        <v>4360</v>
      </c>
    </row>
    <row r="3067" spans="3:10" x14ac:dyDescent="0.25">
      <c r="C3067" s="28" t="s">
        <v>5998</v>
      </c>
      <c r="D3067" s="188"/>
      <c r="E3067" s="31"/>
      <c r="F3067" s="185" t="s">
        <v>4360</v>
      </c>
      <c r="G3067" s="186"/>
      <c r="H3067" s="187"/>
      <c r="I3067" s="28"/>
      <c r="J3067" s="184" t="s">
        <v>4360</v>
      </c>
    </row>
    <row r="3068" spans="3:10" x14ac:dyDescent="0.25">
      <c r="C3068" s="28" t="s">
        <v>5999</v>
      </c>
      <c r="D3068" s="188"/>
      <c r="E3068" s="31"/>
      <c r="F3068" s="185" t="s">
        <v>4360</v>
      </c>
      <c r="G3068" s="186"/>
      <c r="H3068" s="187"/>
      <c r="I3068" s="28"/>
      <c r="J3068" s="184" t="s">
        <v>4360</v>
      </c>
    </row>
    <row r="3069" spans="3:10" x14ac:dyDescent="0.25">
      <c r="C3069" s="28" t="s">
        <v>6000</v>
      </c>
      <c r="D3069" s="188"/>
      <c r="E3069" s="31"/>
      <c r="F3069" s="185" t="s">
        <v>4360</v>
      </c>
      <c r="G3069" s="186"/>
      <c r="H3069" s="187"/>
      <c r="I3069" s="28"/>
      <c r="J3069" s="184" t="s">
        <v>4360</v>
      </c>
    </row>
    <row r="3070" spans="3:10" x14ac:dyDescent="0.25">
      <c r="C3070" s="28" t="s">
        <v>6001</v>
      </c>
      <c r="D3070" s="188"/>
      <c r="E3070" s="31"/>
      <c r="F3070" s="185" t="s">
        <v>4360</v>
      </c>
      <c r="G3070" s="186"/>
      <c r="H3070" s="187"/>
      <c r="I3070" s="28"/>
      <c r="J3070" s="184" t="s">
        <v>4360</v>
      </c>
    </row>
    <row r="3071" spans="3:10" x14ac:dyDescent="0.25">
      <c r="C3071" s="28" t="s">
        <v>6002</v>
      </c>
      <c r="D3071" s="188"/>
      <c r="E3071" s="31"/>
      <c r="F3071" s="185" t="s">
        <v>4360</v>
      </c>
      <c r="G3071" s="186"/>
      <c r="H3071" s="187"/>
      <c r="I3071" s="28"/>
      <c r="J3071" s="184" t="s">
        <v>4360</v>
      </c>
    </row>
    <row r="3072" spans="3:10" x14ac:dyDescent="0.25">
      <c r="C3072" s="28" t="s">
        <v>6003</v>
      </c>
      <c r="D3072" s="188"/>
      <c r="E3072" s="31"/>
      <c r="F3072" s="185" t="s">
        <v>4360</v>
      </c>
      <c r="G3072" s="186"/>
      <c r="H3072" s="187"/>
      <c r="I3072" s="28"/>
      <c r="J3072" s="184" t="s">
        <v>4360</v>
      </c>
    </row>
    <row r="3073" spans="3:10" x14ac:dyDescent="0.25">
      <c r="C3073" s="28" t="s">
        <v>6004</v>
      </c>
      <c r="D3073" s="188"/>
      <c r="E3073" s="31"/>
      <c r="F3073" s="185" t="s">
        <v>4360</v>
      </c>
      <c r="G3073" s="186"/>
      <c r="H3073" s="187"/>
      <c r="I3073" s="28"/>
      <c r="J3073" s="184" t="s">
        <v>4360</v>
      </c>
    </row>
    <row r="3074" spans="3:10" x14ac:dyDescent="0.25">
      <c r="C3074" s="28" t="s">
        <v>6005</v>
      </c>
      <c r="D3074" s="188"/>
      <c r="E3074" s="31"/>
      <c r="F3074" s="185" t="s">
        <v>4360</v>
      </c>
      <c r="G3074" s="186"/>
      <c r="H3074" s="187"/>
      <c r="I3074" s="28"/>
      <c r="J3074" s="184" t="s">
        <v>4360</v>
      </c>
    </row>
    <row r="3075" spans="3:10" x14ac:dyDescent="0.25">
      <c r="C3075" s="28" t="s">
        <v>6006</v>
      </c>
      <c r="D3075" s="188"/>
      <c r="E3075" s="31"/>
      <c r="F3075" s="185" t="s">
        <v>4360</v>
      </c>
      <c r="G3075" s="186"/>
      <c r="H3075" s="187"/>
      <c r="I3075" s="28"/>
      <c r="J3075" s="184" t="s">
        <v>4360</v>
      </c>
    </row>
    <row r="3076" spans="3:10" x14ac:dyDescent="0.25">
      <c r="C3076" s="28" t="s">
        <v>6007</v>
      </c>
      <c r="D3076" s="188"/>
      <c r="E3076" s="31"/>
      <c r="F3076" s="185" t="s">
        <v>4360</v>
      </c>
      <c r="G3076" s="186"/>
      <c r="H3076" s="187"/>
      <c r="I3076" s="28"/>
      <c r="J3076" s="184" t="s">
        <v>4360</v>
      </c>
    </row>
    <row r="3077" spans="3:10" x14ac:dyDescent="0.25">
      <c r="C3077" s="28" t="s">
        <v>6008</v>
      </c>
      <c r="D3077" s="188"/>
      <c r="E3077" s="31"/>
      <c r="F3077" s="185" t="s">
        <v>4360</v>
      </c>
      <c r="G3077" s="186"/>
      <c r="H3077" s="187"/>
      <c r="I3077" s="28"/>
      <c r="J3077" s="184" t="s">
        <v>4360</v>
      </c>
    </row>
    <row r="3078" spans="3:10" x14ac:dyDescent="0.25">
      <c r="C3078" s="28" t="s">
        <v>6009</v>
      </c>
      <c r="D3078" s="188"/>
      <c r="E3078" s="31"/>
      <c r="F3078" s="185" t="s">
        <v>4360</v>
      </c>
      <c r="G3078" s="186"/>
      <c r="H3078" s="187"/>
      <c r="I3078" s="28"/>
      <c r="J3078" s="184" t="s">
        <v>4360</v>
      </c>
    </row>
    <row r="3079" spans="3:10" x14ac:dyDescent="0.25">
      <c r="C3079" s="28" t="s">
        <v>6010</v>
      </c>
      <c r="D3079" s="188"/>
      <c r="E3079" s="31"/>
      <c r="F3079" s="185" t="s">
        <v>4360</v>
      </c>
      <c r="G3079" s="186"/>
      <c r="H3079" s="187"/>
      <c r="I3079" s="28"/>
      <c r="J3079" s="184" t="s">
        <v>4360</v>
      </c>
    </row>
    <row r="3080" spans="3:10" x14ac:dyDescent="0.25">
      <c r="C3080" s="28" t="s">
        <v>6011</v>
      </c>
      <c r="D3080" s="188"/>
      <c r="E3080" s="31"/>
      <c r="F3080" s="185" t="s">
        <v>4360</v>
      </c>
      <c r="G3080" s="186"/>
      <c r="H3080" s="187"/>
      <c r="I3080" s="28"/>
      <c r="J3080" s="184" t="s">
        <v>4360</v>
      </c>
    </row>
    <row r="3081" spans="3:10" x14ac:dyDescent="0.25">
      <c r="C3081" s="28" t="s">
        <v>6012</v>
      </c>
      <c r="D3081" s="188"/>
      <c r="E3081" s="31"/>
      <c r="F3081" s="185" t="s">
        <v>4360</v>
      </c>
      <c r="G3081" s="186"/>
      <c r="H3081" s="187"/>
      <c r="I3081" s="28"/>
      <c r="J3081" s="184" t="s">
        <v>4360</v>
      </c>
    </row>
    <row r="3082" spans="3:10" x14ac:dyDescent="0.25">
      <c r="C3082" s="28" t="s">
        <v>6013</v>
      </c>
      <c r="D3082" s="188"/>
      <c r="E3082" s="31"/>
      <c r="F3082" s="185" t="s">
        <v>4360</v>
      </c>
      <c r="G3082" s="186"/>
      <c r="H3082" s="187"/>
      <c r="I3082" s="28"/>
      <c r="J3082" s="184" t="s">
        <v>4360</v>
      </c>
    </row>
    <row r="3083" spans="3:10" x14ac:dyDescent="0.25">
      <c r="C3083" s="28" t="s">
        <v>6014</v>
      </c>
      <c r="D3083" s="188"/>
      <c r="E3083" s="31"/>
      <c r="F3083" s="185" t="s">
        <v>4360</v>
      </c>
      <c r="G3083" s="186"/>
      <c r="H3083" s="187"/>
      <c r="I3083" s="28"/>
      <c r="J3083" s="184" t="s">
        <v>4360</v>
      </c>
    </row>
    <row r="3084" spans="3:10" x14ac:dyDescent="0.25">
      <c r="C3084" s="28" t="s">
        <v>6015</v>
      </c>
      <c r="D3084" s="188"/>
      <c r="E3084" s="31"/>
      <c r="F3084" s="185" t="s">
        <v>4360</v>
      </c>
      <c r="G3084" s="186"/>
      <c r="H3084" s="187"/>
      <c r="I3084" s="28"/>
      <c r="J3084" s="184" t="s">
        <v>4360</v>
      </c>
    </row>
    <row r="3085" spans="3:10" x14ac:dyDescent="0.25">
      <c r="C3085" s="28" t="s">
        <v>6016</v>
      </c>
      <c r="D3085" s="188"/>
      <c r="E3085" s="31"/>
      <c r="F3085" s="185" t="s">
        <v>4360</v>
      </c>
      <c r="G3085" s="186"/>
      <c r="H3085" s="187"/>
      <c r="I3085" s="28"/>
      <c r="J3085" s="184" t="s">
        <v>4360</v>
      </c>
    </row>
    <row r="3086" spans="3:10" x14ac:dyDescent="0.25">
      <c r="C3086" s="28" t="s">
        <v>6017</v>
      </c>
      <c r="D3086" s="188"/>
      <c r="E3086" s="31"/>
      <c r="F3086" s="185" t="s">
        <v>4360</v>
      </c>
      <c r="G3086" s="186"/>
      <c r="H3086" s="187"/>
      <c r="I3086" s="28"/>
      <c r="J3086" s="184" t="s">
        <v>4360</v>
      </c>
    </row>
    <row r="3087" spans="3:10" x14ac:dyDescent="0.25">
      <c r="C3087" s="28" t="s">
        <v>6018</v>
      </c>
      <c r="D3087" s="188"/>
      <c r="E3087" s="31"/>
      <c r="F3087" s="185" t="s">
        <v>4360</v>
      </c>
      <c r="G3087" s="186"/>
      <c r="H3087" s="187"/>
      <c r="I3087" s="28"/>
      <c r="J3087" s="184" t="s">
        <v>4360</v>
      </c>
    </row>
    <row r="3088" spans="3:10" x14ac:dyDescent="0.25">
      <c r="C3088" s="28" t="s">
        <v>6019</v>
      </c>
      <c r="D3088" s="188"/>
      <c r="E3088" s="31"/>
      <c r="F3088" s="185" t="s">
        <v>4360</v>
      </c>
      <c r="G3088" s="186"/>
      <c r="H3088" s="187"/>
      <c r="I3088" s="28"/>
      <c r="J3088" s="184" t="s">
        <v>4360</v>
      </c>
    </row>
    <row r="3089" spans="3:10" x14ac:dyDescent="0.25">
      <c r="C3089" s="28" t="s">
        <v>6020</v>
      </c>
      <c r="D3089" s="188"/>
      <c r="E3089" s="31"/>
      <c r="F3089" s="185" t="s">
        <v>4360</v>
      </c>
      <c r="G3089" s="186"/>
      <c r="H3089" s="187"/>
      <c r="I3089" s="28"/>
      <c r="J3089" s="184" t="s">
        <v>4360</v>
      </c>
    </row>
    <row r="3090" spans="3:10" x14ac:dyDescent="0.25">
      <c r="C3090" s="28" t="s">
        <v>6021</v>
      </c>
      <c r="D3090" s="188"/>
      <c r="E3090" s="31"/>
      <c r="F3090" s="185" t="s">
        <v>4360</v>
      </c>
      <c r="G3090" s="186"/>
      <c r="H3090" s="187"/>
      <c r="I3090" s="28"/>
      <c r="J3090" s="184" t="s">
        <v>4360</v>
      </c>
    </row>
    <row r="3091" spans="3:10" x14ac:dyDescent="0.25">
      <c r="C3091" s="28" t="s">
        <v>6022</v>
      </c>
      <c r="D3091" s="188"/>
      <c r="E3091" s="31"/>
      <c r="F3091" s="185" t="s">
        <v>4360</v>
      </c>
      <c r="G3091" s="186"/>
      <c r="H3091" s="187"/>
      <c r="I3091" s="28"/>
      <c r="J3091" s="184" t="s">
        <v>4360</v>
      </c>
    </row>
    <row r="3092" spans="3:10" x14ac:dyDescent="0.25">
      <c r="C3092" s="28" t="s">
        <v>6023</v>
      </c>
      <c r="D3092" s="188"/>
      <c r="E3092" s="31"/>
      <c r="F3092" s="185" t="s">
        <v>4360</v>
      </c>
      <c r="G3092" s="186"/>
      <c r="H3092" s="187"/>
      <c r="I3092" s="28"/>
      <c r="J3092" s="184" t="s">
        <v>4360</v>
      </c>
    </row>
    <row r="3093" spans="3:10" x14ac:dyDescent="0.25">
      <c r="C3093" s="28" t="s">
        <v>6024</v>
      </c>
      <c r="D3093" s="188"/>
      <c r="E3093" s="31"/>
      <c r="F3093" s="185" t="s">
        <v>4360</v>
      </c>
      <c r="G3093" s="186"/>
      <c r="H3093" s="187"/>
      <c r="I3093" s="28"/>
      <c r="J3093" s="184" t="s">
        <v>4360</v>
      </c>
    </row>
    <row r="3094" spans="3:10" x14ac:dyDescent="0.25">
      <c r="C3094" s="28" t="s">
        <v>6025</v>
      </c>
      <c r="D3094" s="188"/>
      <c r="E3094" s="31"/>
      <c r="F3094" s="185" t="s">
        <v>4360</v>
      </c>
      <c r="G3094" s="186"/>
      <c r="H3094" s="187"/>
      <c r="I3094" s="28"/>
      <c r="J3094" s="184" t="s">
        <v>4360</v>
      </c>
    </row>
    <row r="3095" spans="3:10" x14ac:dyDescent="0.25">
      <c r="C3095" s="28" t="s">
        <v>6026</v>
      </c>
      <c r="D3095" s="188"/>
      <c r="E3095" s="31"/>
      <c r="F3095" s="185" t="s">
        <v>4360</v>
      </c>
      <c r="G3095" s="186"/>
      <c r="H3095" s="187"/>
      <c r="I3095" s="28"/>
      <c r="J3095" s="184" t="s">
        <v>4360</v>
      </c>
    </row>
    <row r="3096" spans="3:10" x14ac:dyDescent="0.25">
      <c r="C3096" s="28" t="s">
        <v>6027</v>
      </c>
      <c r="D3096" s="188"/>
      <c r="E3096" s="31"/>
      <c r="F3096" s="185" t="s">
        <v>4360</v>
      </c>
      <c r="G3096" s="186"/>
      <c r="H3096" s="187"/>
      <c r="I3096" s="28"/>
      <c r="J3096" s="184" t="s">
        <v>4360</v>
      </c>
    </row>
    <row r="3097" spans="3:10" x14ac:dyDescent="0.25">
      <c r="C3097" s="28" t="s">
        <v>6028</v>
      </c>
      <c r="D3097" s="188"/>
      <c r="E3097" s="31"/>
      <c r="F3097" s="185" t="s">
        <v>4360</v>
      </c>
      <c r="G3097" s="186"/>
      <c r="H3097" s="187"/>
      <c r="I3097" s="28"/>
      <c r="J3097" s="184" t="s">
        <v>4360</v>
      </c>
    </row>
    <row r="3098" spans="3:10" x14ac:dyDescent="0.25">
      <c r="C3098" s="28" t="s">
        <v>6029</v>
      </c>
      <c r="D3098" s="188"/>
      <c r="E3098" s="31"/>
      <c r="F3098" s="185" t="s">
        <v>4360</v>
      </c>
      <c r="G3098" s="186"/>
      <c r="H3098" s="187"/>
      <c r="I3098" s="28"/>
      <c r="J3098" s="184" t="s">
        <v>4360</v>
      </c>
    </row>
    <row r="3099" spans="3:10" x14ac:dyDescent="0.25">
      <c r="C3099" s="28" t="s">
        <v>6242</v>
      </c>
      <c r="D3099" s="188" t="str">
        <f>+INDEX([1]Detallado!$F:$F,MATCH($C3099,[1]Detallado!$B:$B,0))</f>
        <v>Renta Fija</v>
      </c>
      <c r="E3099" s="31" t="str">
        <f>+INDEX([1]Detallado!$Q:$Q,MATCH($C3099,[1]Detallado!$B:$B,0))</f>
        <v>RFLG</v>
      </c>
      <c r="F3099" s="185" t="s">
        <v>4356</v>
      </c>
      <c r="G3099" s="186" t="str">
        <f t="shared" ref="G3099" si="91">LEFT(C3099,2)&amp;E3099</f>
        <v>01RFLG</v>
      </c>
      <c r="H3099" s="187" t="str">
        <f>+INDEX([1]Detallado!$D:$D,MATCH(C3099,[1]Detallado!$B:$B,0))</f>
        <v>Gobierno Central</v>
      </c>
      <c r="I3099" s="28"/>
      <c r="J3099" s="184" t="str">
        <f t="shared" ref="J3099:J3162" si="92">IF(E3099="ALT",LEFT(E3099,3),LEFT(E3099,3)&amp;F3099)</f>
        <v>RFLGOB</v>
      </c>
    </row>
    <row r="3100" spans="3:10" x14ac:dyDescent="0.25">
      <c r="C3100" s="28" t="s">
        <v>6321</v>
      </c>
      <c r="D3100" s="188" t="str">
        <f>+INDEX([1]Detallado!$F:$F,MATCH($C3100,[1]Detallado!$B:$B,0))</f>
        <v>Renta Fija</v>
      </c>
      <c r="E3100" s="31" t="str">
        <f>+INDEX([1]Detallado!$Q:$Q,MATCH($C3100,[1]Detallado!$B:$B,0))</f>
        <v>RFIG</v>
      </c>
      <c r="F3100" s="185" t="s">
        <v>4355</v>
      </c>
      <c r="G3100" s="186" t="str">
        <f t="shared" ref="G3100:G3124" si="93">LEFT(C3100,2)&amp;E3100</f>
        <v>08RFIG</v>
      </c>
      <c r="H3100" s="187" t="str">
        <f>+INDEX([1]Detallado!$D:$D,MATCH(C3100,[1]Detallado!$B:$B,0))</f>
        <v>Gobierno de Chile</v>
      </c>
      <c r="I3100" s="28"/>
      <c r="J3100" s="184" t="str">
        <f t="shared" si="92"/>
        <v>RFITD</v>
      </c>
    </row>
    <row r="3101" spans="3:10" x14ac:dyDescent="0.25">
      <c r="C3101" s="28" t="s">
        <v>6319</v>
      </c>
      <c r="D3101" s="188" t="str">
        <f>+INDEX([1]Detallado!$F:$F,MATCH($C3101,[1]Detallado!$B:$B,0))</f>
        <v>Renta Fija</v>
      </c>
      <c r="E3101" s="31" t="str">
        <f>+INDEX([1]Detallado!$Q:$Q,MATCH($C3101,[1]Detallado!$B:$B,0))</f>
        <v>RFIG</v>
      </c>
      <c r="F3101" s="185" t="s">
        <v>4355</v>
      </c>
      <c r="G3101" s="186" t="str">
        <f t="shared" si="93"/>
        <v>08RFIG</v>
      </c>
      <c r="H3101" s="187" t="str">
        <f>+INDEX([1]Detallado!$D:$D,MATCH(C3101,[1]Detallado!$B:$B,0))</f>
        <v>Gobierno de Colombia</v>
      </c>
      <c r="I3101" s="28"/>
      <c r="J3101" s="184" t="str">
        <f t="shared" si="92"/>
        <v>RFITD</v>
      </c>
    </row>
    <row r="3102" spans="3:10" x14ac:dyDescent="0.25">
      <c r="C3102" s="28" t="s">
        <v>6189</v>
      </c>
      <c r="D3102" s="188" t="str">
        <f>+INDEX([1]Detallado!$F:$F,MATCH($C3102,[1]Detallado!$B:$B,0))</f>
        <v>Renta Fija</v>
      </c>
      <c r="E3102" s="31" t="str">
        <f>+INDEX([1]Detallado!$Q:$Q,MATCH($C3102,[1]Detallado!$B:$B,0))</f>
        <v>RFIC</v>
      </c>
      <c r="F3102" s="185" t="s">
        <v>4357</v>
      </c>
      <c r="G3102" s="186" t="str">
        <f t="shared" si="93"/>
        <v>12RFIC</v>
      </c>
      <c r="H3102" s="187" t="str">
        <f>+INDEX([1]Detallado!$D:$D,MATCH(C3102,[1]Detallado!$B:$B,0))</f>
        <v>Grupo Nutresa S.A.</v>
      </c>
      <c r="I3102" s="28"/>
      <c r="J3102" s="184" t="str">
        <f t="shared" si="92"/>
        <v>RFIBU</v>
      </c>
    </row>
    <row r="3103" spans="3:10" x14ac:dyDescent="0.25">
      <c r="C3103" s="28" t="s">
        <v>5799</v>
      </c>
      <c r="D3103" s="188" t="str">
        <f>+INDEX([1]Detallado!$F:$F,MATCH($C3103,[1]Detallado!$B:$B,0))</f>
        <v>Renta Fija</v>
      </c>
      <c r="E3103" s="31" t="str">
        <f>+INDEX([1]Detallado!$Q:$Q,MATCH($C3103,[1]Detallado!$B:$B,0))</f>
        <v>RFIC</v>
      </c>
      <c r="F3103" s="185" t="s">
        <v>4357</v>
      </c>
      <c r="G3103" s="186" t="str">
        <f t="shared" si="93"/>
        <v>15RFIC</v>
      </c>
      <c r="H3103" s="187" t="str">
        <f>+INDEX([1]Detallado!$D:$D,MATCH(C3103,[1]Detallado!$B:$B,0))</f>
        <v>BBVA Bancomer</v>
      </c>
      <c r="I3103" s="28"/>
      <c r="J3103" s="184" t="str">
        <f t="shared" si="92"/>
        <v>RFIBU</v>
      </c>
    </row>
    <row r="3104" spans="3:10" x14ac:dyDescent="0.25">
      <c r="C3104" s="28" t="s">
        <v>6400</v>
      </c>
      <c r="D3104" s="188" t="str">
        <f>+INDEX([1]Detallado!$F:$F,MATCH($C3104,[1]Detallado!$B:$B,0))</f>
        <v>Renta Fija</v>
      </c>
      <c r="E3104" s="31" t="str">
        <f>+INDEX([1]Detallado!$Q:$Q,MATCH($C3104,[1]Detallado!$B:$B,0))</f>
        <v>RFIC</v>
      </c>
      <c r="F3104" s="185" t="s">
        <v>4357</v>
      </c>
      <c r="G3104" s="186" t="str">
        <f t="shared" si="93"/>
        <v>15RFIC</v>
      </c>
      <c r="H3104" s="187" t="str">
        <f>+INDEX([1]Detallado!$D:$D,MATCH(C3104,[1]Detallado!$B:$B,0))</f>
        <v>Banco Davivienda S.A.</v>
      </c>
      <c r="I3104" s="28"/>
      <c r="J3104" s="184" t="str">
        <f t="shared" si="92"/>
        <v>RFIBU</v>
      </c>
    </row>
    <row r="3105" spans="3:10" x14ac:dyDescent="0.25">
      <c r="C3105" s="28" t="s">
        <v>5787</v>
      </c>
      <c r="D3105" s="188" t="str">
        <f>+INDEX([1]Detallado!$F:$F,MATCH($C3105,[1]Detallado!$B:$B,0))</f>
        <v>Renta Fija</v>
      </c>
      <c r="E3105" s="31" t="str">
        <f>+INDEX([1]Detallado!$Q:$Q,MATCH($C3105,[1]Detallado!$B:$B,0))</f>
        <v>RFIC</v>
      </c>
      <c r="F3105" s="185" t="s">
        <v>4357</v>
      </c>
      <c r="G3105" s="186" t="str">
        <f t="shared" si="93"/>
        <v>15RFIC</v>
      </c>
      <c r="H3105" s="187" t="str">
        <f>+INDEX([1]Detallado!$D:$D,MATCH(C3105,[1]Detallado!$B:$B,0))</f>
        <v>Banco de Crédito e Inversiones</v>
      </c>
      <c r="I3105" s="28"/>
      <c r="J3105" s="184" t="str">
        <f t="shared" si="92"/>
        <v>RFIBU</v>
      </c>
    </row>
    <row r="3106" spans="3:10" x14ac:dyDescent="0.25">
      <c r="C3106" s="28" t="s">
        <v>6168</v>
      </c>
      <c r="D3106" s="188" t="str">
        <f>+INDEX([1]Detallado!$F:$F,MATCH($C3106,[1]Detallado!$B:$B,0))</f>
        <v>Renta Fija</v>
      </c>
      <c r="E3106" s="31" t="str">
        <f>+INDEX([1]Detallado!$Q:$Q,MATCH($C3106,[1]Detallado!$B:$B,0))</f>
        <v>RFLC</v>
      </c>
      <c r="F3106" s="185" t="s">
        <v>4357</v>
      </c>
      <c r="G3106" s="186" t="str">
        <f t="shared" si="93"/>
        <v>22RFLC</v>
      </c>
      <c r="H3106" s="187" t="str">
        <f>+INDEX([1]Detallado!$D:$D,MATCH(C3106,[1]Detallado!$B:$B,0))</f>
        <v xml:space="preserve">Alicorp </v>
      </c>
      <c r="I3106" s="28"/>
      <c r="J3106" s="184" t="str">
        <f t="shared" si="92"/>
        <v>RFLBU</v>
      </c>
    </row>
    <row r="3107" spans="3:10" x14ac:dyDescent="0.25">
      <c r="C3107" s="28" t="s">
        <v>6407</v>
      </c>
      <c r="D3107" s="188" t="str">
        <f>+INDEX([1]Detallado!$F:$F,MATCH($C3107,[1]Detallado!$B:$B,0))</f>
        <v>Renta Fija</v>
      </c>
      <c r="E3107" s="31" t="str">
        <f>+INDEX([1]Detallado!$Q:$Q,MATCH($C3107,[1]Detallado!$B:$B,0))</f>
        <v>RFLC</v>
      </c>
      <c r="F3107" s="185" t="s">
        <v>4357</v>
      </c>
      <c r="G3107" s="186" t="str">
        <f t="shared" si="93"/>
        <v>22RFLC</v>
      </c>
      <c r="H3107" s="187" t="str">
        <f>+INDEX([1]Detallado!$D:$D,MATCH(C3107,[1]Detallado!$B:$B,0))</f>
        <v>Pluz Energía Perú S.A.A</v>
      </c>
      <c r="I3107" s="28"/>
      <c r="J3107" s="184" t="str">
        <f t="shared" si="92"/>
        <v>RFLBU</v>
      </c>
    </row>
    <row r="3108" spans="3:10" x14ac:dyDescent="0.25">
      <c r="C3108" s="28" t="s">
        <v>6410</v>
      </c>
      <c r="D3108" s="188" t="str">
        <f>+INDEX([1]Detallado!$F:$F,MATCH($C3108,[1]Detallado!$B:$B,0))</f>
        <v>Renta Fija</v>
      </c>
      <c r="E3108" s="31" t="str">
        <f>+INDEX([1]Detallado!$Q:$Q,MATCH($C3108,[1]Detallado!$B:$B,0))</f>
        <v>RFLC</v>
      </c>
      <c r="F3108" s="185" t="s">
        <v>4357</v>
      </c>
      <c r="G3108" s="186" t="str">
        <f t="shared" si="93"/>
        <v>22RFLC</v>
      </c>
      <c r="H3108" s="187" t="str">
        <f>+INDEX([1]Detallado!$D:$D,MATCH(C3108,[1]Detallado!$B:$B,0))</f>
        <v>Orazen</v>
      </c>
      <c r="I3108" s="28"/>
      <c r="J3108" s="184" t="str">
        <f t="shared" si="92"/>
        <v>RFLBU</v>
      </c>
    </row>
    <row r="3109" spans="3:10" x14ac:dyDescent="0.25">
      <c r="C3109" s="28" t="s">
        <v>6413</v>
      </c>
      <c r="D3109" s="188" t="str">
        <f>+INDEX([1]Detallado!$F:$F,MATCH($C3109,[1]Detallado!$B:$B,0))</f>
        <v>Renta Fija</v>
      </c>
      <c r="E3109" s="31" t="str">
        <f>+INDEX([1]Detallado!$Q:$Q,MATCH($C3109,[1]Detallado!$B:$B,0))</f>
        <v>RFLC</v>
      </c>
      <c r="F3109" s="185" t="s">
        <v>4357</v>
      </c>
      <c r="G3109" s="186" t="str">
        <f t="shared" si="93"/>
        <v>22RFLC</v>
      </c>
      <c r="H3109" s="187" t="str">
        <f>+INDEX([1]Detallado!$D:$D,MATCH(C3109,[1]Detallado!$B:$B,0))</f>
        <v xml:space="preserve">Luz del Sur </v>
      </c>
      <c r="I3109" s="28"/>
      <c r="J3109" s="184" t="str">
        <f t="shared" si="92"/>
        <v>RFLBU</v>
      </c>
    </row>
    <row r="3110" spans="3:10" x14ac:dyDescent="0.25">
      <c r="C3110" s="28" t="s">
        <v>6428</v>
      </c>
      <c r="D3110" s="188" t="str">
        <f>+INDEX([1]Detallado!$F:$F,MATCH($C3110,[1]Detallado!$B:$B,0))</f>
        <v>Renta Fija</v>
      </c>
      <c r="E3110" s="31" t="str">
        <f>+INDEX([1]Detallado!$Q:$Q,MATCH($C3110,[1]Detallado!$B:$B,0))</f>
        <v>RFLC</v>
      </c>
      <c r="F3110" s="185" t="s">
        <v>4357</v>
      </c>
      <c r="G3110" s="186" t="str">
        <f t="shared" si="93"/>
        <v>27RFLC</v>
      </c>
      <c r="H3110" s="187" t="str">
        <f>+INDEX([1]Detallado!$D:$D,MATCH(C3110,[1]Detallado!$B:$B,0))</f>
        <v>InRetail Shopping Malls</v>
      </c>
      <c r="I3110" s="28"/>
      <c r="J3110" s="184" t="str">
        <f t="shared" si="92"/>
        <v>RFLBU</v>
      </c>
    </row>
    <row r="3111" spans="3:10" x14ac:dyDescent="0.25">
      <c r="C3111" s="28" t="s">
        <v>6369</v>
      </c>
      <c r="D3111" s="188" t="str">
        <f>+INDEX([1]Detallado!$F:$F,MATCH($C3111,[1]Detallado!$B:$B,0))</f>
        <v>Renta Fija</v>
      </c>
      <c r="E3111" s="31" t="str">
        <f>+INDEX([1]Detallado!$Q:$Q,MATCH($C3111,[1]Detallado!$B:$B,0))</f>
        <v>RFLC</v>
      </c>
      <c r="F3111" s="185" t="s">
        <v>4357</v>
      </c>
      <c r="G3111" s="186" t="str">
        <f t="shared" si="93"/>
        <v>27RFLC</v>
      </c>
      <c r="H3111" s="187" t="str">
        <f>+INDEX([1]Detallado!$D:$D,MATCH(C3111,[1]Detallado!$B:$B,0))</f>
        <v>InRetail Shopping Malls</v>
      </c>
      <c r="I3111" s="28"/>
      <c r="J3111" s="184" t="str">
        <f t="shared" si="92"/>
        <v>RFLBU</v>
      </c>
    </row>
    <row r="3112" spans="3:10" x14ac:dyDescent="0.25">
      <c r="C3112" s="28" t="s">
        <v>6389</v>
      </c>
      <c r="D3112" s="188" t="str">
        <f>+INDEX([1]Detallado!$F:$F,MATCH($C3112,[1]Detallado!$B:$B,0))</f>
        <v>Renta Variable</v>
      </c>
      <c r="E3112" s="31" t="str">
        <f>+INDEX([1]Detallado!$Q:$Q,MATCH($C3112,[1]Detallado!$B:$B,0))</f>
        <v>RVL</v>
      </c>
      <c r="F3112" s="185" t="s">
        <v>4357</v>
      </c>
      <c r="G3112" s="186" t="str">
        <f t="shared" si="93"/>
        <v>39RVL</v>
      </c>
      <c r="H3112" s="187" t="str">
        <f>+INDEX([1]Detallado!$D:$D,MATCH(C3112,[1]Detallado!$B:$B,0))</f>
        <v>HudBays Minerals Inc.</v>
      </c>
      <c r="I3112" s="28"/>
      <c r="J3112" s="184" t="str">
        <f t="shared" si="92"/>
        <v>RVLBU</v>
      </c>
    </row>
    <row r="3113" spans="3:10" x14ac:dyDescent="0.25">
      <c r="C3113" s="28" t="s">
        <v>6159</v>
      </c>
      <c r="D3113" s="188" t="str">
        <f>+INDEX([1]Detallado!$F:$F,MATCH($C3113,[1]Detallado!$B:$B,0))</f>
        <v>Renta Variable</v>
      </c>
      <c r="E3113" s="31" t="str">
        <f>+INDEX([1]Detallado!$Q:$Q,MATCH($C3113,[1]Detallado!$B:$B,0))</f>
        <v>RVL</v>
      </c>
      <c r="F3113" s="185" t="s">
        <v>4357</v>
      </c>
      <c r="G3113" s="186" t="str">
        <f t="shared" si="93"/>
        <v>39RVL</v>
      </c>
      <c r="H3113" s="187" t="str">
        <f>+INDEX([1]Detallado!$D:$D,MATCH(C3113,[1]Detallado!$B:$B,0))</f>
        <v>Hocshild Minning Corp.</v>
      </c>
      <c r="I3113" s="28"/>
      <c r="J3113" s="184" t="str">
        <f t="shared" si="92"/>
        <v>RVLBU</v>
      </c>
    </row>
    <row r="3114" spans="3:10" x14ac:dyDescent="0.25">
      <c r="C3114" s="28" t="s">
        <v>6361</v>
      </c>
      <c r="D3114" s="188" t="str">
        <f>+INDEX([1]Detallado!$F:$F,MATCH($C3114,[1]Detallado!$B:$B,0))</f>
        <v>Renta Fija</v>
      </c>
      <c r="E3114" s="31" t="str">
        <f>+INDEX([1]Detallado!$Q:$Q,MATCH($C3114,[1]Detallado!$B:$B,0))</f>
        <v>RFIG</v>
      </c>
      <c r="F3114" s="185" t="s">
        <v>4355</v>
      </c>
      <c r="G3114" s="186" t="str">
        <f t="shared" si="93"/>
        <v>52RFIG</v>
      </c>
      <c r="H3114" s="187" t="str">
        <f>+INDEX([1]Detallado!$D:$D,MATCH(C3114,[1]Detallado!$B:$B,0))</f>
        <v>Vontobel - Credit Opportunities</v>
      </c>
      <c r="I3114" s="28"/>
      <c r="J3114" s="184" t="str">
        <f t="shared" si="92"/>
        <v>RFITD</v>
      </c>
    </row>
    <row r="3115" spans="3:10" x14ac:dyDescent="0.25">
      <c r="C3115" s="28" t="s">
        <v>6435</v>
      </c>
      <c r="D3115" s="188" t="str">
        <f>+INDEX([1]Detallado!$F:$F,MATCH($C3115,[1]Detallado!$B:$B,0))</f>
        <v>Renta Fija</v>
      </c>
      <c r="E3115" s="31" t="str">
        <f>+INDEX([1]Detallado!$Q:$Q,MATCH($C3115,[1]Detallado!$B:$B,0))</f>
        <v>RFIG</v>
      </c>
      <c r="F3115" s="185" t="s">
        <v>4355</v>
      </c>
      <c r="G3115" s="186" t="str">
        <f t="shared" si="93"/>
        <v>52RFIG</v>
      </c>
      <c r="H3115" s="187" t="str">
        <f>+INDEX([1]Detallado!$D:$D,MATCH(C3115,[1]Detallado!$B:$B,0))</f>
        <v>Arcano Fund - European Income Fund - ESG Selection</v>
      </c>
      <c r="I3115" s="28"/>
      <c r="J3115" s="184" t="str">
        <f t="shared" si="92"/>
        <v>RFITD</v>
      </c>
    </row>
    <row r="3116" spans="3:10" x14ac:dyDescent="0.25">
      <c r="C3116" s="28" t="s">
        <v>6277</v>
      </c>
      <c r="D3116" s="188" t="str">
        <f>+INDEX([1]Detallado!$F:$F,MATCH($C3116,[1]Detallado!$B:$B,0))</f>
        <v>Renta Variable</v>
      </c>
      <c r="E3116" s="31" t="str">
        <f>+INDEX([1]Detallado!$Q:$Q,MATCH($C3116,[1]Detallado!$B:$B,0))</f>
        <v>RVI</v>
      </c>
      <c r="F3116" s="185" t="s">
        <v>4355</v>
      </c>
      <c r="G3116" s="186" t="str">
        <f t="shared" si="93"/>
        <v>52RVI</v>
      </c>
      <c r="H3116" s="187" t="str">
        <f>+INDEX([1]Detallado!$D:$D,MATCH(C3116,[1]Detallado!$B:$B,0))</f>
        <v>JP Morgan - Korea Equity Fund</v>
      </c>
      <c r="I3116" s="28"/>
      <c r="J3116" s="184" t="str">
        <f t="shared" si="92"/>
        <v>RVITD</v>
      </c>
    </row>
    <row r="3117" spans="3:10" x14ac:dyDescent="0.25">
      <c r="C3117" s="28" t="s">
        <v>6032</v>
      </c>
      <c r="D3117" s="188" t="str">
        <f>+INDEX([1]Detallado!$F:$F,MATCH($C3117,[1]Detallado!$B:$B,0))</f>
        <v>Renta Variable</v>
      </c>
      <c r="E3117" s="31" t="str">
        <f>+INDEX([1]Detallado!$Q:$Q,MATCH($C3117,[1]Detallado!$B:$B,0))</f>
        <v>RVI</v>
      </c>
      <c r="F3117" s="185" t="s">
        <v>4355</v>
      </c>
      <c r="G3117" s="186" t="str">
        <f t="shared" si="93"/>
        <v>52RVI</v>
      </c>
      <c r="H3117" s="187" t="str">
        <f>+INDEX([1]Detallado!$D:$D,MATCH(C3117,[1]Detallado!$B:$B,0))</f>
        <v>Invesco - Power Shares QQQ</v>
      </c>
      <c r="I3117" s="28"/>
      <c r="J3117" s="184" t="str">
        <f t="shared" si="92"/>
        <v>RVITD</v>
      </c>
    </row>
    <row r="3118" spans="3:10" x14ac:dyDescent="0.25">
      <c r="C3118" s="28" t="s">
        <v>6198</v>
      </c>
      <c r="D3118" s="188" t="str">
        <f>+INDEX([1]Detallado!$F:$F,MATCH($C3118,[1]Detallado!$B:$B,0))</f>
        <v>Renta Variable</v>
      </c>
      <c r="E3118" s="31" t="str">
        <f>+INDEX([1]Detallado!$Q:$Q,MATCH($C3118,[1]Detallado!$B:$B,0))</f>
        <v>RVI</v>
      </c>
      <c r="F3118" s="185" t="s">
        <v>4355</v>
      </c>
      <c r="G3118" s="186" t="str">
        <f t="shared" si="93"/>
        <v>52RVI</v>
      </c>
      <c r="H3118" s="187" t="str">
        <f>+INDEX([1]Detallado!$D:$D,MATCH(C3118,[1]Detallado!$B:$B,0))</f>
        <v>Global X - Silvers Miners ETF</v>
      </c>
      <c r="I3118" s="28"/>
      <c r="J3118" s="184" t="str">
        <f t="shared" si="92"/>
        <v>RVITD</v>
      </c>
    </row>
    <row r="3119" spans="3:10" x14ac:dyDescent="0.25">
      <c r="C3119" s="28" t="s">
        <v>6201</v>
      </c>
      <c r="D3119" s="188" t="str">
        <f>+INDEX([1]Detallado!$F:$F,MATCH($C3119,[1]Detallado!$B:$B,0))</f>
        <v>Renta Variable</v>
      </c>
      <c r="E3119" s="31" t="str">
        <f>+INDEX([1]Detallado!$Q:$Q,MATCH($C3119,[1]Detallado!$B:$B,0))</f>
        <v>RVI</v>
      </c>
      <c r="F3119" s="185" t="s">
        <v>4355</v>
      </c>
      <c r="G3119" s="186" t="str">
        <f t="shared" si="93"/>
        <v>52RVI</v>
      </c>
      <c r="H3119" s="187" t="str">
        <f>+INDEX([1]Detallado!$D:$D,MATCH(C3119,[1]Detallado!$B:$B,0))</f>
        <v>Global X - Uranium Miners ETF</v>
      </c>
      <c r="I3119" s="28"/>
      <c r="J3119" s="184" t="str">
        <f t="shared" si="92"/>
        <v>RVITD</v>
      </c>
    </row>
    <row r="3120" spans="3:10" x14ac:dyDescent="0.25">
      <c r="C3120" s="28" t="s">
        <v>6193</v>
      </c>
      <c r="D3120" s="188" t="str">
        <f>+INDEX([1]Detallado!$F:$F,MATCH($C3120,[1]Detallado!$B:$B,0))</f>
        <v>Renta Variable</v>
      </c>
      <c r="E3120" s="31" t="str">
        <f>+INDEX([1]Detallado!$Q:$Q,MATCH($C3120,[1]Detallado!$B:$B,0))</f>
        <v>RVI</v>
      </c>
      <c r="F3120" s="185" t="s">
        <v>4355</v>
      </c>
      <c r="G3120" s="186" t="str">
        <f t="shared" si="93"/>
        <v>52RVI</v>
      </c>
      <c r="H3120" s="187" t="str">
        <f>+INDEX([1]Detallado!$D:$D,MATCH(C3120,[1]Detallado!$B:$B,0))</f>
        <v>Global X - Argentina ETF</v>
      </c>
      <c r="I3120" s="28"/>
      <c r="J3120" s="184" t="str">
        <f t="shared" si="92"/>
        <v>RVITD</v>
      </c>
    </row>
    <row r="3121" spans="3:10" x14ac:dyDescent="0.25">
      <c r="C3121" s="28" t="s">
        <v>2621</v>
      </c>
      <c r="D3121" s="188" t="str">
        <f>+INDEX([1]Detallado!$F:$F,MATCH($C3121,[1]Detallado!$B:$B,0))</f>
        <v>Renta Variable</v>
      </c>
      <c r="E3121" s="31" t="str">
        <f>+INDEX([1]Detallado!$Q:$Q,MATCH($C3121,[1]Detallado!$B:$B,0))</f>
        <v>RVI</v>
      </c>
      <c r="F3121" s="185" t="s">
        <v>4355</v>
      </c>
      <c r="G3121" s="186" t="str">
        <f t="shared" si="93"/>
        <v>52RVI</v>
      </c>
      <c r="H3121" s="187" t="str">
        <f>+INDEX([1]Detallado!$D:$D,MATCH(C3121,[1]Detallado!$B:$B,0))</f>
        <v>Liontrust - Liontrust European Dynamic Fund S</v>
      </c>
      <c r="I3121" s="28"/>
      <c r="J3121" s="184" t="str">
        <f t="shared" si="92"/>
        <v>RVITD</v>
      </c>
    </row>
    <row r="3122" spans="3:10" x14ac:dyDescent="0.25">
      <c r="C3122" s="28" t="s">
        <v>5844</v>
      </c>
      <c r="D3122" s="188" t="str">
        <f>+INDEX([1]Detallado!$F:$F,MATCH($C3122,[1]Detallado!$B:$B,0))</f>
        <v>Renta Fija</v>
      </c>
      <c r="E3122" s="31" t="str">
        <f>+INDEX([1]Detallado!$Q:$Q,MATCH($C3122,[1]Detallado!$B:$B,0))</f>
        <v>RFIG</v>
      </c>
      <c r="F3122" s="185" t="s">
        <v>4355</v>
      </c>
      <c r="G3122" s="186" t="str">
        <f t="shared" si="93"/>
        <v>52RFIG</v>
      </c>
      <c r="H3122" s="187" t="str">
        <f>+INDEX([1]Detallado!$D:$D,MATCH(C3122,[1]Detallado!$B:$B,0))</f>
        <v>Neuberger Berman - CLO Income Fund</v>
      </c>
      <c r="I3122" s="28"/>
      <c r="J3122" s="184" t="str">
        <f t="shared" si="92"/>
        <v>RFITD</v>
      </c>
    </row>
    <row r="3123" spans="3:10" x14ac:dyDescent="0.25">
      <c r="C3123" s="28" t="s">
        <v>6372</v>
      </c>
      <c r="D3123" s="188" t="str">
        <f>+INDEX([1]Detallado!$F:$F,MATCH($C3123,[1]Detallado!$B:$B,0))</f>
        <v>Renta Fija</v>
      </c>
      <c r="E3123" s="31" t="str">
        <f>+INDEX([1]Detallado!$Q:$Q,MATCH($C3123,[1]Detallado!$B:$B,0))</f>
        <v>RFIG</v>
      </c>
      <c r="F3123" s="185" t="s">
        <v>4355</v>
      </c>
      <c r="G3123" s="186" t="str">
        <f t="shared" si="93"/>
        <v>52RFIG</v>
      </c>
      <c r="H3123" s="187" t="str">
        <f>+INDEX([1]Detallado!$D:$D,MATCH(C3123,[1]Detallado!$B:$B,0))</f>
        <v>DNCA - Alpha Bonds</v>
      </c>
      <c r="I3123" s="28"/>
      <c r="J3123" s="184" t="str">
        <f t="shared" si="92"/>
        <v>RFITD</v>
      </c>
    </row>
    <row r="3124" spans="3:10" x14ac:dyDescent="0.25">
      <c r="C3124" s="28" t="s">
        <v>6311</v>
      </c>
      <c r="D3124" s="188" t="str">
        <f>+INDEX([1]Detallado!$F:$F,MATCH($C3124,[1]Detallado!$B:$B,0))</f>
        <v>Renta Variable</v>
      </c>
      <c r="E3124" s="31" t="str">
        <f>+INDEX([1]Detallado!$Q:$Q,MATCH($C3124,[1]Detallado!$B:$B,0))</f>
        <v>RVI</v>
      </c>
      <c r="F3124" s="185" t="s">
        <v>4355</v>
      </c>
      <c r="G3124" s="186" t="str">
        <f t="shared" si="93"/>
        <v>52RVI</v>
      </c>
      <c r="H3124" s="187" t="str">
        <f>+INDEX([1]Detallado!$D:$D,MATCH(C3124,[1]Detallado!$B:$B,0))</f>
        <v>Lazard - Japanese Strategic Equity</v>
      </c>
      <c r="I3124" s="28"/>
      <c r="J3124" s="184" t="str">
        <f t="shared" si="92"/>
        <v>RVITD</v>
      </c>
    </row>
    <row r="3125" spans="3:10" x14ac:dyDescent="0.25">
      <c r="C3125" s="28" t="s">
        <v>6442</v>
      </c>
      <c r="D3125" s="188"/>
      <c r="E3125" s="31"/>
      <c r="F3125" s="185" t="s">
        <v>4360</v>
      </c>
      <c r="G3125" s="186"/>
      <c r="H3125" s="187"/>
      <c r="I3125" s="28"/>
      <c r="J3125" s="184" t="str">
        <f t="shared" si="92"/>
        <v>Cash</v>
      </c>
    </row>
    <row r="3126" spans="3:10" x14ac:dyDescent="0.25">
      <c r="C3126" s="28" t="s">
        <v>6443</v>
      </c>
      <c r="D3126" s="188"/>
      <c r="E3126" s="31"/>
      <c r="F3126" s="185" t="s">
        <v>4360</v>
      </c>
      <c r="G3126" s="186"/>
      <c r="H3126" s="187"/>
      <c r="I3126" s="28"/>
      <c r="J3126" s="184" t="str">
        <f t="shared" si="92"/>
        <v>Cash</v>
      </c>
    </row>
    <row r="3127" spans="3:10" x14ac:dyDescent="0.25">
      <c r="C3127" s="28" t="s">
        <v>6444</v>
      </c>
      <c r="D3127" s="188"/>
      <c r="E3127" s="31"/>
      <c r="F3127" s="185" t="s">
        <v>4360</v>
      </c>
      <c r="G3127" s="186"/>
      <c r="H3127" s="187"/>
      <c r="I3127" s="28"/>
      <c r="J3127" s="184" t="str">
        <f t="shared" si="92"/>
        <v>Cash</v>
      </c>
    </row>
    <row r="3128" spans="3:10" x14ac:dyDescent="0.25">
      <c r="C3128" s="28" t="s">
        <v>6445</v>
      </c>
      <c r="D3128" s="188"/>
      <c r="E3128" s="31"/>
      <c r="F3128" s="185" t="s">
        <v>4360</v>
      </c>
      <c r="G3128" s="186"/>
      <c r="H3128" s="187"/>
      <c r="I3128" s="28"/>
      <c r="J3128" s="184" t="str">
        <f t="shared" si="92"/>
        <v>Cash</v>
      </c>
    </row>
    <row r="3129" spans="3:10" x14ac:dyDescent="0.25">
      <c r="C3129" s="28" t="s">
        <v>6446</v>
      </c>
      <c r="D3129" s="188"/>
      <c r="E3129" s="31"/>
      <c r="F3129" s="185" t="s">
        <v>4360</v>
      </c>
      <c r="G3129" s="186"/>
      <c r="H3129" s="187"/>
      <c r="I3129" s="28"/>
      <c r="J3129" s="184" t="str">
        <f t="shared" si="92"/>
        <v>Cash</v>
      </c>
    </row>
    <row r="3130" spans="3:10" x14ac:dyDescent="0.25">
      <c r="C3130" s="28" t="s">
        <v>6450</v>
      </c>
      <c r="D3130" s="188"/>
      <c r="E3130" s="31"/>
      <c r="F3130" s="185" t="s">
        <v>4360</v>
      </c>
      <c r="G3130" s="186"/>
      <c r="H3130" s="187"/>
      <c r="I3130" s="28"/>
      <c r="J3130" s="184" t="str">
        <f t="shared" si="92"/>
        <v>Cash</v>
      </c>
    </row>
    <row r="3131" spans="3:10" x14ac:dyDescent="0.25">
      <c r="C3131" s="28" t="s">
        <v>6451</v>
      </c>
      <c r="D3131" s="188"/>
      <c r="E3131" s="31"/>
      <c r="F3131" s="185" t="s">
        <v>4360</v>
      </c>
      <c r="G3131" s="186"/>
      <c r="H3131" s="187"/>
      <c r="I3131" s="28"/>
      <c r="J3131" s="184" t="str">
        <f t="shared" si="92"/>
        <v>Cash</v>
      </c>
    </row>
    <row r="3132" spans="3:10" x14ac:dyDescent="0.25">
      <c r="C3132" s="28" t="s">
        <v>6574</v>
      </c>
      <c r="D3132" s="188"/>
      <c r="E3132" s="31"/>
      <c r="F3132" s="185" t="s">
        <v>4360</v>
      </c>
      <c r="G3132" s="186"/>
      <c r="H3132" s="187"/>
      <c r="I3132" s="28"/>
      <c r="J3132" s="184" t="str">
        <f t="shared" si="92"/>
        <v>Cash</v>
      </c>
    </row>
    <row r="3133" spans="3:10" x14ac:dyDescent="0.25">
      <c r="C3133" s="28" t="s">
        <v>6575</v>
      </c>
      <c r="D3133" s="188"/>
      <c r="E3133" s="31"/>
      <c r="F3133" s="185" t="s">
        <v>4360</v>
      </c>
      <c r="G3133" s="186"/>
      <c r="H3133" s="187"/>
      <c r="I3133" s="28"/>
      <c r="J3133" s="184" t="str">
        <f t="shared" si="92"/>
        <v>Cash</v>
      </c>
    </row>
    <row r="3134" spans="3:10" x14ac:dyDescent="0.25">
      <c r="C3134" s="28" t="s">
        <v>6576</v>
      </c>
      <c r="D3134" s="188"/>
      <c r="E3134" s="31"/>
      <c r="F3134" s="185" t="s">
        <v>4360</v>
      </c>
      <c r="G3134" s="186"/>
      <c r="H3134" s="187"/>
      <c r="I3134" s="28"/>
      <c r="J3134" s="184" t="str">
        <f t="shared" si="92"/>
        <v>Cash</v>
      </c>
    </row>
    <row r="3135" spans="3:10" x14ac:dyDescent="0.25">
      <c r="C3135" s="28" t="s">
        <v>6577</v>
      </c>
      <c r="D3135" s="188"/>
      <c r="E3135" s="31"/>
      <c r="F3135" s="185" t="s">
        <v>4360</v>
      </c>
      <c r="G3135" s="186"/>
      <c r="H3135" s="187"/>
      <c r="I3135" s="28"/>
      <c r="J3135" s="184" t="str">
        <f t="shared" si="92"/>
        <v>Cash</v>
      </c>
    </row>
    <row r="3136" spans="3:10" x14ac:dyDescent="0.25">
      <c r="C3136" s="28" t="s">
        <v>6578</v>
      </c>
      <c r="D3136" s="188"/>
      <c r="E3136" s="31"/>
      <c r="F3136" s="185" t="s">
        <v>4360</v>
      </c>
      <c r="G3136" s="186"/>
      <c r="H3136" s="187"/>
      <c r="I3136" s="28"/>
      <c r="J3136" s="184" t="str">
        <f t="shared" si="92"/>
        <v>Cash</v>
      </c>
    </row>
    <row r="3137" spans="3:10" x14ac:dyDescent="0.25">
      <c r="C3137" s="28" t="s">
        <v>6579</v>
      </c>
      <c r="D3137" s="188"/>
      <c r="E3137" s="31"/>
      <c r="F3137" s="185" t="s">
        <v>4360</v>
      </c>
      <c r="G3137" s="186"/>
      <c r="H3137" s="187"/>
      <c r="I3137" s="28"/>
      <c r="J3137" s="184" t="str">
        <f t="shared" si="92"/>
        <v>Cash</v>
      </c>
    </row>
    <row r="3138" spans="3:10" x14ac:dyDescent="0.25">
      <c r="C3138" s="28" t="s">
        <v>6580</v>
      </c>
      <c r="D3138" s="188"/>
      <c r="E3138" s="31"/>
      <c r="F3138" s="185" t="s">
        <v>4360</v>
      </c>
      <c r="G3138" s="186"/>
      <c r="H3138" s="187"/>
      <c r="I3138" s="28"/>
      <c r="J3138" s="184" t="str">
        <f t="shared" si="92"/>
        <v>Cash</v>
      </c>
    </row>
    <row r="3139" spans="3:10" x14ac:dyDescent="0.25">
      <c r="C3139" s="28" t="s">
        <v>6581</v>
      </c>
      <c r="D3139" s="188"/>
      <c r="E3139" s="31"/>
      <c r="F3139" s="185" t="s">
        <v>4360</v>
      </c>
      <c r="G3139" s="186"/>
      <c r="H3139" s="187"/>
      <c r="I3139" s="28"/>
      <c r="J3139" s="184" t="str">
        <f t="shared" si="92"/>
        <v>Cash</v>
      </c>
    </row>
    <row r="3140" spans="3:10" x14ac:dyDescent="0.25">
      <c r="C3140" s="28" t="s">
        <v>6582</v>
      </c>
      <c r="D3140" s="188"/>
      <c r="E3140" s="31"/>
      <c r="F3140" s="185" t="s">
        <v>4360</v>
      </c>
      <c r="G3140" s="186"/>
      <c r="H3140" s="187"/>
      <c r="I3140" s="28"/>
      <c r="J3140" s="184" t="str">
        <f t="shared" si="92"/>
        <v>Cash</v>
      </c>
    </row>
    <row r="3141" spans="3:10" x14ac:dyDescent="0.25">
      <c r="C3141" s="28" t="s">
        <v>6583</v>
      </c>
      <c r="D3141" s="188"/>
      <c r="E3141" s="31"/>
      <c r="F3141" s="185" t="s">
        <v>4360</v>
      </c>
      <c r="G3141" s="186"/>
      <c r="H3141" s="187"/>
      <c r="I3141" s="28"/>
      <c r="J3141" s="184" t="str">
        <f t="shared" si="92"/>
        <v>Cash</v>
      </c>
    </row>
    <row r="3142" spans="3:10" x14ac:dyDescent="0.25">
      <c r="C3142" s="28" t="s">
        <v>6584</v>
      </c>
      <c r="D3142" s="188"/>
      <c r="E3142" s="31"/>
      <c r="F3142" s="185" t="s">
        <v>4360</v>
      </c>
      <c r="G3142" s="186"/>
      <c r="H3142" s="187"/>
      <c r="I3142" s="28"/>
      <c r="J3142" s="184" t="str">
        <f t="shared" si="92"/>
        <v>Cash</v>
      </c>
    </row>
    <row r="3143" spans="3:10" x14ac:dyDescent="0.25">
      <c r="C3143" s="28" t="s">
        <v>6585</v>
      </c>
      <c r="D3143" s="188"/>
      <c r="E3143" s="31"/>
      <c r="F3143" s="185" t="s">
        <v>4360</v>
      </c>
      <c r="G3143" s="186"/>
      <c r="H3143" s="187"/>
      <c r="I3143" s="28"/>
      <c r="J3143" s="184" t="str">
        <f t="shared" si="92"/>
        <v>Cash</v>
      </c>
    </row>
    <row r="3144" spans="3:10" x14ac:dyDescent="0.25">
      <c r="C3144" s="28" t="s">
        <v>6586</v>
      </c>
      <c r="D3144" s="188"/>
      <c r="E3144" s="31"/>
      <c r="F3144" s="185" t="s">
        <v>4360</v>
      </c>
      <c r="G3144" s="186"/>
      <c r="H3144" s="187"/>
      <c r="I3144" s="28"/>
      <c r="J3144" s="184" t="str">
        <f t="shared" si="92"/>
        <v>Cash</v>
      </c>
    </row>
    <row r="3145" spans="3:10" x14ac:dyDescent="0.25">
      <c r="C3145" s="28" t="s">
        <v>6587</v>
      </c>
      <c r="D3145" s="188"/>
      <c r="E3145" s="31"/>
      <c r="F3145" s="185" t="s">
        <v>4360</v>
      </c>
      <c r="G3145" s="186"/>
      <c r="H3145" s="187"/>
      <c r="I3145" s="28"/>
      <c r="J3145" s="184" t="str">
        <f t="shared" si="92"/>
        <v>Cash</v>
      </c>
    </row>
    <row r="3146" spans="3:10" x14ac:dyDescent="0.25">
      <c r="C3146" s="28" t="s">
        <v>6588</v>
      </c>
      <c r="D3146" s="188"/>
      <c r="E3146" s="31"/>
      <c r="F3146" s="185" t="s">
        <v>4360</v>
      </c>
      <c r="G3146" s="186"/>
      <c r="H3146" s="187"/>
      <c r="I3146" s="28"/>
      <c r="J3146" s="184" t="str">
        <f t="shared" si="92"/>
        <v>Cash</v>
      </c>
    </row>
    <row r="3147" spans="3:10" x14ac:dyDescent="0.25">
      <c r="C3147" s="28" t="s">
        <v>6589</v>
      </c>
      <c r="D3147" s="188"/>
      <c r="E3147" s="31"/>
      <c r="F3147" s="185" t="s">
        <v>4360</v>
      </c>
      <c r="G3147" s="186"/>
      <c r="H3147" s="187"/>
      <c r="I3147" s="28"/>
      <c r="J3147" s="184" t="str">
        <f t="shared" si="92"/>
        <v>Cash</v>
      </c>
    </row>
    <row r="3148" spans="3:10" x14ac:dyDescent="0.25">
      <c r="C3148" s="28" t="s">
        <v>6590</v>
      </c>
      <c r="D3148" s="188"/>
      <c r="E3148" s="31"/>
      <c r="F3148" s="185" t="s">
        <v>4360</v>
      </c>
      <c r="G3148" s="186"/>
      <c r="H3148" s="187"/>
      <c r="I3148" s="28"/>
      <c r="J3148" s="184" t="str">
        <f t="shared" si="92"/>
        <v>Cash</v>
      </c>
    </row>
    <row r="3149" spans="3:10" x14ac:dyDescent="0.25">
      <c r="C3149" s="28" t="s">
        <v>6591</v>
      </c>
      <c r="D3149" s="188"/>
      <c r="E3149" s="31"/>
      <c r="F3149" s="185" t="s">
        <v>4360</v>
      </c>
      <c r="G3149" s="186"/>
      <c r="H3149" s="187"/>
      <c r="I3149" s="28"/>
      <c r="J3149" s="184" t="str">
        <f t="shared" si="92"/>
        <v>Cash</v>
      </c>
    </row>
    <row r="3150" spans="3:10" x14ac:dyDescent="0.25">
      <c r="C3150" s="28" t="s">
        <v>6592</v>
      </c>
      <c r="D3150" s="188"/>
      <c r="E3150" s="31"/>
      <c r="F3150" s="185" t="s">
        <v>4360</v>
      </c>
      <c r="G3150" s="186"/>
      <c r="H3150" s="187"/>
      <c r="I3150" s="28"/>
      <c r="J3150" s="184" t="str">
        <f t="shared" si="92"/>
        <v>Cash</v>
      </c>
    </row>
    <row r="3151" spans="3:10" x14ac:dyDescent="0.25">
      <c r="C3151" s="28" t="s">
        <v>6593</v>
      </c>
      <c r="D3151" s="188"/>
      <c r="E3151" s="31"/>
      <c r="F3151" s="185" t="s">
        <v>4360</v>
      </c>
      <c r="G3151" s="186"/>
      <c r="H3151" s="187"/>
      <c r="I3151" s="28"/>
      <c r="J3151" s="184" t="str">
        <f t="shared" si="92"/>
        <v>Cash</v>
      </c>
    </row>
    <row r="3152" spans="3:10" x14ac:dyDescent="0.25">
      <c r="C3152" s="28" t="s">
        <v>6594</v>
      </c>
      <c r="D3152" s="188"/>
      <c r="E3152" s="31"/>
      <c r="F3152" s="185" t="s">
        <v>4360</v>
      </c>
      <c r="G3152" s="186"/>
      <c r="H3152" s="187"/>
      <c r="I3152" s="28"/>
      <c r="J3152" s="184" t="str">
        <f t="shared" si="92"/>
        <v>Cash</v>
      </c>
    </row>
    <row r="3153" spans="3:10" x14ac:dyDescent="0.25">
      <c r="C3153" s="28" t="s">
        <v>6595</v>
      </c>
      <c r="D3153" s="188"/>
      <c r="E3153" s="31"/>
      <c r="F3153" s="185" t="s">
        <v>4360</v>
      </c>
      <c r="G3153" s="186"/>
      <c r="H3153" s="187"/>
      <c r="I3153" s="28"/>
      <c r="J3153" s="184" t="str">
        <f t="shared" si="92"/>
        <v>Cash</v>
      </c>
    </row>
    <row r="3154" spans="3:10" x14ac:dyDescent="0.25">
      <c r="C3154" s="28" t="s">
        <v>6596</v>
      </c>
      <c r="D3154" s="188"/>
      <c r="E3154" s="31"/>
      <c r="F3154" s="185" t="s">
        <v>4360</v>
      </c>
      <c r="G3154" s="186"/>
      <c r="H3154" s="187"/>
      <c r="I3154" s="28"/>
      <c r="J3154" s="184" t="str">
        <f t="shared" si="92"/>
        <v>Cash</v>
      </c>
    </row>
    <row r="3155" spans="3:10" x14ac:dyDescent="0.25">
      <c r="C3155" s="28" t="s">
        <v>6597</v>
      </c>
      <c r="D3155" s="188"/>
      <c r="E3155" s="31"/>
      <c r="F3155" s="185" t="s">
        <v>4360</v>
      </c>
      <c r="G3155" s="186"/>
      <c r="H3155" s="187"/>
      <c r="I3155" s="28"/>
      <c r="J3155" s="184" t="str">
        <f t="shared" si="92"/>
        <v>Cash</v>
      </c>
    </row>
    <row r="3156" spans="3:10" x14ac:dyDescent="0.25">
      <c r="C3156" s="28" t="s">
        <v>6598</v>
      </c>
      <c r="D3156" s="188"/>
      <c r="E3156" s="31"/>
      <c r="F3156" s="185" t="s">
        <v>4360</v>
      </c>
      <c r="G3156" s="186"/>
      <c r="H3156" s="187"/>
      <c r="I3156" s="28"/>
      <c r="J3156" s="184" t="str">
        <f t="shared" si="92"/>
        <v>Cash</v>
      </c>
    </row>
    <row r="3157" spans="3:10" x14ac:dyDescent="0.25">
      <c r="C3157" s="28" t="s">
        <v>6599</v>
      </c>
      <c r="D3157" s="188"/>
      <c r="E3157" s="31"/>
      <c r="F3157" s="185" t="s">
        <v>4360</v>
      </c>
      <c r="G3157" s="186"/>
      <c r="H3157" s="187"/>
      <c r="I3157" s="28"/>
      <c r="J3157" s="184" t="str">
        <f t="shared" si="92"/>
        <v>Cash</v>
      </c>
    </row>
    <row r="3158" spans="3:10" x14ac:dyDescent="0.25">
      <c r="C3158" s="28" t="s">
        <v>6600</v>
      </c>
      <c r="D3158" s="188"/>
      <c r="E3158" s="31"/>
      <c r="F3158" s="185" t="s">
        <v>4360</v>
      </c>
      <c r="G3158" s="186"/>
      <c r="H3158" s="187"/>
      <c r="I3158" s="28"/>
      <c r="J3158" s="184" t="str">
        <f t="shared" si="92"/>
        <v>Cash</v>
      </c>
    </row>
    <row r="3159" spans="3:10" x14ac:dyDescent="0.25">
      <c r="C3159" s="28" t="s">
        <v>6601</v>
      </c>
      <c r="D3159" s="188"/>
      <c r="E3159" s="31"/>
      <c r="F3159" s="185" t="s">
        <v>4360</v>
      </c>
      <c r="G3159" s="186"/>
      <c r="H3159" s="187"/>
      <c r="I3159" s="28"/>
      <c r="J3159" s="184" t="str">
        <f t="shared" si="92"/>
        <v>Cash</v>
      </c>
    </row>
    <row r="3160" spans="3:10" x14ac:dyDescent="0.25">
      <c r="C3160" s="28" t="s">
        <v>6602</v>
      </c>
      <c r="D3160" s="188"/>
      <c r="E3160" s="31"/>
      <c r="F3160" s="185" t="s">
        <v>4360</v>
      </c>
      <c r="G3160" s="186"/>
      <c r="H3160" s="187"/>
      <c r="I3160" s="28"/>
      <c r="J3160" s="184" t="str">
        <f t="shared" si="92"/>
        <v>Cash</v>
      </c>
    </row>
    <row r="3161" spans="3:10" x14ac:dyDescent="0.25">
      <c r="C3161" s="28" t="s">
        <v>6603</v>
      </c>
      <c r="D3161" s="188"/>
      <c r="E3161" s="31"/>
      <c r="F3161" s="185" t="s">
        <v>4360</v>
      </c>
      <c r="G3161" s="186"/>
      <c r="H3161" s="187"/>
      <c r="I3161" s="28"/>
      <c r="J3161" s="184" t="str">
        <f t="shared" si="92"/>
        <v>Cash</v>
      </c>
    </row>
    <row r="3162" spans="3:10" x14ac:dyDescent="0.25">
      <c r="C3162" s="28" t="s">
        <v>6604</v>
      </c>
      <c r="D3162" s="188"/>
      <c r="E3162" s="31"/>
      <c r="F3162" s="185" t="s">
        <v>4360</v>
      </c>
      <c r="G3162" s="186"/>
      <c r="H3162" s="187"/>
      <c r="I3162" s="28"/>
      <c r="J3162" s="184" t="str">
        <f t="shared" si="92"/>
        <v>Cash</v>
      </c>
    </row>
    <row r="3163" spans="3:10" x14ac:dyDescent="0.25">
      <c r="C3163" s="28" t="s">
        <v>6605</v>
      </c>
      <c r="D3163" s="188"/>
      <c r="E3163" s="31"/>
      <c r="F3163" s="185" t="s">
        <v>4360</v>
      </c>
      <c r="G3163" s="186"/>
      <c r="H3163" s="187"/>
      <c r="I3163" s="28"/>
      <c r="J3163" s="184" t="str">
        <f t="shared" ref="J3163:J3184" si="94">IF(E3163="ALT",LEFT(E3163,3),LEFT(E3163,3)&amp;F3163)</f>
        <v>Cash</v>
      </c>
    </row>
    <row r="3164" spans="3:10" x14ac:dyDescent="0.25">
      <c r="C3164" s="28" t="s">
        <v>6606</v>
      </c>
      <c r="D3164" s="188"/>
      <c r="E3164" s="31"/>
      <c r="F3164" s="185" t="s">
        <v>4360</v>
      </c>
      <c r="G3164" s="186"/>
      <c r="H3164" s="187"/>
      <c r="I3164" s="28"/>
      <c r="J3164" s="184" t="str">
        <f t="shared" si="94"/>
        <v>Cash</v>
      </c>
    </row>
    <row r="3165" spans="3:10" x14ac:dyDescent="0.25">
      <c r="C3165" s="28" t="s">
        <v>6607</v>
      </c>
      <c r="D3165" s="188"/>
      <c r="E3165" s="31"/>
      <c r="F3165" s="185" t="s">
        <v>4360</v>
      </c>
      <c r="G3165" s="186"/>
      <c r="H3165" s="187"/>
      <c r="I3165" s="28"/>
      <c r="J3165" s="184" t="str">
        <f t="shared" si="94"/>
        <v>Cash</v>
      </c>
    </row>
    <row r="3166" spans="3:10" x14ac:dyDescent="0.25">
      <c r="C3166" s="28" t="s">
        <v>6608</v>
      </c>
      <c r="D3166" s="188"/>
      <c r="E3166" s="31"/>
      <c r="F3166" s="185" t="s">
        <v>4360</v>
      </c>
      <c r="G3166" s="186"/>
      <c r="H3166" s="187"/>
      <c r="I3166" s="28"/>
      <c r="J3166" s="184" t="str">
        <f t="shared" si="94"/>
        <v>Cash</v>
      </c>
    </row>
    <row r="3167" spans="3:10" x14ac:dyDescent="0.25">
      <c r="C3167" s="28" t="s">
        <v>6609</v>
      </c>
      <c r="D3167" s="188"/>
      <c r="E3167" s="31"/>
      <c r="F3167" s="185" t="s">
        <v>4360</v>
      </c>
      <c r="G3167" s="186"/>
      <c r="H3167" s="187"/>
      <c r="I3167" s="28"/>
      <c r="J3167" s="184" t="str">
        <f t="shared" si="94"/>
        <v>Cash</v>
      </c>
    </row>
    <row r="3168" spans="3:10" x14ac:dyDescent="0.25">
      <c r="C3168" s="28" t="s">
        <v>6610</v>
      </c>
      <c r="D3168" s="188"/>
      <c r="E3168" s="31"/>
      <c r="F3168" s="185" t="s">
        <v>4360</v>
      </c>
      <c r="G3168" s="186"/>
      <c r="H3168" s="187"/>
      <c r="I3168" s="28"/>
      <c r="J3168" s="184" t="str">
        <f t="shared" si="94"/>
        <v>Cash</v>
      </c>
    </row>
    <row r="3169" spans="3:10" x14ac:dyDescent="0.25">
      <c r="C3169" s="28" t="s">
        <v>6611</v>
      </c>
      <c r="D3169" s="188"/>
      <c r="E3169" s="31"/>
      <c r="F3169" s="185" t="s">
        <v>4360</v>
      </c>
      <c r="G3169" s="186"/>
      <c r="H3169" s="187"/>
      <c r="I3169" s="28"/>
      <c r="J3169" s="184" t="str">
        <f t="shared" si="94"/>
        <v>Cash</v>
      </c>
    </row>
    <row r="3170" spans="3:10" x14ac:dyDescent="0.25">
      <c r="C3170" s="28" t="s">
        <v>6612</v>
      </c>
      <c r="D3170" s="188"/>
      <c r="E3170" s="31"/>
      <c r="F3170" s="185" t="s">
        <v>4360</v>
      </c>
      <c r="G3170" s="186"/>
      <c r="H3170" s="187"/>
      <c r="I3170" s="28"/>
      <c r="J3170" s="184" t="str">
        <f t="shared" si="94"/>
        <v>Cash</v>
      </c>
    </row>
    <row r="3171" spans="3:10" x14ac:dyDescent="0.25">
      <c r="C3171" s="28" t="s">
        <v>6613</v>
      </c>
      <c r="D3171" s="188"/>
      <c r="E3171" s="31"/>
      <c r="F3171" s="185" t="s">
        <v>4360</v>
      </c>
      <c r="G3171" s="186"/>
      <c r="H3171" s="187"/>
      <c r="I3171" s="28"/>
      <c r="J3171" s="184" t="str">
        <f t="shared" si="94"/>
        <v>Cash</v>
      </c>
    </row>
    <row r="3172" spans="3:10" x14ac:dyDescent="0.25">
      <c r="C3172" s="28" t="s">
        <v>6614</v>
      </c>
      <c r="D3172" s="188"/>
      <c r="E3172" s="31"/>
      <c r="F3172" s="185" t="s">
        <v>4360</v>
      </c>
      <c r="G3172" s="186"/>
      <c r="H3172" s="187"/>
      <c r="I3172" s="28"/>
      <c r="J3172" s="184" t="str">
        <f t="shared" si="94"/>
        <v>Cash</v>
      </c>
    </row>
    <row r="3173" spans="3:10" x14ac:dyDescent="0.25">
      <c r="C3173" s="28" t="s">
        <v>6615</v>
      </c>
      <c r="D3173" s="188"/>
      <c r="E3173" s="31"/>
      <c r="F3173" s="185" t="s">
        <v>4360</v>
      </c>
      <c r="G3173" s="186"/>
      <c r="H3173" s="187"/>
      <c r="I3173" s="28"/>
      <c r="J3173" s="184" t="str">
        <f t="shared" si="94"/>
        <v>Cash</v>
      </c>
    </row>
    <row r="3174" spans="3:10" x14ac:dyDescent="0.25">
      <c r="C3174" s="28" t="s">
        <v>6616</v>
      </c>
      <c r="D3174" s="188"/>
      <c r="E3174" s="31"/>
      <c r="F3174" s="185" t="s">
        <v>4360</v>
      </c>
      <c r="G3174" s="186"/>
      <c r="H3174" s="187"/>
      <c r="I3174" s="28"/>
      <c r="J3174" s="184" t="str">
        <f t="shared" si="94"/>
        <v>Cash</v>
      </c>
    </row>
    <row r="3175" spans="3:10" x14ac:dyDescent="0.25">
      <c r="C3175" s="28" t="s">
        <v>6617</v>
      </c>
      <c r="D3175" s="188"/>
      <c r="E3175" s="31"/>
      <c r="F3175" s="185" t="s">
        <v>4360</v>
      </c>
      <c r="G3175" s="186"/>
      <c r="H3175" s="187"/>
      <c r="I3175" s="28"/>
      <c r="J3175" s="184" t="str">
        <f t="shared" si="94"/>
        <v>Cash</v>
      </c>
    </row>
    <row r="3176" spans="3:10" x14ac:dyDescent="0.25">
      <c r="C3176" s="28" t="s">
        <v>6618</v>
      </c>
      <c r="D3176" s="188"/>
      <c r="E3176" s="31"/>
      <c r="F3176" s="185" t="s">
        <v>4360</v>
      </c>
      <c r="G3176" s="186"/>
      <c r="H3176" s="187"/>
      <c r="I3176" s="28"/>
      <c r="J3176" s="184" t="str">
        <f t="shared" si="94"/>
        <v>Cash</v>
      </c>
    </row>
    <row r="3177" spans="3:10" x14ac:dyDescent="0.25">
      <c r="C3177" s="28" t="s">
        <v>6619</v>
      </c>
      <c r="D3177" s="188"/>
      <c r="E3177" s="31"/>
      <c r="F3177" s="185" t="s">
        <v>4360</v>
      </c>
      <c r="G3177" s="186"/>
      <c r="H3177" s="187"/>
      <c r="I3177" s="28"/>
      <c r="J3177" s="184" t="str">
        <f t="shared" si="94"/>
        <v>Cash</v>
      </c>
    </row>
    <row r="3178" spans="3:10" x14ac:dyDescent="0.25">
      <c r="C3178" s="28" t="s">
        <v>6620</v>
      </c>
      <c r="D3178" s="188"/>
      <c r="E3178" s="31"/>
      <c r="F3178" s="185" t="s">
        <v>4360</v>
      </c>
      <c r="G3178" s="186"/>
      <c r="H3178" s="187"/>
      <c r="I3178" s="28"/>
      <c r="J3178" s="184" t="str">
        <f t="shared" si="94"/>
        <v>Cash</v>
      </c>
    </row>
    <row r="3179" spans="3:10" x14ac:dyDescent="0.25">
      <c r="C3179" s="28" t="s">
        <v>6621</v>
      </c>
      <c r="D3179" s="188"/>
      <c r="E3179" s="31"/>
      <c r="F3179" s="185" t="s">
        <v>4360</v>
      </c>
      <c r="G3179" s="186"/>
      <c r="H3179" s="187"/>
      <c r="I3179" s="28"/>
      <c r="J3179" s="184" t="str">
        <f t="shared" si="94"/>
        <v>Cash</v>
      </c>
    </row>
    <row r="3180" spans="3:10" x14ac:dyDescent="0.25">
      <c r="C3180" s="28" t="s">
        <v>6622</v>
      </c>
      <c r="D3180" s="188"/>
      <c r="E3180" s="31"/>
      <c r="F3180" s="185" t="s">
        <v>4360</v>
      </c>
      <c r="G3180" s="186"/>
      <c r="H3180" s="187"/>
      <c r="I3180" s="28"/>
      <c r="J3180" s="184" t="str">
        <f t="shared" si="94"/>
        <v>Cash</v>
      </c>
    </row>
    <row r="3181" spans="3:10" x14ac:dyDescent="0.25">
      <c r="C3181" s="28" t="s">
        <v>6623</v>
      </c>
      <c r="D3181" s="188"/>
      <c r="E3181" s="31"/>
      <c r="F3181" s="185" t="s">
        <v>4360</v>
      </c>
      <c r="G3181" s="186"/>
      <c r="H3181" s="187"/>
      <c r="I3181" s="28"/>
      <c r="J3181" s="184" t="str">
        <f t="shared" si="94"/>
        <v>Cash</v>
      </c>
    </row>
    <row r="3182" spans="3:10" x14ac:dyDescent="0.25">
      <c r="C3182" s="28" t="s">
        <v>6624</v>
      </c>
      <c r="D3182" s="188"/>
      <c r="E3182" s="31"/>
      <c r="F3182" s="185" t="s">
        <v>4360</v>
      </c>
      <c r="G3182" s="186"/>
      <c r="H3182" s="187"/>
      <c r="I3182" s="28"/>
      <c r="J3182" s="184" t="str">
        <f t="shared" si="94"/>
        <v>Cash</v>
      </c>
    </row>
    <row r="3183" spans="3:10" x14ac:dyDescent="0.25">
      <c r="C3183" s="28" t="s">
        <v>6625</v>
      </c>
      <c r="D3183" s="188"/>
      <c r="E3183" s="31"/>
      <c r="F3183" s="185" t="s">
        <v>4360</v>
      </c>
      <c r="G3183" s="186"/>
      <c r="H3183" s="187"/>
      <c r="I3183" s="28"/>
      <c r="J3183" s="184" t="str">
        <f t="shared" si="94"/>
        <v>Cash</v>
      </c>
    </row>
    <row r="3184" spans="3:10" x14ac:dyDescent="0.25">
      <c r="C3184" s="28" t="s">
        <v>6626</v>
      </c>
      <c r="D3184" s="188"/>
      <c r="E3184" s="31"/>
      <c r="F3184" s="185" t="s">
        <v>4360</v>
      </c>
      <c r="G3184" s="186"/>
      <c r="H3184" s="187"/>
      <c r="I3184" s="28"/>
      <c r="J3184" s="184" t="str">
        <f t="shared" si="94"/>
        <v>Cash</v>
      </c>
    </row>
  </sheetData>
  <autoFilter ref="J8:J3184" xr:uid="{100F2016-54ED-406D-9928-F87ABF2E8F29}"/>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E9824-1746-4E9F-81FE-E3DD9B88FD8D}">
  <sheetPr codeName="Sheet4"/>
  <dimension ref="A1:L25"/>
  <sheetViews>
    <sheetView workbookViewId="0"/>
  </sheetViews>
  <sheetFormatPr defaultColWidth="9.140625" defaultRowHeight="15" x14ac:dyDescent="0.25"/>
  <cols>
    <col min="1" max="1" width="12.28515625" bestFit="1" customWidth="1"/>
    <col min="2" max="2" width="18.5703125" bestFit="1" customWidth="1"/>
    <col min="3" max="3" width="13.7109375" bestFit="1" customWidth="1"/>
    <col min="4" max="4" width="16.85546875" bestFit="1" customWidth="1"/>
    <col min="5" max="5" width="16.28515625" bestFit="1" customWidth="1"/>
    <col min="6" max="7" width="17.42578125" bestFit="1" customWidth="1"/>
    <col min="9" max="9" width="14.7109375" bestFit="1" customWidth="1"/>
    <col min="10" max="10" width="19.7109375" bestFit="1" customWidth="1"/>
    <col min="11" max="11" width="18" bestFit="1" customWidth="1"/>
    <col min="12" max="12" width="18.7109375" bestFit="1" customWidth="1"/>
    <col min="13" max="13" width="18.140625" bestFit="1" customWidth="1"/>
    <col min="14" max="14" width="12" bestFit="1" customWidth="1"/>
    <col min="15" max="15" width="11.5703125" bestFit="1" customWidth="1"/>
    <col min="16" max="16" width="18.7109375" bestFit="1" customWidth="1"/>
    <col min="17" max="17" width="16.28515625" bestFit="1" customWidth="1"/>
  </cols>
  <sheetData>
    <row r="1" spans="1:12" x14ac:dyDescent="0.25">
      <c r="A1" s="1" t="s">
        <v>0</v>
      </c>
      <c r="B1" s="2">
        <f>'Valorización de Instrumentos'!B1</f>
        <v>20251231</v>
      </c>
      <c r="C1" s="1" t="s">
        <v>1</v>
      </c>
      <c r="D1" s="3">
        <f>+B1</f>
        <v>20251231</v>
      </c>
      <c r="G1" s="4"/>
    </row>
    <row r="3" spans="1:12" x14ac:dyDescent="0.25">
      <c r="A3" t="s">
        <v>2</v>
      </c>
      <c r="B3" t="s">
        <v>3</v>
      </c>
      <c r="C3" t="s">
        <v>4</v>
      </c>
      <c r="D3" t="s">
        <v>5</v>
      </c>
      <c r="E3" t="s">
        <v>6</v>
      </c>
      <c r="F3" t="s">
        <v>7</v>
      </c>
      <c r="G3" t="s">
        <v>8</v>
      </c>
      <c r="J3" t="s">
        <v>4640</v>
      </c>
    </row>
    <row r="4" spans="1:12" x14ac:dyDescent="0.25">
      <c r="A4" t="s">
        <v>12</v>
      </c>
      <c r="B4" t="s">
        <v>6390</v>
      </c>
      <c r="C4" s="5">
        <v>9654564.9090650994</v>
      </c>
      <c r="D4" s="5">
        <v>951817513.24565959</v>
      </c>
      <c r="E4" s="5">
        <v>1132615150.527734</v>
      </c>
      <c r="F4" s="5">
        <v>7679510866.0565634</v>
      </c>
      <c r="G4" s="5">
        <v>7850653938.4295731</v>
      </c>
      <c r="J4" s="43" t="s">
        <v>12</v>
      </c>
      <c r="K4" s="18">
        <f>INDEX($F:$F,MATCH(J4,$A:$A,0),1)</f>
        <v>7679510866.0565634</v>
      </c>
      <c r="L4">
        <f>+K4/$K$8</f>
        <v>2284956668.1711931</v>
      </c>
    </row>
    <row r="5" spans="1:12" x14ac:dyDescent="0.25">
      <c r="A5" t="s">
        <v>10</v>
      </c>
      <c r="B5" t="s">
        <v>6390</v>
      </c>
      <c r="C5" s="5">
        <v>52088536.688416697</v>
      </c>
      <c r="D5" s="5">
        <v>1487073411.5101318</v>
      </c>
      <c r="E5" s="5">
        <v>4796644561.3871107</v>
      </c>
      <c r="F5" s="5">
        <v>26256910350.436607</v>
      </c>
      <c r="G5" s="5">
        <v>29514392963.625172</v>
      </c>
      <c r="J5" s="44" t="s">
        <v>10</v>
      </c>
      <c r="K5" s="18">
        <f>INDEX($F:$F,MATCH(J5,$A:$A,0),1)</f>
        <v>26256910350.436607</v>
      </c>
      <c r="L5">
        <f t="shared" ref="L5:L6" si="0">+K5/$K$8</f>
        <v>7812464027.6225433</v>
      </c>
    </row>
    <row r="6" spans="1:12" x14ac:dyDescent="0.25">
      <c r="A6" t="s">
        <v>11</v>
      </c>
      <c r="B6" t="s">
        <v>6390</v>
      </c>
      <c r="C6" s="5">
        <v>15273817.2080401</v>
      </c>
      <c r="D6" s="5">
        <v>351596887.70612651</v>
      </c>
      <c r="E6" s="5">
        <v>362077122.37963301</v>
      </c>
      <c r="F6" s="5">
        <v>3164069580.822104</v>
      </c>
      <c r="G6" s="5">
        <v>3159275998.2875705</v>
      </c>
      <c r="J6" s="43" t="s">
        <v>11</v>
      </c>
      <c r="K6" s="18">
        <f>INDEX($F:$F,MATCH(J6,$A:$A,0),1)</f>
        <v>3164069580.822104</v>
      </c>
      <c r="L6">
        <f t="shared" si="0"/>
        <v>941435205.10045052</v>
      </c>
    </row>
    <row r="7" spans="1:12" x14ac:dyDescent="0.25">
      <c r="A7" t="s">
        <v>9</v>
      </c>
      <c r="B7" t="s">
        <v>6390</v>
      </c>
      <c r="C7" s="5">
        <v>11815145.58</v>
      </c>
      <c r="D7" s="5">
        <v>3282400.83</v>
      </c>
      <c r="E7" s="5">
        <v>4793625.2699999996</v>
      </c>
      <c r="F7" s="5">
        <v>2847839359.3764262</v>
      </c>
      <c r="G7" s="5">
        <v>2837535438.2364259</v>
      </c>
      <c r="J7" t="s">
        <v>4640</v>
      </c>
      <c r="K7" s="18">
        <f>SUM(K4:K6)</f>
        <v>37100490797.315277</v>
      </c>
    </row>
    <row r="8" spans="1:12" x14ac:dyDescent="0.25">
      <c r="I8" s="43" t="s">
        <v>48</v>
      </c>
      <c r="J8" t="s">
        <v>4862</v>
      </c>
      <c r="K8">
        <f>INDEX('Tipo de Cambio'!D:D,MATCH('Cálculo Caja'!I8,'Tipo de Cambio'!A:A,0),1)</f>
        <v>3.3609</v>
      </c>
    </row>
    <row r="9" spans="1:12" x14ac:dyDescent="0.25">
      <c r="D9" s="7">
        <f>G7-E4+D4+C4</f>
        <v>2666392365.8634167</v>
      </c>
      <c r="K9" s="18">
        <f>K7/K8</f>
        <v>11038855900.894188</v>
      </c>
    </row>
    <row r="10" spans="1:12" x14ac:dyDescent="0.25">
      <c r="D10" s="7">
        <f>G8-E5+D5+C5</f>
        <v>-3257482613.1885624</v>
      </c>
      <c r="K10" s="240">
        <f>+K9/1000000</f>
        <v>11038.855900894188</v>
      </c>
    </row>
    <row r="11" spans="1:12" x14ac:dyDescent="0.25">
      <c r="C11" s="6"/>
      <c r="D11" s="7" t="e">
        <f>G9-#REF!+#REF!+#REF!</f>
        <v>#REF!</v>
      </c>
      <c r="E11" s="7"/>
      <c r="F11" s="7">
        <f>SUM(G4:G7)/K8</f>
        <v>12901859126.596668</v>
      </c>
      <c r="G11" s="7">
        <f>SUM(G4:G7)/K8</f>
        <v>12901859126.596668</v>
      </c>
    </row>
    <row r="12" spans="1:12" x14ac:dyDescent="0.25">
      <c r="C12" s="7"/>
      <c r="F12" s="4">
        <f>SUM(D4:D7)-SUM(E4:E7)+SUM(C4:C7)</f>
        <v>-3413528181.8870378</v>
      </c>
    </row>
    <row r="13" spans="1:12" x14ac:dyDescent="0.25">
      <c r="C13" s="7"/>
      <c r="D13" s="7" t="e">
        <f>SUM(D9:D11)/K8</f>
        <v>#REF!</v>
      </c>
      <c r="F13" s="7">
        <f>F11+F12</f>
        <v>9488330944.709631</v>
      </c>
    </row>
    <row r="14" spans="1:12" x14ac:dyDescent="0.25">
      <c r="C14" s="8"/>
    </row>
    <row r="15" spans="1:12" x14ac:dyDescent="0.25">
      <c r="C15" s="8"/>
      <c r="D15" s="7">
        <f>-E4+D4+C4</f>
        <v>-171143072.37300935</v>
      </c>
    </row>
    <row r="16" spans="1:12" x14ac:dyDescent="0.25">
      <c r="C16" s="9"/>
      <c r="D16" s="7">
        <f>-E5+D5+C5</f>
        <v>-3257482613.1885624</v>
      </c>
    </row>
    <row r="17" spans="4:8" x14ac:dyDescent="0.25">
      <c r="D17" s="7">
        <f>-E6+D6+C6</f>
        <v>4793582.5345336013</v>
      </c>
    </row>
    <row r="18" spans="4:8" x14ac:dyDescent="0.25">
      <c r="D18" s="7">
        <f>SUM(D15:D17)/K8/1000000</f>
        <v>-1018.7247770023024</v>
      </c>
    </row>
    <row r="25" spans="4:8" x14ac:dyDescent="0.25">
      <c r="H25" s="10"/>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49718-CC70-4F58-AC7C-92AAC683781B}">
  <sheetPr codeName="Sheet6"/>
  <dimension ref="A1:F38"/>
  <sheetViews>
    <sheetView workbookViewId="0"/>
  </sheetViews>
  <sheetFormatPr defaultColWidth="11.42578125" defaultRowHeight="15" x14ac:dyDescent="0.25"/>
  <cols>
    <col min="1" max="1" width="20.140625" bestFit="1" customWidth="1"/>
    <col min="2" max="2" width="36.42578125" bestFit="1" customWidth="1"/>
    <col min="3" max="3" width="10.7109375" bestFit="1" customWidth="1"/>
    <col min="4" max="4" width="10" bestFit="1" customWidth="1"/>
    <col min="5" max="5" width="24.42578125" bestFit="1" customWidth="1"/>
    <col min="6" max="6" width="27.5703125" bestFit="1" customWidth="1"/>
  </cols>
  <sheetData>
    <row r="1" spans="1:6" x14ac:dyDescent="0.25">
      <c r="A1" s="1" t="s">
        <v>0</v>
      </c>
      <c r="B1" s="2">
        <f>'Valorización de Instrumentos'!B1</f>
        <v>20251231</v>
      </c>
      <c r="C1" s="1" t="s">
        <v>1</v>
      </c>
      <c r="D1" s="11">
        <f>B1</f>
        <v>20251231</v>
      </c>
    </row>
    <row r="3" spans="1:6" x14ac:dyDescent="0.25">
      <c r="A3" t="s">
        <v>13</v>
      </c>
      <c r="B3" t="s">
        <v>14</v>
      </c>
      <c r="C3" t="s">
        <v>15</v>
      </c>
      <c r="D3" t="s">
        <v>16</v>
      </c>
      <c r="E3" t="s">
        <v>17</v>
      </c>
      <c r="F3" t="s">
        <v>18</v>
      </c>
    </row>
    <row r="4" spans="1:6" x14ac:dyDescent="0.25">
      <c r="A4" t="s">
        <v>19</v>
      </c>
      <c r="B4" t="s">
        <v>20</v>
      </c>
      <c r="C4" t="s">
        <v>6390</v>
      </c>
      <c r="D4">
        <v>2.2430647000000001</v>
      </c>
      <c r="E4" t="s">
        <v>21</v>
      </c>
      <c r="F4" t="s">
        <v>19</v>
      </c>
    </row>
    <row r="5" spans="1:6" x14ac:dyDescent="0.25">
      <c r="A5" t="s">
        <v>22</v>
      </c>
      <c r="B5" t="s">
        <v>23</v>
      </c>
      <c r="C5" t="s">
        <v>6390</v>
      </c>
      <c r="D5">
        <v>0.61131729999999995</v>
      </c>
      <c r="E5" t="s">
        <v>24</v>
      </c>
      <c r="F5" t="s">
        <v>22</v>
      </c>
    </row>
    <row r="6" spans="1:6" x14ac:dyDescent="0.25">
      <c r="A6" t="s">
        <v>25</v>
      </c>
      <c r="B6" t="s">
        <v>26</v>
      </c>
      <c r="C6" t="s">
        <v>6390</v>
      </c>
      <c r="D6">
        <v>2.4501713000000001</v>
      </c>
      <c r="E6" t="s">
        <v>27</v>
      </c>
      <c r="F6" t="s">
        <v>25</v>
      </c>
    </row>
    <row r="7" spans="1:6" x14ac:dyDescent="0.25">
      <c r="A7" t="s">
        <v>28</v>
      </c>
      <c r="B7" t="s">
        <v>29</v>
      </c>
      <c r="C7" t="s">
        <v>6390</v>
      </c>
      <c r="D7">
        <v>4.2387439000000002</v>
      </c>
      <c r="E7" t="s">
        <v>30</v>
      </c>
      <c r="F7" t="s">
        <v>28</v>
      </c>
    </row>
    <row r="8" spans="1:6" x14ac:dyDescent="0.25">
      <c r="A8" t="s">
        <v>31</v>
      </c>
      <c r="B8" t="s">
        <v>32</v>
      </c>
      <c r="C8" t="s">
        <v>6390</v>
      </c>
      <c r="D8">
        <v>3.7265000000000002E-3</v>
      </c>
      <c r="E8" t="s">
        <v>33</v>
      </c>
      <c r="F8" t="s">
        <v>31</v>
      </c>
    </row>
    <row r="9" spans="1:6" x14ac:dyDescent="0.25">
      <c r="A9" t="s">
        <v>34</v>
      </c>
      <c r="B9" t="s">
        <v>5058</v>
      </c>
      <c r="C9" t="s">
        <v>6390</v>
      </c>
      <c r="D9">
        <v>0.48173899999999997</v>
      </c>
      <c r="E9" t="s">
        <v>35</v>
      </c>
      <c r="F9" t="s">
        <v>34</v>
      </c>
    </row>
    <row r="10" spans="1:6" x14ac:dyDescent="0.25">
      <c r="A10" t="s">
        <v>36</v>
      </c>
      <c r="B10" t="s">
        <v>37</v>
      </c>
      <c r="C10" t="s">
        <v>6390</v>
      </c>
      <c r="D10">
        <v>0.48077419999999998</v>
      </c>
      <c r="E10" t="s">
        <v>38</v>
      </c>
      <c r="F10" t="s">
        <v>36</v>
      </c>
    </row>
    <row r="11" spans="1:6" x14ac:dyDescent="0.25">
      <c r="A11" t="s">
        <v>39</v>
      </c>
      <c r="B11" t="s">
        <v>40</v>
      </c>
      <c r="C11" t="s">
        <v>6390</v>
      </c>
      <c r="D11">
        <v>8.8900000000000003E-4</v>
      </c>
      <c r="E11" t="s">
        <v>41</v>
      </c>
      <c r="F11" t="s">
        <v>39</v>
      </c>
    </row>
    <row r="12" spans="1:6" x14ac:dyDescent="0.25">
      <c r="A12" t="s">
        <v>42</v>
      </c>
      <c r="B12" t="s">
        <v>43</v>
      </c>
      <c r="C12" t="s">
        <v>6390</v>
      </c>
      <c r="D12">
        <v>0.16329080000000001</v>
      </c>
      <c r="E12" t="s">
        <v>44</v>
      </c>
      <c r="F12" t="s">
        <v>42</v>
      </c>
    </row>
    <row r="13" spans="1:6" x14ac:dyDescent="0.25">
      <c r="A13" t="s">
        <v>45</v>
      </c>
      <c r="B13" t="s">
        <v>46</v>
      </c>
      <c r="C13" t="s">
        <v>6390</v>
      </c>
      <c r="D13">
        <v>0.52831050000000002</v>
      </c>
      <c r="E13" t="s">
        <v>47</v>
      </c>
      <c r="F13" t="s">
        <v>45</v>
      </c>
    </row>
    <row r="14" spans="1:6" x14ac:dyDescent="0.25">
      <c r="A14" t="s">
        <v>48</v>
      </c>
      <c r="B14" t="s">
        <v>49</v>
      </c>
      <c r="C14" t="s">
        <v>6390</v>
      </c>
      <c r="D14">
        <v>3.3609</v>
      </c>
      <c r="E14" t="s">
        <v>50</v>
      </c>
      <c r="F14" t="s">
        <v>51</v>
      </c>
    </row>
    <row r="15" spans="1:6" x14ac:dyDescent="0.25">
      <c r="A15" t="s">
        <v>52</v>
      </c>
      <c r="B15" t="s">
        <v>53</v>
      </c>
      <c r="C15" t="s">
        <v>6390</v>
      </c>
      <c r="D15">
        <v>7.0435899999999996E-2</v>
      </c>
      <c r="E15" t="s">
        <v>54</v>
      </c>
      <c r="F15" t="s">
        <v>52</v>
      </c>
    </row>
    <row r="16" spans="1:6" x14ac:dyDescent="0.25">
      <c r="A16" t="s">
        <v>55</v>
      </c>
      <c r="B16" t="s">
        <v>56</v>
      </c>
      <c r="C16" t="s">
        <v>6390</v>
      </c>
      <c r="D16">
        <v>3.9460326999999999</v>
      </c>
      <c r="E16" t="s">
        <v>57</v>
      </c>
      <c r="F16" t="s">
        <v>55</v>
      </c>
    </row>
    <row r="17" spans="1:6" x14ac:dyDescent="0.25">
      <c r="A17" t="s">
        <v>58</v>
      </c>
      <c r="B17" t="s">
        <v>59</v>
      </c>
      <c r="C17" t="s">
        <v>6390</v>
      </c>
      <c r="D17">
        <v>4.5224270000000004</v>
      </c>
      <c r="E17" t="s">
        <v>60</v>
      </c>
      <c r="F17" t="s">
        <v>58</v>
      </c>
    </row>
    <row r="18" spans="1:6" x14ac:dyDescent="0.25">
      <c r="A18" t="s">
        <v>61</v>
      </c>
      <c r="B18" t="s">
        <v>62</v>
      </c>
      <c r="C18" t="s">
        <v>6390</v>
      </c>
      <c r="D18">
        <v>0.43182579999999998</v>
      </c>
      <c r="E18" t="s">
        <v>63</v>
      </c>
      <c r="F18" t="s">
        <v>61</v>
      </c>
    </row>
    <row r="19" spans="1:6" x14ac:dyDescent="0.25">
      <c r="A19" t="s">
        <v>64</v>
      </c>
      <c r="B19" t="s">
        <v>65</v>
      </c>
      <c r="C19" t="s">
        <v>6390</v>
      </c>
      <c r="D19">
        <v>1.0260099999999999E-2</v>
      </c>
      <c r="E19" t="s">
        <v>66</v>
      </c>
      <c r="F19" t="s">
        <v>64</v>
      </c>
    </row>
    <row r="20" spans="1:6" x14ac:dyDescent="0.25">
      <c r="A20" t="s">
        <v>67</v>
      </c>
      <c r="B20" t="s">
        <v>68</v>
      </c>
      <c r="C20" t="s">
        <v>6390</v>
      </c>
      <c r="D20">
        <v>2.0139999999999999E-4</v>
      </c>
      <c r="E20" t="s">
        <v>69</v>
      </c>
      <c r="F20" t="s">
        <v>67</v>
      </c>
    </row>
    <row r="21" spans="1:6" x14ac:dyDescent="0.25">
      <c r="A21" t="s">
        <v>70</v>
      </c>
      <c r="B21" t="s">
        <v>71</v>
      </c>
      <c r="C21" t="s">
        <v>6390</v>
      </c>
      <c r="D21">
        <v>1.0544</v>
      </c>
      <c r="E21" t="s">
        <v>72</v>
      </c>
      <c r="F21" t="s">
        <v>70</v>
      </c>
    </row>
    <row r="22" spans="1:6" x14ac:dyDescent="0.25">
      <c r="A22" t="s">
        <v>73</v>
      </c>
      <c r="B22" t="s">
        <v>74</v>
      </c>
      <c r="C22" t="s">
        <v>6390</v>
      </c>
      <c r="D22">
        <v>3.7393200000000001E-2</v>
      </c>
      <c r="E22" t="s">
        <v>75</v>
      </c>
      <c r="F22" t="s">
        <v>73</v>
      </c>
    </row>
    <row r="23" spans="1:6" x14ac:dyDescent="0.25">
      <c r="A23" t="s">
        <v>76</v>
      </c>
      <c r="B23" t="s">
        <v>77</v>
      </c>
      <c r="C23" t="s">
        <v>6390</v>
      </c>
      <c r="D23">
        <v>2.14425E-2</v>
      </c>
      <c r="E23" t="s">
        <v>78</v>
      </c>
      <c r="F23" t="s">
        <v>76</v>
      </c>
    </row>
    <row r="24" spans="1:6" x14ac:dyDescent="0.25">
      <c r="A24" t="s">
        <v>79</v>
      </c>
      <c r="B24" t="s">
        <v>80</v>
      </c>
      <c r="C24" t="s">
        <v>6390</v>
      </c>
      <c r="D24">
        <v>2.3261000000000002E-3</v>
      </c>
      <c r="E24" t="s">
        <v>81</v>
      </c>
      <c r="F24" t="s">
        <v>79</v>
      </c>
    </row>
    <row r="25" spans="1:6" x14ac:dyDescent="0.25">
      <c r="A25" t="s">
        <v>82</v>
      </c>
      <c r="B25" t="s">
        <v>83</v>
      </c>
      <c r="C25" t="s">
        <v>6390</v>
      </c>
      <c r="D25">
        <v>0.18666170000000001</v>
      </c>
      <c r="E25" t="s">
        <v>84</v>
      </c>
      <c r="F25" t="s">
        <v>82</v>
      </c>
    </row>
    <row r="26" spans="1:6" x14ac:dyDescent="0.25">
      <c r="A26" t="s">
        <v>85</v>
      </c>
      <c r="B26" t="s">
        <v>86</v>
      </c>
      <c r="C26" t="s">
        <v>6390</v>
      </c>
      <c r="D26">
        <v>0.33304929999999999</v>
      </c>
      <c r="E26" t="s">
        <v>87</v>
      </c>
      <c r="F26" t="s">
        <v>85</v>
      </c>
    </row>
    <row r="27" spans="1:6" x14ac:dyDescent="0.25">
      <c r="A27" t="s">
        <v>88</v>
      </c>
      <c r="B27" t="s">
        <v>89</v>
      </c>
      <c r="C27" t="s">
        <v>6390</v>
      </c>
      <c r="D27">
        <v>1</v>
      </c>
      <c r="E27" t="s">
        <v>90</v>
      </c>
      <c r="F27" t="s">
        <v>91</v>
      </c>
    </row>
    <row r="28" spans="1:6" x14ac:dyDescent="0.25">
      <c r="A28" t="s">
        <v>92</v>
      </c>
      <c r="B28" t="s">
        <v>93</v>
      </c>
      <c r="C28" t="s">
        <v>6390</v>
      </c>
      <c r="D28">
        <v>1.9335258</v>
      </c>
      <c r="E28" t="s">
        <v>94</v>
      </c>
      <c r="F28" t="s">
        <v>92</v>
      </c>
    </row>
    <row r="29" spans="1:6" x14ac:dyDescent="0.25">
      <c r="A29" t="s">
        <v>95</v>
      </c>
      <c r="B29" t="s">
        <v>96</v>
      </c>
      <c r="C29" t="s">
        <v>6390</v>
      </c>
      <c r="D29">
        <v>0.93498579999999998</v>
      </c>
      <c r="E29" t="s">
        <v>97</v>
      </c>
      <c r="F29" t="s">
        <v>95</v>
      </c>
    </row>
    <row r="30" spans="1:6" x14ac:dyDescent="0.25">
      <c r="A30" t="s">
        <v>98</v>
      </c>
      <c r="B30" t="s">
        <v>99</v>
      </c>
      <c r="C30" t="s">
        <v>6390</v>
      </c>
      <c r="D30">
        <v>0.77425820000000001</v>
      </c>
      <c r="E30" t="s">
        <v>100</v>
      </c>
      <c r="F30" t="s">
        <v>98</v>
      </c>
    </row>
    <row r="31" spans="1:6" x14ac:dyDescent="0.25">
      <c r="A31" t="s">
        <v>101</v>
      </c>
      <c r="B31" t="s">
        <v>102</v>
      </c>
      <c r="C31" t="s">
        <v>6390</v>
      </c>
      <c r="D31">
        <v>4.24719E-2</v>
      </c>
      <c r="E31" t="s">
        <v>103</v>
      </c>
      <c r="F31" t="s">
        <v>101</v>
      </c>
    </row>
    <row r="32" spans="1:6" x14ac:dyDescent="0.25">
      <c r="A32" t="s">
        <v>104</v>
      </c>
      <c r="B32" t="s">
        <v>105</v>
      </c>
      <c r="C32" t="s">
        <v>6390</v>
      </c>
      <c r="D32">
        <v>0.3645465</v>
      </c>
      <c r="E32" t="s">
        <v>106</v>
      </c>
      <c r="F32" t="s">
        <v>104</v>
      </c>
    </row>
    <row r="33" spans="1:6" x14ac:dyDescent="0.25">
      <c r="A33" t="s">
        <v>107</v>
      </c>
      <c r="B33" t="s">
        <v>108</v>
      </c>
      <c r="C33" t="s">
        <v>6390</v>
      </c>
      <c r="D33">
        <v>2.6132493999999999</v>
      </c>
      <c r="E33" t="s">
        <v>109</v>
      </c>
      <c r="F33" t="s">
        <v>107</v>
      </c>
    </row>
    <row r="34" spans="1:6" x14ac:dyDescent="0.25">
      <c r="A34" t="s">
        <v>110</v>
      </c>
      <c r="B34" t="s">
        <v>111</v>
      </c>
      <c r="C34" t="s">
        <v>6390</v>
      </c>
      <c r="D34">
        <v>0.1065599</v>
      </c>
      <c r="E34" t="s">
        <v>112</v>
      </c>
      <c r="F34" t="s">
        <v>110</v>
      </c>
    </row>
    <row r="35" spans="1:6" x14ac:dyDescent="0.25">
      <c r="A35" t="s">
        <v>113</v>
      </c>
      <c r="B35" t="s">
        <v>114</v>
      </c>
      <c r="C35" t="s">
        <v>6390</v>
      </c>
      <c r="D35">
        <v>7.8228099999999995E-2</v>
      </c>
      <c r="E35" t="s">
        <v>115</v>
      </c>
      <c r="F35" t="s">
        <v>113</v>
      </c>
    </row>
    <row r="36" spans="1:6" x14ac:dyDescent="0.25">
      <c r="A36" t="s">
        <v>116</v>
      </c>
      <c r="B36" t="s">
        <v>117</v>
      </c>
      <c r="C36" t="s">
        <v>6390</v>
      </c>
      <c r="D36">
        <v>0.1069261</v>
      </c>
      <c r="E36" t="s">
        <v>118</v>
      </c>
      <c r="F36" t="s">
        <v>116</v>
      </c>
    </row>
    <row r="37" spans="1:6" x14ac:dyDescent="0.25">
      <c r="A37" t="s">
        <v>119</v>
      </c>
      <c r="B37" t="s">
        <v>120</v>
      </c>
      <c r="C37" t="s">
        <v>6390</v>
      </c>
      <c r="D37">
        <v>1</v>
      </c>
      <c r="E37" t="s">
        <v>121</v>
      </c>
      <c r="F37" t="s">
        <v>122</v>
      </c>
    </row>
    <row r="38" spans="1:6" x14ac:dyDescent="0.25">
      <c r="A38" t="s">
        <v>123</v>
      </c>
      <c r="B38" t="s">
        <v>124</v>
      </c>
      <c r="C38" t="s">
        <v>6390</v>
      </c>
      <c r="D38">
        <v>0.20286219999999999</v>
      </c>
      <c r="E38" t="s">
        <v>125</v>
      </c>
      <c r="F38" t="s">
        <v>123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B5BE39BA-933D-4F2B-AA30-C0B0AD05CD96}">
  <ds:schemaRefs/>
</ds:datastoreItem>
</file>

<file path=customXml/itemProps2.xml><?xml version="1.0" encoding="utf-8"?>
<ds:datastoreItem xmlns:ds="http://schemas.openxmlformats.org/officeDocument/2006/customXml" ds:itemID="{B9615E78-37D2-4808-B6F2-D1DA207F0A7B}">
  <ds:schemaRefs/>
</ds:datastoreItem>
</file>

<file path=customXml/itemProps3.xml><?xml version="1.0" encoding="utf-8"?>
<ds:datastoreItem xmlns:ds="http://schemas.openxmlformats.org/officeDocument/2006/customXml" ds:itemID="{86472F13-DDB0-4FF9-A0A2-39D54BAA0A75}">
  <ds:schemaRefs/>
</ds:datastoreItem>
</file>

<file path=customXml/itemProps4.xml><?xml version="1.0" encoding="utf-8"?>
<ds:datastoreItem xmlns:ds="http://schemas.openxmlformats.org/officeDocument/2006/customXml" ds:itemID="{322E6337-0553-4568-A3C5-173ADD02A1DA}">
  <ds:schemaRefs/>
</ds:datastoreItem>
</file>

<file path=customXml/itemProps5.xml><?xml version="1.0" encoding="utf-8"?>
<ds:datastoreItem xmlns:ds="http://schemas.openxmlformats.org/officeDocument/2006/customXml" ds:itemID="{2F622DB7-09C8-4799-9295-596ACF40E0B3}">
  <ds:schemaRefs/>
</ds:datastoreItem>
</file>

<file path=customXml/itemProps6.xml><?xml version="1.0" encoding="utf-8"?>
<ds:datastoreItem xmlns:ds="http://schemas.openxmlformats.org/officeDocument/2006/customXml" ds:itemID="{C146279F-3E91-4F4B-BC51-977ABE820AA6}">
  <ds:schemaRefs/>
</ds:datastoreItem>
</file>

<file path=customXml/itemProps7.xml><?xml version="1.0" encoding="utf-8"?>
<ds:datastoreItem xmlns:ds="http://schemas.openxmlformats.org/officeDocument/2006/customXml" ds:itemID="{470C17EF-DE18-4886-8B8A-41508CCCCC75}">
  <ds:schemaRefs/>
</ds:datastoreItem>
</file>

<file path=customXml/itemProps8.xml><?xml version="1.0" encoding="utf-8"?>
<ds:datastoreItem xmlns:ds="http://schemas.openxmlformats.org/officeDocument/2006/customXml" ds:itemID="{14579211-62BE-4334-A89E-E872A0B0B2D3}">
  <ds:schemaRefs/>
</ds:datastoreItem>
</file>

<file path=customXml/itemProps9.xml><?xml version="1.0" encoding="utf-8"?>
<ds:datastoreItem xmlns:ds="http://schemas.openxmlformats.org/officeDocument/2006/customXml" ds:itemID="{230E97B9-E537-4204-9CBA-93E092ED9001}">
  <ds:schemaRefs/>
</ds:datastoreItem>
</file>

<file path=customXml/itemProps10.xml><?xml version="1.0" encoding="utf-8"?>
<ds:datastoreItem xmlns:ds="http://schemas.openxmlformats.org/officeDocument/2006/customXml" ds:itemID="{673A8780-C495-4260-8B27-4407C21F7C70}">
  <ds:schemaRefs/>
</ds:datastoreItem>
</file>

<file path=customXml/itemProps11.xml><?xml version="1.0" encoding="utf-8"?>
<ds:datastoreItem xmlns:ds="http://schemas.openxmlformats.org/officeDocument/2006/customXml" ds:itemID="{ED7D68FC-2646-4D4E-B397-BF3B0098B031}">
  <ds:schemaRefs/>
</ds:datastoreItem>
</file>

<file path=customXml/itemProps12.xml><?xml version="1.0" encoding="utf-8"?>
<ds:datastoreItem xmlns:ds="http://schemas.openxmlformats.org/officeDocument/2006/customXml" ds:itemID="{E616F270-16A2-4588-8308-547F8F31495F}">
  <ds:schemaRefs/>
</ds:datastoreItem>
</file>

<file path=customXml/itemProps13.xml><?xml version="1.0" encoding="utf-8"?>
<ds:datastoreItem xmlns:ds="http://schemas.openxmlformats.org/officeDocument/2006/customXml" ds:itemID="{C2CF67A8-D069-4BED-BA11-F5BBBECE1A5D}">
  <ds:schemaRefs/>
</ds:datastoreItem>
</file>

<file path=customXml/itemProps14.xml><?xml version="1.0" encoding="utf-8"?>
<ds:datastoreItem xmlns:ds="http://schemas.openxmlformats.org/officeDocument/2006/customXml" ds:itemID="{E1A22BF4-6BE7-4D9C-AEC2-7CB20879BA99}">
  <ds:schemaRefs/>
</ds:datastoreItem>
</file>

<file path=customXml/itemProps15.xml><?xml version="1.0" encoding="utf-8"?>
<ds:datastoreItem xmlns:ds="http://schemas.openxmlformats.org/officeDocument/2006/customXml" ds:itemID="{B13884C4-660A-441F-A4EE-E2363F3DEB7C}">
  <ds:schemaRefs/>
</ds:datastoreItem>
</file>

<file path=customXml/itemProps16.xml><?xml version="1.0" encoding="utf-8"?>
<ds:datastoreItem xmlns:ds="http://schemas.openxmlformats.org/officeDocument/2006/customXml" ds:itemID="{57B29AC8-CDFA-4012-9AE2-E8801768CB86}">
  <ds:schemaRefs>
    <ds:schemaRef ds:uri="http://schemas.microsoft.com/DataMashup"/>
  </ds:schemaRefs>
</ds:datastoreItem>
</file>

<file path=customXml/itemProps17.xml><?xml version="1.0" encoding="utf-8"?>
<ds:datastoreItem xmlns:ds="http://schemas.openxmlformats.org/officeDocument/2006/customXml" ds:itemID="{EF38A6CF-0F27-4285-AEDB-AAC402D4FC8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Guia</vt:lpstr>
      <vt:lpstr>Emisión Total 2025</vt:lpstr>
      <vt:lpstr>Comando</vt:lpstr>
      <vt:lpstr>Final</vt:lpstr>
      <vt:lpstr>Cartera Local - SMV</vt:lpstr>
      <vt:lpstr>Valorización de Instrumentos</vt:lpstr>
      <vt:lpstr>Presentacion</vt:lpstr>
      <vt:lpstr>MSCI</vt:lpstr>
      <vt:lpstr>Proxies</vt:lpstr>
      <vt:lpstr>BD(MSCI)</vt:lpstr>
      <vt:lpstr>Perdieron Huella</vt:lpstr>
      <vt:lpstr>Parametria</vt:lpstr>
      <vt:lpstr>Cálculo Caja</vt:lpstr>
      <vt:lpstr>Tipo de Cambio</vt:lpstr>
      <vt:lpstr>Guia!Print_Area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José Sosa Tovar</dc:creator>
  <cp:lastModifiedBy>Franco Olivares Untiveros</cp:lastModifiedBy>
  <cp:lastPrinted>2025-06-25T15:26:14Z</cp:lastPrinted>
  <dcterms:created xsi:type="dcterms:W3CDTF">2023-12-15T17:14:51Z</dcterms:created>
  <dcterms:modified xsi:type="dcterms:W3CDTF">2026-07-13T23:49:03Z</dcterms:modified>
</cp:coreProperties>
</file>